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<sst xmlns="http://schemas.openxmlformats.org/spreadsheetml/2006/main" count="35756" uniqueCount="35754">
  <si>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</si>
  <si>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</si>
  <si>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</si>
  <si>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</si>
  <si>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16:10:36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</si>
  <si>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</si>
  <si>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</si>
  <si>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</si>
  <si>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</si>
  <si>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</si>
  <si>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</si>
  <si>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</si>
  <si>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</si>
  <si>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</si>
  <si>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</si>
  <si>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</si>
  <si>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12:43:51 pm</t>
  </si>
  <si>
    <t>22/05/2023, 12:47:31 pm</t>
  </si>
  <si>
    <t>22/05/2023, 12:47:32 pm</t>
  </si>
  <si>
    <t>22/05/2023, 12:47:33 pm</t>
  </si>
  <si>
    <t>22/05/2023, 12:47:34 pm</t>
  </si>
  <si>
    <t>22/05/2023, 12:58:06 pm</t>
  </si>
  <si>
    <t>22/05/2023, 12:58:07 pm</t>
  </si>
  <si>
    <t>22/05/2023, 12:58:08 pm</t>
  </si>
  <si>
    <t>22/05/2023, 12:58:09 pm</t>
  </si>
  <si>
    <t>22/05/2023, 12:58:10 pm</t>
  </si>
  <si>
    <t>22/05/2023, 12:58:11 pm</t>
  </si>
  <si>
    <t>22/05/2023, 12:59:07 pm</t>
  </si>
  <si>
    <t>22/05/2023, 12:59:08 pm</t>
  </si>
  <si>
    <t>22/05/2023, 12:59:09 pm</t>
  </si>
  <si>
    <t>22/05/2023, 12:59:10 pm</t>
  </si>
  <si>
    <t>22/05/2023, 12:59:11 pm</t>
  </si>
  <si>
    <t>22/05/2023, 12:59:12 pm</t>
  </si>
  <si>
    <t>22/05/2023, 12:59:13 pm</t>
  </si>
  <si>
    <t>22/05/2023, 12:59:36 pm</t>
  </si>
  <si>
    <t>22/05/2023, 12:59:37 pm</t>
  </si>
  <si>
    <t>22/05/2023, 1:00:17 pm</t>
  </si>
  <si>
    <t>22/05/2023, 1:01:52 pm</t>
  </si>
  <si>
    <t>22/05/2023, 1:01:53 pm</t>
  </si>
  <si>
    <t>22/05/2023, 1:01:54 pm</t>
  </si>
  <si>
    <t>22/05/2023, 1:01:55 pm</t>
  </si>
  <si>
    <t>22/05/2023, 1:01:56 pm</t>
  </si>
  <si>
    <t>22/05/2023, 1:01:57 pm</t>
  </si>
  <si>
    <t>22/05/2023, 1:01:58 pm</t>
  </si>
  <si>
    <t>22/05/2023, 1:01:59 pm</t>
  </si>
  <si>
    <t>22/05/2023, 1:03:27 pm</t>
  </si>
  <si>
    <t>22/05/2023, 1:03:28 pm</t>
  </si>
  <si>
    <t>22/05/2023, 1:03:29 pm</t>
  </si>
  <si>
    <t>22/05/2023, 1:03:30 pm</t>
  </si>
  <si>
    <t>22/05/2023, 1:03:31 pm</t>
  </si>
  <si>
    <t>22/05/2023, 1:03:32 pm</t>
  </si>
  <si>
    <t>22/05/2023, 1:03:33 pm</t>
  </si>
  <si>
    <t>22/05/2023, 1:03:34 pm</t>
  </si>
  <si>
    <t>22/05/2023, 1:03:35 pm</t>
  </si>
  <si>
    <t>22/05/2023, 1:03:36 pm</t>
  </si>
  <si>
    <t>22/05/2023, 1:03:37 pm</t>
  </si>
  <si>
    <t>22/05/2023, 1:03:38 pm</t>
  </si>
  <si>
    <t>22/05/2023, 1:03:39 pm</t>
  </si>
  <si>
    <t>22/05/2023, 1:04:13 pm</t>
  </si>
  <si>
    <t>22/05/2023, 1:04:14 pm</t>
  </si>
  <si>
    <t>22/05/2023, 1:04:15 pm</t>
  </si>
  <si>
    <t>22/05/2023, 1:04:16 pm</t>
  </si>
  <si>
    <t>22/05/2023, 1:04:17 pm</t>
  </si>
  <si>
    <t>22/05/2023, 1:04:18 pm</t>
  </si>
  <si>
    <t>22/05/2023, 1:04:19 pm</t>
  </si>
  <si>
    <t>22/05/2023, 1:04:20 pm</t>
  </si>
  <si>
    <t>22/05/2023, 1:04:21 pm</t>
  </si>
  <si>
    <t>22/05/2023, 1:04:22 pm</t>
  </si>
  <si>
    <t>22/05/2023, 1:04:23 pm</t>
  </si>
  <si>
    <t>22/05/2023, 1:04:24 pm</t>
  </si>
  <si>
    <t>22/05/2023, 1:04:25 pm</t>
  </si>
  <si>
    <t>22/05/2023, 1:04:26 pm</t>
  </si>
  <si>
    <t>22/05/2023, 1:04:27 pm</t>
  </si>
  <si>
    <t>22/05/2023, 1:04:28 pm</t>
  </si>
  <si>
    <t>22/05/2023, 1:09:11 pm</t>
  </si>
  <si>
    <t>22/05/2023, 1:09:12 pm</t>
  </si>
  <si>
    <t>22/05/2023, 1:09:13 pm</t>
  </si>
  <si>
    <t>22/05/2023, 1:09:14 pm</t>
  </si>
  <si>
    <t>22/05/2023, 1:09:15 pm</t>
  </si>
  <si>
    <t>22/05/2023, 1:09:16 pm</t>
  </si>
  <si>
    <t>22/05/2023, 1:09:17 pm</t>
  </si>
  <si>
    <t>22/05/2023, 1:09:18 pm</t>
  </si>
  <si>
    <t>22/05/2023, 1:09:19 pm</t>
  </si>
  <si>
    <t>22/05/2023, 1:09:20 pm</t>
  </si>
  <si>
    <t>22/05/2023, 1:09:21 pm</t>
  </si>
  <si>
    <t>22/05/2023, 1:09:22 pm</t>
  </si>
  <si>
    <t>22/05/2023, 1:09:23 pm</t>
  </si>
  <si>
    <t>22/05/2023, 1:09:24 pm</t>
  </si>
  <si>
    <t>22/05/2023, 1:09:25 pm</t>
  </si>
  <si>
    <t>22/05/2023, 1:09:26 pm</t>
  </si>
  <si>
    <t>22/05/2023, 1:09:27 pm</t>
  </si>
  <si>
    <t>22/05/2023, 1:09:28 pm</t>
  </si>
  <si>
    <t>22/05/2023, 1:09:29 pm</t>
  </si>
  <si>
    <t>22/05/2023, 1:09:30 pm</t>
  </si>
  <si>
    <t>22/05/2023, 1:09:31 pm</t>
  </si>
  <si>
    <t>22/05/2023, 1:09:32 pm</t>
  </si>
  <si>
    <t>22/05/2023, 1:09:33 pm</t>
  </si>
  <si>
    <t>22/05/2023, 1:09:34 pm</t>
  </si>
  <si>
    <t>22/05/2023, 1:09:35 pm</t>
  </si>
  <si>
    <t>22/05/2023, 1:09:38 pm</t>
  </si>
  <si>
    <t>22/05/2023, 1:09:39 pm</t>
  </si>
  <si>
    <t>22/05/2023, 1:09:40 pm</t>
  </si>
  <si>
    <t>22/05/2023, 1:09:41 pm</t>
  </si>
  <si>
    <t>22/05/2023, 1:09:42 pm</t>
  </si>
  <si>
    <t>22/05/2023, 1:09:43 pm</t>
  </si>
  <si>
    <t>22/05/2023, 1:09:44 pm</t>
  </si>
  <si>
    <t>22/05/2023, 1:09:45 pm</t>
  </si>
  <si>
    <t>22/05/2023, 1:09:46 pm</t>
  </si>
  <si>
    <t>22/05/2023, 1:09:47 pm</t>
  </si>
  <si>
    <t>22/05/2023, 1:09:48 pm</t>
  </si>
  <si>
    <t>22/05/2023, 1:09:49 pm</t>
  </si>
  <si>
    <t>22/05/2023, 1:09:50 pm</t>
  </si>
  <si>
    <t>22/05/2023, 1:16:18 pm</t>
  </si>
  <si>
    <t>22/05/2023, 1:16:19 pm</t>
  </si>
  <si>
    <t>22/05/2023, 1:16:20 pm</t>
  </si>
  <si>
    <t>22/05/2023, 1:16:21 pm</t>
  </si>
  <si>
    <t>22/05/2023, 1:16:32 pm</t>
  </si>
  <si>
    <t>22/05/2023, 1:16:33 pm</t>
  </si>
  <si>
    <t>22/05/2023, 1:16:34 pm</t>
  </si>
  <si>
    <t>22/05/2023, 1:16:35 pm</t>
  </si>
  <si>
    <t>22/05/2023, 1:16:36 pm</t>
  </si>
  <si>
    <t>22/05/2023, 1:16:37 pm</t>
  </si>
  <si>
    <t>22/05/2023, 1:17:59 pm</t>
  </si>
  <si>
    <t>22/05/2023, 1:18:08 pm</t>
  </si>
  <si>
    <t>22/05/2023, 1:18:09 pm</t>
  </si>
  <si>
    <t>22/05/2023, 1:18:10 pm</t>
  </si>
  <si>
    <t>22/05/2023, 1:18:11 pm</t>
  </si>
  <si>
    <t>22/05/2023, 1:18:12 pm</t>
  </si>
  <si>
    <t>22/05/2023, 1:18:13 pm</t>
  </si>
  <si>
    <t>22/05/2023, 1:18:14 pm</t>
  </si>
  <si>
    <t>22/05/2023, 1:18:15 pm</t>
  </si>
  <si>
    <t>22/05/2023, 1:18:16 pm</t>
  </si>
  <si>
    <t>22/05/2023, 1:18:17 pm</t>
  </si>
  <si>
    <t>22/05/2023, 1:25:21 pm</t>
  </si>
  <si>
    <t>22/05/2023, 1:25:22 pm</t>
  </si>
  <si>
    <t>22/05/2023, 1:25:23 pm</t>
  </si>
  <si>
    <t>22/05/2023, 1:25:24 pm</t>
  </si>
  <si>
    <t>22/05/2023, 1:25:25 pm</t>
  </si>
  <si>
    <t>22/05/2023, 1:25:26 pm</t>
  </si>
  <si>
    <t>22/05/2023, 1:25:27 pm</t>
  </si>
  <si>
    <t>22/05/2023, 1:25:39 pm</t>
  </si>
  <si>
    <t>22/05/2023, 1:25:40 pm</t>
  </si>
  <si>
    <t>22/05/2023, 1:25:41 pm</t>
  </si>
  <si>
    <t>22/05/2023, 1:25:42 pm</t>
  </si>
  <si>
    <t>22/05/2023, 1:27:34 pm</t>
  </si>
  <si>
    <t>22/05/2023, 1:27:35 pm</t>
  </si>
  <si>
    <t>22/05/2023, 1:27:36 pm</t>
  </si>
  <si>
    <t>22/05/2023, 1:27:37 pm</t>
  </si>
  <si>
    <t>22/05/2023, 1:27:38 pm</t>
  </si>
  <si>
    <t>22/05/2023, 1:50:34 pm</t>
  </si>
  <si>
    <t>22/05/2023, 1:50:35 pm</t>
  </si>
  <si>
    <t>22/05/2023, 1:50:36 pm</t>
  </si>
  <si>
    <t>22/05/2023, 1:50:38 pm</t>
  </si>
  <si>
    <t>22/05/2023, 1:50:39 pm</t>
  </si>
  <si>
    <t>22/05/2023, 1:50:40 pm</t>
  </si>
  <si>
    <t>22/05/2023, 1:50:41 pm</t>
  </si>
  <si>
    <t>22/05/2023, 1:50:42 pm</t>
  </si>
  <si>
    <t>22/05/2023, 1:50:43 pm</t>
  </si>
  <si>
    <t>22/05/2023, 1:50:44 pm</t>
  </si>
  <si>
    <t>22/05/2023, 1:50:45 pm</t>
  </si>
  <si>
    <t>22/05/2023, 1:50:46 pm</t>
  </si>
  <si>
    <t>22/05/2023, 1:50:47 pm</t>
  </si>
  <si>
    <t>22/05/2023, 1:50:48 pm</t>
  </si>
  <si>
    <t>22/05/2023, 1:50:49 pm</t>
  </si>
  <si>
    <t>22/05/2023, 1:50:50 pm</t>
  </si>
  <si>
    <t>22/05/2023, 1:50:51 pm</t>
  </si>
  <si>
    <t>22/05/2023, 1:50:52 pm</t>
  </si>
  <si>
    <t>22/05/2023, 1:50:53 pm</t>
  </si>
  <si>
    <t>22/05/2023, 1:50:54 pm</t>
  </si>
  <si>
    <t>22/05/2023, 1:50:55 pm</t>
  </si>
  <si>
    <t>22/05/2023, 1:50:56 pm</t>
  </si>
  <si>
    <t>22/05/2023, 1:50:57 pm</t>
  </si>
  <si>
    <t>22/05/2023, 1:50:58 pm</t>
  </si>
  <si>
    <t>22/05/2023, 1:50:59 pm</t>
  </si>
  <si>
    <t>22/05/2023, 1:52:56 pm</t>
  </si>
  <si>
    <t>22/05/2023, 1:52:57 pm</t>
  </si>
  <si>
    <t>22/05/2023, 1:52:58 pm</t>
  </si>
  <si>
    <t>22/05/2023, 1:52:59 pm</t>
  </si>
  <si>
    <t>22/05/2023, 1:53:00 pm</t>
  </si>
  <si>
    <t>22/05/2023, 1:53:01 pm</t>
  </si>
  <si>
    <t>22/05/2023, 1:53:02 pm</t>
  </si>
  <si>
    <t>22/05/2023, 1:53:03 pm</t>
  </si>
  <si>
    <t>22/05/2023, 1:53:04 pm</t>
  </si>
  <si>
    <t>22/05/2023, 1:53:05 pm</t>
  </si>
  <si>
    <t>22/05/2023, 1:53:06 pm</t>
  </si>
  <si>
    <t>22/05/2023, 1:53:07 pm</t>
  </si>
  <si>
    <t>22/05/2023, 1:53:08 pm</t>
  </si>
  <si>
    <t>22/05/2023, 1:53:09 pm</t>
  </si>
  <si>
    <t>22/05/2023, 1:53:10 pm</t>
  </si>
  <si>
    <t>22/05/2023, 1:53:11 pm</t>
  </si>
  <si>
    <t>22/05/2023, 1:53:12 pm</t>
  </si>
  <si>
    <t>22/05/2023, 1:53:13 pm</t>
  </si>
  <si>
    <t>22/05/2023, 1:53:14 pm</t>
  </si>
  <si>
    <t>22/05/2023, 1:53:15 pm</t>
  </si>
  <si>
    <t>22/05/2023, 1:53:16 pm</t>
  </si>
  <si>
    <t>22/05/2023, 1:53:17 pm</t>
  </si>
  <si>
    <t>22/05/2023, 1:53:18 pm</t>
  </si>
  <si>
    <t>22/05/2023, 1:53:19 pm</t>
  </si>
  <si>
    <t>22/05/2023, 1:53:20 pm</t>
  </si>
  <si>
    <t>22/05/2023, 1:53:21 pm</t>
  </si>
  <si>
    <t>22/05/2023, 1:53:22 pm</t>
  </si>
  <si>
    <t>22/05/2023, 1:53:23 pm</t>
  </si>
  <si>
    <t>22/05/2023, 1:53:24 pm</t>
  </si>
  <si>
    <t>22/05/2023, 1:53:25 pm</t>
  </si>
  <si>
    <t>22/05/2023, 1:53:26 pm</t>
  </si>
  <si>
    <t>22/05/2023, 1:53:27 pm</t>
  </si>
  <si>
    <t>22/05/2023, 1:53:28 pm</t>
  </si>
  <si>
    <t>22/05/2023, 1:53:29 pm</t>
  </si>
  <si>
    <t>22/05/2023, 1:53:30 pm</t>
  </si>
  <si>
    <t>22/05/2023, 1:53:31 pm</t>
  </si>
  <si>
    <t>22/05/2023, 1:53:32 pm</t>
  </si>
  <si>
    <t>22/05/2023, 1:53:33 pm</t>
  </si>
  <si>
    <t>22/05/2023, 1:53:34 pm</t>
  </si>
  <si>
    <t>22/05/2023, 1:53:35 pm</t>
  </si>
  <si>
    <t>22/05/2023, 1:53:36 pm</t>
  </si>
  <si>
    <t>22/05/2023, 1:53:37 pm</t>
  </si>
  <si>
    <t>22/05/2023, 1:53:38 pm</t>
  </si>
  <si>
    <t>22/05/2023, 1:53:39 pm</t>
  </si>
  <si>
    <t>22/05/2023, 1:53:40 pm</t>
  </si>
  <si>
    <t>22/05/2023, 1:53:41 pm</t>
  </si>
  <si>
    <t>22/05/2023, 1:53:42 pm</t>
  </si>
  <si>
    <t>22/05/2023, 1:53:43 pm</t>
  </si>
  <si>
    <t>22/05/2023, 1:53:44 pm</t>
  </si>
  <si>
    <t>22/05/2023, 1:53:45 pm</t>
  </si>
  <si>
    <t>22/05/2023, 1:53:46 pm</t>
  </si>
  <si>
    <t>22/05/2023, 1:53:47 pm</t>
  </si>
  <si>
    <t>22/05/2023, 1:53:48 pm</t>
  </si>
  <si>
    <t>22/05/2023, 1:53:49 pm</t>
  </si>
  <si>
    <t>22/05/2023, 1:53:50 pm</t>
  </si>
  <si>
    <t>22/05/2023, 1:53:51 pm</t>
  </si>
  <si>
    <t>22/05/2023, 1:53:53 pm</t>
  </si>
  <si>
    <t>22/05/2023, 1:53:54 pm</t>
  </si>
  <si>
    <t>22/05/2023, 1:53:55 pm</t>
  </si>
  <si>
    <t>22/05/2023, 1:53:56 pm</t>
  </si>
  <si>
    <t>22/05/2023, 1:53:57 pm</t>
  </si>
  <si>
    <t>22/05/2023, 1:53:58 pm</t>
  </si>
  <si>
    <t>22/05/2023, 1:53:59 pm</t>
  </si>
  <si>
    <t>22/05/2023, 1:54:00 pm</t>
  </si>
  <si>
    <t>22/05/2023, 1:54:01 pm</t>
  </si>
  <si>
    <t>22/05/2023, 1:54:02 pm</t>
  </si>
  <si>
    <t>22/05/2023, 1:54:03 pm</t>
  </si>
  <si>
    <t>22/05/2023, 1:54:04 pm</t>
  </si>
  <si>
    <t>22/05/2023, 1:54:05 pm</t>
  </si>
  <si>
    <t>22/05/2023, 1:54:06 pm</t>
  </si>
  <si>
    <t>22/05/2023, 1:54:07 pm</t>
  </si>
  <si>
    <t>22/05/2023, 1:54:08 pm</t>
  </si>
  <si>
    <t>22/05/2023, 1:54:09 pm</t>
  </si>
  <si>
    <t>22/05/2023, 1:54:10 pm</t>
  </si>
  <si>
    <t>22/05/2023, 1:54:11 pm</t>
  </si>
  <si>
    <t>22/05/2023, 1:54:12 pm</t>
  </si>
  <si>
    <t>22/05/2023, 1:54:13 pm</t>
  </si>
  <si>
    <t>22/05/2023, 1:54:14 pm</t>
  </si>
  <si>
    <t>22/05/2023, 1:54:15 pm</t>
  </si>
  <si>
    <t>22/05/2023, 1:54:16 pm</t>
  </si>
  <si>
    <t>22/05/2023, 1:54:17 pm</t>
  </si>
  <si>
    <t>22/05/2023, 1:54:18 pm</t>
  </si>
  <si>
    <t>22/05/2023, 1:54:19 pm</t>
  </si>
  <si>
    <t>22/05/2023, 1:54:20 pm</t>
  </si>
  <si>
    <t>22/05/2023, 1:54:21 pm</t>
  </si>
  <si>
    <t>22/05/2023, 1:54:22 pm</t>
  </si>
  <si>
    <t>22/05/2023, 1:54:23 pm</t>
  </si>
  <si>
    <t>22/05/2023, 1:54:24 pm</t>
  </si>
  <si>
    <t>22/05/2023, 1:54:25 pm</t>
  </si>
  <si>
    <t>22/05/2023, 1:54:26 pm</t>
  </si>
  <si>
    <t>22/05/2023, 1:54:27 pm</t>
  </si>
  <si>
    <t>22/05/2023, 1:54:28 pm</t>
  </si>
  <si>
    <t>22/05/2023, 1:54:29 pm</t>
  </si>
  <si>
    <t>22/05/2023, 1:54:30 pm</t>
  </si>
  <si>
    <t>22/05/2023, 1:54:31 pm</t>
  </si>
  <si>
    <t>22/05/2023, 1:54:32 pm</t>
  </si>
  <si>
    <t>22/05/2023, 1:54:33 pm</t>
  </si>
  <si>
    <t>22/05/2023, 1:54:34 pm</t>
  </si>
  <si>
    <t>22/05/2023, 1:54:35 pm</t>
  </si>
  <si>
    <t>22/05/2023, 1:54:36 pm</t>
  </si>
  <si>
    <t>22/05/2023, 1:54:37 pm</t>
  </si>
  <si>
    <t>22/05/2023, 1:54:38 pm</t>
  </si>
  <si>
    <t>22/05/2023, 1:54:39 pm</t>
  </si>
  <si>
    <t>22/05/2023, 1:54:40 pm</t>
  </si>
  <si>
    <t>22/05/2023, 1:54:41 pm</t>
  </si>
  <si>
    <t>22/05/2023, 1:54:42 pm</t>
  </si>
  <si>
    <t>22/05/2023, 1:54:43 pm</t>
  </si>
  <si>
    <t>22/05/2023, 1:54:44 pm</t>
  </si>
  <si>
    <t>22/05/2023, 1:54:45 pm</t>
  </si>
  <si>
    <t>22/05/2023, 1:54:46 pm</t>
  </si>
  <si>
    <t>22/05/2023, 1:54:47 pm</t>
  </si>
  <si>
    <t>22/05/2023, 1:54:48 pm</t>
  </si>
  <si>
    <t>22/05/2023, 1:54:49 pm</t>
  </si>
  <si>
    <t>22/05/2023, 1:54:50 pm</t>
  </si>
  <si>
    <t>22/05/2023, 1:54:51 pm</t>
  </si>
  <si>
    <t>22/05/2023, 1:54:52 pm</t>
  </si>
  <si>
    <t>22/05/2023, 1:54:53 pm</t>
  </si>
  <si>
    <t>22/05/2023, 1:54:54 pm</t>
  </si>
  <si>
    <t>22/05/2023, 1:54:55 pm</t>
  </si>
  <si>
    <t>22/05/2023, 1:54:56 pm</t>
  </si>
  <si>
    <t>22/05/2023, 1:54:57 pm</t>
  </si>
  <si>
    <t>22/05/2023, 1:54:58 pm</t>
  </si>
  <si>
    <t>22/05/2023, 1:54:59 pm</t>
  </si>
  <si>
    <t>22/05/2023, 1:55:00 pm</t>
  </si>
  <si>
    <t>22/05/2023, 1:55:01 pm</t>
  </si>
  <si>
    <t>22/05/2023, 1:55:02 pm</t>
  </si>
  <si>
    <t>22/05/2023, 1:55:03 pm</t>
  </si>
  <si>
    <t>22/05/2023, 1:55:04 pm</t>
  </si>
  <si>
    <t>22/05/2023, 1:55:05 pm</t>
  </si>
  <si>
    <t>22/05/2023, 1:55:06 pm</t>
  </si>
  <si>
    <t>22/05/2023, 1:55:07 pm</t>
  </si>
  <si>
    <t>22/05/2023, 1:55:08 pm</t>
  </si>
  <si>
    <t>22/05/2023, 1:55:09 pm</t>
  </si>
  <si>
    <t>22/05/2023, 1:55:10 pm</t>
  </si>
  <si>
    <t>22/05/2023, 1:55:11 pm</t>
  </si>
  <si>
    <t>22/05/2023, 1:55:12 pm</t>
  </si>
  <si>
    <t>22/05/2023, 1:55:13 pm</t>
  </si>
  <si>
    <t>22/05/2023, 1:55:14 pm</t>
  </si>
  <si>
    <t>22/05/2023, 1:55:15 pm</t>
  </si>
  <si>
    <t>22/05/2023, 1:55:16 pm</t>
  </si>
  <si>
    <t>22/05/2023, 1:55:17 pm</t>
  </si>
  <si>
    <t>22/05/2023, 1:55:18 pm</t>
  </si>
  <si>
    <t>22/05/2023, 1:55:19 pm</t>
  </si>
  <si>
    <t>22/05/2023, 1:55:20 pm</t>
  </si>
  <si>
    <t>22/05/2023, 1:55:21 pm</t>
  </si>
  <si>
    <t>22/05/2023, 1:55:22 pm</t>
  </si>
  <si>
    <t>22/05/2023, 1:55:23 pm</t>
  </si>
  <si>
    <t>22/05/2023, 1:55:24 pm</t>
  </si>
  <si>
    <t>22/05/2023, 1:55:25 pm</t>
  </si>
  <si>
    <t>22/05/2023, 1:55:26 pm</t>
  </si>
  <si>
    <t>22/05/2023, 1:55:27 pm</t>
  </si>
  <si>
    <t>22/05/2023, 1:55:28 pm</t>
  </si>
  <si>
    <t>22/05/2023, 1:55:29 pm</t>
  </si>
  <si>
    <t>22/05/2023, 1:55:30 pm</t>
  </si>
  <si>
    <t>22/05/2023, 1:55:31 pm</t>
  </si>
  <si>
    <t>22/05/2023, 1:55:32 pm</t>
  </si>
  <si>
    <t>22/05/2023, 1:55:33 pm</t>
  </si>
  <si>
    <t>22/05/2023, 1:55:34 pm</t>
  </si>
  <si>
    <t>22/05/2023, 1:55:35 pm</t>
  </si>
  <si>
    <t>22/05/2023, 1:55:36 pm</t>
  </si>
  <si>
    <t>22/05/2023, 1:55:37 pm</t>
  </si>
  <si>
    <t>22/05/2023, 1:55:38 pm</t>
  </si>
  <si>
    <t>22/05/2023, 1:55:39 pm</t>
  </si>
  <si>
    <t>22/05/2023, 1:55:40 pm</t>
  </si>
  <si>
    <t>22/05/2023, 1:55:41 pm</t>
  </si>
  <si>
    <t>22/05/2023, 1:55:42 pm</t>
  </si>
  <si>
    <t>22/05/2023, 1:55:43 pm</t>
  </si>
  <si>
    <t>22/05/2023, 1:55:44 pm</t>
  </si>
  <si>
    <t>22/05/2023, 1:55:45 pm</t>
  </si>
  <si>
    <t>22/05/2023, 1:55:46 pm</t>
  </si>
  <si>
    <t>22/05/2023, 1:55:47 pm</t>
  </si>
  <si>
    <t>22/05/2023, 1:55:48 pm</t>
  </si>
  <si>
    <t>22/05/2023, 1:55:49 pm</t>
  </si>
  <si>
    <t>22/05/2023, 1:55:50 pm</t>
  </si>
  <si>
    <t>22/05/2023, 1:55:51 pm</t>
  </si>
  <si>
    <t>22/05/2023, 1:55:52 pm</t>
  </si>
  <si>
    <t>22/05/2023, 1:55:53 pm</t>
  </si>
  <si>
    <t>22/05/2023, 1:55:54 pm</t>
  </si>
  <si>
    <t>22/05/2023, 1:55:55 pm</t>
  </si>
  <si>
    <t>22/05/2023, 1:55:56 pm</t>
  </si>
  <si>
    <t>22/05/2023, 1:55:57 pm</t>
  </si>
  <si>
    <t>22/05/2023, 1:55:58 pm</t>
  </si>
  <si>
    <t>22/05/2023, 1:55:59 pm</t>
  </si>
  <si>
    <t>22/05/2023, 1:56:00 pm</t>
  </si>
  <si>
    <t>22/05/2023, 1:56:01 pm</t>
  </si>
  <si>
    <t>22/05/2023, 1:56:02 pm</t>
  </si>
  <si>
    <t>22/05/2023, 1:56:03 pm</t>
  </si>
  <si>
    <t>22/05/2023, 1:56:04 pm</t>
  </si>
  <si>
    <t>22/05/2023, 1:56:06 pm</t>
  </si>
  <si>
    <t>22/05/2023, 1:56:07 pm</t>
  </si>
  <si>
    <t>22/05/2023, 1:56:08 pm</t>
  </si>
  <si>
    <t>22/05/2023, 1:56:09 pm</t>
  </si>
  <si>
    <t>22/05/2023, 1:56:10 pm</t>
  </si>
  <si>
    <t>22/05/2023, 1:56:11 pm</t>
  </si>
  <si>
    <t>22/05/2023, 1:56:12 pm</t>
  </si>
  <si>
    <t>22/05/2023, 1:56:13 pm</t>
  </si>
  <si>
    <t>22/05/2023, 1:56:14 pm</t>
  </si>
  <si>
    <t>22/05/2023, 1:56:15 pm</t>
  </si>
  <si>
    <t>22/05/2023, 1:56:16 pm</t>
  </si>
  <si>
    <t>22/05/2023, 1:56:17 pm</t>
  </si>
  <si>
    <t>22/05/2023, 1:56:18 pm</t>
  </si>
  <si>
    <t>22/05/2023, 1:56:19 pm</t>
  </si>
  <si>
    <t>22/05/2023, 1:56:20 pm</t>
  </si>
  <si>
    <t>22/05/2023, 1:56:21 pm</t>
  </si>
  <si>
    <t>22/05/2023, 1:56:22 pm</t>
  </si>
  <si>
    <t>22/05/2023, 1:56:23 pm</t>
  </si>
  <si>
    <t>22/05/2023, 1:56:24 pm</t>
  </si>
  <si>
    <t>22/05/2023, 1:56:25 pm</t>
  </si>
  <si>
    <t>22/05/2023, 1:56:26 pm</t>
  </si>
  <si>
    <t>22/05/2023, 1:56:27 pm</t>
  </si>
  <si>
    <t>22/05/2023, 1:56:28 pm</t>
  </si>
  <si>
    <t>22/05/2023, 1:56:29 pm</t>
  </si>
  <si>
    <t>22/05/2023, 1:56:30 pm</t>
  </si>
  <si>
    <t>22/05/2023, 1:56:31 pm</t>
  </si>
  <si>
    <t>22/05/2023, 1:56:32 pm</t>
  </si>
  <si>
    <t>22/05/2023, 1:56:33 pm</t>
  </si>
  <si>
    <t>22/05/2023, 1:56:34 pm</t>
  </si>
  <si>
    <t>22/05/2023, 1:56:35 pm</t>
  </si>
  <si>
    <t>22/05/2023, 1:56:36 pm</t>
  </si>
  <si>
    <t>22/05/2023, 1:56:37 pm</t>
  </si>
  <si>
    <t>22/05/2023, 1:56:38 pm</t>
  </si>
  <si>
    <t>22/05/2023, 1:56:39 pm</t>
  </si>
  <si>
    <t>22/05/2023, 1:56:40 pm</t>
  </si>
  <si>
    <t>22/05/2023, 1:56:41 pm</t>
  </si>
  <si>
    <t>22/05/2023, 1:56:42 pm</t>
  </si>
  <si>
    <t>22/05/2023, 1:56:43 pm</t>
  </si>
  <si>
    <t>22/05/2023, 1:56:44 pm</t>
  </si>
  <si>
    <t>22/05/2023, 1:56:45 pm</t>
  </si>
  <si>
    <t>22/05/2023, 1:56:46 pm</t>
  </si>
  <si>
    <t>22/05/2023, 1:56:47 pm</t>
  </si>
  <si>
    <t>22/05/2023, 1:56:48 pm</t>
  </si>
  <si>
    <t>22/05/2023, 1:56:49 pm</t>
  </si>
  <si>
    <t>22/05/2023, 1:56:50 pm</t>
  </si>
  <si>
    <t>22/05/2023, 1:56:51 pm</t>
  </si>
  <si>
    <t>22/05/2023, 1:56:52 pm</t>
  </si>
  <si>
    <t>22/05/2023, 1:56:53 pm</t>
  </si>
  <si>
    <t>22/05/2023, 1:56:54 pm</t>
  </si>
  <si>
    <t>22/05/2023, 1:56:55 pm</t>
  </si>
  <si>
    <t>22/05/2023, 1:56:56 pm</t>
  </si>
  <si>
    <t>22/05/2023, 1:56:57 pm</t>
  </si>
  <si>
    <t>22/05/2023, 1:56:58 pm</t>
  </si>
  <si>
    <t>22/05/2023, 1:56:59 pm</t>
  </si>
  <si>
    <t>22/05/2023, 1:57:00 pm</t>
  </si>
  <si>
    <t>22/05/2023, 1:57:01 pm</t>
  </si>
  <si>
    <t>22/05/2023, 1:57:02 pm</t>
  </si>
  <si>
    <t>22/05/2023, 1:57:03 pm</t>
  </si>
  <si>
    <t>22/05/2023, 1:57:04 pm</t>
  </si>
  <si>
    <t>22/05/2023, 1:57:05 pm</t>
  </si>
  <si>
    <t>22/05/2023, 1:57:06 pm</t>
  </si>
  <si>
    <t>22/05/2023, 1:57:07 pm</t>
  </si>
  <si>
    <t>22/05/2023, 1:57:08 pm</t>
  </si>
  <si>
    <t>22/05/2023, 1:57:09 pm</t>
  </si>
  <si>
    <t>22/05/2023, 1:57:10 pm</t>
  </si>
  <si>
    <t>22/05/2023, 1:57:11 pm</t>
  </si>
  <si>
    <t>22/05/2023, 1:57:12 pm</t>
  </si>
  <si>
    <t>22/05/2023, 1:57:13 pm</t>
  </si>
  <si>
    <t>22/05/2023, 1:57:14 pm</t>
  </si>
  <si>
    <t>22/05/2023, 1:57:15 pm</t>
  </si>
  <si>
    <t>22/05/2023, 1:57:16 pm</t>
  </si>
  <si>
    <t>22/05/2023, 1:57:17 pm</t>
  </si>
  <si>
    <t>22/05/2023, 1:57:18 pm</t>
  </si>
  <si>
    <t>22/05/2023, 1:57:19 pm</t>
  </si>
  <si>
    <t>22/05/2023, 1:57:20 pm</t>
  </si>
  <si>
    <t>22/05/2023, 1:57:21 pm</t>
  </si>
  <si>
    <t>22/05/2023, 1:57:22 pm</t>
  </si>
  <si>
    <t>22/05/2023, 1:57:23 pm</t>
  </si>
  <si>
    <t>22/05/2023, 1:57:24 pm</t>
  </si>
  <si>
    <t>22/05/2023, 1:57:25 pm</t>
  </si>
  <si>
    <t>22/05/2023, 1:57:26 pm</t>
  </si>
  <si>
    <t>22/05/2023, 1:57:27 pm</t>
  </si>
  <si>
    <t>22/05/2023, 1:57:28 pm</t>
  </si>
  <si>
    <t>22/05/2023, 1:57:29 pm</t>
  </si>
  <si>
    <t>22/05/2023, 1:57:30 pm</t>
  </si>
  <si>
    <t>22/05/2023, 1:57:31 pm</t>
  </si>
  <si>
    <t>22/05/2023, 1:57:32 pm</t>
  </si>
  <si>
    <t>22/05/2023, 1:57:33 pm</t>
  </si>
  <si>
    <t>22/05/2023, 1:57:34 pm</t>
  </si>
  <si>
    <t>22/05/2023, 1:57:35 pm</t>
  </si>
  <si>
    <t>22/05/2023, 1:57:36 pm</t>
  </si>
  <si>
    <t>22/05/2023, 1:57:37 pm</t>
  </si>
  <si>
    <t>22/05/2023, 1:57:38 pm</t>
  </si>
  <si>
    <t>22/05/2023, 1:57:39 pm</t>
  </si>
  <si>
    <t>22/05/2023, 1:57:40 pm</t>
  </si>
  <si>
    <t>22/05/2023, 1:57:41 pm</t>
  </si>
  <si>
    <t>22/05/2023, 1:57:42 pm</t>
  </si>
  <si>
    <t>22/05/2023, 1:57:43 pm</t>
  </si>
  <si>
    <t>22/05/2023, 1:57:44 pm</t>
  </si>
  <si>
    <t>22/05/2023, 1:57:45 pm</t>
  </si>
  <si>
    <t>22/05/2023, 1:57:46 pm</t>
  </si>
  <si>
    <t>22/05/2023, 1:57:47 pm</t>
  </si>
  <si>
    <t>22/05/2023, 1:57:48 pm</t>
  </si>
  <si>
    <t>22/05/2023, 1:57:49 pm</t>
  </si>
  <si>
    <t>22/05/2023, 1:57:50 pm</t>
  </si>
  <si>
    <t>22/05/2023, 1:57:51 pm</t>
  </si>
  <si>
    <t>22/05/2023, 1:57:52 pm</t>
  </si>
  <si>
    <t>22/05/2023, 1:57:53 pm</t>
  </si>
  <si>
    <t>22/05/2023, 1:57:54 pm</t>
  </si>
  <si>
    <t>22/05/2023, 1:57:55 pm</t>
  </si>
  <si>
    <t>22/05/2023, 1:57:56 pm</t>
  </si>
  <si>
    <t>22/05/2023, 1:57:57 pm</t>
  </si>
  <si>
    <t>22/05/2023, 1:57:59 pm</t>
  </si>
  <si>
    <t>22/05/2023, 1:58:00 pm</t>
  </si>
  <si>
    <t>22/05/2023, 1:58:01 pm</t>
  </si>
  <si>
    <t>22/05/2023, 1:58:02 pm</t>
  </si>
  <si>
    <t>22/05/2023, 1:58:03 pm</t>
  </si>
  <si>
    <t>22/05/2023, 1:58:04 pm</t>
  </si>
  <si>
    <t>22/05/2023, 1:58:05 pm</t>
  </si>
  <si>
    <t>22/05/2023, 1:58:06 pm</t>
  </si>
  <si>
    <t>22/05/2023, 1:58:07 pm</t>
  </si>
  <si>
    <t>22/05/2023, 1:58:08 pm</t>
  </si>
  <si>
    <t>22/05/2023, 1:58:09 pm</t>
  </si>
  <si>
    <t>22/05/2023, 1:58:10 pm</t>
  </si>
  <si>
    <t>22/05/2023, 1:58:11 pm</t>
  </si>
  <si>
    <t>22/05/2023, 1:58:12 pm</t>
  </si>
  <si>
    <t>22/05/2023, 1:58:13 pm</t>
  </si>
  <si>
    <t>22/05/2023, 1:58:14 pm</t>
  </si>
  <si>
    <t>22/05/2023, 1:58:15 pm</t>
  </si>
  <si>
    <t>22/05/2023, 1:58:16 pm</t>
  </si>
  <si>
    <t>22/05/2023, 1:58:17 pm</t>
  </si>
  <si>
    <t>22/05/2023, 1:58:18 pm</t>
  </si>
  <si>
    <t>22/05/2023, 1:58:19 pm</t>
  </si>
  <si>
    <t>22/05/2023, 1:58:20 pm</t>
  </si>
  <si>
    <t>22/05/2023, 1:58:21 pm</t>
  </si>
  <si>
    <t>22/05/2023, 1:58:22 pm</t>
  </si>
  <si>
    <t>22/05/2023, 1:58:23 pm</t>
  </si>
  <si>
    <t>22/05/2023, 1:58:24 pm</t>
  </si>
  <si>
    <t>22/05/2023, 1:58:25 pm</t>
  </si>
  <si>
    <t>22/05/2023, 1:58:26 pm</t>
  </si>
  <si>
    <t>22/05/2023, 1:58:27 pm</t>
  </si>
  <si>
    <t>22/05/2023, 1:58:28 pm</t>
  </si>
  <si>
    <t>22/05/2023, 1:58:29 pm</t>
  </si>
  <si>
    <t>22/05/2023, 1:58:30 pm</t>
  </si>
  <si>
    <t>22/05/2023, 1:58:31 pm</t>
  </si>
  <si>
    <t>22/05/2023, 1:58:32 pm</t>
  </si>
  <si>
    <t>22/05/2023, 1:58:33 pm</t>
  </si>
  <si>
    <t>22/05/2023, 1:58:34 pm</t>
  </si>
  <si>
    <t>22/05/2023, 1:58:35 pm</t>
  </si>
  <si>
    <t>22/05/2023, 1:58:36 pm</t>
  </si>
  <si>
    <t>22/05/2023, 1:58:37 pm</t>
  </si>
  <si>
    <t>22/05/2023, 1:58:38 pm</t>
  </si>
  <si>
    <t>22/05/2023, 1:58:39 pm</t>
  </si>
  <si>
    <t>22/05/2023, 1:58:40 pm</t>
  </si>
  <si>
    <t>22/05/2023, 1:58:41 pm</t>
  </si>
  <si>
    <t>22/05/2023, 1:58:42 pm</t>
  </si>
  <si>
    <t>22/05/2023, 1:58:43 pm</t>
  </si>
  <si>
    <t>22/05/2023, 1:58:44 pm</t>
  </si>
  <si>
    <t>22/05/2023, 1:58:45 pm</t>
  </si>
  <si>
    <t>22/05/2023, 1:58:46 pm</t>
  </si>
  <si>
    <t>22/05/2023, 1:58:47 pm</t>
  </si>
  <si>
    <t>22/05/2023, 1:58:48 pm</t>
  </si>
  <si>
    <t>22/05/2023, 1:58:49 pm</t>
  </si>
  <si>
    <t>22/05/2023, 1:58:50 pm</t>
  </si>
  <si>
    <t>22/05/2023, 1:58:51 pm</t>
  </si>
  <si>
    <t>22/05/2023, 1:58:52 pm</t>
  </si>
  <si>
    <t>22/05/2023, 1:58:53 pm</t>
  </si>
  <si>
    <t>22/05/2023, 1:58:54 pm</t>
  </si>
  <si>
    <t>22/05/2023, 1:58:55 pm</t>
  </si>
  <si>
    <t>22/05/2023, 1:58:56 pm</t>
  </si>
  <si>
    <t>22/05/2023, 1:58:57 pm</t>
  </si>
  <si>
    <t>22/05/2023, 1:58:58 pm</t>
  </si>
  <si>
    <t>22/05/2023, 1:58:59 pm</t>
  </si>
  <si>
    <t>22/05/2023, 1:59:00 pm</t>
  </si>
  <si>
    <t>22/05/2023, 1:59:01 pm</t>
  </si>
  <si>
    <t>22/05/2023, 1:59:02 pm</t>
  </si>
  <si>
    <t>22/05/2023, 1:59:03 pm</t>
  </si>
  <si>
    <t>22/05/2023, 1:59:04 pm</t>
  </si>
  <si>
    <t>22/05/2023, 1:59:05 pm</t>
  </si>
  <si>
    <t>22/05/2023, 1:59:06 pm</t>
  </si>
  <si>
    <t>22/05/2023, 1:59:07 pm</t>
  </si>
  <si>
    <t>22/05/2023, 1:59:08 pm</t>
  </si>
  <si>
    <t>22/05/2023, 1:59:09 pm</t>
  </si>
  <si>
    <t>22/05/2023, 1:59:10 pm</t>
  </si>
  <si>
    <t>22/05/2023, 1:59:11 pm</t>
  </si>
  <si>
    <t>22/05/2023, 1:59:12 pm</t>
  </si>
  <si>
    <t>22/05/2023, 1:59:13 pm</t>
  </si>
  <si>
    <t>22/05/2023, 1:59:14 pm</t>
  </si>
  <si>
    <t>22/05/2023, 1:59:15 pm</t>
  </si>
  <si>
    <t>22/05/2023, 1:59:16 pm</t>
  </si>
  <si>
    <t>22/05/2023, 1:59:17 pm</t>
  </si>
  <si>
    <t>22/05/2023, 1:59:18 pm</t>
  </si>
  <si>
    <t>22/05/2023, 1:59:19 pm</t>
  </si>
  <si>
    <t>22/05/2023, 1:59:20 pm</t>
  </si>
  <si>
    <t>22/05/2023, 1:59:21 pm</t>
  </si>
  <si>
    <t>22/05/2023, 1:59:22 pm</t>
  </si>
  <si>
    <t>22/05/2023, 1:59:23 pm</t>
  </si>
  <si>
    <t>22/05/2023, 1:59:24 pm</t>
  </si>
  <si>
    <t>22/05/2023, 1:59:25 pm</t>
  </si>
  <si>
    <t>22/05/2023, 1:59:26 pm</t>
  </si>
  <si>
    <t>22/05/2023, 1:59:27 pm</t>
  </si>
  <si>
    <t>22/05/2023, 1:59:28 pm</t>
  </si>
  <si>
    <t>22/05/2023, 1:59:29 pm</t>
  </si>
  <si>
    <t>22/05/2023, 1:59:30 pm</t>
  </si>
  <si>
    <t>22/05/2023, 1:59:31 pm</t>
  </si>
  <si>
    <t>22/05/2023, 1:59:32 pm</t>
  </si>
  <si>
    <t>22/05/2023, 1:59:33 pm</t>
  </si>
  <si>
    <t>22/05/2023, 1:59:34 pm</t>
  </si>
  <si>
    <t>22/05/2023, 1:59:35 pm</t>
  </si>
  <si>
    <t>22/05/2023, 1:59:36 pm</t>
  </si>
  <si>
    <t>22/05/2023, 1:59:37 pm</t>
  </si>
  <si>
    <t>22/05/2023, 1:59:38 pm</t>
  </si>
  <si>
    <t>22/05/2023, 1:59:39 pm</t>
  </si>
  <si>
    <t>22/05/2023, 1:59:40 pm</t>
  </si>
  <si>
    <t>22/05/2023, 1:59:41 pm</t>
  </si>
  <si>
    <t>22/05/2023, 1:59:42 pm</t>
  </si>
  <si>
    <t>22/05/2023, 1:59:43 pm</t>
  </si>
  <si>
    <t>22/05/2023, 1:59:44 pm</t>
  </si>
  <si>
    <t>22/05/2023, 1:59:45 pm</t>
  </si>
  <si>
    <t>22/05/2023, 1:59:46 pm</t>
  </si>
  <si>
    <t>22/05/2023, 1:59:47 pm</t>
  </si>
  <si>
    <t>22/05/2023, 1:59:48 pm</t>
  </si>
  <si>
    <t>22/05/2023, 1:59:49 pm</t>
  </si>
  <si>
    <t>22/05/2023, 1:59:50 pm</t>
  </si>
  <si>
    <t>22/05/2023, 1:59:51 pm</t>
  </si>
  <si>
    <t>22/05/2023, 1:59:52 pm</t>
  </si>
  <si>
    <t>22/05/2023, 1:59:53 pm</t>
  </si>
  <si>
    <t>22/05/2023, 1:59:54 pm</t>
  </si>
  <si>
    <t>22/05/2023, 1:59:55 pm</t>
  </si>
  <si>
    <t>22/05/2023, 1:59:56 pm</t>
  </si>
  <si>
    <t>22/05/2023, 1:59:57 pm</t>
  </si>
  <si>
    <t>22/05/2023, 1:59:58 pm</t>
  </si>
  <si>
    <t>22/05/2023, 1:59:59 pm</t>
  </si>
  <si>
    <t>22/05/2023, 2:00:00 pm</t>
  </si>
  <si>
    <t>22/05/2023, 2:00:01 pm</t>
  </si>
  <si>
    <t>22/05/2023, 2:00:02 pm</t>
  </si>
  <si>
    <t>22/05/2023, 2:00:03 pm</t>
  </si>
  <si>
    <t>22/05/2023, 2:00:04 pm</t>
  </si>
  <si>
    <t>22/05/2023, 2:00:06 pm</t>
  </si>
  <si>
    <t>22/05/2023, 2:00:07 pm</t>
  </si>
  <si>
    <t>22/05/2023, 2:00:08 pm</t>
  </si>
  <si>
    <t>22/05/2023, 2:00:09 pm</t>
  </si>
  <si>
    <t>22/05/2023, 2:00:10 pm</t>
  </si>
  <si>
    <t>22/05/2023, 2:00:11 pm</t>
  </si>
  <si>
    <t>22/05/2023, 2:00:12 pm</t>
  </si>
  <si>
    <t>22/05/2023, 2:00:13 pm</t>
  </si>
  <si>
    <t>22/05/2023, 2:00:14 pm</t>
  </si>
  <si>
    <t>22/05/2023, 2:00:15 pm</t>
  </si>
  <si>
    <t>22/05/2023, 2:00:16 pm</t>
  </si>
  <si>
    <t>22/05/2023, 2:00:17 pm</t>
  </si>
  <si>
    <t>22/05/2023, 2:00:18 pm</t>
  </si>
  <si>
    <t>22/05/2023, 2:00:19 pm</t>
  </si>
  <si>
    <t>22/05/2023, 2:00:20 pm</t>
  </si>
  <si>
    <t>22/05/2023, 2:00:21 pm</t>
  </si>
  <si>
    <t>22/05/2023, 2:00:22 pm</t>
  </si>
  <si>
    <t>22/05/2023, 2:00:23 pm</t>
  </si>
  <si>
    <t>22/05/2023, 2:00:24 pm</t>
  </si>
  <si>
    <t>22/05/2023, 2:00:25 pm</t>
  </si>
  <si>
    <t>22/05/2023, 2:00:26 pm</t>
  </si>
  <si>
    <t>22/05/2023, 2:00:27 pm</t>
  </si>
  <si>
    <t>22/05/2023, 2:00:28 pm</t>
  </si>
  <si>
    <t>22/05/2023, 2:00:29 pm</t>
  </si>
  <si>
    <t>22/05/2023, 2:00:30 pm</t>
  </si>
  <si>
    <t>22/05/2023, 2:00:31 pm</t>
  </si>
  <si>
    <t>22/05/2023, 2:00:32 pm</t>
  </si>
  <si>
    <t>22/05/2023, 2:00:33 pm</t>
  </si>
  <si>
    <t>22/05/2023, 2:00:34 pm</t>
  </si>
  <si>
    <t>22/05/2023, 2:00:35 pm</t>
  </si>
  <si>
    <t>22/05/2023, 2:00:36 pm</t>
  </si>
  <si>
    <t>22/05/2023, 2:00:37 pm</t>
  </si>
  <si>
    <t>22/05/2023, 2:00:38 pm</t>
  </si>
  <si>
    <t>22/05/2023, 2:00:39 pm</t>
  </si>
  <si>
    <t>22/05/2023, 2:00:40 pm</t>
  </si>
  <si>
    <t>22/05/2023, 2:00:41 pm</t>
  </si>
  <si>
    <t>22/05/2023, 2:00:42 pm</t>
  </si>
  <si>
    <t>22/05/2023, 2:00:43 pm</t>
  </si>
  <si>
    <t>22/05/2023, 2:00:44 pm</t>
  </si>
  <si>
    <t>22/05/2023, 2:00:45 pm</t>
  </si>
  <si>
    <t>22/05/2023, 2:00:46 pm</t>
  </si>
  <si>
    <t>22/05/2023, 2:00:47 pm</t>
  </si>
  <si>
    <t>22/05/2023, 2:00:48 pm</t>
  </si>
  <si>
    <t>22/05/2023, 2:00:49 pm</t>
  </si>
  <si>
    <t>22/05/2023, 2:00:50 pm</t>
  </si>
  <si>
    <t>22/05/2023, 2:00:51 pm</t>
  </si>
  <si>
    <t>22/05/2023, 2:00:52 pm</t>
  </si>
  <si>
    <t>22/05/2023, 2:00:53 pm</t>
  </si>
  <si>
    <t>22/05/2023, 2:00:54 pm</t>
  </si>
  <si>
    <t>22/05/2023, 2:00:55 pm</t>
  </si>
  <si>
    <t>22/05/2023, 2:00:56 pm</t>
  </si>
  <si>
    <t>22/05/2023, 2:00:57 pm</t>
  </si>
  <si>
    <t>22/05/2023, 2:00:58 pm</t>
  </si>
  <si>
    <t>22/05/2023, 2:00:59 pm</t>
  </si>
  <si>
    <t>22/05/2023, 2:01:00 pm</t>
  </si>
  <si>
    <t>22/05/2023, 2:01:01 pm</t>
  </si>
  <si>
    <t>22/05/2023, 2:01:02 pm</t>
  </si>
  <si>
    <t>22/05/2023, 2:01:03 pm</t>
  </si>
  <si>
    <t>22/05/2023, 2:01:04 pm</t>
  </si>
  <si>
    <t>22/05/2023, 2:01:05 pm</t>
  </si>
  <si>
    <t>22/05/2023, 2:01:06 pm</t>
  </si>
  <si>
    <t>22/05/2023, 2:01:07 pm</t>
  </si>
  <si>
    <t>22/05/2023, 2:01:08 pm</t>
  </si>
  <si>
    <t>22/05/2023, 2:01:09 pm</t>
  </si>
  <si>
    <t>22/05/2023, 2:01:10 pm</t>
  </si>
  <si>
    <t>22/05/2023, 2:01:11 pm</t>
  </si>
  <si>
    <t>22/05/2023, 2:01:12 pm</t>
  </si>
  <si>
    <t>22/05/2023, 2:01:13 pm</t>
  </si>
  <si>
    <t>22/05/2023, 2:01:14 pm</t>
  </si>
  <si>
    <t>22/05/2023, 2:01:15 pm</t>
  </si>
  <si>
    <t>22/05/2023, 2:01:16 pm</t>
  </si>
  <si>
    <t>22/05/2023, 2:01:17 pm</t>
  </si>
  <si>
    <t>22/05/2023, 2:01:18 pm</t>
  </si>
  <si>
    <t>22/05/2023, 2:01:19 pm</t>
  </si>
  <si>
    <t>22/05/2023, 2:01:20 pm</t>
  </si>
  <si>
    <t>22/05/2023, 2:01:21 pm</t>
  </si>
  <si>
    <t>22/05/2023, 2:01:22 pm</t>
  </si>
  <si>
    <t>22/05/2023, 2:01:23 pm</t>
  </si>
  <si>
    <t>22/05/2023, 2:01:24 pm</t>
  </si>
  <si>
    <t>22/05/2023, 2:01:25 pm</t>
  </si>
  <si>
    <t>22/05/2023, 2:01:26 pm</t>
  </si>
  <si>
    <t>22/05/2023, 2:01:27 pm</t>
  </si>
  <si>
    <t>22/05/2023, 2:01:28 pm</t>
  </si>
  <si>
    <t>22/05/2023, 2:01:29 pm</t>
  </si>
  <si>
    <t>22/05/2023, 2:01:30 pm</t>
  </si>
  <si>
    <t>22/05/2023, 2:01:31 pm</t>
  </si>
  <si>
    <t>22/05/2023, 2:01:32 pm</t>
  </si>
  <si>
    <t>22/05/2023, 2:01:33 pm</t>
  </si>
  <si>
    <t>22/05/2023, 2:01:34 pm</t>
  </si>
  <si>
    <t>22/05/2023, 2:01:35 pm</t>
  </si>
  <si>
    <t>22/05/2023, 2:01:36 pm</t>
  </si>
  <si>
    <t>22/05/2023, 2:01:37 pm</t>
  </si>
  <si>
    <t>22/05/2023, 2:01:38 pm</t>
  </si>
  <si>
    <t>22/05/2023, 2:01:39 pm</t>
  </si>
  <si>
    <t>22/05/2023, 2:01:40 pm</t>
  </si>
  <si>
    <t>22/05/2023, 2:01:41 pm</t>
  </si>
  <si>
    <t>22/05/2023, 2:01:42 pm</t>
  </si>
  <si>
    <t>22/05/2023, 2:01:43 pm</t>
  </si>
  <si>
    <t>22/05/2023, 2:01:44 pm</t>
  </si>
  <si>
    <t>22/05/2023, 2:01:45 pm</t>
  </si>
  <si>
    <t>22/05/2023, 2:01:46 pm</t>
  </si>
  <si>
    <t>22/05/2023, 2:01:47 pm</t>
  </si>
  <si>
    <t>22/05/2023, 2:01:48 pm</t>
  </si>
  <si>
    <t>22/05/2023, 2:01:49 pm</t>
  </si>
  <si>
    <t>22/05/2023, 2:01:50 pm</t>
  </si>
  <si>
    <t>22/05/2023, 2:01:51 pm</t>
  </si>
  <si>
    <t>22/05/2023, 2:01:52 pm</t>
  </si>
  <si>
    <t>22/05/2023, 2:01:53 pm</t>
  </si>
  <si>
    <t>22/05/2023, 2:01:54 pm</t>
  </si>
  <si>
    <t>22/05/2023, 2:01:55 pm</t>
  </si>
  <si>
    <t>22/05/2023, 2:01:56 pm</t>
  </si>
  <si>
    <t>22/05/2023, 2:01:57 pm</t>
  </si>
  <si>
    <t>22/05/2023, 2:01:58 pm</t>
  </si>
  <si>
    <t>22/05/2023, 2:01:59 pm</t>
  </si>
  <si>
    <t>22/05/2023, 2:02:00 pm</t>
  </si>
  <si>
    <t>22/05/2023, 2:02:01 pm</t>
  </si>
  <si>
    <t>22/05/2023, 2:02:02 pm</t>
  </si>
  <si>
    <t>22/05/2023, 2:02:03 pm</t>
  </si>
  <si>
    <t>22/05/2023, 2:02:04 pm</t>
  </si>
  <si>
    <t>22/05/2023, 2:02:05 pm</t>
  </si>
  <si>
    <t>22/05/2023, 2:02:06 pm</t>
  </si>
  <si>
    <t>22/05/2023, 2:02:07 pm</t>
  </si>
  <si>
    <t>22/05/2023, 2:02:08 pm</t>
  </si>
  <si>
    <t>22/05/2023, 2:02:09 pm</t>
  </si>
  <si>
    <t>22/05/2023, 2:02:10 pm</t>
  </si>
  <si>
    <t>22/05/2023, 2:02:11 pm</t>
  </si>
  <si>
    <t>22/05/2023, 2:02:12 pm</t>
  </si>
  <si>
    <t>22/05/2023, 2:02:13 pm</t>
  </si>
  <si>
    <t>22/05/2023, 2:02:14 pm</t>
  </si>
  <si>
    <t>22/05/2023, 2:02:15 pm</t>
  </si>
  <si>
    <t>22/05/2023, 2:02:17 pm</t>
  </si>
  <si>
    <t>22/05/2023, 2:02:18 pm</t>
  </si>
  <si>
    <t>22/05/2023, 2:02:19 pm</t>
  </si>
  <si>
    <t>22/05/2023, 2:02:20 pm</t>
  </si>
  <si>
    <t>22/05/2023, 2:02:21 pm</t>
  </si>
  <si>
    <t>22/05/2023, 2:02:22 pm</t>
  </si>
  <si>
    <t>22/05/2023, 2:02:23 pm</t>
  </si>
  <si>
    <t>22/05/2023, 2:02:24 pm</t>
  </si>
  <si>
    <t>22/05/2023, 2:02:25 pm</t>
  </si>
  <si>
    <t>22/05/2023, 2:02:26 pm</t>
  </si>
  <si>
    <t>22/05/2023, 2:02:27 pm</t>
  </si>
  <si>
    <t>22/05/2023, 2:02:28 pm</t>
  </si>
  <si>
    <t>22/05/2023, 2:02:29 pm</t>
  </si>
  <si>
    <t>22/05/2023, 2:02:30 pm</t>
  </si>
  <si>
    <t>22/05/2023, 2:02:31 pm</t>
  </si>
  <si>
    <t>22/05/2023, 2:02:32 pm</t>
  </si>
  <si>
    <t>22/05/2023, 2:02:33 pm</t>
  </si>
  <si>
    <t>22/05/2023, 2:02:34 pm</t>
  </si>
  <si>
    <t>22/05/2023, 2:02:35 pm</t>
  </si>
  <si>
    <t>22/05/2023, 2:02:36 pm</t>
  </si>
  <si>
    <t>22/05/2023, 2:02:37 pm</t>
  </si>
  <si>
    <t>22/05/2023, 2:02:38 pm</t>
  </si>
  <si>
    <t>22/05/2023, 2:02:39 pm</t>
  </si>
  <si>
    <t>22/05/2023, 2:02:40 pm</t>
  </si>
  <si>
    <t>22/05/2023, 2:02:41 pm</t>
  </si>
  <si>
    <t>22/05/2023, 2:02:42 pm</t>
  </si>
  <si>
    <t>22/05/2023, 2:02:43 pm</t>
  </si>
  <si>
    <t>22/05/2023, 2:02:44 pm</t>
  </si>
  <si>
    <t>22/05/2023, 2:02:45 pm</t>
  </si>
  <si>
    <t>22/05/2023, 2:02:46 pm</t>
  </si>
  <si>
    <t>22/05/2023, 2:02:47 pm</t>
  </si>
  <si>
    <t>22/05/2023, 2:02:48 pm</t>
  </si>
  <si>
    <t>22/05/2023, 2:02:49 pm</t>
  </si>
  <si>
    <t>22/05/2023, 2:02:50 pm</t>
  </si>
  <si>
    <t>22/05/2023, 2:02:51 pm</t>
  </si>
  <si>
    <t>22/05/2023, 2:02:52 pm</t>
  </si>
  <si>
    <t>22/05/2023, 2:02:53 pm</t>
  </si>
  <si>
    <t>22/05/2023, 2:02:54 pm</t>
  </si>
  <si>
    <t>22/05/2023, 2:02:55 pm</t>
  </si>
  <si>
    <t>22/05/2023, 2:02:56 pm</t>
  </si>
  <si>
    <t>22/05/2023, 2:02:57 pm</t>
  </si>
  <si>
    <t>22/05/2023, 2:02:58 pm</t>
  </si>
  <si>
    <t>22/05/2023, 2:02:59 pm</t>
  </si>
  <si>
    <t>22/05/2023, 2:03:00 pm</t>
  </si>
  <si>
    <t>22/05/2023, 2:03:01 pm</t>
  </si>
  <si>
    <t>22/05/2023, 2:03:02 pm</t>
  </si>
  <si>
    <t>22/05/2023, 2:03:03 pm</t>
  </si>
  <si>
    <t>22/05/2023, 2:03:04 pm</t>
  </si>
  <si>
    <t>22/05/2023, 2:03:05 pm</t>
  </si>
  <si>
    <t>22/05/2023, 2:03:06 pm</t>
  </si>
  <si>
    <t>22/05/2023, 2:03:07 pm</t>
  </si>
  <si>
    <t>22/05/2023, 2:03:08 pm</t>
  </si>
  <si>
    <t>22/05/2023, 2:03:09 pm</t>
  </si>
  <si>
    <t>22/05/2023, 2:03:10 pm</t>
  </si>
  <si>
    <t>22/05/2023, 2:03:11 pm</t>
  </si>
  <si>
    <t>22/05/2023, 2:03:12 pm</t>
  </si>
  <si>
    <t>22/05/2023, 2:03:13 pm</t>
  </si>
  <si>
    <t>22/05/2023, 2:03:14 pm</t>
  </si>
  <si>
    <t>22/05/2023, 2:03:15 pm</t>
  </si>
  <si>
    <t>22/05/2023, 2:03:16 pm</t>
  </si>
  <si>
    <t>22/05/2023, 2:03:17 pm</t>
  </si>
  <si>
    <t>22/05/2023, 2:03:18 pm</t>
  </si>
  <si>
    <t>22/05/2023, 2:03:19 pm</t>
  </si>
  <si>
    <t>22/05/2023, 2:03:20 pm</t>
  </si>
  <si>
    <t>22/05/2023, 2:03:21 pm</t>
  </si>
  <si>
    <t>22/05/2023, 2:03:22 pm</t>
  </si>
  <si>
    <t>22/05/2023, 2:03:23 pm</t>
  </si>
  <si>
    <t>22/05/2023, 2:03:24 pm</t>
  </si>
  <si>
    <t>22/05/2023, 2:03:25 pm</t>
  </si>
  <si>
    <t>22/05/2023, 2:03:26 pm</t>
  </si>
  <si>
    <t>22/05/2023, 2:03:27 pm</t>
  </si>
  <si>
    <t>22/05/2023, 2:03:28 pm</t>
  </si>
  <si>
    <t>22/05/2023, 2:03:29 pm</t>
  </si>
  <si>
    <t>22/05/2023, 2:03:30 pm</t>
  </si>
  <si>
    <t>22/05/2023, 2:03:31 pm</t>
  </si>
  <si>
    <t>22/05/2023, 2:03:32 pm</t>
  </si>
  <si>
    <t>22/05/2023, 2:03:33 pm</t>
  </si>
  <si>
    <t>22/05/2023, 2:03:34 pm</t>
  </si>
  <si>
    <t>22/05/2023, 2:03:35 pm</t>
  </si>
  <si>
    <t>22/05/2023, 2:03:36 pm</t>
  </si>
  <si>
    <t>22/05/2023, 2:03:37 pm</t>
  </si>
  <si>
    <t>22/05/2023, 2:03:38 pm</t>
  </si>
  <si>
    <t>22/05/2023, 2:03:39 pm</t>
  </si>
  <si>
    <t>22/05/2023, 2:03:40 pm</t>
  </si>
  <si>
    <t>22/05/2023, 2:03:41 pm</t>
  </si>
  <si>
    <t>22/05/2023, 2:03:42 pm</t>
  </si>
  <si>
    <t>22/05/2023, 2:03:43 pm</t>
  </si>
  <si>
    <t>22/05/2023, 2:03:44 pm</t>
  </si>
  <si>
    <t>22/05/2023, 2:03:45 pm</t>
  </si>
  <si>
    <t>22/05/2023, 2:03:46 pm</t>
  </si>
  <si>
    <t>22/05/2023, 2:03:47 pm</t>
  </si>
  <si>
    <t>22/05/2023, 2:03:48 pm</t>
  </si>
  <si>
    <t>22/05/2023, 2:03:49 pm</t>
  </si>
  <si>
    <t>22/05/2023, 2:03:50 pm</t>
  </si>
  <si>
    <t>22/05/2023, 2:03:51 pm</t>
  </si>
  <si>
    <t>22/05/2023, 2:03:52 pm</t>
  </si>
  <si>
    <t>22/05/2023, 2:03:53 pm</t>
  </si>
  <si>
    <t>22/05/2023, 2:03:54 pm</t>
  </si>
  <si>
    <t>22/05/2023, 2:03:55 pm</t>
  </si>
  <si>
    <t>22/05/2023, 2:03:56 pm</t>
  </si>
  <si>
    <t>22/05/2023, 2:03:57 pm</t>
  </si>
  <si>
    <t>22/05/2023, 2:03:58 pm</t>
  </si>
  <si>
    <t>22/05/2023, 2:03:59 pm</t>
  </si>
  <si>
    <t>22/05/2023, 2:04:00 pm</t>
  </si>
  <si>
    <t>22/05/2023, 2:04:01 pm</t>
  </si>
  <si>
    <t>22/05/2023, 2:04:02 pm</t>
  </si>
  <si>
    <t>22/05/2023, 2:04:03 pm</t>
  </si>
  <si>
    <t>22/05/2023, 2:04:04 pm</t>
  </si>
  <si>
    <t>22/05/2023, 2:04:05 pm</t>
  </si>
  <si>
    <t>22/05/2023, 2:04:06 pm</t>
  </si>
  <si>
    <t>22/05/2023, 2:04:07 pm</t>
  </si>
  <si>
    <t>22/05/2023, 2:04:08 pm</t>
  </si>
  <si>
    <t>22/05/2023, 2:04:09 pm</t>
  </si>
  <si>
    <t>22/05/2023, 2:04:10 pm</t>
  </si>
  <si>
    <t>22/05/2023, 2:04:11 pm</t>
  </si>
  <si>
    <t>22/05/2023, 2:04:12 pm</t>
  </si>
  <si>
    <t>22/05/2023, 2:04:13 pm</t>
  </si>
  <si>
    <t>22/05/2023, 2:04:14 pm</t>
  </si>
  <si>
    <t>22/05/2023, 2:04:15 pm</t>
  </si>
  <si>
    <t>22/05/2023, 2:04:16 pm</t>
  </si>
  <si>
    <t>22/05/2023, 2:04:17 pm</t>
  </si>
  <si>
    <t>22/05/2023, 2:04:19 pm</t>
  </si>
  <si>
    <t>22/05/2023, 2:04:20 pm</t>
  </si>
  <si>
    <t>22/05/2023, 2:04:21 pm</t>
  </si>
  <si>
    <t>22/05/2023, 2:04:22 pm</t>
  </si>
  <si>
    <t>22/05/2023, 2:04:23 pm</t>
  </si>
  <si>
    <t>22/05/2023, 2:04:24 pm</t>
  </si>
  <si>
    <t>22/05/2023, 2:04:25 pm</t>
  </si>
  <si>
    <t>22/05/2023, 2:04:26 pm</t>
  </si>
  <si>
    <t>22/05/2023, 2:04:27 pm</t>
  </si>
  <si>
    <t>22/05/2023, 2:04:28 pm</t>
  </si>
  <si>
    <t>22/05/2023, 2:04:29 pm</t>
  </si>
  <si>
    <t>22/05/2023, 2:04:30 pm</t>
  </si>
  <si>
    <t>22/05/2023, 2:04:31 pm</t>
  </si>
  <si>
    <t>22/05/2023, 2:04:32 pm</t>
  </si>
  <si>
    <t>22/05/2023, 2:04:33 pm</t>
  </si>
  <si>
    <t>22/05/2023, 2:04:34 pm</t>
  </si>
  <si>
    <t>22/05/2023, 2:04:35 pm</t>
  </si>
  <si>
    <t>22/05/2023, 2:04:36 pm</t>
  </si>
  <si>
    <t>22/05/2023, 2:04:37 pm</t>
  </si>
  <si>
    <t>22/05/2023, 2:04:38 pm</t>
  </si>
  <si>
    <t>22/05/2023, 2:04:39 pm</t>
  </si>
  <si>
    <t>22/05/2023, 2:04:40 pm</t>
  </si>
  <si>
    <t>22/05/2023, 2:04:41 pm</t>
  </si>
  <si>
    <t>22/05/2023, 2:04:42 pm</t>
  </si>
  <si>
    <t>22/05/2023, 2:04:43 pm</t>
  </si>
  <si>
    <t>22/05/2023, 2:04:44 pm</t>
  </si>
  <si>
    <t>22/05/2023, 2:04:45 pm</t>
  </si>
  <si>
    <t>22/05/2023, 2:04:46 pm</t>
  </si>
  <si>
    <t>22/05/2023, 2:04:47 pm</t>
  </si>
  <si>
    <t>22/05/2023, 2:04:48 pm</t>
  </si>
  <si>
    <t>22/05/2023, 2:04:49 pm</t>
  </si>
  <si>
    <t>22/05/2023, 2:04:50 pm</t>
  </si>
  <si>
    <t>22/05/2023, 2:04:51 pm</t>
  </si>
  <si>
    <t>22/05/2023, 2:04:52 pm</t>
  </si>
  <si>
    <t>22/05/2023, 2:04:53 pm</t>
  </si>
  <si>
    <t>22/05/2023, 2:04:54 pm</t>
  </si>
  <si>
    <t>22/05/2023, 2:04:55 pm</t>
  </si>
  <si>
    <t>22/05/2023, 2:04:56 pm</t>
  </si>
  <si>
    <t>22/05/2023, 2:04:57 pm</t>
  </si>
  <si>
    <t>22/05/2023, 2:04:58 pm</t>
  </si>
  <si>
    <t>22/05/2023, 2:04:59 pm</t>
  </si>
  <si>
    <t>22/05/2023, 2:05:00 pm</t>
  </si>
  <si>
    <t>22/05/2023, 2:05:01 pm</t>
  </si>
  <si>
    <t>22/05/2023, 2:05:02 pm</t>
  </si>
  <si>
    <t>22/05/2023, 2:05:03 pm</t>
  </si>
  <si>
    <t>22/05/2023, 2:05:04 pm</t>
  </si>
  <si>
    <t>22/05/2023, 2:05:05 pm</t>
  </si>
  <si>
    <t>22/05/2023, 2:05:06 pm</t>
  </si>
  <si>
    <t>22/05/2023, 2:05:07 pm</t>
  </si>
  <si>
    <t>22/05/2023, 2:05:08 pm</t>
  </si>
  <si>
    <t>22/05/2023, 2:05:09 pm</t>
  </si>
  <si>
    <t>22/05/2023, 2:05:10 pm</t>
  </si>
  <si>
    <t>22/05/2023, 2:05:11 pm</t>
  </si>
  <si>
    <t>22/05/2023, 2:05:12 pm</t>
  </si>
  <si>
    <t>22/05/2023, 2:05:13 pm</t>
  </si>
  <si>
    <t>22/05/2023, 2:05:14 pm</t>
  </si>
  <si>
    <t>22/05/2023, 2:05:15 pm</t>
  </si>
  <si>
    <t>22/05/2023, 2:05:16 pm</t>
  </si>
  <si>
    <t>22/05/2023, 2:05:17 pm</t>
  </si>
  <si>
    <t>22/05/2023, 2:05:18 pm</t>
  </si>
  <si>
    <t>22/05/2023, 2:05:19 pm</t>
  </si>
  <si>
    <t>22/05/2023, 2:05:20 pm</t>
  </si>
  <si>
    <t>22/05/2023, 2:05:21 pm</t>
  </si>
  <si>
    <t>22/05/2023, 2:05:22 pm</t>
  </si>
  <si>
    <t>22/05/2023, 2:05:23 pm</t>
  </si>
  <si>
    <t>22/05/2023, 2:05:24 pm</t>
  </si>
  <si>
    <t>22/05/2023, 2:05:25 pm</t>
  </si>
  <si>
    <t>22/05/2023, 2:05:26 pm</t>
  </si>
  <si>
    <t>22/05/2023, 2:05:27 pm</t>
  </si>
  <si>
    <t>22/05/2023, 2:05:28 pm</t>
  </si>
  <si>
    <t>22/05/2023, 2:05:29 pm</t>
  </si>
  <si>
    <t>22/05/2023, 2:05:30 pm</t>
  </si>
  <si>
    <t>22/05/2023, 2:05:31 pm</t>
  </si>
  <si>
    <t>22/05/2023, 2:05:32 pm</t>
  </si>
  <si>
    <t>22/05/2023, 2:05:33 pm</t>
  </si>
  <si>
    <t>22/05/2023, 2:05:34 pm</t>
  </si>
  <si>
    <t>22/05/2023, 2:05:35 pm</t>
  </si>
  <si>
    <t>22/05/2023, 2:05:36 pm</t>
  </si>
  <si>
    <t>22/05/2023, 2:05:37 pm</t>
  </si>
  <si>
    <t>22/05/2023, 2:05:38 pm</t>
  </si>
  <si>
    <t>22/05/2023, 2:05:39 pm</t>
  </si>
  <si>
    <t>22/05/2023, 2:05:40 pm</t>
  </si>
  <si>
    <t>22/05/2023, 2:05:41 pm</t>
  </si>
  <si>
    <t>22/05/2023, 2:05:42 pm</t>
  </si>
  <si>
    <t>22/05/2023, 2:05:43 pm</t>
  </si>
  <si>
    <t>22/05/2023, 2:05:44 pm</t>
  </si>
  <si>
    <t>22/05/2023, 2:05:45 pm</t>
  </si>
  <si>
    <t>22/05/2023, 2:05:46 pm</t>
  </si>
  <si>
    <t>22/05/2023, 2:05:47 pm</t>
  </si>
  <si>
    <t>22/05/2023, 2:05:48 pm</t>
  </si>
  <si>
    <t>22/05/2023, 2:05:49 pm</t>
  </si>
  <si>
    <t>22/05/2023, 2:05:50 pm</t>
  </si>
  <si>
    <t>22/05/2023, 2:05:51 pm</t>
  </si>
  <si>
    <t>22/05/2023, 2:05:52 pm</t>
  </si>
  <si>
    <t>22/05/2023, 2:05:53 pm</t>
  </si>
  <si>
    <t>22/05/2023, 2:05:54 pm</t>
  </si>
  <si>
    <t>22/05/2023, 2:05:55 pm</t>
  </si>
  <si>
    <t>22/05/2023, 2:05:56 pm</t>
  </si>
  <si>
    <t>22/05/2023, 2:05:57 pm</t>
  </si>
  <si>
    <t>22/05/2023, 2:05:58 pm</t>
  </si>
  <si>
    <t>22/05/2023, 2:05:59 pm</t>
  </si>
  <si>
    <t>22/05/2023, 2:06:00 pm</t>
  </si>
  <si>
    <t>22/05/2023, 2:06:01 pm</t>
  </si>
  <si>
    <t>22/05/2023, 2:06:02 pm</t>
  </si>
  <si>
    <t>22/05/2023, 2:06:03 pm</t>
  </si>
  <si>
    <t>22/05/2023, 2:06:04 pm</t>
  </si>
  <si>
    <t>22/05/2023, 2:06:05 pm</t>
  </si>
  <si>
    <t>22/05/2023, 2:06:06 pm</t>
  </si>
  <si>
    <t>22/05/2023, 2:06:07 pm</t>
  </si>
  <si>
    <t>22/05/2023, 2:06:08 pm</t>
  </si>
  <si>
    <t>22/05/2023, 2:06:09 pm</t>
  </si>
  <si>
    <t>22/05/2023, 2:06:10 pm</t>
  </si>
  <si>
    <t>22/05/2023, 2:06:11 pm</t>
  </si>
  <si>
    <t>22/05/2023, 2:06:12 pm</t>
  </si>
  <si>
    <t>22/05/2023, 2:06:13 pm</t>
  </si>
  <si>
    <t>22/05/2023, 2:06:14 pm</t>
  </si>
  <si>
    <t>22/05/2023, 2:06:15 pm</t>
  </si>
  <si>
    <t>22/05/2023, 2:06:16 pm</t>
  </si>
  <si>
    <t>22/05/2023, 2:06:17 pm</t>
  </si>
  <si>
    <t>22/05/2023, 2:06:18 pm</t>
  </si>
  <si>
    <t>22/05/2023, 2:06:19 pm</t>
  </si>
  <si>
    <t>22/05/2023, 2:06:20 pm</t>
  </si>
  <si>
    <t>22/05/2023, 2:06:21 pm</t>
  </si>
  <si>
    <t>22/05/2023, 2:06:22 pm</t>
  </si>
  <si>
    <t>22/05/2023, 2:06:23 pm</t>
  </si>
  <si>
    <t>22/05/2023, 2:06:24 pm</t>
  </si>
  <si>
    <t>22/05/2023, 2:06:25 pm</t>
  </si>
  <si>
    <t>22/05/2023, 2:06:26 pm</t>
  </si>
  <si>
    <t>22/05/2023, 2:06:28 pm</t>
  </si>
  <si>
    <t>22/05/2023, 2:06:29 pm</t>
  </si>
  <si>
    <t>22/05/2023, 2:06:30 pm</t>
  </si>
  <si>
    <t>22/05/2023, 2:06:31 pm</t>
  </si>
  <si>
    <t>22/05/2023, 2:06:32 pm</t>
  </si>
  <si>
    <t>22/05/2023, 2:06:33 pm</t>
  </si>
  <si>
    <t>22/05/2023, 2:06:34 pm</t>
  </si>
  <si>
    <t>22/05/2023, 2:06:35 pm</t>
  </si>
  <si>
    <t>22/05/2023, 2:06:36 pm</t>
  </si>
  <si>
    <t>22/05/2023, 2:06:37 pm</t>
  </si>
  <si>
    <t>22/05/2023, 2:06:38 pm</t>
  </si>
  <si>
    <t>22/05/2023, 2:06:39 pm</t>
  </si>
  <si>
    <t>22/05/2023, 2:06:40 pm</t>
  </si>
  <si>
    <t>22/05/2023, 2:06:41 pm</t>
  </si>
  <si>
    <t>22/05/2023, 2:06:42 pm</t>
  </si>
  <si>
    <t>22/05/2023, 2:06:43 pm</t>
  </si>
  <si>
    <t>22/05/2023, 2:06:44 pm</t>
  </si>
  <si>
    <t>22/05/2023, 2:06:45 pm</t>
  </si>
  <si>
    <t>22/05/2023, 2:06:46 pm</t>
  </si>
  <si>
    <t>22/05/2023, 2:06:47 pm</t>
  </si>
  <si>
    <t>22/05/2023, 2:06:48 pm</t>
  </si>
  <si>
    <t>22/05/2023, 2:06:49 pm</t>
  </si>
  <si>
    <t>22/05/2023, 2:06:50 pm</t>
  </si>
  <si>
    <t>22/05/2023, 2:06:51 pm</t>
  </si>
  <si>
    <t>22/05/2023, 2:06:52 pm</t>
  </si>
  <si>
    <t>22/05/2023, 2:06:53 pm</t>
  </si>
  <si>
    <t>22/05/2023, 2:06:54 pm</t>
  </si>
  <si>
    <t>22/05/2023, 2:06:55 pm</t>
  </si>
  <si>
    <t>22/05/2023, 2:06:56 pm</t>
  </si>
  <si>
    <t>22/05/2023, 2:06:57 pm</t>
  </si>
  <si>
    <t>22/05/2023, 2:06:58 pm</t>
  </si>
  <si>
    <t>22/05/2023, 2:06:59 pm</t>
  </si>
  <si>
    <t>22/05/2023, 2:07:00 pm</t>
  </si>
  <si>
    <t>22/05/2023, 2:07:01 pm</t>
  </si>
  <si>
    <t>22/05/2023, 2:07:02 pm</t>
  </si>
  <si>
    <t>22/05/2023, 2:07:03 pm</t>
  </si>
  <si>
    <t>22/05/2023, 2:07:04 pm</t>
  </si>
  <si>
    <t>22/05/2023, 2:07:05 pm</t>
  </si>
  <si>
    <t>22/05/2023, 2:07:06 pm</t>
  </si>
  <si>
    <t>22/05/2023, 2:07:11 pm</t>
  </si>
  <si>
    <t>22/05/2023, 2:09:53 pm</t>
  </si>
  <si>
    <t>22/05/2023, 2:10:12 pm</t>
  </si>
  <si>
    <t>22/05/2023, 2:13:18 pm</t>
  </si>
  <si>
    <t>22/05/2023, 2:16:50 pm</t>
  </si>
  <si>
    <t>22/05/2023, 2:16:51 pm</t>
  </si>
  <si>
    <t>22/05/2023, 2:16:52 pm</t>
  </si>
  <si>
    <t>22/05/2023, 2:16:53 pm</t>
  </si>
  <si>
    <t>22/05/2023, 2:16:54 pm</t>
  </si>
  <si>
    <t>22/05/2023, 2:16:55 pm</t>
  </si>
  <si>
    <t>22/05/2023, 2:16:56 pm</t>
  </si>
  <si>
    <t>22/05/2023, 2:16:57 pm</t>
  </si>
  <si>
    <t>22/05/2023, 2:16:58 pm</t>
  </si>
  <si>
    <t>22/05/2023, 2:16:59 pm</t>
  </si>
  <si>
    <t>22/05/2023, 2:17:00 pm</t>
  </si>
  <si>
    <t>22/05/2023, 2:17:01 pm</t>
  </si>
  <si>
    <t>22/05/2023, 2:17:02 pm</t>
  </si>
  <si>
    <t>22/05/2023, 2:17:03 pm</t>
  </si>
  <si>
    <t>22/05/2023, 2:17:04 pm</t>
  </si>
  <si>
    <t>22/05/2023, 2:17:06 pm</t>
  </si>
  <si>
    <t>22/05/2023, 2:17:07 pm</t>
  </si>
  <si>
    <t>22/05/2023, 2:17:08 pm</t>
  </si>
  <si>
    <t>22/05/2023, 2:17:09 pm</t>
  </si>
  <si>
    <t>22/05/2023, 2:17:10 pm</t>
  </si>
  <si>
    <t>22/05/2023, 2:17:11 pm</t>
  </si>
  <si>
    <t>22/05/2023, 2:17:39 pm</t>
  </si>
  <si>
    <t>22/05/2023, 2:17:40 pm</t>
  </si>
  <si>
    <t>22/05/2023, 2:17:41 pm</t>
  </si>
  <si>
    <t>22/05/2023, 2:17:42 pm</t>
  </si>
  <si>
    <t>22/05/2023, 2:17:43 pm</t>
  </si>
  <si>
    <t>22/05/2023, 2:17:44 pm</t>
  </si>
  <si>
    <t>22/05/2023, 2:17:45 pm</t>
  </si>
  <si>
    <t>22/05/2023, 2:23:45 pm</t>
  </si>
  <si>
    <t>22/05/2023, 2:23:46 pm</t>
  </si>
  <si>
    <t>22/05/2023, 2:23:47 pm</t>
  </si>
  <si>
    <t>22/05/2023, 2:23:48 pm</t>
  </si>
  <si>
    <t>22/05/2023, 2:23:49 pm</t>
  </si>
  <si>
    <t>22/05/2023, 2:23:50 pm</t>
  </si>
  <si>
    <t>22/05/2023, 2:23:51 pm</t>
  </si>
  <si>
    <t>22/05/2023, 2:23:52 pm</t>
  </si>
  <si>
    <t>22/05/2023, 2:25:50 pm</t>
  </si>
  <si>
    <t>22/05/2023, 2:25:59 pm</t>
  </si>
  <si>
    <t>22/05/2023, 2:26:00 pm</t>
  </si>
  <si>
    <t>22/05/2023, 2:27:07 pm</t>
  </si>
  <si>
    <t>22/05/2023, 2:27:08 pm</t>
  </si>
  <si>
    <t>22/05/2023, 2:27:09 pm</t>
  </si>
  <si>
    <t>22/05/2023, 2:27:10 pm</t>
  </si>
  <si>
    <t>22/05/2023, 2:27:11 pm</t>
  </si>
  <si>
    <t>22/05/2023, 2:27:12 pm</t>
  </si>
  <si>
    <t>22/05/2023, 2:27:23 pm</t>
  </si>
  <si>
    <t>22/05/2023, 2:27:24 pm</t>
  </si>
  <si>
    <t>22/05/2023, 2:27:25 pm</t>
  </si>
  <si>
    <t>22/05/2023, 2:27:26 pm</t>
  </si>
  <si>
    <t>22/05/2023, 2:27:27 pm</t>
  </si>
  <si>
    <t>22/05/2023, 2:27:28 pm</t>
  </si>
  <si>
    <t>22/05/2023, 2:27:29 pm</t>
  </si>
  <si>
    <t>22/05/2023, 2:27:30 pm</t>
  </si>
  <si>
    <t>22/05/2023, 2:27:31 pm</t>
  </si>
  <si>
    <t>22/05/2023, 2:27:32 pm</t>
  </si>
  <si>
    <t>22/05/2023, 2:27:33 pm</t>
  </si>
  <si>
    <t>22/05/2023, 2:27:34 pm</t>
  </si>
  <si>
    <t>22/05/2023, 2:27:35 pm</t>
  </si>
  <si>
    <t>22/05/2023, 2:27:36 pm</t>
  </si>
  <si>
    <t>22/05/2023, 2:27:37 pm</t>
  </si>
  <si>
    <t>22/05/2023, 2:27:38 pm</t>
  </si>
  <si>
    <t>22/05/2023, 2:27:39 pm</t>
  </si>
  <si>
    <t>22/05/2023, 2:27:44 pm</t>
  </si>
  <si>
    <t>22/05/2023, 2:27:45 pm</t>
  </si>
  <si>
    <t>22/05/2023, 2:27:46 pm</t>
  </si>
  <si>
    <t>22/05/2023, 2:27:47 pm</t>
  </si>
  <si>
    <t>22/05/2023, 2:27:48 pm</t>
  </si>
  <si>
    <t>22/05/2023, 2:27:49 pm</t>
  </si>
  <si>
    <t>22/05/2023, 2:27:50 pm</t>
  </si>
  <si>
    <t>22/05/2023, 2:27:51 pm</t>
  </si>
  <si>
    <t>22/05/2023, 2:27:52 pm</t>
  </si>
  <si>
    <t>22/05/2023, 2:27:53 pm</t>
  </si>
  <si>
    <t>22/05/2023, 2:27:54 pm</t>
  </si>
  <si>
    <t>22/05/2023, 2:27:55 pm</t>
  </si>
  <si>
    <t>22/05/2023, 2:27:56 pm</t>
  </si>
  <si>
    <t>22/05/2023, 2:27:57 pm</t>
  </si>
  <si>
    <t>22/05/2023, 2:27:58 pm</t>
  </si>
  <si>
    <t>22/05/2023, 2:27:59 pm</t>
  </si>
  <si>
    <t>22/05/2023, 2:28:00 pm</t>
  </si>
  <si>
    <t>22/05/2023, 2:28:01 pm</t>
  </si>
  <si>
    <t>22/05/2023, 2:28:02 pm</t>
  </si>
  <si>
    <t>22/05/2023, 2:28:03 pm</t>
  </si>
  <si>
    <t>22/05/2023, 2:28:04 pm</t>
  </si>
  <si>
    <t>22/05/2023, 2:28:05 pm</t>
  </si>
  <si>
    <t>22/05/2023, 2:28:06 pm</t>
  </si>
  <si>
    <t>22/05/2023, 2:28:07 pm</t>
  </si>
  <si>
    <t>22/05/2023, 2:28:08 pm</t>
  </si>
  <si>
    <t>22/05/2023, 2:28:09 pm</t>
  </si>
  <si>
    <t>22/05/2023, 2:28:10 pm</t>
  </si>
  <si>
    <t>22/05/2023, 2:28:11 pm</t>
  </si>
  <si>
    <t>22/05/2023, 2:28:12 pm</t>
  </si>
  <si>
    <t>22/05/2023, 2:28:13 pm</t>
  </si>
  <si>
    <t>22/05/2023, 2:28:14 pm</t>
  </si>
  <si>
    <t>22/05/2023, 2:28:15 pm</t>
  </si>
  <si>
    <t>22/05/2023, 2:28:16 pm</t>
  </si>
  <si>
    <t>22/05/2023, 2:28:17 pm</t>
  </si>
  <si>
    <t>22/05/2023, 2:28:19 pm</t>
  </si>
  <si>
    <t>22/05/2023, 2:28:20 pm</t>
  </si>
  <si>
    <t>22/05/2023, 2:28:21 pm</t>
  </si>
  <si>
    <t>22/05/2023, 2:28:22 pm</t>
  </si>
  <si>
    <t>22/05/2023, 2:28:23 pm</t>
  </si>
  <si>
    <t>22/05/2023, 2:28:24 pm</t>
  </si>
  <si>
    <t>22/05/2023, 2:28:25 pm</t>
  </si>
  <si>
    <t>22/05/2023, 2:28:26 pm</t>
  </si>
  <si>
    <t>22/05/2023, 2:28:27 pm</t>
  </si>
  <si>
    <t>22/05/2023, 2:28:28 pm</t>
  </si>
  <si>
    <t>22/05/2023, 2:28:29 pm</t>
  </si>
  <si>
    <t>22/05/2023, 2:28:30 pm</t>
  </si>
  <si>
    <t>22/05/2023, 2:28:31 pm</t>
  </si>
  <si>
    <t>22/05/2023, 2:28:32 pm</t>
  </si>
  <si>
    <t>22/05/2023, 2:28:33 pm</t>
  </si>
  <si>
    <t>22/05/2023, 2:28:34 pm</t>
  </si>
  <si>
    <t>22/05/2023, 2:28:36 pm</t>
  </si>
  <si>
    <t>22/05/2023, 2:28:37 pm</t>
  </si>
  <si>
    <t>22/05/2023, 2:28:38 pm</t>
  </si>
  <si>
    <t>22/05/2023, 2:28:39 pm</t>
  </si>
  <si>
    <t>22/05/2023, 2:28:40 pm</t>
  </si>
  <si>
    <t>22/05/2023, 2:28:41 pm</t>
  </si>
  <si>
    <t>22/05/2023, 2:28:42 pm</t>
  </si>
  <si>
    <t>22/05/2023, 2:28:43 pm</t>
  </si>
  <si>
    <t>22/05/2023, 2:28:44 pm</t>
  </si>
  <si>
    <t>22/05/2023, 2:28:45 pm</t>
  </si>
  <si>
    <t>22/05/2023, 2:28:46 pm</t>
  </si>
  <si>
    <t>22/05/2023, 2:28:47 pm</t>
  </si>
  <si>
    <t>22/05/2023, 2:28:48 pm</t>
  </si>
  <si>
    <t>22/05/2023, 2:28:49 pm</t>
  </si>
  <si>
    <t>22/05/2023, 2:28:50 pm</t>
  </si>
  <si>
    <t>22/05/2023, 2:28:51 pm</t>
  </si>
  <si>
    <t>22/05/2023, 2:28:52 pm</t>
  </si>
  <si>
    <t>22/05/2023, 2:28:53 pm</t>
  </si>
  <si>
    <t>22/05/2023, 2:28:54 pm</t>
  </si>
  <si>
    <t>22/05/2023, 2:28:55 pm</t>
  </si>
  <si>
    <t>22/05/2023, 2:28:56 pm</t>
  </si>
  <si>
    <t>22/05/2023, 2:28:57 pm</t>
  </si>
  <si>
    <t>22/05/2023, 2:28:58 pm</t>
  </si>
  <si>
    <t>22/05/2023, 2:28:59 pm</t>
  </si>
  <si>
    <t>22/05/2023, 2:29:00 pm</t>
  </si>
  <si>
    <t>22/05/2023, 2:29:01 pm</t>
  </si>
  <si>
    <t>22/05/2023, 2:29:02 pm</t>
  </si>
  <si>
    <t>22/05/2023, 2:29:03 pm</t>
  </si>
  <si>
    <t>22/05/2023, 2:29:04 pm</t>
  </si>
  <si>
    <t>22/05/2023, 2:29:05 pm</t>
  </si>
  <si>
    <t>22/05/2023, 2:29:06 pm</t>
  </si>
  <si>
    <t>22/05/2023, 2:29:07 pm</t>
  </si>
  <si>
    <t>22/05/2023, 2:29:08 pm</t>
  </si>
  <si>
    <t>22/05/2023, 2:29:09 pm</t>
  </si>
  <si>
    <t>22/05/2023, 2:29:10 pm</t>
  </si>
  <si>
    <t>22/05/2023, 2:29:11 pm</t>
  </si>
  <si>
    <t>22/05/2023, 2:29:12 pm</t>
  </si>
  <si>
    <t>22/05/2023, 2:29:13 pm</t>
  </si>
  <si>
    <t>22/05/2023, 2:29:14 pm</t>
  </si>
  <si>
    <t>22/05/2023, 2:29:15 pm</t>
  </si>
  <si>
    <t>22/05/2023, 2:29:16 pm</t>
  </si>
  <si>
    <t>22/05/2023, 2:29:17 pm</t>
  </si>
  <si>
    <t>22/05/2023, 2:29:18 pm</t>
  </si>
  <si>
    <t>22/05/2023, 2:29:19 pm</t>
  </si>
  <si>
    <t>22/05/2023, 2:29:20 pm</t>
  </si>
  <si>
    <t>22/05/2023, 2:29:21 pm</t>
  </si>
  <si>
    <t>22/05/2023, 2:29:22 pm</t>
  </si>
  <si>
    <t>22/05/2023, 2:29:23 pm</t>
  </si>
  <si>
    <t>22/05/2023, 2:29:24 pm</t>
  </si>
  <si>
    <t>22/05/2023, 2:29:25 pm</t>
  </si>
  <si>
    <t>22/05/2023, 2:29:26 pm</t>
  </si>
  <si>
    <t>22/05/2023, 2:29:27 pm</t>
  </si>
  <si>
    <t>22/05/2023, 2:29:28 pm</t>
  </si>
  <si>
    <t>22/05/2023, 2:29:29 pm</t>
  </si>
  <si>
    <t>22/05/2023, 2:29:30 pm</t>
  </si>
  <si>
    <t>22/05/2023, 2:29:31 pm</t>
  </si>
  <si>
    <t>22/05/2023, 2:29:32 pm</t>
  </si>
  <si>
    <t>22/05/2023, 2:29:33 pm</t>
  </si>
  <si>
    <t>22/05/2023, 2:29:34 pm</t>
  </si>
  <si>
    <t>22/05/2023, 2:29:35 pm</t>
  </si>
  <si>
    <t>22/05/2023, 2:29:36 pm</t>
  </si>
  <si>
    <t>22/05/2023, 2:29:37 pm</t>
  </si>
  <si>
    <t>22/05/2023, 2:29:38 pm</t>
  </si>
  <si>
    <t>22/05/2023, 2:29:39 pm</t>
  </si>
  <si>
    <t>22/05/2023, 2:29:40 pm</t>
  </si>
  <si>
    <t>22/05/2023, 2:29:41 pm</t>
  </si>
  <si>
    <t>22/05/2023, 2:29:42 pm</t>
  </si>
  <si>
    <t>22/05/2023, 2:29:43 pm</t>
  </si>
  <si>
    <t>22/05/2023, 2:29:44 pm</t>
  </si>
  <si>
    <t>22/05/2023, 2:29:45 pm</t>
  </si>
  <si>
    <t>22/05/2023, 2:29:46 pm</t>
  </si>
  <si>
    <t>22/05/2023, 2:29:47 pm</t>
  </si>
  <si>
    <t>22/05/2023, 2:29:48 pm</t>
  </si>
  <si>
    <t>22/05/2023, 2:29:49 pm</t>
  </si>
  <si>
    <t>22/05/2023, 2:29:50 pm</t>
  </si>
  <si>
    <t>22/05/2023, 2:29:51 pm</t>
  </si>
  <si>
    <t>22/05/2023, 2:29:52 pm</t>
  </si>
  <si>
    <t>22/05/2023, 2:29:53 pm</t>
  </si>
  <si>
    <t>22/05/2023, 2:29:54 pm</t>
  </si>
  <si>
    <t>22/05/2023, 2:29:55 pm</t>
  </si>
  <si>
    <t>22/05/2023, 2:29:56 pm</t>
  </si>
  <si>
    <t>22/05/2023, 2:29:57 pm</t>
  </si>
  <si>
    <t>22/05/2023, 2:29:58 pm</t>
  </si>
  <si>
    <t>22/05/2023, 2:29:59 pm</t>
  </si>
  <si>
    <t>22/05/2023, 2:30:00 pm</t>
  </si>
  <si>
    <t>22/05/2023, 2:30:01 pm</t>
  </si>
  <si>
    <t>22/05/2023, 2:30:02 pm</t>
  </si>
  <si>
    <t>22/05/2023, 2:30:03 pm</t>
  </si>
  <si>
    <t>22/05/2023, 2:30:04 pm</t>
  </si>
  <si>
    <t>22/05/2023, 2:30:05 pm</t>
  </si>
  <si>
    <t>22/05/2023, 2:30:06 pm</t>
  </si>
  <si>
    <t>22/05/2023, 2:30:07 pm</t>
  </si>
  <si>
    <t>22/05/2023, 2:30:08 pm</t>
  </si>
  <si>
    <t>22/05/2023, 2:30:09 pm</t>
  </si>
  <si>
    <t>22/05/2023, 2:30:10 pm</t>
  </si>
  <si>
    <t>22/05/2023, 2:30:11 pm</t>
  </si>
  <si>
    <t>22/05/2023, 2:30:12 pm</t>
  </si>
  <si>
    <t>22/05/2023, 2:30:13 pm</t>
  </si>
  <si>
    <t>22/05/2023, 2:30:14 pm</t>
  </si>
  <si>
    <t>22/05/2023, 2:30:15 pm</t>
  </si>
  <si>
    <t>22/05/2023, 2:30:16 pm</t>
  </si>
  <si>
    <t>22/05/2023, 2:30:17 pm</t>
  </si>
  <si>
    <t>22/05/2023, 2:30:18 pm</t>
  </si>
  <si>
    <t>22/05/2023, 2:30:19 pm</t>
  </si>
  <si>
    <t>22/05/2023, 2:30:20 pm</t>
  </si>
  <si>
    <t>22/05/2023, 2:30:21 pm</t>
  </si>
  <si>
    <t>22/05/2023, 2:30:22 pm</t>
  </si>
  <si>
    <t>22/05/2023, 2:30:23 pm</t>
  </si>
  <si>
    <t>22/05/2023, 2:30:24 pm</t>
  </si>
  <si>
    <t>22/05/2023, 2:30:25 pm</t>
  </si>
  <si>
    <t>22/05/2023, 2:30:26 pm</t>
  </si>
  <si>
    <t>22/05/2023, 2:30:27 pm</t>
  </si>
  <si>
    <t>22/05/2023, 2:30:28 pm</t>
  </si>
  <si>
    <t>22/05/2023, 2:30:29 pm</t>
  </si>
  <si>
    <t>22/05/2023, 2:30:30 pm</t>
  </si>
  <si>
    <t>22/05/2023, 2:30:31 pm</t>
  </si>
  <si>
    <t>22/05/2023, 2:30:32 pm</t>
  </si>
  <si>
    <t>22/05/2023, 2:30:33 pm</t>
  </si>
  <si>
    <t>22/05/2023, 2:30:34 pm</t>
  </si>
  <si>
    <t>22/05/2023, 2:30:35 pm</t>
  </si>
  <si>
    <t>22/05/2023, 2:30:36 pm</t>
  </si>
  <si>
    <t>22/05/2023, 2:30:37 pm</t>
  </si>
  <si>
    <t>22/05/2023, 2:30:38 pm</t>
  </si>
  <si>
    <t>22/05/2023, 2:30:39 pm</t>
  </si>
  <si>
    <t>22/05/2023, 2:30:40 pm</t>
  </si>
  <si>
    <t>22/05/2023, 2:30:41 pm</t>
  </si>
  <si>
    <t>22/05/2023, 2:30:42 pm</t>
  </si>
  <si>
    <t>22/05/2023, 2:30:43 pm</t>
  </si>
  <si>
    <t>22/05/2023, 2:30:45 pm</t>
  </si>
  <si>
    <t>22/05/2023, 2:30:46 pm</t>
  </si>
  <si>
    <t>22/05/2023, 2:30:47 pm</t>
  </si>
  <si>
    <t>22/05/2023, 2:30:48 pm</t>
  </si>
  <si>
    <t>22/05/2023, 2:30:49 pm</t>
  </si>
  <si>
    <t>22/05/2023, 2:30:50 pm</t>
  </si>
  <si>
    <t>22/05/2023, 2:30:51 pm</t>
  </si>
  <si>
    <t>22/05/2023, 2:30:52 pm</t>
  </si>
  <si>
    <t>22/05/2023, 2:30:53 pm</t>
  </si>
  <si>
    <t>22/05/2023, 2:30:54 pm</t>
  </si>
  <si>
    <t>22/05/2023, 2:30:55 pm</t>
  </si>
  <si>
    <t>22/05/2023, 2:30:56 pm</t>
  </si>
  <si>
    <t>22/05/2023, 2:30:57 pm</t>
  </si>
  <si>
    <t>22/05/2023, 2:30:58 pm</t>
  </si>
  <si>
    <t>22/05/2023, 2:30:59 pm</t>
  </si>
  <si>
    <t>22/05/2023, 2:31:00 pm</t>
  </si>
  <si>
    <t>22/05/2023, 2:31:01 pm</t>
  </si>
  <si>
    <t>22/05/2023, 2:31:02 pm</t>
  </si>
  <si>
    <t>22/05/2023, 2:31:03 pm</t>
  </si>
  <si>
    <t>22/05/2023, 2:31:04 pm</t>
  </si>
  <si>
    <t>22/05/2023, 2:31:05 pm</t>
  </si>
  <si>
    <t>22/05/2023, 2:31:06 pm</t>
  </si>
  <si>
    <t>22/05/2023, 2:31:07 pm</t>
  </si>
  <si>
    <t>22/05/2023, 2:31:08 pm</t>
  </si>
  <si>
    <t>22/05/2023, 2:31:09 pm</t>
  </si>
  <si>
    <t>22/05/2023, 2:31:10 pm</t>
  </si>
  <si>
    <t>22/05/2023, 2:31:11 pm</t>
  </si>
  <si>
    <t>22/05/2023, 2:31:12 pm</t>
  </si>
  <si>
    <t>22/05/2023, 2:31:13 pm</t>
  </si>
  <si>
    <t>22/05/2023, 2:31:14 pm</t>
  </si>
  <si>
    <t>22/05/2023, 2:31:15 pm</t>
  </si>
  <si>
    <t>22/05/2023, 2:31:16 pm</t>
  </si>
  <si>
    <t>22/05/2023, 2:31:17 pm</t>
  </si>
  <si>
    <t>22/05/2023, 2:31:18 pm</t>
  </si>
  <si>
    <t>22/05/2023, 2:31:19 pm</t>
  </si>
  <si>
    <t>22/05/2023, 2:31:20 pm</t>
  </si>
  <si>
    <t>22/05/2023, 2:31:21 pm</t>
  </si>
  <si>
    <t>22/05/2023, 2:31:22 pm</t>
  </si>
  <si>
    <t>22/05/2023, 2:31:23 pm</t>
  </si>
  <si>
    <t>22/05/2023, 2:31:24 pm</t>
  </si>
  <si>
    <t>22/05/2023, 2:31:25 pm</t>
  </si>
  <si>
    <t>22/05/2023, 2:31:26 pm</t>
  </si>
  <si>
    <t>22/05/2023, 2:31:27 pm</t>
  </si>
  <si>
    <t>22/05/2023, 2:31:28 pm</t>
  </si>
  <si>
    <t>22/05/2023, 2:31:29 pm</t>
  </si>
  <si>
    <t>22/05/2023, 2:31:30 pm</t>
  </si>
  <si>
    <t>22/05/2023, 2:31:31 pm</t>
  </si>
  <si>
    <t>22/05/2023, 2:31:32 pm</t>
  </si>
  <si>
    <t>22/05/2023, 2:31:33 pm</t>
  </si>
  <si>
    <t>22/05/2023, 2:31:34 pm</t>
  </si>
  <si>
    <t>22/05/2023, 2:31:35 pm</t>
  </si>
  <si>
    <t>22/05/2023, 2:31:36 pm</t>
  </si>
  <si>
    <t>22/05/2023, 2:31:37 pm</t>
  </si>
  <si>
    <t>22/05/2023, 2:31:38 pm</t>
  </si>
  <si>
    <t>22/05/2023, 2:31:39 pm</t>
  </si>
  <si>
    <t>22/05/2023, 2:31:40 pm</t>
  </si>
  <si>
    <t>22/05/2023, 2:31:41 pm</t>
  </si>
  <si>
    <t>22/05/2023, 2:31:42 pm</t>
  </si>
  <si>
    <t>22/05/2023, 2:31:43 pm</t>
  </si>
  <si>
    <t>22/05/2023, 2:31:44 pm</t>
  </si>
  <si>
    <t>22/05/2023, 2:31:45 pm</t>
  </si>
  <si>
    <t>22/05/2023, 2:31:46 pm</t>
  </si>
  <si>
    <t>22/05/2023, 2:31:47 pm</t>
  </si>
  <si>
    <t>22/05/2023, 2:31:48 pm</t>
  </si>
  <si>
    <t>22/05/2023, 2:31:49 pm</t>
  </si>
  <si>
    <t>22/05/2023, 2:31:50 pm</t>
  </si>
  <si>
    <t>22/05/2023, 2:31:51 pm</t>
  </si>
  <si>
    <t>22/05/2023, 2:31:52 pm</t>
  </si>
  <si>
    <t>22/05/2023, 2:31:53 pm</t>
  </si>
  <si>
    <t>22/05/2023, 2:31:54 pm</t>
  </si>
  <si>
    <t>22/05/2023, 2:31:55 pm</t>
  </si>
  <si>
    <t>22/05/2023, 2:31:56 pm</t>
  </si>
  <si>
    <t>22/05/2023, 2:31:57 pm</t>
  </si>
  <si>
    <t>22/05/2023, 2:31:58 pm</t>
  </si>
  <si>
    <t>22/05/2023, 2:31:59 pm</t>
  </si>
  <si>
    <t>22/05/2023, 2:32:00 pm</t>
  </si>
  <si>
    <t>22/05/2023, 2:32:01 pm</t>
  </si>
  <si>
    <t>22/05/2023, 2:32:02 pm</t>
  </si>
  <si>
    <t>22/05/2023, 2:32:03 pm</t>
  </si>
  <si>
    <t>22/05/2023, 2:32:04 pm</t>
  </si>
  <si>
    <t>22/05/2023, 2:32:05 pm</t>
  </si>
  <si>
    <t>22/05/2023, 2:32:06 pm</t>
  </si>
  <si>
    <t>22/05/2023, 2:32:07 pm</t>
  </si>
  <si>
    <t>22/05/2023, 2:32:08 pm</t>
  </si>
  <si>
    <t>22/05/2023, 2:32:09 pm</t>
  </si>
  <si>
    <t>22/05/2023, 2:32:10 pm</t>
  </si>
  <si>
    <t>22/05/2023, 2:32:11 pm</t>
  </si>
  <si>
    <t>22/05/2023, 2:32:12 pm</t>
  </si>
  <si>
    <t>22/05/2023, 2:32:13 pm</t>
  </si>
  <si>
    <t>22/05/2023, 2:32:14 pm</t>
  </si>
  <si>
    <t>22/05/2023, 2:32:15 pm</t>
  </si>
  <si>
    <t>22/05/2023, 2:32:16 pm</t>
  </si>
  <si>
    <t>22/05/2023, 2:32:17 pm</t>
  </si>
  <si>
    <t>22/05/2023, 2:32:18 pm</t>
  </si>
  <si>
    <t>22/05/2023, 2:32:19 pm</t>
  </si>
  <si>
    <t>22/05/2023, 2:32:20 pm</t>
  </si>
  <si>
    <t>22/05/2023, 2:32:21 pm</t>
  </si>
  <si>
    <t>22/05/2023, 2:32:25 pm</t>
  </si>
  <si>
    <t>22/05/2023, 2:32:26 pm</t>
  </si>
  <si>
    <t>22/05/2023, 2:32:27 pm</t>
  </si>
  <si>
    <t>22/05/2023, 2:32:28 pm</t>
  </si>
  <si>
    <t>22/05/2023, 2:32:29 pm</t>
  </si>
  <si>
    <t>22/05/2023, 2:32:30 pm</t>
  </si>
  <si>
    <t>22/05/2023, 2:32:31 pm</t>
  </si>
  <si>
    <t>22/05/2023, 2:32:32 pm</t>
  </si>
  <si>
    <t>22/05/2023, 2:32:33 pm</t>
  </si>
  <si>
    <t>22/05/2023, 2:32:34 pm</t>
  </si>
  <si>
    <t>22/05/2023, 2:32:35 pm</t>
  </si>
  <si>
    <t>22/05/2023, 2:32:36 pm</t>
  </si>
  <si>
    <t>22/05/2023, 2:32:37 pm</t>
  </si>
  <si>
    <t>22/05/2023, 2:32:38 pm</t>
  </si>
  <si>
    <t>22/05/2023, 2:32:39 pm</t>
  </si>
  <si>
    <t>22/05/2023, 2:32:40 pm</t>
  </si>
  <si>
    <t>22/05/2023, 2:32:41 pm</t>
  </si>
  <si>
    <t>22/05/2023, 2:32:42 pm</t>
  </si>
  <si>
    <t>22/05/2023, 2:32:43 pm</t>
  </si>
  <si>
    <t>22/05/2023, 2:32:44 pm</t>
  </si>
  <si>
    <t>22/05/2023, 2:32:45 pm</t>
  </si>
  <si>
    <t>22/05/2023, 2:32:46 pm</t>
  </si>
  <si>
    <t>22/05/2023, 2:32:47 pm</t>
  </si>
  <si>
    <t>22/05/2023, 2:32:48 pm</t>
  </si>
  <si>
    <t>22/05/2023, 2:32:49 pm</t>
  </si>
  <si>
    <t>22/05/2023, 2:32:50 pm</t>
  </si>
  <si>
    <t>22/05/2023, 2:32:51 pm</t>
  </si>
  <si>
    <t>22/05/2023, 2:32:52 pm</t>
  </si>
  <si>
    <t>22/05/2023, 2:32:53 pm</t>
  </si>
  <si>
    <t>22/05/2023, 2:32:56 pm</t>
  </si>
  <si>
    <t>22/05/2023, 2:32:57 pm</t>
  </si>
  <si>
    <t>22/05/2023, 2:32:58 pm</t>
  </si>
  <si>
    <t>22/05/2023, 2:32:59 pm</t>
  </si>
  <si>
    <t>22/05/2023, 2:33:00 pm</t>
  </si>
  <si>
    <t>22/05/2023, 2:33:01 pm</t>
  </si>
  <si>
    <t>22/05/2023, 2:33:02 pm</t>
  </si>
  <si>
    <t>22/05/2023, 2:33:03 pm</t>
  </si>
  <si>
    <t>22/05/2023, 2:33:04 pm</t>
  </si>
  <si>
    <t>22/05/2023, 2:33:05 pm</t>
  </si>
  <si>
    <t>22/05/2023, 2:33:06 pm</t>
  </si>
  <si>
    <t>22/05/2023, 2:33:07 pm</t>
  </si>
  <si>
    <t>22/05/2023, 2:33:08 pm</t>
  </si>
  <si>
    <t>22/05/2023, 2:33:09 pm</t>
  </si>
  <si>
    <t>22/05/2023, 2:33:10 pm</t>
  </si>
  <si>
    <t>22/05/2023, 2:33:11 pm</t>
  </si>
  <si>
    <t>22/05/2023, 2:33:12 pm</t>
  </si>
  <si>
    <t>22/05/2023, 2:33:13 pm</t>
  </si>
  <si>
    <t>22/05/2023, 2:33:14 pm</t>
  </si>
  <si>
    <t>22/05/2023, 2:33:15 pm</t>
  </si>
  <si>
    <t>22/05/2023, 2:33:16 pm</t>
  </si>
  <si>
    <t>22/05/2023, 2:33:17 pm</t>
  </si>
  <si>
    <t>22/05/2023, 2:33:18 pm</t>
  </si>
  <si>
    <t>22/05/2023, 2:33:19 pm</t>
  </si>
  <si>
    <t>22/05/2023, 2:33:22 pm</t>
  </si>
  <si>
    <t>22/05/2023, 2:33:52 pm</t>
  </si>
  <si>
    <t>22/05/2023, 2:33:53 pm</t>
  </si>
  <si>
    <t>22/05/2023, 2:33:54 pm</t>
  </si>
  <si>
    <t>22/05/2023, 2:33:55 pm</t>
  </si>
  <si>
    <t>22/05/2023, 2:33:56 pm</t>
  </si>
  <si>
    <t>22/05/2023, 2:33:57 pm</t>
  </si>
  <si>
    <t>22/05/2023, 2:33:58 pm</t>
  </si>
  <si>
    <t>22/05/2023, 2:33:59 pm</t>
  </si>
  <si>
    <t>22/05/2023, 2:34:00 pm</t>
  </si>
  <si>
    <t>22/05/2023, 2:34:01 pm</t>
  </si>
  <si>
    <t>22/05/2023, 2:34:02 pm</t>
  </si>
  <si>
    <t>22/05/2023, 2:34:03 pm</t>
  </si>
  <si>
    <t>22/05/2023, 2:34:04 pm</t>
  </si>
  <si>
    <t>22/05/2023, 2:34:05 pm</t>
  </si>
  <si>
    <t>22/05/2023, 2:34:06 pm</t>
  </si>
  <si>
    <t>22/05/2023, 2:34:07 pm</t>
  </si>
  <si>
    <t>22/05/2023, 2:34:09 pm</t>
  </si>
  <si>
    <t>22/05/2023, 2:34:21 pm</t>
  </si>
  <si>
    <t>22/05/2023, 2:34:22 pm</t>
  </si>
  <si>
    <t>22/05/2023, 2:34:23 pm</t>
  </si>
  <si>
    <t>22/05/2023, 2:34:24 pm</t>
  </si>
  <si>
    <t>22/05/2023, 2:34:25 pm</t>
  </si>
  <si>
    <t>22/05/2023, 2:34:26 pm</t>
  </si>
  <si>
    <t>22/05/2023, 2:34:27 pm</t>
  </si>
  <si>
    <t>22/05/2023, 2:34:28 pm</t>
  </si>
  <si>
    <t>22/05/2023, 2:34:29 pm</t>
  </si>
  <si>
    <t>22/05/2023, 2:34:31 pm</t>
  </si>
  <si>
    <t>22/05/2023, 2:34:37 pm</t>
  </si>
  <si>
    <t>22/05/2023, 2:34:38 pm</t>
  </si>
  <si>
    <t>22/05/2023, 2:34:39 pm</t>
  </si>
  <si>
    <t>22/05/2023, 2:34:40 pm</t>
  </si>
  <si>
    <t>22/05/2023, 2:34:41 pm</t>
  </si>
  <si>
    <t>22/05/2023, 2:34:42 pm</t>
  </si>
  <si>
    <t>22/05/2023, 2:34:43 pm</t>
  </si>
  <si>
    <t>22/05/2023, 2:34:44 pm</t>
  </si>
  <si>
    <t>22/05/2023, 2:34:45 pm</t>
  </si>
  <si>
    <t>22/05/2023, 2:34:46 pm</t>
  </si>
  <si>
    <t>22/05/2023, 2:34:47 pm</t>
  </si>
  <si>
    <t>22/05/2023, 2:34:48 pm</t>
  </si>
  <si>
    <t>22/05/2023, 2:34:49 pm</t>
  </si>
  <si>
    <t>22/05/2023, 2:34:50 pm</t>
  </si>
  <si>
    <t>22/05/2023, 2:34:51 pm</t>
  </si>
  <si>
    <t>22/05/2023, 2:34:52 pm</t>
  </si>
  <si>
    <t>22/05/2023, 2:34:53 pm</t>
  </si>
  <si>
    <t>22/05/2023, 2:34:54 pm</t>
  </si>
  <si>
    <t>22/05/2023, 2:34:55 pm</t>
  </si>
  <si>
    <t>22/05/2023, 2:34:56 pm</t>
  </si>
  <si>
    <t>22/05/2023, 2:34:57 pm</t>
  </si>
  <si>
    <t>22/05/2023, 2:34:58 pm</t>
  </si>
  <si>
    <t>22/05/2023, 2:34:59 pm</t>
  </si>
  <si>
    <t>22/05/2023, 2:35:00 pm</t>
  </si>
  <si>
    <t>22/05/2023, 2:35:01 pm</t>
  </si>
  <si>
    <t>22/05/2023, 2:35:02 pm</t>
  </si>
  <si>
    <t>22/05/2023, 2:35:03 pm</t>
  </si>
  <si>
    <t>22/05/2023, 2:35:04 pm</t>
  </si>
  <si>
    <t>22/05/2023, 2:35:05 pm</t>
  </si>
  <si>
    <t>22/05/2023, 2:35:06 pm</t>
  </si>
  <si>
    <t>22/05/2023, 2:35:07 pm</t>
  </si>
  <si>
    <t>22/05/2023, 2:35:08 pm</t>
  </si>
  <si>
    <t>22/05/2023, 2:35:09 pm</t>
  </si>
  <si>
    <t>22/05/2023, 2:35:10 pm</t>
  </si>
  <si>
    <t>22/05/2023, 2:35:11 pm</t>
  </si>
  <si>
    <t>22/05/2023, 2:35:12 pm</t>
  </si>
  <si>
    <t>22/05/2023, 2:35:13 pm</t>
  </si>
  <si>
    <t>22/05/2023, 2:35:14 pm</t>
  </si>
  <si>
    <t>22/05/2023, 2:35:15 pm</t>
  </si>
  <si>
    <t>22/05/2023, 2:35:16 pm</t>
  </si>
  <si>
    <t>22/05/2023, 2:35:17 pm</t>
  </si>
  <si>
    <t>22/05/2023, 2:35:18 pm</t>
  </si>
  <si>
    <t>22/05/2023, 2:35:19 pm</t>
  </si>
  <si>
    <t>22/05/2023, 2:35:20 pm</t>
  </si>
  <si>
    <t>22/05/2023, 2:35:21 pm</t>
  </si>
  <si>
    <t>22/05/2023, 2:35:22 pm</t>
  </si>
  <si>
    <t>22/05/2023, 2:35:23 pm</t>
  </si>
  <si>
    <t>22/05/2023, 2:35:24 pm</t>
  </si>
  <si>
    <t>22/05/2023, 2:35:25 pm</t>
  </si>
  <si>
    <t>22/05/2023, 2:35:26 pm</t>
  </si>
  <si>
    <t>22/05/2023, 2:35:27 pm</t>
  </si>
  <si>
    <t>22/05/2023, 2:35:28 pm</t>
  </si>
  <si>
    <t>22/05/2023, 2:35:29 pm</t>
  </si>
  <si>
    <t>22/05/2023, 2:35:30 pm</t>
  </si>
  <si>
    <t>22/05/2023, 2:35:31 pm</t>
  </si>
  <si>
    <t>22/05/2023, 2:35:32 pm</t>
  </si>
  <si>
    <t>22/05/2023, 2:35:33 pm</t>
  </si>
  <si>
    <t>22/05/2023, 2:35:34 pm</t>
  </si>
  <si>
    <t>22/05/2023, 2:35:35 pm</t>
  </si>
  <si>
    <t>22/05/2023, 2:35:36 pm</t>
  </si>
  <si>
    <t>22/05/2023, 2:35:37 pm</t>
  </si>
  <si>
    <t>22/05/2023, 2:35:38 pm</t>
  </si>
  <si>
    <t>22/05/2023, 2:35:39 pm</t>
  </si>
  <si>
    <t>22/05/2023, 2:35:41 pm</t>
  </si>
  <si>
    <t>22/05/2023, 2:35:42 pm</t>
  </si>
  <si>
    <t>22/05/2023, 2:35:43 pm</t>
  </si>
  <si>
    <t>22/05/2023, 2:35:44 pm</t>
  </si>
  <si>
    <t>22/05/2023, 2:35:45 pm</t>
  </si>
  <si>
    <t>22/05/2023, 2:35:46 pm</t>
  </si>
  <si>
    <t>22/05/2023, 2:35:47 pm</t>
  </si>
  <si>
    <t>22/05/2023, 2:35:48 pm</t>
  </si>
  <si>
    <t>22/05/2023, 2:35:49 pm</t>
  </si>
  <si>
    <t>22/05/2023, 2:35:50 pm</t>
  </si>
  <si>
    <t>22/05/2023, 2:35:51 pm</t>
  </si>
  <si>
    <t>22/05/2023, 2:35:52 pm</t>
  </si>
  <si>
    <t>22/05/2023, 2:35:53 pm</t>
  </si>
  <si>
    <t>22/05/2023, 2:35:54 pm</t>
  </si>
  <si>
    <t>22/05/2023, 2:35:55 pm</t>
  </si>
  <si>
    <t>22/05/2023, 2:35:56 pm</t>
  </si>
  <si>
    <t>22/05/2023, 2:35:57 pm</t>
  </si>
  <si>
    <t>22/05/2023, 2:35:58 pm</t>
  </si>
  <si>
    <t>22/05/2023, 2:35:59 pm</t>
  </si>
  <si>
    <t>22/05/2023, 2:36:00 pm</t>
  </si>
  <si>
    <t>22/05/2023, 2:36:01 pm</t>
  </si>
  <si>
    <t>22/05/2023, 2:36:02 pm</t>
  </si>
  <si>
    <t>22/05/2023, 2:36:03 pm</t>
  </si>
  <si>
    <t>22/05/2023, 2:36:04 pm</t>
  </si>
  <si>
    <t>22/05/2023, 2:36:05 pm</t>
  </si>
  <si>
    <t>22/05/2023, 2:36:06 pm</t>
  </si>
  <si>
    <t>22/05/2023, 2:36:07 pm</t>
  </si>
  <si>
    <t>22/05/2023, 2:36:08 pm</t>
  </si>
  <si>
    <t>22/05/2023, 2:36:09 pm</t>
  </si>
  <si>
    <t>22/05/2023, 2:36:10 pm</t>
  </si>
  <si>
    <t>22/05/2023, 2:36:11 pm</t>
  </si>
  <si>
    <t>22/05/2023, 2:36:12 pm</t>
  </si>
  <si>
    <t>22/05/2023, 2:36:13 pm</t>
  </si>
  <si>
    <t>22/05/2023, 2:36:14 pm</t>
  </si>
  <si>
    <t>22/05/2023, 2:36:15 pm</t>
  </si>
  <si>
    <t>22/05/2023, 2:36:16 pm</t>
  </si>
  <si>
    <t>22/05/2023, 2:36:17 pm</t>
  </si>
  <si>
    <t>22/05/2023, 2:36:18 pm</t>
  </si>
  <si>
    <t>22/05/2023, 2:36:19 pm</t>
  </si>
  <si>
    <t>22/05/2023, 2:36:20 pm</t>
  </si>
  <si>
    <t>22/05/2023, 2:36:21 pm</t>
  </si>
  <si>
    <t>22/05/2023, 2:36:22 pm</t>
  </si>
  <si>
    <t>22/05/2023, 2:36:23 pm</t>
  </si>
  <si>
    <t>22/05/2023, 2:36:24 pm</t>
  </si>
  <si>
    <t>22/05/2023, 2:36:25 pm</t>
  </si>
  <si>
    <t>22/05/2023, 2:36:26 pm</t>
  </si>
  <si>
    <t>22/05/2023, 2:36:27 pm</t>
  </si>
  <si>
    <t>22/05/2023, 2:36:28 pm</t>
  </si>
  <si>
    <t>22/05/2023, 2:36:29 pm</t>
  </si>
  <si>
    <t>22/05/2023, 2:36:30 pm</t>
  </si>
  <si>
    <t>22/05/2023, 2:36:31 pm</t>
  </si>
  <si>
    <t>22/05/2023, 2:36:32 pm</t>
  </si>
  <si>
    <t>22/05/2023, 2:36:33 pm</t>
  </si>
  <si>
    <t>22/05/2023, 2:36:34 pm</t>
  </si>
  <si>
    <t>22/05/2023, 2:36:35 pm</t>
  </si>
  <si>
    <t>22/05/2023, 2:36:36 pm</t>
  </si>
  <si>
    <t>22/05/2023, 2:36:37 pm</t>
  </si>
  <si>
    <t>22/05/2023, 2:36:38 pm</t>
  </si>
  <si>
    <t>22/05/2023, 2:36:39 pm</t>
  </si>
  <si>
    <t>22/05/2023, 2:36:40 pm</t>
  </si>
  <si>
    <t>22/05/2023, 2:36:41 pm</t>
  </si>
  <si>
    <t>22/05/2023, 2:36:42 pm</t>
  </si>
  <si>
    <t>22/05/2023, 2:36:43 pm</t>
  </si>
  <si>
    <t>22/05/2023, 2:36:44 pm</t>
  </si>
  <si>
    <t>22/05/2023, 2:36:45 pm</t>
  </si>
  <si>
    <t>22/05/2023, 2:36:46 pm</t>
  </si>
  <si>
    <t>22/05/2023, 2:36:47 pm</t>
  </si>
  <si>
    <t>22/05/2023, 2:36:48 pm</t>
  </si>
  <si>
    <t>22/05/2023, 2:36:49 pm</t>
  </si>
  <si>
    <t>22/05/2023, 2:36:50 pm</t>
  </si>
  <si>
    <t>22/05/2023, 2:36:51 pm</t>
  </si>
  <si>
    <t>22/05/2023, 2:36:52 pm</t>
  </si>
  <si>
    <t>22/05/2023, 2:36:53 pm</t>
  </si>
  <si>
    <t>22/05/2023, 2:36:54 pm</t>
  </si>
  <si>
    <t>22/05/2023, 2:36:55 pm</t>
  </si>
  <si>
    <t>22/05/2023, 2:36:56 pm</t>
  </si>
  <si>
    <t>22/05/2023, 2:36:57 pm</t>
  </si>
  <si>
    <t>22/05/2023, 2:36:58 pm</t>
  </si>
  <si>
    <t>22/05/2023, 2:36:59 pm</t>
  </si>
  <si>
    <t>22/05/2023, 2:37:00 pm</t>
  </si>
  <si>
    <t>22/05/2023, 2:37:01 pm</t>
  </si>
  <si>
    <t>22/05/2023, 2:37:02 pm</t>
  </si>
  <si>
    <t>22/05/2023, 2:37:03 pm</t>
  </si>
  <si>
    <t>22/05/2023, 2:37:04 pm</t>
  </si>
  <si>
    <t>22/05/2023, 2:37:05 pm</t>
  </si>
  <si>
    <t>22/05/2023, 2:37:06 pm</t>
  </si>
  <si>
    <t>22/05/2023, 2:37:07 pm</t>
  </si>
  <si>
    <t>22/05/2023, 2:37:08 pm</t>
  </si>
  <si>
    <t>22/05/2023, 2:37:09 pm</t>
  </si>
  <si>
    <t>22/05/2023, 2:37:10 pm</t>
  </si>
  <si>
    <t>22/05/2023, 2:37:11 pm</t>
  </si>
  <si>
    <t>22/05/2023, 2:37:12 pm</t>
  </si>
  <si>
    <t>22/05/2023, 2:39:13 pm</t>
  </si>
  <si>
    <t>22/05/2023, 2:39:14 pm</t>
  </si>
  <si>
    <t>22/05/2023, 2:39:15 pm</t>
  </si>
  <si>
    <t>22/05/2023, 2:39:16 pm</t>
  </si>
  <si>
    <t>22/05/2023, 2:39:17 pm</t>
  </si>
  <si>
    <t>22/05/2023, 2:39:18 pm</t>
  </si>
  <si>
    <t>22/05/2023, 2:39:19 pm</t>
  </si>
  <si>
    <t>22/05/2023, 2:39:20 pm</t>
  </si>
  <si>
    <t>22/05/2023, 2:39:21 pm</t>
  </si>
  <si>
    <t>22/05/2023, 2:39:22 pm</t>
  </si>
  <si>
    <t>22/05/2023, 2:39:23 pm</t>
  </si>
  <si>
    <t>22/05/2023, 2:39:24 pm</t>
  </si>
  <si>
    <t>22/05/2023, 2:39:25 pm</t>
  </si>
  <si>
    <t>22/05/2023, 2:39:26 pm</t>
  </si>
  <si>
    <t>22/05/2023, 2:39:27 pm</t>
  </si>
  <si>
    <t>22/05/2023, 2:39:28 pm</t>
  </si>
  <si>
    <t>22/05/2023, 2:39:29 pm</t>
  </si>
  <si>
    <t>22/05/2023, 2:39:30 pm</t>
  </si>
  <si>
    <t>22/05/2023, 2:39:31 pm</t>
  </si>
  <si>
    <t>22/05/2023, 2:39:32 pm</t>
  </si>
  <si>
    <t>22/05/2023, 2:39:33 pm</t>
  </si>
  <si>
    <t>22/05/2023, 2:39:34 pm</t>
  </si>
  <si>
    <t>22/05/2023, 2:39:35 pm</t>
  </si>
  <si>
    <t>22/05/2023, 2:39:36 pm</t>
  </si>
  <si>
    <t>22/05/2023, 2:39:37 pm</t>
  </si>
  <si>
    <t>22/05/2023, 2:39:38 pm</t>
  </si>
  <si>
    <t>22/05/2023, 2:39:39 pm</t>
  </si>
  <si>
    <t>22/05/2023, 2:39:40 pm</t>
  </si>
  <si>
    <t>22/05/2023, 2:39:41 pm</t>
  </si>
  <si>
    <t>22/05/2023, 2:39:42 pm</t>
  </si>
  <si>
    <t>22/05/2023, 2:39:43 pm</t>
  </si>
  <si>
    <t>22/05/2023, 2:39:44 pm</t>
  </si>
  <si>
    <t>22/05/2023, 2:39:45 pm</t>
  </si>
  <si>
    <t>22/05/2023, 2:39:46 pm</t>
  </si>
  <si>
    <t>22/05/2023, 2:39:47 pm</t>
  </si>
  <si>
    <t>22/05/2023, 2:39:48 pm</t>
  </si>
  <si>
    <t>22/05/2023, 2:39:49 pm</t>
  </si>
  <si>
    <t>22/05/2023, 2:39:50 pm</t>
  </si>
  <si>
    <t>22/05/2023, 2:39:51 pm</t>
  </si>
  <si>
    <t>22/05/2023, 2:39:52 pm</t>
  </si>
  <si>
    <t>22/05/2023, 2:39:53 pm</t>
  </si>
  <si>
    <t>22/05/2023, 2:39:56 pm</t>
  </si>
  <si>
    <t>22/05/2023, 2:39:57 pm</t>
  </si>
  <si>
    <t>22/05/2023, 2:39:58 pm</t>
  </si>
  <si>
    <t>22/05/2023, 2:39:59 pm</t>
  </si>
  <si>
    <t>22/05/2023, 2:40:00 pm</t>
  </si>
  <si>
    <t>22/05/2023, 2:40:01 pm</t>
  </si>
  <si>
    <t>22/05/2023, 2:40:02 pm</t>
  </si>
  <si>
    <t>22/05/2023, 2:40:03 pm</t>
  </si>
  <si>
    <t>22/05/2023, 2:40:04 pm</t>
  </si>
  <si>
    <t>22/05/2023, 2:40:05 pm</t>
  </si>
  <si>
    <t>22/05/2023, 2:40:06 pm</t>
  </si>
  <si>
    <t>22/05/2023, 2:40:07 pm</t>
  </si>
  <si>
    <t>22/05/2023, 2:40:08 pm</t>
  </si>
  <si>
    <t>22/05/2023, 2:40:09 pm</t>
  </si>
  <si>
    <t>22/05/2023, 2:40:10 pm</t>
  </si>
  <si>
    <t>22/05/2023, 2:40:11 pm</t>
  </si>
  <si>
    <t>22/05/2023, 2:40:12 pm</t>
  </si>
  <si>
    <t>22/05/2023, 2:40:13 pm</t>
  </si>
  <si>
    <t>22/05/2023, 2:40:14 pm</t>
  </si>
  <si>
    <t>22/05/2023, 2:40:15 pm</t>
  </si>
  <si>
    <t>22/05/2023, 2:40:16 pm</t>
  </si>
  <si>
    <t>22/05/2023, 2:40:17 pm</t>
  </si>
  <si>
    <t>22/05/2023, 2:40:18 pm</t>
  </si>
  <si>
    <t>22/05/2023, 2:40:19 pm</t>
  </si>
  <si>
    <t>22/05/2023, 2:40:20 pm</t>
  </si>
  <si>
    <t>22/05/2023, 2:40:21 pm</t>
  </si>
  <si>
    <t>22/05/2023, 2:40:22 pm</t>
  </si>
  <si>
    <t>22/05/2023, 2:40:23 pm</t>
  </si>
  <si>
    <t>22/05/2023, 2:40:24 pm</t>
  </si>
  <si>
    <t>22/05/2023, 2:40:25 pm</t>
  </si>
  <si>
    <t>22/05/2023, 2:40:26 pm</t>
  </si>
  <si>
    <t>22/05/2023, 2:40:27 pm</t>
  </si>
  <si>
    <t>22/05/2023, 2:40:28 pm</t>
  </si>
  <si>
    <t>22/05/2023, 2:40:29 pm</t>
  </si>
  <si>
    <t>22/05/2023, 2:40:30 pm</t>
  </si>
  <si>
    <t>22/05/2023, 2:40:31 pm</t>
  </si>
  <si>
    <t>22/05/2023, 2:40:32 pm</t>
  </si>
  <si>
    <t>22/05/2023, 2:40:33 pm</t>
  </si>
  <si>
    <t>22/05/2023, 2:40:34 pm</t>
  </si>
  <si>
    <t>22/05/2023, 2:40:35 pm</t>
  </si>
  <si>
    <t>22/05/2023, 2:40:36 pm</t>
  </si>
  <si>
    <t>22/05/2023, 2:40:37 pm</t>
  </si>
  <si>
    <t>22/05/2023, 2:40:38 pm</t>
  </si>
  <si>
    <t>22/05/2023, 2:40:39 pm</t>
  </si>
  <si>
    <t>22/05/2023, 2:40:40 pm</t>
  </si>
  <si>
    <t>22/05/2023, 2:40:41 pm</t>
  </si>
  <si>
    <t>22/05/2023, 2:40:42 pm</t>
  </si>
  <si>
    <t>22/05/2023, 2:40:43 pm</t>
  </si>
  <si>
    <t>22/05/2023, 2:40:44 pm</t>
  </si>
  <si>
    <t>22/05/2023, 2:40:45 pm</t>
  </si>
  <si>
    <t>22/05/2023, 2:40:46 pm</t>
  </si>
  <si>
    <t>22/05/2023, 2:40:47 pm</t>
  </si>
  <si>
    <t>22/05/2023, 2:40:48 pm</t>
  </si>
  <si>
    <t>22/05/2023, 2:40:49 pm</t>
  </si>
  <si>
    <t>22/05/2023, 2:40:50 pm</t>
  </si>
  <si>
    <t>22/05/2023, 2:40:51 pm</t>
  </si>
  <si>
    <t>22/05/2023, 2:40:52 pm</t>
  </si>
  <si>
    <t>22/05/2023, 2:40:53 pm</t>
  </si>
  <si>
    <t>22/05/2023, 2:40:54 pm</t>
  </si>
  <si>
    <t>22/05/2023, 2:40:55 pm</t>
  </si>
  <si>
    <t>22/05/2023, 2:40:56 pm</t>
  </si>
  <si>
    <t>22/05/2023, 2:40:57 pm</t>
  </si>
  <si>
    <t>22/05/2023, 2:40:58 pm</t>
  </si>
  <si>
    <t>22/05/2023, 2:40:59 pm</t>
  </si>
  <si>
    <t>22/05/2023, 2:41:00 pm</t>
  </si>
  <si>
    <t>22/05/2023, 2:41:01 pm</t>
  </si>
  <si>
    <t>22/05/2023, 2:41:02 pm</t>
  </si>
  <si>
    <t>22/05/2023, 2:41:03 pm</t>
  </si>
  <si>
    <t>22/05/2023, 2:41:04 pm</t>
  </si>
  <si>
    <t>22/05/2023, 2:41:05 pm</t>
  </si>
  <si>
    <t>22/05/2023, 2:41:06 pm</t>
  </si>
  <si>
    <t>22/05/2023, 2:41:07 pm</t>
  </si>
  <si>
    <t>22/05/2023, 2:41:08 pm</t>
  </si>
  <si>
    <t>22/05/2023, 2:41:09 pm</t>
  </si>
  <si>
    <t>22/05/2023, 2:41:10 pm</t>
  </si>
  <si>
    <t>22/05/2023, 2:41:11 pm</t>
  </si>
  <si>
    <t>22/05/2023, 2:41:12 pm</t>
  </si>
  <si>
    <t>22/05/2023, 2:41:13 pm</t>
  </si>
  <si>
    <t>22/05/2023, 2:41:14 pm</t>
  </si>
  <si>
    <t>22/05/2023, 2:41:15 pm</t>
  </si>
  <si>
    <t>22/05/2023, 2:41:16 pm</t>
  </si>
  <si>
    <t>22/05/2023, 2:41:17 pm</t>
  </si>
  <si>
    <t>22/05/2023, 2:41:19 pm</t>
  </si>
  <si>
    <t>22/05/2023, 2:41:20 pm</t>
  </si>
  <si>
    <t>22/05/2023, 2:41:21 pm</t>
  </si>
  <si>
    <t>22/05/2023, 2:41:22 pm</t>
  </si>
  <si>
    <t>22/05/2023, 2:41:23 pm</t>
  </si>
  <si>
    <t>22/05/2023, 2:41:24 pm</t>
  </si>
  <si>
    <t>22/05/2023, 2:41:25 pm</t>
  </si>
  <si>
    <t>22/05/2023, 2:41:26 pm</t>
  </si>
  <si>
    <t>22/05/2023, 2:41:27 pm</t>
  </si>
  <si>
    <t>22/05/2023, 2:41:28 pm</t>
  </si>
  <si>
    <t>22/05/2023, 2:41:29 pm</t>
  </si>
  <si>
    <t>22/05/2023, 2:41:30 pm</t>
  </si>
  <si>
    <t>22/05/2023, 2:41:31 pm</t>
  </si>
  <si>
    <t>22/05/2023, 2:41:32 pm</t>
  </si>
  <si>
    <t>22/05/2023, 2:41:33 pm</t>
  </si>
  <si>
    <t>22/05/2023, 2:41:34 pm</t>
  </si>
  <si>
    <t>22/05/2023, 2:41:35 pm</t>
  </si>
  <si>
    <t>22/05/2023, 2:41:36 pm</t>
  </si>
  <si>
    <t>22/05/2023, 2:41:37 pm</t>
  </si>
  <si>
    <t>22/05/2023, 2:41:38 pm</t>
  </si>
  <si>
    <t>22/05/2023, 2:41:39 pm</t>
  </si>
  <si>
    <t>22/05/2023, 2:41:40 pm</t>
  </si>
  <si>
    <t>22/05/2023, 2:41:41 pm</t>
  </si>
  <si>
    <t>22/05/2023, 2:41:42 pm</t>
  </si>
  <si>
    <t>22/05/2023, 2:41:43 pm</t>
  </si>
  <si>
    <t>22/05/2023, 2:41:44 pm</t>
  </si>
  <si>
    <t>22/05/2023, 2:41:45 pm</t>
  </si>
  <si>
    <t>22/05/2023, 2:41:46 pm</t>
  </si>
  <si>
    <t>22/05/2023, 2:41:47 pm</t>
  </si>
  <si>
    <t>22/05/2023, 2:41:48 pm</t>
  </si>
  <si>
    <t>22/05/2023, 2:41:49 pm</t>
  </si>
  <si>
    <t>22/05/2023, 2:41:50 pm</t>
  </si>
  <si>
    <t>22/05/2023, 2:41:51 pm</t>
  </si>
  <si>
    <t>22/05/2023, 2:41:52 pm</t>
  </si>
  <si>
    <t>22/05/2023, 2:41:53 pm</t>
  </si>
  <si>
    <t>22/05/2023, 2:41:54 pm</t>
  </si>
  <si>
    <t>22/05/2023, 2:41:55 pm</t>
  </si>
  <si>
    <t>22/05/2023, 2:41:56 pm</t>
  </si>
  <si>
    <t>22/05/2023, 2:41:57 pm</t>
  </si>
  <si>
    <t>22/05/2023, 2:41:58 pm</t>
  </si>
  <si>
    <t>22/05/2023, 2:41:59 pm</t>
  </si>
  <si>
    <t>22/05/2023, 2:42:00 pm</t>
  </si>
  <si>
    <t>22/05/2023, 2:42:01 pm</t>
  </si>
  <si>
    <t>22/05/2023, 2:42:02 pm</t>
  </si>
  <si>
    <t>22/05/2023, 2:42:03 pm</t>
  </si>
  <si>
    <t>22/05/2023, 2:42:04 pm</t>
  </si>
  <si>
    <t>22/05/2023, 2:42:05 pm</t>
  </si>
  <si>
    <t>22/05/2023, 2:42:06 pm</t>
  </si>
  <si>
    <t>22/05/2023, 2:42:07 pm</t>
  </si>
  <si>
    <t>22/05/2023, 2:42:08 pm</t>
  </si>
  <si>
    <t>22/05/2023, 2:42:09 pm</t>
  </si>
  <si>
    <t>22/05/2023, 2:42:10 pm</t>
  </si>
  <si>
    <t>22/05/2023, 2:42:11 pm</t>
  </si>
  <si>
    <t>22/05/2023, 2:42:12 pm</t>
  </si>
  <si>
    <t>22/05/2023, 2:42:13 pm</t>
  </si>
  <si>
    <t>22/05/2023, 2:42:14 pm</t>
  </si>
  <si>
    <t>22/05/2023, 2:42:15 pm</t>
  </si>
  <si>
    <t>22/05/2023, 2:42:16 pm</t>
  </si>
  <si>
    <t>22/05/2023, 2:42:17 pm</t>
  </si>
  <si>
    <t>22/05/2023, 2:42:18 pm</t>
  </si>
  <si>
    <t>22/05/2023, 2:42:19 pm</t>
  </si>
  <si>
    <t>22/05/2023, 2:42:20 pm</t>
  </si>
  <si>
    <t>22/05/2023, 2:42:21 pm</t>
  </si>
  <si>
    <t>22/05/2023, 2:42:22 pm</t>
  </si>
  <si>
    <t>22/05/2023, 2:42:23 pm</t>
  </si>
  <si>
    <t>22/05/2023, 2:42:24 pm</t>
  </si>
  <si>
    <t>22/05/2023, 2:42:25 pm</t>
  </si>
  <si>
    <t>22/05/2023, 2:42:26 pm</t>
  </si>
  <si>
    <t>22/05/2023, 2:42:27 pm</t>
  </si>
  <si>
    <t>22/05/2023, 2:42:28 pm</t>
  </si>
  <si>
    <t>22/05/2023, 2:42:29 pm</t>
  </si>
  <si>
    <t>22/05/2023, 2:42:30 pm</t>
  </si>
  <si>
    <t>22/05/2023, 2:42:31 pm</t>
  </si>
  <si>
    <t>22/05/2023, 2:42:32 pm</t>
  </si>
  <si>
    <t>22/05/2023, 2:42:33 pm</t>
  </si>
  <si>
    <t>22/05/2023, 2:42:34 pm</t>
  </si>
  <si>
    <t>22/05/2023, 2:42:35 pm</t>
  </si>
  <si>
    <t>22/05/2023, 2:42:36 pm</t>
  </si>
  <si>
    <t>22/05/2023, 2:42:37 pm</t>
  </si>
  <si>
    <t>22/05/2023, 2:42:38 pm</t>
  </si>
  <si>
    <t>22/05/2023, 2:42:39 pm</t>
  </si>
  <si>
    <t>22/05/2023, 2:42:40 pm</t>
  </si>
  <si>
    <t>22/05/2023, 2:42:41 pm</t>
  </si>
  <si>
    <t>22/05/2023, 2:42:42 pm</t>
  </si>
  <si>
    <t>22/05/2023, 2:42:43 pm</t>
  </si>
  <si>
    <t>22/05/2023, 2:42:44 pm</t>
  </si>
  <si>
    <t>22/05/2023, 2:42:45 pm</t>
  </si>
  <si>
    <t>22/05/2023, 2:42:46 pm</t>
  </si>
  <si>
    <t>22/05/2023, 2:42:47 pm</t>
  </si>
  <si>
    <t>22/05/2023, 2:42:48 pm</t>
  </si>
  <si>
    <t>22/05/2023, 2:42:49 pm</t>
  </si>
  <si>
    <t>22/05/2023, 2:42:50 pm</t>
  </si>
  <si>
    <t>22/05/2023, 2:42:51 pm</t>
  </si>
  <si>
    <t>22/05/2023, 2:42:52 pm</t>
  </si>
  <si>
    <t>22/05/2023, 2:42:53 pm</t>
  </si>
  <si>
    <t>22/05/2023, 2:42:54 pm</t>
  </si>
  <si>
    <t>22/05/2023, 2:42:55 pm</t>
  </si>
  <si>
    <t>22/05/2023, 2:42:56 pm</t>
  </si>
  <si>
    <t>22/05/2023, 2:42:57 pm</t>
  </si>
  <si>
    <t>22/05/2023, 2:42:58 pm</t>
  </si>
  <si>
    <t>22/05/2023, 2:42:59 pm</t>
  </si>
  <si>
    <t>22/05/2023, 2:43:00 pm</t>
  </si>
  <si>
    <t>22/05/2023, 2:43:01 pm</t>
  </si>
  <si>
    <t>22/05/2023, 2:43:02 pm</t>
  </si>
  <si>
    <t>22/05/2023, 2:43:03 pm</t>
  </si>
  <si>
    <t>22/05/2023, 2:43:04 pm</t>
  </si>
  <si>
    <t>22/05/2023, 2:43:05 pm</t>
  </si>
  <si>
    <t>22/05/2023, 2:43:06 pm</t>
  </si>
  <si>
    <t>22/05/2023, 2:43:07 pm</t>
  </si>
  <si>
    <t>22/05/2023, 2:43:08 pm</t>
  </si>
  <si>
    <t>22/05/2023, 2:43:09 pm</t>
  </si>
  <si>
    <t>22/05/2023, 2:43:10 pm</t>
  </si>
  <si>
    <t>22/05/2023, 2:43:11 pm</t>
  </si>
  <si>
    <t>22/05/2023, 2:43:12 pm</t>
  </si>
  <si>
    <t>22/05/2023, 2:43:13 pm</t>
  </si>
  <si>
    <t>22/05/2023, 2:43:14 pm</t>
  </si>
  <si>
    <t>22/05/2023, 2:43:15 pm</t>
  </si>
  <si>
    <t>22/05/2023, 2:43:16 pm</t>
  </si>
  <si>
    <t>22/05/2023, 2:43:17 pm</t>
  </si>
  <si>
    <t>22/05/2023, 2:43:18 pm</t>
  </si>
  <si>
    <t>22/05/2023, 2:43:19 pm</t>
  </si>
  <si>
    <t>22/05/2023, 2:43:20 pm</t>
  </si>
  <si>
    <t>22/05/2023, 2:43:21 pm</t>
  </si>
  <si>
    <t>22/05/2023, 2:43:22 pm</t>
  </si>
  <si>
    <t>22/05/2023, 2:43:23 pm</t>
  </si>
  <si>
    <t>22/05/2023, 2:43:24 pm</t>
  </si>
  <si>
    <t>22/05/2023, 2:43:25 pm</t>
  </si>
  <si>
    <t>22/05/2023, 2:43:26 pm</t>
  </si>
  <si>
    <t>22/05/2023, 2:43:27 pm</t>
  </si>
  <si>
    <t>22/05/2023, 2:43:28 pm</t>
  </si>
  <si>
    <t>22/05/2023, 2:43:29 pm</t>
  </si>
  <si>
    <t>22/05/2023, 2:43:30 pm</t>
  </si>
  <si>
    <t>22/05/2023, 2:43:31 pm</t>
  </si>
  <si>
    <t>22/05/2023, 2:43:32 pm</t>
  </si>
  <si>
    <t>22/05/2023, 2:43:33 pm</t>
  </si>
  <si>
    <t>22/05/2023, 2:43:34 pm</t>
  </si>
  <si>
    <t>22/05/2023, 2:43:35 pm</t>
  </si>
  <si>
    <t>22/05/2023, 2:43:37 pm</t>
  </si>
  <si>
    <t>22/05/2023, 2:43:38 pm</t>
  </si>
  <si>
    <t>22/05/2023, 2:43:39 pm</t>
  </si>
  <si>
    <t>22/05/2023, 2:43:40 pm</t>
  </si>
  <si>
    <t>22/05/2023, 2:43:41 pm</t>
  </si>
  <si>
    <t>22/05/2023, 2:43:42 pm</t>
  </si>
  <si>
    <t>22/05/2023, 2:43:43 pm</t>
  </si>
  <si>
    <t>22/05/2023, 2:43:44 pm</t>
  </si>
  <si>
    <t>22/05/2023, 2:43:45 pm</t>
  </si>
  <si>
    <t>22/05/2023, 2:43:46 pm</t>
  </si>
  <si>
    <t>22/05/2023, 2:43:47 pm</t>
  </si>
  <si>
    <t>22/05/2023, 2:43:48 pm</t>
  </si>
  <si>
    <t>22/05/2023, 2:43:49 pm</t>
  </si>
  <si>
    <t>22/05/2023, 2:43:50 pm</t>
  </si>
  <si>
    <t>22/05/2023, 2:43:51 pm</t>
  </si>
  <si>
    <t>22/05/2023, 2:43:52 pm</t>
  </si>
  <si>
    <t>22/05/2023, 2:43:53 pm</t>
  </si>
  <si>
    <t>22/05/2023, 2:43:54 pm</t>
  </si>
  <si>
    <t>22/05/2023, 2:43:55 pm</t>
  </si>
  <si>
    <t>22/05/2023, 2:43:56 pm</t>
  </si>
  <si>
    <t>22/05/2023, 2:43:57 pm</t>
  </si>
  <si>
    <t>22/05/2023, 2:43:58 pm</t>
  </si>
  <si>
    <t>22/05/2023, 2:43:59 pm</t>
  </si>
  <si>
    <t>22/05/2023, 2:44:00 pm</t>
  </si>
  <si>
    <t>22/05/2023, 2:44:01 pm</t>
  </si>
  <si>
    <t>22/05/2023, 2:44:02 pm</t>
  </si>
  <si>
    <t>22/05/2023, 2:44:03 pm</t>
  </si>
  <si>
    <t>22/05/2023, 2:44:04 pm</t>
  </si>
  <si>
    <t>22/05/2023, 2:44:05 pm</t>
  </si>
  <si>
    <t>22/05/2023, 2:44:06 pm</t>
  </si>
  <si>
    <t>22/05/2023, 2:44:07 pm</t>
  </si>
  <si>
    <t>22/05/2023, 2:44:08 pm</t>
  </si>
  <si>
    <t>22/05/2023, 2:44:09 pm</t>
  </si>
  <si>
    <t>22/05/2023, 2:44:10 pm</t>
  </si>
  <si>
    <t>22/05/2023, 2:44:11 pm</t>
  </si>
  <si>
    <t>22/05/2023, 2:44:12 pm</t>
  </si>
  <si>
    <t>22/05/2023, 2:44:13 pm</t>
  </si>
  <si>
    <t>22/05/2023, 2:44:14 pm</t>
  </si>
  <si>
    <t>22/05/2023, 2:44:15 pm</t>
  </si>
  <si>
    <t>22/05/2023, 2:44:16 pm</t>
  </si>
  <si>
    <t>22/05/2023, 2:44:17 pm</t>
  </si>
  <si>
    <t>22/05/2023, 2:44:18 pm</t>
  </si>
  <si>
    <t>22/05/2023, 2:44:19 pm</t>
  </si>
  <si>
    <t>22/05/2023, 2:44:20 pm</t>
  </si>
  <si>
    <t>22/05/2023, 2:44:21 pm</t>
  </si>
  <si>
    <t>22/05/2023, 2:44:22 pm</t>
  </si>
  <si>
    <t>22/05/2023, 2:44:23 pm</t>
  </si>
  <si>
    <t>22/05/2023, 2:44:24 pm</t>
  </si>
  <si>
    <t>22/05/2023, 2:44:25 pm</t>
  </si>
  <si>
    <t>22/05/2023, 2:44:26 pm</t>
  </si>
  <si>
    <t>22/05/2023, 2:44:27 pm</t>
  </si>
  <si>
    <t>22/05/2023, 2:44:28 pm</t>
  </si>
  <si>
    <t>22/05/2023, 2:44:29 pm</t>
  </si>
  <si>
    <t>22/05/2023, 2:44:30 pm</t>
  </si>
  <si>
    <t>22/05/2023, 2:44:31 pm</t>
  </si>
  <si>
    <t>22/05/2023, 2:44:32 pm</t>
  </si>
  <si>
    <t>22/05/2023, 2:44:33 pm</t>
  </si>
  <si>
    <t>22/05/2023, 2:44:34 pm</t>
  </si>
  <si>
    <t>22/05/2023, 2:44:35 pm</t>
  </si>
  <si>
    <t>22/05/2023, 2:44:36 pm</t>
  </si>
  <si>
    <t>22/05/2023, 2:44:37 pm</t>
  </si>
  <si>
    <t>22/05/2023, 2:44:38 pm</t>
  </si>
  <si>
    <t>22/05/2023, 2:44:39 pm</t>
  </si>
  <si>
    <t>22/05/2023, 2:44:40 pm</t>
  </si>
  <si>
    <t>22/05/2023, 2:44:41 pm</t>
  </si>
  <si>
    <t>22/05/2023, 2:44:42 pm</t>
  </si>
  <si>
    <t>22/05/2023, 2:44:43 pm</t>
  </si>
  <si>
    <t>22/05/2023, 2:44:44 pm</t>
  </si>
  <si>
    <t>22/05/2023, 2:44:45 pm</t>
  </si>
  <si>
    <t>22/05/2023, 2:44:46 pm</t>
  </si>
  <si>
    <t>22/05/2023, 2:44:47 pm</t>
  </si>
  <si>
    <t>22/05/2023, 2:44:48 pm</t>
  </si>
  <si>
    <t>22/05/2023, 2:44:49 pm</t>
  </si>
  <si>
    <t>22/05/2023, 2:44:50 pm</t>
  </si>
  <si>
    <t>22/05/2023, 2:44:51 pm</t>
  </si>
  <si>
    <t>22/05/2023, 2:44:52 pm</t>
  </si>
  <si>
    <t>22/05/2023, 2:44:53 pm</t>
  </si>
  <si>
    <t>22/05/2023, 2:44:54 pm</t>
  </si>
  <si>
    <t>22/05/2023, 2:44:55 pm</t>
  </si>
  <si>
    <t>22/05/2023, 2:44:56 pm</t>
  </si>
  <si>
    <t>22/05/2023, 2:44:57 pm</t>
  </si>
  <si>
    <t>22/05/2023, 2:44:58 pm</t>
  </si>
  <si>
    <t>22/05/2023, 2:44:59 pm</t>
  </si>
  <si>
    <t>22/05/2023, 2:45:00 pm</t>
  </si>
  <si>
    <t>22/05/2023, 2:45:01 pm</t>
  </si>
  <si>
    <t>22/05/2023, 2:45:02 pm</t>
  </si>
  <si>
    <t>22/05/2023, 2:45:03 pm</t>
  </si>
  <si>
    <t>22/05/2023, 2:45:04 pm</t>
  </si>
  <si>
    <t>22/05/2023, 2:45:05 pm</t>
  </si>
  <si>
    <t>22/05/2023, 2:45:06 pm</t>
  </si>
  <si>
    <t>22/05/2023, 2:45:07 pm</t>
  </si>
  <si>
    <t>22/05/2023, 2:45:08 pm</t>
  </si>
  <si>
    <t>22/05/2023, 2:45:09 pm</t>
  </si>
  <si>
    <t>22/05/2023, 2:45:10 pm</t>
  </si>
  <si>
    <t>22/05/2023, 2:45:11 pm</t>
  </si>
  <si>
    <t>22/05/2023, 2:45:12 pm</t>
  </si>
  <si>
    <t>22/05/2023, 2:45:13 pm</t>
  </si>
  <si>
    <t>22/05/2023, 2:45:14 pm</t>
  </si>
  <si>
    <t>22/05/2023, 2:45:15 pm</t>
  </si>
  <si>
    <t>22/05/2023, 2:45:16 pm</t>
  </si>
  <si>
    <t>22/05/2023, 2:45:17 pm</t>
  </si>
  <si>
    <t>22/05/2023, 2:45:18 pm</t>
  </si>
  <si>
    <t>22/05/2023, 2:45:19 pm</t>
  </si>
  <si>
    <t>22/05/2023, 2:45:20 pm</t>
  </si>
  <si>
    <t>22/05/2023, 2:45:21 pm</t>
  </si>
  <si>
    <t>22/05/2023, 2:45:22 pm</t>
  </si>
  <si>
    <t>22/05/2023, 2:45:23 pm</t>
  </si>
  <si>
    <t>22/05/2023, 2:45:24 pm</t>
  </si>
  <si>
    <t>22/05/2023, 2:45:25 pm</t>
  </si>
  <si>
    <t>22/05/2023, 2:45:26 pm</t>
  </si>
  <si>
    <t>22/05/2023, 2:45:27 pm</t>
  </si>
  <si>
    <t>22/05/2023, 2:45:28 pm</t>
  </si>
  <si>
    <t>22/05/2023, 2:45:29 pm</t>
  </si>
  <si>
    <t>22/05/2023, 2:45:30 pm</t>
  </si>
  <si>
    <t>22/05/2023, 2:45:31 pm</t>
  </si>
  <si>
    <t>22/05/2023, 2:45:32 pm</t>
  </si>
  <si>
    <t>22/05/2023, 2:45:33 pm</t>
  </si>
  <si>
    <t>22/05/2023, 2:45:34 pm</t>
  </si>
  <si>
    <t>22/05/2023, 2:45:35 pm</t>
  </si>
  <si>
    <t>22/05/2023, 2:45:36 pm</t>
  </si>
  <si>
    <t>22/05/2023, 2:45:37 pm</t>
  </si>
  <si>
    <t>22/05/2023, 2:45:38 pm</t>
  </si>
  <si>
    <t>22/05/2023, 2:45:39 pm</t>
  </si>
  <si>
    <t>22/05/2023, 2:45:40 pm</t>
  </si>
  <si>
    <t>22/05/2023, 2:45:41 pm</t>
  </si>
  <si>
    <t>22/05/2023, 2:45:42 pm</t>
  </si>
  <si>
    <t>22/05/2023, 2:45:43 pm</t>
  </si>
  <si>
    <t>22/05/2023, 2:45:44 pm</t>
  </si>
  <si>
    <t>22/05/2023, 2:45:45 pm</t>
  </si>
  <si>
    <t>22/05/2023, 2:45:46 pm</t>
  </si>
  <si>
    <t>22/05/2023, 2:45:47 pm</t>
  </si>
  <si>
    <t>22/05/2023, 2:45:48 pm</t>
  </si>
  <si>
    <t>22/05/2023, 2:45:49 pm</t>
  </si>
  <si>
    <t>22/05/2023, 2:45:50 pm</t>
  </si>
  <si>
    <t>22/05/2023, 2:45:51 pm</t>
  </si>
  <si>
    <t>22/05/2023, 2:45:52 pm</t>
  </si>
  <si>
    <t>22/05/2023, 2:45:53 pm</t>
  </si>
  <si>
    <t>22/05/2023, 2:45:54 pm</t>
  </si>
  <si>
    <t>22/05/2023, 2:45:55 pm</t>
  </si>
  <si>
    <t>22/05/2023, 2:45:56 pm</t>
  </si>
  <si>
    <t>22/05/2023, 2:45:57 pm</t>
  </si>
  <si>
    <t>22/05/2023, 2:45:58 pm</t>
  </si>
  <si>
    <t>22/05/2023, 2:45:59 pm</t>
  </si>
  <si>
    <t>22/05/2023, 2:46:01 pm</t>
  </si>
  <si>
    <t>22/05/2023, 2:46:02 pm</t>
  </si>
  <si>
    <t>22/05/2023, 2:46:03 pm</t>
  </si>
  <si>
    <t>22/05/2023, 2:46:04 pm</t>
  </si>
  <si>
    <t>22/05/2023, 2:46:05 pm</t>
  </si>
  <si>
    <t>22/05/2023, 2:46:06 pm</t>
  </si>
  <si>
    <t>22/05/2023, 2:46:07 pm</t>
  </si>
  <si>
    <t>22/05/2023, 2:46:08 pm</t>
  </si>
  <si>
    <t>22/05/2023, 2:46:09 pm</t>
  </si>
  <si>
    <t>22/05/2023, 2:46:10 pm</t>
  </si>
  <si>
    <t>22/05/2023, 2:46:11 pm</t>
  </si>
  <si>
    <t>22/05/2023, 2:46:12 pm</t>
  </si>
  <si>
    <t>22/05/2023, 2:46:13 pm</t>
  </si>
  <si>
    <t>22/05/2023, 2:46:14 pm</t>
  </si>
  <si>
    <t>22/05/2023, 2:46:15 pm</t>
  </si>
  <si>
    <t>22/05/2023, 2:46:16 pm</t>
  </si>
  <si>
    <t>22/05/2023, 2:46:17 pm</t>
  </si>
  <si>
    <t>22/05/2023, 2:46:18 pm</t>
  </si>
  <si>
    <t>22/05/2023, 2:46:19 pm</t>
  </si>
  <si>
    <t>22/05/2023, 2:46:20 pm</t>
  </si>
  <si>
    <t>22/05/2023, 2:46:21 pm</t>
  </si>
  <si>
    <t>22/05/2023, 2:46:22 pm</t>
  </si>
  <si>
    <t>22/05/2023, 2:46:23 pm</t>
  </si>
  <si>
    <t>22/05/2023, 2:46:24 pm</t>
  </si>
  <si>
    <t>22/05/2023, 2:46:25 pm</t>
  </si>
  <si>
    <t>22/05/2023, 2:46:26 pm</t>
  </si>
  <si>
    <t>22/05/2023, 2:46:27 pm</t>
  </si>
  <si>
    <t>22/05/2023, 2:46:28 pm</t>
  </si>
  <si>
    <t>22/05/2023, 2:46:29 pm</t>
  </si>
  <si>
    <t>22/05/2023, 2:46:30 pm</t>
  </si>
  <si>
    <t>22/05/2023, 2:46:31 pm</t>
  </si>
  <si>
    <t>22/05/2023, 2:46:32 pm</t>
  </si>
  <si>
    <t>22/05/2023, 2:46:33 pm</t>
  </si>
  <si>
    <t>22/05/2023, 2:46:34 pm</t>
  </si>
  <si>
    <t>22/05/2023, 2:46:35 pm</t>
  </si>
  <si>
    <t>22/05/2023, 2:46:36 pm</t>
  </si>
  <si>
    <t>22/05/2023, 2:46:37 pm</t>
  </si>
  <si>
    <t>22/05/2023, 2:46:38 pm</t>
  </si>
  <si>
    <t>22/05/2023, 2:46:39 pm</t>
  </si>
  <si>
    <t>22/05/2023, 2:46:40 pm</t>
  </si>
  <si>
    <t>22/05/2023, 2:46:41 pm</t>
  </si>
  <si>
    <t>22/05/2023, 2:46:42 pm</t>
  </si>
  <si>
    <t>22/05/2023, 2:46:43 pm</t>
  </si>
  <si>
    <t>22/05/2023, 2:46:44 pm</t>
  </si>
  <si>
    <t>22/05/2023, 2:46:45 pm</t>
  </si>
  <si>
    <t>22/05/2023, 2:46:46 pm</t>
  </si>
  <si>
    <t>22/05/2023, 2:46:47 pm</t>
  </si>
  <si>
    <t>22/05/2023, 2:46:48 pm</t>
  </si>
  <si>
    <t>22/05/2023, 2:46:49 pm</t>
  </si>
  <si>
    <t>22/05/2023, 2:46:50 pm</t>
  </si>
  <si>
    <t>22/05/2023, 2:46:51 pm</t>
  </si>
  <si>
    <t>22/05/2023, 2:46:52 pm</t>
  </si>
  <si>
    <t>22/05/2023, 2:46:53 pm</t>
  </si>
  <si>
    <t>22/05/2023, 2:46:54 pm</t>
  </si>
  <si>
    <t>22/05/2023, 2:46:55 pm</t>
  </si>
  <si>
    <t>22/05/2023, 2:46:56 pm</t>
  </si>
  <si>
    <t>22/05/2023, 2:46:57 pm</t>
  </si>
  <si>
    <t>22/05/2023, 2:46:58 pm</t>
  </si>
  <si>
    <t>22/05/2023, 2:46:59 pm</t>
  </si>
  <si>
    <t>22/05/2023, 2:47:00 pm</t>
  </si>
  <si>
    <t>22/05/2023, 2:47:01 pm</t>
  </si>
  <si>
    <t>22/05/2023, 2:47:02 pm</t>
  </si>
  <si>
    <t>22/05/2023, 2:47:03 pm</t>
  </si>
  <si>
    <t>22/05/2023, 2:47:04 pm</t>
  </si>
  <si>
    <t>22/05/2023, 2:47:05 pm</t>
  </si>
  <si>
    <t>22/05/2023, 2:47:06 pm</t>
  </si>
  <si>
    <t>22/05/2023, 2:47:07 pm</t>
  </si>
  <si>
    <t>22/05/2023, 2:47:08 pm</t>
  </si>
  <si>
    <t>22/05/2023, 2:47:09 pm</t>
  </si>
  <si>
    <t>22/05/2023, 2:47:10 pm</t>
  </si>
  <si>
    <t>22/05/2023, 2:47:11 pm</t>
  </si>
  <si>
    <t>22/05/2023, 2:47:12 pm</t>
  </si>
  <si>
    <t>22/05/2023, 2:47:13 pm</t>
  </si>
  <si>
    <t>22/05/2023, 2:47:14 pm</t>
  </si>
  <si>
    <t>22/05/2023, 2:47:15 pm</t>
  </si>
  <si>
    <t>22/05/2023, 2:47:16 pm</t>
  </si>
  <si>
    <t>22/05/2023, 2:47:17 pm</t>
  </si>
  <si>
    <t>22/05/2023, 2:47:18 pm</t>
  </si>
  <si>
    <t>22/05/2023, 2:47:19 pm</t>
  </si>
  <si>
    <t>22/05/2023, 2:47:20 pm</t>
  </si>
  <si>
    <t>22/05/2023, 2:47:21 pm</t>
  </si>
  <si>
    <t>22/05/2023, 2:47:22 pm</t>
  </si>
  <si>
    <t>22/05/2023, 2:47:23 pm</t>
  </si>
  <si>
    <t>22/05/2023, 2:47:24 pm</t>
  </si>
  <si>
    <t>22/05/2023, 2:47:25 pm</t>
  </si>
  <si>
    <t>22/05/2023, 2:47:26 pm</t>
  </si>
  <si>
    <t>22/05/2023, 2:47:27 pm</t>
  </si>
  <si>
    <t>22/05/2023, 2:47:28 pm</t>
  </si>
  <si>
    <t>22/05/2023, 2:47:29 pm</t>
  </si>
  <si>
    <t>22/05/2023, 2:47:30 pm</t>
  </si>
  <si>
    <t>22/05/2023, 2:47:31 pm</t>
  </si>
  <si>
    <t>22/05/2023, 2:47:32 pm</t>
  </si>
  <si>
    <t>22/05/2023, 2:47:33 pm</t>
  </si>
  <si>
    <t>22/05/2023, 2:47:34 pm</t>
  </si>
  <si>
    <t>22/05/2023, 2:47:35 pm</t>
  </si>
  <si>
    <t>22/05/2023, 2:47:36 pm</t>
  </si>
  <si>
    <t>22/05/2023, 2:47:37 pm</t>
  </si>
  <si>
    <t>22/05/2023, 2:47:38 pm</t>
  </si>
  <si>
    <t>22/05/2023, 2:47:39 pm</t>
  </si>
  <si>
    <t>22/05/2023, 2:47:40 pm</t>
  </si>
  <si>
    <t>22/05/2023, 2:47:41 pm</t>
  </si>
  <si>
    <t>22/05/2023, 2:47:42 pm</t>
  </si>
  <si>
    <t>22/05/2023, 2:47:43 pm</t>
  </si>
  <si>
    <t>22/05/2023, 2:47:44 pm</t>
  </si>
  <si>
    <t>22/05/2023, 2:47:45 pm</t>
  </si>
  <si>
    <t>22/05/2023, 2:47:46 pm</t>
  </si>
  <si>
    <t>22/05/2023, 2:47:47 pm</t>
  </si>
  <si>
    <t>22/05/2023, 2:47:48 pm</t>
  </si>
  <si>
    <t>22/05/2023, 2:47:49 pm</t>
  </si>
  <si>
    <t>22/05/2023, 2:47:52 pm</t>
  </si>
  <si>
    <t>22/05/2023, 2:47:53 pm</t>
  </si>
  <si>
    <t>22/05/2023, 2:47:54 pm</t>
  </si>
  <si>
    <t>22/05/2023, 2:47:55 pm</t>
  </si>
  <si>
    <t>22/05/2023, 2:47:56 pm</t>
  </si>
  <si>
    <t>22/05/2023, 2:47:57 pm</t>
  </si>
  <si>
    <t>22/05/2023, 2:47:58 pm</t>
  </si>
  <si>
    <t>22/05/2023, 2:47:59 pm</t>
  </si>
  <si>
    <t>22/05/2023, 2:48:00 pm</t>
  </si>
  <si>
    <t>22/05/2023, 2:48:01 pm</t>
  </si>
  <si>
    <t>22/05/2023, 2:48:02 pm</t>
  </si>
  <si>
    <t>22/05/2023, 2:48:03 pm</t>
  </si>
  <si>
    <t>22/05/2023, 2:48:04 pm</t>
  </si>
  <si>
    <t>22/05/2023, 2:48:05 pm</t>
  </si>
  <si>
    <t>22/05/2023, 2:48:06 pm</t>
  </si>
  <si>
    <t>22/05/2023, 2:48:07 pm</t>
  </si>
  <si>
    <t>22/05/2023, 2:48:08 pm</t>
  </si>
  <si>
    <t>22/05/2023, 2:48:09 pm</t>
  </si>
  <si>
    <t>22/05/2023, 2:48:10 pm</t>
  </si>
  <si>
    <t>22/05/2023, 2:48:11 pm</t>
  </si>
  <si>
    <t>22/05/2023, 2:48:12 pm</t>
  </si>
  <si>
    <t>22/05/2023, 2:48:13 pm</t>
  </si>
  <si>
    <t>22/05/2023, 2:48:14 pm</t>
  </si>
  <si>
    <t>22/05/2023, 2:48:15 pm</t>
  </si>
  <si>
    <t>22/05/2023, 2:48:16 pm</t>
  </si>
  <si>
    <t>22/05/2023, 2:48:17 pm</t>
  </si>
  <si>
    <t>22/05/2023, 2:48:18 pm</t>
  </si>
  <si>
    <t>22/05/2023, 2:48:19 pm</t>
  </si>
  <si>
    <t>22/05/2023, 2:48:20 pm</t>
  </si>
  <si>
    <t>22/05/2023, 2:48:21 pm</t>
  </si>
  <si>
    <t>22/05/2023, 2:48:22 pm</t>
  </si>
  <si>
    <t>22/05/2023, 2:48:23 pm</t>
  </si>
  <si>
    <t>22/05/2023, 2:48:24 pm</t>
  </si>
  <si>
    <t>22/05/2023, 2:48:25 pm</t>
  </si>
  <si>
    <t>22/05/2023, 2:48:26 pm</t>
  </si>
  <si>
    <t>22/05/2023, 2:48:27 pm</t>
  </si>
  <si>
    <t>22/05/2023, 2:48:30 pm</t>
  </si>
  <si>
    <t>22/05/2023, 2:48:31 pm</t>
  </si>
  <si>
    <t>22/05/2023, 2:48:46 pm</t>
  </si>
  <si>
    <t>22/05/2023, 2:48:47 pm</t>
  </si>
  <si>
    <t>22/05/2023, 2:48:48 pm</t>
  </si>
  <si>
    <t>22/05/2023, 2:48:49 pm</t>
  </si>
  <si>
    <t>22/05/2023, 2:48:50 pm</t>
  </si>
  <si>
    <t>22/05/2023, 2:48:51 pm</t>
  </si>
  <si>
    <t>22/05/2023, 2:48:52 pm</t>
  </si>
  <si>
    <t>22/05/2023, 2:48:53 pm</t>
  </si>
  <si>
    <t>22/05/2023, 2:48:54 pm</t>
  </si>
  <si>
    <t>22/05/2023, 2:48:55 pm</t>
  </si>
  <si>
    <t>22/05/2023, 2:48:56 pm</t>
  </si>
  <si>
    <t>22/05/2023, 2:48:57 pm</t>
  </si>
  <si>
    <t>22/05/2023, 2:48:58 pm</t>
  </si>
  <si>
    <t>22/05/2023, 2:48:59 pm</t>
  </si>
  <si>
    <t>22/05/2023, 2:49:00 pm</t>
  </si>
  <si>
    <t>22/05/2023, 2:49:01 pm</t>
  </si>
  <si>
    <t>22/05/2023, 2:49:02 pm</t>
  </si>
  <si>
    <t>22/05/2023, 2:49:03 pm</t>
  </si>
  <si>
    <t>22/05/2023, 2:49:04 pm</t>
  </si>
  <si>
    <t>22/05/2023, 2:49:05 pm</t>
  </si>
  <si>
    <t>22/05/2023, 2:49:06 pm</t>
  </si>
  <si>
    <t>22/05/2023, 2:49:07 pm</t>
  </si>
  <si>
    <t>22/05/2023, 2:49:08 pm</t>
  </si>
  <si>
    <t>22/05/2023, 2:49:09 pm</t>
  </si>
  <si>
    <t>22/05/2023, 2:49:10 pm</t>
  </si>
  <si>
    <t>22/05/2023, 2:49:11 pm</t>
  </si>
  <si>
    <t>22/05/2023, 2:49:12 pm</t>
  </si>
  <si>
    <t>22/05/2023, 2:49:13 pm</t>
  </si>
  <si>
    <t>22/05/2023, 2:49:14 pm</t>
  </si>
  <si>
    <t>22/05/2023, 2:49:15 pm</t>
  </si>
  <si>
    <t>22/05/2023, 2:49:16 pm</t>
  </si>
  <si>
    <t>22/05/2023, 2:49:17 pm</t>
  </si>
  <si>
    <t>22/05/2023, 2:49:18 pm</t>
  </si>
  <si>
    <t>22/05/2023, 2:49:19 pm</t>
  </si>
  <si>
    <t>22/05/2023, 2:49:20 pm</t>
  </si>
  <si>
    <t>22/05/2023, 2:49:21 pm</t>
  </si>
  <si>
    <t>22/05/2023, 2:49:22 pm</t>
  </si>
  <si>
    <t>22/05/2023, 2:49:23 pm</t>
  </si>
  <si>
    <t>22/05/2023, 2:49:24 pm</t>
  </si>
  <si>
    <t>22/05/2023, 2:49:25 pm</t>
  </si>
  <si>
    <t>22/05/2023, 2:49:26 pm</t>
  </si>
  <si>
    <t>22/05/2023, 2:49:27 pm</t>
  </si>
  <si>
    <t>22/05/2023, 2:49:28 pm</t>
  </si>
  <si>
    <t>22/05/2023, 2:49:29 pm</t>
  </si>
  <si>
    <t>22/05/2023, 2:49:30 pm</t>
  </si>
  <si>
    <t>22/05/2023, 2:49:31 pm</t>
  </si>
  <si>
    <t>22/05/2023, 2:49:32 pm</t>
  </si>
  <si>
    <t>22/05/2023, 2:49:33 pm</t>
  </si>
  <si>
    <t>22/05/2023, 2:49:34 pm</t>
  </si>
  <si>
    <t>22/05/2023, 2:49:35 pm</t>
  </si>
  <si>
    <t>22/05/2023, 2:49:36 pm</t>
  </si>
  <si>
    <t>22/05/2023, 2:49:37 pm</t>
  </si>
  <si>
    <t>22/05/2023, 2:49:38 pm</t>
  </si>
  <si>
    <t>22/05/2023, 2:49:39 pm</t>
  </si>
  <si>
    <t>22/05/2023, 2:49:40 pm</t>
  </si>
  <si>
    <t>22/05/2023, 2:49:41 pm</t>
  </si>
  <si>
    <t>22/05/2023, 2:49:42 pm</t>
  </si>
  <si>
    <t>22/05/2023, 2:49:43 pm</t>
  </si>
  <si>
    <t>22/05/2023, 2:49:44 pm</t>
  </si>
  <si>
    <t>22/05/2023, 2:49:45 pm</t>
  </si>
  <si>
    <t>22/05/2023, 2:49:46 pm</t>
  </si>
  <si>
    <t>22/05/2023, 2:49:47 pm</t>
  </si>
  <si>
    <t>22/05/2023, 2:49:48 pm</t>
  </si>
  <si>
    <t>22/05/2023, 2:49:49 pm</t>
  </si>
  <si>
    <t>22/05/2023, 2:49:50 pm</t>
  </si>
  <si>
    <t>22/05/2023, 2:49:51 pm</t>
  </si>
  <si>
    <t>22/05/2023, 2:49:52 pm</t>
  </si>
  <si>
    <t>22/05/2023, 2:49:53 pm</t>
  </si>
  <si>
    <t>22/05/2023, 2:49:54 pm</t>
  </si>
  <si>
    <t>22/05/2023, 2:49:55 pm</t>
  </si>
  <si>
    <t>22/05/2023, 2:49:56 pm</t>
  </si>
  <si>
    <t>22/05/2023, 2:49:57 pm</t>
  </si>
  <si>
    <t>22/05/2023, 2:49:58 pm</t>
  </si>
  <si>
    <t>22/05/2023, 2:49:59 pm</t>
  </si>
  <si>
    <t>22/05/2023, 2:50:00 pm</t>
  </si>
  <si>
    <t>22/05/2023, 2:50:01 pm</t>
  </si>
  <si>
    <t>22/05/2023, 2:50:02 pm</t>
  </si>
  <si>
    <t>22/05/2023, 2:50:03 pm</t>
  </si>
  <si>
    <t>22/05/2023, 2:50:04 pm</t>
  </si>
  <si>
    <t>22/05/2023, 2:50:05 pm</t>
  </si>
  <si>
    <t>22/05/2023, 2:50:06 pm</t>
  </si>
  <si>
    <t>22/05/2023, 2:50:07 pm</t>
  </si>
  <si>
    <t>22/05/2023, 2:50:08 pm</t>
  </si>
  <si>
    <t>22/05/2023, 2:50:09 pm</t>
  </si>
  <si>
    <t>22/05/2023, 2:50:10 pm</t>
  </si>
  <si>
    <t>22/05/2023, 2:50:11 pm</t>
  </si>
  <si>
    <t>22/05/2023, 2:50:12 pm</t>
  </si>
  <si>
    <t>22/05/2023, 2:50:13 pm</t>
  </si>
  <si>
    <t>22/05/2023, 2:50:14 pm</t>
  </si>
  <si>
    <t>22/05/2023, 2:50:15 pm</t>
  </si>
  <si>
    <t>22/05/2023, 2:50:16 pm</t>
  </si>
  <si>
    <t>22/05/2023, 2:50:17 pm</t>
  </si>
  <si>
    <t>22/05/2023, 2:50:18 pm</t>
  </si>
  <si>
    <t>22/05/2023, 2:50:19 pm</t>
  </si>
  <si>
    <t>22/05/2023, 2:50:20 pm</t>
  </si>
  <si>
    <t>22/05/2023, 2:50:21 pm</t>
  </si>
  <si>
    <t>22/05/2023, 2:50:22 pm</t>
  </si>
  <si>
    <t>22/05/2023, 2:50:23 pm</t>
  </si>
  <si>
    <t>22/05/2023, 2:50:24 pm</t>
  </si>
  <si>
    <t>22/05/2023, 2:50:25 pm</t>
  </si>
  <si>
    <t>22/05/2023, 2:50:26 pm</t>
  </si>
  <si>
    <t>22/05/2023, 2:50:27 pm</t>
  </si>
  <si>
    <t>22/05/2023, 2:50:28 pm</t>
  </si>
  <si>
    <t>22/05/2023, 2:50:29 pm</t>
  </si>
  <si>
    <t>22/05/2023, 2:50:30 pm</t>
  </si>
  <si>
    <t>22/05/2023, 2:50:31 pm</t>
  </si>
  <si>
    <t>22/05/2023, 2:50:32 pm</t>
  </si>
  <si>
    <t>22/05/2023, 2:50:33 pm</t>
  </si>
  <si>
    <t>22/05/2023, 2:50:34 pm</t>
  </si>
  <si>
    <t>22/05/2023, 2:50:35 pm</t>
  </si>
  <si>
    <t>22/05/2023, 2:50:36 pm</t>
  </si>
  <si>
    <t>22/05/2023, 2:50:37 pm</t>
  </si>
  <si>
    <t>22/05/2023, 2:50:38 pm</t>
  </si>
  <si>
    <t>22/05/2023, 2:50:39 pm</t>
  </si>
  <si>
    <t>22/05/2023, 2:50:40 pm</t>
  </si>
  <si>
    <t>22/05/2023, 2:50:41 pm</t>
  </si>
  <si>
    <t>22/05/2023, 2:50:42 pm</t>
  </si>
  <si>
    <t>22/05/2023, 2:50:43 pm</t>
  </si>
  <si>
    <t>22/05/2023, 2:50:44 pm</t>
  </si>
  <si>
    <t>22/05/2023, 2:50:45 pm</t>
  </si>
  <si>
    <t>22/05/2023, 2:50:46 pm</t>
  </si>
  <si>
    <t>22/05/2023, 2:50:47 pm</t>
  </si>
  <si>
    <t>22/05/2023, 2:50:48 pm</t>
  </si>
  <si>
    <t>22/05/2023, 2:50:49 pm</t>
  </si>
  <si>
    <t>22/05/2023, 2:50:50 pm</t>
  </si>
  <si>
    <t>22/05/2023, 2:50:51 pm</t>
  </si>
  <si>
    <t>22/05/2023, 2:50:52 pm</t>
  </si>
  <si>
    <t>22/05/2023, 2:50:53 pm</t>
  </si>
  <si>
    <t>22/05/2023, 2:50:55 pm</t>
  </si>
  <si>
    <t>22/05/2023, 2:50:56 pm</t>
  </si>
  <si>
    <t>22/05/2023, 2:50:57 pm</t>
  </si>
  <si>
    <t>22/05/2023, 2:50:58 pm</t>
  </si>
  <si>
    <t>22/05/2023, 2:50:59 pm</t>
  </si>
  <si>
    <t>22/05/2023, 2:51:00 pm</t>
  </si>
  <si>
    <t>22/05/2023, 2:51:01 pm</t>
  </si>
  <si>
    <t>22/05/2023, 2:51:02 pm</t>
  </si>
  <si>
    <t>22/05/2023, 2:51:03 pm</t>
  </si>
  <si>
    <t>22/05/2023, 2:51:04 pm</t>
  </si>
  <si>
    <t>22/05/2023, 2:51:05 pm</t>
  </si>
  <si>
    <t>22/05/2023, 2:51:06 pm</t>
  </si>
  <si>
    <t>22/05/2023, 2:51:07 pm</t>
  </si>
  <si>
    <t>22/05/2023, 2:51:08 pm</t>
  </si>
  <si>
    <t>22/05/2023, 2:51:09 pm</t>
  </si>
  <si>
    <t>22/05/2023, 2:51:10 pm</t>
  </si>
  <si>
    <t>22/05/2023, 2:51:11 pm</t>
  </si>
  <si>
    <t>22/05/2023, 2:51:12 pm</t>
  </si>
  <si>
    <t>22/05/2023, 2:51:13 pm</t>
  </si>
  <si>
    <t>22/05/2023, 2:51:14 pm</t>
  </si>
  <si>
    <t>22/05/2023, 2:51:15 pm</t>
  </si>
  <si>
    <t>22/05/2023, 2:51:16 pm</t>
  </si>
  <si>
    <t>22/05/2023, 2:51:17 pm</t>
  </si>
  <si>
    <t>22/05/2023, 2:51:18 pm</t>
  </si>
  <si>
    <t>22/05/2023, 2:51:19 pm</t>
  </si>
  <si>
    <t>22/05/2023, 2:51:20 pm</t>
  </si>
  <si>
    <t>22/05/2023, 2:51:21 pm</t>
  </si>
  <si>
    <t>22/05/2023, 2:51:22 pm</t>
  </si>
  <si>
    <t>22/05/2023, 2:51:23 pm</t>
  </si>
  <si>
    <t>22/05/2023, 2:51:24 pm</t>
  </si>
  <si>
    <t>22/05/2023, 2:51:25 pm</t>
  </si>
  <si>
    <t>22/05/2023, 2:51:26 pm</t>
  </si>
  <si>
    <t>22/05/2023, 2:51:27 pm</t>
  </si>
  <si>
    <t>22/05/2023, 2:51:28 pm</t>
  </si>
  <si>
    <t>22/05/2023, 2:51:29 pm</t>
  </si>
  <si>
    <t>22/05/2023, 2:51:30 pm</t>
  </si>
  <si>
    <t>22/05/2023, 2:51:31 pm</t>
  </si>
  <si>
    <t>22/05/2023, 2:51:32 pm</t>
  </si>
  <si>
    <t>22/05/2023, 2:51:33 pm</t>
  </si>
  <si>
    <t>22/05/2023, 2:51:34 pm</t>
  </si>
  <si>
    <t>22/05/2023, 2:51:35 pm</t>
  </si>
  <si>
    <t>22/05/2023, 2:51:36 pm</t>
  </si>
  <si>
    <t>22/05/2023, 2:51:37 pm</t>
  </si>
  <si>
    <t>22/05/2023, 2:51:38 pm</t>
  </si>
  <si>
    <t>22/05/2023, 2:51:39 pm</t>
  </si>
  <si>
    <t>22/05/2023, 2:51:40 pm</t>
  </si>
  <si>
    <t>22/05/2023, 2:51:41 pm</t>
  </si>
  <si>
    <t>22/05/2023, 2:51:42 pm</t>
  </si>
  <si>
    <t>22/05/2023, 2:51:43 pm</t>
  </si>
  <si>
    <t>22/05/2023, 2:51:44 pm</t>
  </si>
  <si>
    <t>22/05/2023, 2:51:45 pm</t>
  </si>
  <si>
    <t>22/05/2023, 2:51:46 pm</t>
  </si>
  <si>
    <t>22/05/2023, 2:51:47 pm</t>
  </si>
  <si>
    <t>22/05/2023, 2:51:48 pm</t>
  </si>
  <si>
    <t>22/05/2023, 2:51:49 pm</t>
  </si>
  <si>
    <t>22/05/2023, 2:51:50 pm</t>
  </si>
  <si>
    <t>22/05/2023, 2:51:51 pm</t>
  </si>
  <si>
    <t>22/05/2023, 2:51:52 pm</t>
  </si>
  <si>
    <t>22/05/2023, 2:51:53 pm</t>
  </si>
  <si>
    <t>22/05/2023, 2:51:54 pm</t>
  </si>
  <si>
    <t>22/05/2023, 2:51:55 pm</t>
  </si>
  <si>
    <t>22/05/2023, 2:51:56 pm</t>
  </si>
  <si>
    <t>22/05/2023, 2:51:57 pm</t>
  </si>
  <si>
    <t>22/05/2023, 2:51:58 pm</t>
  </si>
  <si>
    <t>22/05/2023, 2:51:59 pm</t>
  </si>
  <si>
    <t>22/05/2023, 2:52:00 pm</t>
  </si>
  <si>
    <t>22/05/2023, 2:52:01 pm</t>
  </si>
  <si>
    <t>22/05/2023, 2:52:02 pm</t>
  </si>
  <si>
    <t>22/05/2023, 2:52:03 pm</t>
  </si>
  <si>
    <t>22/05/2023, 2:52:04 pm</t>
  </si>
  <si>
    <t>22/05/2023, 2:52:05 pm</t>
  </si>
  <si>
    <t>22/05/2023, 2:52:06 pm</t>
  </si>
  <si>
    <t>22/05/2023, 2:52:07 pm</t>
  </si>
  <si>
    <t>22/05/2023, 2:52:08 pm</t>
  </si>
  <si>
    <t>22/05/2023, 2:52:09 pm</t>
  </si>
  <si>
    <t>22/05/2023, 2:52:10 pm</t>
  </si>
  <si>
    <t>22/05/2023, 2:52:11 pm</t>
  </si>
  <si>
    <t>22/05/2023, 2:52:12 pm</t>
  </si>
  <si>
    <t>22/05/2023, 2:52:13 pm</t>
  </si>
  <si>
    <t>22/05/2023, 2:52:14 pm</t>
  </si>
  <si>
    <t>22/05/2023, 2:52:15 pm</t>
  </si>
  <si>
    <t>22/05/2023, 2:52:16 pm</t>
  </si>
  <si>
    <t>22/05/2023, 2:52:17 pm</t>
  </si>
  <si>
    <t>22/05/2023, 2:52:18 pm</t>
  </si>
  <si>
    <t>22/05/2023, 2:52:19 pm</t>
  </si>
  <si>
    <t>22/05/2023, 2:52:20 pm</t>
  </si>
  <si>
    <t>22/05/2023, 2:52:21 pm</t>
  </si>
  <si>
    <t>22/05/2023, 2:52:22 pm</t>
  </si>
  <si>
    <t>22/05/2023, 2:52:23 pm</t>
  </si>
  <si>
    <t>22/05/2023, 2:52:24 pm</t>
  </si>
  <si>
    <t>22/05/2023, 2:52:25 pm</t>
  </si>
  <si>
    <t>22/05/2023, 2:52:26 pm</t>
  </si>
  <si>
    <t>22/05/2023, 2:52:27 pm</t>
  </si>
  <si>
    <t>22/05/2023, 2:52:28 pm</t>
  </si>
  <si>
    <t>22/05/2023, 2:52:29 pm</t>
  </si>
  <si>
    <t>22/05/2023, 2:52:30 pm</t>
  </si>
  <si>
    <t>22/05/2023, 2:52:31 pm</t>
  </si>
  <si>
    <t>22/05/2023, 2:52:32 pm</t>
  </si>
  <si>
    <t>22/05/2023, 2:52:33 pm</t>
  </si>
  <si>
    <t>22/05/2023, 2:52:34 pm</t>
  </si>
  <si>
    <t>22/05/2023, 2:52:35 pm</t>
  </si>
  <si>
    <t>22/05/2023, 2:52:36 pm</t>
  </si>
  <si>
    <t>22/05/2023, 2:52:37 pm</t>
  </si>
  <si>
    <t>22/05/2023, 2:52:38 pm</t>
  </si>
  <si>
    <t>22/05/2023, 2:52:39 pm</t>
  </si>
  <si>
    <t>22/05/2023, 2:52:40 pm</t>
  </si>
  <si>
    <t>22/05/2023, 2:52:41 pm</t>
  </si>
  <si>
    <t>22/05/2023, 2:52:42 pm</t>
  </si>
  <si>
    <t>22/05/2023, 2:52:43 pm</t>
  </si>
  <si>
    <t>22/05/2023, 2:52:44 pm</t>
  </si>
  <si>
    <t>22/05/2023, 2:52:45 pm</t>
  </si>
  <si>
    <t>22/05/2023, 2:52:46 pm</t>
  </si>
  <si>
    <t>22/05/2023, 2:52:47 pm</t>
  </si>
  <si>
    <t>22/05/2023, 2:52:48 pm</t>
  </si>
  <si>
    <t>22/05/2023, 2:52:49 pm</t>
  </si>
  <si>
    <t>22/05/2023, 2:52:50 pm</t>
  </si>
  <si>
    <t>22/05/2023, 2:52:51 pm</t>
  </si>
  <si>
    <t>22/05/2023, 2:52:52 pm</t>
  </si>
  <si>
    <t>22/05/2023, 2:52:53 pm</t>
  </si>
  <si>
    <t>22/05/2023, 2:52:54 pm</t>
  </si>
  <si>
    <t>22/05/2023, 2:52:55 pm</t>
  </si>
  <si>
    <t>22/05/2023, 2:52:56 pm</t>
  </si>
  <si>
    <t>22/05/2023, 2:52:57 pm</t>
  </si>
  <si>
    <t>22/05/2023, 2:52:58 pm</t>
  </si>
  <si>
    <t>22/05/2023, 2:52:59 pm</t>
  </si>
  <si>
    <t>22/05/2023, 2:53:00 pm</t>
  </si>
  <si>
    <t>22/05/2023, 2:53:01 pm</t>
  </si>
  <si>
    <t>22/05/2023, 2:53:02 pm</t>
  </si>
  <si>
    <t>22/05/2023, 2:53:03 pm</t>
  </si>
  <si>
    <t>22/05/2023, 2:53:04 pm</t>
  </si>
  <si>
    <t>22/05/2023, 2:53:05 pm</t>
  </si>
  <si>
    <t>22/05/2023, 2:53:06 pm</t>
  </si>
  <si>
    <t>22/05/2023, 2:53:07 pm</t>
  </si>
  <si>
    <t>22/05/2023, 2:53:08 pm</t>
  </si>
  <si>
    <t>22/05/2023, 2:53:09 pm</t>
  </si>
  <si>
    <t>22/05/2023, 2:53:10 pm</t>
  </si>
  <si>
    <t>22/05/2023, 2:53:11 pm</t>
  </si>
  <si>
    <t>22/05/2023, 2:53:12 pm</t>
  </si>
  <si>
    <t>22/05/2023, 2:53:13 pm</t>
  </si>
  <si>
    <t>22/05/2023, 2:53:14 pm</t>
  </si>
  <si>
    <t>22/05/2023, 2:53:15 pm</t>
  </si>
  <si>
    <t>22/05/2023, 2:53:16 pm</t>
  </si>
  <si>
    <t>22/05/2023, 2:53:17 pm</t>
  </si>
  <si>
    <t>22/05/2023, 2:53:18 pm</t>
  </si>
  <si>
    <t>22/05/2023, 2:53:19 pm</t>
  </si>
  <si>
    <t>22/05/2023, 2:53:20 pm</t>
  </si>
  <si>
    <t>22/05/2023, 2:53:21 pm</t>
  </si>
  <si>
    <t>22/05/2023, 2:53:22 pm</t>
  </si>
  <si>
    <t>22/05/2023, 2:53:23 pm</t>
  </si>
  <si>
    <t>22/05/2023, 2:53:24 pm</t>
  </si>
  <si>
    <t>22/05/2023, 2:53:26 pm</t>
  </si>
  <si>
    <t>22/05/2023, 2:53:27 pm</t>
  </si>
  <si>
    <t>22/05/2023, 2:53:28 pm</t>
  </si>
  <si>
    <t>22/05/2023, 2:53:29 pm</t>
  </si>
  <si>
    <t>22/05/2023, 2:53:30 pm</t>
  </si>
  <si>
    <t>22/05/2023, 2:53:31 pm</t>
  </si>
  <si>
    <t>22/05/2023, 2:53:32 pm</t>
  </si>
  <si>
    <t>22/05/2023, 2:53:33 pm</t>
  </si>
  <si>
    <t>22/05/2023, 2:53:34 pm</t>
  </si>
  <si>
    <t>22/05/2023, 2:53:35 pm</t>
  </si>
  <si>
    <t>22/05/2023, 2:53:36 pm</t>
  </si>
  <si>
    <t>22/05/2023, 2:53:37 pm</t>
  </si>
  <si>
    <t>22/05/2023, 2:53:38 pm</t>
  </si>
  <si>
    <t>22/05/2023, 2:53:39 pm</t>
  </si>
  <si>
    <t>22/05/2023, 2:53:40 pm</t>
  </si>
  <si>
    <t>22/05/2023, 2:53:41 pm</t>
  </si>
  <si>
    <t>22/05/2023, 2:53:42 pm</t>
  </si>
  <si>
    <t>22/05/2023, 2:53:43 pm</t>
  </si>
  <si>
    <t>22/05/2023, 2:53:44 pm</t>
  </si>
  <si>
    <t>22/05/2023, 2:53:45 pm</t>
  </si>
  <si>
    <t>22/05/2023, 2:53:46 pm</t>
  </si>
  <si>
    <t>22/05/2023, 2:53:47 pm</t>
  </si>
  <si>
    <t>22/05/2023, 2:53:48 pm</t>
  </si>
  <si>
    <t>22/05/2023, 2:53:49 pm</t>
  </si>
  <si>
    <t>22/05/2023, 2:53:50 pm</t>
  </si>
  <si>
    <t>22/05/2023, 2:53:51 pm</t>
  </si>
  <si>
    <t>22/05/2023, 2:53:52 pm</t>
  </si>
  <si>
    <t>22/05/2023, 2:53:53 pm</t>
  </si>
  <si>
    <t>22/05/2023, 2:53:54 pm</t>
  </si>
  <si>
    <t>22/05/2023, 2:53:55 pm</t>
  </si>
  <si>
    <t>22/05/2023, 2:53:56 pm</t>
  </si>
  <si>
    <t>22/05/2023, 2:53:57 pm</t>
  </si>
  <si>
    <t>22/05/2023, 2:53:58 pm</t>
  </si>
  <si>
    <t>22/05/2023, 2:53:59 pm</t>
  </si>
  <si>
    <t>22/05/2023, 2:54:00 pm</t>
  </si>
  <si>
    <t>22/05/2023, 2:54:01 pm</t>
  </si>
  <si>
    <t>22/05/2023, 2:54:02 pm</t>
  </si>
  <si>
    <t>22/05/2023, 2:54:03 pm</t>
  </si>
  <si>
    <t>22/05/2023, 2:54:04 pm</t>
  </si>
  <si>
    <t>22/05/2023, 2:54:05 pm</t>
  </si>
  <si>
    <t>22/05/2023, 2:54:06 pm</t>
  </si>
  <si>
    <t>22/05/2023, 2:54:07 pm</t>
  </si>
  <si>
    <t>22/05/2023, 2:54:08 pm</t>
  </si>
  <si>
    <t>22/05/2023, 2:54:09 pm</t>
  </si>
  <si>
    <t>22/05/2023, 2:54:10 pm</t>
  </si>
  <si>
    <t>22/05/2023, 2:54:11 pm</t>
  </si>
  <si>
    <t>22/05/2023, 2:54:12 pm</t>
  </si>
  <si>
    <t>22/05/2023, 2:54:13 pm</t>
  </si>
  <si>
    <t>22/05/2023, 2:54:14 pm</t>
  </si>
  <si>
    <t>22/05/2023, 2:54:15 pm</t>
  </si>
  <si>
    <t>22/05/2023, 2:54:16 pm</t>
  </si>
  <si>
    <t>22/05/2023, 2:54:17 pm</t>
  </si>
  <si>
    <t>22/05/2023, 2:54:18 pm</t>
  </si>
  <si>
    <t>22/05/2023, 2:54:19 pm</t>
  </si>
  <si>
    <t>22/05/2023, 2:54:20 pm</t>
  </si>
  <si>
    <t>22/05/2023, 2:54:21 pm</t>
  </si>
  <si>
    <t>22/05/2023, 2:54:22 pm</t>
  </si>
  <si>
    <t>22/05/2023, 2:54:23 pm</t>
  </si>
  <si>
    <t>22/05/2023, 2:54:24 pm</t>
  </si>
  <si>
    <t>22/05/2023, 2:54:25 pm</t>
  </si>
  <si>
    <t>22/05/2023, 2:54:26 pm</t>
  </si>
  <si>
    <t>22/05/2023, 2:54:27 pm</t>
  </si>
  <si>
    <t>22/05/2023, 2:54:28 pm</t>
  </si>
  <si>
    <t>22/05/2023, 2:54:29 pm</t>
  </si>
  <si>
    <t>22/05/2023, 2:54:30 pm</t>
  </si>
  <si>
    <t>22/05/2023, 2:54:31 pm</t>
  </si>
  <si>
    <t>22/05/2023, 2:54:32 pm</t>
  </si>
  <si>
    <t>22/05/2023, 2:54:33 pm</t>
  </si>
  <si>
    <t>22/05/2023, 2:54:34 pm</t>
  </si>
  <si>
    <t>22/05/2023, 2:54:35 pm</t>
  </si>
  <si>
    <t>22/05/2023, 2:54:36 pm</t>
  </si>
  <si>
    <t>22/05/2023, 2:54:37 pm</t>
  </si>
  <si>
    <t>22/05/2023, 2:54:38 pm</t>
  </si>
  <si>
    <t>22/05/2023, 2:54:39 pm</t>
  </si>
  <si>
    <t>22/05/2023, 2:54:40 pm</t>
  </si>
  <si>
    <t>22/05/2023, 2:54:41 pm</t>
  </si>
  <si>
    <t>22/05/2023, 2:54:42 pm</t>
  </si>
  <si>
    <t>22/05/2023, 2:54:43 pm</t>
  </si>
  <si>
    <t>22/05/2023, 2:54:44 pm</t>
  </si>
  <si>
    <t>22/05/2023, 2:54:45 pm</t>
  </si>
  <si>
    <t>22/05/2023, 2:54:46 pm</t>
  </si>
  <si>
    <t>22/05/2023, 2:54:47 pm</t>
  </si>
  <si>
    <t>22/05/2023, 2:54:48 pm</t>
  </si>
  <si>
    <t>22/05/2023, 2:54:49 pm</t>
  </si>
  <si>
    <t>22/05/2023, 2:54:50 pm</t>
  </si>
  <si>
    <t>22/05/2023, 2:54:51 pm</t>
  </si>
  <si>
    <t>22/05/2023, 2:54:52 pm</t>
  </si>
  <si>
    <t>22/05/2023, 2:54:53 pm</t>
  </si>
  <si>
    <t>22/05/2023, 2:54:54 pm</t>
  </si>
  <si>
    <t>22/05/2023, 2:54:55 pm</t>
  </si>
  <si>
    <t>22/05/2023, 2:54:56 pm</t>
  </si>
  <si>
    <t>22/05/2023, 2:54:57 pm</t>
  </si>
  <si>
    <t>22/05/2023, 2:54:58 pm</t>
  </si>
  <si>
    <t>22/05/2023, 2:54:59 pm</t>
  </si>
  <si>
    <t>22/05/2023, 2:55:00 pm</t>
  </si>
  <si>
    <t>22/05/2023, 2:55:01 pm</t>
  </si>
  <si>
    <t>22/05/2023, 2:55:02 pm</t>
  </si>
  <si>
    <t>22/05/2023, 2:55:03 pm</t>
  </si>
  <si>
    <t>22/05/2023, 2:55:04 pm</t>
  </si>
  <si>
    <t>22/05/2023, 2:55:05 pm</t>
  </si>
  <si>
    <t>22/05/2023, 2:55:06 pm</t>
  </si>
  <si>
    <t>22/05/2023, 2:55:07 pm</t>
  </si>
  <si>
    <t>22/05/2023, 2:56:08 pm</t>
  </si>
  <si>
    <t>22/05/2023, 2:56:09 pm</t>
  </si>
  <si>
    <t>22/05/2023, 2:56:10 pm</t>
  </si>
  <si>
    <t>22/05/2023, 2:56:11 pm</t>
  </si>
  <si>
    <t>22/05/2023, 2:56:12 pm</t>
  </si>
  <si>
    <t>22/05/2023, 2:56:13 pm</t>
  </si>
  <si>
    <t>22/05/2023, 2:56:14 pm</t>
  </si>
  <si>
    <t>22/05/2023, 2:56:15 pm</t>
  </si>
  <si>
    <t>22/05/2023, 2:56:16 pm</t>
  </si>
  <si>
    <t>22/05/2023, 2:56:17 pm</t>
  </si>
  <si>
    <t>22/05/2023, 2:56:18 pm</t>
  </si>
  <si>
    <t>22/05/2023, 2:56:19 pm</t>
  </si>
  <si>
    <t>22/05/2023, 2:56:20 pm</t>
  </si>
  <si>
    <t>22/05/2023, 2:56:21 pm</t>
  </si>
  <si>
    <t>22/05/2023, 2:56:22 pm</t>
  </si>
  <si>
    <t>22/05/2023, 2:56:23 pm</t>
  </si>
  <si>
    <t>22/05/2023, 2:56:24 pm</t>
  </si>
  <si>
    <t>22/05/2023, 2:56:25 pm</t>
  </si>
  <si>
    <t>22/05/2023, 2:56:26 pm</t>
  </si>
  <si>
    <t>22/05/2023, 2:56:27 pm</t>
  </si>
  <si>
    <t>22/05/2023, 2:56:28 pm</t>
  </si>
  <si>
    <t>22/05/2023, 2:56:29 pm</t>
  </si>
  <si>
    <t>22/05/2023, 2:56:30 pm</t>
  </si>
  <si>
    <t>22/05/2023, 2:56:31 pm</t>
  </si>
  <si>
    <t>22/05/2023, 2:56:32 pm</t>
  </si>
  <si>
    <t>22/05/2023, 2:56:33 pm</t>
  </si>
  <si>
    <t>22/05/2023, 2:56:34 pm</t>
  </si>
  <si>
    <t>22/05/2023, 2:56:35 pm</t>
  </si>
  <si>
    <t>22/05/2023, 2:56:36 pm</t>
  </si>
  <si>
    <t>22/05/2023, 2:56:37 pm</t>
  </si>
  <si>
    <t>22/05/2023, 2:56:38 pm</t>
  </si>
  <si>
    <t>22/05/2023, 2:56:39 pm</t>
  </si>
  <si>
    <t>22/05/2023, 2:56:40 pm</t>
  </si>
  <si>
    <t>22/05/2023, 2:56:41 pm</t>
  </si>
  <si>
    <t>22/05/2023, 2:56:42 pm</t>
  </si>
  <si>
    <t>22/05/2023, 2:56:43 pm</t>
  </si>
  <si>
    <t>22/05/2023, 2:56:44 pm</t>
  </si>
  <si>
    <t>22/05/2023, 2:56:45 pm</t>
  </si>
  <si>
    <t>22/05/2023, 2:56:46 pm</t>
  </si>
  <si>
    <t>22/05/2023, 2:56:47 pm</t>
  </si>
  <si>
    <t>22/05/2023, 2:56:48 pm</t>
  </si>
  <si>
    <t>22/05/2023, 2:56:49 pm</t>
  </si>
  <si>
    <t>22/05/2023, 2:56:50 pm</t>
  </si>
  <si>
    <t>22/05/2023, 2:56:56 pm</t>
  </si>
  <si>
    <t>22/05/2023, 2:56:57 pm</t>
  </si>
  <si>
    <t>22/05/2023, 2:56:58 pm</t>
  </si>
  <si>
    <t>22/05/2023, 2:56:59 pm</t>
  </si>
  <si>
    <t>22/05/2023, 2:57:00 pm</t>
  </si>
  <si>
    <t>22/05/2023, 2:57:01 pm</t>
  </si>
  <si>
    <t>22/05/2023, 2:57:02 pm</t>
  </si>
  <si>
    <t>22/05/2023, 2:57:03 pm</t>
  </si>
  <si>
    <t>22/05/2023, 2:57:04 pm</t>
  </si>
  <si>
    <t>22/05/2023, 2:57:05 pm</t>
  </si>
  <si>
    <t>22/05/2023, 2:57:06 pm</t>
  </si>
  <si>
    <t>22/05/2023, 2:57:07 pm</t>
  </si>
  <si>
    <t>22/05/2023, 2:57:08 pm</t>
  </si>
  <si>
    <t>22/05/2023, 2:57:09 pm</t>
  </si>
  <si>
    <t>22/05/2023, 2:57:10 pm</t>
  </si>
  <si>
    <t>22/05/2023, 2:57:11 pm</t>
  </si>
  <si>
    <t>22/05/2023, 2:57:12 pm</t>
  </si>
  <si>
    <t>22/05/2023, 2:57:13 pm</t>
  </si>
  <si>
    <t>22/05/2023, 2:57:14 pm</t>
  </si>
  <si>
    <t>22/05/2023, 2:57:15 pm</t>
  </si>
  <si>
    <t>22/05/2023, 2:57:16 pm</t>
  </si>
  <si>
    <t>22/05/2023, 2:57:17 pm</t>
  </si>
  <si>
    <t>22/05/2023, 2:57:18 pm</t>
  </si>
  <si>
    <t>22/05/2023, 2:57:19 pm</t>
  </si>
  <si>
    <t>22/05/2023, 2:57:20 pm</t>
  </si>
  <si>
    <t>22/05/2023, 2:57:21 pm</t>
  </si>
  <si>
    <t>22/05/2023, 2:57:22 pm</t>
  </si>
  <si>
    <t>22/05/2023, 2:57:23 pm</t>
  </si>
  <si>
    <t>22/05/2023, 2:57:24 pm</t>
  </si>
  <si>
    <t>22/05/2023, 2:57:25 pm</t>
  </si>
  <si>
    <t>22/05/2023, 2:57:26 pm</t>
  </si>
  <si>
    <t>22/05/2023, 2:57:27 pm</t>
  </si>
  <si>
    <t>22/05/2023, 2:57:28 pm</t>
  </si>
  <si>
    <t>22/05/2023, 2:57:29 pm</t>
  </si>
  <si>
    <t>22/05/2023, 2:57:30 pm</t>
  </si>
  <si>
    <t>22/05/2023, 2:57:31 pm</t>
  </si>
  <si>
    <t>22/05/2023, 2:57:32 pm</t>
  </si>
  <si>
    <t>22/05/2023, 2:57:33 pm</t>
  </si>
  <si>
    <t>22/05/2023, 2:57:34 pm</t>
  </si>
  <si>
    <t>22/05/2023, 2:57:35 pm</t>
  </si>
  <si>
    <t>22/05/2023, 2:57:36 pm</t>
  </si>
  <si>
    <t>22/05/2023, 2:57:37 pm</t>
  </si>
  <si>
    <t>22/05/2023, 2:57:38 pm</t>
  </si>
  <si>
    <t>22/05/2023, 2:57:39 pm</t>
  </si>
  <si>
    <t>22/05/2023, 2:57:40 pm</t>
  </si>
  <si>
    <t>22/05/2023, 2:57:41 pm</t>
  </si>
  <si>
    <t>22/05/2023, 2:57:42 pm</t>
  </si>
  <si>
    <t>22/05/2023, 2:57:43 pm</t>
  </si>
  <si>
    <t>22/05/2023, 2:57:44 pm</t>
  </si>
  <si>
    <t>22/05/2023, 2:57:45 pm</t>
  </si>
  <si>
    <t>22/05/2023, 2:57:46 pm</t>
  </si>
  <si>
    <t>22/05/2023, 2:57:47 pm</t>
  </si>
  <si>
    <t>22/05/2023, 2:57:48 pm</t>
  </si>
  <si>
    <t>22/05/2023, 2:57:49 pm</t>
  </si>
  <si>
    <t>22/05/2023, 2:57:50 pm</t>
  </si>
  <si>
    <t>22/05/2023, 2:57:51 pm</t>
  </si>
  <si>
    <t>22/05/2023, 2:57:52 pm</t>
  </si>
  <si>
    <t>22/05/2023, 2:57:53 pm</t>
  </si>
  <si>
    <t>22/05/2023, 2:57:54 pm</t>
  </si>
  <si>
    <t>22/05/2023, 2:57:55 pm</t>
  </si>
  <si>
    <t>22/05/2023, 2:57:56 pm</t>
  </si>
  <si>
    <t>22/05/2023, 2:57:57 pm</t>
  </si>
  <si>
    <t>22/05/2023, 2:57:58 pm</t>
  </si>
  <si>
    <t>22/05/2023, 2:57:59 pm</t>
  </si>
  <si>
    <t>22/05/2023, 2:58:00 pm</t>
  </si>
  <si>
    <t>22/05/2023, 2:58:01 pm</t>
  </si>
  <si>
    <t>22/05/2023, 2:58:02 pm</t>
  </si>
  <si>
    <t>22/05/2023, 2:58:03 pm</t>
  </si>
  <si>
    <t>22/05/2023, 2:58:04 pm</t>
  </si>
  <si>
    <t>22/05/2023, 2:58:05 pm</t>
  </si>
  <si>
    <t>22/05/2023, 2:58:06 pm</t>
  </si>
  <si>
    <t>22/05/2023, 2:58:07 pm</t>
  </si>
  <si>
    <t>22/05/2023, 2:58:08 pm</t>
  </si>
  <si>
    <t>22/05/2023, 2:58:09 pm</t>
  </si>
  <si>
    <t>22/05/2023, 2:58:10 pm</t>
  </si>
  <si>
    <t>22/05/2023, 2:58:11 pm</t>
  </si>
  <si>
    <t>22/05/2023, 2:58:12 pm</t>
  </si>
  <si>
    <t>22/05/2023, 2:58:13 pm</t>
  </si>
  <si>
    <t>22/05/2023, 2:58:14 pm</t>
  </si>
  <si>
    <t>22/05/2023, 2:58:15 pm</t>
  </si>
  <si>
    <t>22/05/2023, 2:58:16 pm</t>
  </si>
  <si>
    <t>22/05/2023, 2:58:17 pm</t>
  </si>
  <si>
    <t>22/05/2023, 2:58:18 pm</t>
  </si>
  <si>
    <t>22/05/2023, 2:58:19 pm</t>
  </si>
  <si>
    <t>22/05/2023, 2:58:20 pm</t>
  </si>
  <si>
    <t>22/05/2023, 2:58:21 pm</t>
  </si>
  <si>
    <t>22/05/2023, 2:58:22 pm</t>
  </si>
  <si>
    <t>22/05/2023, 2:58:23 pm</t>
  </si>
  <si>
    <t>22/05/2023, 2:58:24 pm</t>
  </si>
  <si>
    <t>22/05/2023, 2:58:25 pm</t>
  </si>
  <si>
    <t>22/05/2023, 2:58:26 pm</t>
  </si>
  <si>
    <t>22/05/2023, 2:58:27 pm</t>
  </si>
  <si>
    <t>22/05/2023, 2:58:28 pm</t>
  </si>
  <si>
    <t>22/05/2023, 2:58:29 pm</t>
  </si>
  <si>
    <t>22/05/2023, 2:58:30 pm</t>
  </si>
  <si>
    <t>22/05/2023, 2:58:31 pm</t>
  </si>
  <si>
    <t>22/05/2023, 2:58:32 pm</t>
  </si>
  <si>
    <t>22/05/2023, 2:58:33 pm</t>
  </si>
  <si>
    <t>22/05/2023, 2:58:34 pm</t>
  </si>
  <si>
    <t>22/05/2023, 2:58:35 pm</t>
  </si>
  <si>
    <t>22/05/2023, 2:58:36 pm</t>
  </si>
  <si>
    <t>22/05/2023, 2:58:37 pm</t>
  </si>
  <si>
    <t>22/05/2023, 2:58:38 pm</t>
  </si>
  <si>
    <t>22/05/2023, 2:58:39 pm</t>
  </si>
  <si>
    <t>22/05/2023, 2:58:40 pm</t>
  </si>
  <si>
    <t>22/05/2023, 2:58:41 pm</t>
  </si>
  <si>
    <t>22/05/2023, 2:58:42 pm</t>
  </si>
  <si>
    <t>22/05/2023, 2:58:43 pm</t>
  </si>
  <si>
    <t>22/05/2023, 2:58:44 pm</t>
  </si>
  <si>
    <t>22/05/2023, 2:58:45 pm</t>
  </si>
  <si>
    <t>22/05/2023, 2:58:46 pm</t>
  </si>
  <si>
    <t>22/05/2023, 2:58:47 pm</t>
  </si>
  <si>
    <t>22/05/2023, 2:58:48 pm</t>
  </si>
  <si>
    <t>22/05/2023, 2:58:49 pm</t>
  </si>
  <si>
    <t>22/05/2023, 2:58:50 pm</t>
  </si>
  <si>
    <t>22/05/2023, 2:58:51 pm</t>
  </si>
  <si>
    <t>22/05/2023, 2:58:52 pm</t>
  </si>
  <si>
    <t>22/05/2023, 2:58:53 pm</t>
  </si>
  <si>
    <t>22/05/2023, 2:58:54 pm</t>
  </si>
  <si>
    <t>22/05/2023, 2:58:55 pm</t>
  </si>
  <si>
    <t>22/05/2023, 2:58:56 pm</t>
  </si>
  <si>
    <t>22/05/2023, 2:58:57 pm</t>
  </si>
  <si>
    <t>22/05/2023, 2:58:58 pm</t>
  </si>
  <si>
    <t>22/05/2023, 2:58:59 pm</t>
  </si>
  <si>
    <t>22/05/2023, 2:59:00 pm</t>
  </si>
  <si>
    <t>22/05/2023, 2:59:01 pm</t>
  </si>
  <si>
    <t>22/05/2023, 2:59:02 pm</t>
  </si>
  <si>
    <t>22/05/2023, 2:59:03 pm</t>
  </si>
  <si>
    <t>22/05/2023, 2:59:04 pm</t>
  </si>
  <si>
    <t>22/05/2023, 2:59:05 pm</t>
  </si>
  <si>
    <t>22/05/2023, 2:59:06 pm</t>
  </si>
  <si>
    <t>22/05/2023, 2:59:07 pm</t>
  </si>
  <si>
    <t>22/05/2023, 2:59:08 pm</t>
  </si>
  <si>
    <t>22/05/2023, 2:59:09 pm</t>
  </si>
  <si>
    <t>22/05/2023, 2:59:10 pm</t>
  </si>
  <si>
    <t>22/05/2023, 2:59:11 pm</t>
  </si>
  <si>
    <t>22/05/2023, 2:59:12 pm</t>
  </si>
  <si>
    <t>22/05/2023, 2:59:13 pm</t>
  </si>
  <si>
    <t>22/05/2023, 2:59:14 pm</t>
  </si>
  <si>
    <t>22/05/2023, 2:59:15 pm</t>
  </si>
  <si>
    <t>22/05/2023, 2:59:16 pm</t>
  </si>
  <si>
    <t>22/05/2023, 2:59:17 pm</t>
  </si>
  <si>
    <t>22/05/2023, 2:59:18 pm</t>
  </si>
  <si>
    <t>22/05/2023, 2:59:19 pm</t>
  </si>
  <si>
    <t>22/05/2023, 2:59:20 pm</t>
  </si>
  <si>
    <t>22/05/2023, 2:59:21 pm</t>
  </si>
  <si>
    <t>22/05/2023, 2:59:23 pm</t>
  </si>
  <si>
    <t>22/05/2023, 2:59:24 pm</t>
  </si>
  <si>
    <t>22/05/2023, 2:59:25 pm</t>
  </si>
  <si>
    <t>22/05/2023, 2:59:26 pm</t>
  </si>
  <si>
    <t>22/05/2023, 2:59:27 pm</t>
  </si>
  <si>
    <t>22/05/2023, 2:59:28 pm</t>
  </si>
  <si>
    <t>22/05/2023, 2:59:29 pm</t>
  </si>
  <si>
    <t>22/05/2023, 2:59:30 pm</t>
  </si>
  <si>
    <t>22/05/2023, 2:59:31 pm</t>
  </si>
  <si>
    <t>22/05/2023, 2:59:32 pm</t>
  </si>
  <si>
    <t>22/05/2023, 2:59:33 pm</t>
  </si>
  <si>
    <t>22/05/2023, 2:59:34 pm</t>
  </si>
  <si>
    <t>22/05/2023, 2:59:35 pm</t>
  </si>
  <si>
    <t>22/05/2023, 2:59:36 pm</t>
  </si>
  <si>
    <t>22/05/2023, 2:59:37 pm</t>
  </si>
  <si>
    <t>22/05/2023, 2:59:38 pm</t>
  </si>
  <si>
    <t>22/05/2023, 2:59:39 pm</t>
  </si>
  <si>
    <t>22/05/2023, 2:59:40 pm</t>
  </si>
  <si>
    <t>22/05/2023, 2:59:41 pm</t>
  </si>
  <si>
    <t>22/05/2023, 2:59:42 pm</t>
  </si>
  <si>
    <t>22/05/2023, 2:59:43 pm</t>
  </si>
  <si>
    <t>22/05/2023, 2:59:44 pm</t>
  </si>
  <si>
    <t>22/05/2023, 2:59:45 pm</t>
  </si>
  <si>
    <t>22/05/2023, 2:59:46 pm</t>
  </si>
  <si>
    <t>22/05/2023, 2:59:47 pm</t>
  </si>
  <si>
    <t>22/05/2023, 2:59:48 pm</t>
  </si>
  <si>
    <t>22/05/2023, 2:59:49 pm</t>
  </si>
  <si>
    <t>22/05/2023, 2:59:50 pm</t>
  </si>
  <si>
    <t>22/05/2023, 2:59:51 pm</t>
  </si>
  <si>
    <t>22/05/2023, 2:59:52 pm</t>
  </si>
  <si>
    <t>22/05/2023, 2:59:53 pm</t>
  </si>
  <si>
    <t>22/05/2023, 2:59:54 pm</t>
  </si>
  <si>
    <t>22/05/2023, 2:59:55 pm</t>
  </si>
  <si>
    <t>22/05/2023, 2:59:56 pm</t>
  </si>
  <si>
    <t>22/05/2023, 2:59:57 pm</t>
  </si>
  <si>
    <t>22/05/2023, 2:59:58 pm</t>
  </si>
  <si>
    <t>22/05/2023, 2:59:59 pm</t>
  </si>
  <si>
    <t>22/05/2023, 3:00:00 pm</t>
  </si>
  <si>
    <t>22/05/2023, 3:00:01 pm</t>
  </si>
  <si>
    <t>22/05/2023, 3:00:02 pm</t>
  </si>
  <si>
    <t>22/05/2023, 3:00:03 pm</t>
  </si>
  <si>
    <t>22/05/2023, 3:00:04 pm</t>
  </si>
  <si>
    <t>22/05/2023, 3:00:05 pm</t>
  </si>
  <si>
    <t>22/05/2023, 3:00:06 pm</t>
  </si>
  <si>
    <t>22/05/2023, 3:00:07 pm</t>
  </si>
  <si>
    <t>22/05/2023, 3:00:08 pm</t>
  </si>
  <si>
    <t>22/05/2023, 3:00:09 pm</t>
  </si>
  <si>
    <t>22/05/2023, 3:00:10 pm</t>
  </si>
  <si>
    <t>22/05/2023, 3:00:11 pm</t>
  </si>
  <si>
    <t>22/05/2023, 3:00:12 pm</t>
  </si>
  <si>
    <t>22/05/2023, 3:00:15 pm</t>
  </si>
  <si>
    <t>22/05/2023, 3:00:16 pm</t>
  </si>
  <si>
    <t>22/05/2023, 3:00:17 pm</t>
  </si>
  <si>
    <t>22/05/2023, 3:00:18 pm</t>
  </si>
  <si>
    <t>22/05/2023, 3:00:19 pm</t>
  </si>
  <si>
    <t>22/05/2023, 3:00:20 pm</t>
  </si>
  <si>
    <t>22/05/2023, 3:00:21 pm</t>
  </si>
  <si>
    <t>22/05/2023, 3:00:22 pm</t>
  </si>
  <si>
    <t>22/05/2023, 3:00:23 pm</t>
  </si>
  <si>
    <t>22/05/2023, 3:00:24 pm</t>
  </si>
  <si>
    <t>22/05/2023, 3:00:25 pm</t>
  </si>
  <si>
    <t>22/05/2023, 3:00:26 pm</t>
  </si>
  <si>
    <t>22/05/2023, 3:00:27 pm</t>
  </si>
  <si>
    <t>22/05/2023, 3:00:28 pm</t>
  </si>
  <si>
    <t>22/05/2023, 3:00:29 pm</t>
  </si>
  <si>
    <t>22/05/2023, 3:00:30 pm</t>
  </si>
  <si>
    <t>22/05/2023, 3:00:31 pm</t>
  </si>
  <si>
    <t>22/05/2023, 3:00:32 pm</t>
  </si>
  <si>
    <t>22/05/2023, 3:00:33 pm</t>
  </si>
  <si>
    <t>22/05/2023, 3:00:34 pm</t>
  </si>
  <si>
    <t>22/05/2023, 3:00:35 pm</t>
  </si>
  <si>
    <t>22/05/2023, 3:00:36 pm</t>
  </si>
  <si>
    <t>22/05/2023, 3:00:37 pm</t>
  </si>
  <si>
    <t>22/05/2023, 3:00:38 pm</t>
  </si>
  <si>
    <t>22/05/2023, 3:00:39 pm</t>
  </si>
  <si>
    <t>22/05/2023, 3:00:40 pm</t>
  </si>
  <si>
    <t>22/05/2023, 3:00:41 pm</t>
  </si>
  <si>
    <t>22/05/2023, 3:00:42 pm</t>
  </si>
  <si>
    <t>22/05/2023, 3:00:43 pm</t>
  </si>
  <si>
    <t>22/05/2023, 3:00:44 pm</t>
  </si>
  <si>
    <t>22/05/2023, 3:00:45 pm</t>
  </si>
  <si>
    <t>22/05/2023, 3:00:46 pm</t>
  </si>
  <si>
    <t>22/05/2023, 3:00:47 pm</t>
  </si>
  <si>
    <t>22/05/2023, 3:00:48 pm</t>
  </si>
  <si>
    <t>22/05/2023, 3:00:49 pm</t>
  </si>
  <si>
    <t>22/05/2023, 3:00:50 pm</t>
  </si>
  <si>
    <t>22/05/2023, 3:00:51 pm</t>
  </si>
  <si>
    <t>22/05/2023, 3:00:52 pm</t>
  </si>
  <si>
    <t>22/05/2023, 3:00:53 pm</t>
  </si>
  <si>
    <t>22/05/2023, 3:00:54 pm</t>
  </si>
  <si>
    <t>22/05/2023, 3:00:55 pm</t>
  </si>
  <si>
    <t>22/05/2023, 3:00:56 pm</t>
  </si>
  <si>
    <t>22/05/2023, 3:00:57 pm</t>
  </si>
  <si>
    <t>22/05/2023, 3:00:58 pm</t>
  </si>
  <si>
    <t>22/05/2023, 3:00:59 pm</t>
  </si>
  <si>
    <t>22/05/2023, 3:01:00 pm</t>
  </si>
  <si>
    <t>22/05/2023, 3:01:01 pm</t>
  </si>
  <si>
    <t>22/05/2023, 3:01:02 pm</t>
  </si>
  <si>
    <t>22/05/2023, 3:01:03 pm</t>
  </si>
  <si>
    <t>22/05/2023, 3:01:04 pm</t>
  </si>
  <si>
    <t>22/05/2023, 3:01:05 pm</t>
  </si>
  <si>
    <t>22/05/2023, 3:01:06 pm</t>
  </si>
  <si>
    <t>22/05/2023, 3:01:07 pm</t>
  </si>
  <si>
    <t>22/05/2023, 3:01:08 pm</t>
  </si>
  <si>
    <t>22/05/2023, 3:01:09 pm</t>
  </si>
  <si>
    <t>22/05/2023, 3:01:10 pm</t>
  </si>
  <si>
    <t>22/05/2023, 3:01:11 pm</t>
  </si>
  <si>
    <t>22/05/2023, 3:01:12 pm</t>
  </si>
  <si>
    <t>22/05/2023, 3:01:13 pm</t>
  </si>
  <si>
    <t>22/05/2023, 3:01:14 pm</t>
  </si>
  <si>
    <t>22/05/2023, 3:01:15 pm</t>
  </si>
  <si>
    <t>22/05/2023, 3:01:16 pm</t>
  </si>
  <si>
    <t>22/05/2023, 3:01:17 pm</t>
  </si>
  <si>
    <t>22/05/2023, 3:01:18 pm</t>
  </si>
  <si>
    <t>22/05/2023, 3:01:19 pm</t>
  </si>
  <si>
    <t>22/05/2023, 3:01:20 pm</t>
  </si>
  <si>
    <t>22/05/2023, 3:01:21 pm</t>
  </si>
  <si>
    <t>22/05/2023, 3:01:22 pm</t>
  </si>
  <si>
    <t>22/05/2023, 3:01:23 pm</t>
  </si>
  <si>
    <t>22/05/2023, 3:01:24 pm</t>
  </si>
  <si>
    <t>22/05/2023, 3:01:25 pm</t>
  </si>
  <si>
    <t>22/05/2023, 3:01:26 pm</t>
  </si>
  <si>
    <t>22/05/2023, 3:01:27 pm</t>
  </si>
  <si>
    <t>22/05/2023, 3:01:28 pm</t>
  </si>
  <si>
    <t>22/05/2023, 3:01:29 pm</t>
  </si>
  <si>
    <t>22/05/2023, 3:01:30 pm</t>
  </si>
  <si>
    <t>22/05/2023, 3:01:31 pm</t>
  </si>
  <si>
    <t>22/05/2023, 3:01:32 pm</t>
  </si>
  <si>
    <t>22/05/2023, 3:01:33 pm</t>
  </si>
  <si>
    <t>22/05/2023, 3:01:34 pm</t>
  </si>
  <si>
    <t>22/05/2023, 3:01:35 pm</t>
  </si>
  <si>
    <t>22/05/2023, 3:01:36 pm</t>
  </si>
  <si>
    <t>22/05/2023, 3:01:37 pm</t>
  </si>
  <si>
    <t>22/05/2023, 3:01:39 pm</t>
  </si>
  <si>
    <t>22/05/2023, 3:01:40 pm</t>
  </si>
  <si>
    <t>22/05/2023, 3:01:41 pm</t>
  </si>
  <si>
    <t>22/05/2023, 3:01:42 pm</t>
  </si>
  <si>
    <t>22/05/2023, 3:01:43 pm</t>
  </si>
  <si>
    <t>22/05/2023, 3:01:44 pm</t>
  </si>
  <si>
    <t>22/05/2023, 3:01:45 pm</t>
  </si>
  <si>
    <t>22/05/2023, 3:01:46 pm</t>
  </si>
  <si>
    <t>22/05/2023, 3:01:47 pm</t>
  </si>
  <si>
    <t>22/05/2023, 3:01:48 pm</t>
  </si>
  <si>
    <t>22/05/2023, 3:01:49 pm</t>
  </si>
  <si>
    <t>22/05/2023, 3:01:50 pm</t>
  </si>
  <si>
    <t>22/05/2023, 3:01:51 pm</t>
  </si>
  <si>
    <t>22/05/2023, 3:01:52 pm</t>
  </si>
  <si>
    <t>22/05/2023, 3:01:53 pm</t>
  </si>
  <si>
    <t>22/05/2023, 3:01:54 pm</t>
  </si>
  <si>
    <t>22/05/2023, 3:01:55 pm</t>
  </si>
  <si>
    <t>22/05/2023, 3:01:56 pm</t>
  </si>
  <si>
    <t>22/05/2023, 3:01:57 pm</t>
  </si>
  <si>
    <t>22/05/2023, 3:01:58 pm</t>
  </si>
  <si>
    <t>22/05/2023, 3:01:59 pm</t>
  </si>
  <si>
    <t>22/05/2023, 3:02:00 pm</t>
  </si>
  <si>
    <t>22/05/2023, 3:02:01 pm</t>
  </si>
  <si>
    <t>22/05/2023, 3:02:02 pm</t>
  </si>
  <si>
    <t>22/05/2023, 3:02:03 pm</t>
  </si>
  <si>
    <t>22/05/2023, 3:02:04 pm</t>
  </si>
  <si>
    <t>22/05/2023, 3:02:05 pm</t>
  </si>
  <si>
    <t>22/05/2023, 3:02:06 pm</t>
  </si>
  <si>
    <t>22/05/2023, 3:02:07 pm</t>
  </si>
  <si>
    <t>22/05/2023, 3:02:08 pm</t>
  </si>
  <si>
    <t>22/05/2023, 3:02:09 pm</t>
  </si>
  <si>
    <t>22/05/2023, 3:02:10 pm</t>
  </si>
  <si>
    <t>22/05/2023, 3:02:11 pm</t>
  </si>
  <si>
    <t>22/05/2023, 3:02:12 pm</t>
  </si>
  <si>
    <t>22/05/2023, 3:02:13 pm</t>
  </si>
  <si>
    <t>22/05/2023, 3:02:14 pm</t>
  </si>
  <si>
    <t>22/05/2023, 3:02:15 pm</t>
  </si>
  <si>
    <t>22/05/2023, 3:02:16 pm</t>
  </si>
  <si>
    <t>22/05/2023, 3:02:17 pm</t>
  </si>
  <si>
    <t>22/05/2023, 3:02:18 pm</t>
  </si>
  <si>
    <t>22/05/2023, 3:02:19 pm</t>
  </si>
  <si>
    <t>22/05/2023, 3:02:20 pm</t>
  </si>
  <si>
    <t>22/05/2023, 3:02:21 pm</t>
  </si>
  <si>
    <t>22/05/2023, 3:02:22 pm</t>
  </si>
  <si>
    <t>22/05/2023, 3:02:23 pm</t>
  </si>
  <si>
    <t>22/05/2023, 3:02:24 pm</t>
  </si>
  <si>
    <t>22/05/2023, 3:02:25 pm</t>
  </si>
  <si>
    <t>22/05/2023, 3:02:26 pm</t>
  </si>
  <si>
    <t>22/05/2023, 3:02:27 pm</t>
  </si>
  <si>
    <t>22/05/2023, 3:02:28 pm</t>
  </si>
  <si>
    <t>22/05/2023, 3:02:29 pm</t>
  </si>
  <si>
    <t>22/05/2023, 3:02:30 pm</t>
  </si>
  <si>
    <t>22/05/2023, 3:02:31 pm</t>
  </si>
  <si>
    <t>22/05/2023, 3:02:32 pm</t>
  </si>
  <si>
    <t>22/05/2023, 3:02:33 pm</t>
  </si>
  <si>
    <t>22/05/2023, 3:02:34 pm</t>
  </si>
  <si>
    <t>22/05/2023, 3:02:35 pm</t>
  </si>
  <si>
    <t>22/05/2023, 3:02:36 pm</t>
  </si>
  <si>
    <t>22/05/2023, 3:02:37 pm</t>
  </si>
  <si>
    <t>22/05/2023, 3:02:38 pm</t>
  </si>
  <si>
    <t>22/05/2023, 3:02:39 pm</t>
  </si>
  <si>
    <t>22/05/2023, 3:02:40 pm</t>
  </si>
  <si>
    <t>22/05/2023, 3:02:41 pm</t>
  </si>
  <si>
    <t>22/05/2023, 3:02:42 pm</t>
  </si>
  <si>
    <t>22/05/2023, 3:02:43 pm</t>
  </si>
  <si>
    <t>22/05/2023, 3:02:44 pm</t>
  </si>
  <si>
    <t>22/05/2023, 3:02:45 pm</t>
  </si>
  <si>
    <t>22/05/2023, 3:02:46 pm</t>
  </si>
  <si>
    <t>22/05/2023, 3:02:47 pm</t>
  </si>
  <si>
    <t>22/05/2023, 3:02:48 pm</t>
  </si>
  <si>
    <t>22/05/2023, 3:02:49 pm</t>
  </si>
  <si>
    <t>22/05/2023, 3:02:50 pm</t>
  </si>
  <si>
    <t>22/05/2023, 3:02:51 pm</t>
  </si>
  <si>
    <t>22/05/2023, 3:02:52 pm</t>
  </si>
  <si>
    <t>22/05/2023, 3:02:53 pm</t>
  </si>
  <si>
    <t>22/05/2023, 3:02:54 pm</t>
  </si>
  <si>
    <t>22/05/2023, 3:02:55 pm</t>
  </si>
  <si>
    <t>22/05/2023, 3:02:56 pm</t>
  </si>
  <si>
    <t>22/05/2023, 3:02:57 pm</t>
  </si>
  <si>
    <t>22/05/2023, 3:02:58 pm</t>
  </si>
  <si>
    <t>22/05/2023, 3:02:59 pm</t>
  </si>
  <si>
    <t>22/05/2023, 3:03:00 pm</t>
  </si>
  <si>
    <t>22/05/2023, 3:03:01 pm</t>
  </si>
  <si>
    <t>22/05/2023, 3:03:02 pm</t>
  </si>
  <si>
    <t>22/05/2023, 3:03:03 pm</t>
  </si>
  <si>
    <t>22/05/2023, 3:03:04 pm</t>
  </si>
  <si>
    <t>22/05/2023, 3:03:05 pm</t>
  </si>
  <si>
    <t>22/05/2023, 3:03:06 pm</t>
  </si>
  <si>
    <t>22/05/2023, 3:03:07 pm</t>
  </si>
  <si>
    <t>22/05/2023, 3:03:08 pm</t>
  </si>
  <si>
    <t>22/05/2023, 3:03:09 pm</t>
  </si>
  <si>
    <t>22/05/2023, 3:03:10 pm</t>
  </si>
  <si>
    <t>22/05/2023, 3:03:11 pm</t>
  </si>
  <si>
    <t>22/05/2023, 3:03:12 pm</t>
  </si>
  <si>
    <t>22/05/2023, 3:03:13 pm</t>
  </si>
  <si>
    <t>22/05/2023, 3:03:14 pm</t>
  </si>
  <si>
    <t>22/05/2023, 3:03:15 pm</t>
  </si>
  <si>
    <t>22/05/2023, 3:03:16 pm</t>
  </si>
  <si>
    <t>22/05/2023, 3:03:17 pm</t>
  </si>
  <si>
    <t>22/05/2023, 3:03:18 pm</t>
  </si>
  <si>
    <t>22/05/2023, 3:03:19 pm</t>
  </si>
  <si>
    <t>22/05/2023, 3:03:20 pm</t>
  </si>
  <si>
    <t>22/05/2023, 3:03:21 pm</t>
  </si>
  <si>
    <t>22/05/2023, 3:03:22 pm</t>
  </si>
  <si>
    <t>22/05/2023, 3:03:23 pm</t>
  </si>
  <si>
    <t>22/05/2023, 3:03:24 pm</t>
  </si>
  <si>
    <t>22/05/2023, 3:03:25 pm</t>
  </si>
  <si>
    <t>22/05/2023, 3:03:26 pm</t>
  </si>
  <si>
    <t>22/05/2023, 3:03:27 pm</t>
  </si>
  <si>
    <t>22/05/2023, 3:03:28 pm</t>
  </si>
  <si>
    <t>22/05/2023, 3:03:29 pm</t>
  </si>
  <si>
    <t>22/05/2023, 3:03:30 pm</t>
  </si>
  <si>
    <t>22/05/2023, 3:03:31 pm</t>
  </si>
  <si>
    <t>22/05/2023, 3:03:32 pm</t>
  </si>
  <si>
    <t>22/05/2023, 3:03:33 pm</t>
  </si>
  <si>
    <t>22/05/2023, 3:03:34 pm</t>
  </si>
  <si>
    <t>22/05/2023, 3:03:35 pm</t>
  </si>
  <si>
    <t>22/05/2023, 3:03:36 pm</t>
  </si>
  <si>
    <t>22/05/2023, 3:03:37 pm</t>
  </si>
  <si>
    <t>22/05/2023, 3:03:38 pm</t>
  </si>
  <si>
    <t>22/05/2023, 3:03:39 pm</t>
  </si>
  <si>
    <t>22/05/2023, 3:03:40 pm</t>
  </si>
  <si>
    <t>22/05/2023, 3:03:41 pm</t>
  </si>
  <si>
    <t>22/05/2023, 3:03:42 pm</t>
  </si>
  <si>
    <t>22/05/2023, 3:03:43 pm</t>
  </si>
  <si>
    <t>22/05/2023, 3:03:44 pm</t>
  </si>
  <si>
    <t>22/05/2023, 3:03:45 pm</t>
  </si>
  <si>
    <t>22/05/2023, 3:03:46 pm</t>
  </si>
  <si>
    <t>22/05/2023, 3:03:47 pm</t>
  </si>
  <si>
    <t>22/05/2023, 3:03:48 pm</t>
  </si>
  <si>
    <t>22/05/2023, 3:03:49 pm</t>
  </si>
  <si>
    <t>22/05/2023, 3:03:50 pm</t>
  </si>
  <si>
    <t>22/05/2023, 3:03:51 pm</t>
  </si>
  <si>
    <t>22/05/2023, 3:03:52 pm</t>
  </si>
  <si>
    <t>22/05/2023, 3:03:53 pm</t>
  </si>
  <si>
    <t>22/05/2023, 3:03:54 pm</t>
  </si>
  <si>
    <t>22/05/2023, 3:03:55 pm</t>
  </si>
  <si>
    <t>22/05/2023, 3:03:56 pm</t>
  </si>
  <si>
    <t>22/05/2023, 3:03:57 pm</t>
  </si>
  <si>
    <t>22/05/2023, 3:03:58 pm</t>
  </si>
  <si>
    <t>22/05/2023, 3:03:59 pm</t>
  </si>
  <si>
    <t>22/05/2023, 3:04:00 pm</t>
  </si>
  <si>
    <t>22/05/2023, 3:04:01 pm</t>
  </si>
  <si>
    <t>22/05/2023, 3:04:02 pm</t>
  </si>
  <si>
    <t>22/05/2023, 3:04:03 pm</t>
  </si>
  <si>
    <t>22/05/2023, 3:04:04 pm</t>
  </si>
  <si>
    <t>22/05/2023, 3:04:05 pm</t>
  </si>
  <si>
    <t>22/05/2023, 3:04:06 pm</t>
  </si>
  <si>
    <t>22/05/2023, 3:04:07 pm</t>
  </si>
  <si>
    <t>22/05/2023, 3:04:08 pm</t>
  </si>
  <si>
    <t>22/05/2023, 3:04:09 pm</t>
  </si>
  <si>
    <t>22/05/2023, 3:04:10 pm</t>
  </si>
  <si>
    <t>22/05/2023, 3:04:11 pm</t>
  </si>
  <si>
    <t>22/05/2023, 3:04:12 pm</t>
  </si>
  <si>
    <t>22/05/2023, 3:04:13 pm</t>
  </si>
  <si>
    <t>22/05/2023, 3:04:14 pm</t>
  </si>
  <si>
    <t>22/05/2023, 3:04:16 pm</t>
  </si>
  <si>
    <t>22/05/2023, 3:04:17 pm</t>
  </si>
  <si>
    <t>22/05/2023, 3:04:18 pm</t>
  </si>
  <si>
    <t>22/05/2023, 3:04:19 pm</t>
  </si>
  <si>
    <t>22/05/2023, 3:04:20 pm</t>
  </si>
  <si>
    <t>22/05/2023, 3:04:21 pm</t>
  </si>
  <si>
    <t>22/05/2023, 3:04:22 pm</t>
  </si>
  <si>
    <t>22/05/2023, 3:04:23 pm</t>
  </si>
  <si>
    <t>22/05/2023, 3:04:24 pm</t>
  </si>
  <si>
    <t>22/05/2023, 3:04:25 pm</t>
  </si>
  <si>
    <t>22/05/2023, 3:04:26 pm</t>
  </si>
  <si>
    <t>22/05/2023, 3:04:27 pm</t>
  </si>
  <si>
    <t>22/05/2023, 3:04:28 pm</t>
  </si>
  <si>
    <t>22/05/2023, 3:04:29 pm</t>
  </si>
  <si>
    <t>22/05/2023, 3:04:30 pm</t>
  </si>
  <si>
    <t>22/05/2023, 3:04:31 pm</t>
  </si>
  <si>
    <t>22/05/2023, 3:04:32 pm</t>
  </si>
  <si>
    <t>22/05/2023, 3:04:33 pm</t>
  </si>
  <si>
    <t>22/05/2023, 3:04:34 pm</t>
  </si>
  <si>
    <t>22/05/2023, 3:04:35 pm</t>
  </si>
  <si>
    <t>22/05/2023, 3:04:36 pm</t>
  </si>
  <si>
    <t>22/05/2023, 3:04:37 pm</t>
  </si>
  <si>
    <t>22/05/2023, 3:04:38 pm</t>
  </si>
  <si>
    <t>22/05/2023, 3:04:39 pm</t>
  </si>
  <si>
    <t>22/05/2023, 3:04:40 pm</t>
  </si>
  <si>
    <t>22/05/2023, 3:04:41 pm</t>
  </si>
  <si>
    <t>22/05/2023, 3:04:42 pm</t>
  </si>
  <si>
    <t>22/05/2023, 3:04:43 pm</t>
  </si>
  <si>
    <t>22/05/2023, 3:04:44 pm</t>
  </si>
  <si>
    <t>22/05/2023, 3:04:45 pm</t>
  </si>
  <si>
    <t>22/05/2023, 3:04:46 pm</t>
  </si>
  <si>
    <t>22/05/2023, 3:04:47 pm</t>
  </si>
  <si>
    <t>22/05/2023, 3:04:48 pm</t>
  </si>
  <si>
    <t>22/05/2023, 3:04:49 pm</t>
  </si>
  <si>
    <t>22/05/2023, 3:04:50 pm</t>
  </si>
  <si>
    <t>22/05/2023, 3:04:51 pm</t>
  </si>
  <si>
    <t>22/05/2023, 3:04:52 pm</t>
  </si>
  <si>
    <t>22/05/2023, 3:04:53 pm</t>
  </si>
  <si>
    <t>22/05/2023, 3:04:54 pm</t>
  </si>
  <si>
    <t>22/05/2023, 3:04:55 pm</t>
  </si>
  <si>
    <t>22/05/2023, 3:04:56 pm</t>
  </si>
  <si>
    <t>22/05/2023, 3:04:57 pm</t>
  </si>
  <si>
    <t>22/05/2023, 3:04:58 pm</t>
  </si>
  <si>
    <t>22/05/2023, 3:04:59 pm</t>
  </si>
  <si>
    <t>22/05/2023, 3:05:00 pm</t>
  </si>
  <si>
    <t>22/05/2023, 3:05:01 pm</t>
  </si>
  <si>
    <t>22/05/2023, 3:05:02 pm</t>
  </si>
  <si>
    <t>22/05/2023, 3:05:03 pm</t>
  </si>
  <si>
    <t>22/05/2023, 3:05:04 pm</t>
  </si>
  <si>
    <t>22/05/2023, 3:05:05 pm</t>
  </si>
  <si>
    <t>22/05/2023, 3:05:06 pm</t>
  </si>
  <si>
    <t>22/05/2023, 3:05:07 pm</t>
  </si>
  <si>
    <t>22/05/2023, 3:05:08 pm</t>
  </si>
  <si>
    <t>22/05/2023, 3:05:09 pm</t>
  </si>
  <si>
    <t>22/05/2023, 3:05:10 pm</t>
  </si>
  <si>
    <t>22/05/2023, 3:05:11 pm</t>
  </si>
  <si>
    <t>22/05/2023, 3:05:12 pm</t>
  </si>
  <si>
    <t>22/05/2023, 3:05:13 pm</t>
  </si>
  <si>
    <t>22/05/2023, 3:05:14 pm</t>
  </si>
  <si>
    <t>22/05/2023, 3:05:15 pm</t>
  </si>
  <si>
    <t>22/05/2023, 3:05:16 pm</t>
  </si>
  <si>
    <t>22/05/2023, 3:05:17 pm</t>
  </si>
  <si>
    <t>22/05/2023, 3:05:18 pm</t>
  </si>
  <si>
    <t>22/05/2023, 3:05:19 pm</t>
  </si>
  <si>
    <t>22/05/2023, 3:05:20 pm</t>
  </si>
  <si>
    <t>22/05/2023, 3:05:21 pm</t>
  </si>
  <si>
    <t>22/05/2023, 3:05:22 pm</t>
  </si>
  <si>
    <t>22/05/2023, 3:05:23 pm</t>
  </si>
  <si>
    <t>22/05/2023, 3:05:24 pm</t>
  </si>
  <si>
    <t>22/05/2023, 3:05:25 pm</t>
  </si>
  <si>
    <t>22/05/2023, 3:05:26 pm</t>
  </si>
  <si>
    <t>22/05/2023, 3:05:27 pm</t>
  </si>
  <si>
    <t>22/05/2023, 3:05:28 pm</t>
  </si>
  <si>
    <t>22/05/2023, 3:05:29 pm</t>
  </si>
  <si>
    <t>22/05/2023, 3:05:30 pm</t>
  </si>
  <si>
    <t>22/05/2023, 3:05:31 pm</t>
  </si>
  <si>
    <t>22/05/2023, 3:05:32 pm</t>
  </si>
  <si>
    <t>22/05/2023, 3:05:33 pm</t>
  </si>
  <si>
    <t>22/05/2023, 3:05:34 pm</t>
  </si>
  <si>
    <t>22/05/2023, 3:05:35 pm</t>
  </si>
  <si>
    <t>22/05/2023, 3:05:36 pm</t>
  </si>
  <si>
    <t>22/05/2023, 3:05:37 pm</t>
  </si>
  <si>
    <t>22/05/2023, 3:05:38 pm</t>
  </si>
  <si>
    <t>22/05/2023, 3:05:39 pm</t>
  </si>
  <si>
    <t>22/05/2023, 3:05:40 pm</t>
  </si>
  <si>
    <t>22/05/2023, 3:05:41 pm</t>
  </si>
  <si>
    <t>22/05/2023, 3:05:42 pm</t>
  </si>
  <si>
    <t>22/05/2023, 3:05:43 pm</t>
  </si>
  <si>
    <t>22/05/2023, 3:05:44 pm</t>
  </si>
  <si>
    <t>22/05/2023, 3:05:45 pm</t>
  </si>
  <si>
    <t>22/05/2023, 3:05:46 pm</t>
  </si>
  <si>
    <t>22/05/2023, 3:05:47 pm</t>
  </si>
  <si>
    <t>22/05/2023, 3:05:48 pm</t>
  </si>
  <si>
    <t>22/05/2023, 3:05:49 pm</t>
  </si>
  <si>
    <t>22/05/2023, 3:05:50 pm</t>
  </si>
  <si>
    <t>22/05/2023, 3:05:51 pm</t>
  </si>
  <si>
    <t>22/05/2023, 3:05:52 pm</t>
  </si>
  <si>
    <t>22/05/2023, 3:05:53 pm</t>
  </si>
  <si>
    <t>22/05/2023, 3:05:54 pm</t>
  </si>
  <si>
    <t>22/05/2023, 3:05:55 pm</t>
  </si>
  <si>
    <t>22/05/2023, 3:05:56 pm</t>
  </si>
  <si>
    <t>22/05/2023, 3:05:57 pm</t>
  </si>
  <si>
    <t>22/05/2023, 3:05:58 pm</t>
  </si>
  <si>
    <t>22/05/2023, 3:05:59 pm</t>
  </si>
  <si>
    <t>22/05/2023, 3:06:00 pm</t>
  </si>
  <si>
    <t>22/05/2023, 3:06:01 pm</t>
  </si>
  <si>
    <t>22/05/2023, 3:06:02 pm</t>
  </si>
  <si>
    <t>22/05/2023, 3:06:03 pm</t>
  </si>
  <si>
    <t>22/05/2023, 3:06:04 pm</t>
  </si>
  <si>
    <t>22/05/2023, 3:06:05 pm</t>
  </si>
  <si>
    <t>22/05/2023, 3:06:06 pm</t>
  </si>
  <si>
    <t>22/05/2023, 3:06:07 pm</t>
  </si>
  <si>
    <t>22/05/2023, 3:06:08 pm</t>
  </si>
  <si>
    <t>22/05/2023, 3:06:09 pm</t>
  </si>
  <si>
    <t>22/05/2023, 3:06:10 pm</t>
  </si>
  <si>
    <t>22/05/2023, 3:06:11 pm</t>
  </si>
  <si>
    <t>22/05/2023, 3:06:12 pm</t>
  </si>
  <si>
    <t>22/05/2023, 3:06:13 pm</t>
  </si>
  <si>
    <t>22/05/2023, 3:06:14 pm</t>
  </si>
  <si>
    <t>22/05/2023, 3:06:15 pm</t>
  </si>
  <si>
    <t>22/05/2023, 3:06:16 pm</t>
  </si>
  <si>
    <t>22/05/2023, 3:06:17 pm</t>
  </si>
  <si>
    <t>22/05/2023, 3:06:18 pm</t>
  </si>
  <si>
    <t>22/05/2023, 3:06:19 pm</t>
  </si>
  <si>
    <t>22/05/2023, 3:06:20 pm</t>
  </si>
  <si>
    <t>22/05/2023, 3:06:21 pm</t>
  </si>
  <si>
    <t>22/05/2023, 3:06:22 pm</t>
  </si>
  <si>
    <t>22/05/2023, 3:06:23 pm</t>
  </si>
  <si>
    <t>22/05/2023, 3:06:24 pm</t>
  </si>
  <si>
    <t>22/05/2023, 3:06:25 pm</t>
  </si>
  <si>
    <t>22/05/2023, 3:06:26 pm</t>
  </si>
  <si>
    <t>22/05/2023, 3:06:27 pm</t>
  </si>
  <si>
    <t>22/05/2023, 3:06:28 pm</t>
  </si>
  <si>
    <t>22/05/2023, 3:06:29 pm</t>
  </si>
  <si>
    <t>22/05/2023, 3:06:30 pm</t>
  </si>
  <si>
    <t>22/05/2023, 3:06:31 pm</t>
  </si>
  <si>
    <t>22/05/2023, 3:06:32 pm</t>
  </si>
  <si>
    <t>22/05/2023, 3:06:33 pm</t>
  </si>
  <si>
    <t>22/05/2023, 3:06:34 pm</t>
  </si>
  <si>
    <t>22/05/2023, 3:06:35 pm</t>
  </si>
  <si>
    <t>22/05/2023, 3:06:36 pm</t>
  </si>
  <si>
    <t>22/05/2023, 3:06:37 pm</t>
  </si>
  <si>
    <t>22/05/2023, 3:06:38 pm</t>
  </si>
  <si>
    <t>22/05/2023, 3:06:39 pm</t>
  </si>
  <si>
    <t>22/05/2023, 3:06:40 pm</t>
  </si>
  <si>
    <t>22/05/2023, 3:06:41 pm</t>
  </si>
  <si>
    <t>22/05/2023, 3:06:42 pm</t>
  </si>
  <si>
    <t>22/05/2023, 3:06:43 pm</t>
  </si>
  <si>
    <t>22/05/2023, 3:06:44 pm</t>
  </si>
  <si>
    <t>22/05/2023, 3:06:45 pm</t>
  </si>
  <si>
    <t>22/05/2023, 3:06:46 pm</t>
  </si>
  <si>
    <t>22/05/2023, 3:06:47 pm</t>
  </si>
  <si>
    <t>22/05/2023, 3:06:48 pm</t>
  </si>
  <si>
    <t>22/05/2023, 3:06:49 pm</t>
  </si>
  <si>
    <t>22/05/2023, 3:06:50 pm</t>
  </si>
  <si>
    <t>22/05/2023, 3:06:51 pm</t>
  </si>
  <si>
    <t>22/05/2023, 3:06:52 pm</t>
  </si>
  <si>
    <t>22/05/2023, 3:06:53 pm</t>
  </si>
  <si>
    <t>22/05/2023, 3:06:54 pm</t>
  </si>
  <si>
    <t>22/05/2023, 3:06:55 pm</t>
  </si>
  <si>
    <t>22/05/2023, 3:06:57 pm</t>
  </si>
  <si>
    <t>22/05/2023, 3:06:58 pm</t>
  </si>
  <si>
    <t>22/05/2023, 3:06:59 pm</t>
  </si>
  <si>
    <t>22/05/2023, 3:07:00 pm</t>
  </si>
  <si>
    <t>22/05/2023, 3:07:01 pm</t>
  </si>
  <si>
    <t>22/05/2023, 3:07:02 pm</t>
  </si>
  <si>
    <t>22/05/2023, 3:07:03 pm</t>
  </si>
  <si>
    <t>22/05/2023, 3:07:04 pm</t>
  </si>
  <si>
    <t>22/05/2023, 3:07:05 pm</t>
  </si>
  <si>
    <t>22/05/2023, 3:07:06 pm</t>
  </si>
  <si>
    <t>22/05/2023, 3:07:07 pm</t>
  </si>
  <si>
    <t>22/05/2023, 3:07:08 pm</t>
  </si>
  <si>
    <t>22/05/2023, 3:07:09 pm</t>
  </si>
  <si>
    <t>22/05/2023, 3:07:10 pm</t>
  </si>
  <si>
    <t>22/05/2023, 3:07:11 pm</t>
  </si>
  <si>
    <t>22/05/2023, 3:07:12 pm</t>
  </si>
  <si>
    <t>22/05/2023, 3:07:13 pm</t>
  </si>
  <si>
    <t>22/05/2023, 3:07:14 pm</t>
  </si>
  <si>
    <t>22/05/2023, 3:07:15 pm</t>
  </si>
  <si>
    <t>22/05/2023, 3:07:16 pm</t>
  </si>
  <si>
    <t>22/05/2023, 3:07:17 pm</t>
  </si>
  <si>
    <t>22/05/2023, 3:07:18 pm</t>
  </si>
  <si>
    <t>22/05/2023, 3:07:19 pm</t>
  </si>
  <si>
    <t>22/05/2023, 3:07:20 pm</t>
  </si>
  <si>
    <t>22/05/2023, 3:07:21 pm</t>
  </si>
  <si>
    <t>22/05/2023, 3:07:22 pm</t>
  </si>
  <si>
    <t>22/05/2023, 3:07:23 pm</t>
  </si>
  <si>
    <t>22/05/2023, 3:07:24 pm</t>
  </si>
  <si>
    <t>22/05/2023, 3:07:25 pm</t>
  </si>
  <si>
    <t>22/05/2023, 3:07:26 pm</t>
  </si>
  <si>
    <t>22/05/2023, 3:07:27 pm</t>
  </si>
  <si>
    <t>22/05/2023, 3:07:28 pm</t>
  </si>
  <si>
    <t>22/05/2023, 3:07:29 pm</t>
  </si>
  <si>
    <t>22/05/2023, 3:07:30 pm</t>
  </si>
  <si>
    <t>22/05/2023, 3:07:31 pm</t>
  </si>
  <si>
    <t>22/05/2023, 3:07:32 pm</t>
  </si>
  <si>
    <t>22/05/2023, 3:07:33 pm</t>
  </si>
  <si>
    <t>22/05/2023, 3:07:34 pm</t>
  </si>
  <si>
    <t>22/05/2023, 3:07:35 pm</t>
  </si>
  <si>
    <t>22/05/2023, 3:07:36 pm</t>
  </si>
  <si>
    <t>22/05/2023, 3:07:37 pm</t>
  </si>
  <si>
    <t>22/05/2023, 3:07:38 pm</t>
  </si>
  <si>
    <t>22/05/2023, 3:07:39 pm</t>
  </si>
  <si>
    <t>22/05/2023, 3:07:40 pm</t>
  </si>
  <si>
    <t>22/05/2023, 3:07:41 pm</t>
  </si>
  <si>
    <t>22/05/2023, 3:07:42 pm</t>
  </si>
  <si>
    <t>22/05/2023, 3:07:43 pm</t>
  </si>
  <si>
    <t>22/05/2023, 3:07:44 pm</t>
  </si>
  <si>
    <t>22/05/2023, 3:07:45 pm</t>
  </si>
  <si>
    <t>22/05/2023, 3:07:46 pm</t>
  </si>
  <si>
    <t>22/05/2023, 3:07:47 pm</t>
  </si>
  <si>
    <t>22/05/2023, 3:07:48 pm</t>
  </si>
  <si>
    <t>22/05/2023, 3:07:49 pm</t>
  </si>
  <si>
    <t>22/05/2023, 3:07:50 pm</t>
  </si>
  <si>
    <t>22/05/2023, 3:07:51 pm</t>
  </si>
  <si>
    <t>22/05/2023, 3:07:52 pm</t>
  </si>
  <si>
    <t>22/05/2023, 3:07:53 pm</t>
  </si>
  <si>
    <t>22/05/2023, 3:07:54 pm</t>
  </si>
  <si>
    <t>22/05/2023, 3:07:55 pm</t>
  </si>
  <si>
    <t>22/05/2023, 3:07:56 pm</t>
  </si>
  <si>
    <t>22/05/2023, 3:07:57 pm</t>
  </si>
  <si>
    <t>22/05/2023, 3:07:58 pm</t>
  </si>
  <si>
    <t>22/05/2023, 3:07:59 pm</t>
  </si>
  <si>
    <t>22/05/2023, 3:08:00 pm</t>
  </si>
  <si>
    <t>22/05/2023, 3:08:01 pm</t>
  </si>
  <si>
    <t>22/05/2023, 3:08:02 pm</t>
  </si>
  <si>
    <t>22/05/2023, 3:08:03 pm</t>
  </si>
  <si>
    <t>22/05/2023, 3:08:04 pm</t>
  </si>
  <si>
    <t>22/05/2023, 3:08:05 pm</t>
  </si>
  <si>
    <t>22/05/2023, 3:08:06 pm</t>
  </si>
  <si>
    <t>22/05/2023, 3:08:07 pm</t>
  </si>
  <si>
    <t>22/05/2023, 3:08:08 pm</t>
  </si>
  <si>
    <t>22/05/2023, 3:08:09 pm</t>
  </si>
  <si>
    <t>22/05/2023, 3:08:10 pm</t>
  </si>
  <si>
    <t>22/05/2023, 3:08:11 pm</t>
  </si>
  <si>
    <t>22/05/2023, 3:08:12 pm</t>
  </si>
  <si>
    <t>22/05/2023, 3:08:13 pm</t>
  </si>
  <si>
    <t>22/05/2023, 3:08:14 pm</t>
  </si>
  <si>
    <t>22/05/2023, 3:08:15 pm</t>
  </si>
  <si>
    <t>22/05/2023, 3:08:16 pm</t>
  </si>
  <si>
    <t>22/05/2023, 3:08:17 pm</t>
  </si>
  <si>
    <t>22/05/2023, 3:08:18 pm</t>
  </si>
  <si>
    <t>22/05/2023, 3:08:19 pm</t>
  </si>
  <si>
    <t>22/05/2023, 3:08:20 pm</t>
  </si>
  <si>
    <t>22/05/2023, 3:08:21 pm</t>
  </si>
  <si>
    <t>22/05/2023, 3:08:22 pm</t>
  </si>
  <si>
    <t>22/05/2023, 3:08:23 pm</t>
  </si>
  <si>
    <t>22/05/2023, 3:08:24 pm</t>
  </si>
  <si>
    <t>22/05/2023, 3:08:25 pm</t>
  </si>
  <si>
    <t>22/05/2023, 3:08:26 pm</t>
  </si>
  <si>
    <t>22/05/2023, 3:08:27 pm</t>
  </si>
  <si>
    <t>22/05/2023, 3:08:28 pm</t>
  </si>
  <si>
    <t>22/05/2023, 3:08:29 pm</t>
  </si>
  <si>
    <t>22/05/2023, 3:08:30 pm</t>
  </si>
  <si>
    <t>22/05/2023, 3:08:31 pm</t>
  </si>
  <si>
    <t>22/05/2023, 3:08:32 pm</t>
  </si>
  <si>
    <t>22/05/2023, 3:08:33 pm</t>
  </si>
  <si>
    <t>22/05/2023, 3:08:34 pm</t>
  </si>
  <si>
    <t>22/05/2023, 3:08:35 pm</t>
  </si>
  <si>
    <t>22/05/2023, 3:08:36 pm</t>
  </si>
  <si>
    <t>22/05/2023, 3:08:37 pm</t>
  </si>
  <si>
    <t>22/05/2023, 3:08:38 pm</t>
  </si>
  <si>
    <t>22/05/2023, 3:08:39 pm</t>
  </si>
  <si>
    <t>22/05/2023, 3:08:40 pm</t>
  </si>
  <si>
    <t>22/05/2023, 3:08:41 pm</t>
  </si>
  <si>
    <t>22/05/2023, 3:08:42 pm</t>
  </si>
  <si>
    <t>22/05/2023, 3:08:43 pm</t>
  </si>
  <si>
    <t>22/05/2023, 3:08:44 pm</t>
  </si>
  <si>
    <t>22/05/2023, 3:08:45 pm</t>
  </si>
  <si>
    <t>22/05/2023, 3:08:46 pm</t>
  </si>
  <si>
    <t>22/05/2023, 3:08:47 pm</t>
  </si>
  <si>
    <t>22/05/2023, 3:08:48 pm</t>
  </si>
  <si>
    <t>22/05/2023, 3:08:49 pm</t>
  </si>
  <si>
    <t>22/05/2023, 3:08:50 pm</t>
  </si>
  <si>
    <t>22/05/2023, 3:08:51 pm</t>
  </si>
  <si>
    <t>22/05/2023, 3:08:52 pm</t>
  </si>
  <si>
    <t>22/05/2023, 3:08:53 pm</t>
  </si>
  <si>
    <t>22/05/2023, 3:08:54 pm</t>
  </si>
  <si>
    <t>22/05/2023, 3:08:55 pm</t>
  </si>
  <si>
    <t>22/05/2023, 3:08:56 pm</t>
  </si>
  <si>
    <t>22/05/2023, 3:08:57 pm</t>
  </si>
  <si>
    <t>22/05/2023, 3:08:58 pm</t>
  </si>
  <si>
    <t>22/05/2023, 3:08:59 pm</t>
  </si>
  <si>
    <t>22/05/2023, 3:09:00 pm</t>
  </si>
  <si>
    <t>22/05/2023, 3:09:01 pm</t>
  </si>
  <si>
    <t>22/05/2023, 3:09:02 pm</t>
  </si>
  <si>
    <t>22/05/2023, 3:09:03 pm</t>
  </si>
  <si>
    <t>22/05/2023, 3:09:04 pm</t>
  </si>
  <si>
    <t>22/05/2023, 3:09:05 pm</t>
  </si>
  <si>
    <t>22/05/2023, 3:09:06 pm</t>
  </si>
  <si>
    <t>22/05/2023, 3:09:07 pm</t>
  </si>
  <si>
    <t>22/05/2023, 3:09:08 pm</t>
  </si>
  <si>
    <t>22/05/2023, 3:09:10 pm</t>
  </si>
  <si>
    <t>22/05/2023, 3:09:11 pm</t>
  </si>
  <si>
    <t>22/05/2023, 3:09:12 pm</t>
  </si>
  <si>
    <t>22/05/2023, 3:09:13 pm</t>
  </si>
  <si>
    <t>22/05/2023, 3:09:14 pm</t>
  </si>
  <si>
    <t>22/05/2023, 3:09:15 pm</t>
  </si>
  <si>
    <t>22/05/2023, 3:09:16 pm</t>
  </si>
  <si>
    <t>22/05/2023, 3:09:17 pm</t>
  </si>
  <si>
    <t>22/05/2023, 3:09:18 pm</t>
  </si>
  <si>
    <t>22/05/2023, 3:09:19 pm</t>
  </si>
  <si>
    <t>22/05/2023, 3:09:20 pm</t>
  </si>
  <si>
    <t>22/05/2023, 3:09:21 pm</t>
  </si>
  <si>
    <t>22/05/2023, 3:09:22 pm</t>
  </si>
  <si>
    <t>22/05/2023, 3:09:23 pm</t>
  </si>
  <si>
    <t>22/05/2023, 3:09:24 pm</t>
  </si>
  <si>
    <t>22/05/2023, 3:09:25 pm</t>
  </si>
  <si>
    <t>22/05/2023, 3:09:26 pm</t>
  </si>
  <si>
    <t>22/05/2023, 3:09:27 pm</t>
  </si>
  <si>
    <t>22/05/2023, 3:09:28 pm</t>
  </si>
  <si>
    <t>22/05/2023, 3:09:29 pm</t>
  </si>
  <si>
    <t>22/05/2023, 3:09:30 pm</t>
  </si>
  <si>
    <t>22/05/2023, 3:09:31 pm</t>
  </si>
  <si>
    <t>22/05/2023, 3:09:32 pm</t>
  </si>
  <si>
    <t>22/05/2023, 3:09:33 pm</t>
  </si>
  <si>
    <t>22/05/2023, 3:09:34 pm</t>
  </si>
  <si>
    <t>22/05/2023, 3:09:35 pm</t>
  </si>
  <si>
    <t>22/05/2023, 3:09:36 pm</t>
  </si>
  <si>
    <t>22/05/2023, 3:09:37 pm</t>
  </si>
  <si>
    <t>22/05/2023, 3:09:38 pm</t>
  </si>
  <si>
    <t>22/05/2023, 3:09:39 pm</t>
  </si>
  <si>
    <t>22/05/2023, 3:09:40 pm</t>
  </si>
  <si>
    <t>22/05/2023, 3:09:41 pm</t>
  </si>
  <si>
    <t>22/05/2023, 3:09:42 pm</t>
  </si>
  <si>
    <t>22/05/2023, 3:09:43 pm</t>
  </si>
  <si>
    <t>22/05/2023, 3:09:44 pm</t>
  </si>
  <si>
    <t>22/05/2023, 3:09:45 pm</t>
  </si>
  <si>
    <t>22/05/2023, 3:09:46 pm</t>
  </si>
  <si>
    <t>22/05/2023, 3:09:47 pm</t>
  </si>
  <si>
    <t>22/05/2023, 3:09:48 pm</t>
  </si>
  <si>
    <t>22/05/2023, 3:09:49 pm</t>
  </si>
  <si>
    <t>22/05/2023, 3:09:50 pm</t>
  </si>
  <si>
    <t>22/05/2023, 3:09:51 pm</t>
  </si>
  <si>
    <t>22/05/2023, 3:09:52 pm</t>
  </si>
  <si>
    <t>22/05/2023, 3:09:53 pm</t>
  </si>
  <si>
    <t>22/05/2023, 3:09:54 pm</t>
  </si>
  <si>
    <t>22/05/2023, 3:09:55 pm</t>
  </si>
  <si>
    <t>22/05/2023, 3:09:56 pm</t>
  </si>
  <si>
    <t>22/05/2023, 3:09:57 pm</t>
  </si>
  <si>
    <t>22/05/2023, 3:09:58 pm</t>
  </si>
  <si>
    <t>22/05/2023, 3:09:59 pm</t>
  </si>
  <si>
    <t>22/05/2023, 3:10:00 pm</t>
  </si>
  <si>
    <t>22/05/2023, 3:10:01 pm</t>
  </si>
  <si>
    <t>22/05/2023, 3:10:02 pm</t>
  </si>
  <si>
    <t>22/05/2023, 3:10:03 pm</t>
  </si>
  <si>
    <t>22/05/2023, 3:10:04 pm</t>
  </si>
  <si>
    <t>22/05/2023, 3:10:05 pm</t>
  </si>
  <si>
    <t>22/05/2023, 3:10:06 pm</t>
  </si>
  <si>
    <t>22/05/2023, 3:10:07 pm</t>
  </si>
  <si>
    <t>22/05/2023, 3:10:08 pm</t>
  </si>
  <si>
    <t>22/05/2023, 3:10:09 pm</t>
  </si>
  <si>
    <t>22/05/2023, 3:10:10 pm</t>
  </si>
  <si>
    <t>22/05/2023, 3:10:11 pm</t>
  </si>
  <si>
    <t>22/05/2023, 3:10:12 pm</t>
  </si>
  <si>
    <t>22/05/2023, 3:10:13 pm</t>
  </si>
  <si>
    <t>22/05/2023, 3:10:14 pm</t>
  </si>
  <si>
    <t>22/05/2023, 3:10:15 pm</t>
  </si>
  <si>
    <t>22/05/2023, 3:10:16 pm</t>
  </si>
  <si>
    <t>22/05/2023, 3:10:17 pm</t>
  </si>
  <si>
    <t>22/05/2023, 3:10:18 pm</t>
  </si>
  <si>
    <t>22/05/2023, 3:10:19 pm</t>
  </si>
  <si>
    <t>22/05/2023, 3:10:20 pm</t>
  </si>
  <si>
    <t>22/05/2023, 3:10:21 pm</t>
  </si>
  <si>
    <t>22/05/2023, 3:10:22 pm</t>
  </si>
  <si>
    <t>22/05/2023, 3:10:23 pm</t>
  </si>
  <si>
    <t>22/05/2023, 3:10:24 pm</t>
  </si>
  <si>
    <t>22/05/2023, 3:10:25 pm</t>
  </si>
  <si>
    <t>22/05/2023, 3:10:26 pm</t>
  </si>
  <si>
    <t>22/05/2023, 3:10:27 pm</t>
  </si>
  <si>
    <t>22/05/2023, 3:10:28 pm</t>
  </si>
  <si>
    <t>22/05/2023, 3:10:29 pm</t>
  </si>
  <si>
    <t>22/05/2023, 3:10:30 pm</t>
  </si>
  <si>
    <t>22/05/2023, 3:10:31 pm</t>
  </si>
  <si>
    <t>22/05/2023, 3:10:32 pm</t>
  </si>
  <si>
    <t>22/05/2023, 3:10:33 pm</t>
  </si>
  <si>
    <t>22/05/2023, 3:10:34 pm</t>
  </si>
  <si>
    <t>22/05/2023, 3:10:35 pm</t>
  </si>
  <si>
    <t>22/05/2023, 3:10:36 pm</t>
  </si>
  <si>
    <t>22/05/2023, 3:10:37 pm</t>
  </si>
  <si>
    <t>22/05/2023, 3:10:38 pm</t>
  </si>
  <si>
    <t>22/05/2023, 3:10:39 pm</t>
  </si>
  <si>
    <t>22/05/2023, 3:10:40 pm</t>
  </si>
  <si>
    <t>22/05/2023, 3:10:41 pm</t>
  </si>
  <si>
    <t>22/05/2023, 3:10:42 pm</t>
  </si>
  <si>
    <t>22/05/2023, 3:10:43 pm</t>
  </si>
  <si>
    <t>22/05/2023, 3:10:44 pm</t>
  </si>
  <si>
    <t>22/05/2023, 3:10:45 pm</t>
  </si>
  <si>
    <t>22/05/2023, 3:10:46 pm</t>
  </si>
  <si>
    <t>22/05/2023, 3:10:47 pm</t>
  </si>
  <si>
    <t>22/05/2023, 3:10:48 pm</t>
  </si>
  <si>
    <t>22/05/2023, 3:10:49 pm</t>
  </si>
  <si>
    <t>22/05/2023, 3:10:50 pm</t>
  </si>
  <si>
    <t>22/05/2023, 3:10:51 pm</t>
  </si>
  <si>
    <t>22/05/2023, 3:10:52 pm</t>
  </si>
  <si>
    <t>22/05/2023, 3:10:53 pm</t>
  </si>
  <si>
    <t>22/05/2023, 3:10:54 pm</t>
  </si>
  <si>
    <t>22/05/2023, 3:10:55 pm</t>
  </si>
  <si>
    <t>22/05/2023, 3:10:56 pm</t>
  </si>
  <si>
    <t>22/05/2023, 3:10:57 pm</t>
  </si>
  <si>
    <t>22/05/2023, 3:10:58 pm</t>
  </si>
  <si>
    <t>22/05/2023, 3:10:59 pm</t>
  </si>
  <si>
    <t>22/05/2023, 3:11:00 pm</t>
  </si>
  <si>
    <t>22/05/2023, 3:11:01 pm</t>
  </si>
  <si>
    <t>22/05/2023, 3:11:02 pm</t>
  </si>
  <si>
    <t>22/05/2023, 3:11:03 pm</t>
  </si>
  <si>
    <t>22/05/2023, 3:11:04 pm</t>
  </si>
  <si>
    <t>22/05/2023, 3:11:05 pm</t>
  </si>
  <si>
    <t>22/05/2023, 3:11:06 pm</t>
  </si>
  <si>
    <t>22/05/2023, 3:11:07 pm</t>
  </si>
  <si>
    <t>22/05/2023, 3:11:08 pm</t>
  </si>
  <si>
    <t>22/05/2023, 3:11:09 pm</t>
  </si>
  <si>
    <t>22/05/2023, 3:11:10 pm</t>
  </si>
  <si>
    <t>22/05/2023, 3:11:11 pm</t>
  </si>
  <si>
    <t>22/05/2023, 3:11:12 pm</t>
  </si>
  <si>
    <t>22/05/2023, 3:11:13 pm</t>
  </si>
  <si>
    <t>22/05/2023, 3:11:14 pm</t>
  </si>
  <si>
    <t>22/05/2023, 3:11:15 pm</t>
  </si>
  <si>
    <t>22/05/2023, 3:11:16 pm</t>
  </si>
  <si>
    <t>22/05/2023, 3:11:17 pm</t>
  </si>
  <si>
    <t>22/05/2023, 3:11:18 pm</t>
  </si>
  <si>
    <t>22/05/2023, 3:11:19 pm</t>
  </si>
  <si>
    <t>22/05/2023, 3:11:20 pm</t>
  </si>
  <si>
    <t>22/05/2023, 3:11:22 pm</t>
  </si>
  <si>
    <t>22/05/2023, 3:11:23 pm</t>
  </si>
  <si>
    <t>22/05/2023, 3:11:24 pm</t>
  </si>
  <si>
    <t>22/05/2023, 3:11:25 pm</t>
  </si>
  <si>
    <t>22/05/2023, 3:11:26 pm</t>
  </si>
  <si>
    <t>22/05/2023, 3:11:27 pm</t>
  </si>
  <si>
    <t>22/05/2023, 3:11:28 pm</t>
  </si>
  <si>
    <t>22/05/2023, 3:11:29 pm</t>
  </si>
  <si>
    <t>22/05/2023, 3:11:30 pm</t>
  </si>
  <si>
    <t>22/05/2023, 3:11:31 pm</t>
  </si>
  <si>
    <t>22/05/2023, 3:11:32 pm</t>
  </si>
  <si>
    <t>22/05/2023, 3:11:33 pm</t>
  </si>
  <si>
    <t>22/05/2023, 3:11:34 pm</t>
  </si>
  <si>
    <t>22/05/2023, 3:11:35 pm</t>
  </si>
  <si>
    <t>22/05/2023, 3:11:36 pm</t>
  </si>
  <si>
    <t>22/05/2023, 3:11:37 pm</t>
  </si>
  <si>
    <t>22/05/2023, 3:11:38 pm</t>
  </si>
  <si>
    <t>22/05/2023, 3:11:39 pm</t>
  </si>
  <si>
    <t>22/05/2023, 3:11:40 pm</t>
  </si>
  <si>
    <t>22/05/2023, 3:11:41 pm</t>
  </si>
  <si>
    <t>22/05/2023, 3:11:42 pm</t>
  </si>
  <si>
    <t>22/05/2023, 3:11:43 pm</t>
  </si>
  <si>
    <t>22/05/2023, 3:11:44 pm</t>
  </si>
  <si>
    <t>22/05/2023, 3:11:45 pm</t>
  </si>
  <si>
    <t>22/05/2023, 3:11:46 pm</t>
  </si>
  <si>
    <t>22/05/2023, 3:11:47 pm</t>
  </si>
  <si>
    <t>22/05/2023, 3:11:48 pm</t>
  </si>
  <si>
    <t>22/05/2023, 3:11:49 pm</t>
  </si>
  <si>
    <t>22/05/2023, 3:11:50 pm</t>
  </si>
  <si>
    <t>22/05/2023, 3:11:51 pm</t>
  </si>
  <si>
    <t>22/05/2023, 3:11:52 pm</t>
  </si>
  <si>
    <t>22/05/2023, 3:11:53 pm</t>
  </si>
  <si>
    <t>22/05/2023, 3:11:54 pm</t>
  </si>
  <si>
    <t>22/05/2023, 3:11:55 pm</t>
  </si>
  <si>
    <t>22/05/2023, 3:11:56 pm</t>
  </si>
  <si>
    <t>22/05/2023, 3:11:57 pm</t>
  </si>
  <si>
    <t>22/05/2023, 3:11:58 pm</t>
  </si>
  <si>
    <t>22/05/2023, 3:11:59 pm</t>
  </si>
  <si>
    <t>22/05/2023, 3:12:00 pm</t>
  </si>
  <si>
    <t>22/05/2023, 3:12:01 pm</t>
  </si>
  <si>
    <t>22/05/2023, 3:12:02 pm</t>
  </si>
  <si>
    <t>22/05/2023, 3:12:03 pm</t>
  </si>
  <si>
    <t>22/05/2023, 3:12:04 pm</t>
  </si>
  <si>
    <t>22/05/2023, 3:12:05 pm</t>
  </si>
  <si>
    <t>22/05/2023, 3:12:06 pm</t>
  </si>
  <si>
    <t>22/05/2023, 3:12:07 pm</t>
  </si>
  <si>
    <t>22/05/2023, 3:12:08 pm</t>
  </si>
  <si>
    <t>22/05/2023, 3:12:09 pm</t>
  </si>
  <si>
    <t>22/05/2023, 3:12:10 pm</t>
  </si>
  <si>
    <t>22/05/2023, 3:12:11 pm</t>
  </si>
  <si>
    <t>22/05/2023, 3:12:12 pm</t>
  </si>
  <si>
    <t>22/05/2023, 3:12:13 pm</t>
  </si>
  <si>
    <t>22/05/2023, 3:12:14 pm</t>
  </si>
  <si>
    <t>22/05/2023, 3:12:15 pm</t>
  </si>
  <si>
    <t>22/05/2023, 3:12:16 pm</t>
  </si>
  <si>
    <t>22/05/2023, 3:12:17 pm</t>
  </si>
  <si>
    <t>22/05/2023, 3:12:18 pm</t>
  </si>
  <si>
    <t>22/05/2023, 3:12:19 pm</t>
  </si>
  <si>
    <t>22/05/2023, 3:12:20 pm</t>
  </si>
  <si>
    <t>22/05/2023, 3:12:21 pm</t>
  </si>
  <si>
    <t>22/05/2023, 3:12:22 pm</t>
  </si>
  <si>
    <t>22/05/2023, 3:12:23 pm</t>
  </si>
  <si>
    <t>22/05/2023, 3:12:24 pm</t>
  </si>
  <si>
    <t>22/05/2023, 3:12:25 pm</t>
  </si>
  <si>
    <t>22/05/2023, 3:12:26 pm</t>
  </si>
  <si>
    <t>22/05/2023, 3:12:27 pm</t>
  </si>
  <si>
    <t>22/05/2023, 3:12:28 pm</t>
  </si>
  <si>
    <t>22/05/2023, 3:12:29 pm</t>
  </si>
  <si>
    <t>22/05/2023, 3:12:30 pm</t>
  </si>
  <si>
    <t>22/05/2023, 3:12:31 pm</t>
  </si>
  <si>
    <t>22/05/2023, 3:12:32 pm</t>
  </si>
  <si>
    <t>22/05/2023, 3:12:33 pm</t>
  </si>
  <si>
    <t>22/05/2023, 3:12:34 pm</t>
  </si>
  <si>
    <t>22/05/2023, 3:12:35 pm</t>
  </si>
  <si>
    <t>22/05/2023, 3:12:36 pm</t>
  </si>
  <si>
    <t>22/05/2023, 3:12:37 pm</t>
  </si>
  <si>
    <t>22/05/2023, 3:12:38 pm</t>
  </si>
  <si>
    <t>22/05/2023, 3:12:39 pm</t>
  </si>
  <si>
    <t>22/05/2023, 3:12:40 pm</t>
  </si>
  <si>
    <t>22/05/2023, 3:12:41 pm</t>
  </si>
  <si>
    <t>22/05/2023, 3:12:42 pm</t>
  </si>
  <si>
    <t>22/05/2023, 3:12:43 pm</t>
  </si>
  <si>
    <t>22/05/2023, 3:12:44 pm</t>
  </si>
  <si>
    <t>22/05/2023, 3:12:45 pm</t>
  </si>
  <si>
    <t>22/05/2023, 3:12:46 pm</t>
  </si>
  <si>
    <t>22/05/2023, 3:12:47 pm</t>
  </si>
  <si>
    <t>22/05/2023, 3:12:48 pm</t>
  </si>
  <si>
    <t>22/05/2023, 3:12:49 pm</t>
  </si>
  <si>
    <t>22/05/2023, 3:12:50 pm</t>
  </si>
  <si>
    <t>22/05/2023, 3:12:51 pm</t>
  </si>
  <si>
    <t>22/05/2023, 3:12:52 pm</t>
  </si>
  <si>
    <t>22/05/2023, 3:12:53 pm</t>
  </si>
  <si>
    <t>22/05/2023, 3:12:54 pm</t>
  </si>
  <si>
    <t>22/05/2023, 3:12:55 pm</t>
  </si>
  <si>
    <t>22/05/2023, 3:12:56 pm</t>
  </si>
  <si>
    <t>22/05/2023, 3:12:57 pm</t>
  </si>
  <si>
    <t>22/05/2023, 3:12:58 pm</t>
  </si>
  <si>
    <t>22/05/2023, 3:12:59 pm</t>
  </si>
  <si>
    <t>22/05/2023, 3:13:00 pm</t>
  </si>
  <si>
    <t>22/05/2023, 3:13:01 pm</t>
  </si>
  <si>
    <t>22/05/2023, 3:13:02 pm</t>
  </si>
  <si>
    <t>22/05/2023, 3:13:03 pm</t>
  </si>
  <si>
    <t>22/05/2023, 3:13:04 pm</t>
  </si>
  <si>
    <t>22/05/2023, 3:13:05 pm</t>
  </si>
  <si>
    <t>22/05/2023, 3:13:06 pm</t>
  </si>
  <si>
    <t>22/05/2023, 3:13:07 pm</t>
  </si>
  <si>
    <t>22/05/2023, 3:13:08 pm</t>
  </si>
  <si>
    <t>22/05/2023, 3:13:09 pm</t>
  </si>
  <si>
    <t>22/05/2023, 3:13:10 pm</t>
  </si>
  <si>
    <t>22/05/2023, 3:13:11 pm</t>
  </si>
  <si>
    <t>22/05/2023, 3:13:12 pm</t>
  </si>
  <si>
    <t>22/05/2023, 3:13:13 pm</t>
  </si>
  <si>
    <t>22/05/2023, 3:13:14 pm</t>
  </si>
  <si>
    <t>22/05/2023, 3:13:15 pm</t>
  </si>
  <si>
    <t>22/05/2023, 3:13:16 pm</t>
  </si>
  <si>
    <t>22/05/2023, 3:13:17 pm</t>
  </si>
  <si>
    <t>22/05/2023, 3:13:18 pm</t>
  </si>
  <si>
    <t>22/05/2023, 3:13:19 pm</t>
  </si>
  <si>
    <t>22/05/2023, 3:13:20 pm</t>
  </si>
  <si>
    <t>22/05/2023, 3:13:21 pm</t>
  </si>
  <si>
    <t>22/05/2023, 3:13:22 pm</t>
  </si>
  <si>
    <t>22/05/2023, 3:13:23 pm</t>
  </si>
  <si>
    <t>22/05/2023, 3:13:24 pm</t>
  </si>
  <si>
    <t>22/05/2023, 3:13:25 pm</t>
  </si>
  <si>
    <t>22/05/2023, 3:13:26 pm</t>
  </si>
  <si>
    <t>22/05/2023, 3:13:27 pm</t>
  </si>
  <si>
    <t>22/05/2023, 3:13:28 pm</t>
  </si>
  <si>
    <t>22/05/2023, 3:13:29 pm</t>
  </si>
  <si>
    <t>22/05/2023, 3:13:30 pm</t>
  </si>
  <si>
    <t>22/05/2023, 3:13:31 pm</t>
  </si>
  <si>
    <t>22/05/2023, 3:13:32 pm</t>
  </si>
  <si>
    <t>22/05/2023, 3:13:33 pm</t>
  </si>
  <si>
    <t>22/05/2023, 3:13:34 pm</t>
  </si>
  <si>
    <t>22/05/2023, 3:13:35 pm</t>
  </si>
  <si>
    <t>22/05/2023, 3:13:36 pm</t>
  </si>
  <si>
    <t>22/05/2023, 3:13:37 pm</t>
  </si>
  <si>
    <t>22/05/2023, 3:13:39 pm</t>
  </si>
  <si>
    <t>22/05/2023, 3:13:40 pm</t>
  </si>
  <si>
    <t>22/05/2023, 3:13:41 pm</t>
  </si>
  <si>
    <t>22/05/2023, 3:13:42 pm</t>
  </si>
  <si>
    <t>22/05/2023, 3:13:43 pm</t>
  </si>
  <si>
    <t>22/05/2023, 3:13:44 pm</t>
  </si>
  <si>
    <t>22/05/2023, 3:13:45 pm</t>
  </si>
  <si>
    <t>22/05/2023, 3:13:46 pm</t>
  </si>
  <si>
    <t>22/05/2023, 3:13:47 pm</t>
  </si>
  <si>
    <t>22/05/2023, 3:13:48 pm</t>
  </si>
  <si>
    <t>22/05/2023, 3:13:49 pm</t>
  </si>
  <si>
    <t>22/05/2023, 3:13:50 pm</t>
  </si>
  <si>
    <t>22/05/2023, 3:13:51 pm</t>
  </si>
  <si>
    <t>22/05/2023, 3:13:52 pm</t>
  </si>
  <si>
    <t>22/05/2023, 3:13:53 pm</t>
  </si>
  <si>
    <t>22/05/2023, 3:13:54 pm</t>
  </si>
  <si>
    <t>22/05/2023, 3:13:55 pm</t>
  </si>
  <si>
    <t>22/05/2023, 3:13:56 pm</t>
  </si>
  <si>
    <t>22/05/2023, 3:13:57 pm</t>
  </si>
  <si>
    <t>22/05/2023, 3:13:58 pm</t>
  </si>
  <si>
    <t>22/05/2023, 3:13:59 pm</t>
  </si>
  <si>
    <t>22/05/2023, 3:14:00 pm</t>
  </si>
  <si>
    <t>22/05/2023, 3:14:01 pm</t>
  </si>
  <si>
    <t>22/05/2023, 3:14:02 pm</t>
  </si>
  <si>
    <t>22/05/2023, 3:14:03 pm</t>
  </si>
  <si>
    <t>22/05/2023, 3:14:04 pm</t>
  </si>
  <si>
    <t>22/05/2023, 3:14:05 pm</t>
  </si>
  <si>
    <t>22/05/2023, 3:14:06 pm</t>
  </si>
  <si>
    <t>22/05/2023, 3:14:07 pm</t>
  </si>
  <si>
    <t>22/05/2023, 3:14:08 pm</t>
  </si>
  <si>
    <t>22/05/2023, 3:14:09 pm</t>
  </si>
  <si>
    <t>22/05/2023, 3:14:10 pm</t>
  </si>
  <si>
    <t>22/05/2023, 3:14:11 pm</t>
  </si>
  <si>
    <t>22/05/2023, 3:14:12 pm</t>
  </si>
  <si>
    <t>22/05/2023, 3:14:13 pm</t>
  </si>
  <si>
    <t>22/05/2023, 3:14:14 pm</t>
  </si>
  <si>
    <t>22/05/2023, 3:14:15 pm</t>
  </si>
  <si>
    <t>22/05/2023, 3:14:16 pm</t>
  </si>
  <si>
    <t>22/05/2023, 3:14:17 pm</t>
  </si>
  <si>
    <t>22/05/2023, 3:14:18 pm</t>
  </si>
  <si>
    <t>22/05/2023, 3:14:19 pm</t>
  </si>
  <si>
    <t>22/05/2023, 3:14:20 pm</t>
  </si>
  <si>
    <t>22/05/2023, 3:14:21 pm</t>
  </si>
  <si>
    <t>22/05/2023, 3:14:22 pm</t>
  </si>
  <si>
    <t>22/05/2023, 3:14:23 pm</t>
  </si>
  <si>
    <t>22/05/2023, 3:14:24 pm</t>
  </si>
  <si>
    <t>22/05/2023, 3:14:25 pm</t>
  </si>
  <si>
    <t>22/05/2023, 3:14:26 pm</t>
  </si>
  <si>
    <t>22/05/2023, 3:14:27 pm</t>
  </si>
  <si>
    <t>22/05/2023, 3:14:28 pm</t>
  </si>
  <si>
    <t>22/05/2023, 3:14:29 pm</t>
  </si>
  <si>
    <t>22/05/2023, 3:14:30 pm</t>
  </si>
  <si>
    <t>22/05/2023, 3:14:31 pm</t>
  </si>
  <si>
    <t>22/05/2023, 3:14:32 pm</t>
  </si>
  <si>
    <t>22/05/2023, 3:14:33 pm</t>
  </si>
  <si>
    <t>22/05/2023, 3:14:34 pm</t>
  </si>
  <si>
    <t>22/05/2023, 3:14:35 pm</t>
  </si>
  <si>
    <t>22/05/2023, 3:14:36 pm</t>
  </si>
  <si>
    <t>22/05/2023, 3:14:37 pm</t>
  </si>
  <si>
    <t>22/05/2023, 3:14:38 pm</t>
  </si>
  <si>
    <t>22/05/2023, 3:14:39 pm</t>
  </si>
  <si>
    <t>22/05/2023, 3:14:40 pm</t>
  </si>
  <si>
    <t>22/05/2023, 3:14:41 pm</t>
  </si>
  <si>
    <t>22/05/2023, 3:14:42 pm</t>
  </si>
  <si>
    <t>22/05/2023, 3:14:43 pm</t>
  </si>
  <si>
    <t>22/05/2023, 3:14:44 pm</t>
  </si>
  <si>
    <t>22/05/2023, 3:14:45 pm</t>
  </si>
  <si>
    <t>22/05/2023, 3:14:46 pm</t>
  </si>
  <si>
    <t>22/05/2023, 3:14:47 pm</t>
  </si>
  <si>
    <t>22/05/2023, 3:14:48 pm</t>
  </si>
  <si>
    <t>22/05/2023, 3:14:49 pm</t>
  </si>
  <si>
    <t>22/05/2023, 3:14:50 pm</t>
  </si>
  <si>
    <t>22/05/2023, 3:14:51 pm</t>
  </si>
  <si>
    <t>22/05/2023, 3:14:52 pm</t>
  </si>
  <si>
    <t>22/05/2023, 3:14:53 pm</t>
  </si>
  <si>
    <t>22/05/2023, 3:14:54 pm</t>
  </si>
  <si>
    <t>22/05/2023, 3:14:55 pm</t>
  </si>
  <si>
    <t>22/05/2023, 3:14:56 pm</t>
  </si>
  <si>
    <t>22/05/2023, 3:14:57 pm</t>
  </si>
  <si>
    <t>22/05/2023, 3:14:58 pm</t>
  </si>
  <si>
    <t>22/05/2023, 3:14:59 pm</t>
  </si>
  <si>
    <t>22/05/2023, 3:15:00 pm</t>
  </si>
  <si>
    <t>22/05/2023, 3:15:01 pm</t>
  </si>
  <si>
    <t>22/05/2023, 3:15:02 pm</t>
  </si>
  <si>
    <t>22/05/2023, 3:15:03 pm</t>
  </si>
  <si>
    <t>22/05/2023, 3:15:04 pm</t>
  </si>
  <si>
    <t>22/05/2023, 3:15:05 pm</t>
  </si>
  <si>
    <t>22/05/2023, 3:15:06 pm</t>
  </si>
  <si>
    <t>22/05/2023, 3:15:07 pm</t>
  </si>
  <si>
    <t>22/05/2023, 3:15:08 pm</t>
  </si>
  <si>
    <t>22/05/2023, 3:15:09 pm</t>
  </si>
  <si>
    <t>22/05/2023, 3:15:10 pm</t>
  </si>
  <si>
    <t>22/05/2023, 3:15:11 pm</t>
  </si>
  <si>
    <t>22/05/2023, 3:15:12 pm</t>
  </si>
  <si>
    <t>22/05/2023, 3:15:13 pm</t>
  </si>
  <si>
    <t>22/05/2023, 3:15:14 pm</t>
  </si>
  <si>
    <t>22/05/2023, 3:15:15 pm</t>
  </si>
  <si>
    <t>22/05/2023, 3:15:16 pm</t>
  </si>
  <si>
    <t>22/05/2023, 3:15:17 pm</t>
  </si>
  <si>
    <t>22/05/2023, 3:15:18 pm</t>
  </si>
  <si>
    <t>22/05/2023, 3:15:19 pm</t>
  </si>
  <si>
    <t>22/05/2023, 3:15:20 pm</t>
  </si>
  <si>
    <t>22/05/2023, 3:15:21 pm</t>
  </si>
  <si>
    <t>22/05/2023, 3:15:22 pm</t>
  </si>
  <si>
    <t>22/05/2023, 3:15:23 pm</t>
  </si>
  <si>
    <t>22/05/2023, 3:15:24 pm</t>
  </si>
  <si>
    <t>22/05/2023, 3:15:25 pm</t>
  </si>
  <si>
    <t>22/05/2023, 3:15:26 pm</t>
  </si>
  <si>
    <t>22/05/2023, 3:15:27 pm</t>
  </si>
  <si>
    <t>22/05/2023, 3:15:28 pm</t>
  </si>
  <si>
    <t>22/05/2023, 3:15:29 pm</t>
  </si>
  <si>
    <t>22/05/2023, 3:15:30 pm</t>
  </si>
  <si>
    <t>22/05/2023, 3:15:31 pm</t>
  </si>
  <si>
    <t>22/05/2023, 3:15:32 pm</t>
  </si>
  <si>
    <t>22/05/2023, 3:15:33 pm</t>
  </si>
  <si>
    <t>22/05/2023, 3:15:34 pm</t>
  </si>
  <si>
    <t>22/05/2023, 3:15:35 pm</t>
  </si>
  <si>
    <t>22/05/2023, 3:15:36 pm</t>
  </si>
  <si>
    <t>22/05/2023, 3:15:37 pm</t>
  </si>
  <si>
    <t>22/05/2023, 3:15:38 pm</t>
  </si>
  <si>
    <t>22/05/2023, 3:15:39 pm</t>
  </si>
  <si>
    <t>22/05/2023, 3:15:41 pm</t>
  </si>
  <si>
    <t>22/05/2023, 3:15:42 pm</t>
  </si>
  <si>
    <t>22/05/2023, 3:15:43 pm</t>
  </si>
  <si>
    <t>22/05/2023, 3:15:44 pm</t>
  </si>
  <si>
    <t>22/05/2023, 3:15:45 pm</t>
  </si>
  <si>
    <t>22/05/2023, 3:15:46 pm</t>
  </si>
  <si>
    <t>22/05/2023, 3:15:47 pm</t>
  </si>
  <si>
    <t>22/05/2023, 3:15:48 pm</t>
  </si>
  <si>
    <t>22/05/2023, 3:15:49 pm</t>
  </si>
  <si>
    <t>22/05/2023, 3:15:50 pm</t>
  </si>
  <si>
    <t>22/05/2023, 3:15:51 pm</t>
  </si>
  <si>
    <t>22/05/2023, 3:15:52 pm</t>
  </si>
  <si>
    <t>22/05/2023, 3:15:53 pm</t>
  </si>
  <si>
    <t>22/05/2023, 3:15:54 pm</t>
  </si>
  <si>
    <t>22/05/2023, 3:15:55 pm</t>
  </si>
  <si>
    <t>22/05/2023, 3:15:56 pm</t>
  </si>
  <si>
    <t>22/05/2023, 3:15:57 pm</t>
  </si>
  <si>
    <t>22/05/2023, 3:15:58 pm</t>
  </si>
  <si>
    <t>22/05/2023, 3:15:59 pm</t>
  </si>
  <si>
    <t>22/05/2023, 3:16:00 pm</t>
  </si>
  <si>
    <t>22/05/2023, 3:16:01 pm</t>
  </si>
  <si>
    <t>22/05/2023, 3:16:02 pm</t>
  </si>
  <si>
    <t>22/05/2023, 3:16:03 pm</t>
  </si>
  <si>
    <t>22/05/2023, 3:16:04 pm</t>
  </si>
  <si>
    <t>22/05/2023, 3:16:05 pm</t>
  </si>
  <si>
    <t>22/05/2023, 3:16:06 pm</t>
  </si>
  <si>
    <t>22/05/2023, 3:16:07 pm</t>
  </si>
  <si>
    <t>22/05/2023, 3:16:08 pm</t>
  </si>
  <si>
    <t>22/05/2023, 3:16:09 pm</t>
  </si>
  <si>
    <t>22/05/2023, 3:16:10 pm</t>
  </si>
  <si>
    <t>22/05/2023, 3:16:11 pm</t>
  </si>
  <si>
    <t>22/05/2023, 3:16:12 pm</t>
  </si>
  <si>
    <t>22/05/2023, 3:16:13 pm</t>
  </si>
  <si>
    <t>22/05/2023, 3:16:14 pm</t>
  </si>
  <si>
    <t>22/05/2023, 3:16:15 pm</t>
  </si>
  <si>
    <t>22/05/2023, 3:16:16 pm</t>
  </si>
  <si>
    <t>22/05/2023, 3:16:17 pm</t>
  </si>
  <si>
    <t>22/05/2023, 3:16:18 pm</t>
  </si>
  <si>
    <t>22/05/2023, 3:16:19 pm</t>
  </si>
  <si>
    <t>22/05/2023, 3:16:20 pm</t>
  </si>
  <si>
    <t>22/05/2023, 3:16:21 pm</t>
  </si>
  <si>
    <t>22/05/2023, 3:16:22 pm</t>
  </si>
  <si>
    <t>22/05/2023, 3:16:23 pm</t>
  </si>
  <si>
    <t>22/05/2023, 3:16:24 pm</t>
  </si>
  <si>
    <t>22/05/2023, 3:16:25 pm</t>
  </si>
  <si>
    <t>22/05/2023, 3:16:26 pm</t>
  </si>
  <si>
    <t>22/05/2023, 3:16:27 pm</t>
  </si>
  <si>
    <t>22/05/2023, 3:16:28 pm</t>
  </si>
  <si>
    <t>22/05/2023, 3:16:29 pm</t>
  </si>
  <si>
    <t>22/05/2023, 3:16:30 pm</t>
  </si>
  <si>
    <t>22/05/2023, 3:16:31 pm</t>
  </si>
  <si>
    <t>22/05/2023, 3:16:32 pm</t>
  </si>
  <si>
    <t>22/05/2023, 3:16:33 pm</t>
  </si>
  <si>
    <t>22/05/2023, 3:16:34 pm</t>
  </si>
  <si>
    <t>22/05/2023, 3:16:35 pm</t>
  </si>
  <si>
    <t>22/05/2023, 3:16:36 pm</t>
  </si>
  <si>
    <t>22/05/2023, 3:16:37 pm</t>
  </si>
  <si>
    <t>22/05/2023, 3:16:38 pm</t>
  </si>
  <si>
    <t>22/05/2023, 3:16:39 pm</t>
  </si>
  <si>
    <t>22/05/2023, 3:16:40 pm</t>
  </si>
  <si>
    <t>22/05/2023, 3:16:41 pm</t>
  </si>
  <si>
    <t>22/05/2023, 3:16:42 pm</t>
  </si>
  <si>
    <t>22/05/2023, 3:16:43 pm</t>
  </si>
  <si>
    <t>22/05/2023, 3:16:44 pm</t>
  </si>
  <si>
    <t>22/05/2023, 3:16:45 pm</t>
  </si>
  <si>
    <t>22/05/2023, 3:16:46 pm</t>
  </si>
  <si>
    <t>22/05/2023, 3:16:47 pm</t>
  </si>
  <si>
    <t>22/05/2023, 3:16:48 pm</t>
  </si>
  <si>
    <t>22/05/2023, 3:16:49 pm</t>
  </si>
  <si>
    <t>22/05/2023, 3:16:50 pm</t>
  </si>
  <si>
    <t>22/05/2023, 3:16:51 pm</t>
  </si>
  <si>
    <t>22/05/2023, 3:16:52 pm</t>
  </si>
  <si>
    <t>22/05/2023, 3:16:53 pm</t>
  </si>
  <si>
    <t>22/05/2023, 3:16:54 pm</t>
  </si>
  <si>
    <t>22/05/2023, 3:16:55 pm</t>
  </si>
  <si>
    <t>22/05/2023, 3:16:56 pm</t>
  </si>
  <si>
    <t>22/05/2023, 3:16:57 pm</t>
  </si>
  <si>
    <t>22/05/2023, 3:16:58 pm</t>
  </si>
  <si>
    <t>22/05/2023, 3:16:59 pm</t>
  </si>
  <si>
    <t>22/05/2023, 3:17:00 pm</t>
  </si>
  <si>
    <t>22/05/2023, 3:17:01 pm</t>
  </si>
  <si>
    <t>22/05/2023, 3:17:02 pm</t>
  </si>
  <si>
    <t>22/05/2023, 3:17:03 pm</t>
  </si>
  <si>
    <t>22/05/2023, 3:17:04 pm</t>
  </si>
  <si>
    <t>22/05/2023, 3:17:05 pm</t>
  </si>
  <si>
    <t>22/05/2023, 3:17:06 pm</t>
  </si>
  <si>
    <t>22/05/2023, 3:17:07 pm</t>
  </si>
  <si>
    <t>22/05/2023, 3:17:08 pm</t>
  </si>
  <si>
    <t>22/05/2023, 3:17:09 pm</t>
  </si>
  <si>
    <t>22/05/2023, 3:17:10 pm</t>
  </si>
  <si>
    <t>22/05/2023, 3:17:11 pm</t>
  </si>
  <si>
    <t>22/05/2023, 3:17:12 pm</t>
  </si>
  <si>
    <t>22/05/2023, 3:17:13 pm</t>
  </si>
  <si>
    <t>22/05/2023, 3:17:14 pm</t>
  </si>
  <si>
    <t>22/05/2023, 3:17:15 pm</t>
  </si>
  <si>
    <t>22/05/2023, 3:17:16 pm</t>
  </si>
  <si>
    <t>22/05/2023, 3:17:17 pm</t>
  </si>
  <si>
    <t>22/05/2023, 3:17:18 pm</t>
  </si>
  <si>
    <t>22/05/2023, 3:17:19 pm</t>
  </si>
  <si>
    <t>22/05/2023, 3:17:20 pm</t>
  </si>
  <si>
    <t>22/05/2023, 3:17:21 pm</t>
  </si>
  <si>
    <t>22/05/2023, 3:17:22 pm</t>
  </si>
  <si>
    <t>22/05/2023, 3:17:23 pm</t>
  </si>
  <si>
    <t>22/05/2023, 3:17:24 pm</t>
  </si>
  <si>
    <t>22/05/2023, 3:17:25 pm</t>
  </si>
  <si>
    <t>22/05/2023, 3:17:26 pm</t>
  </si>
  <si>
    <t>22/05/2023, 3:17:27 pm</t>
  </si>
  <si>
    <t>22/05/2023, 3:17:28 pm</t>
  </si>
  <si>
    <t>22/05/2023, 3:17:29 pm</t>
  </si>
  <si>
    <t>22/05/2023, 3:17:30 pm</t>
  </si>
  <si>
    <t>22/05/2023, 3:17:31 pm</t>
  </si>
  <si>
    <t>22/05/2023, 3:17:32 pm</t>
  </si>
  <si>
    <t>22/05/2023, 3:17:33 pm</t>
  </si>
  <si>
    <t>22/05/2023, 3:17:34 pm</t>
  </si>
  <si>
    <t>22/05/2023, 3:17:35 pm</t>
  </si>
  <si>
    <t>22/05/2023, 3:17:36 pm</t>
  </si>
  <si>
    <t>22/05/2023, 3:17:37 pm</t>
  </si>
  <si>
    <t>22/05/2023, 3:17:38 pm</t>
  </si>
  <si>
    <t>22/05/2023, 3:17:40 pm</t>
  </si>
  <si>
    <t>22/05/2023, 3:17:41 pm</t>
  </si>
  <si>
    <t>22/05/2023, 3:17:42 pm</t>
  </si>
  <si>
    <t>22/05/2023, 3:17:43 pm</t>
  </si>
  <si>
    <t>22/05/2023, 3:17:44 pm</t>
  </si>
  <si>
    <t>22/05/2023, 3:17:45 pm</t>
  </si>
  <si>
    <t>22/05/2023, 3:17:46 pm</t>
  </si>
  <si>
    <t>22/05/2023, 3:17:47 pm</t>
  </si>
  <si>
    <t>22/05/2023, 3:17:48 pm</t>
  </si>
  <si>
    <t>22/05/2023, 3:17:49 pm</t>
  </si>
  <si>
    <t>22/05/2023, 3:17:50 pm</t>
  </si>
  <si>
    <t>22/05/2023, 3:17:51 pm</t>
  </si>
  <si>
    <t>22/05/2023, 3:17:52 pm</t>
  </si>
  <si>
    <t>22/05/2023, 3:17:53 pm</t>
  </si>
  <si>
    <t>22/05/2023, 3:17:54 pm</t>
  </si>
  <si>
    <t>22/05/2023, 3:17:55 pm</t>
  </si>
  <si>
    <t>22/05/2023, 3:17:56 pm</t>
  </si>
  <si>
    <t>22/05/2023, 3:17:57 pm</t>
  </si>
  <si>
    <t>22/05/2023, 3:17:58 pm</t>
  </si>
  <si>
    <t>22/05/2023, 3:17:59 pm</t>
  </si>
  <si>
    <t>22/05/2023, 3:18:00 pm</t>
  </si>
  <si>
    <t>22/05/2023, 3:18:01 pm</t>
  </si>
  <si>
    <t>22/05/2023, 3:18:02 pm</t>
  </si>
  <si>
    <t>22/05/2023, 3:18:03 pm</t>
  </si>
  <si>
    <t>22/05/2023, 3:18:04 pm</t>
  </si>
  <si>
    <t>22/05/2023, 3:18:05 pm</t>
  </si>
  <si>
    <t>22/05/2023, 3:18:06 pm</t>
  </si>
  <si>
    <t>22/05/2023, 3:18:07 pm</t>
  </si>
  <si>
    <t>22/05/2023, 3:18:08 pm</t>
  </si>
  <si>
    <t>22/05/2023, 3:18:09 pm</t>
  </si>
  <si>
    <t>22/05/2023, 3:18:10 pm</t>
  </si>
  <si>
    <t>22/05/2023, 3:18:11 pm</t>
  </si>
  <si>
    <t>22/05/2023, 3:18:12 pm</t>
  </si>
  <si>
    <t>22/05/2023, 3:18:13 pm</t>
  </si>
  <si>
    <t>22/05/2023, 3:18:14 pm</t>
  </si>
  <si>
    <t>22/05/2023, 3:18:15 pm</t>
  </si>
  <si>
    <t>22/05/2023, 3:18:16 pm</t>
  </si>
  <si>
    <t>22/05/2023, 3:18:17 pm</t>
  </si>
  <si>
    <t>22/05/2023, 3:18:18 pm</t>
  </si>
  <si>
    <t>22/05/2023, 3:18:19 pm</t>
  </si>
  <si>
    <t>22/05/2023, 3:18:20 pm</t>
  </si>
  <si>
    <t>22/05/2023, 3:18:21 pm</t>
  </si>
  <si>
    <t>22/05/2023, 3:18:22 pm</t>
  </si>
  <si>
    <t>22/05/2023, 3:18:23 pm</t>
  </si>
  <si>
    <t>22/05/2023, 3:18:24 pm</t>
  </si>
  <si>
    <t>22/05/2023, 3:18:25 pm</t>
  </si>
  <si>
    <t>22/05/2023, 3:18:26 pm</t>
  </si>
  <si>
    <t>22/05/2023, 3:18:27 pm</t>
  </si>
  <si>
    <t>22/05/2023, 3:18:28 pm</t>
  </si>
  <si>
    <t>22/05/2023, 3:18:29 pm</t>
  </si>
  <si>
    <t>22/05/2023, 3:18:30 pm</t>
  </si>
  <si>
    <t>22/05/2023, 3:18:31 pm</t>
  </si>
  <si>
    <t>22/05/2023, 3:18:32 pm</t>
  </si>
  <si>
    <t>22/05/2023, 3:18:33 pm</t>
  </si>
  <si>
    <t>22/05/2023, 3:18:34 pm</t>
  </si>
  <si>
    <t>22/05/2023, 3:18:35 pm</t>
  </si>
  <si>
    <t>22/05/2023, 3:18:36 pm</t>
  </si>
  <si>
    <t>22/05/2023, 3:18:37 pm</t>
  </si>
  <si>
    <t>22/05/2023, 3:18:38 pm</t>
  </si>
  <si>
    <t>22/05/2023, 3:18:39 pm</t>
  </si>
  <si>
    <t>22/05/2023, 3:18:40 pm</t>
  </si>
  <si>
    <t>22/05/2023, 3:18:41 pm</t>
  </si>
  <si>
    <t>22/05/2023, 3:18:42 pm</t>
  </si>
  <si>
    <t>22/05/2023, 3:18:43 pm</t>
  </si>
  <si>
    <t>22/05/2023, 3:18:44 pm</t>
  </si>
  <si>
    <t>22/05/2023, 3:18:45 pm</t>
  </si>
  <si>
    <t>22/05/2023, 3:18:46 pm</t>
  </si>
  <si>
    <t>22/05/2023, 3:18:47 pm</t>
  </si>
  <si>
    <t>22/05/2023, 3:18:48 pm</t>
  </si>
  <si>
    <t>22/05/2023, 3:18:49 pm</t>
  </si>
  <si>
    <t>22/05/2023, 3:18:50 pm</t>
  </si>
  <si>
    <t>22/05/2023, 3:18:51 pm</t>
  </si>
  <si>
    <t>22/05/2023, 3:18:52 pm</t>
  </si>
  <si>
    <t>22/05/2023, 3:18:53 pm</t>
  </si>
  <si>
    <t>22/05/2023, 3:18:54 pm</t>
  </si>
  <si>
    <t>22/05/2023, 3:18:55 pm</t>
  </si>
  <si>
    <t>22/05/2023, 3:18:56 pm</t>
  </si>
  <si>
    <t>22/05/2023, 3:18:57 pm</t>
  </si>
  <si>
    <t>22/05/2023, 3:18:58 pm</t>
  </si>
  <si>
    <t>22/05/2023, 3:18:59 pm</t>
  </si>
  <si>
    <t>22/05/2023, 3:19:00 pm</t>
  </si>
  <si>
    <t>22/05/2023, 3:19:01 pm</t>
  </si>
  <si>
    <t>22/05/2023, 3:19:02 pm</t>
  </si>
  <si>
    <t>22/05/2023, 3:19:03 pm</t>
  </si>
  <si>
    <t>22/05/2023, 3:19:04 pm</t>
  </si>
  <si>
    <t>22/05/2023, 3:19:05 pm</t>
  </si>
  <si>
    <t>22/05/2023, 3:19:06 pm</t>
  </si>
  <si>
    <t>22/05/2023, 3:19:07 pm</t>
  </si>
  <si>
    <t>22/05/2023, 3:19:08 pm</t>
  </si>
  <si>
    <t>22/05/2023, 3:19:09 pm</t>
  </si>
  <si>
    <t>22/05/2023, 3:19:10 pm</t>
  </si>
  <si>
    <t>22/05/2023, 3:19:11 pm</t>
  </si>
  <si>
    <t>22/05/2023, 3:19:12 pm</t>
  </si>
  <si>
    <t>22/05/2023, 3:19:13 pm</t>
  </si>
  <si>
    <t>22/05/2023, 3:19:14 pm</t>
  </si>
  <si>
    <t>22/05/2023, 3:19:15 pm</t>
  </si>
  <si>
    <t>22/05/2023, 3:19:16 pm</t>
  </si>
  <si>
    <t>22/05/2023, 3:19:17 pm</t>
  </si>
  <si>
    <t>22/05/2023, 3:19:18 pm</t>
  </si>
  <si>
    <t>22/05/2023, 3:19:19 pm</t>
  </si>
  <si>
    <t>22/05/2023, 3:19:20 pm</t>
  </si>
  <si>
    <t>22/05/2023, 3:19:21 pm</t>
  </si>
  <si>
    <t>22/05/2023, 3:19:22 pm</t>
  </si>
  <si>
    <t>22/05/2023, 3:19:23 pm</t>
  </si>
  <si>
    <t>22/05/2023, 3:19:24 pm</t>
  </si>
  <si>
    <t>22/05/2023, 3:19:25 pm</t>
  </si>
  <si>
    <t>22/05/2023, 3:19:26 pm</t>
  </si>
  <si>
    <t>22/05/2023, 3:19:27 pm</t>
  </si>
  <si>
    <t>22/05/2023, 3:19:28 pm</t>
  </si>
  <si>
    <t>22/05/2023, 3:19:29 pm</t>
  </si>
  <si>
    <t>22/05/2023, 3:19:30 pm</t>
  </si>
  <si>
    <t>22/05/2023, 3:19:31 pm</t>
  </si>
  <si>
    <t>22/05/2023, 3:19:32 pm</t>
  </si>
  <si>
    <t>22/05/2023, 3:19:33 pm</t>
  </si>
  <si>
    <t>22/05/2023, 3:19:34 pm</t>
  </si>
  <si>
    <t>22/05/2023, 3:19:35 pm</t>
  </si>
  <si>
    <t>22/05/2023, 3:19:36 pm</t>
  </si>
  <si>
    <t>22/05/2023, 3:19:37 pm</t>
  </si>
  <si>
    <t>22/05/2023, 3:19:38 pm</t>
  </si>
  <si>
    <t>22/05/2023, 3:19:39 pm</t>
  </si>
  <si>
    <t>22/05/2023, 3:19:40 pm</t>
  </si>
  <si>
    <t>22/05/2023, 3:19:41 pm</t>
  </si>
  <si>
    <t>22/05/2023, 3:19:42 pm</t>
  </si>
  <si>
    <t>22/05/2023, 3:19:43 pm</t>
  </si>
  <si>
    <t>22/05/2023, 3:19:44 pm</t>
  </si>
  <si>
    <t>22/05/2023, 3:19:45 pm</t>
  </si>
  <si>
    <t>22/05/2023, 3:19:46 pm</t>
  </si>
  <si>
    <t>22/05/2023, 3:19:47 pm</t>
  </si>
  <si>
    <t>22/05/2023, 3:19:48 pm</t>
  </si>
  <si>
    <t>22/05/2023, 3:19:49 pm</t>
  </si>
  <si>
    <t>22/05/2023, 3:19:50 pm</t>
  </si>
  <si>
    <t>22/05/2023, 3:19:51 pm</t>
  </si>
  <si>
    <t>22/05/2023, 3:19:52 pm</t>
  </si>
  <si>
    <t>22/05/2023, 3:19:53 pm</t>
  </si>
  <si>
    <t>22/05/2023, 3:19:54 pm</t>
  </si>
  <si>
    <t>22/05/2023, 3:19:55 pm</t>
  </si>
  <si>
    <t>22/05/2023, 3:19:57 pm</t>
  </si>
  <si>
    <t>22/05/2023, 3:19:58 pm</t>
  </si>
  <si>
    <t>22/05/2023, 3:19:59 pm</t>
  </si>
  <si>
    <t>22/05/2023, 3:20:00 pm</t>
  </si>
  <si>
    <t>22/05/2023, 3:20:01 pm</t>
  </si>
  <si>
    <t>22/05/2023, 3:20:02 pm</t>
  </si>
  <si>
    <t>22/05/2023, 3:20:03 pm</t>
  </si>
  <si>
    <t>22/05/2023, 3:20:04 pm</t>
  </si>
  <si>
    <t>22/05/2023, 3:20:05 pm</t>
  </si>
  <si>
    <t>22/05/2023, 3:20:06 pm</t>
  </si>
  <si>
    <t>22/05/2023, 3:20:07 pm</t>
  </si>
  <si>
    <t>22/05/2023, 3:20:08 pm</t>
  </si>
  <si>
    <t>22/05/2023, 3:20:09 pm</t>
  </si>
  <si>
    <t>22/05/2023, 3:20:10 pm</t>
  </si>
  <si>
    <t>22/05/2023, 3:20:11 pm</t>
  </si>
  <si>
    <t>22/05/2023, 3:20:12 pm</t>
  </si>
  <si>
    <t>22/05/2023, 3:20:13 pm</t>
  </si>
  <si>
    <t>22/05/2023, 3:20:14 pm</t>
  </si>
  <si>
    <t>22/05/2023, 3:20:15 pm</t>
  </si>
  <si>
    <t>22/05/2023, 3:20:16 pm</t>
  </si>
  <si>
    <t>22/05/2023, 3:20:17 pm</t>
  </si>
  <si>
    <t>22/05/2023, 3:20:18 pm</t>
  </si>
  <si>
    <t>22/05/2023, 3:20:19 pm</t>
  </si>
  <si>
    <t>22/05/2023, 3:20:20 pm</t>
  </si>
  <si>
    <t>22/05/2023, 3:20:21 pm</t>
  </si>
  <si>
    <t>22/05/2023, 3:20:22 pm</t>
  </si>
  <si>
    <t>22/05/2023, 3:20:23 pm</t>
  </si>
  <si>
    <t>22/05/2023, 3:20:24 pm</t>
  </si>
  <si>
    <t>22/05/2023, 3:20:25 pm</t>
  </si>
  <si>
    <t>22/05/2023, 3:20:26 pm</t>
  </si>
  <si>
    <t>22/05/2023, 3:20:27 pm</t>
  </si>
  <si>
    <t>22/05/2023, 3:20:28 pm</t>
  </si>
  <si>
    <t>22/05/2023, 3:20:29 pm</t>
  </si>
  <si>
    <t>22/05/2023, 3:20:30 pm</t>
  </si>
  <si>
    <t>22/05/2023, 3:20:31 pm</t>
  </si>
  <si>
    <t>22/05/2023, 3:20:32 pm</t>
  </si>
  <si>
    <t>22/05/2023, 3:20:33 pm</t>
  </si>
  <si>
    <t>22/05/2023, 3:20:34 pm</t>
  </si>
  <si>
    <t>22/05/2023, 3:20:35 pm</t>
  </si>
  <si>
    <t>22/05/2023, 3:20:36 pm</t>
  </si>
  <si>
    <t>22/05/2023, 3:20:37 pm</t>
  </si>
  <si>
    <t>22/05/2023, 3:20:38 pm</t>
  </si>
  <si>
    <t>22/05/2023, 3:20:39 pm</t>
  </si>
  <si>
    <t>22/05/2023, 3:20:40 pm</t>
  </si>
  <si>
    <t>22/05/2023, 3:20:41 pm</t>
  </si>
  <si>
    <t>22/05/2023, 3:20:42 pm</t>
  </si>
  <si>
    <t>22/05/2023, 3:20:43 pm</t>
  </si>
  <si>
    <t>22/05/2023, 3:20:44 pm</t>
  </si>
  <si>
    <t>22/05/2023, 3:20:45 pm</t>
  </si>
  <si>
    <t>22/05/2023, 3:20:46 pm</t>
  </si>
  <si>
    <t>22/05/2023, 3:20:47 pm</t>
  </si>
  <si>
    <t>22/05/2023, 3:20:48 pm</t>
  </si>
  <si>
    <t>22/05/2023, 3:20:49 pm</t>
  </si>
  <si>
    <t>22/05/2023, 3:20:50 pm</t>
  </si>
  <si>
    <t>22/05/2023, 3:20:51 pm</t>
  </si>
  <si>
    <t>22/05/2023, 3:20:52 pm</t>
  </si>
  <si>
    <t>22/05/2023, 3:20:53 pm</t>
  </si>
  <si>
    <t>22/05/2023, 3:20:54 pm</t>
  </si>
  <si>
    <t>22/05/2023, 3:20:55 pm</t>
  </si>
  <si>
    <t>22/05/2023, 3:20:56 pm</t>
  </si>
  <si>
    <t>22/05/2023, 3:20:57 pm</t>
  </si>
  <si>
    <t>22/05/2023, 3:20:58 pm</t>
  </si>
  <si>
    <t>22/05/2023, 3:20:59 pm</t>
  </si>
  <si>
    <t>22/05/2023, 3:21:00 pm</t>
  </si>
  <si>
    <t>22/05/2023, 3:21:01 pm</t>
  </si>
  <si>
    <t>22/05/2023, 3:21:02 pm</t>
  </si>
  <si>
    <t>22/05/2023, 3:21:03 pm</t>
  </si>
  <si>
    <t>22/05/2023, 3:21:04 pm</t>
  </si>
  <si>
    <t>22/05/2023, 3:21:05 pm</t>
  </si>
  <si>
    <t>22/05/2023, 3:21:06 pm</t>
  </si>
  <si>
    <t>22/05/2023, 3:21:07 pm</t>
  </si>
  <si>
    <t>22/05/2023, 3:21:08 pm</t>
  </si>
  <si>
    <t>22/05/2023, 3:21:09 pm</t>
  </si>
  <si>
    <t>22/05/2023, 3:21:10 pm</t>
  </si>
  <si>
    <t>22/05/2023, 3:21:11 pm</t>
  </si>
  <si>
    <t>22/05/2023, 3:21:12 pm</t>
  </si>
  <si>
    <t>22/05/2023, 3:21:13 pm</t>
  </si>
  <si>
    <t>22/05/2023, 3:21:14 pm</t>
  </si>
  <si>
    <t>22/05/2023, 3:21:15 pm</t>
  </si>
  <si>
    <t>22/05/2023, 3:21:16 pm</t>
  </si>
  <si>
    <t>22/05/2023, 3:21:17 pm</t>
  </si>
  <si>
    <t>22/05/2023, 3:21:18 pm</t>
  </si>
  <si>
    <t>22/05/2023, 3:21:19 pm</t>
  </si>
  <si>
    <t>22/05/2023, 3:21:20 pm</t>
  </si>
  <si>
    <t>22/05/2023, 3:21:21 pm</t>
  </si>
  <si>
    <t>22/05/2023, 3:21:22 pm</t>
  </si>
  <si>
    <t>22/05/2023, 3:21:23 pm</t>
  </si>
  <si>
    <t>22/05/2023, 3:21:24 pm</t>
  </si>
  <si>
    <t>22/05/2023, 3:21:25 pm</t>
  </si>
  <si>
    <t>22/05/2023, 3:21:26 pm</t>
  </si>
  <si>
    <t>22/05/2023, 3:21:27 pm</t>
  </si>
  <si>
    <t>22/05/2023, 3:21:28 pm</t>
  </si>
  <si>
    <t>22/05/2023, 3:21:29 pm</t>
  </si>
  <si>
    <t>22/05/2023, 3:21:30 pm</t>
  </si>
  <si>
    <t>22/05/2023, 3:21:31 pm</t>
  </si>
  <si>
    <t>22/05/2023, 3:21:32 pm</t>
  </si>
  <si>
    <t>22/05/2023, 3:21:33 pm</t>
  </si>
  <si>
    <t>22/05/2023, 3:21:34 pm</t>
  </si>
  <si>
    <t>22/05/2023, 3:21:35 pm</t>
  </si>
  <si>
    <t>22/05/2023, 3:21:36 pm</t>
  </si>
  <si>
    <t>22/05/2023, 3:21:37 pm</t>
  </si>
  <si>
    <t>22/05/2023, 3:21:38 pm</t>
  </si>
  <si>
    <t>22/05/2023, 3:21:39 pm</t>
  </si>
  <si>
    <t>22/05/2023, 3:21:40 pm</t>
  </si>
  <si>
    <t>22/05/2023, 3:21:41 pm</t>
  </si>
  <si>
    <t>22/05/2023, 3:21:42 pm</t>
  </si>
  <si>
    <t>22/05/2023, 3:21:43 pm</t>
  </si>
  <si>
    <t>22/05/2023, 3:21:44 pm</t>
  </si>
  <si>
    <t>22/05/2023, 3:21:45 pm</t>
  </si>
  <si>
    <t>22/05/2023, 3:21:46 pm</t>
  </si>
  <si>
    <t>22/05/2023, 3:21:47 pm</t>
  </si>
  <si>
    <t>22/05/2023, 3:21:48 pm</t>
  </si>
  <si>
    <t>22/05/2023, 3:21:49 pm</t>
  </si>
  <si>
    <t>22/05/2023, 3:21:50 pm</t>
  </si>
  <si>
    <t>22/05/2023, 3:21:51 pm</t>
  </si>
  <si>
    <t>22/05/2023, 3:21:52 pm</t>
  </si>
  <si>
    <t>22/05/2023, 3:21:53 pm</t>
  </si>
  <si>
    <t>22/05/2023, 3:21:54 pm</t>
  </si>
  <si>
    <t>22/05/2023, 3:21:55 pm</t>
  </si>
  <si>
    <t>22/05/2023, 3:21:56 pm</t>
  </si>
  <si>
    <t>22/05/2023, 3:21:57 pm</t>
  </si>
  <si>
    <t>22/05/2023, 3:21:58 pm</t>
  </si>
  <si>
    <t>22/05/2023, 3:21:59 pm</t>
  </si>
  <si>
    <t>22/05/2023, 3:22:00 pm</t>
  </si>
  <si>
    <t>22/05/2023, 3:22:01 pm</t>
  </si>
  <si>
    <t>22/05/2023, 3:22:02 pm</t>
  </si>
  <si>
    <t>22/05/2023, 3:22:03 pm</t>
  </si>
  <si>
    <t>22/05/2023, 3:22:04 pm</t>
  </si>
  <si>
    <t>22/05/2023, 3:22:05 pm</t>
  </si>
  <si>
    <t>22/05/2023, 3:22:06 pm</t>
  </si>
  <si>
    <t>22/05/2023, 3:22:07 pm</t>
  </si>
  <si>
    <t>22/05/2023, 3:22:08 pm</t>
  </si>
  <si>
    <t>22/05/2023, 3:22:09 pm</t>
  </si>
  <si>
    <t>22/05/2023, 3:22:10 pm</t>
  </si>
  <si>
    <t>22/05/2023, 3:22:11 pm</t>
  </si>
  <si>
    <t>22/05/2023, 3:22:13 pm</t>
  </si>
  <si>
    <t>22/05/2023, 3:22:14 pm</t>
  </si>
  <si>
    <t>22/05/2023, 3:22:15 pm</t>
  </si>
  <si>
    <t>22/05/2023, 3:22:16 pm</t>
  </si>
  <si>
    <t>22/05/2023, 3:22:17 pm</t>
  </si>
  <si>
    <t>22/05/2023, 3:22:18 pm</t>
  </si>
  <si>
    <t>22/05/2023, 3:22:19 pm</t>
  </si>
  <si>
    <t>22/05/2023, 3:22:20 pm</t>
  </si>
  <si>
    <t>22/05/2023, 3:22:21 pm</t>
  </si>
  <si>
    <t>22/05/2023, 3:22:22 pm</t>
  </si>
  <si>
    <t>22/05/2023, 3:22:23 pm</t>
  </si>
  <si>
    <t>22/05/2023, 3:22:24 pm</t>
  </si>
  <si>
    <t>22/05/2023, 3:22:25 pm</t>
  </si>
  <si>
    <t>22/05/2023, 3:22:26 pm</t>
  </si>
  <si>
    <t>22/05/2023, 3:22:27 pm</t>
  </si>
  <si>
    <t>22/05/2023, 3:22:28 pm</t>
  </si>
  <si>
    <t>22/05/2023, 3:22:29 pm</t>
  </si>
  <si>
    <t>22/05/2023, 3:22:30 pm</t>
  </si>
  <si>
    <t>22/05/2023, 3:22:31 pm</t>
  </si>
  <si>
    <t>22/05/2023, 3:22:32 pm</t>
  </si>
  <si>
    <t>22/05/2023, 3:22:33 pm</t>
  </si>
  <si>
    <t>22/05/2023, 3:22:34 pm</t>
  </si>
  <si>
    <t>22/05/2023, 3:22:35 pm</t>
  </si>
  <si>
    <t>22/05/2023, 3:22:36 pm</t>
  </si>
  <si>
    <t>22/05/2023, 3:22:37 pm</t>
  </si>
  <si>
    <t>22/05/2023, 3:22:38 pm</t>
  </si>
  <si>
    <t>22/05/2023, 3:22:39 pm</t>
  </si>
  <si>
    <t>22/05/2023, 3:22:40 pm</t>
  </si>
  <si>
    <t>22/05/2023, 3:22:41 pm</t>
  </si>
  <si>
    <t>22/05/2023, 3:22:42 pm</t>
  </si>
  <si>
    <t>22/05/2023, 3:22:43 pm</t>
  </si>
  <si>
    <t>22/05/2023, 3:22:44 pm</t>
  </si>
  <si>
    <t>22/05/2023, 3:22:45 pm</t>
  </si>
  <si>
    <t>22/05/2023, 3:22:46 pm</t>
  </si>
  <si>
    <t>22/05/2023, 3:22:47 pm</t>
  </si>
  <si>
    <t>22/05/2023, 3:22:48 pm</t>
  </si>
  <si>
    <t>22/05/2023, 3:22:49 pm</t>
  </si>
  <si>
    <t>22/05/2023, 3:22:50 pm</t>
  </si>
  <si>
    <t>22/05/2023, 3:22:51 pm</t>
  </si>
  <si>
    <t>22/05/2023, 3:22:52 pm</t>
  </si>
  <si>
    <t>22/05/2023, 3:22:53 pm</t>
  </si>
  <si>
    <t>22/05/2023, 3:22:54 pm</t>
  </si>
  <si>
    <t>22/05/2023, 3:22:55 pm</t>
  </si>
  <si>
    <t>22/05/2023, 3:22:56 pm</t>
  </si>
  <si>
    <t>22/05/2023, 3:22:57 pm</t>
  </si>
  <si>
    <t>22/05/2023, 3:22:58 pm</t>
  </si>
  <si>
    <t>22/05/2023, 3:22:59 pm</t>
  </si>
  <si>
    <t>22/05/2023, 3:23:00 pm</t>
  </si>
  <si>
    <t>22/05/2023, 3:23:01 pm</t>
  </si>
  <si>
    <t>22/05/2023, 3:23:02 pm</t>
  </si>
  <si>
    <t>22/05/2023, 3:23:03 pm</t>
  </si>
  <si>
    <t>22/05/2023, 3:23:04 pm</t>
  </si>
  <si>
    <t>22/05/2023, 3:23:05 pm</t>
  </si>
  <si>
    <t>22/05/2023, 3:23:06 pm</t>
  </si>
  <si>
    <t>22/05/2023, 3:23:07 pm</t>
  </si>
  <si>
    <t>22/05/2023, 3:23:08 pm</t>
  </si>
  <si>
    <t>22/05/2023, 3:23:09 pm</t>
  </si>
  <si>
    <t>22/05/2023, 3:23:10 pm</t>
  </si>
  <si>
    <t>22/05/2023, 3:23:11 pm</t>
  </si>
  <si>
    <t>22/05/2023, 3:23:12 pm</t>
  </si>
  <si>
    <t>22/05/2023, 3:23:13 pm</t>
  </si>
  <si>
    <t>22/05/2023, 3:23:14 pm</t>
  </si>
  <si>
    <t>22/05/2023, 3:23:15 pm</t>
  </si>
  <si>
    <t>22/05/2023, 3:23:16 pm</t>
  </si>
  <si>
    <t>22/05/2023, 3:23:17 pm</t>
  </si>
  <si>
    <t>22/05/2023, 3:23:18 pm</t>
  </si>
  <si>
    <t>22/05/2023, 3:23:19 pm</t>
  </si>
  <si>
    <t>22/05/2023, 3:23:20 pm</t>
  </si>
  <si>
    <t>22/05/2023, 3:23:21 pm</t>
  </si>
  <si>
    <t>22/05/2023, 3:23:22 pm</t>
  </si>
  <si>
    <t>22/05/2023, 3:23:23 pm</t>
  </si>
  <si>
    <t>22/05/2023, 3:23:24 pm</t>
  </si>
  <si>
    <t>22/05/2023, 3:23:25 pm</t>
  </si>
  <si>
    <t>22/05/2023, 3:23:26 pm</t>
  </si>
  <si>
    <t>22/05/2023, 3:23:27 pm</t>
  </si>
  <si>
    <t>22/05/2023, 3:23:28 pm</t>
  </si>
  <si>
    <t>22/05/2023, 3:23:29 pm</t>
  </si>
  <si>
    <t>22/05/2023, 3:23:30 pm</t>
  </si>
  <si>
    <t>22/05/2023, 3:23:31 pm</t>
  </si>
  <si>
    <t>22/05/2023, 3:23:32 pm</t>
  </si>
  <si>
    <t>22/05/2023, 3:23:33 pm</t>
  </si>
  <si>
    <t>22/05/2023, 3:23:34 pm</t>
  </si>
  <si>
    <t>22/05/2023, 3:23:35 pm</t>
  </si>
  <si>
    <t>22/05/2023, 3:23:36 pm</t>
  </si>
  <si>
    <t>22/05/2023, 3:23:37 pm</t>
  </si>
  <si>
    <t>22/05/2023, 3:23:38 pm</t>
  </si>
  <si>
    <t>22/05/2023, 3:23:39 pm</t>
  </si>
  <si>
    <t>22/05/2023, 3:23:40 pm</t>
  </si>
  <si>
    <t>22/05/2023, 3:23:41 pm</t>
  </si>
  <si>
    <t>22/05/2023, 3:23:42 pm</t>
  </si>
  <si>
    <t>22/05/2023, 3:23:43 pm</t>
  </si>
  <si>
    <t>22/05/2023, 3:23:44 pm</t>
  </si>
  <si>
    <t>22/05/2023, 3:23:45 pm</t>
  </si>
  <si>
    <t>22/05/2023, 3:23:46 pm</t>
  </si>
  <si>
    <t>22/05/2023, 3:23:47 pm</t>
  </si>
  <si>
    <t>22/05/2023, 3:23:48 pm</t>
  </si>
  <si>
    <t>22/05/2023, 3:23:49 pm</t>
  </si>
  <si>
    <t>22/05/2023, 3:23:50 pm</t>
  </si>
  <si>
    <t>22/05/2023, 3:23:51 pm</t>
  </si>
  <si>
    <t>22/05/2023, 3:23:52 pm</t>
  </si>
  <si>
    <t>22/05/2023, 3:23:53 pm</t>
  </si>
  <si>
    <t>22/05/2023, 3:23:54 pm</t>
  </si>
  <si>
    <t>22/05/2023, 3:23:55 pm</t>
  </si>
  <si>
    <t>22/05/2023, 3:23:56 pm</t>
  </si>
  <si>
    <t>22/05/2023, 3:23:57 pm</t>
  </si>
  <si>
    <t>22/05/2023, 3:23:58 pm</t>
  </si>
  <si>
    <t>22/05/2023, 3:23:59 pm</t>
  </si>
  <si>
    <t>22/05/2023, 3:24:00 pm</t>
  </si>
  <si>
    <t>22/05/2023, 3:24:01 pm</t>
  </si>
  <si>
    <t>22/05/2023, 3:24:02 pm</t>
  </si>
  <si>
    <t>22/05/2023, 3:24:03 pm</t>
  </si>
  <si>
    <t>22/05/2023, 3:24:04 pm</t>
  </si>
  <si>
    <t>22/05/2023, 3:24:05 pm</t>
  </si>
  <si>
    <t>22/05/2023, 3:24:06 pm</t>
  </si>
  <si>
    <t>22/05/2023, 3:24:07 pm</t>
  </si>
  <si>
    <t>22/05/2023, 3:24:08 pm</t>
  </si>
  <si>
    <t>22/05/2023, 3:24:09 pm</t>
  </si>
  <si>
    <t>22/05/2023, 3:24:10 pm</t>
  </si>
  <si>
    <t>22/05/2023, 3:24:11 pm</t>
  </si>
  <si>
    <t>22/05/2023, 3:24:12 pm</t>
  </si>
  <si>
    <t>22/05/2023, 3:24:13 pm</t>
  </si>
  <si>
    <t>22/05/2023, 3:24:14 pm</t>
  </si>
  <si>
    <t>22/05/2023, 3:24:15 pm</t>
  </si>
  <si>
    <t>22/05/2023, 3:24:16 pm</t>
  </si>
  <si>
    <t>22/05/2023, 3:24:17 pm</t>
  </si>
  <si>
    <t>22/05/2023, 3:24:18 pm</t>
  </si>
  <si>
    <t>22/05/2023, 3:24:19 pm</t>
  </si>
  <si>
    <t>22/05/2023, 3:24:20 pm</t>
  </si>
  <si>
    <t>22/05/2023, 3:24:21 pm</t>
  </si>
  <si>
    <t>22/05/2023, 3:24:22 pm</t>
  </si>
  <si>
    <t>22/05/2023, 3:24:23 pm</t>
  </si>
  <si>
    <t>22/05/2023, 3:24:24 pm</t>
  </si>
  <si>
    <t>22/05/2023, 3:24:25 pm</t>
  </si>
  <si>
    <t>22/05/2023, 3:24:26 pm</t>
  </si>
  <si>
    <t>22/05/2023, 3:24:27 pm</t>
  </si>
  <si>
    <t>22/05/2023, 3:24:28 pm</t>
  </si>
  <si>
    <t>22/05/2023, 3:24:29 pm</t>
  </si>
  <si>
    <t>22/05/2023, 3:24:30 pm</t>
  </si>
  <si>
    <t>22/05/2023, 3:24:31 pm</t>
  </si>
  <si>
    <t>22/05/2023, 3:24:32 pm</t>
  </si>
  <si>
    <t>22/05/2023, 3:24:33 pm</t>
  </si>
  <si>
    <t>22/05/2023, 3:24:34 pm</t>
  </si>
  <si>
    <t>22/05/2023, 3:24:35 pm</t>
  </si>
  <si>
    <t>22/05/2023, 3:24:36 pm</t>
  </si>
  <si>
    <t>22/05/2023, 3:24:37 pm</t>
  </si>
  <si>
    <t>22/05/2023, 3:24:38 pm</t>
  </si>
  <si>
    <t>22/05/2023, 3:24:39 pm</t>
  </si>
  <si>
    <t>22/05/2023, 3:24:40 pm</t>
  </si>
  <si>
    <t>22/05/2023, 3:24:41 pm</t>
  </si>
  <si>
    <t>22/05/2023, 3:24:42 pm</t>
  </si>
  <si>
    <t>22/05/2023, 3:24:43 pm</t>
  </si>
  <si>
    <t>22/05/2023, 3:24:44 pm</t>
  </si>
  <si>
    <t>22/05/2023, 3:24:46 pm</t>
  </si>
  <si>
    <t>22/05/2023, 3:24:47 pm</t>
  </si>
  <si>
    <t>22/05/2023, 3:24:48 pm</t>
  </si>
  <si>
    <t>22/05/2023, 3:24:49 pm</t>
  </si>
  <si>
    <t>22/05/2023, 3:24:50 pm</t>
  </si>
  <si>
    <t>22/05/2023, 3:24:51 pm</t>
  </si>
  <si>
    <t>22/05/2023, 3:24:52 pm</t>
  </si>
  <si>
    <t>22/05/2023, 3:24:53 pm</t>
  </si>
  <si>
    <t>22/05/2023, 3:24:54 pm</t>
  </si>
  <si>
    <t>22/05/2023, 3:24:55 pm</t>
  </si>
  <si>
    <t>22/05/2023, 3:24:56 pm</t>
  </si>
  <si>
    <t>22/05/2023, 3:24:57 pm</t>
  </si>
  <si>
    <t>22/05/2023, 3:24:58 pm</t>
  </si>
  <si>
    <t>22/05/2023, 3:24:59 pm</t>
  </si>
  <si>
    <t>22/05/2023, 3:25:00 pm</t>
  </si>
  <si>
    <t>22/05/2023, 3:25:01 pm</t>
  </si>
  <si>
    <t>22/05/2023, 3:25:02 pm</t>
  </si>
  <si>
    <t>22/05/2023, 3:25:03 pm</t>
  </si>
  <si>
    <t>22/05/2023, 3:25:04 pm</t>
  </si>
  <si>
    <t>22/05/2023, 3:25:05 pm</t>
  </si>
  <si>
    <t>22/05/2023, 3:25:06 pm</t>
  </si>
  <si>
    <t>22/05/2023, 3:25:07 pm</t>
  </si>
  <si>
    <t>22/05/2023, 3:25:08 pm</t>
  </si>
  <si>
    <t>22/05/2023, 3:25:09 pm</t>
  </si>
  <si>
    <t>22/05/2023, 3:25:10 pm</t>
  </si>
  <si>
    <t>22/05/2023, 3:25:11 pm</t>
  </si>
  <si>
    <t>22/05/2023, 3:25:12 pm</t>
  </si>
  <si>
    <t>22/05/2023, 3:25:13 pm</t>
  </si>
  <si>
    <t>22/05/2023, 3:25:14 pm</t>
  </si>
  <si>
    <t>22/05/2023, 3:25:15 pm</t>
  </si>
  <si>
    <t>22/05/2023, 3:25:16 pm</t>
  </si>
  <si>
    <t>22/05/2023, 3:25:17 pm</t>
  </si>
  <si>
    <t>22/05/2023, 3:25:18 pm</t>
  </si>
  <si>
    <t>22/05/2023, 3:25:19 pm</t>
  </si>
  <si>
    <t>22/05/2023, 3:25:20 pm</t>
  </si>
  <si>
    <t>22/05/2023, 3:25:21 pm</t>
  </si>
  <si>
    <t>22/05/2023, 3:25:22 pm</t>
  </si>
  <si>
    <t>22/05/2023, 3:25:23 pm</t>
  </si>
  <si>
    <t>22/05/2023, 3:25:24 pm</t>
  </si>
  <si>
    <t>22/05/2023, 3:25:25 pm</t>
  </si>
  <si>
    <t>22/05/2023, 3:25:26 pm</t>
  </si>
  <si>
    <t>22/05/2023, 3:25:27 pm</t>
  </si>
  <si>
    <t>22/05/2023, 3:25:28 pm</t>
  </si>
  <si>
    <t>22/05/2023, 3:25:29 pm</t>
  </si>
  <si>
    <t>22/05/2023, 3:25:30 pm</t>
  </si>
  <si>
    <t>22/05/2023, 3:25:31 pm</t>
  </si>
  <si>
    <t>22/05/2023, 3:25:32 pm</t>
  </si>
  <si>
    <t>22/05/2023, 3:25:33 pm</t>
  </si>
  <si>
    <t>22/05/2023, 3:25:34 pm</t>
  </si>
  <si>
    <t>22/05/2023, 3:25:35 pm</t>
  </si>
  <si>
    <t>22/05/2023, 3:25:36 pm</t>
  </si>
  <si>
    <t>22/05/2023, 3:25:37 pm</t>
  </si>
  <si>
    <t>22/05/2023, 3:25:38 pm</t>
  </si>
  <si>
    <t>22/05/2023, 3:25:39 pm</t>
  </si>
  <si>
    <t>22/05/2023, 3:25:40 pm</t>
  </si>
  <si>
    <t>22/05/2023, 3:25:41 pm</t>
  </si>
  <si>
    <t>22/05/2023, 3:25:42 pm</t>
  </si>
  <si>
    <t>22/05/2023, 3:25:43 pm</t>
  </si>
  <si>
    <t>22/05/2023, 3:25:44 pm</t>
  </si>
  <si>
    <t>22/05/2023, 3:25:45 pm</t>
  </si>
  <si>
    <t>22/05/2023, 3:25:46 pm</t>
  </si>
  <si>
    <t>22/05/2023, 3:25:47 pm</t>
  </si>
  <si>
    <t>22/05/2023, 3:25:48 pm</t>
  </si>
  <si>
    <t>22/05/2023, 3:25:49 pm</t>
  </si>
  <si>
    <t>22/05/2023, 3:25:50 pm</t>
  </si>
  <si>
    <t>22/05/2023, 3:25:51 pm</t>
  </si>
  <si>
    <t>22/05/2023, 3:25:52 pm</t>
  </si>
  <si>
    <t>22/05/2023, 3:25:53 pm</t>
  </si>
  <si>
    <t>22/05/2023, 3:25:54 pm</t>
  </si>
  <si>
    <t>22/05/2023, 3:25:55 pm</t>
  </si>
  <si>
    <t>22/05/2023, 3:25:56 pm</t>
  </si>
  <si>
    <t>22/05/2023, 3:25:57 pm</t>
  </si>
  <si>
    <t>22/05/2023, 3:25:58 pm</t>
  </si>
  <si>
    <t>22/05/2023, 3:25:59 pm</t>
  </si>
  <si>
    <t>22/05/2023, 3:26:00 pm</t>
  </si>
  <si>
    <t>22/05/2023, 3:26:01 pm</t>
  </si>
  <si>
    <t>22/05/2023, 3:26:02 pm</t>
  </si>
  <si>
    <t>22/05/2023, 3:26:03 pm</t>
  </si>
  <si>
    <t>22/05/2023, 3:26:04 pm</t>
  </si>
  <si>
    <t>22/05/2023, 3:26:05 pm</t>
  </si>
  <si>
    <t>22/05/2023, 3:26:06 pm</t>
  </si>
  <si>
    <t>22/05/2023, 3:26:07 pm</t>
  </si>
  <si>
    <t>22/05/2023, 3:26:08 pm</t>
  </si>
  <si>
    <t>22/05/2023, 3:26:09 pm</t>
  </si>
  <si>
    <t>22/05/2023, 3:26:10 pm</t>
  </si>
  <si>
    <t>22/05/2023, 3:26:11 pm</t>
  </si>
  <si>
    <t>22/05/2023, 3:26:12 pm</t>
  </si>
  <si>
    <t>22/05/2023, 3:26:13 pm</t>
  </si>
  <si>
    <t>22/05/2023, 3:26:14 pm</t>
  </si>
  <si>
    <t>22/05/2023, 3:26:15 pm</t>
  </si>
  <si>
    <t>22/05/2023, 3:26:16 pm</t>
  </si>
  <si>
    <t>22/05/2023, 3:26:17 pm</t>
  </si>
  <si>
    <t>22/05/2023, 3:26:18 pm</t>
  </si>
  <si>
    <t>22/05/2023, 3:26:19 pm</t>
  </si>
  <si>
    <t>22/05/2023, 3:26:20 pm</t>
  </si>
  <si>
    <t>22/05/2023, 3:26:21 pm</t>
  </si>
  <si>
    <t>22/05/2023, 3:26:22 pm</t>
  </si>
  <si>
    <t>22/05/2023, 3:26:23 pm</t>
  </si>
  <si>
    <t>22/05/2023, 3:26:24 pm</t>
  </si>
  <si>
    <t>22/05/2023, 3:26:25 pm</t>
  </si>
  <si>
    <t>22/05/2023, 3:26:26 pm</t>
  </si>
  <si>
    <t>22/05/2023, 3:26:27 pm</t>
  </si>
  <si>
    <t>22/05/2023, 3:26:28 pm</t>
  </si>
  <si>
    <t>22/05/2023, 3:26:29 pm</t>
  </si>
  <si>
    <t>22/05/2023, 3:26:30 pm</t>
  </si>
  <si>
    <t>22/05/2023, 3:26:31 pm</t>
  </si>
  <si>
    <t>22/05/2023, 3:26:32 pm</t>
  </si>
  <si>
    <t>22/05/2023, 3:26:33 pm</t>
  </si>
  <si>
    <t>22/05/2023, 3:26:34 pm</t>
  </si>
  <si>
    <t>22/05/2023, 3:26:35 pm</t>
  </si>
  <si>
    <t>22/05/2023, 3:26:36 pm</t>
  </si>
  <si>
    <t>22/05/2023, 3:26:37 pm</t>
  </si>
  <si>
    <t>22/05/2023, 3:26:38 pm</t>
  </si>
  <si>
    <t>22/05/2023, 3:26:39 pm</t>
  </si>
  <si>
    <t>22/05/2023, 3:26:40 pm</t>
  </si>
  <si>
    <t>22/05/2023, 3:26:41 pm</t>
  </si>
  <si>
    <t>22/05/2023, 3:26:42 pm</t>
  </si>
  <si>
    <t>22/05/2023, 3:26:43 pm</t>
  </si>
  <si>
    <t>22/05/2023, 3:26:44 pm</t>
  </si>
  <si>
    <t>22/05/2023, 3:26:45 pm</t>
  </si>
  <si>
    <t>22/05/2023, 3:26:46 pm</t>
  </si>
  <si>
    <t>22/05/2023, 3:26:47 pm</t>
  </si>
  <si>
    <t>22/05/2023, 3:26:48 pm</t>
  </si>
  <si>
    <t>22/05/2023, 3:26:49 pm</t>
  </si>
  <si>
    <t>22/05/2023, 3:26:50 pm</t>
  </si>
  <si>
    <t>22/05/2023, 3:26:51 pm</t>
  </si>
  <si>
    <t>22/05/2023, 3:26:52 pm</t>
  </si>
  <si>
    <t>22/05/2023, 3:26:53 pm</t>
  </si>
  <si>
    <t>22/05/2023, 3:26:54 pm</t>
  </si>
  <si>
    <t>22/05/2023, 3:26:55 pm</t>
  </si>
  <si>
    <t>22/05/2023, 3:26:56 pm</t>
  </si>
  <si>
    <t>22/05/2023, 3:26:57 pm</t>
  </si>
  <si>
    <t>22/05/2023, 3:26:58 pm</t>
  </si>
  <si>
    <t>22/05/2023, 3:27:00 pm</t>
  </si>
  <si>
    <t>22/05/2023, 3:27:01 pm</t>
  </si>
  <si>
    <t>22/05/2023, 3:27:02 pm</t>
  </si>
  <si>
    <t>22/05/2023, 3:27:03 pm</t>
  </si>
  <si>
    <t>22/05/2023, 3:27:04 pm</t>
  </si>
  <si>
    <t>22/05/2023, 3:27:05 pm</t>
  </si>
  <si>
    <t>22/05/2023, 3:27:06 pm</t>
  </si>
  <si>
    <t>22/05/2023, 3:27:07 pm</t>
  </si>
  <si>
    <t>22/05/2023, 3:27:08 pm</t>
  </si>
  <si>
    <t>22/05/2023, 3:27:09 pm</t>
  </si>
  <si>
    <t>22/05/2023, 3:27:10 pm</t>
  </si>
  <si>
    <t>22/05/2023, 3:27:11 pm</t>
  </si>
  <si>
    <t>22/05/2023, 3:27:12 pm</t>
  </si>
  <si>
    <t>22/05/2023, 3:27:13 pm</t>
  </si>
  <si>
    <t>22/05/2023, 3:27:14 pm</t>
  </si>
  <si>
    <t>22/05/2023, 3:27:15 pm</t>
  </si>
  <si>
    <t>22/05/2023, 3:27:16 pm</t>
  </si>
  <si>
    <t>22/05/2023, 3:27:17 pm</t>
  </si>
  <si>
    <t>22/05/2023, 3:27:18 pm</t>
  </si>
  <si>
    <t>22/05/2023, 3:27:19 pm</t>
  </si>
  <si>
    <t>22/05/2023, 3:27:20 pm</t>
  </si>
  <si>
    <t>22/05/2023, 3:27:21 pm</t>
  </si>
  <si>
    <t>22/05/2023, 3:27:22 pm</t>
  </si>
  <si>
    <t>22/05/2023, 3:27:23 pm</t>
  </si>
  <si>
    <t>22/05/2023, 3:27:24 pm</t>
  </si>
  <si>
    <t>22/05/2023, 3:27:25 pm</t>
  </si>
  <si>
    <t>22/05/2023, 3:27:26 pm</t>
  </si>
  <si>
    <t>22/05/2023, 3:27:27 pm</t>
  </si>
  <si>
    <t>22/05/2023, 3:27:28 pm</t>
  </si>
  <si>
    <t>22/05/2023, 3:27:29 pm</t>
  </si>
  <si>
    <t>22/05/2023, 3:27:30 pm</t>
  </si>
  <si>
    <t>22/05/2023, 3:27:31 pm</t>
  </si>
  <si>
    <t>22/05/2023, 3:27:32 pm</t>
  </si>
  <si>
    <t>22/05/2023, 3:27:33 pm</t>
  </si>
  <si>
    <t>22/05/2023, 3:27:34 pm</t>
  </si>
  <si>
    <t>22/05/2023, 3:27:35 pm</t>
  </si>
  <si>
    <t>22/05/2023, 3:27:36 pm</t>
  </si>
  <si>
    <t>22/05/2023, 3:27:37 pm</t>
  </si>
  <si>
    <t>22/05/2023, 3:27:38 pm</t>
  </si>
  <si>
    <t>22/05/2023, 3:27:39 pm</t>
  </si>
  <si>
    <t>22/05/2023, 3:27:40 pm</t>
  </si>
  <si>
    <t>22/05/2023, 3:27:41 pm</t>
  </si>
  <si>
    <t>22/05/2023, 3:27:42 pm</t>
  </si>
  <si>
    <t>22/05/2023, 3:27:43 pm</t>
  </si>
  <si>
    <t>22/05/2023, 3:27:44 pm</t>
  </si>
  <si>
    <t>22/05/2023, 3:27:45 pm</t>
  </si>
  <si>
    <t>22/05/2023, 3:27:46 pm</t>
  </si>
  <si>
    <t>22/05/2023, 3:27:47 pm</t>
  </si>
  <si>
    <t>22/05/2023, 3:27:48 pm</t>
  </si>
  <si>
    <t>22/05/2023, 3:27:49 pm</t>
  </si>
  <si>
    <t>22/05/2023, 3:27:50 pm</t>
  </si>
  <si>
    <t>22/05/2023, 3:27:51 pm</t>
  </si>
  <si>
    <t>22/05/2023, 3:27:52 pm</t>
  </si>
  <si>
    <t>22/05/2023, 3:27:53 pm</t>
  </si>
  <si>
    <t>22/05/2023, 3:27:54 pm</t>
  </si>
  <si>
    <t>22/05/2023, 3:27:55 pm</t>
  </si>
  <si>
    <t>22/05/2023, 3:27:56 pm</t>
  </si>
  <si>
    <t>22/05/2023, 3:27:57 pm</t>
  </si>
  <si>
    <t>22/05/2023, 3:27:58 pm</t>
  </si>
  <si>
    <t>22/05/2023, 3:27:59 pm</t>
  </si>
  <si>
    <t>22/05/2023, 3:28:00 pm</t>
  </si>
  <si>
    <t>22/05/2023, 3:28:01 pm</t>
  </si>
  <si>
    <t>22/05/2023, 3:28:02 pm</t>
  </si>
  <si>
    <t>22/05/2023, 3:28:03 pm</t>
  </si>
  <si>
    <t>22/05/2023, 3:28:04 pm</t>
  </si>
  <si>
    <t>22/05/2023, 3:28:05 pm</t>
  </si>
  <si>
    <t>22/05/2023, 3:28:06 pm</t>
  </si>
  <si>
    <t>22/05/2023, 3:28:07 pm</t>
  </si>
  <si>
    <t>22/05/2023, 3:28:08 pm</t>
  </si>
  <si>
    <t>22/05/2023, 3:28:09 pm</t>
  </si>
  <si>
    <t>22/05/2023, 3:28:10 pm</t>
  </si>
  <si>
    <t>22/05/2023, 3:28:11 pm</t>
  </si>
  <si>
    <t>22/05/2023, 3:28:12 pm</t>
  </si>
  <si>
    <t>22/05/2023, 3:28:13 pm</t>
  </si>
  <si>
    <t>22/05/2023, 3:28:14 pm</t>
  </si>
  <si>
    <t>22/05/2023, 3:28:15 pm</t>
  </si>
  <si>
    <t>22/05/2023, 3:28:16 pm</t>
  </si>
  <si>
    <t>22/05/2023, 3:28:17 pm</t>
  </si>
  <si>
    <t>22/05/2023, 3:28:18 pm</t>
  </si>
  <si>
    <t>22/05/2023, 3:28:19 pm</t>
  </si>
  <si>
    <t>22/05/2023, 3:28:20 pm</t>
  </si>
  <si>
    <t>22/05/2023, 3:28:21 pm</t>
  </si>
  <si>
    <t>22/05/2023, 3:28:22 pm</t>
  </si>
  <si>
    <t>22/05/2023, 3:28:23 pm</t>
  </si>
  <si>
    <t>22/05/2023, 3:28:24 pm</t>
  </si>
  <si>
    <t>22/05/2023, 3:28:25 pm</t>
  </si>
  <si>
    <t>22/05/2023, 3:28:26 pm</t>
  </si>
  <si>
    <t>22/05/2023, 3:28:27 pm</t>
  </si>
  <si>
    <t>22/05/2023, 3:28:28 pm</t>
  </si>
  <si>
    <t>22/05/2023, 3:28:29 pm</t>
  </si>
  <si>
    <t>22/05/2023, 3:28:30 pm</t>
  </si>
  <si>
    <t>22/05/2023, 3:28:31 pm</t>
  </si>
  <si>
    <t>22/05/2023, 3:28:32 pm</t>
  </si>
  <si>
    <t>22/05/2023, 3:28:33 pm</t>
  </si>
  <si>
    <t>22/05/2023, 3:28:34 pm</t>
  </si>
  <si>
    <t>22/05/2023, 3:28:35 pm</t>
  </si>
  <si>
    <t>22/05/2023, 3:28:36 pm</t>
  </si>
  <si>
    <t>22/05/2023, 3:28:37 pm</t>
  </si>
  <si>
    <t>22/05/2023, 3:28:38 pm</t>
  </si>
  <si>
    <t>22/05/2023, 3:28:39 pm</t>
  </si>
  <si>
    <t>22/05/2023, 3:28:40 pm</t>
  </si>
  <si>
    <t>22/05/2023, 3:28:41 pm</t>
  </si>
  <si>
    <t>22/05/2023, 3:28:42 pm</t>
  </si>
  <si>
    <t>22/05/2023, 3:28:43 pm</t>
  </si>
  <si>
    <t>22/05/2023, 3:28:44 pm</t>
  </si>
  <si>
    <t>22/05/2023, 3:28:45 pm</t>
  </si>
  <si>
    <t>22/05/2023, 3:28:46 pm</t>
  </si>
  <si>
    <t>22/05/2023, 3:28:47 pm</t>
  </si>
  <si>
    <t>22/05/2023, 3:28:48 pm</t>
  </si>
  <si>
    <t>22/05/2023, 3:28:49 pm</t>
  </si>
  <si>
    <t>22/05/2023, 3:28:50 pm</t>
  </si>
  <si>
    <t>22/05/2023, 3:28:51 pm</t>
  </si>
  <si>
    <t>22/05/2023, 3:28:52 pm</t>
  </si>
  <si>
    <t>22/05/2023, 3:28:53 pm</t>
  </si>
  <si>
    <t>22/05/2023, 3:28:54 pm</t>
  </si>
  <si>
    <t>22/05/2023, 3:28:55 pm</t>
  </si>
  <si>
    <t>22/05/2023, 3:28:56 pm</t>
  </si>
  <si>
    <t>22/05/2023, 3:28:57 pm</t>
  </si>
  <si>
    <t>22/05/2023, 3:28:58 pm</t>
  </si>
  <si>
    <t>22/05/2023, 3:28:59 pm</t>
  </si>
  <si>
    <t>22/05/2023, 3:29:00 pm</t>
  </si>
  <si>
    <t>22/05/2023, 3:29:01 pm</t>
  </si>
  <si>
    <t>22/05/2023, 3:29:02 pm</t>
  </si>
  <si>
    <t>22/05/2023, 3:29:03 pm</t>
  </si>
  <si>
    <t>22/05/2023, 3:29:04 pm</t>
  </si>
  <si>
    <t>22/05/2023, 3:29:05 pm</t>
  </si>
  <si>
    <t>22/05/2023, 3:29:06 pm</t>
  </si>
  <si>
    <t>22/05/2023, 3:29:07 pm</t>
  </si>
  <si>
    <t>22/05/2023, 3:29:08 pm</t>
  </si>
  <si>
    <t>22/05/2023, 3:29:09 pm</t>
  </si>
  <si>
    <t>22/05/2023, 3:29:11 pm</t>
  </si>
  <si>
    <t>22/05/2023, 3:29:12 pm</t>
  </si>
  <si>
    <t>22/05/2023, 3:29:13 pm</t>
  </si>
  <si>
    <t>22/05/2023, 3:29:14 pm</t>
  </si>
  <si>
    <t>22/05/2023, 3:29:15 pm</t>
  </si>
  <si>
    <t>22/05/2023, 3:29:16 pm</t>
  </si>
  <si>
    <t>22/05/2023, 3:29:17 pm</t>
  </si>
  <si>
    <t>22/05/2023, 3:29:18 pm</t>
  </si>
  <si>
    <t>22/05/2023, 3:29:19 pm</t>
  </si>
  <si>
    <t>22/05/2023, 3:29:20 pm</t>
  </si>
  <si>
    <t>22/05/2023, 3:29:21 pm</t>
  </si>
  <si>
    <t>22/05/2023, 3:29:22 pm</t>
  </si>
  <si>
    <t>22/05/2023, 3:29:23 pm</t>
  </si>
  <si>
    <t>22/05/2023, 3:29:24 pm</t>
  </si>
  <si>
    <t>22/05/2023, 3:29:25 pm</t>
  </si>
  <si>
    <t>22/05/2023, 3:29:26 pm</t>
  </si>
  <si>
    <t>22/05/2023, 3:29:27 pm</t>
  </si>
  <si>
    <t>22/05/2023, 3:29:28 pm</t>
  </si>
  <si>
    <t>22/05/2023, 3:29:29 pm</t>
  </si>
  <si>
    <t>22/05/2023, 3:29:30 pm</t>
  </si>
  <si>
    <t>22/05/2023, 3:29:31 pm</t>
  </si>
  <si>
    <t>22/05/2023, 3:29:32 pm</t>
  </si>
  <si>
    <t>22/05/2023, 3:29:33 pm</t>
  </si>
  <si>
    <t>22/05/2023, 3:29:34 pm</t>
  </si>
  <si>
    <t>22/05/2023, 3:29:35 pm</t>
  </si>
  <si>
    <t>22/05/2023, 3:29:36 pm</t>
  </si>
  <si>
    <t>22/05/2023, 3:29:37 pm</t>
  </si>
  <si>
    <t>22/05/2023, 3:29:38 pm</t>
  </si>
  <si>
    <t>22/05/2023, 3:29:39 pm</t>
  </si>
  <si>
    <t>22/05/2023, 3:29:40 pm</t>
  </si>
  <si>
    <t>22/05/2023, 3:29:41 pm</t>
  </si>
  <si>
    <t>22/05/2023, 3:29:42 pm</t>
  </si>
  <si>
    <t>22/05/2023, 3:29:43 pm</t>
  </si>
  <si>
    <t>22/05/2023, 3:29:44 pm</t>
  </si>
  <si>
    <t>22/05/2023, 3:29:45 pm</t>
  </si>
  <si>
    <t>22/05/2023, 3:29:46 pm</t>
  </si>
  <si>
    <t>22/05/2023, 3:29:47 pm</t>
  </si>
  <si>
    <t>22/05/2023, 3:29:48 pm</t>
  </si>
  <si>
    <t>22/05/2023, 3:29:49 pm</t>
  </si>
  <si>
    <t>22/05/2023, 3:29:50 pm</t>
  </si>
  <si>
    <t>22/05/2023, 3:29:51 pm</t>
  </si>
  <si>
    <t>22/05/2023, 3:29:52 pm</t>
  </si>
  <si>
    <t>22/05/2023, 3:29:53 pm</t>
  </si>
  <si>
    <t>22/05/2023, 3:29:54 pm</t>
  </si>
  <si>
    <t>22/05/2023, 3:29:55 pm</t>
  </si>
  <si>
    <t>22/05/2023, 3:29:56 pm</t>
  </si>
  <si>
    <t>22/05/2023, 3:29:57 pm</t>
  </si>
  <si>
    <t>22/05/2023, 3:29:58 pm</t>
  </si>
  <si>
    <t>22/05/2023, 3:29:59 pm</t>
  </si>
  <si>
    <t>22/05/2023, 3:30:00 pm</t>
  </si>
  <si>
    <t>22/05/2023, 3:30:01 pm</t>
  </si>
  <si>
    <t>22/05/2023, 3:30:02 pm</t>
  </si>
  <si>
    <t>22/05/2023, 3:30:03 pm</t>
  </si>
  <si>
    <t>22/05/2023, 3:30:04 pm</t>
  </si>
  <si>
    <t>22/05/2023, 3:30:05 pm</t>
  </si>
  <si>
    <t>22/05/2023, 3:30:06 pm</t>
  </si>
  <si>
    <t>22/05/2023, 3:30:07 pm</t>
  </si>
  <si>
    <t>22/05/2023, 3:30:08 pm</t>
  </si>
  <si>
    <t>22/05/2023, 3:30:09 pm</t>
  </si>
  <si>
    <t>22/05/2023, 3:30:10 pm</t>
  </si>
  <si>
    <t>22/05/2023, 3:30:11 pm</t>
  </si>
  <si>
    <t>22/05/2023, 3:30:12 pm</t>
  </si>
  <si>
    <t>22/05/2023, 3:30:13 pm</t>
  </si>
  <si>
    <t>22/05/2023, 3:30:14 pm</t>
  </si>
  <si>
    <t>22/05/2023, 3:30:15 pm</t>
  </si>
  <si>
    <t>22/05/2023, 3:30:16 pm</t>
  </si>
  <si>
    <t>22/05/2023, 3:30:17 pm</t>
  </si>
  <si>
    <t>22/05/2023, 3:30:18 pm</t>
  </si>
  <si>
    <t>22/05/2023, 3:30:19 pm</t>
  </si>
  <si>
    <t>22/05/2023, 3:30:20 pm</t>
  </si>
  <si>
    <t>22/05/2023, 3:30:21 pm</t>
  </si>
  <si>
    <t>22/05/2023, 3:30:22 pm</t>
  </si>
  <si>
    <t>22/05/2023, 3:30:26 pm</t>
  </si>
  <si>
    <t>22/05/2023, 3:30:27 pm</t>
  </si>
  <si>
    <t>22/05/2023, 3:30:28 pm</t>
  </si>
  <si>
    <t>22/05/2023, 3:30:29 pm</t>
  </si>
  <si>
    <t>22/05/2023, 3:30:30 pm</t>
  </si>
  <si>
    <t>22/05/2023, 3:30:31 pm</t>
  </si>
  <si>
    <t>22/05/2023, 3:30:32 pm</t>
  </si>
  <si>
    <t>22/05/2023, 3:30:33 pm</t>
  </si>
  <si>
    <t>22/05/2023, 3:30:34 pm</t>
  </si>
  <si>
    <t>22/05/2023, 3:30:35 pm</t>
  </si>
  <si>
    <t>22/05/2023, 3:30:36 pm</t>
  </si>
  <si>
    <t>22/05/2023, 3:30:37 pm</t>
  </si>
  <si>
    <t>22/05/2023, 3:30:38 pm</t>
  </si>
  <si>
    <t>22/05/2023, 3:30:39 pm</t>
  </si>
  <si>
    <t>22/05/2023, 3:30:40 pm</t>
  </si>
  <si>
    <t>22/05/2023, 3:30:41 pm</t>
  </si>
  <si>
    <t>22/05/2023, 3:30:42 pm</t>
  </si>
  <si>
    <t>22/05/2023, 3:30:43 pm</t>
  </si>
  <si>
    <t>22/05/2023, 3:30:44 pm</t>
  </si>
  <si>
    <t>22/05/2023, 3:30:45 pm</t>
  </si>
  <si>
    <t>22/05/2023, 3:30:46 pm</t>
  </si>
  <si>
    <t>22/05/2023, 3:30:47 pm</t>
  </si>
  <si>
    <t>22/05/2023, 3:30:48 pm</t>
  </si>
  <si>
    <t>22/05/2023, 3:30:49 pm</t>
  </si>
  <si>
    <t>22/05/2023, 3:30:50 pm</t>
  </si>
  <si>
    <t>22/05/2023, 3:30:51 pm</t>
  </si>
  <si>
    <t>22/05/2023, 3:30:52 pm</t>
  </si>
  <si>
    <t>22/05/2023, 3:30:53 pm</t>
  </si>
  <si>
    <t>22/05/2023, 3:30:54 pm</t>
  </si>
  <si>
    <t>22/05/2023, 3:30:55 pm</t>
  </si>
  <si>
    <t>22/05/2023, 3:30:56 pm</t>
  </si>
  <si>
    <t>22/05/2023, 3:30:57 pm</t>
  </si>
  <si>
    <t>22/05/2023, 3:30:58 pm</t>
  </si>
  <si>
    <t>22/05/2023, 3:30:59 pm</t>
  </si>
  <si>
    <t>22/05/2023, 3:31:00 pm</t>
  </si>
  <si>
    <t>22/05/2023, 3:31:01 pm</t>
  </si>
  <si>
    <t>22/05/2023, 3:31:02 pm</t>
  </si>
  <si>
    <t>22/05/2023, 3:31:04 pm</t>
  </si>
  <si>
    <t>22/05/2023, 3:31:05 pm</t>
  </si>
  <si>
    <t>22/05/2023, 3:31:06 pm</t>
  </si>
  <si>
    <t>22/05/2023, 3:31:07 pm</t>
  </si>
  <si>
    <t>22/05/2023, 3:31:08 pm</t>
  </si>
  <si>
    <t>22/05/2023, 3:31:09 pm</t>
  </si>
  <si>
    <t>22/05/2023, 3:31:10 pm</t>
  </si>
  <si>
    <t>22/05/2023, 3:31:11 pm</t>
  </si>
  <si>
    <t>22/05/2023, 3:31:12 pm</t>
  </si>
  <si>
    <t>22/05/2023, 3:31:13 pm</t>
  </si>
  <si>
    <t>22/05/2023, 3:31:14 pm</t>
  </si>
  <si>
    <t>22/05/2023, 3:31:15 pm</t>
  </si>
  <si>
    <t>22/05/2023, 3:31:16 pm</t>
  </si>
  <si>
    <t>22/05/2023, 3:31:17 pm</t>
  </si>
  <si>
    <t>22/05/2023, 3:31:18 pm</t>
  </si>
  <si>
    <t>22/05/2023, 3:31:19 pm</t>
  </si>
  <si>
    <t>22/05/2023, 3:31:20 pm</t>
  </si>
  <si>
    <t>22/05/2023, 3:31:21 pm</t>
  </si>
  <si>
    <t>22/05/2023, 3:31:22 pm</t>
  </si>
  <si>
    <t>22/05/2023, 3:31:23 pm</t>
  </si>
  <si>
    <t>22/05/2023, 3:31:24 pm</t>
  </si>
  <si>
    <t>22/05/2023, 3:31:25 pm</t>
  </si>
  <si>
    <t>22/05/2023, 3:31:26 pm</t>
  </si>
  <si>
    <t>22/05/2023, 3:31:27 pm</t>
  </si>
  <si>
    <t>22/05/2023, 3:31:28 pm</t>
  </si>
  <si>
    <t>22/05/2023, 3:31:29 pm</t>
  </si>
  <si>
    <t>22/05/2023, 3:31:30 pm</t>
  </si>
  <si>
    <t>22/05/2023, 3:31:31 pm</t>
  </si>
  <si>
    <t>22/05/2023, 3:31:32 pm</t>
  </si>
  <si>
    <t>22/05/2023, 3:31:33 pm</t>
  </si>
  <si>
    <t>22/05/2023, 3:31:34 pm</t>
  </si>
  <si>
    <t>22/05/2023, 3:31:35 pm</t>
  </si>
  <si>
    <t>22/05/2023, 3:31:36 pm</t>
  </si>
  <si>
    <t>22/05/2023, 3:31:37 pm</t>
  </si>
  <si>
    <t>22/05/2023, 3:31:38 pm</t>
  </si>
  <si>
    <t>22/05/2023, 3:31:39 pm</t>
  </si>
  <si>
    <t>22/05/2023, 3:31:40 pm</t>
  </si>
  <si>
    <t>22/05/2023, 3:31:41 pm</t>
  </si>
  <si>
    <t>22/05/2023, 3:31:42 pm</t>
  </si>
  <si>
    <t>22/05/2023, 3:31:43 pm</t>
  </si>
  <si>
    <t>22/05/2023, 3:31:44 pm</t>
  </si>
  <si>
    <t>22/05/2023, 3:31:45 pm</t>
  </si>
  <si>
    <t>22/05/2023, 3:31:46 pm</t>
  </si>
  <si>
    <t>22/05/2023, 3:31:47 pm</t>
  </si>
  <si>
    <t>22/05/2023, 3:31:48 pm</t>
  </si>
  <si>
    <t>22/05/2023, 3:31:49 pm</t>
  </si>
  <si>
    <t>22/05/2023, 3:31:50 pm</t>
  </si>
  <si>
    <t>22/05/2023, 3:31:51 pm</t>
  </si>
  <si>
    <t>22/05/2023, 3:31:52 pm</t>
  </si>
  <si>
    <t>22/05/2023, 3:31:53 pm</t>
  </si>
  <si>
    <t>22/05/2023, 3:31:54 pm</t>
  </si>
  <si>
    <t>22/05/2023, 3:31:55 pm</t>
  </si>
  <si>
    <t>22/05/2023, 3:31:56 pm</t>
  </si>
  <si>
    <t>22/05/2023, 3:31:57 pm</t>
  </si>
  <si>
    <t>22/05/2023, 3:31:58 pm</t>
  </si>
  <si>
    <t>22/05/2023, 3:31:59 pm</t>
  </si>
  <si>
    <t>22/05/2023, 3:32:00 pm</t>
  </si>
  <si>
    <t>22/05/2023, 3:32:01 pm</t>
  </si>
  <si>
    <t>22/05/2023, 3:32:02 pm</t>
  </si>
  <si>
    <t>22/05/2023, 3:32:03 pm</t>
  </si>
  <si>
    <t>22/05/2023, 3:32:04 pm</t>
  </si>
  <si>
    <t>22/05/2023, 3:32:05 pm</t>
  </si>
  <si>
    <t>22/05/2023, 3:32:06 pm</t>
  </si>
  <si>
    <t>22/05/2023, 3:32:07 pm</t>
  </si>
  <si>
    <t>22/05/2023, 3:32:08 pm</t>
  </si>
  <si>
    <t>22/05/2023, 3:32:09 pm</t>
  </si>
  <si>
    <t>22/05/2023, 3:32:10 pm</t>
  </si>
  <si>
    <t>22/05/2023, 3:32:11 pm</t>
  </si>
  <si>
    <t>22/05/2023, 3:32:12 pm</t>
  </si>
  <si>
    <t>22/05/2023, 3:32:13 pm</t>
  </si>
  <si>
    <t>22/05/2023, 3:32:14 pm</t>
  </si>
  <si>
    <t>22/05/2023, 3:32:15 pm</t>
  </si>
  <si>
    <t>22/05/2023, 3:32:16 pm</t>
  </si>
  <si>
    <t>22/05/2023, 3:32:17 pm</t>
  </si>
  <si>
    <t>22/05/2023, 3:32:18 pm</t>
  </si>
  <si>
    <t>22/05/2023, 3:32:19 pm</t>
  </si>
  <si>
    <t>22/05/2023, 3:32:20 pm</t>
  </si>
  <si>
    <t>22/05/2023, 3:32:21 pm</t>
  </si>
  <si>
    <t>22/05/2023, 3:32:22 pm</t>
  </si>
  <si>
    <t>22/05/2023, 3:32:23 pm</t>
  </si>
  <si>
    <t>22/05/2023, 3:32:24 pm</t>
  </si>
  <si>
    <t>22/05/2023, 3:32:25 pm</t>
  </si>
  <si>
    <t>22/05/2023, 3:32:26 pm</t>
  </si>
  <si>
    <t>22/05/2023, 3:32:27 pm</t>
  </si>
  <si>
    <t>22/05/2023, 3:32:28 pm</t>
  </si>
  <si>
    <t>22/05/2023, 3:32:29 pm</t>
  </si>
  <si>
    <t>22/05/2023, 3:32:30 pm</t>
  </si>
  <si>
    <t>22/05/2023, 3:32:31 pm</t>
  </si>
  <si>
    <t>22/05/2023, 3:32:32 pm</t>
  </si>
  <si>
    <t>22/05/2023, 3:32:33 pm</t>
  </si>
  <si>
    <t>22/05/2023, 3:32:34 pm</t>
  </si>
  <si>
    <t>22/05/2023, 3:32:35 pm</t>
  </si>
  <si>
    <t>22/05/2023, 3:32:36 pm</t>
  </si>
  <si>
    <t>22/05/2023, 3:32:37 pm</t>
  </si>
  <si>
    <t>22/05/2023, 3:32:38 pm</t>
  </si>
  <si>
    <t>22/05/2023, 3:32:39 pm</t>
  </si>
  <si>
    <t>22/05/2023, 3:32:40 pm</t>
  </si>
  <si>
    <t>22/05/2023, 3:32:41 pm</t>
  </si>
  <si>
    <t>22/05/2023, 3:32:42 pm</t>
  </si>
  <si>
    <t>22/05/2023, 3:32:43 pm</t>
  </si>
  <si>
    <t>22/05/2023, 3:32:44 pm</t>
  </si>
  <si>
    <t>22/05/2023, 3:32:45 pm</t>
  </si>
  <si>
    <t>22/05/2023, 3:32:46 pm</t>
  </si>
  <si>
    <t>22/05/2023, 3:32:47 pm</t>
  </si>
  <si>
    <t>22/05/2023, 3:32:48 pm</t>
  </si>
  <si>
    <t>22/05/2023, 3:32:49 pm</t>
  </si>
  <si>
    <t>22/05/2023, 3:32:50 pm</t>
  </si>
  <si>
    <t>22/05/2023, 3:32:51 pm</t>
  </si>
  <si>
    <t>22/05/2023, 3:32:52 pm</t>
  </si>
  <si>
    <t>22/05/2023, 3:32:53 pm</t>
  </si>
  <si>
    <t>22/05/2023, 3:32:54 pm</t>
  </si>
  <si>
    <t>22/05/2023, 3:32:55 pm</t>
  </si>
  <si>
    <t>22/05/2023, 3:32:56 pm</t>
  </si>
  <si>
    <t>22/05/2023, 3:32:57 pm</t>
  </si>
  <si>
    <t>22/05/2023, 3:32:58 pm</t>
  </si>
  <si>
    <t>22/05/2023, 3:32:59 pm</t>
  </si>
  <si>
    <t>22/05/2023, 3:33:00 pm</t>
  </si>
  <si>
    <t>22/05/2023, 3:33:01 pm</t>
  </si>
  <si>
    <t>22/05/2023, 3:33:02 pm</t>
  </si>
  <si>
    <t>22/05/2023, 3:33:03 pm</t>
  </si>
  <si>
    <t>22/05/2023, 3:33:04 pm</t>
  </si>
  <si>
    <t>22/05/2023, 3:33:05 pm</t>
  </si>
  <si>
    <t>22/05/2023, 3:33:06 pm</t>
  </si>
  <si>
    <t>22/05/2023, 3:33:07 pm</t>
  </si>
  <si>
    <t>22/05/2023, 3:33:08 pm</t>
  </si>
  <si>
    <t>22/05/2023, 3:33:09 pm</t>
  </si>
  <si>
    <t>22/05/2023, 3:33:10 pm</t>
  </si>
  <si>
    <t>22/05/2023, 3:33:11 pm</t>
  </si>
  <si>
    <t>22/05/2023, 3:33:12 pm</t>
  </si>
  <si>
    <t>22/05/2023, 3:33:13 pm</t>
  </si>
  <si>
    <t>22/05/2023, 3:33:14 pm</t>
  </si>
  <si>
    <t>22/05/2023, 3:33:15 pm</t>
  </si>
  <si>
    <t>22/05/2023, 3:33:16 pm</t>
  </si>
  <si>
    <t>22/05/2023, 3:33:17 pm</t>
  </si>
  <si>
    <t>22/05/2023, 3:33:18 pm</t>
  </si>
  <si>
    <t>22/05/2023, 3:33:19 pm</t>
  </si>
  <si>
    <t>22/05/2023, 3:33:20 pm</t>
  </si>
  <si>
    <t>22/05/2023, 3:33:21 pm</t>
  </si>
  <si>
    <t>22/05/2023, 3:33:22 pm</t>
  </si>
  <si>
    <t>22/05/2023, 3:33:23 pm</t>
  </si>
  <si>
    <t>22/05/2023, 3:33:24 pm</t>
  </si>
  <si>
    <t>22/05/2023, 3:33:25 pm</t>
  </si>
  <si>
    <t>22/05/2023, 3:33:26 pm</t>
  </si>
  <si>
    <t>22/05/2023, 3:33:27 pm</t>
  </si>
  <si>
    <t>22/05/2023, 3:33:28 pm</t>
  </si>
  <si>
    <t>22/05/2023, 3:33:29 pm</t>
  </si>
  <si>
    <t>22/05/2023, 3:33:30 pm</t>
  </si>
  <si>
    <t>22/05/2023, 3:33:31 pm</t>
  </si>
  <si>
    <t>22/05/2023, 3:33:32 pm</t>
  </si>
  <si>
    <t>22/05/2023, 3:33:33 pm</t>
  </si>
  <si>
    <t>22/05/2023, 3:33:34 pm</t>
  </si>
  <si>
    <t>22/05/2023, 3:33:35 pm</t>
  </si>
  <si>
    <t>22/05/2023, 3:33:36 pm</t>
  </si>
  <si>
    <t>22/05/2023, 3:33:37 pm</t>
  </si>
  <si>
    <t>22/05/2023, 3:33:38 pm</t>
  </si>
  <si>
    <t>22/05/2023, 3:33:39 pm</t>
  </si>
  <si>
    <t>22/05/2023, 3:33:40 pm</t>
  </si>
  <si>
    <t>22/05/2023, 3:33:42 pm</t>
  </si>
  <si>
    <t>22/05/2023, 3:33:43 pm</t>
  </si>
  <si>
    <t>22/05/2023, 3:33:44 pm</t>
  </si>
  <si>
    <t>22/05/2023, 3:33:45 pm</t>
  </si>
  <si>
    <t>22/05/2023, 3:33:46 pm</t>
  </si>
  <si>
    <t>22/05/2023, 3:33:47 pm</t>
  </si>
  <si>
    <t>22/05/2023, 3:33:48 pm</t>
  </si>
  <si>
    <t>22/05/2023, 3:33:49 pm</t>
  </si>
  <si>
    <t>22/05/2023, 3:33:50 pm</t>
  </si>
  <si>
    <t>22/05/2023, 3:33:51 pm</t>
  </si>
  <si>
    <t>22/05/2023, 3:33:52 pm</t>
  </si>
  <si>
    <t>22/05/2023, 3:33:53 pm</t>
  </si>
  <si>
    <t>22/05/2023, 3:33:54 pm</t>
  </si>
  <si>
    <t>22/05/2023, 3:33:55 pm</t>
  </si>
  <si>
    <t>22/05/2023, 3:33:56 pm</t>
  </si>
  <si>
    <t>22/05/2023, 3:33:57 pm</t>
  </si>
  <si>
    <t>22/05/2023, 3:33:58 pm</t>
  </si>
  <si>
    <t>22/05/2023, 3:33:59 pm</t>
  </si>
  <si>
    <t>22/05/2023, 3:34:00 pm</t>
  </si>
  <si>
    <t>22/05/2023, 3:34:01 pm</t>
  </si>
  <si>
    <t>22/05/2023, 3:34:02 pm</t>
  </si>
  <si>
    <t>22/05/2023, 3:34:03 pm</t>
  </si>
  <si>
    <t>22/05/2023, 3:34:04 pm</t>
  </si>
  <si>
    <t>22/05/2023, 3:34:05 pm</t>
  </si>
  <si>
    <t>22/05/2023, 3:34:06 pm</t>
  </si>
  <si>
    <t>22/05/2023, 3:34:07 pm</t>
  </si>
  <si>
    <t>22/05/2023, 3:34:08 pm</t>
  </si>
  <si>
    <t>22/05/2023, 3:34:09 pm</t>
  </si>
  <si>
    <t>22/05/2023, 3:34:10 pm</t>
  </si>
  <si>
    <t>22/05/2023, 3:34:11 pm</t>
  </si>
  <si>
    <t>22/05/2023, 3:34:12 pm</t>
  </si>
  <si>
    <t>22/05/2023, 3:34:13 pm</t>
  </si>
  <si>
    <t>22/05/2023, 3:34:14 pm</t>
  </si>
  <si>
    <t>22/05/2023, 3:34:15 pm</t>
  </si>
  <si>
    <t>22/05/2023, 3:34:16 pm</t>
  </si>
  <si>
    <t>22/05/2023, 3:34:17 pm</t>
  </si>
  <si>
    <t>22/05/2023, 3:34:18 pm</t>
  </si>
  <si>
    <t>22/05/2023, 3:34:19 pm</t>
  </si>
  <si>
    <t>22/05/2023, 3:34:20 pm</t>
  </si>
  <si>
    <t>22/05/2023, 3:34:21 pm</t>
  </si>
  <si>
    <t>22/05/2023, 3:34:22 pm</t>
  </si>
  <si>
    <t>22/05/2023, 3:34:23 pm</t>
  </si>
  <si>
    <t>22/05/2023, 3:34:24 pm</t>
  </si>
  <si>
    <t>22/05/2023, 3:34:25 pm</t>
  </si>
  <si>
    <t>22/05/2023, 3:34:26 pm</t>
  </si>
  <si>
    <t>22/05/2023, 3:34:27 pm</t>
  </si>
  <si>
    <t>22/05/2023, 3:34:28 pm</t>
  </si>
  <si>
    <t>22/05/2023, 3:34:29 pm</t>
  </si>
  <si>
    <t>22/05/2023, 3:34:30 pm</t>
  </si>
  <si>
    <t>22/05/2023, 3:34:31 pm</t>
  </si>
  <si>
    <t>22/05/2023, 3:34:32 pm</t>
  </si>
  <si>
    <t>22/05/2023, 3:34:33 pm</t>
  </si>
  <si>
    <t>22/05/2023, 3:34:34 pm</t>
  </si>
  <si>
    <t>22/05/2023, 3:34:35 pm</t>
  </si>
  <si>
    <t>22/05/2023, 3:34:36 pm</t>
  </si>
  <si>
    <t>22/05/2023, 3:34:37 pm</t>
  </si>
  <si>
    <t>22/05/2023, 3:34:38 pm</t>
  </si>
  <si>
    <t>22/05/2023, 3:34:39 pm</t>
  </si>
  <si>
    <t>22/05/2023, 3:34:40 pm</t>
  </si>
  <si>
    <t>22/05/2023, 3:34:41 pm</t>
  </si>
  <si>
    <t>22/05/2023, 3:34:42 pm</t>
  </si>
  <si>
    <t>22/05/2023, 3:34:43 pm</t>
  </si>
  <si>
    <t>22/05/2023, 3:34:44 pm</t>
  </si>
  <si>
    <t>22/05/2023, 3:34:45 pm</t>
  </si>
  <si>
    <t>22/05/2023, 3:34:46 pm</t>
  </si>
  <si>
    <t>22/05/2023, 3:34:47 pm</t>
  </si>
  <si>
    <t>22/05/2023, 3:34:48 pm</t>
  </si>
  <si>
    <t>22/05/2023, 3:34:49 pm</t>
  </si>
  <si>
    <t>22/05/2023, 3:34:50 pm</t>
  </si>
  <si>
    <t>22/05/2023, 3:34:51 pm</t>
  </si>
  <si>
    <t>22/05/2023, 3:34:52 pm</t>
  </si>
  <si>
    <t>22/05/2023, 3:34:53 pm</t>
  </si>
  <si>
    <t>22/05/2023, 3:34:54 pm</t>
  </si>
  <si>
    <t>22/05/2023, 3:34:55 pm</t>
  </si>
  <si>
    <t>22/05/2023, 3:34:56 pm</t>
  </si>
  <si>
    <t>22/05/2023, 3:34:57 pm</t>
  </si>
  <si>
    <t>22/05/2023, 3:34:58 pm</t>
  </si>
  <si>
    <t>22/05/2023, 3:34:59 pm</t>
  </si>
  <si>
    <t>22/05/2023, 3:35:00 pm</t>
  </si>
  <si>
    <t>22/05/2023, 3:35:01 pm</t>
  </si>
  <si>
    <t>22/05/2023, 3:35:02 pm</t>
  </si>
  <si>
    <t>22/05/2023, 3:35:03 pm</t>
  </si>
  <si>
    <t>22/05/2023, 3:35:04 pm</t>
  </si>
  <si>
    <t>22/05/2023, 3:35:05 pm</t>
  </si>
  <si>
    <t>22/05/2023, 3:35:06 pm</t>
  </si>
  <si>
    <t>22/05/2023, 3:35:07 pm</t>
  </si>
  <si>
    <t>22/05/2023, 3:35:08 pm</t>
  </si>
  <si>
    <t>22/05/2023, 3:35:09 pm</t>
  </si>
  <si>
    <t>22/05/2023, 3:35:10 pm</t>
  </si>
  <si>
    <t>22/05/2023, 3:35:11 pm</t>
  </si>
  <si>
    <t>22/05/2023, 3:35:12 pm</t>
  </si>
  <si>
    <t>22/05/2023, 3:35:13 pm</t>
  </si>
  <si>
    <t>22/05/2023, 3:35:14 pm</t>
  </si>
  <si>
    <t>22/05/2023, 3:35:15 pm</t>
  </si>
  <si>
    <t>22/05/2023, 3:35:16 pm</t>
  </si>
  <si>
    <t>22/05/2023, 3:35:17 pm</t>
  </si>
  <si>
    <t>22/05/2023, 3:35:18 pm</t>
  </si>
  <si>
    <t>22/05/2023, 3:35:19 pm</t>
  </si>
  <si>
    <t>22/05/2023, 3:35:20 pm</t>
  </si>
  <si>
    <t>22/05/2023, 3:35:21 pm</t>
  </si>
  <si>
    <t>22/05/2023, 3:35:22 pm</t>
  </si>
  <si>
    <t>22/05/2023, 3:35:23 pm</t>
  </si>
  <si>
    <t>22/05/2023, 3:35:24 pm</t>
  </si>
  <si>
    <t>22/05/2023, 3:35:25 pm</t>
  </si>
  <si>
    <t>22/05/2023, 3:35:26 pm</t>
  </si>
  <si>
    <t>22/05/2023, 3:35:27 pm</t>
  </si>
  <si>
    <t>22/05/2023, 3:35:28 pm</t>
  </si>
  <si>
    <t>22/05/2023, 3:35:29 pm</t>
  </si>
  <si>
    <t>22/05/2023, 3:35:30 pm</t>
  </si>
  <si>
    <t>22/05/2023, 3:35:31 pm</t>
  </si>
  <si>
    <t>22/05/2023, 3:35:32 pm</t>
  </si>
  <si>
    <t>22/05/2023, 3:35:33 pm</t>
  </si>
  <si>
    <t>22/05/2023, 3:35:34 pm</t>
  </si>
  <si>
    <t>22/05/2023, 3:35:35 pm</t>
  </si>
  <si>
    <t>22/05/2023, 3:35:36 pm</t>
  </si>
  <si>
    <t>22/05/2023, 3:35:37 pm</t>
  </si>
  <si>
    <t>22/05/2023, 3:35:38 pm</t>
  </si>
  <si>
    <t>22/05/2023, 3:35:39 pm</t>
  </si>
  <si>
    <t>22/05/2023, 3:35:40 pm</t>
  </si>
  <si>
    <t>22/05/2023, 3:35:41 pm</t>
  </si>
  <si>
    <t>22/05/2023, 3:35:42 pm</t>
  </si>
  <si>
    <t>22/05/2023, 3:35:43 pm</t>
  </si>
  <si>
    <t>22/05/2023, 3:35:44 pm</t>
  </si>
  <si>
    <t>22/05/2023, 3:35:45 pm</t>
  </si>
  <si>
    <t>22/05/2023, 3:35:46 pm</t>
  </si>
  <si>
    <t>22/05/2023, 3:35:47 pm</t>
  </si>
  <si>
    <t>22/05/2023, 3:35:48 pm</t>
  </si>
  <si>
    <t>22/05/2023, 3:35:49 pm</t>
  </si>
  <si>
    <t>22/05/2023, 3:35:50 pm</t>
  </si>
  <si>
    <t>22/05/2023, 3:35:51 pm</t>
  </si>
  <si>
    <t>22/05/2023, 3:35:52 pm</t>
  </si>
  <si>
    <t>22/05/2023, 3:35:53 pm</t>
  </si>
  <si>
    <t>22/05/2023, 3:35:54 pm</t>
  </si>
  <si>
    <t>22/05/2023, 3:35:55 pm</t>
  </si>
  <si>
    <t>22/05/2023, 3:35:56 pm</t>
  </si>
  <si>
    <t>22/05/2023, 3:35:57 pm</t>
  </si>
  <si>
    <t>22/05/2023, 3:35:58 pm</t>
  </si>
  <si>
    <t>22/05/2023, 3:35:59 pm</t>
  </si>
  <si>
    <t>22/05/2023, 3:36:00 pm</t>
  </si>
  <si>
    <t>22/05/2023, 3:36:01 pm</t>
  </si>
  <si>
    <t>22/05/2023, 3:36:02 pm</t>
  </si>
  <si>
    <t>22/05/2023, 3:36:03 pm</t>
  </si>
  <si>
    <t>22/05/2023, 3:36:04 pm</t>
  </si>
  <si>
    <t>22/05/2023, 3:36:05 pm</t>
  </si>
  <si>
    <t>22/05/2023, 3:36:06 pm</t>
  </si>
  <si>
    <t>22/05/2023, 3:36:07 pm</t>
  </si>
  <si>
    <t>22/05/2023, 3:36:08 pm</t>
  </si>
  <si>
    <t>22/05/2023, 3:36:09 pm</t>
  </si>
  <si>
    <t>22/05/2023, 3:36:10 pm</t>
  </si>
  <si>
    <t>22/05/2023, 3:36:11 pm</t>
  </si>
  <si>
    <t>22/05/2023, 3:36:12 pm</t>
  </si>
  <si>
    <t>22/05/2023, 3:36:13 pm</t>
  </si>
  <si>
    <t>22/05/2023, 3:36:15 pm</t>
  </si>
  <si>
    <t>22/05/2023, 3:36:16 pm</t>
  </si>
  <si>
    <t>22/05/2023, 3:36:17 pm</t>
  </si>
  <si>
    <t>22/05/2023, 3:36:18 pm</t>
  </si>
  <si>
    <t>22/05/2023, 3:36:19 pm</t>
  </si>
  <si>
    <t>22/05/2023, 3:36:20 pm</t>
  </si>
  <si>
    <t>22/05/2023, 3:36:21 pm</t>
  </si>
  <si>
    <t>22/05/2023, 3:36:22 pm</t>
  </si>
  <si>
    <t>22/05/2023, 3:36:23 pm</t>
  </si>
  <si>
    <t>22/05/2023, 3:36:24 pm</t>
  </si>
  <si>
    <t>22/05/2023, 3:36:28 pm</t>
  </si>
  <si>
    <t>22/05/2023, 3:36:29 pm</t>
  </si>
  <si>
    <t>22/05/2023, 3:36:30 pm</t>
  </si>
  <si>
    <t>22/05/2023, 3:36:31 pm</t>
  </si>
  <si>
    <t>22/05/2023, 3:36:32 pm</t>
  </si>
  <si>
    <t>22/05/2023, 3:36:33 pm</t>
  </si>
  <si>
    <t>22/05/2023, 3:36:34 pm</t>
  </si>
  <si>
    <t>22/05/2023, 3:36:35 pm</t>
  </si>
  <si>
    <t>22/05/2023, 3:36:36 pm</t>
  </si>
  <si>
    <t>22/05/2023, 3:36:37 pm</t>
  </si>
  <si>
    <t>22/05/2023, 3:36:38 pm</t>
  </si>
  <si>
    <t>22/05/2023, 3:36:39 pm</t>
  </si>
  <si>
    <t>22/05/2023, 3:36:40 pm</t>
  </si>
  <si>
    <t>22/05/2023, 3:36:41 pm</t>
  </si>
  <si>
    <t>22/05/2023, 3:36:42 pm</t>
  </si>
  <si>
    <t>22/05/2023, 3:36:43 pm</t>
  </si>
  <si>
    <t>22/05/2023, 3:36:44 pm</t>
  </si>
  <si>
    <t>22/05/2023, 3:36:45 pm</t>
  </si>
  <si>
    <t>22/05/2023, 3:36:46 pm</t>
  </si>
  <si>
    <t>22/05/2023, 3:36:47 pm</t>
  </si>
  <si>
    <t>22/05/2023, 3:36:48 pm</t>
  </si>
  <si>
    <t>22/05/2023, 3:36:49 pm</t>
  </si>
  <si>
    <t>22/05/2023, 3:36:50 pm</t>
  </si>
  <si>
    <t>22/05/2023, 3:36:52 pm</t>
  </si>
  <si>
    <t>22/05/2023, 3:36:53 pm</t>
  </si>
  <si>
    <t>22/05/2023, 3:36:54 pm</t>
  </si>
  <si>
    <t>22/05/2023, 3:36:55 pm</t>
  </si>
  <si>
    <t>22/05/2023, 3:36:56 pm</t>
  </si>
  <si>
    <t>22/05/2023, 3:36:57 pm</t>
  </si>
  <si>
    <t>22/05/2023, 3:36:58 pm</t>
  </si>
  <si>
    <t>22/05/2023, 3:36:59 pm</t>
  </si>
  <si>
    <t>22/05/2023, 3:37:00 pm</t>
  </si>
  <si>
    <t>22/05/2023, 3:37:01 pm</t>
  </si>
  <si>
    <t>22/05/2023, 3:37:02 pm</t>
  </si>
  <si>
    <t>22/05/2023, 3:37:03 pm</t>
  </si>
  <si>
    <t>22/05/2023, 3:37:04 pm</t>
  </si>
  <si>
    <t>22/05/2023, 3:37:05 pm</t>
  </si>
  <si>
    <t>22/05/2023, 3:37:06 pm</t>
  </si>
  <si>
    <t>22/05/2023, 3:37:07 pm</t>
  </si>
  <si>
    <t>22/05/2023, 3:37:08 pm</t>
  </si>
  <si>
    <t>22/05/2023, 3:37:09 pm</t>
  </si>
  <si>
    <t>22/05/2023, 3:37:10 pm</t>
  </si>
  <si>
    <t>22/05/2023, 3:37:11 pm</t>
  </si>
  <si>
    <t>22/05/2023, 3:37:12 pm</t>
  </si>
  <si>
    <t>22/05/2023, 3:37:13 pm</t>
  </si>
  <si>
    <t>22/05/2023, 3:37:14 pm</t>
  </si>
  <si>
    <t>22/05/2023, 3:37:15 pm</t>
  </si>
  <si>
    <t>22/05/2023, 3:37:16 pm</t>
  </si>
  <si>
    <t>22/05/2023, 3:37:17 pm</t>
  </si>
  <si>
    <t>22/05/2023, 3:37:18 pm</t>
  </si>
  <si>
    <t>22/05/2023, 3:37:19 pm</t>
  </si>
  <si>
    <t>22/05/2023, 3:37:20 pm</t>
  </si>
  <si>
    <t>22/05/2023, 3:37:21 pm</t>
  </si>
  <si>
    <t>22/05/2023, 3:37:22 pm</t>
  </si>
  <si>
    <t>22/05/2023, 3:37:23 pm</t>
  </si>
  <si>
    <t>22/05/2023, 3:37:24 pm</t>
  </si>
  <si>
    <t>22/05/2023, 3:37:25 pm</t>
  </si>
  <si>
    <t>22/05/2023, 3:37:26 pm</t>
  </si>
  <si>
    <t>22/05/2023, 3:37:27 pm</t>
  </si>
  <si>
    <t>22/05/2023, 3:37:28 pm</t>
  </si>
  <si>
    <t>22/05/2023, 3:37:29 pm</t>
  </si>
  <si>
    <t>22/05/2023, 3:37:30 pm</t>
  </si>
  <si>
    <t>22/05/2023, 3:37:31 pm</t>
  </si>
  <si>
    <t>22/05/2023, 3:37:32 pm</t>
  </si>
  <si>
    <t>22/05/2023, 3:37:33 pm</t>
  </si>
  <si>
    <t>22/05/2023, 3:37:34 pm</t>
  </si>
  <si>
    <t>22/05/2023, 3:37:35 pm</t>
  </si>
  <si>
    <t>22/05/2023, 3:37:36 pm</t>
  </si>
  <si>
    <t>22/05/2023, 3:37:37 pm</t>
  </si>
  <si>
    <t>22/05/2023, 3:37:38 pm</t>
  </si>
  <si>
    <t>22/05/2023, 3:37:39 pm</t>
  </si>
  <si>
    <t>22/05/2023, 3:37:40 pm</t>
  </si>
  <si>
    <t>22/05/2023, 3:37:41 pm</t>
  </si>
  <si>
    <t>22/05/2023, 3:37:42 pm</t>
  </si>
  <si>
    <t>22/05/2023, 3:37:43 pm</t>
  </si>
  <si>
    <t>22/05/2023, 3:37:44 pm</t>
  </si>
  <si>
    <t>22/05/2023, 3:37:45 pm</t>
  </si>
  <si>
    <t>22/05/2023, 3:37:46 pm</t>
  </si>
  <si>
    <t>22/05/2023, 3:37:47 pm</t>
  </si>
  <si>
    <t>22/05/2023, 3:37:48 pm</t>
  </si>
  <si>
    <t>22/05/2023, 3:37:49 pm</t>
  </si>
  <si>
    <t>22/05/2023, 3:37:50 pm</t>
  </si>
  <si>
    <t>22/05/2023, 3:37:51 pm</t>
  </si>
  <si>
    <t>22/05/2023, 3:37:52 pm</t>
  </si>
  <si>
    <t>22/05/2023, 3:37:53 pm</t>
  </si>
  <si>
    <t>22/05/2023, 3:37:54 pm</t>
  </si>
  <si>
    <t>22/05/2023, 3:37:55 pm</t>
  </si>
  <si>
    <t>22/05/2023, 3:37:56 pm</t>
  </si>
  <si>
    <t>22/05/2023, 3:37:57 pm</t>
  </si>
  <si>
    <t>22/05/2023, 3:37:58 pm</t>
  </si>
  <si>
    <t>22/05/2023, 3:37:59 pm</t>
  </si>
  <si>
    <t>22/05/2023, 3:38:00 pm</t>
  </si>
  <si>
    <t>22/05/2023, 3:38:01 pm</t>
  </si>
  <si>
    <t>22/05/2023, 3:38:02 pm</t>
  </si>
  <si>
    <t>22/05/2023, 3:38:03 pm</t>
  </si>
  <si>
    <t>22/05/2023, 3:38:04 pm</t>
  </si>
  <si>
    <t>22/05/2023, 3:38:05 pm</t>
  </si>
  <si>
    <t>22/05/2023, 3:38:06 pm</t>
  </si>
  <si>
    <t>22/05/2023, 3:38:07 pm</t>
  </si>
  <si>
    <t>22/05/2023, 3:38:08 pm</t>
  </si>
  <si>
    <t>22/05/2023, 3:38:09 pm</t>
  </si>
  <si>
    <t>22/05/2023, 3:38:10 pm</t>
  </si>
  <si>
    <t>22/05/2023, 3:38:11 pm</t>
  </si>
  <si>
    <t>22/05/2023, 3:38:12 pm</t>
  </si>
  <si>
    <t>22/05/2023, 3:38:13 pm</t>
  </si>
  <si>
    <t>22/05/2023, 3:38:14 pm</t>
  </si>
  <si>
    <t>22/05/2023, 3:38:15 pm</t>
  </si>
  <si>
    <t>22/05/2023, 3:38:16 pm</t>
  </si>
  <si>
    <t>22/05/2023, 3:38:17 pm</t>
  </si>
  <si>
    <t>22/05/2023, 3:38:18 pm</t>
  </si>
  <si>
    <t>22/05/2023, 3:38:19 pm</t>
  </si>
  <si>
    <t>22/05/2023, 3:38:20 pm</t>
  </si>
  <si>
    <t>22/05/2023, 3:38:21 pm</t>
  </si>
  <si>
    <t>22/05/2023, 3:38:22 pm</t>
  </si>
  <si>
    <t>22/05/2023, 3:38:23 pm</t>
  </si>
  <si>
    <t>22/05/2023, 3:38:24 pm</t>
  </si>
  <si>
    <t>22/05/2023, 3:38:25 pm</t>
  </si>
  <si>
    <t>22/05/2023, 3:38:26 pm</t>
  </si>
  <si>
    <t>22/05/2023, 3:38:27 pm</t>
  </si>
  <si>
    <t>22/05/2023, 3:38:28 pm</t>
  </si>
  <si>
    <t>22/05/2023, 3:38:29 pm</t>
  </si>
  <si>
    <t>22/05/2023, 3:38:30 pm</t>
  </si>
  <si>
    <t>22/05/2023, 3:38:31 pm</t>
  </si>
  <si>
    <t>22/05/2023, 3:38:32 pm</t>
  </si>
  <si>
    <t>22/05/2023, 3:38:33 pm</t>
  </si>
  <si>
    <t>22/05/2023, 3:38:34 pm</t>
  </si>
  <si>
    <t>22/05/2023, 3:38:35 pm</t>
  </si>
  <si>
    <t>22/05/2023, 3:38:36 pm</t>
  </si>
  <si>
    <t>22/05/2023, 3:38:37 pm</t>
  </si>
  <si>
    <t>22/05/2023, 3:38:38 pm</t>
  </si>
  <si>
    <t>22/05/2023, 3:38:39 pm</t>
  </si>
  <si>
    <t>22/05/2023, 3:38:40 pm</t>
  </si>
  <si>
    <t>22/05/2023, 3:38:41 pm</t>
  </si>
  <si>
    <t>22/05/2023, 3:38:42 pm</t>
  </si>
  <si>
    <t>22/05/2023, 3:38:43 pm</t>
  </si>
  <si>
    <t>22/05/2023, 3:38:44 pm</t>
  </si>
  <si>
    <t>22/05/2023, 3:38:45 pm</t>
  </si>
  <si>
    <t>22/05/2023, 3:38:46 pm</t>
  </si>
  <si>
    <t>22/05/2023, 3:38:47 pm</t>
  </si>
  <si>
    <t>22/05/2023, 3:38:48 pm</t>
  </si>
  <si>
    <t>22/05/2023, 3:38:49 pm</t>
  </si>
  <si>
    <t>22/05/2023, 3:38:50 pm</t>
  </si>
  <si>
    <t>22/05/2023, 3:38:51 pm</t>
  </si>
  <si>
    <t>22/05/2023, 3:38:52 pm</t>
  </si>
  <si>
    <t>22/05/2023, 3:38:53 pm</t>
  </si>
  <si>
    <t>22/05/2023, 3:38:54 pm</t>
  </si>
  <si>
    <t>22/05/2023, 3:38:55 pm</t>
  </si>
  <si>
    <t>22/05/2023, 3:38:56 pm</t>
  </si>
  <si>
    <t>22/05/2023, 3:38:57 pm</t>
  </si>
  <si>
    <t>22/05/2023, 3:38:58 pm</t>
  </si>
  <si>
    <t>22/05/2023, 3:38:59 pm</t>
  </si>
  <si>
    <t>22/05/2023, 3:39:00 pm</t>
  </si>
  <si>
    <t>22/05/2023, 3:39:01 pm</t>
  </si>
  <si>
    <t>22/05/2023, 3:39:02 pm</t>
  </si>
  <si>
    <t>22/05/2023, 3:39:03 pm</t>
  </si>
  <si>
    <t>22/05/2023, 3:39:04 pm</t>
  </si>
  <si>
    <t>22/05/2023, 3:39:06 pm</t>
  </si>
  <si>
    <t>22/05/2023, 3:39:07 pm</t>
  </si>
  <si>
    <t>22/05/2023, 3:39:08 pm</t>
  </si>
  <si>
    <t>22/05/2023, 3:39:09 pm</t>
  </si>
  <si>
    <t>22/05/2023, 3:39:10 pm</t>
  </si>
  <si>
    <t>22/05/2023, 3:39:11 pm</t>
  </si>
  <si>
    <t>22/05/2023, 3:39:12 pm</t>
  </si>
  <si>
    <t>22/05/2023, 3:39:13 pm</t>
  </si>
  <si>
    <t>22/05/2023, 3:39:14 pm</t>
  </si>
  <si>
    <t>22/05/2023, 3:39:15 pm</t>
  </si>
  <si>
    <t>22/05/2023, 3:39:16 pm</t>
  </si>
  <si>
    <t>22/05/2023, 3:39:17 pm</t>
  </si>
  <si>
    <t>22/05/2023, 3:39:18 pm</t>
  </si>
  <si>
    <t>22/05/2023, 3:39:19 pm</t>
  </si>
  <si>
    <t>22/05/2023, 3:39:20 pm</t>
  </si>
  <si>
    <t>22/05/2023, 3:39:21 pm</t>
  </si>
  <si>
    <t>22/05/2023, 3:39:22 pm</t>
  </si>
  <si>
    <t>22/05/2023, 3:39:23 pm</t>
  </si>
  <si>
    <t>22/05/2023, 3:39:24 pm</t>
  </si>
  <si>
    <t>22/05/2023, 3:39:25 pm</t>
  </si>
  <si>
    <t>22/05/2023, 3:39:26 pm</t>
  </si>
  <si>
    <t>22/05/2023, 3:39:27 pm</t>
  </si>
  <si>
    <t>22/05/2023, 3:39:28 pm</t>
  </si>
  <si>
    <t>22/05/2023, 3:39:29 pm</t>
  </si>
  <si>
    <t>22/05/2023, 3:39:30 pm</t>
  </si>
  <si>
    <t>22/05/2023, 3:39:31 pm</t>
  </si>
  <si>
    <t>22/05/2023, 3:39:32 pm</t>
  </si>
  <si>
    <t>22/05/2023, 3:39:33 pm</t>
  </si>
  <si>
    <t>22/05/2023, 3:39:34 pm</t>
  </si>
  <si>
    <t>22/05/2023, 3:39:35 pm</t>
  </si>
  <si>
    <t>22/05/2023, 3:39:36 pm</t>
  </si>
  <si>
    <t>22/05/2023, 3:39:37 pm</t>
  </si>
  <si>
    <t>22/05/2023, 3:39:38 pm</t>
  </si>
  <si>
    <t>22/05/2023, 3:39:39 pm</t>
  </si>
  <si>
    <t>22/05/2023, 3:39:40 pm</t>
  </si>
  <si>
    <t>22/05/2023, 3:39:41 pm</t>
  </si>
  <si>
    <t>22/05/2023, 3:39:42 pm</t>
  </si>
  <si>
    <t>22/05/2023, 3:39:43 pm</t>
  </si>
  <si>
    <t>22/05/2023, 3:39:44 pm</t>
  </si>
  <si>
    <t>22/05/2023, 3:39:45 pm</t>
  </si>
  <si>
    <t>22/05/2023, 3:39:46 pm</t>
  </si>
  <si>
    <t>22/05/2023, 3:39:47 pm</t>
  </si>
  <si>
    <t>22/05/2023, 3:39:48 pm</t>
  </si>
  <si>
    <t>22/05/2023, 3:39:49 pm</t>
  </si>
  <si>
    <t>22/05/2023, 3:39:50 pm</t>
  </si>
  <si>
    <t>22/05/2023, 3:39:51 pm</t>
  </si>
  <si>
    <t>22/05/2023, 3:39:52 pm</t>
  </si>
  <si>
    <t>22/05/2023, 3:39:53 pm</t>
  </si>
  <si>
    <t>22/05/2023, 3:39:54 pm</t>
  </si>
  <si>
    <t>22/05/2023, 3:39:55 pm</t>
  </si>
  <si>
    <t>22/05/2023, 3:39:56 pm</t>
  </si>
  <si>
    <t>22/05/2023, 3:39:57 pm</t>
  </si>
  <si>
    <t>22/05/2023, 3:39:58 pm</t>
  </si>
  <si>
    <t>22/05/2023, 3:39:59 pm</t>
  </si>
  <si>
    <t>22/05/2023, 3:40:00 pm</t>
  </si>
  <si>
    <t>22/05/2023, 3:40:01 pm</t>
  </si>
  <si>
    <t>22/05/2023, 3:40:02 pm</t>
  </si>
  <si>
    <t>22/05/2023, 3:40:03 pm</t>
  </si>
  <si>
    <t>22/05/2023, 3:40:04 pm</t>
  </si>
  <si>
    <t>22/05/2023, 3:40:05 pm</t>
  </si>
  <si>
    <t>22/05/2023, 3:40:06 pm</t>
  </si>
  <si>
    <t>22/05/2023, 3:40:07 pm</t>
  </si>
  <si>
    <t>22/05/2023, 3:40:08 pm</t>
  </si>
  <si>
    <t>22/05/2023, 3:40:09 pm</t>
  </si>
  <si>
    <t>22/05/2023, 3:40:10 pm</t>
  </si>
  <si>
    <t>22/05/2023, 3:40:11 pm</t>
  </si>
  <si>
    <t>22/05/2023, 3:40:12 pm</t>
  </si>
  <si>
    <t>22/05/2023, 3:40:13 pm</t>
  </si>
  <si>
    <t>22/05/2023, 3:40:14 pm</t>
  </si>
  <si>
    <t>22/05/2023, 3:40:15 pm</t>
  </si>
  <si>
    <t>22/05/2023, 3:40:16 pm</t>
  </si>
  <si>
    <t>22/05/2023, 3:40:17 pm</t>
  </si>
  <si>
    <t>22/05/2023, 3:40:18 pm</t>
  </si>
  <si>
    <t>22/05/2023, 3:40:19 pm</t>
  </si>
  <si>
    <t>22/05/2023, 3:40:20 pm</t>
  </si>
  <si>
    <t>22/05/2023, 3:40:21 pm</t>
  </si>
  <si>
    <t>22/05/2023, 3:40:22 pm</t>
  </si>
  <si>
    <t>22/05/2023, 3:40:23 pm</t>
  </si>
  <si>
    <t>22/05/2023, 3:40:24 pm</t>
  </si>
  <si>
    <t>22/05/2023, 3:40:25 pm</t>
  </si>
  <si>
    <t>22/05/2023, 3:40:26 pm</t>
  </si>
  <si>
    <t>22/05/2023, 3:40:27 pm</t>
  </si>
  <si>
    <t>22/05/2023, 3:40:28 pm</t>
  </si>
  <si>
    <t>22/05/2023, 3:40:29 pm</t>
  </si>
  <si>
    <t>22/05/2023, 3:40:30 pm</t>
  </si>
  <si>
    <t>22/05/2023, 3:40:31 pm</t>
  </si>
  <si>
    <t>22/05/2023, 3:40:32 pm</t>
  </si>
  <si>
    <t>22/05/2023, 3:40:33 pm</t>
  </si>
  <si>
    <t>22/05/2023, 3:40:34 pm</t>
  </si>
  <si>
    <t>22/05/2023, 3:40:35 pm</t>
  </si>
  <si>
    <t>22/05/2023, 3:40:36 pm</t>
  </si>
  <si>
    <t>22/05/2023, 3:40:37 pm</t>
  </si>
  <si>
    <t>22/05/2023, 3:40:38 pm</t>
  </si>
  <si>
    <t>22/05/2023, 3:40:39 pm</t>
  </si>
  <si>
    <t>22/05/2023, 3:40:40 pm</t>
  </si>
  <si>
    <t>22/05/2023, 3:40:41 pm</t>
  </si>
  <si>
    <t>22/05/2023, 3:40:42 pm</t>
  </si>
  <si>
    <t>22/05/2023, 3:40:43 pm</t>
  </si>
  <si>
    <t>22/05/2023, 3:40:44 pm</t>
  </si>
  <si>
    <t>22/05/2023, 3:40:45 pm</t>
  </si>
  <si>
    <t>22/05/2023, 3:40:46 pm</t>
  </si>
  <si>
    <t>22/05/2023, 3:40:47 pm</t>
  </si>
  <si>
    <t>22/05/2023, 3:40:48 pm</t>
  </si>
  <si>
    <t>22/05/2023, 3:40:49 pm</t>
  </si>
  <si>
    <t>22/05/2023, 3:40:50 pm</t>
  </si>
  <si>
    <t>22/05/2023, 3:40:51 pm</t>
  </si>
  <si>
    <t>22/05/2023, 3:40:52 pm</t>
  </si>
  <si>
    <t>22/05/2023, 3:40:53 pm</t>
  </si>
  <si>
    <t>22/05/2023, 3:40:54 pm</t>
  </si>
  <si>
    <t>22/05/2023, 3:40:55 pm</t>
  </si>
  <si>
    <t>22/05/2023, 3:40:56 pm</t>
  </si>
  <si>
    <t>22/05/2023, 3:40:57 pm</t>
  </si>
  <si>
    <t>22/05/2023, 3:40:58 pm</t>
  </si>
  <si>
    <t>22/05/2023, 3:40:59 pm</t>
  </si>
  <si>
    <t>22/05/2023, 3:41:00 pm</t>
  </si>
  <si>
    <t>22/05/2023, 3:41:01 pm</t>
  </si>
  <si>
    <t>22/05/2023, 3:41:02 pm</t>
  </si>
  <si>
    <t>22/05/2023, 3:41:03 pm</t>
  </si>
  <si>
    <t>22/05/2023, 3:41:04 pm</t>
  </si>
  <si>
    <t>22/05/2023, 3:41:05 pm</t>
  </si>
  <si>
    <t>22/05/2023, 3:41:06 pm</t>
  </si>
  <si>
    <t>22/05/2023, 3:41:07 pm</t>
  </si>
  <si>
    <t>22/05/2023, 3:41:08 pm</t>
  </si>
  <si>
    <t>22/05/2023, 3:41:09 pm</t>
  </si>
  <si>
    <t>22/05/2023, 3:41:10 pm</t>
  </si>
  <si>
    <t>22/05/2023, 3:41:11 pm</t>
  </si>
  <si>
    <t>22/05/2023, 3:41:12 pm</t>
  </si>
  <si>
    <t>22/05/2023, 3:41:13 pm</t>
  </si>
  <si>
    <t>22/05/2023, 3:41:14 pm</t>
  </si>
  <si>
    <t>22/05/2023, 3:41:15 pm</t>
  </si>
  <si>
    <t>22/05/2023, 3:41:16 pm</t>
  </si>
  <si>
    <t>22/05/2023, 3:41:17 pm</t>
  </si>
  <si>
    <t>22/05/2023, 3:41:18 pm</t>
  </si>
  <si>
    <t>22/05/2023, 3:41:19 pm</t>
  </si>
  <si>
    <t>22/05/2023, 3:41:20 pm</t>
  </si>
  <si>
    <t>22/05/2023, 3:41:21 pm</t>
  </si>
  <si>
    <t>22/05/2023, 3:41:22 pm</t>
  </si>
  <si>
    <t>22/05/2023, 3:41:23 pm</t>
  </si>
  <si>
    <t>22/05/2023, 3:41:24 pm</t>
  </si>
  <si>
    <t>22/05/2023, 3:41:25 pm</t>
  </si>
  <si>
    <t>22/05/2023, 3:41:26 pm</t>
  </si>
  <si>
    <t>22/05/2023, 3:41:27 pm</t>
  </si>
  <si>
    <t>22/05/2023, 3:41:28 pm</t>
  </si>
  <si>
    <t>22/05/2023, 3:41:29 pm</t>
  </si>
  <si>
    <t>22/05/2023, 3:41:30 pm</t>
  </si>
  <si>
    <t>22/05/2023, 3:41:31 pm</t>
  </si>
  <si>
    <t>22/05/2023, 3:41:32 pm</t>
  </si>
  <si>
    <t>22/05/2023, 3:41:33 pm</t>
  </si>
  <si>
    <t>22/05/2023, 3:41:34 pm</t>
  </si>
  <si>
    <t>22/05/2023, 3:41:35 pm</t>
  </si>
  <si>
    <t>22/05/2023, 3:41:36 pm</t>
  </si>
  <si>
    <t>22/05/2023, 3:41:37 pm</t>
  </si>
  <si>
    <t>22/05/2023, 3:41:38 pm</t>
  </si>
  <si>
    <t>22/05/2023, 3:41:40 pm</t>
  </si>
  <si>
    <t>22/05/2023, 3:41:41 pm</t>
  </si>
  <si>
    <t>22/05/2023, 3:41:42 pm</t>
  </si>
  <si>
    <t>22/05/2023, 3:41:43 pm</t>
  </si>
  <si>
    <t>22/05/2023, 3:41:44 pm</t>
  </si>
  <si>
    <t>22/05/2023, 3:41:45 pm</t>
  </si>
  <si>
    <t>22/05/2023, 3:41:46 pm</t>
  </si>
  <si>
    <t>22/05/2023, 3:41:47 pm</t>
  </si>
  <si>
    <t>22/05/2023, 3:41:48 pm</t>
  </si>
  <si>
    <t>22/05/2023, 3:41:49 pm</t>
  </si>
  <si>
    <t>22/05/2023, 3:41:50 pm</t>
  </si>
  <si>
    <t>22/05/2023, 3:41:51 pm</t>
  </si>
  <si>
    <t>22/05/2023, 3:41:52 pm</t>
  </si>
  <si>
    <t>22/05/2023, 3:41:53 pm</t>
  </si>
  <si>
    <t>22/05/2023, 3:41:54 pm</t>
  </si>
  <si>
    <t>22/05/2023, 3:41:55 pm</t>
  </si>
  <si>
    <t>22/05/2023, 3:41:56 pm</t>
  </si>
  <si>
    <t>22/05/2023, 3:41:57 pm</t>
  </si>
  <si>
    <t>22/05/2023, 3:41:58 pm</t>
  </si>
  <si>
    <t>22/05/2023, 3:41:59 pm</t>
  </si>
  <si>
    <t>22/05/2023, 3:42:00 pm</t>
  </si>
  <si>
    <t>22/05/2023, 3:42:01 pm</t>
  </si>
  <si>
    <t>22/05/2023, 3:42:02 pm</t>
  </si>
  <si>
    <t>22/05/2023, 3:42:03 pm</t>
  </si>
  <si>
    <t>22/05/2023, 3:42:04 pm</t>
  </si>
  <si>
    <t>22/05/2023, 3:42:05 pm</t>
  </si>
  <si>
    <t>22/05/2023, 3:42:06 pm</t>
  </si>
  <si>
    <t>22/05/2023, 3:42:07 pm</t>
  </si>
  <si>
    <t>22/05/2023, 3:42:08 pm</t>
  </si>
  <si>
    <t>22/05/2023, 3:42:09 pm</t>
  </si>
  <si>
    <t>22/05/2023, 3:42:10 pm</t>
  </si>
  <si>
    <t>22/05/2023, 3:42:11 pm</t>
  </si>
  <si>
    <t>22/05/2023, 3:42:12 pm</t>
  </si>
  <si>
    <t>22/05/2023, 3:42:13 pm</t>
  </si>
  <si>
    <t>22/05/2023, 3:42:14 pm</t>
  </si>
  <si>
    <t>22/05/2023, 3:42:15 pm</t>
  </si>
  <si>
    <t>22/05/2023, 3:42:16 pm</t>
  </si>
  <si>
    <t>22/05/2023, 3:42:17 pm</t>
  </si>
  <si>
    <t>22/05/2023, 3:42:18 pm</t>
  </si>
  <si>
    <t>22/05/2023, 3:42:19 pm</t>
  </si>
  <si>
    <t>22/05/2023, 3:42:20 pm</t>
  </si>
  <si>
    <t>22/05/2023, 3:42:21 pm</t>
  </si>
  <si>
    <t>22/05/2023, 3:42:22 pm</t>
  </si>
  <si>
    <t>22/05/2023, 3:42:23 pm</t>
  </si>
  <si>
    <t>22/05/2023, 3:42:24 pm</t>
  </si>
  <si>
    <t>22/05/2023, 3:42:25 pm</t>
  </si>
  <si>
    <t>22/05/2023, 3:42:26 pm</t>
  </si>
  <si>
    <t>22/05/2023, 3:42:27 pm</t>
  </si>
  <si>
    <t>22/05/2023, 3:42:28 pm</t>
  </si>
  <si>
    <t>22/05/2023, 3:42:29 pm</t>
  </si>
  <si>
    <t>22/05/2023, 3:42:30 pm</t>
  </si>
  <si>
    <t>22/05/2023, 3:42:31 pm</t>
  </si>
  <si>
    <t>22/05/2023, 3:42:32 pm</t>
  </si>
  <si>
    <t>22/05/2023, 3:42:33 pm</t>
  </si>
  <si>
    <t>22/05/2023, 3:42:34 pm</t>
  </si>
  <si>
    <t>22/05/2023, 3:42:35 pm</t>
  </si>
  <si>
    <t>22/05/2023, 3:42:36 pm</t>
  </si>
  <si>
    <t>22/05/2023, 3:42:37 pm</t>
  </si>
  <si>
    <t>22/05/2023, 3:42:38 pm</t>
  </si>
  <si>
    <t>22/05/2023, 3:42:39 pm</t>
  </si>
  <si>
    <t>22/05/2023, 3:42:40 pm</t>
  </si>
  <si>
    <t>22/05/2023, 3:42:41 pm</t>
  </si>
  <si>
    <t>22/05/2023, 3:42:42 pm</t>
  </si>
  <si>
    <t>22/05/2023, 3:42:43 pm</t>
  </si>
  <si>
    <t>22/05/2023, 3:42:44 pm</t>
  </si>
  <si>
    <t>22/05/2023, 3:42:45 pm</t>
  </si>
  <si>
    <t>22/05/2023, 3:42:46 pm</t>
  </si>
  <si>
    <t>22/05/2023, 3:42:47 pm</t>
  </si>
  <si>
    <t>22/05/2023, 3:42:48 pm</t>
  </si>
  <si>
    <t>22/05/2023, 3:42:49 pm</t>
  </si>
  <si>
    <t>22/05/2023, 3:42:50 pm</t>
  </si>
  <si>
    <t>22/05/2023, 3:42:51 pm</t>
  </si>
  <si>
    <t>22/05/2023, 3:42:52 pm</t>
  </si>
  <si>
    <t>22/05/2023, 3:42:53 pm</t>
  </si>
  <si>
    <t>22/05/2023, 3:42:54 pm</t>
  </si>
  <si>
    <t>22/05/2023, 3:42:55 pm</t>
  </si>
  <si>
    <t>22/05/2023, 3:42:56 pm</t>
  </si>
  <si>
    <t>22/05/2023, 3:42:57 pm</t>
  </si>
  <si>
    <t>22/05/2023, 3:42:58 pm</t>
  </si>
  <si>
    <t>22/05/2023, 3:42:59 pm</t>
  </si>
  <si>
    <t>22/05/2023, 3:43:00 pm</t>
  </si>
  <si>
    <t>22/05/2023, 3:43:01 pm</t>
  </si>
  <si>
    <t>22/05/2023, 3:43:02 pm</t>
  </si>
  <si>
    <t>22/05/2023, 3:43:03 pm</t>
  </si>
  <si>
    <t>22/05/2023, 3:43:04 pm</t>
  </si>
  <si>
    <t>22/05/2023, 3:43:05 pm</t>
  </si>
  <si>
    <t>22/05/2023, 3:43:06 pm</t>
  </si>
  <si>
    <t>22/05/2023, 3:43:07 pm</t>
  </si>
  <si>
    <t>22/05/2023, 3:43:08 pm</t>
  </si>
  <si>
    <t>22/05/2023, 3:43:09 pm</t>
  </si>
  <si>
    <t>22/05/2023, 3:43:10 pm</t>
  </si>
  <si>
    <t>22/05/2023, 3:43:11 pm</t>
  </si>
  <si>
    <t>22/05/2023, 3:43:12 pm</t>
  </si>
  <si>
    <t>22/05/2023, 3:43:13 pm</t>
  </si>
  <si>
    <t>22/05/2023, 3:43:14 pm</t>
  </si>
  <si>
    <t>22/05/2023, 3:43:15 pm</t>
  </si>
  <si>
    <t>22/05/2023, 3:43:16 pm</t>
  </si>
  <si>
    <t>22/05/2023, 3:43:17 pm</t>
  </si>
  <si>
    <t>22/05/2023, 3:43:18 pm</t>
  </si>
  <si>
    <t>22/05/2023, 3:43:19 pm</t>
  </si>
  <si>
    <t>22/05/2023, 3:43:20 pm</t>
  </si>
  <si>
    <t>22/05/2023, 3:43:21 pm</t>
  </si>
  <si>
    <t>22/05/2023, 3:43:22 pm</t>
  </si>
  <si>
    <t>22/05/2023, 3:43:23 pm</t>
  </si>
  <si>
    <t>22/05/2023, 3:43:24 pm</t>
  </si>
  <si>
    <t>22/05/2023, 3:43:25 pm</t>
  </si>
  <si>
    <t>22/05/2023, 3:43:26 pm</t>
  </si>
  <si>
    <t>22/05/2023, 3:43:27 pm</t>
  </si>
  <si>
    <t>22/05/2023, 3:43:28 pm</t>
  </si>
  <si>
    <t>22/05/2023, 3:43:29 pm</t>
  </si>
  <si>
    <t>22/05/2023, 3:43:30 pm</t>
  </si>
  <si>
    <t>22/05/2023, 3:43:31 pm</t>
  </si>
  <si>
    <t>22/05/2023, 3:43:32 pm</t>
  </si>
  <si>
    <t>22/05/2023, 3:43:33 pm</t>
  </si>
  <si>
    <t>22/05/2023, 3:43:34 pm</t>
  </si>
  <si>
    <t>22/05/2023, 3:43:35 pm</t>
  </si>
  <si>
    <t>22/05/2023, 3:43:36 pm</t>
  </si>
  <si>
    <t>22/05/2023, 3:43:37 pm</t>
  </si>
  <si>
    <t>22/05/2023, 3:43:38 pm</t>
  </si>
  <si>
    <t>22/05/2023, 3:43:39 pm</t>
  </si>
  <si>
    <t>22/05/2023, 3:43:40 pm</t>
  </si>
  <si>
    <t>22/05/2023, 3:43:41 pm</t>
  </si>
  <si>
    <t>22/05/2023, 3:43:42 pm</t>
  </si>
  <si>
    <t>22/05/2023, 3:43:43 pm</t>
  </si>
  <si>
    <t>22/05/2023, 3:43:44 pm</t>
  </si>
  <si>
    <t>22/05/2023, 3:43:45 pm</t>
  </si>
  <si>
    <t>22/05/2023, 3:43:47 pm</t>
  </si>
  <si>
    <t>22/05/2023, 3:43:48 pm</t>
  </si>
  <si>
    <t>22/05/2023, 3:43:49 pm</t>
  </si>
  <si>
    <t>22/05/2023, 3:43:50 pm</t>
  </si>
  <si>
    <t>22/05/2023, 3:43:51 pm</t>
  </si>
  <si>
    <t>22/05/2023, 3:43:52 pm</t>
  </si>
  <si>
    <t>22/05/2023, 3:43:53 pm</t>
  </si>
  <si>
    <t>22/05/2023, 3:43:54 pm</t>
  </si>
  <si>
    <t>22/05/2023, 3:43:55 pm</t>
  </si>
  <si>
    <t>22/05/2023, 3:43:56 pm</t>
  </si>
  <si>
    <t>22/05/2023, 3:43:57 pm</t>
  </si>
  <si>
    <t>22/05/2023, 3:43:58 pm</t>
  </si>
  <si>
    <t>22/05/2023, 3:43:59 pm</t>
  </si>
  <si>
    <t>22/05/2023, 3:44:00 pm</t>
  </si>
  <si>
    <t>22/05/2023, 3:44:01 pm</t>
  </si>
  <si>
    <t>22/05/2023, 3:44:02 pm</t>
  </si>
  <si>
    <t>22/05/2023, 3:44:03 pm</t>
  </si>
  <si>
    <t>22/05/2023, 3:44:04 pm</t>
  </si>
  <si>
    <t>22/05/2023, 3:44:05 pm</t>
  </si>
  <si>
    <t>22/05/2023, 3:44:06 pm</t>
  </si>
  <si>
    <t>22/05/2023, 3:44:07 pm</t>
  </si>
  <si>
    <t>22/05/2023, 3:44:08 pm</t>
  </si>
  <si>
    <t>22/05/2023, 3:44:09 pm</t>
  </si>
  <si>
    <t>22/05/2023, 3:44:10 pm</t>
  </si>
  <si>
    <t>22/05/2023, 3:44:11 pm</t>
  </si>
  <si>
    <t>22/05/2023, 3:44:12 pm</t>
  </si>
  <si>
    <t>22/05/2023, 3:44:13 pm</t>
  </si>
  <si>
    <t>22/05/2023, 3:44:14 pm</t>
  </si>
  <si>
    <t>22/05/2023, 3:44:15 pm</t>
  </si>
  <si>
    <t>22/05/2023, 3:44:16 pm</t>
  </si>
  <si>
    <t>22/05/2023, 3:44:17 pm</t>
  </si>
  <si>
    <t>22/05/2023, 3:44:18 pm</t>
  </si>
  <si>
    <t>22/05/2023, 3:44:19 pm</t>
  </si>
  <si>
    <t>22/05/2023, 3:44:20 pm</t>
  </si>
  <si>
    <t>22/05/2023, 3:44:21 pm</t>
  </si>
  <si>
    <t>22/05/2023, 3:44:22 pm</t>
  </si>
  <si>
    <t>22/05/2023, 3:44:23 pm</t>
  </si>
  <si>
    <t>22/05/2023, 3:44:24 pm</t>
  </si>
  <si>
    <t>22/05/2023, 3:44:25 pm</t>
  </si>
  <si>
    <t>22/05/2023, 3:44:26 pm</t>
  </si>
  <si>
    <t>22/05/2023, 3:44:27 pm</t>
  </si>
  <si>
    <t>22/05/2023, 3:44:28 pm</t>
  </si>
  <si>
    <t>22/05/2023, 3:44:29 pm</t>
  </si>
  <si>
    <t>22/05/2023, 3:44:30 pm</t>
  </si>
  <si>
    <t>22/05/2023, 3:44:31 pm</t>
  </si>
  <si>
    <t>22/05/2023, 3:44:32 pm</t>
  </si>
  <si>
    <t>22/05/2023, 3:44:33 pm</t>
  </si>
  <si>
    <t>22/05/2023, 3:44:34 pm</t>
  </si>
  <si>
    <t>22/05/2023, 3:44:35 pm</t>
  </si>
  <si>
    <t>22/05/2023, 3:44:36 pm</t>
  </si>
  <si>
    <t>22/05/2023, 3:44:37 pm</t>
  </si>
  <si>
    <t>22/05/2023, 3:44:38 pm</t>
  </si>
  <si>
    <t>22/05/2023, 3:44:39 pm</t>
  </si>
  <si>
    <t>22/05/2023, 3:44:40 pm</t>
  </si>
  <si>
    <t>22/05/2023, 3:44:41 pm</t>
  </si>
  <si>
    <t>22/05/2023, 3:44:42 pm</t>
  </si>
  <si>
    <t>22/05/2023, 3:44:43 pm</t>
  </si>
  <si>
    <t>22/05/2023, 3:44:44 pm</t>
  </si>
  <si>
    <t>22/05/2023, 3:44:45 pm</t>
  </si>
  <si>
    <t>22/05/2023, 3:44:46 pm</t>
  </si>
  <si>
    <t>22/05/2023, 3:44:47 pm</t>
  </si>
  <si>
    <t>22/05/2023, 3:44:48 pm</t>
  </si>
  <si>
    <t>22/05/2023, 3:44:49 pm</t>
  </si>
  <si>
    <t>22/05/2023, 3:44:50 pm</t>
  </si>
  <si>
    <t>22/05/2023, 3:44:51 pm</t>
  </si>
  <si>
    <t>22/05/2023, 3:44:52 pm</t>
  </si>
  <si>
    <t>22/05/2023, 3:44:53 pm</t>
  </si>
  <si>
    <t>22/05/2023, 3:44:54 pm</t>
  </si>
  <si>
    <t>22/05/2023, 3:44:55 pm</t>
  </si>
  <si>
    <t>22/05/2023, 3:44:56 pm</t>
  </si>
  <si>
    <t>22/05/2023, 3:44:57 pm</t>
  </si>
  <si>
    <t>22/05/2023, 3:44:58 pm</t>
  </si>
  <si>
    <t>22/05/2023, 3:44:59 pm</t>
  </si>
  <si>
    <t>22/05/2023, 3:45:00 pm</t>
  </si>
  <si>
    <t>22/05/2023, 3:45:01 pm</t>
  </si>
  <si>
    <t>22/05/2023, 3:45:02 pm</t>
  </si>
  <si>
    <t>22/05/2023, 3:45:03 pm</t>
  </si>
  <si>
    <t>22/05/2023, 3:45:04 pm</t>
  </si>
  <si>
    <t>22/05/2023, 3:45:05 pm</t>
  </si>
  <si>
    <t>22/05/2023, 3:45:06 pm</t>
  </si>
  <si>
    <t>22/05/2023, 3:45:07 pm</t>
  </si>
  <si>
    <t>22/05/2023, 3:45:08 pm</t>
  </si>
  <si>
    <t>22/05/2023, 3:45:09 pm</t>
  </si>
  <si>
    <t>22/05/2023, 3:45:10 pm</t>
  </si>
  <si>
    <t>22/05/2023, 3:45:11 pm</t>
  </si>
  <si>
    <t>22/05/2023, 3:45:12 pm</t>
  </si>
  <si>
    <t>22/05/2023, 3:45:13 pm</t>
  </si>
  <si>
    <t>22/05/2023, 3:45:14 pm</t>
  </si>
  <si>
    <t>22/05/2023, 3:45:15 pm</t>
  </si>
  <si>
    <t>22/05/2023, 3:45:16 pm</t>
  </si>
  <si>
    <t>22/05/2023, 3:45:17 pm</t>
  </si>
  <si>
    <t>22/05/2023, 3:45:18 pm</t>
  </si>
  <si>
    <t>22/05/2023, 3:45:19 pm</t>
  </si>
  <si>
    <t>22/05/2023, 3:45:20 pm</t>
  </si>
  <si>
    <t>22/05/2023, 3:45:21 pm</t>
  </si>
  <si>
    <t>22/05/2023, 3:45:22 pm</t>
  </si>
  <si>
    <t>22/05/2023, 3:45:23 pm</t>
  </si>
  <si>
    <t>22/05/2023, 3:45:24 pm</t>
  </si>
  <si>
    <t>22/05/2023, 3:45:25 pm</t>
  </si>
  <si>
    <t>22/05/2023, 3:45:26 pm</t>
  </si>
  <si>
    <t>22/05/2023, 3:45:27 pm</t>
  </si>
  <si>
    <t>22/05/2023, 3:45:28 pm</t>
  </si>
  <si>
    <t>22/05/2023, 3:45:29 pm</t>
  </si>
  <si>
    <t>22/05/2023, 3:45:30 pm</t>
  </si>
  <si>
    <t>22/05/2023, 3:45:31 pm</t>
  </si>
  <si>
    <t>22/05/2023, 3:45:32 pm</t>
  </si>
  <si>
    <t>22/05/2023, 3:45:33 pm</t>
  </si>
  <si>
    <t>22/05/2023, 3:45:34 pm</t>
  </si>
  <si>
    <t>22/05/2023, 3:45:35 pm</t>
  </si>
  <si>
    <t>22/05/2023, 3:45:36 pm</t>
  </si>
  <si>
    <t>22/05/2023, 3:45:37 pm</t>
  </si>
  <si>
    <t>22/05/2023, 3:45:38 pm</t>
  </si>
  <si>
    <t>22/05/2023, 3:45:39 pm</t>
  </si>
  <si>
    <t>22/05/2023, 3:45:40 pm</t>
  </si>
  <si>
    <t>22/05/2023, 3:45:41 pm</t>
  </si>
  <si>
    <t>22/05/2023, 3:45:42 pm</t>
  </si>
  <si>
    <t>22/05/2023, 3:45:43 pm</t>
  </si>
  <si>
    <t>22/05/2023, 3:45:44 pm</t>
  </si>
  <si>
    <t>22/05/2023, 3:45:45 pm</t>
  </si>
  <si>
    <t>22/05/2023, 3:45:46 pm</t>
  </si>
  <si>
    <t>22/05/2023, 3:45:47 pm</t>
  </si>
  <si>
    <t>22/05/2023, 3:45:48 pm</t>
  </si>
  <si>
    <t>22/05/2023, 3:45:49 pm</t>
  </si>
  <si>
    <t>22/05/2023, 3:45:50 pm</t>
  </si>
  <si>
    <t>22/05/2023, 3:45:51 pm</t>
  </si>
  <si>
    <t>22/05/2023, 3:45:52 pm</t>
  </si>
  <si>
    <t>22/05/2023, 3:45:53 pm</t>
  </si>
  <si>
    <t>22/05/2023, 3:45:55 pm</t>
  </si>
  <si>
    <t>22/05/2023, 3:45:56 pm</t>
  </si>
  <si>
    <t>22/05/2023, 3:45:57 pm</t>
  </si>
  <si>
    <t>22/05/2023, 3:45:58 pm</t>
  </si>
  <si>
    <t>22/05/2023, 3:45:59 pm</t>
  </si>
  <si>
    <t>22/05/2023, 3:46:00 pm</t>
  </si>
  <si>
    <t>22/05/2023, 3:46:01 pm</t>
  </si>
  <si>
    <t>22/05/2023, 3:46:02 pm</t>
  </si>
  <si>
    <t>22/05/2023, 3:46:03 pm</t>
  </si>
  <si>
    <t>22/05/2023, 3:46:04 pm</t>
  </si>
  <si>
    <t>22/05/2023, 3:46:05 pm</t>
  </si>
  <si>
    <t>22/05/2023, 3:46:06 pm</t>
  </si>
  <si>
    <t>22/05/2023, 3:46:07 pm</t>
  </si>
  <si>
    <t>22/05/2023, 3:46:08 pm</t>
  </si>
  <si>
    <t>22/05/2023, 3:46:09 pm</t>
  </si>
  <si>
    <t>22/05/2023, 3:46:10 pm</t>
  </si>
  <si>
    <t>22/05/2023, 3:46:11 pm</t>
  </si>
  <si>
    <t>22/05/2023, 3:46:12 pm</t>
  </si>
  <si>
    <t>22/05/2023, 3:46:13 pm</t>
  </si>
  <si>
    <t>22/05/2023, 3:46:14 pm</t>
  </si>
  <si>
    <t>22/05/2023, 3:46:15 pm</t>
  </si>
  <si>
    <t>22/05/2023, 3:46:16 pm</t>
  </si>
  <si>
    <t>22/05/2023, 3:46:17 pm</t>
  </si>
  <si>
    <t>22/05/2023, 3:46:18 pm</t>
  </si>
  <si>
    <t>22/05/2023, 3:46:19 pm</t>
  </si>
  <si>
    <t>22/05/2023, 3:46:20 pm</t>
  </si>
  <si>
    <t>22/05/2023, 3:46:21 pm</t>
  </si>
  <si>
    <t>22/05/2023, 3:46:22 pm</t>
  </si>
  <si>
    <t>22/05/2023, 3:46:23 pm</t>
  </si>
  <si>
    <t>22/05/2023, 3:46:24 pm</t>
  </si>
  <si>
    <t>22/05/2023, 3:46:25 pm</t>
  </si>
  <si>
    <t>22/05/2023, 3:46:26 pm</t>
  </si>
  <si>
    <t>22/05/2023, 3:46:27 pm</t>
  </si>
  <si>
    <t>22/05/2023, 3:46:28 pm</t>
  </si>
  <si>
    <t>22/05/2023, 3:46:29 pm</t>
  </si>
  <si>
    <t>22/05/2023, 3:46:30 pm</t>
  </si>
  <si>
    <t>22/05/2023, 3:46:31 pm</t>
  </si>
  <si>
    <t>22/05/2023, 3:46:32 pm</t>
  </si>
  <si>
    <t>22/05/2023, 3:46:33 pm</t>
  </si>
  <si>
    <t>22/05/2023, 3:46:34 pm</t>
  </si>
  <si>
    <t>22/05/2023, 3:46:35 pm</t>
  </si>
  <si>
    <t>22/05/2023, 3:46:36 pm</t>
  </si>
  <si>
    <t>22/05/2023, 3:46:37 pm</t>
  </si>
  <si>
    <t>22/05/2023, 3:46:38 pm</t>
  </si>
  <si>
    <t>22/05/2023, 3:46:39 pm</t>
  </si>
  <si>
    <t>22/05/2023, 3:46:40 pm</t>
  </si>
  <si>
    <t>22/05/2023, 3:46:41 pm</t>
  </si>
  <si>
    <t>22/05/2023, 3:46:42 pm</t>
  </si>
  <si>
    <t>22/05/2023, 3:46:43 pm</t>
  </si>
  <si>
    <t>22/05/2023, 3:46:44 pm</t>
  </si>
  <si>
    <t>22/05/2023, 3:46:45 pm</t>
  </si>
  <si>
    <t>22/05/2023, 3:46:46 pm</t>
  </si>
  <si>
    <t>22/05/2023, 3:46:47 pm</t>
  </si>
  <si>
    <t>22/05/2023, 3:46:48 pm</t>
  </si>
  <si>
    <t>22/05/2023, 3:46:49 pm</t>
  </si>
  <si>
    <t>22/05/2023, 3:46:50 pm</t>
  </si>
  <si>
    <t>22/05/2023, 3:46:51 pm</t>
  </si>
  <si>
    <t>22/05/2023, 3:46:52 pm</t>
  </si>
  <si>
    <t>22/05/2023, 3:46:53 pm</t>
  </si>
  <si>
    <t>22/05/2023, 3:46:54 pm</t>
  </si>
  <si>
    <t>22/05/2023, 3:46:55 pm</t>
  </si>
  <si>
    <t>22/05/2023, 3:46:56 pm</t>
  </si>
  <si>
    <t>22/05/2023, 3:46:57 pm</t>
  </si>
  <si>
    <t>22/05/2023, 3:46:58 pm</t>
  </si>
  <si>
    <t>22/05/2023, 3:46:59 pm</t>
  </si>
  <si>
    <t>22/05/2023, 3:47:00 pm</t>
  </si>
  <si>
    <t>22/05/2023, 3:47:01 pm</t>
  </si>
  <si>
    <t>22/05/2023, 3:47:02 pm</t>
  </si>
  <si>
    <t>22/05/2023, 3:47:03 pm</t>
  </si>
  <si>
    <t>22/05/2023, 3:47:04 pm</t>
  </si>
  <si>
    <t>22/05/2023, 3:47:05 pm</t>
  </si>
  <si>
    <t>22/05/2023, 3:47:06 pm</t>
  </si>
  <si>
    <t>22/05/2023, 3:47:07 pm</t>
  </si>
  <si>
    <t>22/05/2023, 3:47:08 pm</t>
  </si>
  <si>
    <t>22/05/2023, 3:47:09 pm</t>
  </si>
  <si>
    <t>22/05/2023, 3:47:10 pm</t>
  </si>
  <si>
    <t>22/05/2023, 3:47:11 pm</t>
  </si>
  <si>
    <t>22/05/2023, 3:47:12 pm</t>
  </si>
  <si>
    <t>22/05/2023, 3:47:13 pm</t>
  </si>
  <si>
    <t>22/05/2023, 3:47:14 pm</t>
  </si>
  <si>
    <t>22/05/2023, 3:47:15 pm</t>
  </si>
  <si>
    <t>22/05/2023, 3:47:16 pm</t>
  </si>
  <si>
    <t>22/05/2023, 3:47:17 pm</t>
  </si>
  <si>
    <t>22/05/2023, 3:47:18 pm</t>
  </si>
  <si>
    <t>22/05/2023, 3:47:19 pm</t>
  </si>
  <si>
    <t>22/05/2023, 3:47:20 pm</t>
  </si>
  <si>
    <t>22/05/2023, 3:47:21 pm</t>
  </si>
  <si>
    <t>22/05/2023, 3:47:22 pm</t>
  </si>
  <si>
    <t>22/05/2023, 3:47:23 pm</t>
  </si>
  <si>
    <t>22/05/2023, 3:47:24 pm</t>
  </si>
  <si>
    <t>22/05/2023, 3:47:25 pm</t>
  </si>
  <si>
    <t>22/05/2023, 3:47:26 pm</t>
  </si>
  <si>
    <t>22/05/2023, 3:47:27 pm</t>
  </si>
  <si>
    <t>22/05/2023, 3:47:28 pm</t>
  </si>
  <si>
    <t>22/05/2023, 3:47:29 pm</t>
  </si>
  <si>
    <t>22/05/2023, 3:47:30 pm</t>
  </si>
  <si>
    <t>22/05/2023, 3:47:31 pm</t>
  </si>
  <si>
    <t>22/05/2023, 3:47:32 pm</t>
  </si>
  <si>
    <t>22/05/2023, 3:47:33 pm</t>
  </si>
  <si>
    <t>22/05/2023, 3:47:34 pm</t>
  </si>
  <si>
    <t>22/05/2023, 3:47:35 pm</t>
  </si>
  <si>
    <t>22/05/2023, 3:47:36 pm</t>
  </si>
  <si>
    <t>22/05/2023, 3:47:37 pm</t>
  </si>
  <si>
    <t>22/05/2023, 3:47:38 pm</t>
  </si>
  <si>
    <t>22/05/2023, 3:47:39 pm</t>
  </si>
  <si>
    <t>22/05/2023, 3:47:40 pm</t>
  </si>
  <si>
    <t>22/05/2023, 3:47:41 pm</t>
  </si>
  <si>
    <t>22/05/2023, 3:47:42 pm</t>
  </si>
  <si>
    <t>22/05/2023, 3:47:43 pm</t>
  </si>
  <si>
    <t>22/05/2023, 3:47:44 pm</t>
  </si>
  <si>
    <t>22/05/2023, 3:47:45 pm</t>
  </si>
  <si>
    <t>22/05/2023, 3:47:46 pm</t>
  </si>
  <si>
    <t>22/05/2023, 3:47:47 pm</t>
  </si>
  <si>
    <t>22/05/2023, 3:47:48 pm</t>
  </si>
  <si>
    <t>22/05/2023, 3:47:49 pm</t>
  </si>
  <si>
    <t>22/05/2023, 3:47:50 pm</t>
  </si>
  <si>
    <t>22/05/2023, 3:47:51 pm</t>
  </si>
  <si>
    <t>22/05/2023, 3:47:52 pm</t>
  </si>
  <si>
    <t>22/05/2023, 3:47:53 pm</t>
  </si>
  <si>
    <t>22/05/2023, 3:47:54 pm</t>
  </si>
  <si>
    <t>22/05/2023, 3:47:55 pm</t>
  </si>
  <si>
    <t>22/05/2023, 3:47:56 pm</t>
  </si>
  <si>
    <t>22/05/2023, 3:47:57 pm</t>
  </si>
  <si>
    <t>22/05/2023, 3:47:58 pm</t>
  </si>
  <si>
    <t>22/05/2023, 3:47:59 pm</t>
  </si>
  <si>
    <t>22/05/2023, 3:48:00 pm</t>
  </si>
  <si>
    <t>22/05/2023, 3:48:02 pm</t>
  </si>
  <si>
    <t>22/05/2023, 3:48:03 pm</t>
  </si>
  <si>
    <t>22/05/2023, 3:48:04 pm</t>
  </si>
  <si>
    <t>22/05/2023, 3:48:05 pm</t>
  </si>
  <si>
    <t>22/05/2023, 3:48:06 pm</t>
  </si>
  <si>
    <t>22/05/2023, 3:48:07 pm</t>
  </si>
  <si>
    <t>22/05/2023, 3:48:08 pm</t>
  </si>
  <si>
    <t>22/05/2023, 3:48:09 pm</t>
  </si>
  <si>
    <t>22/05/2023, 3:48:10 pm</t>
  </si>
  <si>
    <t>22/05/2023, 3:48:11 pm</t>
  </si>
  <si>
    <t>22/05/2023, 3:48:12 pm</t>
  </si>
  <si>
    <t>22/05/2023, 3:48:13 pm</t>
  </si>
  <si>
    <t>22/05/2023, 3:48:14 pm</t>
  </si>
  <si>
    <t>22/05/2023, 3:48:15 pm</t>
  </si>
  <si>
    <t>22/05/2023, 3:48:16 pm</t>
  </si>
  <si>
    <t>22/05/2023, 3:48:17 pm</t>
  </si>
  <si>
    <t>22/05/2023, 3:48:18 pm</t>
  </si>
  <si>
    <t>22/05/2023, 3:48:19 pm</t>
  </si>
  <si>
    <t>22/05/2023, 3:48:20 pm</t>
  </si>
  <si>
    <t>22/05/2023, 3:48:21 pm</t>
  </si>
  <si>
    <t>22/05/2023, 3:48:22 pm</t>
  </si>
  <si>
    <t>22/05/2023, 3:48:23 pm</t>
  </si>
  <si>
    <t>22/05/2023, 3:48:24 pm</t>
  </si>
  <si>
    <t>22/05/2023, 3:48:25 pm</t>
  </si>
  <si>
    <t>22/05/2023, 3:48:26 pm</t>
  </si>
  <si>
    <t>22/05/2023, 3:48:27 pm</t>
  </si>
  <si>
    <t>22/05/2023, 3:48:28 pm</t>
  </si>
  <si>
    <t>22/05/2023, 3:48:29 pm</t>
  </si>
  <si>
    <t>22/05/2023, 3:48:30 pm</t>
  </si>
  <si>
    <t>22/05/2023, 3:48:31 pm</t>
  </si>
  <si>
    <t>22/05/2023, 3:48:32 pm</t>
  </si>
  <si>
    <t>22/05/2023, 3:48:33 pm</t>
  </si>
  <si>
    <t>22/05/2023, 3:48:34 pm</t>
  </si>
  <si>
    <t>22/05/2023, 3:48:35 pm</t>
  </si>
  <si>
    <t>22/05/2023, 3:48:36 pm</t>
  </si>
  <si>
    <t>22/05/2023, 3:48:37 pm</t>
  </si>
  <si>
    <t>22/05/2023, 3:48:38 pm</t>
  </si>
  <si>
    <t>22/05/2023, 3:48:39 pm</t>
  </si>
  <si>
    <t>22/05/2023, 3:48:40 pm</t>
  </si>
  <si>
    <t>22/05/2023, 3:48:41 pm</t>
  </si>
  <si>
    <t>22/05/2023, 3:48:42 pm</t>
  </si>
  <si>
    <t>22/05/2023, 3:48:43 pm</t>
  </si>
  <si>
    <t>22/05/2023, 3:48:44 pm</t>
  </si>
  <si>
    <t>22/05/2023, 3:48:45 pm</t>
  </si>
  <si>
    <t>22/05/2023, 3:48:46 pm</t>
  </si>
  <si>
    <t>22/05/2023, 3:48:47 pm</t>
  </si>
  <si>
    <t>22/05/2023, 3:48:48 pm</t>
  </si>
  <si>
    <t>22/05/2023, 3:48:49 pm</t>
  </si>
  <si>
    <t>22/05/2023, 3:48:50 pm</t>
  </si>
  <si>
    <t>22/05/2023, 3:48:51 pm</t>
  </si>
  <si>
    <t>22/05/2023, 3:48:52 pm</t>
  </si>
  <si>
    <t>22/05/2023, 3:48:53 pm</t>
  </si>
  <si>
    <t>22/05/2023, 3:48:54 pm</t>
  </si>
  <si>
    <t>22/05/2023, 3:48:55 pm</t>
  </si>
  <si>
    <t>22/05/2023, 3:48:56 pm</t>
  </si>
  <si>
    <t>22/05/2023, 3:48:57 pm</t>
  </si>
  <si>
    <t>22/05/2023, 3:48:58 pm</t>
  </si>
  <si>
    <t>22/05/2023, 3:48:59 pm</t>
  </si>
  <si>
    <t>22/05/2023, 3:49:00 pm</t>
  </si>
  <si>
    <t>22/05/2023, 3:49:01 pm</t>
  </si>
  <si>
    <t>22/05/2023, 3:49:02 pm</t>
  </si>
  <si>
    <t>22/05/2023, 3:49:03 pm</t>
  </si>
  <si>
    <t>22/05/2023, 3:49:04 pm</t>
  </si>
  <si>
    <t>22/05/2023, 3:49:05 pm</t>
  </si>
  <si>
    <t>22/05/2023, 3:49:06 pm</t>
  </si>
  <si>
    <t>22/05/2023, 3:49:07 pm</t>
  </si>
  <si>
    <t>22/05/2023, 3:49:08 pm</t>
  </si>
  <si>
    <t>22/05/2023, 3:49:09 pm</t>
  </si>
  <si>
    <t>22/05/2023, 3:49:10 pm</t>
  </si>
  <si>
    <t>22/05/2023, 3:49:11 pm</t>
  </si>
  <si>
    <t>22/05/2023, 3:49:12 pm</t>
  </si>
  <si>
    <t>22/05/2023, 3:49:13 pm</t>
  </si>
  <si>
    <t>22/05/2023, 3:49:14 pm</t>
  </si>
  <si>
    <t>22/05/2023, 3:49:15 pm</t>
  </si>
  <si>
    <t>22/05/2023, 3:49:16 pm</t>
  </si>
  <si>
    <t>22/05/2023, 3:49:17 pm</t>
  </si>
  <si>
    <t>22/05/2023, 3:49:18 pm</t>
  </si>
  <si>
    <t>22/05/2023, 3:49:19 pm</t>
  </si>
  <si>
    <t>22/05/2023, 3:49:20 pm</t>
  </si>
  <si>
    <t>22/05/2023, 3:49:21 pm</t>
  </si>
  <si>
    <t>22/05/2023, 3:49:22 pm</t>
  </si>
  <si>
    <t>22/05/2023, 3:49:23 pm</t>
  </si>
  <si>
    <t>22/05/2023, 3:49:24 pm</t>
  </si>
  <si>
    <t>22/05/2023, 3:49:25 pm</t>
  </si>
  <si>
    <t>22/05/2023, 3:49:26 pm</t>
  </si>
  <si>
    <t>22/05/2023, 3:49:27 pm</t>
  </si>
  <si>
    <t>22/05/2023, 3:49:28 pm</t>
  </si>
  <si>
    <t>22/05/2023, 3:49:29 pm</t>
  </si>
  <si>
    <t>22/05/2023, 3:49:30 pm</t>
  </si>
  <si>
    <t>22/05/2023, 3:49:31 pm</t>
  </si>
  <si>
    <t>22/05/2023, 3:49:32 pm</t>
  </si>
  <si>
    <t>22/05/2023, 3:49:33 pm</t>
  </si>
  <si>
    <t>22/05/2023, 3:49:34 pm</t>
  </si>
  <si>
    <t>22/05/2023, 3:49:35 pm</t>
  </si>
  <si>
    <t>22/05/2023, 3:49:36 pm</t>
  </si>
  <si>
    <t>22/05/2023, 3:49:37 pm</t>
  </si>
  <si>
    <t>22/05/2023, 3:49:38 pm</t>
  </si>
  <si>
    <t>22/05/2023, 3:49:39 pm</t>
  </si>
  <si>
    <t>22/05/2023, 3:49:40 pm</t>
  </si>
  <si>
    <t>22/05/2023, 3:49:41 pm</t>
  </si>
  <si>
    <t>22/05/2023, 3:49:42 pm</t>
  </si>
  <si>
    <t>22/05/2023, 3:49:43 pm</t>
  </si>
  <si>
    <t>22/05/2023, 3:49:44 pm</t>
  </si>
  <si>
    <t>22/05/2023, 3:49:45 pm</t>
  </si>
  <si>
    <t>22/05/2023, 3:49:46 pm</t>
  </si>
  <si>
    <t>22/05/2023, 3:49:47 pm</t>
  </si>
  <si>
    <t>22/05/2023, 3:49:48 pm</t>
  </si>
  <si>
    <t>22/05/2023, 3:49:49 pm</t>
  </si>
  <si>
    <t>22/05/2023, 3:49:50 pm</t>
  </si>
  <si>
    <t>22/05/2023, 3:49:51 pm</t>
  </si>
  <si>
    <t>22/05/2023, 3:49:52 pm</t>
  </si>
  <si>
    <t>22/05/2023, 3:49:53 pm</t>
  </si>
  <si>
    <t>22/05/2023, 3:49:54 pm</t>
  </si>
  <si>
    <t>22/05/2023, 3:49:55 pm</t>
  </si>
  <si>
    <t>22/05/2023, 3:49:56 pm</t>
  </si>
  <si>
    <t>22/05/2023, 3:49:57 pm</t>
  </si>
  <si>
    <t>22/05/2023, 3:49:58 pm</t>
  </si>
  <si>
    <t>22/05/2023, 3:49:59 pm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</si>
  <si>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</si>
  <si>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</si>
  <si>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</si>
  <si>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</si>
  <si>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</si>
  <si>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</si>
  <si>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</si>
  <si>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</si>
  <si>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</si>
  <si>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</si>
  <si>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</si>
  <si>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</si>
  <si>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</si>
  <si>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</si>
  <si>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</si>
  <si>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</si>
  <si>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</si>
  <si>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</si>
  <si>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</si>
  <si>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</si>
  <si>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</si>
  <si>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</si>
  <si>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</si>
  <si>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</si>
  <si>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</si>
  <si>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</si>
  <si>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</si>
  <si>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</si>
  <si>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</si>
  <si>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</si>
  <si>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</si>
  <si>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</si>
  <si>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</si>
  <si>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</si>
  <si>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</si>
  <si>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</si>
  <si>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</si>
  <si>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</si>
  <si>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</si>
  <si>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</si>
  <si>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</si>
  <si>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</si>
  <si>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</si>
  <si>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</si>
  <si>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</si>
  <si>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</si>
  <si>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</si>
  <si>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</si>
  <si>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</si>
  <si>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</si>
  <si>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</si>
  <si>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</si>
  <si>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</si>
  <si>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</si>
  <si>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</si>
  <si>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</si>
  <si>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</si>
  <si>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</si>
  <si>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</si>
  <si>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</si>
  <si>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</si>
  <si>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</si>
  <si>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</si>
  <si>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</si>
  <si>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</si>
  <si>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</si>
  <si>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</si>
  <si>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</si>
  <si>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</si>
  <si>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</si>
  <si>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</si>
  <si>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</si>
  <si>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</si>
  <si>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</si>
  <si>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</si>
  <si>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</si>
  <si>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</si>
  <si>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</si>
  <si>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</si>
  <si>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</si>
  <si>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</si>
  <si>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</si>
  <si>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</si>
  <si>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</si>
  <si>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</si>
  <si>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</si>
  <si>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</si>
  <si>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</si>
  <si>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</si>
  <si>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</si>
  <si>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</si>
  <si>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</si>
  <si>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</si>
  <si>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</si>
  <si>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</si>
  <si>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</si>
  <si>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</si>
  <si>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</si>
  <si>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</si>
  <si>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</si>
  <si>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</si>
  <si>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</si>
  <si>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</si>
  <si>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</si>
  <si>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</si>
  <si>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</si>
  <si>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</si>
  <si>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</si>
  <si>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</si>
  <si>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</si>
  <si>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</si>
  <si>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</si>
  <si>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</si>
  <si>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</si>
  <si>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</si>
  <si>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</si>
  <si>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</si>
  <si>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</si>
  <si>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</si>
  <si>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</si>
  <si>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</si>
  <si>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</si>
  <si>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</si>
  <si>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</si>
  <si>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</si>
  <si>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</si>
  <si>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</si>
  <si>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</si>
  <si>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</si>
  <si>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</si>
  <si>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</si>
  <si>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</si>
  <si>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</si>
  <si>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</si>
  <si>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</si>
  <si>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</si>
  <si>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</si>
  <si>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</si>
  <si>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</si>
  <si>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</si>
  <si>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</si>
  <si>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</si>
  <si>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</si>
  <si>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</si>
  <si>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</si>
  <si>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</si>
  <si>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</si>
  <si>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</si>
  <si>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</si>
  <si>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</si>
  <si>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</si>
  <si>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</si>
  <si>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</si>
  <si>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</si>
  <si>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</si>
  <si>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</si>
  <si>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</si>
  <si>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</si>
  <si>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</si>
  <si>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</si>
  <si>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</si>
  <si>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</si>
  <si>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</si>
  <si>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</si>
  <si>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</si>
  <si>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</si>
  <si>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</si>
  <si>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</si>
  <si>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</si>
  <si>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</si>
  <si>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</si>
  <si>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</si>
  <si>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</si>
  <si>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</si>
  <si>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</si>
  <si>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</si>
  <si>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</si>
  <si>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</si>
  <si>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</si>
  <si>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</si>
  <si>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</si>
  <si>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</si>
  <si>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</si>
  <si>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</si>
  <si>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</si>
  <si>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</si>
  <si>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</si>
  <si>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</si>
  <si>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</si>
  <si>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</si>
  <si>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</si>
  <si>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</si>
  <si>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</si>
  <si>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</si>
  <si>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</si>
  <si>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</si>
  <si>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</si>
  <si>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</si>
  <si>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</si>
  <si>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</si>
  <si>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</si>
  <si>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</si>
  <si>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</si>
  <si>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</si>
  <si>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</si>
  <si>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</si>
  <si>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</si>
  <si>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</si>
  <si>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</si>
  <si>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</si>
  <si>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</si>
  <si>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</si>
  <si>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</si>
  <si>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</si>
  <si>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</si>
  <si>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</si>
  <si>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</si>
  <si>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</si>
  <si>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</si>
  <si>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</si>
  <si>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</si>
  <si>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</si>
  <si>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</si>
  <si>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</si>
  <si>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</si>
  <si>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</si>
  <si>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</si>
  <si>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</si>
  <si>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</si>
  <si>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</si>
  <si>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</si>
  <si>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</si>
  <si>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</si>
  <si>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</si>
  <si>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</si>
  <si>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</si>
  <si>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</si>
  <si>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</si>
  <si>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</si>
  <si>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</si>
  <si>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</si>
  <si>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</si>
  <si>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</si>
  <si>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</si>
  <si>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</si>
  <si>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</si>
  <si>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</si>
  <si>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</si>
  <si>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</si>
  <si>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</si>
  <si>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</si>
  <si>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</si>
  <si>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</si>
  <si>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</si>
  <si>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</si>
  <si>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</si>
  <si>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</si>
  <si>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</si>
  <si>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</si>
  <si>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</si>
  <si>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</si>
  <si>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</si>
  <si>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</si>
  <si>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</si>
  <si>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</si>
  <si>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</si>
  <si>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</si>
  <si>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</si>
  <si>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</si>
  <si>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</si>
  <si>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</si>
  <si>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</si>
  <si>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</si>
  <si>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</si>
  <si>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</si>
  <si>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</si>
  <si>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</si>
  <si>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</si>
  <si>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</si>
  <si>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</si>
  <si>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</si>
  <si>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</si>
  <si>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</si>
  <si>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</si>
  <si>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</si>
  <si>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</si>
  <si>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</si>
  <si>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</si>
  <si>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</si>
  <si>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</si>
  <si>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</si>
  <si>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</si>
  <si>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</si>
  <si>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</si>
  <si>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</si>
  <si>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</si>
  <si>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</si>
  <si>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</si>
  <si>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</si>
  <si>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</si>
  <si>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</si>
  <si>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</si>
  <si>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</si>
  <si>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</si>
  <si>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</si>
  <si>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</si>
  <si>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</si>
  <si>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</si>
  <si>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</si>
  <si>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</si>
  <si>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</si>
  <si>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</si>
  <si>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</si>
  <si>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</si>
  <si>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</si>
  <si>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</si>
  <si>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</si>
  <si>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</si>
  <si>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</si>
  <si>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</si>
  <si>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</si>
  <si>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</si>
  <si>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</si>
  <si>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</si>
  <si>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</si>
  <si>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</si>
  <si>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</si>
  <si>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</si>
  <si>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</si>
  <si>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</si>
  <si>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</si>
  <si>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</si>
  <si>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</si>
  <si>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</si>
  <si>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</si>
  <si>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</si>
  <si>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</si>
  <si>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</si>
  <si>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</si>
  <si>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</si>
  <si>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</si>
  <si>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</si>
  <si>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</si>
  <si>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</si>
  <si>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</si>
  <si>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</si>
  <si>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</si>
  <si>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</si>
  <si>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</si>
  <si>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</si>
  <si>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</si>
  <si>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</si>
  <si>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</si>
  <si>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</si>
  <si>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</si>
  <si>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</si>
  <si>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</si>
  <si>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</si>
  <si>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</si>
  <si>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</si>
  <si>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</si>
  <si>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</si>
  <si>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</si>
  <si>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</si>
  <si>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</si>
  <si>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</si>
  <si>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</si>
  <si>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</si>
  <si>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</si>
  <si>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</si>
  <si>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</si>
  <si>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</si>
  <si>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</si>
  <si>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</si>
  <si>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</si>
  <si>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</si>
  <si>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</si>
  <si>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</si>
  <si>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</si>
  <si>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</si>
  <si>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</si>
  <si>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</si>
  <si>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</si>
  <si>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</si>
  <si>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</si>
  <si>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</si>
  <si>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</si>
  <si>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</si>
  <si>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</si>
  <si>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</si>
  <si>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</si>
  <si>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</si>
  <si>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</si>
  <si>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</si>
  <si>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</si>
  <si>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</si>
  <si>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</si>
  <si>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</si>
  <si>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</si>
  <si>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</si>
  <si>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</si>
  <si>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</si>
  <si>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</si>
  <si>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</si>
  <si>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</si>
  <si>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</si>
  <si>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</si>
  <si>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</si>
  <si>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</si>
  <si>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</si>
  <si>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</si>
  <si>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</si>
  <si>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</si>
  <si>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</si>
  <si>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</si>
  <si>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</si>
  <si>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</si>
  <si>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</si>
  <si>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</si>
  <si>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</si>
  <si>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</si>
  <si>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</si>
  <si>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</si>
  <si>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</si>
  <si>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</si>
  <si>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</si>
  <si>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</si>
  <si>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</si>
  <si>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</si>
  <si>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</si>
  <si>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</si>
  <si>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</si>
  <si>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</si>
  <si>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</si>
  <si>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</si>
  <si>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</si>
  <si>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</si>
  <si>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</si>
  <si>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</si>
  <si>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</si>
  <si>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</si>
  <si>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</si>
  <si>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</si>
  <si>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</si>
  <si>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</si>
  <si>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</si>
  <si>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</si>
  <si>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</si>
  <si>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</si>
  <si>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</si>
  <si>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</si>
  <si>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</si>
  <si>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</si>
  <si>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</si>
  <si>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</si>
  <si>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</si>
  <si>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</si>
  <si>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</si>
  <si>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</si>
  <si>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</si>
  <si>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</si>
  <si>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</si>
  <si>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</si>
  <si>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</si>
  <si>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</si>
  <si>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</si>
  <si>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</si>
  <si>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</si>
  <si>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</si>
  <si>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</si>
  <si>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</si>
  <si>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</si>
  <si>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</si>
  <si>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</si>
  <si>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</si>
  <si>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</si>
  <si>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</si>
  <si>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</si>
  <si>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</si>
  <si>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</si>
  <si>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</si>
  <si>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</si>
  <si>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</si>
  <si>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</si>
  <si>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</si>
  <si>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</si>
  <si>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</si>
  <si>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</si>
  <si>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</si>
  <si>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</si>
  <si>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</si>
  <si>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</si>
  <si>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</si>
  <si>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</si>
  <si>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</si>
  <si>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</si>
  <si>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</si>
  <si>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</si>
  <si>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</si>
  <si>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</si>
  <si>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</si>
  <si>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</si>
  <si>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</si>
  <si>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</si>
  <si>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</si>
  <si>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</si>
  <si>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</si>
  <si>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</si>
  <si>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</si>
  <si>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</si>
  <si>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</si>
  <si>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</si>
  <si>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</si>
  <si>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</si>
  <si>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</si>
  <si>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</si>
  <si>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</si>
  <si>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</si>
  <si>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</si>
  <si>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</si>
  <si>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</si>
  <si>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</si>
  <si>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</si>
  <si>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</si>
  <si>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</si>
  <si>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</si>
  <si>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</si>
  <si>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</si>
  <si>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</si>
  <si>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</si>
  <si>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</si>
  <si>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</si>
  <si>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</si>
  <si>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</si>
  <si>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</si>
  <si>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</si>
  <si>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</si>
  <si>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</si>
  <si>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</si>
  <si>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</si>
  <si>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</si>
  <si>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</si>
  <si>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</si>
  <si>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</si>
  <si>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</si>
  <si>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</si>
  <si>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</si>
  <si>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</si>
  <si>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</si>
  <si>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</si>
  <si>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</si>
  <si>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</si>
  <si>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</si>
  <si>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</si>
  <si>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</si>
  <si>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</si>
  <si>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</si>
  <si>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</si>
  <si>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</si>
  <si>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</si>
  <si>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</si>
  <si>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</si>
  <si>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</si>
  <si>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</si>
  <si>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</si>
  <si>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</si>
  <si>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</si>
  <si>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</si>
  <si>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</si>
  <si>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</si>
  <si>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</si>
  <si>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</si>
  <si>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</si>
  <si>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</si>
  <si>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</si>
  <si>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</si>
  <si>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</si>
  <si>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</si>
  <si>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</si>
  <si>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</si>
  <si>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</si>
  <si>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</si>
  <si>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</si>
  <si>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</si>
  <si>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</si>
  <si>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</si>
  <si>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</si>
  <si>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</si>
  <si>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</si>
  <si>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</si>
  <si>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</si>
  <si>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</si>
  <si>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</si>
  <si>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</si>
  <si>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</si>
  <si>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</si>
  <si>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</si>
  <si>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</si>
  <si>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</si>
  <si>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</si>
  <si>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</si>
  <si>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</si>
  <si>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</si>
  <si>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</si>
  <si>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</si>
  <si>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</si>
  <si>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</si>
  <si>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</si>
  <si>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</si>
  <si>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</si>
  <si>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</si>
  <si>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</si>
  <si>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</si>
  <si>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</si>
  <si>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</si>
  <si>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</si>
  <si>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</si>
  <si>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</si>
  <si>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</si>
  <si>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</si>
  <si>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</si>
  <si>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</si>
  <si>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</si>
  <si>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</si>
  <si>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</si>
  <si>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</si>
  <si>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</si>
  <si>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</si>
  <si>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</si>
  <si>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</si>
  <si>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</si>
  <si>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</si>
  <si>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</si>
  <si>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</si>
  <si>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</si>
  <si>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</si>
  <si>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</si>
  <si>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</si>
  <si>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</si>
  <si>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</si>
  <si>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</si>
  <si>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</si>
  <si>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</si>
  <si>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</si>
  <si>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</si>
  <si>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</si>
  <si>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</si>
  <si>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</si>
  <si>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</si>
  <si>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</si>
  <si>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</si>
  <si>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</si>
  <si>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</si>
  <si>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</si>
  <si>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</si>
  <si>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</si>
  <si>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</si>
  <si>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</si>
  <si>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</si>
  <si>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</si>
  <si>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</si>
  <si>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</si>
  <si>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</si>
  <si>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</si>
  <si>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</si>
  <si>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</si>
  <si>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</si>
  <si>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</si>
  <si>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</si>
  <si>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</si>
  <si>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</si>
  <si>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</si>
  <si>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</si>
  <si>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</si>
  <si>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</si>
  <si>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</si>
  <si>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</si>
  <si>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</si>
  <si>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</si>
  <si>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</si>
  <si>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</si>
  <si>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</si>
  <si>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</si>
  <si>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</si>
  <si>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</si>
  <si>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</si>
  <si>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</si>
  <si>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</si>
  <si>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</si>
  <si>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</si>
  <si>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</si>
  <si>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</si>
  <si>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</si>
  <si>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</si>
  <si>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</si>
  <si>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</si>
  <si>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</si>
  <si>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</si>
  <si>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</si>
  <si>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</si>
  <si>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</si>
  <si>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</si>
  <si>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</si>
  <si>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</si>
  <si>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</si>
  <si>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</si>
  <si>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</si>
  <si>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</si>
  <si>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</si>
  <si>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</si>
  <si>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</si>
  <si>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</si>
  <si>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</si>
  <si>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</si>
  <si>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</si>
  <si>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</si>
  <si>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</si>
  <si>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</si>
  <si>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</si>
  <si>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</si>
  <si>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</si>
  <si>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</si>
  <si>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</si>
  <si>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</si>
  <si>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</si>
  <si>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</si>
  <si>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</si>
  <si>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</si>
  <si>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</si>
  <si>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</si>
  <si>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</si>
  <si>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</si>
  <si>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</si>
  <si>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</si>
  <si>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</si>
  <si>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</si>
  <si>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</si>
  <si>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</si>
  <si>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</si>
  <si>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</si>
  <si>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</si>
  <si>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</si>
  <si>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</si>
  <si>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</si>
  <si>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</si>
  <si>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</si>
  <si>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</si>
  <si>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</si>
  <si>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</si>
  <si>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</si>
  <si>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</si>
  <si>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</si>
  <si>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</si>
  <si>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</si>
  <si>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</si>
  <si>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</si>
  <si>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</si>
  <si>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</si>
  <si>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</si>
  <si>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</si>
  <si>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</si>
  <si>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</si>
  <si>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</si>
  <si>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</si>
  <si>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</si>
  <si>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</si>
  <si>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</si>
  <si>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</si>
  <si>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</si>
  <si>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</si>
  <si>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</si>
  <si>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</si>
  <si>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</si>
  <si>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</si>
  <si>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</si>
  <si>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</si>
  <si>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</si>
  <si>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</si>
  <si>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</si>
  <si>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</si>
  <si>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</si>
  <si>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</si>
  <si>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</si>
  <si>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</si>
  <si>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</si>
  <si>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</si>
  <si>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</si>
  <si>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</si>
  <si>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</si>
  <si>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</si>
  <si>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</si>
  <si>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</si>
  <si>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</si>
  <si>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</si>
  <si>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</si>
  <si>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</si>
  <si>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</si>
  <si>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</si>
  <si>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</si>
  <si>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</si>
  <si>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</si>
  <si>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</si>
  <si>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</si>
  <si>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</si>
  <si>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</si>
  <si>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</si>
  <si>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</si>
  <si>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</si>
  <si>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</si>
  <si>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</si>
  <si>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</si>
  <si>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</si>
  <si>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</si>
  <si>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</si>
  <si>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</si>
  <si>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</si>
  <si>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</si>
  <si>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</si>
  <si>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</si>
  <si>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</si>
  <si>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</si>
  <si>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</si>
  <si>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</si>
  <si>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</si>
  <si>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</si>
  <si>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</si>
  <si>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</si>
  <si>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</si>
  <si>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</si>
  <si>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</si>
  <si>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</si>
  <si>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</si>
  <si>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</si>
  <si>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</si>
  <si>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</si>
  <si>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</si>
  <si>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</si>
  <si>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</si>
  <si>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</si>
  <si>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</si>
  <si>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</si>
  <si>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</si>
  <si>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</si>
  <si>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</si>
  <si>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</si>
  <si>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</si>
  <si>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</si>
  <si>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</si>
  <si>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</si>
  <si>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</si>
  <si>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</si>
  <si>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</si>
  <si>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</si>
  <si>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</si>
  <si>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</si>
  <si>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</si>
  <si>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</si>
  <si>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</si>
  <si>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</si>
  <si>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</si>
  <si>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</si>
  <si>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</si>
  <si>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</si>
  <si>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</si>
  <si>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</si>
  <si>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</si>
  <si>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</si>
  <si>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</si>
  <si>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</si>
  <si>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</si>
  <si>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</si>
  <si>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</si>
  <si>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</si>
  <si>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</si>
  <si>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</si>
  <si>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</si>
  <si>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</si>
  <si>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</si>
  <si>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</si>
  <si>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</si>
  <si>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</si>
  <si>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</si>
  <si>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</si>
  <si>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</si>
  <si>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</si>
  <si>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</si>
  <si>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</si>
  <si>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</si>
  <si>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</si>
  <si>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</si>
  <si>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</si>
  <si>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</si>
  <si>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</si>
  <si>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</si>
  <si>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</si>
  <si>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</si>
  <si>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</si>
  <si>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</si>
  <si>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</si>
  <si>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</si>
  <si>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</si>
  <si>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</si>
  <si>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</si>
  <si>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</si>
  <si>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</si>
  <si>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</si>
  <si>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</si>
  <si>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</si>
  <si>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</si>
  <si>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</si>
  <si>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</si>
  <si>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</si>
  <si>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</si>
  <si>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</si>
  <si>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</si>
  <si>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</si>
  <si>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</si>
  <si>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</si>
  <si>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</si>
  <si>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</si>
  <si>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</si>
  <si>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</si>
  <si>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</si>
  <si>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</si>
  <si>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</si>
  <si>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</si>
  <si>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</si>
  <si>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</si>
  <si>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</si>
  <si>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</si>
  <si>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</si>
  <si>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</si>
  <si>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</si>
  <si>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</si>
  <si>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</si>
  <si>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</si>
  <si>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</si>
  <si>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</si>
  <si>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</si>
  <si>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</si>
  <si>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</si>
  <si>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</si>
  <si>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</si>
  <si>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</si>
  <si>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</si>
  <si>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</si>
  <si>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</si>
  <si>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</si>
  <si>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</si>
  <si>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</si>
  <si>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</si>
  <si>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</si>
  <si>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</si>
  <si>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</si>
  <si>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</si>
  <si>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</si>
  <si>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</si>
  <si>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</si>
  <si>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</si>
  <si>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</si>
  <si>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</si>
  <si>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</si>
  <si>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</si>
  <si>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</si>
  <si>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</si>
  <si>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</si>
  <si>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</si>
  <si>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</si>
  <si>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</si>
  <si>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</si>
  <si>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</si>
  <si>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</si>
  <si>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</si>
  <si>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</si>
  <si>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</si>
  <si>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</si>
  <si>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</si>
  <si>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</si>
  <si>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</si>
  <si>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</si>
  <si>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</si>
  <si>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</si>
  <si>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</si>
  <si>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</si>
  <si>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</si>
  <si>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</si>
  <si>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</si>
  <si>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</si>
  <si>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</si>
  <si>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</si>
  <si>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</si>
  <si>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</si>
  <si>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</si>
  <si>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</si>
  <si>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</si>
  <si>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</si>
  <si>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</si>
  <si>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</si>
  <si>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</si>
  <si>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</si>
  <si>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</si>
  <si>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</si>
  <si>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</si>
  <si>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</si>
  <si>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</si>
  <si>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</si>
  <si>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</si>
  <si>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</si>
  <si>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</si>
  <si>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</si>
  <si>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</si>
  <si>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</si>
  <si>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</si>
  <si>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</si>
  <si>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</si>
  <si>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</si>
  <si>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</si>
  <si>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</si>
  <si>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</si>
  <si>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</si>
  <si>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</si>
  <si>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</si>
  <si>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</si>
  <si>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</si>
  <si>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</si>
  <si>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</si>
  <si>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</si>
  <si>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</si>
  <si>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</si>
  <si>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</si>
  <si>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</si>
  <si>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</si>
  <si>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</si>
  <si>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</si>
  <si>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</si>
  <si>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</si>
  <si>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</si>
  <si>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</si>
  <si>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</si>
  <si>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</si>
  <si>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</si>
  <si>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</si>
  <si>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</si>
  <si>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</si>
  <si>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</si>
  <si>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</si>
  <si>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</si>
  <si>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</si>
  <si>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</si>
  <si>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</si>
  <si>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</si>
  <si>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</si>
  <si>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</si>
  <si>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</si>
  <si>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</si>
  <si>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</si>
  <si>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</si>
  <si>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</si>
  <si>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</si>
  <si>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</si>
  <si>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</si>
  <si>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</si>
  <si>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</si>
  <si>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</si>
  <si>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</si>
  <si>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</si>
  <si>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</si>
  <si>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</si>
  <si>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</si>
  <si>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</si>
  <si>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</si>
  <si>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</si>
  <si>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</si>
  <si>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</si>
  <si>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</si>
  <si>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</si>
  <si>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</si>
  <si>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</si>
  <si>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</si>
  <si>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</si>
  <si>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</si>
  <si>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</si>
  <si>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</si>
  <si>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</si>
  <si>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</si>
  <si>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</si>
  <si>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</si>
  <si>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</si>
  <si>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</si>
  <si>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</si>
  <si>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</si>
  <si>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</si>
  <si>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</si>
  <si>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</si>
  <si>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</si>
  <si>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</si>
  <si>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</si>
  <si>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</si>
  <si>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</si>
  <si>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</si>
  <si>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</si>
  <si>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</si>
  <si>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</si>
  <si>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</si>
  <si>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</si>
  <si>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</si>
  <si>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</si>
  <si>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</si>
  <si>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</si>
  <si>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</si>
  <si>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</si>
  <si>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</si>
  <si>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</si>
  <si>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</si>
  <si>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</si>
  <si>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</si>
  <si>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</si>
  <si>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</si>
  <si>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</si>
  <si>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</si>
  <si>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</si>
  <si>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</si>
  <si>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</si>
  <si>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</si>
  <si>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</si>
  <si>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</si>
  <si>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</si>
  <si>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</si>
  <si>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</si>
  <si>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</si>
  <si>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</si>
  <si>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</si>
  <si>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</si>
  <si>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</si>
  <si>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</si>
  <si>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</si>
  <si>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</si>
  <si>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</si>
  <si>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</si>
  <si>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</si>
  <si>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</si>
  <si>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</si>
  <si>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</si>
  <si>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</si>
  <si>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</si>
  <si>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</si>
  <si>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</si>
  <si>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</si>
  <si>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</si>
  <si>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</si>
  <si>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</si>
  <si>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</si>
  <si>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</si>
  <si>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</si>
  <si>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</si>
  <si>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</si>
  <si>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</si>
  <si>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</si>
  <si>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</si>
  <si>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</si>
  <si>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</si>
  <si>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</si>
  <si>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</si>
  <si>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</si>
  <si>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</si>
  <si>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</si>
  <si>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</si>
  <si>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</si>
  <si>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</si>
  <si>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</si>
  <si>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</si>
  <si>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</si>
  <si>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</si>
  <si>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</si>
  <si>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</si>
  <si>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</si>
  <si>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</si>
  <si>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</si>
  <si>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</si>
  <si>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</si>
  <si>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</si>
  <si>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</si>
  <si>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</si>
  <si>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</si>
  <si>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</si>
  <si>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</si>
  <si>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</si>
  <si>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</si>
  <si>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</si>
  <si>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</si>
  <si>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</si>
  <si>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</si>
  <si>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</si>
  <si>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</si>
  <si>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</si>
  <si>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</si>
  <si>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</si>
  <si>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</si>
  <si>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</si>
  <si>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</si>
  <si>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</si>
  <si>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</si>
  <si>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</si>
  <si>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</si>
  <si>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</si>
  <si>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</si>
  <si>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</si>
  <si>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</si>
  <si>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</si>
  <si>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</si>
  <si>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</si>
  <si>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</si>
  <si>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</si>
  <si>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</si>
  <si>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</si>
  <si>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</si>
  <si>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</si>
  <si>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</si>
  <si>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</si>
  <si>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</si>
  <si>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</si>
  <si>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</si>
  <si>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</si>
  <si>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</si>
  <si>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</si>
  <si>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</si>
  <si>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</si>
  <si>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</si>
  <si>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</si>
  <si>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</si>
  <si>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</si>
  <si>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</si>
  <si>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</si>
  <si>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</si>
  <si>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</si>
  <si>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</si>
  <si>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</si>
  <si>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</si>
  <si>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</si>
  <si>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</si>
  <si>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</si>
  <si>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</si>
  <si>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</si>
  <si>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</si>
  <si>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</si>
  <si>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</si>
  <si>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</si>
  <si>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</si>
  <si>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</si>
  <si>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</si>
  <si>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</si>
  <si>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</si>
  <si>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</si>
  <si>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</si>
  <si>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</si>
  <si>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</si>
  <si>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</si>
  <si>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</si>
  <si>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</si>
  <si>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</si>
  <si>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</si>
  <si>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</si>
  <si>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</si>
  <si>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</si>
  <si>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</si>
  <si>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</si>
  <si>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</si>
  <si>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</si>
  <si>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</si>
  <si>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</si>
  <si>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</si>
  <si>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</si>
  <si>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</si>
  <si>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</si>
  <si>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</si>
  <si>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</si>
  <si>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</si>
  <si>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</si>
  <si>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</si>
  <si>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</si>
  <si>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</si>
  <si>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</si>
  <si>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</si>
  <si>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</si>
  <si>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</si>
  <si>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</si>
  <si>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</si>
  <si>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</si>
  <si>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</si>
  <si>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</si>
  <si>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</si>
  <si>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</si>
  <si>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</si>
  <si>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</si>
  <si>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</si>
  <si>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</si>
  <si>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</si>
  <si>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</si>
  <si>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</si>
  <si>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</si>
  <si>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</si>
  <si>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</si>
  <si>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</si>
  <si>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</si>
  <si>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</si>
  <si>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</si>
  <si>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</si>
  <si>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</si>
  <si>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</si>
  <si>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</si>
  <si>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</si>
  <si>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</si>
  <si>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</si>
  <si>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</si>
  <si>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</si>
  <si>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</si>
  <si>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</si>
  <si>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</si>
  <si>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</si>
  <si>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</si>
  <si>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</si>
  <si>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</si>
  <si>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</si>
  <si>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</si>
  <si>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</si>
  <si>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</si>
  <si>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</si>
  <si>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</si>
  <si>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</si>
  <si>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</si>
  <si>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</si>
  <si>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</si>
  <si>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</si>
  <si>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</si>
  <si>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</si>
  <si>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</si>
  <si>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</si>
  <si>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</si>
  <si>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</si>
  <si>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</si>
  <si>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</si>
  <si>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</si>
  <si>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</si>
  <si>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</si>
  <si>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</si>
  <si>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</si>
  <si>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</si>
  <si>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</si>
  <si>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</si>
  <si>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</si>
  <si>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</si>
  <si>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</si>
  <si>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</si>
  <si>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</si>
  <si>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</si>
  <si>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</si>
  <si>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</si>
  <si>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</si>
  <si>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</si>
  <si>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</si>
  <si>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</si>
  <si>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</si>
  <si>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</si>
  <si>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</si>
  <si>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</si>
  <si>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</si>
  <si>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</si>
  <si>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</si>
  <si>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</si>
  <si>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</si>
  <si>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</si>
  <si>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</si>
  <si>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</si>
  <si>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</si>
  <si>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</si>
  <si>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</si>
  <si>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</si>
  <si>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</si>
  <si>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</si>
  <si>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</si>
  <si>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</si>
  <si>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</si>
  <si>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</si>
  <si>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</si>
  <si>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</si>
  <si>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</si>
  <si>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</si>
  <si>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</si>
  <si>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</si>
  <si>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</si>
  <si>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</si>
  <si>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</si>
  <si>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</si>
  <si>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</si>
  <si>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</si>
  <si>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</si>
  <si>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</si>
  <si>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</si>
  <si>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</si>
  <si>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</si>
  <si>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</si>
  <si>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</si>
  <si>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</si>
  <si>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</si>
  <si>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</si>
  <si>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</si>
  <si>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</si>
  <si>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</si>
  <si>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</si>
  <si>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</si>
  <si>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</si>
  <si>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</si>
  <si>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</si>
  <si>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</si>
  <si>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</si>
  <si>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</si>
  <si>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</si>
  <si>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</si>
  <si>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</si>
  <si>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</si>
  <si>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</si>
  <si>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</si>
  <si>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</si>
  <si>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</si>
  <si>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</si>
  <si>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</si>
  <si>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</si>
  <si>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</si>
  <si>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</si>
  <si>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</si>
  <si>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</si>
  <si>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</si>
  <si>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</si>
  <si>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</si>
  <si>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</si>
  <si>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</si>
  <si>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</si>
  <si>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</si>
  <si>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</si>
  <si>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</si>
  <si>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</si>
  <si>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</si>
  <si>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</si>
  <si>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</si>
  <si>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</si>
  <si>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</si>
  <si>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</si>
  <si>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</si>
  <si>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</si>
  <si>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</si>
  <si>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</si>
  <si>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</si>
  <si>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</si>
  <si>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</si>
  <si>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</si>
  <si>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</si>
  <si>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</si>
  <si>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</si>
  <si>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</si>
  <si>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</si>
  <si>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</si>
  <si>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</si>
  <si>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</si>
  <si>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</si>
  <si>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</si>
  <si>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</si>
  <si>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</si>
  <si>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</si>
  <si>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</si>
  <si>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</si>
  <si>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</si>
  <si>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</si>
  <si>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</si>
  <si>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</si>
  <si>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</si>
  <si>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</si>
  <si>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</si>
  <si>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</si>
  <si>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</si>
  <si>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</si>
  <si>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</si>
  <si>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</si>
  <si>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</si>
  <si>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</si>
  <si>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</si>
  <si>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</si>
  <si>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</si>
  <si>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</si>
  <si>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</si>
  <si>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</si>
  <si>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</si>
  <si>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</si>
  <si>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</si>
  <si>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</si>
  <si>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</si>
  <si>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</si>
  <si>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</si>
  <si>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</si>
  <si>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</si>
  <si>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</si>
  <si>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</si>
  <si>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</si>
  <si>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</si>
  <si>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</si>
  <si>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</si>
  <si>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</si>
  <si>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</si>
  <si>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</si>
  <si>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</si>
  <si>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</si>
  <si>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</si>
  <si>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</si>
  <si>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</si>
  <si>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</si>
  <si>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</si>
  <si>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</si>
  <si>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</si>
  <si>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</si>
  <si>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</si>
  <si>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</si>
  <si>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</si>
  <si>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</si>
  <si>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</si>
  <si>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</si>
  <si>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</si>
  <si>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</si>
  <si>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</si>
  <si>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</si>
  <si>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</si>
  <si>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</si>
  <si>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</si>
  <si>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</si>
  <si>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</si>
  <si>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</si>
  <si>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</si>
  <si>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</si>
  <si>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</si>
  <si>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</si>
  <si>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</si>
  <si>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</si>
  <si>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</si>
  <si>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</si>
  <si>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</si>
  <si>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</si>
  <si>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</si>
  <si>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</si>
  <si>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</si>
  <si>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</si>
  <si>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</si>
  <si>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</si>
  <si>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</si>
  <si>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</si>
  <si>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</si>
  <si>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</si>
  <si>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</si>
  <si>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</si>
  <si>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</si>
  <si>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</si>
  <si>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</si>
  <si>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</si>
  <si>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</si>
  <si>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</si>
  <si>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</si>
  <si>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</si>
  <si>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</si>
  <si>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</si>
  <si>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</si>
  <si>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</si>
  <si>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</si>
  <si>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</si>
  <si>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</si>
  <si>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</si>
  <si>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</si>
  <si>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</si>
  <si>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</si>
  <si>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</si>
  <si>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</si>
  <si>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</si>
  <si>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</si>
  <si>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</si>
  <si>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</si>
  <si>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</si>
  <si>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</si>
  <si>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</si>
  <si>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</si>
  <si>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</si>
  <si>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</si>
  <si>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</si>
  <si>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</si>
  <si>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</si>
  <si>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</si>
  <si>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</si>
  <si>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</si>
  <si>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</si>
  <si>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</si>
  <si>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</si>
  <si>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</si>
  <si>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</si>
  <si>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</si>
  <si>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</si>
  <si>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</si>
  <si>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</si>
  <si>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</si>
  <si>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</si>
  <si>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</si>
  <si>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</si>
  <si>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</si>
  <si>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</si>
  <si>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</si>
  <si>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</si>
  <si>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</si>
  <si>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</si>
  <si>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</si>
  <si>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</si>
  <si>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</si>
  <si>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</si>
  <si>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</si>
  <si>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</si>
  <si>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</si>
  <si>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</si>
  <si>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</si>
  <si>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</si>
  <si>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</si>
  <si>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</si>
  <si>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</si>
  <si>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</si>
  <si>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</si>
  <si>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</si>
  <si>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</si>
  <si>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</si>
  <si>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</si>
  <si>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</si>
  <si>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</si>
  <si>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</si>
  <si>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</si>
  <si>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</si>
  <si>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</si>
  <si>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</si>
  <si>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</si>
  <si>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</si>
  <si>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</si>
  <si>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</si>
  <si>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</si>
  <si>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</si>
  <si>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</si>
  <si>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</si>
  <si>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</si>
  <si>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</si>
  <si>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</si>
  <si>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</si>
  <si>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</si>
  <si>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</si>
  <si>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</si>
  <si>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</si>
  <si>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</si>
  <si>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</si>
  <si>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</si>
  <si>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</si>
  <si>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</si>
  <si>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</si>
  <si>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</si>
  <si>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</si>
  <si>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</si>
  <si>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</si>
  <si>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</si>
  <si>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</si>
  <si>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</si>
  <si>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</si>
  <si>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</si>
  <si>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</si>
  <si>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</si>
  <si>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</si>
  <si>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</si>
  <si>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</si>
  <si>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</si>
  <si>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</si>
  <si>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</si>
  <si>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</si>
  <si>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</si>
  <si>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</si>
  <si>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</si>
  <si>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</si>
  <si>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</si>
  <si>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</si>
  <si>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</si>
  <si>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</si>
  <si>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</si>
  <si>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</si>
  <si>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</si>
  <si>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</si>
  <si>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</si>
  <si>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</si>
  <si>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</si>
  <si>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</si>
  <si>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</si>
  <si>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</si>
  <si>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</si>
  <si>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</si>
  <si>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</si>
  <si>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</si>
  <si>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</si>
  <si>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</si>
  <si>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</si>
  <si>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</si>
  <si>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</si>
  <si>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</si>
  <si>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</si>
  <si>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</si>
  <si>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</si>
  <si>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</si>
  <si>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</si>
  <si>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</si>
  <si>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</si>
  <si>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</si>
  <si>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</si>
  <si>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</si>
  <si>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</si>
  <si>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</si>
  <si>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</si>
  <si>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</si>
  <si>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</si>
  <si>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</si>
  <si>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</si>
  <si>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</si>
  <si>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</si>
  <si>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</si>
  <si>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</si>
  <si>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</si>
  <si>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</si>
  <si>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</si>
  <si>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</si>
  <si>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</si>
  <si>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</si>
  <si>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</si>
  <si>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</si>
  <si>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</si>
  <si>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</si>
  <si>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</si>
  <si>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</si>
  <si>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</si>
  <si>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</si>
  <si>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</si>
  <si>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</si>
  <si>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</si>
  <si>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</si>
  <si>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</si>
  <si>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</si>
  <si>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</si>
  <si>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</si>
  <si>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</si>
  <si>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</si>
  <si>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</si>
  <si>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</si>
  <si>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</si>
  <si>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</si>
  <si>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</si>
  <si>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</si>
  <si>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</si>
  <si>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</si>
  <si>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</si>
  <si>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</si>
  <si>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</si>
  <si>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</si>
  <si>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</si>
  <si>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</si>
  <si>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</si>
  <si>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</si>
  <si>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</si>
  <si>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</si>
  <si>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</si>
  <si>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</si>
  <si>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</si>
  <si>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</si>
  <si>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</si>
  <si>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</si>
  <si>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</si>
  <si>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</si>
  <si>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</si>
  <si>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</si>
  <si>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</si>
  <si>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</si>
  <si>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</si>
  <si>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</si>
  <si>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</si>
  <si>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</si>
  <si>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</si>
  <si>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</si>
  <si>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</si>
  <si>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</si>
  <si>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</si>
  <si>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</si>
  <si>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</si>
  <si>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</si>
  <si>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</si>
  <si>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</si>
  <si>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</si>
  <si>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</si>
  <si>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</si>
  <si>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</si>
  <si>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</si>
  <si>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</si>
  <si>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</si>
  <si>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</si>
  <si>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</si>
  <si>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</si>
  <si>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</si>
  <si>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</si>
  <si>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</si>
  <si>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</si>
  <si>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</si>
  <si>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</si>
  <si>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</si>
  <si>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</si>
  <si>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</si>
  <si>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</si>
  <si>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</si>
  <si>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</si>
  <si>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</si>
  <si>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</si>
  <si>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</si>
  <si>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</si>
  <si>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</si>
  <si>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</si>
  <si>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</si>
  <si>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</si>
  <si>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</si>
  <si>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</si>
  <si>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</si>
  <si>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</si>
  <si>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</si>
  <si>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</si>
  <si>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</si>
  <si>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</si>
  <si>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</si>
  <si>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</si>
  <si>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</si>
  <si>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</si>
  <si>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</si>
  <si>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</si>
  <si>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</si>
  <si>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</si>
  <si>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</si>
  <si>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</si>
  <si>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</si>
  <si>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</si>
  <si>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</si>
  <si>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</si>
  <si>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</si>
  <si>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</si>
  <si>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</si>
  <si>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</si>
  <si>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</si>
  <si>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</si>
  <si>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</si>
  <si>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</si>
  <si>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</si>
  <si>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</si>
  <si>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</si>
  <si>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</si>
  <si>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</si>
  <si>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</si>
  <si>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</si>
  <si>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</si>
  <si>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</si>
  <si>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</si>
  <si>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</si>
  <si>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</si>
  <si>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</si>
  <si>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</si>
  <si>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</si>
  <si>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</si>
  <si>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</si>
  <si>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</si>
  <si>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</si>
  <si>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</si>
  <si>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</si>
  <si>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</si>
  <si>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</si>
  <si>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</si>
  <si>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</si>
  <si>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</si>
  <si>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</si>
  <si>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</si>
  <si>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</si>
  <si>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</si>
  <si>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</si>
  <si>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</si>
  <si>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</si>
  <si>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</si>
  <si>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</si>
  <si>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</si>
  <si>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</si>
  <si>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</si>
  <si>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</si>
  <si>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</si>
  <si>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</si>
  <si>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</si>
  <si>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</si>
  <si>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</si>
  <si>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</si>
  <si>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</si>
  <si>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</si>
  <si>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</si>
  <si>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</si>
  <si>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</si>
  <si>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</si>
  <si>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</si>
  <si>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</si>
  <si>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</si>
  <si>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</si>
  <si>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</si>
  <si>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</si>
  <si>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</si>
  <si>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</si>
  <si>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</si>
  <si>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</si>
  <si>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</si>
  <si>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</si>
  <si>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</si>
  <si>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</si>
  <si>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</si>
  <si>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</si>
  <si>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</si>
  <si>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</si>
  <si>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</si>
  <si>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</si>
  <si>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</si>
  <si>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</si>
  <si>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</si>
  <si>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</si>
  <si>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</si>
  <si>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</si>
  <si>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</si>
  <si>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</si>
  <si>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</si>
  <si>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</si>
  <si>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</si>
  <si>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</si>
  <si>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</si>
  <si>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</si>
  <si>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</si>
  <si>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</si>
  <si>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</si>
  <si>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</si>
  <si>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</si>
  <si>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</si>
  <si>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</si>
  <si>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</si>
  <si>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</si>
  <si>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</si>
  <si>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</si>
  <si>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</si>
  <si>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</si>
  <si>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</si>
  <si>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</si>
  <si>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</si>
  <si>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</si>
  <si>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</si>
  <si>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</si>
  <si>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</si>
  <si>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</si>
  <si>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</si>
  <si>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</si>
  <si>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</si>
  <si>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</si>
  <si>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</si>
  <si>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</si>
  <si>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</si>
  <si>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</si>
  <si>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</si>
  <si>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</si>
  <si>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</si>
  <si>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</si>
  <si>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</si>
  <si>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</si>
  <si>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</si>
  <si>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</si>
  <si>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</si>
  <si>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</si>
  <si>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</si>
  <si>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</si>
  <si>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</si>
  <si>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</si>
  <si>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</si>
  <si>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</si>
  <si>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</si>
  <si>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</si>
  <si>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</si>
  <si>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</si>
  <si>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</si>
  <si>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</si>
  <si>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</si>
  <si>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</si>
  <si>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</si>
  <si>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</si>
  <si>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</si>
  <si>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</si>
  <si>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</si>
  <si>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</si>
  <si>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</si>
  <si>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</si>
  <si>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</si>
  <si>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</si>
  <si>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</si>
  <si>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</si>
  <si>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</si>
  <si>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</si>
  <si>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</si>
  <si>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</si>
  <si>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</si>
  <si>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</si>
  <si>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</si>
  <si>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</si>
  <si>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</si>
  <si>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</si>
  <si>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</si>
  <si>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</si>
  <si>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</si>
  <si>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</si>
  <si>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</si>
  <si>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</si>
  <si>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</si>
  <si>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</si>
  <si>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</si>
  <si>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</si>
  <si>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</si>
  <si>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</si>
  <si>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</si>
  <si>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</si>
  <si>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</si>
  <si>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</si>
  <si>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</si>
  <si>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</si>
  <si>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</si>
  <si>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</si>
  <si>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</si>
  <si>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</si>
  <si>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</si>
  <si>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</si>
  <si>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</si>
  <si>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</si>
  <si>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</si>
  <si>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</si>
  <si>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</si>
  <si>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</si>
  <si>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</si>
  <si>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</si>
  <si>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</si>
  <si>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</si>
  <si>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</si>
  <si>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</si>
  <si>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</si>
  <si>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</si>
  <si>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</si>
  <si>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</si>
  <si>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</si>
  <si>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</si>
  <si>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</si>
  <si>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</si>
  <si>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</si>
  <si>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</si>
  <si>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</si>
  <si>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</si>
  <si>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</si>
  <si>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</si>
  <si>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</si>
  <si>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</si>
  <si>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</si>
  <si>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</si>
  <si>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</si>
  <si>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</si>
  <si>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</si>
  <si>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</si>
  <si>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</si>
  <si>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</si>
  <si>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</si>
  <si>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</si>
  <si>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</si>
  <si>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</si>
  <si>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</si>
  <si>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</si>
  <si>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</si>
  <si>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</si>
  <si>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</si>
  <si>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</si>
  <si>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</si>
  <si>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</si>
  <si>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</si>
  <si>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</si>
  <si>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</si>
  <si>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</si>
  <si>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</si>
  <si>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</si>
  <si>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</si>
  <si>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</si>
  <si>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</si>
  <si>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</si>
  <si>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</si>
  <si>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</si>
  <si>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</si>
  <si>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</si>
  <si>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</si>
  <si>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</si>
  <si>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</si>
  <si>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</si>
  <si>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</si>
  <si>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</si>
  <si>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</si>
  <si>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</si>
  <si>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</si>
  <si>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</si>
  <si>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</si>
  <si>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</si>
  <si>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</si>
  <si>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</si>
  <si>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</si>
  <si>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</si>
  <si>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</si>
  <si>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</si>
  <si>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</si>
  <si>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</si>
  <si>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</si>
  <si>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</si>
  <si>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</si>
  <si>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</si>
  <si>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</si>
  <si>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</si>
  <si>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</si>
  <si>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</si>
  <si>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</si>
  <si>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</si>
  <si>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</si>
  <si>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</si>
  <si>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</si>
  <si>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</si>
  <si>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</si>
  <si>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</si>
  <si>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</si>
  <si>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</si>
  <si>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</si>
  <si>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</si>
  <si>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</si>
  <si>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</si>
  <si>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</si>
  <si>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</si>
  <si>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</si>
  <si>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</si>
  <si>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</si>
  <si>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</si>
  <si>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</si>
  <si>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</si>
  <si>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</si>
  <si>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</si>
  <si>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</si>
  <si>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</si>
  <si>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</si>
  <si>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</si>
  <si>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</si>
  <si>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</si>
  <si>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</si>
  <si>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</si>
  <si>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</si>
  <si>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</si>
  <si>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</si>
  <si>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</si>
  <si>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</si>
  <si>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</si>
  <si>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</si>
  <si>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</si>
  <si>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</si>
  <si>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</si>
  <si>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</si>
  <si>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</si>
  <si>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</si>
  <si>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</si>
  <si>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</si>
  <si>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</si>
  <si>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</si>
  <si>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</si>
  <si>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</si>
  <si>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</si>
  <si>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</si>
  <si>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</si>
  <si>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</si>
  <si>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</si>
  <si>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</si>
  <si>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</si>
  <si>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</si>
  <si>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</si>
  <si>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</si>
  <si>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</si>
  <si>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</si>
  <si>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</si>
  <si>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</si>
  <si>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</si>
  <si>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</si>
  <si>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</si>
  <si>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</si>
  <si>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</si>
  <si>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</si>
  <si>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</si>
  <si>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</si>
  <si>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</si>
  <si>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</si>
  <si>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</si>
  <si>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</si>
  <si>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</si>
  <si>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</si>
  <si>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</si>
  <si>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</si>
  <si>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</si>
  <si>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</si>
  <si>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</si>
  <si>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</si>
  <si>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</si>
  <si>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</si>
  <si>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</si>
  <si>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</si>
  <si>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</si>
  <si>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</si>
  <si>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</si>
  <si>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</si>
  <si>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</si>
  <si>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</si>
  <si>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</si>
  <si>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</si>
  <si>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</si>
  <si>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</si>
  <si>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</si>
  <si>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</si>
  <si>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</si>
  <si>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</si>
  <si>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</si>
  <si>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</si>
  <si>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</si>
  <si>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</si>
  <si>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</si>
  <si>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</si>
  <si>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</si>
  <si>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</si>
  <si>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</si>
  <si>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</si>
  <si>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</si>
  <si>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</si>
  <si>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</si>
  <si>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</si>
  <si>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</si>
  <si>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</si>
  <si>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</si>
  <si>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</si>
  <si>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</si>
  <si>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</si>
  <si>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</si>
  <si>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</si>
  <si>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</si>
  <si>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</si>
  <si>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</si>
  <si>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</si>
  <si>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</si>
  <si>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</si>
  <si>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</si>
  <si>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</si>
  <si>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</si>
  <si>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</si>
  <si>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</si>
  <si>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</si>
  <si>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</si>
  <si>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</si>
  <si>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</si>
  <si>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</si>
  <si>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</si>
  <si>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</si>
  <si>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</si>
  <si>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</si>
  <si>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</si>
  <si>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</si>
  <si>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</si>
  <si>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</si>
  <si>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</si>
  <si>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</si>
  <si>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</si>
  <si>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</si>
  <si>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</si>
  <si>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</si>
  <si>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</si>
  <si>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</si>
  <si>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</si>
  <si>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</si>
  <si>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</si>
  <si>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</si>
  <si>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</si>
  <si>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</si>
  <si>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</si>
  <si>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</si>
  <si>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</si>
  <si>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</si>
  <si>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</si>
  <si>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</si>
  <si>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</si>
  <si>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</si>
  <si>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</si>
  <si>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</si>
  <si>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</si>
  <si>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</si>
  <si>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</si>
  <si>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</si>
  <si>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</si>
  <si>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</si>
  <si>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</si>
  <si>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</si>
  <si>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</si>
  <si>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</si>
  <si>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</si>
  <si>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</si>
  <si>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</si>
  <si>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</si>
  <si>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</si>
  <si>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</si>
  <si>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</si>
  <si>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</si>
  <si>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</si>
  <si>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</si>
  <si>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</si>
  <si>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</si>
  <si>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</si>
  <si>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</si>
  <si>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</si>
  <si>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</si>
  <si>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</si>
  <si>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</si>
  <si>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</si>
  <si>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</si>
  <si>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</si>
  <si>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</si>
  <si>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</si>
  <si>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</si>
  <si>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</si>
  <si>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</si>
  <si>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</si>
  <si>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</si>
  <si>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</si>
  <si>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</si>
  <si>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</si>
  <si>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</si>
  <si>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</si>
  <si>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</si>
  <si>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</si>
  <si>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</si>
  <si>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</si>
  <si>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</si>
  <si>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</si>
  <si>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</si>
  <si>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</si>
  <si>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</si>
  <si>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</si>
  <si>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</si>
  <si>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</si>
  <si>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</si>
  <si>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</si>
  <si>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</si>
  <si>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</si>
  <si>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</si>
  <si>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</si>
  <si>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</si>
  <si>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</si>
  <si>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</si>
  <si>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</si>
  <si>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</si>
  <si>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</si>
  <si>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</si>
  <si>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</si>
  <si>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</si>
  <si>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</si>
  <si>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</si>
  <si>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</si>
  <si>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</si>
  <si>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</si>
  <si>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</si>
  <si>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</si>
  <si>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</si>
  <si>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</si>
  <si>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</si>
  <si>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</si>
  <si>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</si>
  <si>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</si>
  <si>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</si>
  <si>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</si>
  <si>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</si>
  <si>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</si>
  <si>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</si>
  <si>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</si>
  <si>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</si>
  <si>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</si>
  <si>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</si>
  <si>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</si>
  <si>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</si>
  <si>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</si>
  <si>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</si>
  <si>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</si>
  <si>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</si>
  <si>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</si>
  <si>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</si>
  <si>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</si>
  <si>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</si>
  <si>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</si>
  <si>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</si>
  <si>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</si>
  <si>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</si>
  <si>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</si>
  <si>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</si>
  <si>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</si>
  <si>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</si>
  <si>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</si>
  <si>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</si>
  <si>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</si>
  <si>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</si>
  <si>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</si>
  <si>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</si>
  <si>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</si>
  <si>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</si>
  <si>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</si>
  <si>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</si>
  <si>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</si>
  <si>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</si>
  <si>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</si>
  <si>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</si>
  <si>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</si>
  <si>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</si>
  <si>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</si>
  <si>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</si>
  <si>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</si>
  <si>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</si>
  <si>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</si>
  <si>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</si>
  <si>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</si>
  <si>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</si>
  <si>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</si>
  <si>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</si>
  <si>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</si>
  <si>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</si>
  <si>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</si>
  <si>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</si>
  <si>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</si>
  <si>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</si>
  <si>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</si>
  <si>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</si>
  <si>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</si>
  <si>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</si>
  <si>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</si>
  <si>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</si>
  <si>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</si>
  <si>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</si>
  <si>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</si>
  <si>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</si>
  <si>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</si>
  <si>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</si>
  <si>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</si>
  <si>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</si>
  <si>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</si>
  <si>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</si>
  <si>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</si>
  <si>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</si>
  <si>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</si>
  <si>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</si>
  <si>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</si>
  <si>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</si>
  <si>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</si>
  <si>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</si>
  <si>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</si>
  <si>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</si>
  <si>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</si>
  <si>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</si>
  <si>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</si>
  <si>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</si>
  <si>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</si>
  <si>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</si>
  <si>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</si>
  <si>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</si>
  <si>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</si>
  <si>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</si>
  <si>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</si>
  <si>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</si>
  <si>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</si>
  <si>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</si>
  <si>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</si>
  <si>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</si>
  <si>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</si>
  <si>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</si>
  <si>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</si>
  <si>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</si>
  <si>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</si>
  <si>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</si>
  <si>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</si>
  <si>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</si>
  <si>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</si>
  <si>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</si>
  <si>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</si>
  <si>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</si>
  <si>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</si>
  <si>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</si>
  <si>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</si>
  <si>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</si>
  <si>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</si>
  <si>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</si>
  <si>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</si>
  <si>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</si>
  <si>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</si>
  <si>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</si>
  <si>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</si>
  <si>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</si>
  <si>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</si>
  <si>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</si>
  <si>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</si>
  <si>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</si>
  <si>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</si>
  <si>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</si>
  <si>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</si>
  <si>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</si>
  <si>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</si>
  <si>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</si>
  <si>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</si>
  <si>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</si>
  <si>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</si>
  <si>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</si>
  <si>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</si>
  <si>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</si>
  <si>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</si>
  <si>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</si>
  <si>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</si>
  <si>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</si>
  <si>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</si>
  <si>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</si>
  <si>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</si>
  <si>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</si>
  <si>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</si>
  <si>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</si>
  <si>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</si>
  <si>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</si>
  <si>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</si>
  <si>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</si>
  <si>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</si>
  <si>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</si>
  <si>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</si>
  <si>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</si>
  <si>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</si>
  <si>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</si>
  <si>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</si>
  <si>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</si>
  <si>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</si>
  <si>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</si>
  <si>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</si>
  <si>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</si>
  <si>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</si>
  <si>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</si>
  <si>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</si>
  <si>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</si>
  <si>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</si>
  <si>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</si>
  <si>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</si>
  <si>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</si>
  <si>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</si>
  <si>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</si>
  <si>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</si>
  <si>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</si>
  <si>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</si>
  <si>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</si>
  <si>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</si>
  <si>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</si>
  <si>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</si>
  <si>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</si>
  <si>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</si>
  <si>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</si>
  <si>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</si>
  <si>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</si>
  <si>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</si>
  <si>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</si>
  <si>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</si>
  <si>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</si>
  <si>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</si>
  <si>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</si>
  <si>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</si>
  <si>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</si>
  <si>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</si>
  <si>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</si>
  <si>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</si>
  <si>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</si>
  <si>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</si>
  <si>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</si>
  <si>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</si>
  <si>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</si>
  <si>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</si>
  <si>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</si>
  <si>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</si>
  <si>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</si>
  <si>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</si>
  <si>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</si>
  <si>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</si>
  <si>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</si>
  <si>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</si>
  <si>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</si>
  <si>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</si>
  <si>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</si>
  <si>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</si>
  <si>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</si>
  <si>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</si>
  <si>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</si>
  <si>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</si>
  <si>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</si>
  <si>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</si>
  <si>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</si>
  <si>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</si>
  <si>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</si>
  <si>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</si>
  <si>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</si>
  <si>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</si>
  <si>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</si>
  <si>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</si>
  <si>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</si>
  <si>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</si>
  <si>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</si>
  <si>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</si>
  <si>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</si>
  <si>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</si>
  <si>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</si>
  <si>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</si>
  <si>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</si>
  <si>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</si>
  <si>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</si>
  <si>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</si>
  <si>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</si>
  <si>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</si>
  <si>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</si>
  <si>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</si>
  <si>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</si>
  <si>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</si>
  <si>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</si>
  <si>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</si>
  <si>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</si>
  <si>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</si>
  <si>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</si>
  <si>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</si>
  <si>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</si>
  <si>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</si>
  <si>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</si>
  <si>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</si>
  <si>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</si>
  <si>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</si>
  <si>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</si>
  <si>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</si>
  <si>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</si>
  <si>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</si>
  <si>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</si>
  <si>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</si>
  <si>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</si>
  <si>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</si>
  <si>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</si>
  <si>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</si>
  <si>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</si>
  <si>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</si>
  <si>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</si>
  <si>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</si>
  <si>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</si>
  <si>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</si>
  <si>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</si>
  <si>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</si>
  <si>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</si>
  <si>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</si>
  <si>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</si>
  <si>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</si>
  <si>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</si>
  <si>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</si>
  <si>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</si>
  <si>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</si>
  <si>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</si>
  <si>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</si>
  <si>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</si>
  <si>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</si>
  <si>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</si>
  <si>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</si>
  <si>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</si>
  <si>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</si>
  <si>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</si>
  <si>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</si>
  <si>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</si>
  <si>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</si>
  <si>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</si>
  <si>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</si>
  <si>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</si>
  <si>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</si>
  <si>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</si>
  <si>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</si>
  <si>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</si>
  <si>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</si>
  <si>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</si>
  <si>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</si>
  <si>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</si>
  <si>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</si>
  <si>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</si>
  <si>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</si>
  <si>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</si>
  <si>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</si>
  <si>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</si>
  <si>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</si>
  <si>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</si>
  <si>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</si>
  <si>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</si>
  <si>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</si>
  <si>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</si>
  <si>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</si>
  <si>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</si>
  <si>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</si>
  <si>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</si>
  <si>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</si>
  <si>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</si>
  <si>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</si>
  <si>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</si>
  <si>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</si>
  <si>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</si>
  <si>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</si>
  <si>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</si>
  <si>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</si>
  <si>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</si>
  <si>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</si>
  <si>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</si>
  <si>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</si>
  <si>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</si>
  <si>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</si>
  <si>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</si>
  <si>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</si>
  <si>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</si>
  <si>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</si>
  <si>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</si>
  <si>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</si>
  <si>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</si>
  <si>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</si>
  <si>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</si>
  <si>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</si>
  <si>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</si>
  <si>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</si>
  <si>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</si>
  <si>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</si>
  <si>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</si>
  <si>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</si>
  <si>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</si>
  <si>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</si>
  <si>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</si>
  <si>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</si>
  <si>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</si>
  <si>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</si>
  <si>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</si>
  <si>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</si>
  <si>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</si>
  <si>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</si>
  <si>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</si>
  <si>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</si>
  <si>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</si>
  <si>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</si>
  <si>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</si>
  <si>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</si>
  <si>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</si>
  <si>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</si>
  <si>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</si>
  <si>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</si>
  <si>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</si>
  <si>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</si>
  <si>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</si>
  <si>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</si>
  <si>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</si>
  <si>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</si>
  <si>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</si>
  <si>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</si>
  <si>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</si>
  <si>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</si>
  <si>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</si>
  <si>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</si>
  <si>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</si>
  <si>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</si>
  <si>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</si>
  <si>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</si>
  <si>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</si>
  <si>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</si>
  <si>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</si>
  <si>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</si>
  <si>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</si>
  <si>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</si>
  <si>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</si>
  <si>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</si>
  <si>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</si>
  <si>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</si>
  <si>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</si>
  <si>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</si>
  <si>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</si>
  <si>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</si>
  <si>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</si>
  <si>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</si>
  <si>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</si>
  <si>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</si>
  <si>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</si>
  <si>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</si>
  <si>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</si>
  <si>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</si>
  <si>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</si>
  <si>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</si>
  <si>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</si>
  <si>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</si>
  <si>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</si>
  <si>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</si>
  <si>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</si>
  <si>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</si>
  <si>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</si>
  <si>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</si>
  <si>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</si>
  <si>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</si>
  <si>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</si>
  <si>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</si>
  <si>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</si>
  <si>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</si>
  <si>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</si>
  <si>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</si>
  <si>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</si>
  <si>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</si>
  <si>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</si>
  <si>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</si>
  <si>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</si>
  <si>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</si>
  <si>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</si>
  <si>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</si>
  <si>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</si>
  <si>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</si>
  <si>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</si>
  <si>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</si>
  <si>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</si>
  <si>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</si>
  <si>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</si>
  <si>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</si>
  <si>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</si>
  <si>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</si>
  <si>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</si>
  <si>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</si>
  <si>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</si>
  <si>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</si>
  <si>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</si>
  <si>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</si>
  <si>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</si>
  <si>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</si>
  <si>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</si>
  <si>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</si>
  <si>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</si>
  <si>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</si>
  <si>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</si>
  <si>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</si>
  <si>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</si>
  <si>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</si>
  <si>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</si>
  <si>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</si>
  <si>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</si>
  <si>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</si>
  <si>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</si>
  <si>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</si>
  <si>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</si>
  <si>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</si>
  <si>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</si>
  <si>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</si>
  <si>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</si>
  <si>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</si>
  <si>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</si>
  <si>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</si>
  <si>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</si>
  <si>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</si>
  <si>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</si>
  <si>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</si>
  <si>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</si>
  <si>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</si>
  <si>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</si>
  <si>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</si>
  <si>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</si>
  <si>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</si>
  <si>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</si>
  <si>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</si>
  <si>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</si>
  <si>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</si>
  <si>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</si>
  <si>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</si>
  <si>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</si>
  <si>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</si>
  <si>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</si>
  <si>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</si>
  <si>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</si>
  <si>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</si>
  <si>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</si>
  <si>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</si>
  <si>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</si>
  <si>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</si>
  <si>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</si>
  <si>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</si>
  <si>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</si>
  <si>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</si>
  <si>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</si>
  <si>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</si>
  <si>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</si>
  <si>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</si>
  <si>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</si>
  <si>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</si>
  <si>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</si>
  <si>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</si>
  <si>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</si>
  <si>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</si>
  <si>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</si>
  <si>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</si>
  <si>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</si>
  <si>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</si>
  <si>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</si>
  <si>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</si>
  <si>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</si>
  <si>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</si>
  <si>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</si>
  <si>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</si>
  <si>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</si>
  <si>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</si>
  <si>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</si>
  <si>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</si>
  <si>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</si>
  <si>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</si>
  <si>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</si>
  <si>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</si>
  <si>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</si>
  <si>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</si>
  <si>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</si>
  <si>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</si>
  <si>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</si>
  <si>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</si>
  <si>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</si>
  <si>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</si>
  <si>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</si>
  <si>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</si>
  <si>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</si>
  <si>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</si>
  <si>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</si>
  <si>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</si>
  <si>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</si>
  <si>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</si>
  <si>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</si>
  <si>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</si>
  <si>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</si>
  <si>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</si>
  <si>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</si>
  <si>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</si>
  <si>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</si>
  <si>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</si>
  <si>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</si>
  <si>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</si>
  <si>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</si>
  <si>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</si>
  <si>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</si>
  <si>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</si>
  <si>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</si>
  <si>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</si>
  <si>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</si>
  <si>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</si>
  <si>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</si>
  <si>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</si>
  <si>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</si>
  <si>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</si>
  <si>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</si>
  <si>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</si>
  <si>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</si>
  <si>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</si>
  <si>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</si>
  <si>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</si>
  <si>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</si>
  <si>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</si>
  <si>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</si>
  <si>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</si>
  <si>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</si>
  <si>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</si>
  <si>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</si>
  <si>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</si>
  <si>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</si>
  <si>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</si>
  <si>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</si>
  <si>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</si>
  <si>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</si>
  <si>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</si>
  <si>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</si>
  <si>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</si>
  <si>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</si>
  <si>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</si>
  <si>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</si>
  <si>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</si>
  <si>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</si>
  <si>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</si>
  <si>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</si>
  <si>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</si>
  <si>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</si>
  <si>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</si>
  <si>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</si>
  <si>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</si>
  <si>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</si>
  <si>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</si>
  <si>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</si>
  <si>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</si>
  <si>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</si>
  <si>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</si>
  <si>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</si>
  <si>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</si>
  <si>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</si>
  <si>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</si>
  <si>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</si>
  <si>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</si>
  <si>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</si>
  <si>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</si>
  <si>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</si>
  <si>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</si>
  <si>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</si>
  <si>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</si>
  <si>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</si>
  <si>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</si>
  <si>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</si>
  <si>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</si>
  <si>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</si>
  <si>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</si>
  <si>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</si>
  <si>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</si>
  <si>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</si>
  <si>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</si>
  <si>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</si>
  <si>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</si>
  <si>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</si>
  <si>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</si>
  <si>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</si>
  <si>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</si>
  <si>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</si>
  <si>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</si>
  <si>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</si>
  <si>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</si>
  <si>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</si>
  <si>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</si>
  <si>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</si>
  <si>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</si>
  <si>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</si>
  <si>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</si>
  <si>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</si>
  <si>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</si>
  <si>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</si>
  <si>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</si>
  <si>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</si>
  <si>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</si>
  <si>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</si>
  <si>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</si>
  <si>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</si>
  <si>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</si>
  <si>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</si>
  <si>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</si>
  <si>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</si>
  <si>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</si>
  <si>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</si>
  <si>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</si>
  <si>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</si>
  <si>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</si>
  <si>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</si>
  <si>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</si>
  <si>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</si>
  <si>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</si>
  <si>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</si>
  <si>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</si>
  <si>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</si>
  <si>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</si>
  <si>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</si>
  <si>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</si>
  <si>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</si>
  <si>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</si>
  <si>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</si>
  <si>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</si>
  <si>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</si>
  <si>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</si>
  <si>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</si>
  <si>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</si>
  <si>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</si>
  <si>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</si>
  <si>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</si>
  <si>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</si>
  <si>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</si>
  <si>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</si>
  <si>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</si>
  <si>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</si>
  <si>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</si>
  <si>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</si>
  <si>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</si>
  <si>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</si>
  <si>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</si>
  <si>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</si>
  <si>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</si>
  <si>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</si>
  <si>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</si>
  <si>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</si>
  <si>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</si>
  <si>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</si>
  <si>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</si>
  <si>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</si>
  <si>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</si>
  <si>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</si>
  <si>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</si>
  <si>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</si>
  <si>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</si>
  <si>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</si>
  <si>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</si>
  <si>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</si>
  <si>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</si>
  <si>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</si>
  <si>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</si>
  <si>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</si>
  <si>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</si>
  <si>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</si>
  <si>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</si>
  <si>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</si>
  <si>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</si>
  <si>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</si>
  <si>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</si>
  <si>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</si>
  <si>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</si>
  <si>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</si>
  <si>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</si>
  <si>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</si>
  <si>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</si>
  <si>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</si>
  <si>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</si>
  <si>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</si>
  <si>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</si>
  <si>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</si>
  <si>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</si>
  <si>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</si>
  <si>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</si>
  <si>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</si>
  <si>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</si>
  <si>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</si>
  <si>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</si>
  <si>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</si>
  <si>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</si>
  <si>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</si>
  <si>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</si>
  <si>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</si>
  <si>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</si>
  <si>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</si>
  <si>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</si>
  <si>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</si>
  <si>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</si>
  <si>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</si>
  <si>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</si>
  <si>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</si>
  <si>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</si>
  <si>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</si>
  <si>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</si>
  <si>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</si>
  <si>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</si>
  <si>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</si>
  <si>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</si>
  <si>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</si>
  <si>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</si>
  <si>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</si>
  <si>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</si>
  <si>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</si>
  <si>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</si>
  <si>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</si>
  <si>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</si>
  <si>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</si>
  <si>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</si>
  <si>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</si>
  <si>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</si>
  <si>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</si>
  <si>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</si>
  <si>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</si>
  <si>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</si>
  <si>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</si>
  <si>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</si>
  <si>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</si>
  <si>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</si>
  <si>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</si>
  <si>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</si>
  <si>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</si>
  <si>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</si>
  <si>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</si>
  <si>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</si>
  <si>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</si>
  <si>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</si>
  <si>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</si>
  <si>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</si>
  <si>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</si>
  <si>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</si>
  <si>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</si>
  <si>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</si>
  <si>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</si>
  <si>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</si>
  <si>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</si>
  <si>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</si>
  <si>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</si>
  <si>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</si>
  <si>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</si>
  <si>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</si>
  <si>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</si>
  <si>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</si>
  <si>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</si>
  <si>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</si>
  <si>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</si>
  <si>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</si>
  <si>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</si>
  <si>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</si>
  <si>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</si>
  <si>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</si>
  <si>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</si>
  <si>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</si>
  <si>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</si>
  <si>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</si>
  <si>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</si>
  <si>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</si>
  <si>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</si>
  <si>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</si>
  <si>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</si>
  <si>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</si>
  <si>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</si>
  <si>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</si>
  <si>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</si>
  <si>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</si>
  <si>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</si>
  <si>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</si>
  <si>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</si>
  <si>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</si>
  <si>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</si>
  <si>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</si>
  <si>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</si>
  <si>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</si>
  <si>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</si>
  <si>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</si>
  <si>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</si>
  <si>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</si>
  <si>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</si>
  <si>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</si>
  <si>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</si>
  <si>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</si>
  <si>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</si>
  <si>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</si>
  <si>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</si>
  <si>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</si>
  <si>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</si>
  <si>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</si>
  <si>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</si>
  <si>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</si>
  <si>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</si>
  <si>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</si>
  <si>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</si>
  <si>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</si>
  <si>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</si>
  <si>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</si>
  <si>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</si>
  <si>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</si>
  <si>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</si>
  <si>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</si>
  <si>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</si>
  <si>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</si>
  <si>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</si>
  <si>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</si>
  <si>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</si>
  <si>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</si>
  <si>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</si>
  <si>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</si>
  <si>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</si>
  <si>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</si>
  <si>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</si>
  <si>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</si>
  <si>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</si>
  <si>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</si>
  <si>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</si>
  <si>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</si>
  <si>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</si>
  <si>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</si>
  <si>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</si>
  <si>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</si>
  <si>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</si>
  <si>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</si>
  <si>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</si>
  <si>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</si>
  <si>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</si>
  <si>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</si>
  <si>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</si>
  <si>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</si>
  <si>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</si>
  <si>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</si>
  <si>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</si>
  <si>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</si>
  <si>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</si>
  <si>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</si>
  <si>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</si>
  <si>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</si>
  <si>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</si>
  <si>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</si>
  <si>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</si>
  <si>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</si>
  <si>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</si>
  <si>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</si>
  <si>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</si>
  <si>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</si>
  <si>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</si>
  <si>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</si>
  <si>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</si>
  <si>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</si>
  <si>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</si>
  <si>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</si>
  <si>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</si>
  <si>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</si>
  <si>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</si>
  <si>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</si>
  <si>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</si>
  <si>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</si>
  <si>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</si>
  <si>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</si>
  <si>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</si>
  <si>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</si>
  <si>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</si>
  <si>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</si>
  <si>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</si>
  <si>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</si>
  <si>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</si>
  <si>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</si>
  <si>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</si>
  <si>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</si>
  <si>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</si>
  <si>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</si>
  <si>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</si>
  <si>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</si>
  <si>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</si>
  <si>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</si>
  <si>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</si>
  <si>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</si>
  <si>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</si>
  <si>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</si>
  <si>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</si>
  <si>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</si>
  <si>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</si>
  <si>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</si>
  <si>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</si>
  <si>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</si>
  <si>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</si>
  <si>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</si>
  <si>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</si>
  <si>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</si>
  <si>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</si>
  <si>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</si>
  <si>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</si>
  <si>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</si>
  <si>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</si>
  <si>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</si>
  <si>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</si>
  <si>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</si>
  <si>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</si>
  <si>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</si>
  <si>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</si>
  <si>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</si>
  <si>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</si>
  <si>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</si>
  <si>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</si>
  <si>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</si>
  <si>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</si>
  <si>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</si>
  <si>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</si>
  <si>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</si>
  <si>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</si>
  <si>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</si>
  <si>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</si>
  <si>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</si>
  <si>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</si>
  <si>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</si>
  <si>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</si>
  <si>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</si>
  <si>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</si>
  <si>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</si>
  <si>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</si>
  <si>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</si>
  <si>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</si>
  <si>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</si>
  <si>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</si>
  <si>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</si>
  <si>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</si>
  <si>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</si>
  <si>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</si>
  <si>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</si>
  <si>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</si>
  <si>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</si>
  <si>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</si>
  <si>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</si>
  <si>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</si>
  <si>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</si>
  <si>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</si>
  <si>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</si>
  <si>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</si>
  <si>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</si>
  <si>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</si>
  <si>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</si>
  <si>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</si>
  <si>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</si>
  <si>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</si>
  <si>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</si>
  <si>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</si>
  <si>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</si>
  <si>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</si>
  <si>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</si>
  <si>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</si>
  <si>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</si>
  <si>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</si>
  <si>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</si>
  <si>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</si>
  <si>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</si>
  <si>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</si>
  <si>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</si>
  <si>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</si>
  <si>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</si>
  <si>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</si>
  <si>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</si>
  <si>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</si>
  <si>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</si>
  <si>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</si>
  <si>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</si>
  <si>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</si>
  <si>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</si>
  <si>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</si>
  <si>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</si>
  <si>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</si>
  <si>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</si>
  <si>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</si>
  <si>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</si>
  <si>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</si>
  <si>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</si>
  <si>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</si>
  <si>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</si>
  <si>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</si>
  <si>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</si>
  <si>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</si>
  <si>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</si>
  <si>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</si>
  <si>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</si>
  <si>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</si>
  <si>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</si>
  <si>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</si>
  <si>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</si>
  <si>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</si>
  <si>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</si>
  <si>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</si>
  <si>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</si>
  <si>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</si>
  <si>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</si>
  <si>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</si>
  <si>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</si>
  <si>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</si>
  <si>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</si>
  <si>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</si>
  <si>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</si>
  <si>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</si>
  <si>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</si>
  <si>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</si>
  <si>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</si>
  <si>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</si>
  <si>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</si>
  <si>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</si>
  <si>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</si>
  <si>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</si>
  <si>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</si>
  <si>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</si>
  <si>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</si>
  <si>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</si>
  <si>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</si>
  <si>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</si>
  <si>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</si>
  <si>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</si>
  <si>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</si>
  <si>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</si>
  <si>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</si>
  <si>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</si>
  <si>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</si>
  <si>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</si>
  <si>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</si>
  <si>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</si>
  <si>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</si>
  <si>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</si>
  <si>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</si>
  <si>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</si>
  <si>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</si>
  <si>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</si>
  <si>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</si>
  <si>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</si>
  <si>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</si>
  <si>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</si>
  <si>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</si>
  <si>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</si>
  <si>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</si>
  <si>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</si>
  <si>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</si>
  <si>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</si>
  <si>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</si>
  <si>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</si>
  <si>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</si>
  <si>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</si>
  <si>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</si>
  <si>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</si>
  <si>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</si>
  <si>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</si>
  <si>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</si>
  <si>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</si>
  <si>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</si>
  <si>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</si>
  <si>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</si>
  <si>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</si>
  <si>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</si>
  <si>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</si>
  <si>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</si>
  <si>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</si>
  <si>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</si>
  <si>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</si>
  <si>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</si>
  <si>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</si>
  <si>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</si>
  <si>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</si>
  <si>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</si>
  <si>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</si>
  <si>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</si>
  <si>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</si>
  <si>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</si>
  <si>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</si>
  <si>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</si>
  <si>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</si>
  <si>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</si>
  <si>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</si>
  <si>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</si>
  <si>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</si>
  <si>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</si>
  <si>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</si>
  <si>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</si>
  <si>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</si>
  <si>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</si>
  <si>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</si>
  <si>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</si>
  <si>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</si>
  <si>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</si>
  <si>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</si>
  <si>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</si>
  <si>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</si>
  <si>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</si>
  <si>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</si>
  <si>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</si>
  <si>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</si>
  <si>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</si>
  <si>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</si>
  <si>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</si>
  <si>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</si>
  <si>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</si>
  <si>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</si>
  <si>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</si>
  <si>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</si>
  <si>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</si>
  <si>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</si>
  <si>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</si>
  <si>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</si>
  <si>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</si>
  <si>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</si>
  <si>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</si>
  <si>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</si>
  <si>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</si>
  <si>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</si>
  <si>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</si>
  <si>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</si>
  <si>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</si>
  <si>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</si>
  <si>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</si>
  <si>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</si>
  <si>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</si>
  <si>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</si>
  <si>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</si>
  <si>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</si>
  <si>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</si>
  <si>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</si>
  <si>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</si>
  <si>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</si>
  <si>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</si>
  <si>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</si>
  <si>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</si>
  <si>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</si>
  <si>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</si>
  <si>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</si>
  <si>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</si>
  <si>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</si>
  <si>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</si>
  <si>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</si>
  <si>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</si>
  <si>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</si>
  <si>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</si>
  <si>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</si>
  <si>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</si>
  <si>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</si>
  <si>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</si>
  <si>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</si>
  <si>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</si>
  <si>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</si>
  <si>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</si>
  <si>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</si>
  <si>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</si>
  <si>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</si>
  <si>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</si>
  <si>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</si>
  <si>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</si>
  <si>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</si>
  <si>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</si>
  <si>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</si>
  <si>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</si>
  <si>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</si>
  <si>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</si>
  <si>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</si>
  <si>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</si>
  <si>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</si>
  <si>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</si>
  <si>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</si>
  <si>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</si>
  <si>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</si>
  <si>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</si>
  <si>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</si>
  <si>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</si>
  <si>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</si>
  <si>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</si>
  <si>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</si>
  <si>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</si>
  <si>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</si>
  <si>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</si>
  <si>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</si>
  <si>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</si>
  <si>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</si>
  <si>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</si>
  <si>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</si>
  <si>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</si>
  <si>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</si>
  <si>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</si>
  <si>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</si>
  <si>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</si>
  <si>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</si>
  <si>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</si>
  <si>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</si>
  <si>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</si>
  <si>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</si>
  <si>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</si>
  <si>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</si>
  <si>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</si>
  <si>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</si>
  <si>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</si>
  <si>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</si>
  <si>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</si>
  <si>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</si>
  <si>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</si>
  <si>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</si>
  <si>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</si>
  <si>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</si>
  <si>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</si>
  <si>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</si>
  <si>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</si>
  <si>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</si>
  <si>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</si>
  <si>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</si>
  <si>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</si>
  <si>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</si>
  <si>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</si>
  <si>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</si>
  <si>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</si>
  <si>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</si>
  <si>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</si>
  <si>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</si>
  <si>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</si>
  <si>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</si>
  <si>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</si>
  <si>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</si>
  <si>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</si>
  <si>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</si>
  <si>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</si>
  <si>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</si>
  <si>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</si>
  <si>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</si>
  <si>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</si>
  <si>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</si>
  <si>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</si>
  <si>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</si>
  <si>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</si>
  <si>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</si>
  <si>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</si>
  <si>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</si>
  <si>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</si>
  <si>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</si>
  <si>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</si>
  <si>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</si>
  <si>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</si>
  <si>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</si>
  <si>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</si>
  <si>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</si>
  <si>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</si>
  <si>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</si>
  <si>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</si>
  <si>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</si>
  <si>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</si>
  <si>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</si>
  <si>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</si>
  <si>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</si>
  <si>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</si>
  <si>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</si>
  <si>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</si>
  <si>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</si>
  <si>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</si>
  <si>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</si>
  <si>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</si>
  <si>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</si>
  <si>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</si>
  <si>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</si>
  <si>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</si>
  <si>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</si>
  <si>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</si>
  <si>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</si>
  <si>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</si>
  <si>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</si>
  <si>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</si>
  <si>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</si>
  <si>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</si>
  <si>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</si>
  <si>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</si>
  <si>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</si>
  <si>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</si>
  <si>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</si>
  <si>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</si>
  <si>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</si>
  <si>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</si>
  <si>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</si>
  <si>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</si>
  <si>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</si>
  <si>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</si>
  <si>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</si>
  <si>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</si>
  <si>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</si>
  <si>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</si>
  <si>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</si>
  <si>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</si>
  <si>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</si>
  <si>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</si>
  <si>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</si>
  <si>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</si>
  <si>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</si>
  <si>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</si>
  <si>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</si>
  <si>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</si>
  <si>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</si>
  <si>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</si>
  <si>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</si>
  <si>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</si>
  <si>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</si>
  <si>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</si>
  <si>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</si>
  <si>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</si>
  <si>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</si>
  <si>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</si>
  <si>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</si>
  <si>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</si>
  <si>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</si>
  <si>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</si>
  <si>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</si>
  <si>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</si>
  <si>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</si>
  <si>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</si>
  <si>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</si>
  <si>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</si>
  <si>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</si>
  <si>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</si>
  <si>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</si>
  <si>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</si>
  <si>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</si>
  <si>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</si>
  <si>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</si>
  <si>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</si>
  <si>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</si>
  <si>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</si>
  <si>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</si>
  <si>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</si>
  <si>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</si>
  <si>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</si>
  <si>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</si>
  <si>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</si>
  <si>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</si>
  <si>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</si>
  <si>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</si>
  <si>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</si>
  <si>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</si>
  <si>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</si>
  <si>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</si>
  <si>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</si>
  <si>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</si>
  <si>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</si>
  <si>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</si>
  <si>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</si>
  <si>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</si>
  <si>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</si>
  <si>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</si>
  <si>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</si>
  <si>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</si>
  <si>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</si>
  <si>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</si>
  <si>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</si>
  <si>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</si>
  <si>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</si>
  <si>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</si>
  <si>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</si>
  <si>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</si>
  <si>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</si>
  <si>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</si>
  <si>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</si>
  <si>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</si>
  <si>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</si>
  <si>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</si>
  <si>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</si>
  <si>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</si>
  <si>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</si>
  <si>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</si>
  <si>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</si>
  <si>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</si>
  <si>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</si>
  <si>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</si>
  <si>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</si>
  <si>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</si>
  <si>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</si>
  <si>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</si>
  <si>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</si>
  <si>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</si>
  <si>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</si>
  <si>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</si>
  <si>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</si>
  <si>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</si>
  <si>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</si>
  <si>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</si>
  <si>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</si>
  <si>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</si>
  <si>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</si>
  <si>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</si>
  <si>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</si>
  <si>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</si>
  <si>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</si>
  <si>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</si>
  <si>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</si>
  <si>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</si>
  <si>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</si>
  <si>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</si>
  <si>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</si>
  <si>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</si>
  <si>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</si>
  <si>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</si>
  <si>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</si>
  <si>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</si>
  <si>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</si>
  <si>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</si>
  <si>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</si>
  <si>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</si>
  <si>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</si>
  <si>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</si>
  <si>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</si>
  <si>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</si>
  <si>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</si>
  <si>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</si>
  <si>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</si>
  <si>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</si>
  <si>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</si>
  <si>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</si>
  <si>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</si>
  <si>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</si>
  <si>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</si>
  <si>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</si>
  <si>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</si>
  <si>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</si>
  <si>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</si>
  <si>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</si>
  <si>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</si>
  <si>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</si>
  <si>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</si>
  <si>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</si>
  <si>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</si>
  <si>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</si>
  <si>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</si>
  <si>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</si>
  <si>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</si>
  <si>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</si>
  <si>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</si>
  <si>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</si>
  <si>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</si>
  <si>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</si>
  <si>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</si>
  <si>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</si>
  <si>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</si>
  <si>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</si>
  <si>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</si>
  <si>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</si>
  <si>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</si>
  <si>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</si>
  <si>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</si>
  <si>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</si>
  <si>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</si>
  <si>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</si>
  <si>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</si>
  <si>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</si>
  <si>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</si>
  <si>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</si>
  <si>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</si>
  <si>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</si>
  <si>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</si>
  <si>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</si>
  <si>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</si>
  <si>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</si>
  <si>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</si>
  <si>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</si>
  <si>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</si>
  <si>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</si>
  <si>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</si>
  <si>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</si>
  <si>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</si>
  <si>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</si>
  <si>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</si>
  <si>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</si>
  <si>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</si>
  <si>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</si>
  <si>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</si>
  <si>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</si>
  <si>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</si>
  <si>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</si>
  <si>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</si>
  <si>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</si>
  <si>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</si>
  <si>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</si>
  <si>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</si>
  <si>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</si>
  <si>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</si>
  <si>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</si>
  <si>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</si>
  <si>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</si>
  <si>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</si>
  <si>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</si>
  <si>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</si>
  <si>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</si>
  <si>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</si>
  <si>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</si>
  <si>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</si>
  <si>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</si>
  <si>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</si>
  <si>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</si>
  <si>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</si>
  <si>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</si>
  <si>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</si>
  <si>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</si>
  <si>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</si>
  <si>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</si>
  <si>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</si>
  <si>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</si>
  <si>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</si>
  <si>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</si>
  <si>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</si>
  <si>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</si>
  <si>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</si>
  <si>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</si>
  <si>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</si>
  <si>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</si>
  <si>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</si>
  <si>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</si>
  <si>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</si>
  <si>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</si>
  <si>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</si>
  <si>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</si>
  <si>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</si>
  <si>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</si>
  <si>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</si>
  <si>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</si>
  <si>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</si>
  <si>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</si>
  <si>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</si>
  <si>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</si>
  <si>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</si>
  <si>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</si>
  <si>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</si>
  <si>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</si>
  <si>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</si>
  <si>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</si>
  <si>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</si>
  <si>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</si>
  <si>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</si>
  <si>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</si>
  <si>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</si>
  <si>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</si>
  <si>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</si>
  <si>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</si>
  <si>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</si>
  <si>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</si>
  <si>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</si>
  <si>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</si>
  <si>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</si>
  <si>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</si>
  <si>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</si>
  <si>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</si>
  <si>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</si>
  <si>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</si>
  <si>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</si>
  <si>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</si>
  <si>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</si>
  <si>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</si>
  <si>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</si>
  <si>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</si>
  <si>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</si>
  <si>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</si>
  <si>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</si>
  <si>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</si>
  <si>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</si>
  <si>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</si>
  <si>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</si>
  <si>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</si>
  <si>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</si>
  <si>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</si>
  <si>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</si>
  <si>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</si>
  <si>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</si>
  <si>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</si>
  <si>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</si>
  <si>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</si>
  <si>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</si>
  <si>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</si>
  <si>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</si>
  <si>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</si>
  <si>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</si>
  <si>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</si>
  <si>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</si>
  <si>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</si>
  <si>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</si>
  <si>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</si>
  <si>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</si>
  <si>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</si>
  <si>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</si>
  <si>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</si>
  <si>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</si>
  <si>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</si>
  <si>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</si>
  <si>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</si>
  <si>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</si>
  <si>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</si>
  <si>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</si>
  <si>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</si>
  <si>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</si>
  <si>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</si>
  <si>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</si>
  <si>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</si>
  <si>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</si>
  <si>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</si>
  <si>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</si>
  <si>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</si>
  <si>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</si>
  <si>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</si>
  <si>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</si>
  <si>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</si>
  <si>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</si>
  <si>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</si>
  <si>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</si>
  <si>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</si>
  <si>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</si>
  <si>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</si>
  <si>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</si>
  <si>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</si>
  <si>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</si>
  <si>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</si>
  <si>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</si>
  <si>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</si>
  <si>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</si>
  <si>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</si>
  <si>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</si>
  <si>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</si>
  <si>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</si>
  <si>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</si>
  <si>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</si>
  <si>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</si>
  <si>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</si>
  <si>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</si>
  <si>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</si>
  <si>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</si>
  <si>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</si>
  <si>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</si>
  <si>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</si>
  <si>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</si>
  <si>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</si>
  <si>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</si>
  <si>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</si>
  <si>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</si>
  <si>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</si>
  <si>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</si>
  <si>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</si>
  <si>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</si>
  <si>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</si>
  <si>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</si>
  <si>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</si>
  <si>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</si>
  <si>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</si>
  <si>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</si>
  <si>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</si>
  <si>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</si>
  <si>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</si>
  <si>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</si>
  <si>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</si>
  <si>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</si>
  <si>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</si>
  <si>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</si>
  <si>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</si>
  <si>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</si>
  <si>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</si>
  <si>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</si>
  <si>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</si>
  <si>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</si>
  <si>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</si>
  <si>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</si>
  <si>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</si>
  <si>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</si>
  <si>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</si>
  <si>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</si>
  <si>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</si>
  <si>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</si>
  <si>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</si>
  <si>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</si>
  <si>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</si>
  <si>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</si>
  <si>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</si>
  <si>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</si>
  <si>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</si>
  <si>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</si>
  <si>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</si>
  <si>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</si>
  <si>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</si>
  <si>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</si>
  <si>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</si>
  <si>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</si>
  <si>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</si>
  <si>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</si>
  <si>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</si>
  <si>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</si>
  <si>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</si>
  <si>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</si>
  <si>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</si>
  <si>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</si>
  <si>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</si>
  <si>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</si>
  <si>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</si>
  <si>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</si>
  <si>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</si>
  <si>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</si>
  <si>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</si>
  <si>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</si>
  <si>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</si>
  <si>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</si>
  <si>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</si>
  <si>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</si>
  <si>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</si>
  <si>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</si>
  <si>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</si>
  <si>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</si>
  <si>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</si>
  <si>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</si>
  <si>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</si>
  <si>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</si>
  <si>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</si>
  <si>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</si>
  <si>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</si>
  <si>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</si>
  <si>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</si>
  <si>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</si>
  <si>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</si>
  <si>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</si>
  <si>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</si>
  <si>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</si>
  <si>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</si>
  <si>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</si>
  <si>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</si>
  <si>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</si>
  <si>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</si>
  <si>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</si>
  <si>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</si>
  <si>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</si>
  <si>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</si>
  <si>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</si>
  <si>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</si>
  <si>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</si>
  <si>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</si>
  <si>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</si>
  <si>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</si>
  <si>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</si>
  <si>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</si>
  <si>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</si>
  <si>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</si>
  <si>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</si>
  <si>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</si>
  <si>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</si>
  <si>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</si>
  <si>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</si>
  <si>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</si>
  <si>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</si>
  <si>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</si>
  <si>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</si>
  <si>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</si>
  <si>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</si>
  <si>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</si>
  <si>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</si>
  <si>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</si>
  <si>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</si>
  <si>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</si>
  <si>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</si>
  <si>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</si>
  <si>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</si>
  <si>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</si>
  <si>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</si>
  <si>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</si>
  <si>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</si>
  <si>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</si>
  <si>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</si>
  <si>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</si>
  <si>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</si>
  <si>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</si>
  <si>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</si>
  <si>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</si>
  <si>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</si>
  <si>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</si>
  <si>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</si>
  <si>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</si>
  <si>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</si>
  <si>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</si>
  <si>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</si>
  <si>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</si>
  <si>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</si>
  <si>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</si>
  <si>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</si>
  <si>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</si>
  <si>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</si>
  <si>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</si>
  <si>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</si>
  <si>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</si>
  <si>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</si>
  <si>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</si>
  <si>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</si>
  <si>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</si>
  <si>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</si>
  <si>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</si>
  <si>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</si>
  <si>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</si>
  <si>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</si>
  <si>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</si>
  <si>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</si>
  <si>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</si>
  <si>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</si>
  <si>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</si>
  <si>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</si>
  <si>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</si>
  <si>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</si>
  <si>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</si>
  <si>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</si>
  <si>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</si>
  <si>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</si>
  <si>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</si>
  <si>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</si>
  <si>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</si>
  <si>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</si>
  <si>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</si>
  <si>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</si>
  <si>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</si>
  <si>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</si>
  <si>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</si>
  <si>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</si>
  <si>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</si>
  <si>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</si>
  <si>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</si>
  <si>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</si>
  <si>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</si>
  <si>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</si>
  <si>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</si>
  <si>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</si>
  <si>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</si>
  <si>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</si>
  <si>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</si>
  <si>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</si>
  <si>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</si>
  <si>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</si>
  <si>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</si>
  <si>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</si>
  <si>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</si>
  <si>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</si>
  <si>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</si>
  <si>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</si>
  <si>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</si>
  <si>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</si>
  <si>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</si>
  <si>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</si>
  <si>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</si>
  <si>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</si>
  <si>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</si>
  <si>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</si>
  <si>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</si>
  <si>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</si>
  <si>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</si>
  <si>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</si>
  <si>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</si>
  <si>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</si>
  <si>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</si>
  <si>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</si>
  <si>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</si>
  <si>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</si>
  <si>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</si>
  <si>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</si>
  <si>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</si>
  <si>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</si>
  <si>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</si>
  <si>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</si>
  <si>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</si>
  <si>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</si>
  <si>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</si>
  <si>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</si>
  <si>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</si>
  <si>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</si>
  <si>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</si>
  <si>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</si>
  <si>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</si>
  <si>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</si>
  <si>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</si>
  <si>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</si>
  <si>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</si>
  <si>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</si>
  <si>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</si>
  <si>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</si>
  <si>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</si>
  <si>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</si>
  <si>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</si>
  <si>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</si>
  <si>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</si>
  <si>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</si>
  <si>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</si>
  <si>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</si>
  <si>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</si>
  <si>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</si>
  <si>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</si>
  <si>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</si>
  <si>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</si>
  <si>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</si>
  <si>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</si>
  <si>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</si>
  <si>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</si>
  <si>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</si>
  <si>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</si>
  <si>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</si>
  <si>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</si>
  <si>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</si>
  <si>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</si>
  <si>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</si>
  <si>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</si>
  <si>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</si>
  <si>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</si>
  <si>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</si>
  <si>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</si>
  <si>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</si>
  <si>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</si>
  <si>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</si>
  <si>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</si>
  <si>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</si>
  <si>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</si>
  <si>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</si>
  <si>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</si>
  <si>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</si>
  <si>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</si>
  <si>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</si>
  <si>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</si>
  <si>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</si>
  <si>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</si>
  <si>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</si>
  <si>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</si>
  <si>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</si>
  <si>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</si>
  <si>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</si>
  <si>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</si>
  <si>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</si>
  <si>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</si>
  <si>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</si>
  <si>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</si>
  <si>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</si>
  <si>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</si>
  <si>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</si>
  <si>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</si>
  <si>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</si>
  <si>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</si>
  <si>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</si>
  <si>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</si>
  <si>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</si>
  <si>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</si>
  <si>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</si>
  <si>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</si>
  <si>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</si>
  <si>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</si>
  <si>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</si>
  <si>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</si>
  <si>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</si>
  <si>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</si>
  <si>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</si>
  <si>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</si>
  <si>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</si>
  <si>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</si>
  <si>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</si>
  <si>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</si>
  <si>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</si>
  <si>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</si>
  <si>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</si>
  <si>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</si>
  <si>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</si>
  <si>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</si>
  <si>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</si>
  <si>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</si>
  <si>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</si>
  <si>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</si>
  <si>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</si>
  <si>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</si>
  <si>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</si>
  <si>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</si>
  <si>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</si>
  <si>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</si>
  <si>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</si>
  <si>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</si>
  <si>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</si>
  <si>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</si>
  <si>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</si>
  <si>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</si>
  <si>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</si>
  <si>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</si>
  <si>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</si>
  <si>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</si>
  <si>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</si>
  <si>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</si>
  <si>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</si>
  <si>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</si>
  <si>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</si>
  <si>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</si>
  <si>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</si>
  <si>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</si>
  <si>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</si>
  <si>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</si>
  <si>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</si>
  <si>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</si>
  <si>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</si>
  <si>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</si>
  <si>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</si>
  <si>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</si>
  <si>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</si>
  <si>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</si>
  <si>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</si>
  <si>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</si>
  <si>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</si>
  <si>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</si>
  <si>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</si>
  <si>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</si>
  <si>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</si>
  <si>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</si>
  <si>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</si>
  <si>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</si>
  <si>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</si>
  <si>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</si>
  <si>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</si>
  <si>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</si>
  <si>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</si>
  <si>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</si>
  <si>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</si>
  <si>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</si>
  <si>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</si>
  <si>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</si>
  <si>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</si>
  <si>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</si>
  <si>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</si>
  <si>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</si>
  <si>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</si>
  <si>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</si>
  <si>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</si>
  <si>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</si>
  <si>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</si>
  <si>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</si>
  <si>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</si>
  <si>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</si>
  <si>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</si>
  <si>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</si>
  <si>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</si>
  <si>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</si>
  <si>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</si>
  <si>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</si>
  <si>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</si>
  <si>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</si>
  <si>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</si>
  <si>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</si>
  <si>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</si>
  <si>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</si>
  <si>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</si>
  <si>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</si>
  <si>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</si>
  <si>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</si>
  <si>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</si>
  <si>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</si>
  <si>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</si>
  <si>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</si>
  <si>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</si>
  <si>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</si>
  <si>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</si>
  <si>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</si>
  <si>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</si>
  <si>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</si>
  <si>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</si>
  <si>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</si>
  <si>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</si>
  <si>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</si>
  <si>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</si>
  <si>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</si>
  <si>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</si>
  <si>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</si>
  <si>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</si>
  <si>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</si>
  <si>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</si>
  <si>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</si>
  <si>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</si>
  <si>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</si>
  <si>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</si>
  <si>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</si>
  <si>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</si>
  <si>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</si>
  <si>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</si>
  <si>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</si>
  <si>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</si>
  <si>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</si>
  <si>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</si>
  <si>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</si>
  <si>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</si>
  <si>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</si>
  <si>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</si>
  <si>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</si>
  <si>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</si>
  <si>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</si>
  <si>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</si>
  <si>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</si>
  <si>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</si>
  <si>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</si>
  <si>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</si>
  <si>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</si>
  <si>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</si>
  <si>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</si>
  <si>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</si>
  <si>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</si>
  <si>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</si>
  <si>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</si>
  <si>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</si>
  <si>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</si>
  <si>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</si>
  <si>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</si>
  <si>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</si>
  <si>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</si>
  <si>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</si>
  <si>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</si>
  <si>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</si>
  <si>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</si>
  <si>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</si>
  <si>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</si>
  <si>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</si>
  <si>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</si>
  <si>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</si>
  <si>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</si>
  <si>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</si>
  <si>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</si>
  <si>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</si>
  <si>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</si>
  <si>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</si>
  <si>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</si>
  <si>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</si>
  <si>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</si>
  <si>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</si>
  <si>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</si>
  <si>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</si>
  <si>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</si>
  <si>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</si>
  <si>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</si>
  <si>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</si>
  <si>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</si>
  <si>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</si>
  <si>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</si>
  <si>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</si>
  <si>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</si>
  <si>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</si>
  <si>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</si>
  <si>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</si>
  <si>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</si>
  <si>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</si>
  <si>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</si>
  <si>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</si>
  <si>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</si>
  <si>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</si>
  <si>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</si>
  <si>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</si>
  <si>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</si>
  <si>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</si>
  <si>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</si>
  <si>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</si>
  <si>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</si>
  <si>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</si>
  <si>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</si>
  <si>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</si>
  <si>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</si>
  <si>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</si>
  <si>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</si>
  <si>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</si>
  <si>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</si>
  <si>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</si>
  <si>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</si>
  <si>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</si>
  <si>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</si>
  <si>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</si>
  <si>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</si>
  <si>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</si>
  <si>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</si>
  <si>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</si>
  <si>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</si>
  <si>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</si>
  <si>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</si>
  <si>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</si>
  <si>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</si>
  <si>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</si>
  <si>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</si>
  <si>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</si>
  <si>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</si>
  <si>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</si>
  <si>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</si>
  <si>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</si>
  <si>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</si>
  <si>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</si>
  <si>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</si>
  <si>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</si>
  <si>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</si>
  <si>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</si>
  <si>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</si>
  <si>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</si>
  <si>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</si>
  <si>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</si>
  <si>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</si>
  <si>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</si>
  <si>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</si>
  <si>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</si>
  <si>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</si>
  <si>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</si>
  <si>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</si>
  <si>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</si>
  <si>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</si>
  <si>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</si>
  <si>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</si>
  <si>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</si>
  <si>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</si>
  <si>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</si>
  <si>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</si>
  <si>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</si>
  <si>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</si>
  <si>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</si>
  <si>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</si>
  <si>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</si>
  <si>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</si>
  <si>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</si>
  <si>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</si>
  <si>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</si>
  <si>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</si>
  <si>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</si>
  <si>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</si>
  <si>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</si>
  <si>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</si>
  <si>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</si>
  <si>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</si>
  <si>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</si>
  <si>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</si>
  <si>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</si>
  <si>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</si>
  <si>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</si>
  <si>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</si>
  <si>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</si>
  <si>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</si>
  <si>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</si>
  <si>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</si>
  <si>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</si>
  <si>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</si>
  <si>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</si>
  <si>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</si>
  <si>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</si>
  <si>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</si>
  <si>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</si>
  <si>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</si>
  <si>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</si>
  <si>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</si>
  <si>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</si>
  <si>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</si>
  <si>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</si>
  <si>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</si>
  <si>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</si>
  <si>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</si>
  <si>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</si>
  <si>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</si>
  <si>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</si>
  <si>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</si>
  <si>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</si>
  <si>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</si>
  <si>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</si>
  <si>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</si>
  <si>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</si>
  <si>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</si>
  <si>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</si>
  <si>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</si>
  <si>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</si>
  <si>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</si>
  <si>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</si>
  <si>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</si>
  <si>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</si>
  <si>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</si>
  <si>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</si>
  <si>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</si>
  <si>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</si>
  <si>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</si>
  <si>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</si>
  <si>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</si>
  <si>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</si>
  <si>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</si>
  <si>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</si>
  <si>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</si>
  <si>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</si>
  <si>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</si>
  <si>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</si>
  <si>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</si>
  <si>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</si>
  <si>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</si>
  <si>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</si>
  <si>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</si>
  <si>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</si>
  <si>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</si>
  <si>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</si>
  <si>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</si>
  <si>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</si>
  <si>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</si>
  <si>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</si>
  <si>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</si>
  <si>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</si>
  <si>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</si>
  <si>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</si>
  <si>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</si>
  <si>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</si>
  <si>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</si>
  <si>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</si>
  <si>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</si>
  <si>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</si>
  <si>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</si>
  <si>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</si>
  <si>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</si>
  <si>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</si>
  <si>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</si>
  <si>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</si>
  <si>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</si>
  <si>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</si>
  <si>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</si>
  <si>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</si>
  <si>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</si>
  <si>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</si>
  <si>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</si>
  <si>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</si>
  <si>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</si>
  <si>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</si>
  <si>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</si>
  <si>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</si>
  <si>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</si>
  <si>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</si>
  <si>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</si>
  <si>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</si>
  <si>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</si>
  <si>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</si>
  <si>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</si>
  <si>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</si>
  <si>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</si>
  <si>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</si>
  <si>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</si>
  <si>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</si>
  <si>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</si>
  <si>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</si>
  <si>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</si>
  <si>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</si>
  <si>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</si>
  <si>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</si>
  <si>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</si>
  <si>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</si>
  <si>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</si>
  <si>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</si>
  <si>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</si>
  <si>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</si>
  <si>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</si>
  <si>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</si>
  <si>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</si>
  <si>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</si>
  <si>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</si>
  <si>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</si>
  <si>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</si>
  <si>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</si>
  <si>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</si>
  <si>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</si>
  <si>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</si>
  <si>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</si>
  <si>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</si>
  <si>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</si>
  <si>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</si>
  <si>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</si>
  <si>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</si>
  <si>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</si>
  <si>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</si>
  <si>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</si>
  <si>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</si>
  <si>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</si>
  <si>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</si>
  <si>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</si>
  <si>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</si>
  <si>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</si>
  <si>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</si>
  <si>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</si>
  <si>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</si>
  <si>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</si>
  <si>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</si>
  <si>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</si>
  <si>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</si>
  <si>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</si>
  <si>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</si>
  <si>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</si>
  <si>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</si>
  <si>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</si>
  <si>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</si>
  <si>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</si>
  <si>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</si>
  <si>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</si>
  <si>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</si>
  <si>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</si>
  <si>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</si>
  <si>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</si>
  <si>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</si>
  <si>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</si>
  <si>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</si>
  <si>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</si>
  <si>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</si>
  <si>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</si>
  <si>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</si>
  <si>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</si>
  <si>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</si>
  <si>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</si>
  <si>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</si>
  <si>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</si>
  <si>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</si>
  <si>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</si>
  <si>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</si>
  <si>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</si>
  <si>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</si>
  <si>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</si>
  <si>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</si>
  <si>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</si>
  <si>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</si>
  <si>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</si>
  <si>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</si>
  <si>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</si>
  <si>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</si>
  <si>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</si>
  <si>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</si>
  <si>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</si>
  <si>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</si>
  <si>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</si>
  <si>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</si>
  <si>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</si>
  <si>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</si>
  <si>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</si>
  <si>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</si>
  <si>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</si>
  <si>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</si>
  <si>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</si>
  <si>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</si>
  <si>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</si>
  <si>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</si>
  <si>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</si>
  <si>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</si>
  <si>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</si>
  <si>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</si>
  <si>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</si>
  <si>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</si>
  <si>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</si>
  <si>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</si>
  <si>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</si>
  <si>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</si>
  <si>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</si>
  <si>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</si>
  <si>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</si>
  <si>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</si>
  <si>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</si>
  <si>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</si>
  <si>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</si>
  <si>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</si>
  <si>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</si>
  <si>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</si>
  <si>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</si>
  <si>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</si>
  <si>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</si>
  <si>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</si>
  <si>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</si>
  <si>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</si>
  <si>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</si>
  <si>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</si>
  <si>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</si>
  <si>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</si>
  <si>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</si>
  <si>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</si>
  <si>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</si>
  <si>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</si>
  <si>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</si>
  <si>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</si>
  <si>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</si>
  <si>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</si>
  <si>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</si>
  <si>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</si>
  <si>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</si>
  <si>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</si>
  <si>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</si>
  <si>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</si>
  <si>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</si>
  <si>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</si>
  <si>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</si>
  <si>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</si>
  <si>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</si>
  <si>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</si>
  <si>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</si>
  <si>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</si>
  <si>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</si>
  <si>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</si>
  <si>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</si>
  <si>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</si>
  <si>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</si>
  <si>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</si>
  <si>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</si>
  <si>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</si>
  <si>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</si>
  <si>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</si>
  <si>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</si>
  <si>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</si>
  <si>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</si>
  <si>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</si>
  <si>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</si>
  <si>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</si>
  <si>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</si>
  <si>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</si>
  <si>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</si>
  <si>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</si>
  <si>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</si>
  <si>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</si>
  <si>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</si>
  <si>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</si>
  <si>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</si>
  <si>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</si>
  <si>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</si>
  <si>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</si>
  <si>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</si>
  <si>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</si>
  <si>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</si>
  <si>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</si>
  <si>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</si>
  <si>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</si>
  <si>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</si>
  <si>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</si>
  <si>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</si>
  <si>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</si>
  <si>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</si>
  <si>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</si>
  <si>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</si>
  <si>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</si>
  <si>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</si>
  <si>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</si>
  <si>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</si>
  <si>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</si>
  <si>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</si>
  <si>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</si>
  <si>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</si>
  <si>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</si>
  <si>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</si>
  <si>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</si>
  <si>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</si>
  <si>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</si>
  <si>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</si>
  <si>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</si>
  <si>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</si>
  <si>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</si>
  <si>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</si>
  <si>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</si>
  <si>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</si>
  <si>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</si>
  <si>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</si>
  <si>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</si>
  <si>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</si>
  <si>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</si>
  <si>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</si>
  <si>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</si>
  <si>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</si>
  <si>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</si>
  <si>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</si>
  <si>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</si>
  <si>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</si>
  <si>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</si>
  <si>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</si>
  <si>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</si>
  <si>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</si>
  <si>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</si>
  <si>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</si>
  <si>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</si>
  <si>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</si>
  <si>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</si>
  <si>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</si>
  <si>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</si>
  <si>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</si>
  <si>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</si>
  <si>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</si>
  <si>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</si>
  <si>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</si>
  <si>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</si>
  <si>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</si>
  <si>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</si>
  <si>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</si>
  <si>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</si>
  <si>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</si>
  <si>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</si>
  <si>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</si>
  <si>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</si>
  <si>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</si>
  <si>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</si>
  <si>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</si>
  <si>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</si>
  <si>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</si>
  <si>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</si>
  <si>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</si>
  <si>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</si>
  <si>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</si>
  <si>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</si>
  <si>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</si>
  <si>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</si>
  <si>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</si>
  <si>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</si>
  <si>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</si>
  <si>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</si>
  <si>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</si>
  <si>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</si>
  <si>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</si>
  <si>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</si>
  <si>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</si>
  <si>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</si>
  <si>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</si>
  <si>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</si>
  <si>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</si>
  <si>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</si>
  <si>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</si>
  <si>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</si>
  <si>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</si>
  <si>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</si>
  <si>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</si>
  <si>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</si>
  <si>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</si>
  <si>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</si>
  <si>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</si>
  <si>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</si>
  <si>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</si>
  <si>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</si>
  <si>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</si>
  <si>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</si>
  <si>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</si>
  <si>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</si>
  <si>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</si>
  <si>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</si>
  <si>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</si>
  <si>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</si>
  <si>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</si>
  <si>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</si>
  <si>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</si>
  <si>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</si>
  <si>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</si>
  <si>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</si>
  <si>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</si>
  <si>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</si>
  <si>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</si>
  <si>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</si>
  <si>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</si>
  <si>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</si>
  <si>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</si>
  <si>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</si>
  <si>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</si>
  <si>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</si>
  <si>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</si>
  <si>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</si>
  <si>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</si>
  <si>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</si>
  <si>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</si>
  <si>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</si>
  <si>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</si>
  <si>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</si>
  <si>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</si>
  <si>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</si>
  <si>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</si>
  <si>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</si>
  <si>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</si>
  <si>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</si>
  <si>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</si>
  <si>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</si>
  <si>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</si>
  <si>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</si>
  <si>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</si>
  <si>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</si>
  <si>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</si>
  <si>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</si>
  <si>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</si>
  <si>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</si>
  <si>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</si>
  <si>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</si>
  <si>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</si>
  <si>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</si>
  <si>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</si>
  <si>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</si>
  <si>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</si>
  <si>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</si>
  <si>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</si>
  <si>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</si>
  <si>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</si>
  <si>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</si>
  <si>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</si>
  <si>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</si>
  <si>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</si>
  <si>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</si>
  <si>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</si>
  <si>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</si>
  <si>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</si>
  <si>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</si>
  <si>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</si>
  <si>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</si>
  <si>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</si>
  <si>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</si>
  <si>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</si>
  <si>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</si>
  <si>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</si>
  <si>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</si>
  <si>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</si>
  <si>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</si>
  <si>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</si>
  <si>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</si>
  <si>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</si>
  <si>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</si>
  <si>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</si>
  <si>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</si>
  <si>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</si>
  <si>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</si>
  <si>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</si>
  <si>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</si>
  <si>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</si>
  <si>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</si>
  <si>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</si>
  <si>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</si>
  <si>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</si>
  <si>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</si>
  <si>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</si>
  <si>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</si>
  <si>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</si>
  <si>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</si>
  <si>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</si>
  <si>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</si>
  <si>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</si>
  <si>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</si>
  <si>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</si>
  <si>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</si>
  <si>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</si>
  <si>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</si>
  <si>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</si>
  <si>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</si>
  <si>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</si>
  <si>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</si>
  <si>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</si>
  <si>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</si>
  <si>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</si>
  <si>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</si>
  <si>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</si>
  <si>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</si>
  <si>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</si>
  <si>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</si>
  <si>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</si>
  <si>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</si>
  <si>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</si>
  <si>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</si>
  <si>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</si>
  <si>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</si>
  <si>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</si>
  <si>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</si>
  <si>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</si>
  <si>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</si>
  <si>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</si>
  <si>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</si>
  <si>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</si>
  <si>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</si>
  <si>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</si>
  <si>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</si>
  <si>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</si>
  <si>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</si>
  <si>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</si>
  <si>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</si>
  <si>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</si>
  <si>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</si>
  <si>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</si>
  <si>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</si>
  <si>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</si>
  <si>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</si>
  <si>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</si>
  <si>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</si>
  <si>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</si>
  <si>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</si>
  <si>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</si>
  <si>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</si>
  <si>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</si>
  <si>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</si>
  <si>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</si>
  <si>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</si>
  <si>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</si>
  <si>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</si>
  <si>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</si>
  <si>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</si>
  <si>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</si>
  <si>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</si>
  <si>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</si>
  <si>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</si>
  <si>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</si>
  <si>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</si>
  <si>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</si>
  <si>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</si>
  <si>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</si>
  <si>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</si>
  <si>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</si>
  <si>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</si>
  <si>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</si>
  <si>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</si>
  <si>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</si>
  <si>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</si>
  <si>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</si>
  <si>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</si>
  <si>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</si>
  <si>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</si>
  <si>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</si>
  <si>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</si>
  <si>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</si>
  <si>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</si>
  <si>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</si>
  <si>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</si>
  <si>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</si>
  <si>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</si>
  <si>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</si>
  <si>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</si>
  <si>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</si>
  <si>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</si>
  <si>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</si>
  <si>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</si>
  <si>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</si>
  <si>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</si>
  <si>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</si>
  <si>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</si>
  <si>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</si>
  <si>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</si>
  <si>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</si>
  <si>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</si>
  <si>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</si>
  <si>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</si>
  <si>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</si>
  <si>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</si>
  <si>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</si>
  <si>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</si>
  <si>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</si>
  <si>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</si>
  <si>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</si>
  <si>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</si>
  <si>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</si>
  <si>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</si>
  <si>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</si>
  <si>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</si>
  <si>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</si>
  <si>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</si>
  <si>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</si>
  <si>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</si>
  <si>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</si>
  <si>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</si>
  <si>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</si>
  <si>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</si>
  <si>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</si>
  <si>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</si>
  <si>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</si>
  <si>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</si>
  <si>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</si>
  <si>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</si>
  <si>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</si>
  <si>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</si>
  <si>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</si>
  <si>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</si>
  <si>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</si>
  <si>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</si>
  <si>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</si>
  <si>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</si>
  <si>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</si>
  <si>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</si>
  <si>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</si>
  <si>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</si>
  <si>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</si>
  <si>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</si>
  <si>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</si>
  <si>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</si>
  <si>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</si>
  <si>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</si>
  <si>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</si>
  <si>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</si>
  <si>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</si>
  <si>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</si>
  <si>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</si>
  <si>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</si>
  <si>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</si>
  <si>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</si>
  <si>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</si>
  <si>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</si>
  <si>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</si>
  <si>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</si>
  <si>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</si>
  <si>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</si>
  <si>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</si>
  <si>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</si>
  <si>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</si>
  <si>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</si>
  <si>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</si>
  <si>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</si>
  <si>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</si>
  <si>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</si>
  <si>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</si>
  <si>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</si>
  <si>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</si>
  <si>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</si>
  <si>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</si>
  <si>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</si>
  <si>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</si>
  <si>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</si>
  <si>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</si>
  <si>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</si>
  <si>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</si>
  <si>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</si>
  <si>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</si>
  <si>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</si>
  <si>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</si>
  <si>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</si>
  <si>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</si>
  <si>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</si>
  <si>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</si>
  <si>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</si>
  <si>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</si>
  <si>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</si>
  <si>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</si>
  <si>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</si>
  <si>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</si>
  <si>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</si>
  <si>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</si>
  <si>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</si>
  <si>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</si>
  <si>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</si>
  <si>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</si>
  <si>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</si>
  <si>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</si>
  <si>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</si>
  <si>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</si>
  <si>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</si>
  <si>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</si>
  <si>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</si>
  <si>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</si>
  <si>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</si>
  <si>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</si>
  <si>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</si>
  <si>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</si>
  <si>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</si>
  <si>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</si>
  <si>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</si>
  <si>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</si>
  <si>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</si>
  <si>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</si>
  <si>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</si>
  <si>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</si>
  <si>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</si>
  <si>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</si>
  <si>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</si>
  <si>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</si>
  <si>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</si>
  <si>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</si>
  <si>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</si>
  <si>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</si>
  <si>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</si>
  <si>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</si>
  <si>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</si>
  <si>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</si>
  <si>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</si>
  <si>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</si>
  <si>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</si>
  <si>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</si>
  <si>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</si>
  <si>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</si>
  <si>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</si>
  <si>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</si>
  <si>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</si>
  <si>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</si>
  <si>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</si>
  <si>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</si>
  <si>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</si>
  <si>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</si>
  <si>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</si>
  <si>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</si>
  <si>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</si>
  <si>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</si>
  <si>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</si>
  <si>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</si>
  <si>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</si>
  <si>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</si>
  <si>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</si>
  <si>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</si>
  <si>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</si>
  <si>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</si>
  <si>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</si>
  <si>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</si>
  <si>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</si>
  <si>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</si>
  <si>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</si>
  <si>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</si>
  <si>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</si>
  <si>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</si>
  <si>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</si>
  <si>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</si>
  <si>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</si>
  <si>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</si>
  <si>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</si>
  <si>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</si>
  <si>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</si>
  <si>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</si>
  <si>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</si>
  <si>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</si>
  <si>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</si>
  <si>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</si>
  <si>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</si>
  <si>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</si>
  <si>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</si>
  <si>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</si>
  <si>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</si>
  <si>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</si>
  <si>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</si>
  <si>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</si>
  <si>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</si>
  <si>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</si>
  <si>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</si>
  <si>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</si>
  <si>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</si>
  <si>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</si>
  <si>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</si>
  <si>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</si>
  <si>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</si>
  <si>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</si>
  <si>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</si>
  <si>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</si>
  <si>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</si>
  <si>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</si>
  <si>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</si>
  <si>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</si>
  <si>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</si>
  <si>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</si>
  <si>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</si>
  <si>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</si>
  <si>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</si>
  <si>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</si>
  <si>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</si>
  <si>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</si>
  <si>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</si>
  <si>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</si>
  <si>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</si>
  <si>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</si>
  <si>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</si>
  <si>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</si>
  <si>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</si>
  <si>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</si>
  <si>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</si>
  <si>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</si>
  <si>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</si>
  <si>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</si>
  <si>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</si>
  <si>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</si>
  <si>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</si>
  <si>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</si>
  <si>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</si>
  <si>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</si>
  <si>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</si>
  <si>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</si>
  <si>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</si>
  <si>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</si>
  <si>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</si>
  <si>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</si>
  <si>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</si>
  <si>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</si>
  <si>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</si>
  <si>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</si>
  <si>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</si>
  <si>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</si>
  <si>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</si>
  <si>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</si>
  <si>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</si>
  <si>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</si>
  <si>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</si>
  <si>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</si>
  <si>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</si>
  <si>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</si>
  <si>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</si>
  <si>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</si>
  <si>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</si>
  <si>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</si>
  <si>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</si>
  <si>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</si>
  <si>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</si>
  <si>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</si>
  <si>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</si>
  <si>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</si>
  <si>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</si>
  <si>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</si>
  <si>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</si>
  <si>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</si>
  <si>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</si>
  <si>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</si>
  <si>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</si>
  <si>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</si>
  <si>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</si>
  <si>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</si>
  <si>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</si>
  <si>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</si>
  <si>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</si>
  <si>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</si>
  <si>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</si>
  <si>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</si>
  <si>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</si>
  <si>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</si>
  <si>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</si>
  <si>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</si>
  <si>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</si>
  <si>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</si>
  <si>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</si>
  <si>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</si>
  <si>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</si>
  <si>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</si>
  <si>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</si>
  <si>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</si>
  <si>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</si>
  <si>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</si>
  <si>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</si>
  <si>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</si>
  <si>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</si>
  <si>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</si>
  <si>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</si>
  <si>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</si>
  <si>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</si>
  <si>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</si>
  <si>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</si>
  <si>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</si>
  <si>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</si>
  <si>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</si>
  <si>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</si>
  <si>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</si>
  <si>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</si>
  <si>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</si>
  <si>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</si>
  <si>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</si>
  <si>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</si>
  <si>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</si>
  <si>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</si>
  <si>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</si>
  <si>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</si>
  <si>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</si>
  <si>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</si>
  <si>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</si>
  <si>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</si>
  <si>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</si>
  <si>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</si>
  <si>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</si>
  <si>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</si>
  <si>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</si>
  <si>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</si>
  <si>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</si>
  <si>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</si>
  <si>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</si>
  <si>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</si>
  <si>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</si>
  <si>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</si>
  <si>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</si>
  <si>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</si>
  <si>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</si>
  <si>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</si>
  <si>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</si>
  <si>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</si>
  <si>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</si>
  <si>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</si>
  <si>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</si>
  <si>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</si>
  <si>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</si>
  <si>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</si>
  <si>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</si>
  <si>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</si>
  <si>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</si>
  <si>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</si>
  <si>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</si>
  <si>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</si>
  <si>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</si>
  <si>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</si>
  <si>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</si>
  <si>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</si>
  <si>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</si>
  <si>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</si>
  <si>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</si>
  <si>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</si>
  <si>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</si>
  <si>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</si>
  <si>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</si>
  <si>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</si>
  <si>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</si>
  <si>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</si>
  <si>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</si>
  <si>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</si>
  <si>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</si>
  <si>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</si>
  <si>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</si>
  <si>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</si>
  <si>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</si>
  <si>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</si>
  <si>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</si>
  <si>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</si>
  <si>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</si>
  <si>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</si>
  <si>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</si>
  <si>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</si>
  <si>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</si>
  <si>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</si>
  <si>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</si>
  <si>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</si>
  <si>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</si>
  <si>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</si>
  <si>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</si>
  <si>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</si>
  <si>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</si>
  <si>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</si>
  <si>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</si>
  <si>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</si>
  <si>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</si>
  <si>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</si>
  <si>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</si>
  <si>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</si>
  <si>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</si>
  <si>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</si>
  <si>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</si>
  <si>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</si>
  <si>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</si>
  <si>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</si>
  <si>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</si>
  <si>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</si>
  <si>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</si>
  <si>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</si>
  <si>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</si>
  <si>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</si>
  <si>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</si>
  <si>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</si>
  <si>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</si>
  <si>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</si>
  <si>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</si>
  <si>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</si>
  <si>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</si>
  <si>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</si>
  <si>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</si>
  <si>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</si>
  <si>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</si>
  <si>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</si>
  <si>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</si>
  <si>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</si>
  <si>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</si>
  <si>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</si>
  <si>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</si>
  <si>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</si>
  <si>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</si>
  <si>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</si>
  <si>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</si>
  <si>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</si>
  <si>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</si>
  <si>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</si>
  <si>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</si>
  <si>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</si>
  <si>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</si>
  <si>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</si>
  <si>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</si>
  <si>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</si>
  <si>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</si>
  <si>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</si>
  <si>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</si>
  <si>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</si>
  <si>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</si>
  <si>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</si>
  <si>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</si>
  <si>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</si>
  <si>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</si>
  <si>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</si>
  <si>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</si>
  <si>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</si>
  <si>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</si>
  <si>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</si>
  <si>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</si>
  <si>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</si>
  <si>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</si>
  <si>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</si>
  <si>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</si>
  <si>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</si>
  <si>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</si>
  <si>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</si>
  <si>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</si>
  <si>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</si>
  <si>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</si>
  <si>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</si>
  <si>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</si>
  <si>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</si>
  <si>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</si>
  <si>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</si>
  <si>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</si>
  <si>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</si>
  <si>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</si>
  <si>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</si>
  <si>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</si>
  <si>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</si>
  <si>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</si>
  <si>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</si>
  <si>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</si>
  <si>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</si>
  <si>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</si>
  <si>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</si>
  <si>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</si>
  <si>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</si>
  <si>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</si>
  <si>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</si>
  <si>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</si>
  <si>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</si>
  <si>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</si>
  <si>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</si>
  <si>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</si>
  <si>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</si>
  <si>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</si>
  <si>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</si>
  <si>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</si>
  <si>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</si>
  <si>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</si>
  <si>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</si>
  <si>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</si>
  <si>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</si>
  <si>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</si>
  <si>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</si>
  <si>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</si>
  <si>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</si>
  <si>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</si>
  <si>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</si>
  <si>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</si>
  <si>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</si>
  <si>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</si>
  <si>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</si>
  <si>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</si>
  <si>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</si>
  <si>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</si>
  <si>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</si>
  <si>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</si>
  <si>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</si>
  <si>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</si>
  <si>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</si>
  <si>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</si>
  <si>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</si>
  <si>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</si>
  <si>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</si>
  <si>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</si>
  <si>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</si>
  <si>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</si>
  <si>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</si>
  <si>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</si>
  <si>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</si>
  <si>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</si>
  <si>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</si>
  <si>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</si>
  <si>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</si>
  <si>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</si>
  <si>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</si>
  <si>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</si>
  <si>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</si>
  <si>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</si>
  <si>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</si>
  <si>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</si>
  <si>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</si>
  <si>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</si>
  <si>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</si>
  <si>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</si>
  <si>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</si>
  <si>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</si>
  <si>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</si>
  <si>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</si>
  <si>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</si>
  <si>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</si>
  <si>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</si>
  <si>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</si>
  <si>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</si>
  <si>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</si>
  <si>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</si>
  <si>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</si>
  <si>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</si>
  <si>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</si>
  <si>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</si>
  <si>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</si>
  <si>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</si>
  <si>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</si>
  <si>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</si>
  <si>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</si>
  <si>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</si>
  <si>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</si>
  <si>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</si>
  <si>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</si>
  <si>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</si>
  <si>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</si>
  <si>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</si>
  <si>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</si>
  <si>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</si>
  <si>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</si>
  <si>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</si>
  <si>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</si>
  <si>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</si>
  <si>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</si>
  <si>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</si>
  <si>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</si>
  <si>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</si>
  <si>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</si>
  <si>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</si>
  <si>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</si>
  <si>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</si>
  <si>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</si>
  <si>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</si>
  <si>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</si>
  <si>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</si>
  <si>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</si>
  <si>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</si>
  <si>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</si>
  <si>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</si>
  <si>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</si>
  <si>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</si>
  <si>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</si>
  <si>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</si>
  <si>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</si>
  <si>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</si>
  <si>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</si>
  <si>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</si>
  <si>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</si>
  <si>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</si>
  <si>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</si>
  <si>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</si>
  <si>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</si>
  <si>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</si>
  <si>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</si>
  <si>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</si>
  <si>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</si>
  <si>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</si>
  <si>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</si>
  <si>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</si>
  <si>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</si>
  <si>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</si>
  <si>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</si>
  <si>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</si>
  <si>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</si>
  <si>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</si>
  <si>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</si>
  <si>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</si>
  <si>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</si>
  <si>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</si>
  <si>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</si>
  <si>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</si>
  <si>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</si>
  <si>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</si>
  <si>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</si>
  <si>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</si>
  <si>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</si>
  <si>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</si>
  <si>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</si>
  <si>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</si>
  <si>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</si>
  <si>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</si>
  <si>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</si>
  <si>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</si>
  <si>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</si>
  <si>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</si>
  <si>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</si>
  <si>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</si>
  <si>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</si>
  <si>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</si>
  <si>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</si>
  <si>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</si>
  <si>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</si>
  <si>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</si>
  <si>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</si>
  <si>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</si>
  <si>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</si>
  <si>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</si>
  <si>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</si>
  <si>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</si>
  <si>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</si>
  <si>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</si>
  <si>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</si>
  <si>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</si>
  <si>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</si>
  <si>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</si>
  <si>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</si>
  <si>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</si>
  <si>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</si>
  <si>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</si>
  <si>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</si>
  <si>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</si>
  <si>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</si>
  <si>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</si>
  <si>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</si>
  <si>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</si>
  <si>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</si>
  <si>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</si>
  <si>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</si>
  <si>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</si>
  <si>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</si>
  <si>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</si>
  <si>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</si>
  <si>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</si>
  <si>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</si>
  <si>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</si>
  <si>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</si>
  <si>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</si>
  <si>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</si>
  <si>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</si>
  <si>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</si>
  <si>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</si>
  <si>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</si>
  <si>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</si>
  <si>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</si>
  <si>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</si>
  <si>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</si>
  <si>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</si>
  <si>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</si>
  <si>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</si>
  <si>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</si>
  <si>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</si>
  <si>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</si>
  <si>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</si>
  <si>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</si>
  <si>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</si>
  <si>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</si>
  <si>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</si>
  <si>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</si>
  <si>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</si>
  <si>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</si>
  <si>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</si>
  <si>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</si>
  <si>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</si>
  <si>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</si>
  <si>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</si>
  <si>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</si>
  <si>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</si>
  <si>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</si>
  <si>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</si>
  <si>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</si>
  <si>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</si>
  <si>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</si>
  <si>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</si>
  <si>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</si>
  <si>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</si>
  <si>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</si>
  <si>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</si>
  <si>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</si>
  <si>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</si>
  <si>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</si>
  <si>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</si>
  <si>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</si>
  <si>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</si>
  <si>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</si>
  <si>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</si>
  <si>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</si>
  <si>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</si>
  <si>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</si>
  <si>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</si>
  <si>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</si>
  <si>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</si>
  <si>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</si>
  <si>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</si>
  <si>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</si>
  <si>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</si>
  <si>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</si>
  <si>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</si>
  <si>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</si>
  <si>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</si>
  <si>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</si>
  <si>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</si>
  <si>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</si>
  <si>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</si>
  <si>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</si>
  <si>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</si>
  <si>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</si>
  <si>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</si>
  <si>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</si>
  <si>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</si>
  <si>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</si>
  <si>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</si>
  <si>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</si>
  <si>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</si>
  <si>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</si>
  <si>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</si>
  <si>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</si>
  <si>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</si>
  <si>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</si>
  <si>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</si>
  <si>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</si>
  <si>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</si>
  <si>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</si>
  <si>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</si>
  <si>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</si>
  <si>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</si>
  <si>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</si>
  <si>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</si>
  <si>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</si>
  <si>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</si>
  <si>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</si>
  <si>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</si>
  <si>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</si>
  <si>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</si>
  <si>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</si>
  <si>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</si>
  <si>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</si>
  <si>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</si>
  <si>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</si>
  <si>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</si>
  <si>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</si>
  <si>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</si>
  <si>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</si>
  <si>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</si>
  <si>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</si>
  <si>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</si>
  <si>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</si>
  <si>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</si>
  <si>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</si>
  <si>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</si>
  <si>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</si>
  <si>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</si>
  <si>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</si>
  <si>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</si>
  <si>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</si>
  <si>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</si>
  <si>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</si>
  <si>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</si>
  <si>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</si>
  <si>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</si>
  <si>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</si>
  <si>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</si>
  <si>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</si>
  <si>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</si>
  <si>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</si>
  <si>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</si>
  <si>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</si>
  <si>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</si>
  <si>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</si>
  <si>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</si>
  <si>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</si>
  <si>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</si>
  <si>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</si>
  <si>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</si>
  <si>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</si>
  <si>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</si>
  <si>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</si>
  <si>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</si>
  <si>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</si>
  <si>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</si>
  <si>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</si>
  <si>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</si>
  <si>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</si>
  <si>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</si>
  <si>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</si>
  <si>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</si>
  <si>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</si>
  <si>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</si>
  <si>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</si>
  <si>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</si>
  <si>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</si>
  <si>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</si>
  <si>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</si>
  <si>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</si>
  <si>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</si>
  <si>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</si>
  <si>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</si>
  <si>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</si>
  <si>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</si>
  <si>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</si>
  <si>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</si>
  <si>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</si>
  <si>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</si>
  <si>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</si>
  <si>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</si>
  <si>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</si>
  <si>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</si>
  <si>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</si>
  <si>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</si>
  <si>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</si>
  <si>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</si>
  <si>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</si>
  <si>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</si>
  <si>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</si>
  <si>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</si>
  <si>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</si>
  <si>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</si>
  <si>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</si>
  <si>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</si>
  <si>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</si>
  <si>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</si>
  <si>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</si>
  <si>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</si>
  <si>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</si>
  <si>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</si>
  <si>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</si>
  <si>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</si>
  <si>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</si>
  <si>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</si>
  <si>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</si>
  <si>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</si>
  <si>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</si>
  <si>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</si>
  <si>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</si>
  <si>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</si>
  <si>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</si>
  <si>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</si>
  <si>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</si>
  <si>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</si>
  <si>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</si>
  <si>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</si>
  <si>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</si>
  <si>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</si>
  <si>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</si>
  <si>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</si>
  <si>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</si>
  <si>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</si>
  <si>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</si>
  <si>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</si>
  <si>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</si>
  <si>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</si>
  <si>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</si>
  <si>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</si>
  <si>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</si>
  <si>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</si>
  <si>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</si>
  <si>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</si>
  <si>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</si>
  <si>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</si>
  <si>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</si>
  <si>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</si>
  <si>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</si>
  <si>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</si>
  <si>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</si>
  <si>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</si>
  <si>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</si>
  <si>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</si>
  <si>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</si>
  <si>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</si>
  <si>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</si>
  <si>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</si>
  <si>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</si>
  <si>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</si>
  <si>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</si>
  <si>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</si>
  <si>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</si>
  <si>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</si>
  <si>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</si>
  <si>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</si>
  <si>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</si>
  <si>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</si>
  <si>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</si>
  <si>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</si>
  <si>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</si>
  <si>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</si>
  <si>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</si>
  <si>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</si>
  <si>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</si>
  <si>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</si>
  <si>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</si>
  <si>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</si>
  <si>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</si>
  <si>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</si>
  <si>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</si>
  <si>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</si>
  <si>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</si>
  <si>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</si>
  <si>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</si>
  <si>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</si>
  <si>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</si>
  <si>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</si>
  <si>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</si>
  <si>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</si>
  <si>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</si>
  <si>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</si>
  <si>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</si>
  <si>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</si>
  <si>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</si>
  <si>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</si>
  <si>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</si>
  <si>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</si>
  <si>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</si>
  <si>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</si>
  <si>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</si>
  <si>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</si>
  <si>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</si>
  <si>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</si>
  <si>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</si>
  <si>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</si>
  <si>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</si>
  <si>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</si>
  <si>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</si>
  <si>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</si>
  <si>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</si>
  <si>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</si>
  <si>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</si>
  <si>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</si>
  <si>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</si>
  <si>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</si>
  <si>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</si>
  <si>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</si>
  <si>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</si>
  <si>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</si>
  <si>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</si>
  <si>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</si>
  <si>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</si>
  <si>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</si>
  <si>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</si>
  <si>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</si>
  <si>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</si>
  <si>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</si>
  <si>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</si>
  <si>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</si>
  <si>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</si>
  <si>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</si>
  <si>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</si>
  <si>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</si>
  <si>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</si>
  <si>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</si>
  <si>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</si>
  <si>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</si>
  <si>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</si>
  <si>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</si>
  <si>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</si>
  <si>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</si>
  <si>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</si>
  <si>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</si>
  <si>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</si>
  <si>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</si>
  <si>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</si>
  <si>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</si>
  <si>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</si>
  <si>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</si>
  <si>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</si>
  <si>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</si>
  <si>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</si>
  <si>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</si>
  <si>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</si>
  <si>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</si>
  <si>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</si>
  <si>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</si>
  <si>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</si>
  <si>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</si>
  <si>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</si>
  <si>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</si>
  <si>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</si>
  <si>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</si>
  <si>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</si>
  <si>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</si>
  <si>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</si>
  <si>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</si>
  <si>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</si>
  <si>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</si>
  <si>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</si>
  <si>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</si>
  <si>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</si>
  <si>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</si>
  <si>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</si>
  <si>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</si>
  <si>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</si>
  <si>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</si>
  <si>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</si>
  <si>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</si>
  <si>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</si>
  <si>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</si>
  <si>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</si>
  <si>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</si>
  <si>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</si>
  <si>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</si>
  <si>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</si>
  <si>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</si>
  <si>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</si>
  <si>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</si>
  <si>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</si>
  <si>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</si>
  <si>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</si>
  <si>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</si>
  <si>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</si>
  <si>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</si>
  <si>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</si>
  <si>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</si>
  <si>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</si>
  <si>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</si>
  <si>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</si>
  <si>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</si>
  <si>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</si>
  <si>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</si>
  <si>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</si>
  <si>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</si>
  <si>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</si>
  <si>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</si>
  <si>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</si>
  <si>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</si>
  <si>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</si>
  <si>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</si>
  <si>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</si>
  <si>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</si>
  <si>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</si>
  <si>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</si>
  <si>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</si>
  <si>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</si>
  <si>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</si>
  <si>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</si>
  <si>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</si>
  <si>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</si>
  <si>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</si>
  <si>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</si>
  <si>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</si>
  <si>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</si>
  <si>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</si>
  <si>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</si>
  <si>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</si>
  <si>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</si>
  <si>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</si>
  <si>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</si>
  <si>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</si>
  <si>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</si>
  <si>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</si>
  <si>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</si>
  <si>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</si>
  <si>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</si>
  <si>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</si>
  <si>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</si>
  <si>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</si>
  <si>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</si>
  <si>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</si>
  <si>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</si>
  <si>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</si>
  <si>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</si>
  <si>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</si>
  <si>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</si>
  <si>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</si>
  <si>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</si>
  <si>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</si>
  <si>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</si>
  <si>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</si>
  <si>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</si>
  <si>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</si>
  <si>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</si>
  <si>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</si>
  <si>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</si>
  <si>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</si>
  <si>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</si>
  <si>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</si>
  <si>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</si>
  <si>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</si>
  <si>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</si>
  <si>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</si>
  <si>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</si>
  <si>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</si>
  <si>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</si>
  <si>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</si>
  <si>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</si>
  <si>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</si>
  <si>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</si>
  <si>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</si>
  <si>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</si>
  <si>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</si>
  <si>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</si>
  <si>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</si>
  <si>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</si>
  <si>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</si>
  <si>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</si>
  <si>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</si>
  <si>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</si>
  <si>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</si>
  <si>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</si>
  <si>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</si>
  <si>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</si>
  <si>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</si>
  <si>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</si>
  <si>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</si>
  <si>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</si>
  <si>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</si>
  <si>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</si>
  <si>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</si>
  <si>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</si>
  <si>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</si>
  <si>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</si>
  <si>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</si>
  <si>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</si>
  <si>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</si>
  <si>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</si>
  <si>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</si>
  <si>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</si>
  <si>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</si>
  <si>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</si>
  <si>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</si>
  <si>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</si>
  <si>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</si>
  <si>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</si>
  <si>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</si>
  <si>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</si>
  <si>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</si>
  <si>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</si>
  <si>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</si>
  <si>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</si>
  <si>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</si>
  <si>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</si>
  <si>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</si>
  <si>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</si>
  <si>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</si>
  <si>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</si>
  <si>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</si>
  <si>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</si>
  <si>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</si>
  <si>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</si>
  <si>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</si>
  <si>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</si>
  <si>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</si>
  <si>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</si>
  <si>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</si>
  <si>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</si>
  <si>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</si>
  <si>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</si>
  <si>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</si>
  <si>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</si>
  <si>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</si>
  <si>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</si>
  <si>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</si>
  <si>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</si>
  <si>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</si>
  <si>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</si>
  <si>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</si>
  <si>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</si>
  <si>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</si>
  <si>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</si>
  <si>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</si>
  <si>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</si>
  <si>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</si>
  <si>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</si>
  <si>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</si>
  <si>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</si>
  <si>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</si>
  <si>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</si>
  <si>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</si>
  <si>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</si>
  <si>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</si>
  <si>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</si>
  <si>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</si>
  <si>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</si>
  <si>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</si>
  <si>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</si>
  <si>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</si>
  <si>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</si>
  <si>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</si>
  <si>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</si>
  <si>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</si>
  <si>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</si>
  <si>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</si>
  <si>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</si>
  <si>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</si>
  <si>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</si>
  <si>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</si>
  <si>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</si>
  <si>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</si>
  <si>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</si>
  <si>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</si>
  <si>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</si>
  <si>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</si>
  <si>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</si>
  <si>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</si>
  <si>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</si>
  <si>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</si>
  <si>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</si>
  <si>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</si>
  <si>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</si>
  <si>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</si>
  <si>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</si>
  <si>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</si>
  <si>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</si>
  <si>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</si>
  <si>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</si>
  <si>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</si>
  <si>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</si>
  <si>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</si>
  <si>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</si>
  <si>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</si>
  <si>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</si>
  <si>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</si>
  <si>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</si>
  <si>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</si>
  <si>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</si>
  <si>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</si>
  <si>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</si>
  <si>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</si>
  <si>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</si>
  <si>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</si>
  <si>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</si>
  <si>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</si>
  <si>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</si>
  <si>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</si>
  <si>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</si>
  <si>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</si>
  <si>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</si>
  <si>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</si>
  <si>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</si>
  <si>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</si>
  <si>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</si>
  <si>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</si>
  <si>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</si>
  <si>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</si>
  <si>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</si>
  <si>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</si>
  <si>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</si>
  <si>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</si>
  <si>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</si>
  <si>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</si>
  <si>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</si>
  <si>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</si>
  <si>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</si>
  <si>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</si>
  <si>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</si>
  <si>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</si>
  <si>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</si>
  <si>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</si>
  <si>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</si>
  <si>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</si>
  <si>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</si>
  <si>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</si>
  <si>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</si>
  <si>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</si>
  <si>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</si>
  <si>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</si>
  <si>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</si>
  <si>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</si>
  <si>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</si>
  <si>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</si>
  <si>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</si>
  <si>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</si>
  <si>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</si>
  <si>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</si>
  <si>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</si>
  <si>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</si>
  <si>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</si>
  <si>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</si>
  <si>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</si>
  <si>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</si>
  <si>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</si>
  <si>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</si>
  <si>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</si>
  <si>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</si>
  <si>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</si>
  <si>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</si>
  <si>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</si>
  <si>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</si>
  <si>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</si>
  <si>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</si>
  <si>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</si>
  <si>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</si>
  <si>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</si>
  <si>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</si>
  <si>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</si>
  <si>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</si>
  <si>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</si>
  <si>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</si>
  <si>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</si>
  <si>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</si>
  <si>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</si>
  <si>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</si>
  <si>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</si>
  <si>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</si>
  <si>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</si>
  <si>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</si>
  <si>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</si>
  <si>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</si>
  <si>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</si>
  <si>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</si>
  <si>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</si>
  <si>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</si>
  <si>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</si>
  <si>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</si>
  <si>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</si>
  <si>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</si>
  <si>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</si>
  <si>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</si>
  <si>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</si>
  <si>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</si>
  <si>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</si>
  <si>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</si>
  <si>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</si>
  <si>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</si>
  <si>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</si>
  <si>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</si>
  <si>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</si>
  <si>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</si>
  <si>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</si>
  <si>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</si>
  <si>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</si>
  <si>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</si>
  <si>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</si>
  <si>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</si>
  <si>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</si>
  <si>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</si>
  <si>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</si>
  <si>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</si>
  <si>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</si>
  <si>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</si>
  <si>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</si>
  <si>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</si>
  <si>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</si>
  <si>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</si>
  <si>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</si>
  <si>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</si>
  <si>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</si>
  <si>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</si>
  <si>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</si>
  <si>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</si>
  <si>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</si>
  <si>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</si>
  <si>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</si>
  <si>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</si>
  <si>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</si>
  <si>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</si>
  <si>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</si>
  <si>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</si>
  <si>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</si>
  <si>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</si>
  <si>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</si>
  <si>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</si>
  <si>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</si>
  <si>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</si>
  <si>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</si>
  <si>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</si>
  <si>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</si>
  <si>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</si>
  <si>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</si>
  <si>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</si>
  <si>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</si>
  <si>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</si>
  <si>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</si>
  <si>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</si>
  <si>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</si>
  <si>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</si>
  <si>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</si>
  <si>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</si>
  <si>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</si>
  <si>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</si>
  <si>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</si>
  <si>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</si>
  <si>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</si>
  <si>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</si>
  <si>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</si>
  <si>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</si>
  <si>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</si>
  <si>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</si>
  <si>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</si>
  <si>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</si>
  <si>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</si>
  <si>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</si>
  <si>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</si>
  <si>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</si>
  <si>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</si>
  <si>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</si>
  <si>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</si>
  <si>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</si>
  <si>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</si>
  <si>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</si>
  <si>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</si>
  <si>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</si>
  <si>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</si>
  <si>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</si>
  <si>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</si>
  <si>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</si>
  <si>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</si>
  <si>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</si>
  <si>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</si>
  <si>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</si>
  <si>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</si>
  <si>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</si>
  <si>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</si>
  <si>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</si>
  <si>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</si>
  <si>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</si>
  <si>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</si>
  <si>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</si>
  <si>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</si>
  <si>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</si>
  <si>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</si>
  <si>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</si>
  <si>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</si>
  <si>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</si>
  <si>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</si>
  <si>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</si>
  <si>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</si>
  <si>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</si>
  <si>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</si>
  <si>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</si>
  <si>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</si>
  <si>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</si>
  <si>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</si>
  <si>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</si>
  <si>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</si>
  <si>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</si>
  <si>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</si>
  <si>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</si>
  <si>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</si>
  <si>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</si>
  <si>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</si>
  <si>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</si>
  <si>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</si>
  <si>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</si>
  <si>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</si>
  <si>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</si>
  <si>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</si>
  <si>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</si>
  <si>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</si>
  <si>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</si>
  <si>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</si>
  <si>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</si>
  <si>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</si>
  <si>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</si>
  <si>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</si>
  <si>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</si>
  <si>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</si>
  <si>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</si>
  <si>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</si>
  <si>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</si>
  <si>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</si>
  <si>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</si>
  <si>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</si>
  <si>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</si>
  <si>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</si>
  <si>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</si>
  <si>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</si>
  <si>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</si>
  <si>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</si>
  <si>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</si>
  <si>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</si>
  <si>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</si>
  <si>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</si>
  <si>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</si>
  <si>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</si>
  <si>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</si>
  <si>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</si>
  <si>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</si>
  <si>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</si>
  <si>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</si>
  <si>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</si>
  <si>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</si>
  <si>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</si>
  <si>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</si>
  <si>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</si>
  <si>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</si>
  <si>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</si>
  <si>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</si>
  <si>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</si>
  <si>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</si>
  <si>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</si>
  <si>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</si>
  <si>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</si>
  <si>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</si>
  <si>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</si>
  <si>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</si>
  <si>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</si>
  <si>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</si>
  <si>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</si>
  <si>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</si>
  <si>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</si>
  <si>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</si>
  <si>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</si>
  <si>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</si>
  <si>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</si>
  <si>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</si>
  <si>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</si>
  <si>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</si>
  <si>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</si>
  <si>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</si>
  <si>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</si>
  <si>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</si>
  <si>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</si>
  <si>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</si>
  <si>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</si>
  <si>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</si>
  <si>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</si>
  <si>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</si>
  <si>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</si>
  <si>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</si>
  <si>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</si>
  <si>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</si>
  <si>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</si>
  <si>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</si>
  <si>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</si>
  <si>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</si>
  <si>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</si>
  <si>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</si>
  <si>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</si>
  <si>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</si>
  <si>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</si>
  <si>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</si>
  <si>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</si>
  <si>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</si>
  <si>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</si>
  <si>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</si>
  <si>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</si>
  <si>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</si>
  <si>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</si>
  <si>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</si>
  <si>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</si>
  <si>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</si>
  <si>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</si>
  <si>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</si>
  <si>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</si>
  <si>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</si>
  <si>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</si>
  <si>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</si>
  <si>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</si>
  <si>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</si>
  <si>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</si>
  <si>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</si>
  <si>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</si>
  <si>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</si>
  <si>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</si>
  <si>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</si>
  <si>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</si>
  <si>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</si>
  <si>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</si>
  <si>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</si>
  <si>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</si>
  <si>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</si>
  <si>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</si>
  <si>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</si>
  <si>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</si>
  <si>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</si>
  <si>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</si>
  <si>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</si>
  <si>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</si>
  <si>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</si>
  <si>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</si>
  <si>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</si>
  <si>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</si>
  <si>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</si>
  <si>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</si>
  <si>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</si>
  <si>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</si>
  <si>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</si>
  <si>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</si>
  <si>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</si>
  <si>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</si>
  <si>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</si>
  <si>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</si>
  <si>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</si>
  <si>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</si>
  <si>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</si>
  <si>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</si>
  <si>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</si>
  <si>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</si>
  <si>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</si>
  <si>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</si>
  <si>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</si>
  <si>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</si>
  <si>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</si>
  <si>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</si>
  <si>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</si>
  <si>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</si>
  <si>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</si>
  <si>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</si>
  <si>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</si>
  <si>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</si>
  <si>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</si>
  <si>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</si>
  <si>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</si>
  <si>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</si>
  <si>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</si>
  <si>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</si>
  <si>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</si>
  <si>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</si>
  <si>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</si>
  <si>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</si>
  <si>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</si>
  <si>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</si>
  <si>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</si>
  <si>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</si>
  <si>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</si>
  <si>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</si>
  <si>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</si>
  <si>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</si>
  <si>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</si>
  <si>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</si>
  <si>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</si>
  <si>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</si>
  <si>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</si>
  <si>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</si>
  <si>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</si>
  <si>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</si>
  <si>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</si>
  <si>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</si>
  <si>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</si>
  <si>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</si>
  <si>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</si>
  <si>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</si>
  <si>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</si>
  <si>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</si>
  <si>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</si>
  <si>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</si>
  <si>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</si>
  <si>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</si>
  <si>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</si>
  <si>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</si>
  <si>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</si>
  <si>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</si>
  <si>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</si>
  <si>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</si>
  <si>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</si>
  <si>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</si>
  <si>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</si>
  <si>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</si>
  <si>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</si>
  <si>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</si>
  <si>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</si>
  <si>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</si>
  <si>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</si>
  <si>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</si>
  <si>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</si>
  <si>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</si>
  <si>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</si>
  <si>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</si>
  <si>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</si>
  <si>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</si>
  <si>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</si>
  <si>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</si>
  <si>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</si>
  <si>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</si>
  <si>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</si>
  <si>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</si>
  <si>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</si>
  <si>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</si>
  <si>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</si>
  <si>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</si>
  <si>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</si>
  <si>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</si>
  <si>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</si>
  <si>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</si>
  <si>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</si>
  <si>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</si>
  <si>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</si>
  <si>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</si>
  <si>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</si>
  <si>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</si>
  <si>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</si>
  <si>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</si>
  <si>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</si>
  <si>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</si>
  <si>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</si>
  <si>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</si>
  <si>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</si>
  <si>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</si>
  <si>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</si>
  <si>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</si>
  <si>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</si>
  <si>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</si>
  <si>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</si>
  <si>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</si>
  <si>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</si>
  <si>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</si>
  <si>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</si>
  <si>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</si>
  <si>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</si>
  <si>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</si>
  <si>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</si>
  <si>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</si>
  <si>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</si>
  <si>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</si>
  <si>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</si>
  <si>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</si>
  <si>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</si>
  <si>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</si>
  <si>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</si>
  <si>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</si>
  <si>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</si>
  <si>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</si>
  <si>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</si>
  <si>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</si>
  <si>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</si>
  <si>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</si>
  <si>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</si>
  <si>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</si>
  <si>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</si>
  <si>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</si>
  <si>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</si>
  <si>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</si>
  <si>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</si>
  <si>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</si>
  <si>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</si>
  <si>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</si>
  <si>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</si>
  <si>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</si>
  <si>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</si>
  <si>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</si>
  <si>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</si>
  <si>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</si>
  <si>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</si>
  <si>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</si>
  <si>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</si>
  <si>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</si>
  <si>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</si>
  <si>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</si>
  <si>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</si>
  <si>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</si>
  <si>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</si>
  <si>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</si>
  <si>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</si>
  <si>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</si>
  <si>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</si>
  <si>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</si>
  <si>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</si>
  <si>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</si>
  <si>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</si>
  <si>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</si>
  <si>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</si>
  <si>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</si>
  <si>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</si>
  <si>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</si>
  <si>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</si>
  <si>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</si>
  <si>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</si>
  <si>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</si>
  <si>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</si>
  <si>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</si>
  <si>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</si>
  <si>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</si>
  <si>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</si>
  <si>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</si>
  <si>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</si>
  <si>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</si>
  <si>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</si>
  <si>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</si>
  <si>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</si>
  <si>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</si>
  <si>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</si>
  <si>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</si>
  <si>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</si>
  <si>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</si>
  <si>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</si>
  <si>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</si>
  <si>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</si>
  <si>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</si>
  <si>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</si>
  <si>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</si>
  <si>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</si>
  <si>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</si>
  <si>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</si>
  <si>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</si>
  <si>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</si>
  <si>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</si>
  <si>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</si>
  <si>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</si>
  <si>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</si>
  <si>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</si>
  <si>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</si>
  <si>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</si>
  <si>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</si>
  <si>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</si>
  <si>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</si>
  <si>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</si>
  <si>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</si>
  <si>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</si>
  <si>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</si>
  <si>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</si>
  <si>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</si>
  <si>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</si>
  <si>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</si>
  <si>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</si>
  <si>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</si>
  <si>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</si>
  <si>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</si>
  <si>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</si>
  <si>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</si>
  <si>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</si>
  <si>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</si>
  <si>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</si>
  <si>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</si>
  <si>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</si>
  <si>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</si>
  <si>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</si>
  <si>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</si>
  <si>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</si>
  <si>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</si>
  <si>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</si>
  <si>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</si>
  <si>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</si>
  <si>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</si>
  <si>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</si>
  <si>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</si>
  <si>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</si>
  <si>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</si>
  <si>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</si>
  <si>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</si>
  <si>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</si>
  <si>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</si>
  <si>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</si>
  <si>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</si>
  <si>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</si>
  <si>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</si>
  <si>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</si>
  <si>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</si>
  <si>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</si>
  <si>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</si>
  <si>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</si>
  <si>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</si>
  <si>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</si>
  <si>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</si>
  <si>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</si>
  <si>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</si>
  <si>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</si>
  <si>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</si>
  <si>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</si>
  <si>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</si>
  <si>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</si>
  <si>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</si>
  <si>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</si>
  <si>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</si>
  <si>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</si>
  <si>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</si>
  <si>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</si>
  <si>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</si>
  <si>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</si>
  <si>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</si>
  <si>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</si>
  <si>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</si>
  <si>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</si>
  <si>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</si>
  <si>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</si>
  <si>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</si>
  <si>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</si>
  <si>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</si>
  <si>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</si>
  <si>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</si>
  <si>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</si>
  <si>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</si>
  <si>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</si>
  <si>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</si>
  <si>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</si>
  <si>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</si>
  <si>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</si>
  <si>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</si>
  <si>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</si>
  <si>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</si>
  <si>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</si>
  <si>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</si>
  <si>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</si>
  <si>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</si>
  <si>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</si>
  <si>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</si>
  <si>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</si>
  <si>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</si>
  <si>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</si>
  <si>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</si>
  <si>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</si>
  <si>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</si>
  <si>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</si>
  <si>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</si>
  <si>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</si>
  <si>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</si>
  <si>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</si>
  <si>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</si>
  <si>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</si>
  <si>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</si>
  <si>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</si>
  <si>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</si>
  <si>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</si>
  <si>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</si>
  <si>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</si>
  <si>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</si>
  <si>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</si>
  <si>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</si>
  <si>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</si>
  <si>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</si>
  <si>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</si>
  <si>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</si>
  <si>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</si>
  <si>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</si>
  <si>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</si>
  <si>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</si>
  <si>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</si>
  <si>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</si>
  <si>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</si>
  <si>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</si>
  <si>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</si>
  <si>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</si>
  <si>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</si>
  <si>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</si>
  <si>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</si>
  <si>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</si>
  <si>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</si>
  <si>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</si>
  <si>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</si>
  <si>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</si>
  <si>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</si>
  <si>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</si>
  <si>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</si>
  <si>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</si>
  <si>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</si>
  <si>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</si>
  <si>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</si>
  <si>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</si>
  <si>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</si>
  <si>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</si>
  <si>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</si>
  <si>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</si>
  <si>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</si>
  <si>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</si>
  <si>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</si>
  <si>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</si>
  <si>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</si>
  <si>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</si>
  <si>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</si>
  <si>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</si>
  <si>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</si>
  <si>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</si>
  <si>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</si>
  <si>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</si>
  <si>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</si>
  <si>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</si>
  <si>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</si>
  <si>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</si>
  <si>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</si>
  <si>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</si>
  <si>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</si>
  <si>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</si>
  <si>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</si>
  <si>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</si>
  <si>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</si>
  <si>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</si>
  <si>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</si>
  <si>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</si>
  <si>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</si>
  <si>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</si>
  <si>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</si>
  <si>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</si>
  <si>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</si>
  <si>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</si>
  <si>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</si>
  <si>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</si>
  <si>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</si>
  <si>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</si>
  <si>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</si>
  <si>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</si>
  <si>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</si>
  <si>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</si>
  <si>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</si>
  <si>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</si>
  <si>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</si>
  <si>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</si>
  <si>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</si>
  <si>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</si>
  <si>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</si>
  <si>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</si>
  <si>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</si>
  <si>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</si>
  <si>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</si>
  <si>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</si>
  <si>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</si>
  <si>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</si>
  <si>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</si>
  <si>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</si>
  <si>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</si>
  <si>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</si>
  <si>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</si>
  <si>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</si>
  <si>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</si>
  <si>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</si>
  <si>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</si>
  <si>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</si>
  <si>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</si>
  <si>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</si>
  <si>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</si>
  <si>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</si>
  <si>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</si>
  <si>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</si>
  <si>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</si>
  <si>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</si>
  <si>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</si>
  <si>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</si>
  <si>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</si>
  <si>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</si>
  <si>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</si>
  <si>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</si>
  <si>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</si>
  <si>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</si>
  <si>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</si>
  <si>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</si>
  <si>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</si>
  <si>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</si>
  <si>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</si>
  <si>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</si>
  <si>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</si>
  <si>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</si>
  <si>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</si>
  <si>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</si>
  <si>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</si>
  <si>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</si>
  <si>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</si>
  <si>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</si>
  <si>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</si>
  <si>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</si>
  <si>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</si>
  <si>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</si>
  <si>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</si>
  <si>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</si>
  <si>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</si>
  <si>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</si>
  <si>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</si>
  <si>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</si>
  <si>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</si>
  <si>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</si>
  <si>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</si>
  <si>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</si>
  <si>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</si>
  <si>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</si>
  <si>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</si>
  <si>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</si>
  <si>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</si>
  <si>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</si>
  <si>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</si>
  <si>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</si>
  <si>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</si>
  <si>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</si>
  <si>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</si>
  <si>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</si>
  <si>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</si>
  <si>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</si>
  <si>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</si>
  <si>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</si>
  <si>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</si>
  <si>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</si>
  <si>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</si>
  <si>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</si>
  <si>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</si>
  <si>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</si>
  <si>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</si>
  <si>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</si>
  <si>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</si>
  <si>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</si>
  <si>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</si>
  <si>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</si>
  <si>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</si>
  <si>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</si>
  <si>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</si>
  <si>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</si>
  <si>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</si>
  <si>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</si>
  <si>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</si>
  <si>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</si>
  <si>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</si>
  <si>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</si>
  <si>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</si>
  <si>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</si>
  <si>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</si>
  <si>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</si>
  <si>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</si>
  <si>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</si>
  <si>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</si>
  <si>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</si>
  <si>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</si>
  <si>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</si>
  <si>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</si>
  <si>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</si>
  <si>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</si>
  <si>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</si>
  <si>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</si>
  <si>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</si>
  <si>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</si>
  <si>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</si>
  <si>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</si>
  <si>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</si>
  <si>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</si>
  <si>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</si>
  <si>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</si>
  <si>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</si>
  <si>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</si>
  <si>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</si>
  <si>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</si>
  <si>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</si>
  <si>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</si>
  <si>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</si>
  <si>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</si>
  <si>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</si>
  <si>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</si>
  <si>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</si>
  <si>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</si>
  <si>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</si>
  <si>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</si>
  <si>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</si>
  <si>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</si>
  <si>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</si>
  <si>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</si>
  <si>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</si>
  <si>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</si>
  <si>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</si>
  <si>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</si>
  <si>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</si>
  <si>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</si>
  <si>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</si>
  <si>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</si>
  <si>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</si>
  <si>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</si>
  <si>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</si>
  <si>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</si>
  <si>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</si>
  <si>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</si>
  <si>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</si>
  <si>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</si>
  <si>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</si>
  <si>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</si>
  <si>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</si>
  <si>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</si>
  <si>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</si>
  <si>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</si>
  <si>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</si>
  <si>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</si>
  <si>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</si>
  <si>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</si>
  <si>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</si>
  <si>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</si>
  <si>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</si>
  <si>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</si>
  <si>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</si>
  <si>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</si>
  <si>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</si>
  <si>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</si>
  <si>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</si>
  <si>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</si>
  <si>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</si>
  <si>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</si>
  <si>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</si>
  <si>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</si>
  <si>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</si>
  <si>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</si>
  <si>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</si>
  <si>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</si>
  <si>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</si>
  <si>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</si>
  <si>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</si>
  <si>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</si>
  <si>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</si>
  <si>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</si>
  <si>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</si>
  <si>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</si>
  <si>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</si>
  <si>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</si>
  <si>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</si>
  <si>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</si>
  <si>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</si>
  <si>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</si>
  <si>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</si>
  <si>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</si>
  <si>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</si>
  <si>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</si>
  <si>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</si>
  <si>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</si>
  <si>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</si>
  <si>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</si>
  <si>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</si>
  <si>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</si>
  <si>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</si>
  <si>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</si>
  <si>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</si>
  <si>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</si>
  <si>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</si>
  <si>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</si>
  <si>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</si>
  <si>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</si>
  <si>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</si>
  <si>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</si>
  <si>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</si>
  <si>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</si>
  <si>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</si>
  <si>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</si>
  <si>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</si>
  <si>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</si>
  <si>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</si>
  <si>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</si>
  <si>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</si>
  <si>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</si>
  <si>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</si>
  <si>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</si>
  <si>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</si>
  <si>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</si>
  <si>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</si>
  <si>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</si>
  <si>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</si>
  <si>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</si>
  <si>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</si>
  <si>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</si>
  <si>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</si>
  <si>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</si>
  <si>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</si>
  <si>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</si>
  <si>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</si>
  <si>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</si>
  <si>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</si>
  <si>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</si>
  <si>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</si>
  <si>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</si>
  <si>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</si>
  <si>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</si>
  <si>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</si>
  <si>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</si>
  <si>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</si>
  <si>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</si>
  <si>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</si>
  <si>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</si>
  <si>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</si>
  <si>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</si>
  <si>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</si>
  <si>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</si>
  <si>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</si>
  <si>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</si>
  <si>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</si>
  <si>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</si>
  <si>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</si>
  <si>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</si>
  <si>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</si>
  <si>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</si>
  <si>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</si>
  <si>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</si>
  <si>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</si>
  <si>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</si>
  <si>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</si>
  <si>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</si>
  <si>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</si>
  <si>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</si>
  <si>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</si>
  <si>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</si>
  <si>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</si>
  <si>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</si>
  <si>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</si>
  <si>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</si>
  <si>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</si>
  <si>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</si>
  <si>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</si>
  <si>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</si>
  <si>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</si>
  <si>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</si>
  <si>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</si>
  <si>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</si>
  <si>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</si>
  <si>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</si>
  <si>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</si>
  <si>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</si>
  <si>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</si>
  <si>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</si>
  <si>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</si>
  <si>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</si>
  <si>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</si>
  <si>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</si>
  <si>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</si>
  <si>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</si>
  <si>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</si>
  <si>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</si>
  <si>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</si>
  <si>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</si>
  <si>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</si>
  <si>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</si>
  <si>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</si>
  <si>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</si>
  <si>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</si>
  <si>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</si>
  <si>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</si>
  <si>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</si>
  <si>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</si>
  <si>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</si>
  <si>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</si>
  <si>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</si>
  <si>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</si>
  <si>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</si>
  <si>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</si>
  <si>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</si>
  <si>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</si>
  <si>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</si>
  <si>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</si>
  <si>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</si>
  <si>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</si>
  <si>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</si>
  <si>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</si>
  <si>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</si>
  <si>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</si>
  <si>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</si>
  <si>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</si>
  <si>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</si>
  <si>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</si>
  <si>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</si>
  <si>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</si>
  <si>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</si>
  <si>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</si>
  <si>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</si>
  <si>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</si>
  <si>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</si>
  <si>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</si>
  <si>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</si>
  <si>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</si>
  <si>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</si>
  <si>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</si>
  <si>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</si>
  <si>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</si>
  <si>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</si>
  <si>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</si>
  <si>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</si>
  <si>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</si>
  <si>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</si>
  <si>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</si>
  <si>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</si>
  <si>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</si>
  <si>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</si>
  <si>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</si>
  <si>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</si>
  <si>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</si>
  <si>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</si>
  <si>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</si>
  <si>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</si>
  <si>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</si>
  <si>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</si>
  <si>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</si>
  <si>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</si>
  <si>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</si>
  <si>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</si>
  <si>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</si>
  <si>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</si>
  <si>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</si>
  <si>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</si>
  <si>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</si>
  <si>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</si>
  <si>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</si>
  <si>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</si>
  <si>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</si>
  <si>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</si>
  <si>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</si>
  <si>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</si>
  <si>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</si>
  <si>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</si>
  <si>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</si>
  <si>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</si>
  <si>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</si>
  <si>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</si>
  <si>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</si>
  <si>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</si>
  <si>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</si>
  <si>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</si>
  <si>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</si>
  <si>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</si>
  <si>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</si>
  <si>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</si>
  <si>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</si>
  <si>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</si>
  <si>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</si>
  <si>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</si>
  <si>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</si>
  <si>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</si>
  <si>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</si>
  <si>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</si>
  <si>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</si>
  <si>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</si>
  <si>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</si>
  <si>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</si>
  <si>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</si>
  <si>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</si>
  <si>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</si>
  <si>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</si>
  <si>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</si>
  <si>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</si>
  <si>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</si>
  <si>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</si>
  <si>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</si>
  <si>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</si>
  <si>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</si>
  <si>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</si>
  <si>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</si>
  <si>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</si>
  <si>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</si>
  <si>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</si>
  <si>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</si>
  <si>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</si>
  <si>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</si>
  <si>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</si>
  <si>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</si>
  <si>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</si>
  <si>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</si>
  <si>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</si>
  <si>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</si>
  <si>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</si>
  <si>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</si>
  <si>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</si>
  <si>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</si>
  <si>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</si>
  <si>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</si>
  <si>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</si>
  <si>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</si>
  <si>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</si>
  <si>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</si>
  <si>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</si>
  <si>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</si>
  <si>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</si>
  <si>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</si>
  <si>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</si>
  <si>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</si>
  <si>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</si>
  <si>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</si>
  <si>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</si>
  <si>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</si>
  <si>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</si>
  <si>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</si>
  <si>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</si>
  <si>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</si>
  <si>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</si>
  <si>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</si>
  <si>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</si>
  <si>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</si>
  <si>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</si>
  <si>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</si>
  <si>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</si>
  <si>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</si>
  <si>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</si>
  <si>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</si>
  <si>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</si>
  <si>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</si>
  <si>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</si>
  <si>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</si>
  <si>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</si>
  <si>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</si>
  <si>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</si>
  <si>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</si>
  <si>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</si>
  <si>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</si>
  <si>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</si>
  <si>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</si>
  <si>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</si>
  <si>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</si>
  <si>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</si>
  <si>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</si>
  <si>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</si>
  <si>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</si>
  <si>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</si>
  <si>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</si>
  <si>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</si>
  <si>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</si>
  <si>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</si>
  <si>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</si>
  <si>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</si>
  <si>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</si>
  <si>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</si>
  <si>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</si>
  <si>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</si>
  <si>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</si>
  <si>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</si>
  <si>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</si>
  <si>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</si>
  <si>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</si>
  <si>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</si>
  <si>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</si>
  <si>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</si>
  <si>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</si>
  <si>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</si>
  <si>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</si>
  <si>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</si>
  <si>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</si>
  <si>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</si>
  <si>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</si>
  <si>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</si>
  <si>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</si>
  <si>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</si>
  <si>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</si>
  <si>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</si>
  <si>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</si>
  <si>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</si>
  <si>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</si>
  <si>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</si>
  <si>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</si>
  <si>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</si>
  <si>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</si>
  <si>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</si>
  <si>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</si>
  <si>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</si>
  <si>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</si>
  <si>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</si>
  <si>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</si>
  <si>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</si>
  <si>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</si>
  <si>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</si>
  <si>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</si>
  <si>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</si>
  <si>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</si>
  <si>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</si>
  <si>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</si>
  <si>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</si>
  <si>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</si>
  <si>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</si>
  <si>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</si>
  <si>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</si>
  <si>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</si>
  <si>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</si>
  <si>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</si>
  <si>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</si>
  <si>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</si>
  <si>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</si>
  <si>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</si>
  <si>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</si>
  <si>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</si>
  <si>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</si>
  <si>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</si>
  <si>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</si>
  <si>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</si>
  <si>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</si>
  <si>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</si>
  <si>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</si>
  <si>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</si>
  <si>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</si>
  <si>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</si>
  <si>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</si>
  <si>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</si>
  <si>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</si>
  <si>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</si>
  <si>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</si>
  <si>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</si>
  <si>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</si>
  <si>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</si>
  <si>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</si>
  <si>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</si>
  <si>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</si>
  <si>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</si>
  <si>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</si>
  <si>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</si>
  <si>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</si>
  <si>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</si>
  <si>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</si>
  <si>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</si>
  <si>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</si>
  <si>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</si>
  <si>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</si>
  <si>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</si>
  <si>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</si>
  <si>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</si>
  <si>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</si>
  <si>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</si>
  <si>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</si>
  <si>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</si>
  <si>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</si>
  <si>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</si>
  <si>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</si>
  <si>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</si>
  <si>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</si>
  <si>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</si>
  <si>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</si>
  <si>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</si>
  <si>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</si>
  <si>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</si>
  <si>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</si>
  <si>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</si>
  <si>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</si>
  <si>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</si>
  <si>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</si>
  <si>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</si>
  <si>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</si>
  <si>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</si>
  <si>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</si>
  <si>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</si>
  <si>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</si>
  <si>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</si>
  <si>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</si>
  <si>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</si>
  <si>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</si>
  <si>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</si>
  <si>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</si>
  <si>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</si>
  <si>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</si>
  <si>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</si>
  <si>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</si>
  <si>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</si>
  <si>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</si>
  <si>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</si>
  <si>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</si>
  <si>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</si>
  <si>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</si>
  <si>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</si>
  <si>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</si>
  <si>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</si>
  <si>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</si>
  <si>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</si>
  <si>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</si>
  <si>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</si>
  <si>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</si>
  <si>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</si>
  <si>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</si>
  <si>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</si>
  <si>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</si>
  <si>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</si>
  <si>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</si>
  <si>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</si>
  <si>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</si>
  <si>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</si>
  <si>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</si>
  <si>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</si>
  <si>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</si>
  <si>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</si>
  <si>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</si>
  <si>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</si>
  <si>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</si>
  <si>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</si>
  <si>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</si>
  <si>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</si>
  <si>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</si>
  <si>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</si>
  <si>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</si>
  <si>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</si>
  <si>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</si>
  <si>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</si>
  <si>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</si>
  <si>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</si>
  <si>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</si>
  <si>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</si>
  <si>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</si>
  <si>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</si>
  <si>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</si>
  <si>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</si>
  <si>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</si>
  <si>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</si>
  <si>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</si>
  <si>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</si>
  <si>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</si>
  <si>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</si>
  <si>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</si>
  <si>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</si>
  <si>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</si>
  <si>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</si>
  <si>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</si>
  <si>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</si>
  <si>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</si>
  <si>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</si>
  <si>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</si>
  <si>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</si>
  <si>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</si>
  <si>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</si>
  <si>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</si>
  <si>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</si>
  <si>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</si>
  <si>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</si>
  <si>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</si>
  <si>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</si>
  <si>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</si>
  <si>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</si>
  <si>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</si>
  <si>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</si>
  <si>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</si>
  <si>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</si>
  <si>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</si>
  <si>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</si>
  <si>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</si>
  <si>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</si>
  <si>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</si>
  <si>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</si>
  <si>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</si>
  <si>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</si>
  <si>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</si>
  <si>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</si>
  <si>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</si>
  <si>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</si>
  <si>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</si>
  <si>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</si>
  <si>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</si>
  <si>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</si>
  <si>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</si>
  <si>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</si>
  <si>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</si>
  <si>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</si>
  <si>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</si>
  <si>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</si>
  <si>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</si>
  <si>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</si>
  <si>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</si>
  <si>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</si>
  <si>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</si>
  <si>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</si>
  <si>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</si>
  <si>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</si>
  <si>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</si>
  <si>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</si>
  <si>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</si>
  <si>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</si>
  <si>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</si>
  <si>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</si>
  <si>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</si>
  <si>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</si>
  <si>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</si>
  <si>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</si>
  <si>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</si>
  <si>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</si>
  <si>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</si>
  <si>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</si>
  <si>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</si>
  <si>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</si>
  <si>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</si>
  <si>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</si>
  <si>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</si>
  <si>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</si>
  <si>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</si>
  <si>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</si>
  <si>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</si>
  <si>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</si>
  <si>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</si>
  <si>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</si>
  <si>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</si>
  <si>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</si>
  <si>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</si>
  <si>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</si>
  <si>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</si>
  <si>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</si>
  <si>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</si>
  <si>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</si>
  <si>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</si>
  <si>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</si>
  <si>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</si>
  <si>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</si>
  <si>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</si>
  <si>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</si>
  <si>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</si>
  <si>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</si>
  <si>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</si>
  <si>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</si>
  <si>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</si>
  <si>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</si>
  <si>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</si>
  <si>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</si>
  <si>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</si>
  <si>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</si>
  <si>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</si>
  <si>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</si>
  <si>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</si>
  <si>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</si>
  <si>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</si>
  <si>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</si>
  <si>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</si>
  <si>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</si>
  <si>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</si>
  <si>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</si>
  <si>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</si>
  <si>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</si>
  <si>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</si>
  <si>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</si>
  <si>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</si>
  <si>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</si>
  <si>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</si>
  <si>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</si>
  <si>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</si>
  <si>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</si>
  <si>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</si>
  <si>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</si>
  <si>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</si>
  <si>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</si>
  <si>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</si>
  <si>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</si>
  <si>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</si>
  <si>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</si>
  <si>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</si>
  <si>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</si>
  <si>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</si>
  <si>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</si>
  <si>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</si>
  <si>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</si>
  <si>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</si>
  <si>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</si>
  <si>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</si>
  <si>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</si>
  <si>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</si>
  <si>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</si>
  <si>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</si>
  <si>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</si>
  <si>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</si>
  <si>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</si>
  <si>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</si>
  <si>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</si>
  <si>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</si>
  <si>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</si>
  <si>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</si>
  <si>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</si>
  <si>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</si>
  <si>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</si>
  <si>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</si>
  <si>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</si>
  <si>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</si>
  <si>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</si>
  <si>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</si>
  <si>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</si>
  <si>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</si>
  <si>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</si>
  <si>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</si>
  <si>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</si>
  <si>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</si>
  <si>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</si>
  <si>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</si>
  <si>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</si>
  <si>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</si>
  <si>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</si>
  <si>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</si>
  <si>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</si>
  <si>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</si>
  <si>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</si>
  <si>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</si>
  <si>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</si>
  <si>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</si>
  <si>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</si>
  <si>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</si>
  <si>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</si>
  <si>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</si>
  <si>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</si>
  <si>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</si>
  <si>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</si>
  <si>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</si>
  <si>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</si>
  <si>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</si>
  <si>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</si>
  <si>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</si>
  <si>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</si>
  <si>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</si>
  <si>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</si>
  <si>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</si>
  <si>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</si>
  <si>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</si>
  <si>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</si>
  <si>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</si>
  <si>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</si>
  <si>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</si>
  <si>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</si>
  <si>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</si>
  <si>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</si>
  <si>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</si>
  <si>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</si>
  <si>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</si>
  <si>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</si>
  <si>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</si>
  <si>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</si>
  <si>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</si>
  <si>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</si>
  <si>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</si>
  <si>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</si>
  <si>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</si>
  <si>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</si>
  <si>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</si>
  <si>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</si>
  <si>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</si>
  <si>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</si>
  <si>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</si>
  <si>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</si>
  <si>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</si>
  <si>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</si>
  <si>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</si>
  <si>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</si>
  <si>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</si>
  <si>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</si>
  <si>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</si>
  <si>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</si>
  <si>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</si>
  <si>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</si>
  <si>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</si>
  <si>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</si>
  <si>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</si>
  <si>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</si>
  <si>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</si>
  <si>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</si>
  <si>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</si>
  <si>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</si>
  <si>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</si>
  <si>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</si>
  <si>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</si>
  <si>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</si>
  <si>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</si>
  <si>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</si>
  <si>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</si>
  <si>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</si>
  <si>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</si>
  <si>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</si>
  <si>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</si>
  <si>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</si>
  <si>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</si>
  <si>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</si>
  <si>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</si>
  <si>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</si>
  <si>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</si>
  <si>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</si>
  <si>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</si>
  <si>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</si>
  <si>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</si>
  <si>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</si>
  <si>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</si>
  <si>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</si>
  <si>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</si>
  <si>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</si>
  <si>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</si>
  <si>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</si>
  <si>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</si>
  <si>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</si>
  <si>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</si>
  <si>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</si>
  <si>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</si>
  <si>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</si>
  <si>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</si>
  <si>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</si>
  <si>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</si>
  <si>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</si>
  <si>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</si>
  <si>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</si>
  <si>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</si>
  <si>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</si>
  <si>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</si>
  <si>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</si>
  <si>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</si>
  <si>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</si>
  <si>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</si>
  <si>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</si>
  <si>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</si>
  <si>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</si>
  <si>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</si>
  <si>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</si>
  <si>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</si>
  <si>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</si>
  <si>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</si>
  <si>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</si>
  <si>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</si>
  <si>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</si>
  <si>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</si>
  <si>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</si>
  <si>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</si>
  <si>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</si>
  <si>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</si>
  <si>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</si>
  <si>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</si>
  <si>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</si>
  <si>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</si>
  <si>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</si>
  <si>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</si>
  <si>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</si>
  <si>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</si>
  <si>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</si>
  <si>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</si>
  <si>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</si>
  <si>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</si>
  <si>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</si>
  <si>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</si>
  <si>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</si>
  <si>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</si>
  <si>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</si>
  <si>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</si>
  <si>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</si>
  <si>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</si>
  <si>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</si>
  <si>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</si>
  <si>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</si>
  <si>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</si>
  <si>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</si>
  <si>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</si>
  <si>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</si>
  <si>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</si>
  <si>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</si>
  <si>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</si>
  <si>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</si>
  <si>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</si>
  <si>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</si>
  <si>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</si>
  <si>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</si>
  <si>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</si>
  <si>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</si>
  <si>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</si>
  <si>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</si>
  <si>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</si>
  <si>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</si>
  <si>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</si>
  <si>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</si>
  <si>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</si>
  <si>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</si>
  <si>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</si>
  <si>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</si>
  <si>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</si>
  <si>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</si>
  <si>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</si>
  <si>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</si>
  <si>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</si>
  <si>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</si>
  <si>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</si>
  <si>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</si>
  <si>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</si>
  <si>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</si>
  <si>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</si>
  <si>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</si>
  <si>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</si>
  <si>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</si>
  <si>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</si>
  <si>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</si>
  <si>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</si>
  <si>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</si>
  <si>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</si>
  <si>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</si>
  <si>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</si>
  <si>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</si>
  <si>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</si>
  <si>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</si>
  <si>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</si>
  <si>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</si>
  <si>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</si>
  <si>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</si>
  <si>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</si>
  <si>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</si>
  <si>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</si>
  <si>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</si>
  <si>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</si>
  <si>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</si>
  <si>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</si>
  <si>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</si>
  <si>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</si>
  <si>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</si>
  <si>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</si>
  <si>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</si>
  <si>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</si>
  <si>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</si>
  <si>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</si>
  <si>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</si>
  <si>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</si>
  <si>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</si>
  <si>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</si>
  <si>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</si>
  <si>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</si>
  <si>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</si>
  <si>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</si>
  <si>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</si>
  <si>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</si>
  <si>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</si>
  <si>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</si>
  <si>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</si>
  <si>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</si>
  <si>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</si>
  <si>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</si>
  <si>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</si>
  <si>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</si>
  <si>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</si>
  <si>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</si>
  <si>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</si>
  <si>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</si>
  <si>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</si>
  <si>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</si>
  <si>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</si>
  <si>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</si>
  <si>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</si>
  <si>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</si>
  <si>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</si>
  <si>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</si>
  <si>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</si>
  <si>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</si>
  <si>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</si>
  <si>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</si>
  <si>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</si>
  <si>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</si>
  <si>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</si>
  <si>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</si>
  <si>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</si>
  <si>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</si>
  <si>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</si>
  <si>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</si>
  <si>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</si>
  <si>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</si>
  <si>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</si>
  <si>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</si>
  <si>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</si>
  <si>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</si>
  <si>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</si>
  <si>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</si>
  <si>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</si>
  <si>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</si>
  <si>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</si>
  <si>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</si>
  <si>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</si>
  <si>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</si>
  <si>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</si>
  <si>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</si>
  <si>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</si>
  <si>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</si>
  <si>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</si>
  <si>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</si>
  <si>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</si>
  <si>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</si>
  <si>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</si>
  <si>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</si>
  <si>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</si>
  <si>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</si>
  <si>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</si>
  <si>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</si>
  <si>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</si>
  <si>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</si>
  <si>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</si>
  <si>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</si>
  <si>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</si>
  <si>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</si>
  <si>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</si>
  <si>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</si>
  <si>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</si>
  <si>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</si>
  <si>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</si>
  <si>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</si>
  <si>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</si>
  <si>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</si>
  <si>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</si>
  <si>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</si>
  <si>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</si>
  <si>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</si>
  <si>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</si>
  <si>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</si>
  <si>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</si>
  <si>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</si>
  <si>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</si>
  <si>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</si>
  <si>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</si>
  <si>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</si>
  <si>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</si>
  <si>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</si>
  <si>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</si>
  <si>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</si>
  <si>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</si>
  <si>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</si>
  <si>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</si>
  <si>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</si>
  <si>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</si>
  <si>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</si>
  <si>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</si>
  <si>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</si>
  <si>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</si>
  <si>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</si>
  <si>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</si>
  <si>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</si>
  <si>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</si>
  <si>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</si>
  <si>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</si>
  <si>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</si>
  <si>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</si>
  <si>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</si>
  <si>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</si>
  <si>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</si>
  <si>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</si>
  <si>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</si>
  <si>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</si>
  <si>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</si>
  <si>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</si>
  <si>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</si>
  <si>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</si>
  <si>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</si>
  <si>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</si>
  <si>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</si>
  <si>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</si>
  <si>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</si>
  <si>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</si>
  <si>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</si>
  <si>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</si>
  <si>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</si>
  <si>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</si>
  <si>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</si>
  <si>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</si>
  <si>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</si>
  <si>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</si>
  <si>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</si>
  <si>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</si>
  <si>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</si>
  <si>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</si>
  <si>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</si>
  <si>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</si>
  <si>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</si>
  <si>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</si>
  <si>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</si>
  <si>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</si>
  <si>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</si>
  <si>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</si>
  <si>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</si>
  <si>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</si>
  <si>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</si>
  <si>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</si>
  <si>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</si>
  <si>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</si>
  <si>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</si>
  <si>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</si>
  <si>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</si>
  <si>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</si>
  <si>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</si>
  <si>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</si>
  <si>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</si>
  <si>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</si>
  <si>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</si>
  <si>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</si>
  <si>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</si>
  <si>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</si>
  <si>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</si>
  <si>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</si>
  <si>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</si>
  <si>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</si>
  <si>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</si>
  <si>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</si>
  <si>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</si>
  <si>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</si>
  <si>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</si>
  <si>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</si>
  <si>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</si>
  <si>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</si>
  <si>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</si>
  <si>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</si>
  <si>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</si>
  <si>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</si>
  <si>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</si>
  <si>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</si>
  <si>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</si>
  <si>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</si>
  <si>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</si>
  <si>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</si>
  <si>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</si>
  <si>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</si>
  <si>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</si>
  <si>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</si>
  <si>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</si>
  <si>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</si>
  <si>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</si>
  <si>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</si>
  <si>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</si>
  <si>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</si>
  <si>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</si>
  <si>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</si>
  <si>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</si>
  <si>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</si>
  <si>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</si>
  <si>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</si>
  <si>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</si>
  <si>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</si>
  <si>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</si>
  <si>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</si>
  <si>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</si>
  <si>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</si>
  <si>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</si>
  <si>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</si>
  <si>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</si>
  <si>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</si>
  <si>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</si>
  <si>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</si>
  <si>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</si>
  <si>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</si>
  <si>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</si>
  <si>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</si>
  <si>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</si>
  <si>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</si>
  <si>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</si>
  <si>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</si>
  <si>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</si>
  <si>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</si>
  <si>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</si>
  <si>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</si>
  <si>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</si>
  <si>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</si>
  <si>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</si>
  <si>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</si>
  <si>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</si>
  <si>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</si>
  <si>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</si>
  <si>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</si>
  <si>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</si>
  <si>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</si>
  <si>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</si>
  <si>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</si>
  <si>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</si>
  <si>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</si>
  <si>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</si>
  <si>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</si>
  <si>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</si>
  <si>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</si>
  <si>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</si>
  <si>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</si>
  <si>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</si>
  <si>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</si>
  <si>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</si>
  <si>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</si>
  <si>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</si>
  <si>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</si>
  <si>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</si>
  <si>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</si>
  <si>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</si>
  <si>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</si>
  <si>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</si>
  <si>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</si>
  <si>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</si>
  <si>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</si>
  <si>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</si>
  <si>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</si>
  <si>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</si>
  <si>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</si>
  <si>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</si>
  <si>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</si>
  <si>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</si>
  <si>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</si>
  <si>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</si>
  <si>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</si>
  <si>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</si>
  <si>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</si>
  <si>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</si>
  <si>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</si>
  <si>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</si>
  <si>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</si>
  <si>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</si>
  <si>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</si>
  <si>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</si>
  <si>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</si>
  <si>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</si>
  <si>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</si>
  <si>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</si>
  <si>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</si>
  <si>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</si>
  <si>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</si>
  <si>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</si>
  <si>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</si>
  <si>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</si>
  <si>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</si>
  <si>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</si>
  <si>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</si>
  <si>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</si>
  <si>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</si>
  <si>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</si>
  <si>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</si>
  <si>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</si>
  <si>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</si>
  <si>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</si>
  <si>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</si>
  <si>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</si>
  <si>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</si>
  <si>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</si>
  <si>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</si>
  <si>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</si>
  <si>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</si>
  <si>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</si>
  <si>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</si>
  <si>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</si>
  <si>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</si>
  <si>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</si>
  <si>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</si>
  <si>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</si>
  <si>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</si>
  <si>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</si>
  <si>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</si>
  <si>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</si>
  <si>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</si>
  <si>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</si>
  <si>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</si>
  <si>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</si>
  <si>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</si>
  <si>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</si>
  <si>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</si>
  <si>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</si>
  <si>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</si>
  <si>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</si>
  <si>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</si>
  <si>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</si>
  <si>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</si>
  <si>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</si>
  <si>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</si>
  <si>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</si>
  <si>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</si>
  <si>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</si>
  <si>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</si>
  <si>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</si>
  <si>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</si>
  <si>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</si>
  <si>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</si>
  <si>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</si>
  <si>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</si>
  <si>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</si>
  <si>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</si>
  <si>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</si>
  <si>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</si>
  <si>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</si>
  <si>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</si>
  <si>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</si>
  <si>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</si>
  <si>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</si>
  <si>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</si>
  <si>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</si>
  <si>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</si>
  <si>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</si>
  <si>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</si>
  <si>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</si>
  <si>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</si>
  <si>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</si>
  <si>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</si>
  <si>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</si>
  <si>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</si>
  <si>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</si>
  <si>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</si>
  <si>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</si>
  <si>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</si>
  <si>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</si>
  <si>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</si>
  <si>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</si>
  <si>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</si>
  <si>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</si>
  <si>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</si>
  <si>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</si>
  <si>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</si>
  <si>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</si>
  <si>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</si>
  <si>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</si>
  <si>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</si>
  <si>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</si>
  <si>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</si>
  <si>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</si>
  <si>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</si>
  <si>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</si>
  <si>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</si>
  <si>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</si>
  <si>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</si>
  <si>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</si>
  <si>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</si>
  <si>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</si>
  <si>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</si>
  <si>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</si>
  <si>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</si>
  <si>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</si>
  <si>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</si>
  <si>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</si>
  <si>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</si>
  <si>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</si>
  <si>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</si>
  <si>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</si>
  <si>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</si>
  <si>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</si>
  <si>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</si>
  <si>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</si>
  <si>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</si>
  <si>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</si>
  <si>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</si>
  <si>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</si>
  <si>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</si>
  <si>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</si>
  <si>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</si>
  <si>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</si>
  <si>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</si>
  <si>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</si>
  <si>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</si>
  <si>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</si>
  <si>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</si>
  <si>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</si>
  <si>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</si>
  <si>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</si>
  <si>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</si>
  <si>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</si>
  <si>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</si>
  <si>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</si>
  <si>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</si>
  <si>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</si>
  <si>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</si>
  <si>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</si>
  <si>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</si>
  <si>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</si>
  <si>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</si>
  <si>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</si>
  <si>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</si>
  <si>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</si>
  <si>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</si>
  <si>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</si>
  <si>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</si>
  <si>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</si>
  <si>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</si>
  <si>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</si>
  <si>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</si>
  <si>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</si>
  <si>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</si>
  <si>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</si>
  <si>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</si>
  <si>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</si>
  <si>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</si>
  <si>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</si>
  <si>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</si>
  <si>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</si>
  <si>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</si>
  <si>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</si>
  <si>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</si>
  <si>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</si>
  <si>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</si>
  <si>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</si>
  <si>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</si>
  <si>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</si>
  <si>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</si>
  <si>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</si>
  <si>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</si>
  <si>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</si>
  <si>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</si>
  <si>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</si>
  <si>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</si>
  <si>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</si>
  <si>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</si>
  <si>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</si>
  <si>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</si>
  <si>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</si>
  <si>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</si>
  <si>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</si>
  <si>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</si>
  <si>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</si>
  <si>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</si>
  <si>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</si>
  <si>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</si>
  <si>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</si>
  <si>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</si>
  <si>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</si>
  <si>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</si>
  <si>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</si>
  <si>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</si>
  <si>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</si>
  <si>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</si>
  <si>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</si>
  <si>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</si>
  <si>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</si>
  <si>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</si>
  <si>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</si>
  <si>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</si>
  <si>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</si>
  <si>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</si>
  <si>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</si>
  <si>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</si>
  <si>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</si>
  <si>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</si>
  <si>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</si>
  <si>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</si>
  <si>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</si>
  <si>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</si>
  <si>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</si>
  <si>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</si>
  <si>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</si>
  <si>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</si>
  <si>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</si>
  <si>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</si>
  <si>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</si>
  <si>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</si>
  <si>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</si>
  <si>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</si>
  <si>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</si>
  <si>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</si>
  <si>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</si>
  <si>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</si>
  <si>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</si>
  <si>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</si>
  <si>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</si>
  <si>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</si>
  <si>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</si>
  <si>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</si>
  <si>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</si>
  <si>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</si>
  <si>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</si>
  <si>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</si>
  <si>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</si>
  <si>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</si>
  <si>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</si>
  <si>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</si>
  <si>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</si>
  <si>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</si>
  <si>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</si>
  <si>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</si>
  <si>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</si>
  <si>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</si>
  <si>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</si>
  <si>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</si>
  <si>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</si>
  <si>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</si>
  <si>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</si>
  <si>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</si>
  <si>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</si>
  <si>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</si>
  <si>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</si>
  <si>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</si>
  <si>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</si>
  <si>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</si>
  <si>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</si>
  <si>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</si>
  <si>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</si>
  <si>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</si>
  <si>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</si>
  <si>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</si>
  <si>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</si>
  <si>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</si>
  <si>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</si>
  <si>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</si>
  <si>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</si>
  <si>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</si>
  <si>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</si>
  <si>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</si>
  <si>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</si>
  <si>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</si>
  <si>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</si>
  <si>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</si>
  <si>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</si>
  <si>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</si>
  <si>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</si>
  <si>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</si>
  <si>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</si>
  <si>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</si>
  <si>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</si>
  <si>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</si>
  <si>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</si>
  <si>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</si>
  <si>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</si>
  <si>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</si>
  <si>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</si>
  <si>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</si>
  <si>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</si>
  <si>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</si>
  <si>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</si>
  <si>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</si>
  <si>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</si>
  <si>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</si>
  <si>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</si>
  <si>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</si>
  <si>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</si>
  <si>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</si>
  <si>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</si>
  <si>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</si>
  <si>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</si>
  <si>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</si>
  <si>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</si>
  <si>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</si>
  <si>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</si>
  <si>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</si>
  <si>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</si>
  <si>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</si>
  <si>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</si>
  <si>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</si>
  <si>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</si>
  <si>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</si>
  <si>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</si>
  <si>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</si>
  <si>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</si>
  <si>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</si>
  <si>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</si>
  <si>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</si>
  <si>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</si>
  <si>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</si>
  <si>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</si>
  <si>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</si>
  <si>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</si>
  <si>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</si>
  <si>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</si>
  <si>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</si>
  <si>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</si>
  <si>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</si>
  <si>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</si>
  <si>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</si>
  <si>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</si>
  <si>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</si>
  <si>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</si>
  <si>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</si>
  <si>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</si>
  <si>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</si>
  <si>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</si>
  <si>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</si>
  <si>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</si>
  <si>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</si>
  <si>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</si>
  <si>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</si>
  <si>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</si>
  <si>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</si>
  <si>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</si>
  <si>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</si>
  <si>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</si>
  <si>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</si>
  <si>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</si>
  <si>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</si>
  <si>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</si>
  <si>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</si>
  <si>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</si>
  <si>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</si>
  <si>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</si>
  <si>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</si>
  <si>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</si>
  <si>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</si>
  <si>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</si>
  <si>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</si>
  <si>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</si>
  <si>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</si>
  <si>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</si>
  <si>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</si>
  <si>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</si>
  <si>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</si>
  <si>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</si>
  <si>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</si>
  <si>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</si>
  <si>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</si>
  <si>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</si>
  <si>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</si>
  <si>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</si>
  <si>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</si>
  <si>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</si>
  <si>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</si>
  <si>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</si>
  <si>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</si>
  <si>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</si>
  <si>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</si>
  <si>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</si>
  <si>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</si>
  <si>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</si>
  <si>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</si>
  <si>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</si>
  <si>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</si>
  <si>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</si>
  <si>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</si>
  <si>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</si>
  <si>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</si>
  <si>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</si>
  <si>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</si>
  <si>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</si>
  <si>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</si>
  <si>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</si>
  <si>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</si>
  <si>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</si>
  <si>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</si>
  <si>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</si>
  <si>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</si>
  <si>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</si>
  <si>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</si>
  <si>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</si>
  <si>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</si>
  <si>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</si>
  <si>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</si>
  <si>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</si>
  <si>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</si>
  <si>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</si>
  <si>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</si>
  <si>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</si>
  <si>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</si>
  <si>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</si>
  <si>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</si>
  <si>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</si>
  <si>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</si>
  <si>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</si>
  <si>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</si>
  <si>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</si>
  <si>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</si>
  <si>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</si>
  <si>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</si>
  <si>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</si>
  <si>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</si>
  <si>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</si>
  <si>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</si>
  <si>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</si>
  <si>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</si>
  <si>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</si>
  <si>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</si>
  <si>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</si>
  <si>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</si>
  <si>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</si>
  <si>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</si>
  <si>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</si>
  <si>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</si>
  <si>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</si>
  <si>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</si>
  <si>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</si>
  <si>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</si>
  <si>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</si>
  <si>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</si>
  <si>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</si>
  <si>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</si>
  <si>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</si>
  <si>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</si>
  <si>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</si>
  <si>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</si>
  <si>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</si>
  <si>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</si>
  <si>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</si>
  <si>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</si>
  <si>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</si>
  <si>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</si>
  <si>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</si>
  <si>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</si>
  <si>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</si>
  <si>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</si>
  <si>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</si>
  <si>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</si>
  <si>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</si>
  <si>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</si>
  <si>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</si>
  <si>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</si>
  <si>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</si>
  <si>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</si>
  <si>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</si>
  <si>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</si>
  <si>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</si>
  <si>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</si>
  <si>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</si>
  <si>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</si>
  <si>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</si>
  <si>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</si>
  <si>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</si>
  <si>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</si>
  <si>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</si>
  <si>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</si>
  <si>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</si>
  <si>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</si>
  <si>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</si>
  <si>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</si>
  <si>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</si>
  <si>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</si>
  <si>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</si>
  <si>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</si>
  <si>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</si>
  <si>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</si>
  <si>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</si>
  <si>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</si>
  <si>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</si>
  <si>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</si>
  <si>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</si>
  <si>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</si>
  <si>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</si>
  <si>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</si>
  <si>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</si>
  <si>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</si>
  <si>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</si>
  <si>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</si>
  <si>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</si>
  <si>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</si>
  <si>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</si>
  <si>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</si>
  <si>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</si>
  <si>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</si>
  <si>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</si>
  <si>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</si>
  <si>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</si>
  <si>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</si>
  <si>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</si>
  <si>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</si>
  <si>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</si>
  <si>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</si>
  <si>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</si>
  <si>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</si>
  <si>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</si>
  <si>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</si>
  <si>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</si>
  <si>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</si>
  <si>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</si>
  <si>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</si>
  <si>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</si>
  <si>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</si>
  <si>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</si>
  <si>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</si>
  <si>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</si>
  <si>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</si>
  <si>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</si>
  <si>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</si>
  <si>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</si>
  <si>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</si>
  <si>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</si>
  <si>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</si>
  <si>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</si>
  <si>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</si>
  <si>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</si>
  <si>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</si>
  <si>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</si>
  <si>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</si>
  <si>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</si>
  <si>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</si>
  <si>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</si>
  <si>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</si>
  <si>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</si>
  <si>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</si>
  <si>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</si>
  <si>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</si>
  <si>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</si>
  <si>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</si>
  <si>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</si>
  <si>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</si>
  <si>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</si>
  <si>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</si>
  <si>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</si>
  <si>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</si>
  <si>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</si>
  <si>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</si>
  <si>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</si>
  <si>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</si>
  <si>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</si>
  <si>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</si>
  <si>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</si>
  <si>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</si>
  <si>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</si>
  <si>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</si>
  <si>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</si>
  <si>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</si>
  <si>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</si>
  <si>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</si>
  <si>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</si>
  <si>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</si>
  <si>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</si>
  <si>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</si>
  <si>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</si>
  <si>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</si>
  <si>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</si>
  <si>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</si>
  <si>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</si>
  <si>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</si>
  <si>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</si>
  <si>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</si>
  <si>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</si>
  <si>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</si>
  <si>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</si>
  <si>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</si>
  <si>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</si>
  <si>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</si>
  <si>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</si>
  <si>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</si>
  <si>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</si>
  <si>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</si>
  <si>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</si>
  <si>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</si>
  <si>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</si>
  <si>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</si>
  <si>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</si>
  <si>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</si>
  <si>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</si>
  <si>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</si>
  <si>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</si>
  <si>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</si>
  <si>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</si>
  <si>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</si>
  <si>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</si>
  <si>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</si>
  <si>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</si>
  <si>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</si>
  <si>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</si>
  <si>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</si>
  <si>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</si>
  <si>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</si>
  <si>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</si>
  <si>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</si>
  <si>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</si>
  <si>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</si>
  <si>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</si>
  <si>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</si>
  <si>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</si>
  <si>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</si>
  <si>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</si>
  <si>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</si>
  <si>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</si>
  <si>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</si>
  <si>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</si>
  <si>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</si>
  <si>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</si>
  <si>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</si>
  <si>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</si>
  <si>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</si>
  <si>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</si>
  <si>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</si>
  <si>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</si>
  <si>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</si>
  <si>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</si>
  <si>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</si>
  <si>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</si>
  <si>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</si>
  <si>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</si>
  <si>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</si>
  <si>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</si>
  <si>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</si>
  <si>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</si>
  <si>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</si>
  <si>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</si>
  <si>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</si>
  <si>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</si>
  <si>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</si>
  <si>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</si>
  <si>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</si>
  <si>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</si>
  <si>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</si>
  <si>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</si>
  <si>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</si>
  <si>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</si>
  <si>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</si>
  <si>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</si>
  <si>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</si>
  <si>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</si>
  <si>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</si>
  <si>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</si>
  <si>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</si>
  <si>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</si>
  <si>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</si>
  <si>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</si>
  <si>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</si>
  <si>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</si>
  <si>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</si>
  <si>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</si>
  <si>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</si>
  <si>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</si>
  <si>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</si>
  <si>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</si>
  <si>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</si>
  <si>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</si>
  <si>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</si>
  <si>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</si>
  <si>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</si>
  <si>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</si>
  <si>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</si>
  <si>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</si>
  <si>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</si>
  <si>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</si>
  <si>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</si>
  <si>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</si>
  <si>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</si>
  <si>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</si>
  <si>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</si>
  <si>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</si>
  <si>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</si>
  <si>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</si>
  <si>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</si>
  <si>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</si>
  <si>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</si>
  <si>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</si>
  <si>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</si>
  <si>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</si>
  <si>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</si>
  <si>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</si>
  <si>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</si>
  <si>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</si>
  <si>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</si>
  <si>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</si>
  <si>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</si>
  <si>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</si>
  <si>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</si>
  <si>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</si>
  <si>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</si>
  <si>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</si>
  <si>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</si>
  <si>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</si>
  <si>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</si>
  <si>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</si>
  <si>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</si>
  <si>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</si>
  <si>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</si>
  <si>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</si>
  <si>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</si>
  <si>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</si>
  <si>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</si>
  <si>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</si>
  <si>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</si>
  <si>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</si>
  <si>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</si>
  <si>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</si>
  <si>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</si>
  <si>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</si>
  <si>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</si>
  <si>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</si>
  <si>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</si>
  <si>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</si>
  <si>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</si>
  <si>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</si>
  <si>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</si>
  <si>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</si>
  <si>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</si>
  <si>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</si>
  <si>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</si>
  <si>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</si>
  <si>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</si>
  <si>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</si>
  <si>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</si>
  <si>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</si>
  <si>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</si>
  <si>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</si>
  <si>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</si>
  <si>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</si>
  <si>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</si>
  <si>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</si>
  <si>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</si>
  <si>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</si>
  <si>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</si>
  <si>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</si>
  <si>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</si>
  <si>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</si>
  <si>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</si>
  <si>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</si>
  <si>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</si>
  <si>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</si>
  <si>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</si>
  <si>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</si>
  <si>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</si>
  <si>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</si>
  <si>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</si>
  <si>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</si>
  <si>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</si>
  <si>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</si>
  <si>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</si>
  <si>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</si>
  <si>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</si>
  <si>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</si>
  <si>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</si>
  <si>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</si>
  <si>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</si>
  <si>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</si>
  <si>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</si>
  <si>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</si>
  <si>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</si>
  <si>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</si>
  <si>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</si>
  <si>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</si>
  <si>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</si>
  <si>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</si>
  <si>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</si>
  <si>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</si>
  <si>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</si>
  <si>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</si>
  <si>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</si>
  <si>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</si>
  <si>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</si>
  <si>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</si>
  <si>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</si>
  <si>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</si>
  <si>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</si>
  <si>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</si>
  <si>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</si>
  <si>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</si>
  <si>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</si>
  <si>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</si>
  <si>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</si>
  <si>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</si>
  <si>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</si>
  <si>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</si>
  <si>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</si>
  <si>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</si>
  <si>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</si>
  <si>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</si>
  <si>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</si>
  <si>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</si>
  <si>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</si>
  <si>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</si>
  <si>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</si>
  <si>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</si>
  <si>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</si>
  <si>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</si>
  <si>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</si>
  <si>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</si>
  <si>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</si>
  <si>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</si>
  <si>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</si>
  <si>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</si>
  <si>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</si>
  <si>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</si>
  <si>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</si>
  <si>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</si>
  <si>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</si>
  <si>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</si>
  <si>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</si>
  <si>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</si>
  <si>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</si>
  <si>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</si>
  <si>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</si>
  <si>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</si>
  <si>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</si>
  <si>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</si>
  <si>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</si>
  <si>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</si>
  <si>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</si>
  <si>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</si>
  <si>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</si>
  <si>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</si>
  <si>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</si>
  <si>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</si>
  <si>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</si>
  <si>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</si>
  <si>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</si>
  <si>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</si>
  <si>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</si>
  <si>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</si>
  <si>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</si>
  <si>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</si>
  <si>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</si>
  <si>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</si>
  <si>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</si>
  <si>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</si>
  <si>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</si>
  <si>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</si>
  <si>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</si>
  <si>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</si>
  <si>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</si>
  <si>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</si>
  <si>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</si>
  <si>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</si>
  <si>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</si>
  <si>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</si>
  <si>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</si>
  <si>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</si>
  <si>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</si>
  <si>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</si>
  <si>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</si>
  <si>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</si>
  <si>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</si>
  <si>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</si>
  <si>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</si>
  <si>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</si>
  <si>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</si>
  <si>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</si>
  <si>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</si>
  <si>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</si>
  <si>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</si>
  <si>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</si>
  <si>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</si>
  <si>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</si>
  <si>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</si>
  <si>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</si>
  <si>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</si>
  <si>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</si>
  <si>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</si>
  <si>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</si>
  <si>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</si>
  <si>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</si>
  <si>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</si>
  <si>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</si>
  <si>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</si>
  <si>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</si>
  <si>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</si>
  <si>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</si>
  <si>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</si>
  <si>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</si>
  <si>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</si>
  <si>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</si>
  <si>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</si>
  <si>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</si>
  <si>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</si>
  <si>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</si>
  <si>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</si>
  <si>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</si>
  <si>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</si>
  <si>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</si>
  <si>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</si>
  <si>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</si>
  <si>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</si>
  <si>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</si>
  <si>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</si>
  <si>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</si>
  <si>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</si>
  <si>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</si>
  <si>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</si>
  <si>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</si>
  <si>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</si>
  <si>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</si>
  <si>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</si>
  <si>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</si>
  <si>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</si>
  <si>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</si>
  <si>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</si>
  <si>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</si>
  <si>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</si>
  <si>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</si>
  <si>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</si>
  <si>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</si>
  <si>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</si>
  <si>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</si>
  <si>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</si>
  <si>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</si>
  <si>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</si>
  <si>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</si>
  <si>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</si>
  <si>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</si>
  <si>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</si>
  <si>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</si>
  <si>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</si>
  <si>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</si>
  <si>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</si>
  <si>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</si>
  <si>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</si>
  <si>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</si>
  <si>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</si>
  <si>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</si>
  <si>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</si>
  <si>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</si>
  <si>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</si>
  <si>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</si>
  <si>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</si>
  <si>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</si>
  <si>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</si>
  <si>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</si>
  <si>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</si>
  <si>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</si>
  <si>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</si>
  <si>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</si>
  <si>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</si>
  <si>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</si>
  <si>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</si>
  <si>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</si>
  <si>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</si>
  <si>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</si>
  <si>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</si>
  <si>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</si>
  <si>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</si>
  <si>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</si>
  <si>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</si>
  <si>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</si>
  <si>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</si>
  <si>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</si>
  <si>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</si>
  <si>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</si>
  <si>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</si>
  <si>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</si>
  <si>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</si>
  <si>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</si>
  <si>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</si>
  <si>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</si>
  <si>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</si>
  <si>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</si>
  <si>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</si>
  <si>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</si>
  <si>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</si>
  <si>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</si>
  <si>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</si>
  <si>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</si>
  <si>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</si>
  <si>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</si>
  <si>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</si>
  <si>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</si>
  <si>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</si>
  <si>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</si>
  <si>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</si>
  <si>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</si>
  <si>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</si>
  <si>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</si>
  <si>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</si>
  <si>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</si>
  <si>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</si>
  <si>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</si>
  <si>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</si>
  <si>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</si>
  <si>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</si>
  <si>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</si>
  <si>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</si>
  <si>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</si>
  <si>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</si>
  <si>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</si>
  <si>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</si>
  <si>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</si>
  <si>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</si>
  <si>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</si>
  <si>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</si>
  <si>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</si>
  <si>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</si>
  <si>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</si>
  <si>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</si>
  <si>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</si>
  <si>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</si>
  <si>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</si>
  <si>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</si>
  <si>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</si>
  <si>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</si>
  <si>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</si>
  <si>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</si>
  <si>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</si>
  <si>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</si>
  <si>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</si>
  <si>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</si>
  <si>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</si>
  <si>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</si>
  <si>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</si>
  <si>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</si>
  <si>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</si>
  <si>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</si>
  <si>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</si>
  <si>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</si>
  <si>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</si>
  <si>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</si>
  <si>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</si>
  <si>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</si>
  <si>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</si>
  <si>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</si>
  <si>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</si>
  <si>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</si>
  <si>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</si>
  <si>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</si>
  <si>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</si>
  <si>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</si>
  <si>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</si>
  <si>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</si>
  <si>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</si>
  <si>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</si>
  <si>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</si>
  <si>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</si>
  <si>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</si>
  <si>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</si>
  <si>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</si>
  <si>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</si>
  <si>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</si>
  <si>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</si>
  <si>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</si>
  <si>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</si>
  <si>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</si>
  <si>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</si>
  <si>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</si>
  <si>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</si>
  <si>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</si>
  <si>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</si>
  <si>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</si>
  <si>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</si>
  <si>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</si>
  <si>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</si>
  <si>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</si>
  <si>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</si>
  <si>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</si>
  <si>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</si>
  <si>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</si>
  <si>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</si>
  <si>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</si>
  <si>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</si>
  <si>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</si>
  <si>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</si>
  <si>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</si>
  <si>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</si>
  <si>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</si>
  <si>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</si>
  <si>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</si>
  <si>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</si>
  <si>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</si>
  <si>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</si>
  <si>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</si>
  <si>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</si>
  <si>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</si>
  <si>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</si>
  <si>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</si>
  <si>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</si>
  <si>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</si>
  <si>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</si>
  <si>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</si>
  <si>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</si>
  <si>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</si>
  <si>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</si>
  <si>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</si>
  <si>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</si>
  <si>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</si>
  <si>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</si>
  <si>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</si>
  <si>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</si>
  <si>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</si>
  <si>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</si>
  <si>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</si>
  <si>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</si>
  <si>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</si>
  <si>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</si>
  <si>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</si>
  <si>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</si>
  <si>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</si>
  <si>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</si>
  <si>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</si>
  <si>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</si>
  <si>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</si>
  <si>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</si>
  <si>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</si>
  <si>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</si>
  <si>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</si>
  <si>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</si>
  <si>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</si>
  <si>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</si>
  <si>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</si>
  <si>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</si>
  <si>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</si>
  <si>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</si>
  <si>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</si>
  <si>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</si>
  <si>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</si>
  <si>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</si>
  <si>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</si>
  <si>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</si>
  <si>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</si>
  <si>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</si>
  <si>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</si>
  <si>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</si>
  <si>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</si>
  <si>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</si>
  <si>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</si>
  <si>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</si>
  <si>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</si>
  <si>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</si>
  <si>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</si>
  <si>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</si>
  <si>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</si>
  <si>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</si>
  <si>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</si>
  <si>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</si>
  <si>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</si>
  <si>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</si>
  <si>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</si>
  <si>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</si>
  <si>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</si>
  <si>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</si>
  <si>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</si>
  <si>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</si>
  <si>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</si>
  <si>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</si>
  <si>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</si>
  <si>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</si>
  <si>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</si>
  <si>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</si>
  <si>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</si>
  <si>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</si>
  <si>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</si>
  <si>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</si>
  <si>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</si>
  <si>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</si>
  <si>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</si>
  <si>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</si>
  <si>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</si>
  <si>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</si>
  <si>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</si>
  <si>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</si>
  <si>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</si>
  <si>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</si>
  <si>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</si>
  <si>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</si>
  <si>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</si>
  <si>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</si>
  <si>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</si>
  <si>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</si>
  <si>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</si>
  <si>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</si>
  <si>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</si>
  <si>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</si>
  <si>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</si>
  <si>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</si>
  <si>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</si>
  <si>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</si>
  <si>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</si>
  <si>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</si>
  <si>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</si>
  <si>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</si>
  <si>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</si>
  <si>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</si>
  <si>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</si>
  <si>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</si>
  <si>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</si>
  <si>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</si>
  <si>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</si>
  <si>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</si>
  <si>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</si>
  <si>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</si>
  <si>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</si>
  <si>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</si>
  <si>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</si>
  <si>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</si>
  <si>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</si>
  <si>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</si>
  <si>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</si>
  <si>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</si>
  <si>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</si>
  <si>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</si>
  <si>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</si>
  <si>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</si>
  <si>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</si>
  <si>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</si>
  <si>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</si>
  <si>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</si>
  <si>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</si>
  <si>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</si>
  <si>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</si>
  <si>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</si>
  <si>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</si>
  <si>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</si>
  <si>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</si>
  <si>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</si>
  <si>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</si>
  <si>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</si>
  <si>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</si>
  <si>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</si>
  <si>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</si>
  <si>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</si>
  <si>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</si>
  <si>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</si>
  <si>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</si>
  <si>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</si>
  <si>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</si>
  <si>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</si>
  <si>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</si>
  <si>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</si>
  <si>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</si>
  <si>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</si>
  <si>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</si>
  <si>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</si>
  <si>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</si>
  <si>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</si>
  <si>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</si>
  <si>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</si>
  <si>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</si>
  <si>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</si>
  <si>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</si>
  <si>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</si>
  <si>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</si>
  <si>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</si>
  <si>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</si>
  <si>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</si>
  <si>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</si>
  <si>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</si>
  <si>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</si>
  <si>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</si>
  <si>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</si>
  <si>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</si>
  <si>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</si>
  <si>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</si>
  <si>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</si>
  <si>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</si>
  <si>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</si>
  <si>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</si>
  <si>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</si>
  <si>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</si>
  <si>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</si>
  <si>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</si>
  <si>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</si>
  <si>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</si>
  <si>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</si>
  <si>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</si>
  <si>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</si>
  <si>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</si>
  <si>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</si>
  <si>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</si>
  <si>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</si>
  <si>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</si>
  <si>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</si>
  <si>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</si>
  <si>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</si>
  <si>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</si>
  <si>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</si>
  <si>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</si>
  <si>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</si>
  <si>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</si>
  <si>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</si>
  <si>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</si>
  <si>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</si>
  <si>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</si>
  <si>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</si>
  <si>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</si>
  <si>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</si>
  <si>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</si>
  <si>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</si>
  <si>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</si>
  <si>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</si>
  <si>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</si>
  <si>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</si>
  <si>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</si>
  <si>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</si>
  <si>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</si>
  <si>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</si>
  <si>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</si>
  <si>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</si>
  <si>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</si>
  <si>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</si>
  <si>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</si>
  <si>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</si>
  <si>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</si>
  <si>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</si>
  <si>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</si>
  <si>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</si>
  <si>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</si>
  <si>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</si>
  <si>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</si>
  <si>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</si>
  <si>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</si>
  <si>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</si>
  <si>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</si>
  <si>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</si>
  <si>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</si>
  <si>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</si>
  <si>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</si>
  <si>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</si>
  <si>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</si>
  <si>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</si>
  <si>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</si>
  <si>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</si>
  <si>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</si>
  <si>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</si>
  <si>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</si>
  <si>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</si>
  <si>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</si>
  <si>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</si>
  <si>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</si>
  <si>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</si>
  <si>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</si>
  <si>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</si>
  <si>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</si>
  <si>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</si>
  <si>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</si>
  <si>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</si>
  <si>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</si>
  <si>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</si>
  <si>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</si>
  <si>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</si>
  <si>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</si>
  <si>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</si>
  <si>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</si>
  <si>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</si>
  <si>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</si>
  <si>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</si>
  <si>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</si>
  <si>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</si>
  <si>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</si>
  <si>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</si>
  <si>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</si>
  <si>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</si>
  <si>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</si>
  <si>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</si>
  <si>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</si>
  <si>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</si>
  <si>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</si>
  <si>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</si>
  <si>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</si>
  <si>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</si>
  <si>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</si>
  <si>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</si>
  <si>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</si>
  <si>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</si>
  <si>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</si>
  <si>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</si>
  <si>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</si>
  <si>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</si>
  <si>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</si>
  <si>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</si>
  <si>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</si>
  <si>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</si>
  <si>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</si>
  <si>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</si>
  <si>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</si>
  <si>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</si>
  <si>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</si>
  <si>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</si>
  <si>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</si>
  <si>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</si>
  <si>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</si>
  <si>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</si>
  <si>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</si>
  <si>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</si>
  <si>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</si>
  <si>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</si>
  <si>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</si>
  <si>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</si>
  <si>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</si>
  <si>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</si>
  <si>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</si>
  <si>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</si>
  <si>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</si>
  <si>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</si>
  <si>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</si>
  <si>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</si>
  <si>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</si>
  <si>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</si>
  <si>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</si>
  <si>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</si>
  <si>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</si>
  <si>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</si>
  <si>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</si>
  <si>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</si>
  <si>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</si>
  <si>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</si>
  <si>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</si>
  <si>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</si>
  <si>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</si>
  <si>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</si>
  <si>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</si>
  <si>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</si>
  <si>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</si>
  <si>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</si>
  <si>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</si>
  <si>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</si>
  <si>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</si>
  <si>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</si>
  <si>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</si>
  <si>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</si>
  <si>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</si>
  <si>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</si>
  <si>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</si>
  <si>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</si>
  <si>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</si>
  <si>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</si>
  <si>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</si>
  <si>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</si>
  <si>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</si>
  <si>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</si>
  <si>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</si>
  <si>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</si>
  <si>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</si>
  <si>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</si>
  <si>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</si>
  <si>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</si>
  <si>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</si>
  <si>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</si>
  <si>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</si>
  <si>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</si>
  <si>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</si>
  <si>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</si>
  <si>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</si>
  <si>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</si>
  <si>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</si>
  <si>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</si>
  <si>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</si>
  <si>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</si>
  <si>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</si>
  <si>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</si>
  <si>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</si>
  <si>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</si>
  <si>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</si>
  <si>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</si>
  <si>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</si>
  <si>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</si>
  <si>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</si>
  <si>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</si>
  <si>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</si>
  <si>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</si>
  <si>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</si>
  <si>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</si>
  <si>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</si>
  <si>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</si>
  <si>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</si>
  <si>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</si>
  <si>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</si>
  <si>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</si>
  <si>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</si>
  <si>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</si>
  <si>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</si>
  <si>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</si>
  <si>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</si>
  <si>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</si>
  <si>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</si>
  <si>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</si>
  <si>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</si>
  <si>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</si>
  <si>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</si>
  <si>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</si>
  <si>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</si>
  <si>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</si>
  <si>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</si>
  <si>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</si>
  <si>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</si>
  <si>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</si>
  <si>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</si>
  <si>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</si>
  <si>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</si>
  <si>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</si>
  <si>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</si>
  <si>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</si>
  <si>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</si>
  <si>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</si>
  <si>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</si>
  <si>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</si>
  <si>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</si>
  <si>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</si>
  <si>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</si>
  <si>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</si>
  <si>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</si>
  <si>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</si>
  <si>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</si>
  <si>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</si>
  <si>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</si>
  <si>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</si>
  <si>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</si>
  <si>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</si>
  <si>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</si>
  <si>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</si>
  <si>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</si>
  <si>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</si>
  <si>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</si>
  <si>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</si>
  <si>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</si>
  <si>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</si>
  <si>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</si>
  <si>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</si>
  <si>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</si>
  <si>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</si>
  <si>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</si>
  <si>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</si>
  <si>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</si>
  <si>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</si>
  <si>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</si>
  <si>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</si>
  <si>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</si>
  <si>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</si>
  <si>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</si>
  <si>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</si>
  <si>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</si>
  <si>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</si>
  <si>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</si>
  <si>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</si>
  <si>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</si>
  <si>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</si>
  <si>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</si>
  <si>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</si>
  <si>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</si>
  <si>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</si>
  <si>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</si>
  <si>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</si>
  <si>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</si>
  <si>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</si>
  <si>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</si>
  <si>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</si>
  <si>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</si>
  <si>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</si>
  <si>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</si>
  <si>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</si>
  <si>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</si>
  <si>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</si>
  <si>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</si>
  <si>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</si>
  <si>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</si>
  <si>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</si>
  <si>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</si>
  <si>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</si>
  <si>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</si>
  <si>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</si>
  <si>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</si>
  <si>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</si>
  <si>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</si>
  <si>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</si>
  <si>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</si>
  <si>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</si>
  <si>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</si>
  <si>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</si>
  <si>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</si>
  <si>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</si>
  <si>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</si>
  <si>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</si>
  <si>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</si>
  <si>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</si>
  <si>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</si>
  <si>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</si>
  <si>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</si>
  <si>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</si>
  <si>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</si>
  <si>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</si>
  <si>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</si>
  <si>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</si>
  <si>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</si>
  <si>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</si>
  <si>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</si>
  <si>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</si>
  <si>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</si>
  <si>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</si>
  <si>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</si>
  <si>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</si>
  <si>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</si>
  <si>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</si>
  <si>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</si>
  <si>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</si>
  <si>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</si>
  <si>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</si>
  <si>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</si>
  <si>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</si>
  <si>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</si>
  <si>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</si>
  <si>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</si>
  <si>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</si>
  <si>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</si>
  <si>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</si>
  <si>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</si>
  <si>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</si>
  <si>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</si>
  <si>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</si>
  <si>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</si>
  <si>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</si>
  <si>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</si>
  <si>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</si>
  <si>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</si>
  <si>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</si>
  <si>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</si>
  <si>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</si>
  <si>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</si>
  <si>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</si>
  <si>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</si>
  <si>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</si>
  <si>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</si>
  <si>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</si>
  <si>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</si>
  <si>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</si>
  <si>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</si>
  <si>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</si>
  <si>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</si>
  <si>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</si>
  <si>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</si>
  <si>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</si>
  <si>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</si>
  <si>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</si>
  <si>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</si>
  <si>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</si>
  <si>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</si>
  <si>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</si>
  <si>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</si>
  <si>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</si>
  <si>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</si>
  <si>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</si>
  <si>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</si>
  <si>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</si>
  <si>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</si>
  <si>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</si>
  <si>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</si>
  <si>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</si>
  <si>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</si>
  <si>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</si>
  <si>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</si>
  <si>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</si>
  <si>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</si>
  <si>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</si>
  <si>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</si>
  <si>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</si>
  <si>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</si>
  <si>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</si>
  <si>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</si>
  <si>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</si>
  <si>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</si>
  <si>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</si>
  <si>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</si>
  <si>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</si>
  <si>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</si>
  <si>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</si>
  <si>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</si>
  <si>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</si>
  <si>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</si>
  <si>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</si>
  <si>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</si>
  <si>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</si>
  <si>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</si>
  <si>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</si>
  <si>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</si>
  <si>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</si>
  <si>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</si>
  <si>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</si>
  <si>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</si>
  <si>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</si>
  <si>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</si>
  <si>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</si>
  <si>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</si>
  <si>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</si>
  <si>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</si>
  <si>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</si>
  <si>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</si>
  <si>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</si>
  <si>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</si>
  <si>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</si>
  <si>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</si>
  <si>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</si>
  <si>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</si>
  <si>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</si>
  <si>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</si>
  <si>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</si>
  <si>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</si>
  <si>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</si>
  <si>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</si>
  <si>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</si>
  <si>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</si>
  <si>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</si>
  <si>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</si>
  <si>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</si>
  <si>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</si>
  <si>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</si>
  <si>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</si>
  <si>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</si>
  <si>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</si>
  <si>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</si>
  <si>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</si>
  <si>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</si>
  <si>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</si>
  <si>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</si>
  <si>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</si>
  <si>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</si>
  <si>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</si>
  <si>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</si>
  <si>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</si>
  <si>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</si>
  <si>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</si>
  <si>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</si>
  <si>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</si>
  <si>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</si>
  <si>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</si>
  <si>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</si>
  <si>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</si>
  <si>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</si>
  <si>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</si>
  <si>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</si>
  <si>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</si>
  <si>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</si>
  <si>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</si>
  <si>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</si>
  <si>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</si>
  <si>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</si>
  <si>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</si>
  <si>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</si>
  <si>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</si>
  <si>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</si>
  <si>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</si>
  <si>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</si>
  <si>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</si>
  <si>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</si>
  <si>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</si>
  <si>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</si>
  <si>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</si>
  <si>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</si>
  <si>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</si>
  <si>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</si>
  <si>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</si>
  <si>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</si>
  <si>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</si>
  <si>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</si>
  <si>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</si>
  <si>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</si>
  <si>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</si>
  <si>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</si>
  <si>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</si>
  <si>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</si>
  <si>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</si>
  <si>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</si>
  <si>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</si>
  <si>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</si>
  <si>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</si>
  <si>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</si>
  <si>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</si>
  <si>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</si>
  <si>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</si>
  <si>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</si>
  <si>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</si>
  <si>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</si>
  <si>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</si>
  <si>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</si>
  <si>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</si>
  <si>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</si>
  <si>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</si>
  <si>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</si>
  <si>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</si>
  <si>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</si>
  <si>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</si>
  <si>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</si>
  <si>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</si>
  <si>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</si>
  <si>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</si>
  <si>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</si>
  <si>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</si>
  <si>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</si>
  <si>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</si>
  <si>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</si>
  <si>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</si>
  <si>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</si>
  <si>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</si>
  <si>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</si>
  <si>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</si>
  <si>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</si>
  <si>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</si>
  <si>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</si>
  <si>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</si>
  <si>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</si>
  <si>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</si>
  <si>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</si>
  <si>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</si>
  <si>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</si>
  <si>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</si>
  <si>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</si>
  <si>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</si>
  <si>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</si>
  <si>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</si>
  <si>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</si>
  <si>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</si>
  <si>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</si>
  <si>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</si>
  <si>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</si>
  <si>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</si>
  <si>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</si>
  <si>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</si>
  <si>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</si>
  <si>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</si>
  <si>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</si>
  <si>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</si>
  <si>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</si>
  <si>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</si>
  <si>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</si>
  <si>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</si>
  <si>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</si>
  <si>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</si>
  <si>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</si>
  <si>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</si>
  <si>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</si>
  <si>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</si>
  <si>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</si>
  <si>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</si>
  <si>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</si>
  <si>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</si>
  <si>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</si>
  <si>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</si>
  <si>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</si>
  <si>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</si>
  <si>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</si>
  <si>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</si>
  <si>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</si>
  <si>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</si>
  <si>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</si>
  <si>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</si>
  <si>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</si>
  <si>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</si>
  <si>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</si>
  <si>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</si>
  <si>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</si>
  <si>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</si>
  <si>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</si>
  <si>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</si>
  <si>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</si>
  <si>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</si>
  <si>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</si>
  <si>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</si>
  <si>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</si>
  <si>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</si>
  <si>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</si>
  <si>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</si>
  <si>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</si>
  <si>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</si>
  <si>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</si>
  <si>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</si>
  <si>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</si>
  <si>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</si>
  <si>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</si>
  <si>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</si>
  <si>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</si>
  <si>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</si>
  <si>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</si>
  <si>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</si>
  <si>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</si>
  <si>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</si>
  <si>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</si>
  <si>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</si>
  <si>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</si>
  <si>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</si>
  <si>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</si>
  <si>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</si>
  <si>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</si>
  <si>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</si>
  <si>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</si>
  <si>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</si>
  <si>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</si>
  <si>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</si>
  <si>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</si>
  <si>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</si>
  <si>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</si>
  <si>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</si>
  <si>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</si>
  <si>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</si>
  <si>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</si>
  <si>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</si>
  <si>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</si>
  <si>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</si>
  <si>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</si>
  <si>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</si>
  <si>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</si>
  <si>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</si>
  <si>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</si>
  <si>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</si>
  <si>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</si>
  <si>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</si>
  <si>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</si>
  <si>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</si>
  <si>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</si>
  <si>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</si>
  <si>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</si>
  <si>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</si>
  <si>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</si>
  <si>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</si>
  <si>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</si>
  <si>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</si>
  <si>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</si>
  <si>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</si>
  <si>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</si>
  <si>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</si>
  <si>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</si>
  <si>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</si>
  <si>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</si>
  <si>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</si>
  <si>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</si>
  <si>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</si>
  <si>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</si>
  <si>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</si>
  <si>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</si>
  <si>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</si>
  <si>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</si>
  <si>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</si>
  <si>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</si>
  <si>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</si>
  <si>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</si>
  <si>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</si>
  <si>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</si>
  <si>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</si>
  <si>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</si>
  <si>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</si>
  <si>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</si>
  <si>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</si>
  <si>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</si>
  <si>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</si>
  <si>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</si>
  <si>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</si>
  <si>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</si>
  <si>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</si>
  <si>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</si>
  <si>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</si>
  <si>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</si>
  <si>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</si>
  <si>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</si>
  <si>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</si>
  <si>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</si>
  <si>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</si>
  <si>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</si>
  <si>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</si>
  <si>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</si>
  <si>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</si>
  <si>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</si>
  <si>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</si>
  <si>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</si>
  <si>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</si>
  <si>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</si>
  <si>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</si>
  <si>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</si>
  <si>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</si>
  <si>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</si>
  <si>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</si>
  <si>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</si>
  <si>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</si>
  <si>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</si>
  <si>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</si>
  <si>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</si>
  <si>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</si>
  <si>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</si>
  <si>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</si>
  <si>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</si>
  <si>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</si>
  <si>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</si>
  <si>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</si>
  <si>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</si>
  <si>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</si>
  <si>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</si>
  <si>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</si>
  <si>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</si>
  <si>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</si>
  <si>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</si>
  <si>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</si>
  <si>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</si>
  <si>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</si>
  <si>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</si>
  <si>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</si>
  <si>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</si>
  <si>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</si>
  <si>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</si>
  <si>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</si>
  <si>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</si>
  <si>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</si>
  <si>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</si>
  <si>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</si>
  <si>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</si>
  <si>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</si>
  <si>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</si>
  <si>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</si>
  <si>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</si>
  <si>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</si>
  <si>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</si>
  <si>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</si>
  <si>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</si>
  <si>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</si>
  <si>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</si>
  <si>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</si>
  <si>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</si>
  <si>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</si>
  <si>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</si>
  <si>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</si>
  <si>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</si>
  <si>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</si>
  <si>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</si>
  <si>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</si>
  <si>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</si>
  <si>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</si>
  <si>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</si>
  <si>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</si>
  <si>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</si>
  <si>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</si>
  <si>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</si>
  <si>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</si>
  <si>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</si>
  <si>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</si>
  <si>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</si>
  <si>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</si>
  <si>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</si>
  <si>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</si>
  <si>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</si>
  <si>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</si>
  <si>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</si>
  <si>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</si>
  <si>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</si>
  <si>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</si>
  <si>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</si>
  <si>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</si>
  <si>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</si>
  <si>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</si>
  <si>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</si>
  <si>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</si>
  <si>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</si>
  <si>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</si>
  <si>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</si>
  <si>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</si>
  <si>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</si>
  <si>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</si>
  <si>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</si>
  <si>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</si>
  <si>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</si>
  <si>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</si>
  <si>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</si>
  <si>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</si>
  <si>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</si>
  <si>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</si>
  <si>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</si>
  <si>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</si>
  <si>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</si>
  <si>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</si>
  <si>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</si>
  <si>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</si>
  <si>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</si>
  <si>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</si>
  <si>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</si>
  <si>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</si>
  <si>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</si>
  <si>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</si>
  <si>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</si>
  <si>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</si>
  <si>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</si>
  <si>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</si>
  <si>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</si>
  <si>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</si>
  <si>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</si>
  <si>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</si>
  <si>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</si>
  <si>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</si>
  <si>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</si>
  <si>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</si>
  <si>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</si>
  <si>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</si>
  <si>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</si>
  <si>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</si>
  <si>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</si>
  <si>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</si>
  <si>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</si>
  <si>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</si>
  <si>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</si>
  <si>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</si>
  <si>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</si>
  <si>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</si>
  <si>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</si>
  <si>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</si>
  <si>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</si>
  <si>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</si>
  <si>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</si>
  <si>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</si>
  <si>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</si>
  <si>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</si>
  <si>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</si>
  <si>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</si>
  <si>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</si>
  <si>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</si>
  <si>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</si>
  <si>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</si>
  <si>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</si>
  <si>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</si>
  <si>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</si>
  <si>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</si>
  <si>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</si>
  <si>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</si>
  <si>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</si>
  <si>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</si>
  <si>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</si>
  <si>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</si>
  <si>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</si>
  <si>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</si>
  <si>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</si>
  <si>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</si>
  <si>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</si>
  <si>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</si>
  <si>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</si>
  <si>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</si>
  <si>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</si>
  <si>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</si>
  <si>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</si>
  <si>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</si>
  <si>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</si>
  <si>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</si>
  <si>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</si>
  <si>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</si>
  <si>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</si>
  <si>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</si>
  <si>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</si>
  <si>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</si>
  <si>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</si>
  <si>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</si>
  <si>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</si>
  <si>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</si>
  <si>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</si>
  <si>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</si>
  <si>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</si>
  <si>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</si>
  <si>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</si>
  <si>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</si>
  <si>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</si>
  <si>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</si>
  <si>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</si>
  <si>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</si>
  <si>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</si>
  <si>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</si>
  <si>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</si>
  <si>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</si>
  <si>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</si>
  <si>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</si>
  <si>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</si>
  <si>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</si>
  <si>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</si>
  <si>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</si>
  <si>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</si>
  <si>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</si>
  <si>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</si>
  <si>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</si>
  <si>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</si>
  <si>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</si>
  <si>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</si>
  <si>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</si>
  <si>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</si>
  <si>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</si>
  <si>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</si>
  <si>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</si>
  <si>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</si>
  <si>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</si>
  <si>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</si>
  <si>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</si>
  <si>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</si>
  <si>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</si>
  <si>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</si>
  <si>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</si>
  <si>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</si>
  <si>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</si>
  <si>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</si>
  <si>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</si>
  <si>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</si>
  <si>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</si>
  <si>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</si>
  <si>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</si>
  <si>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</si>
  <si>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</si>
  <si>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</si>
  <si>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</si>
  <si>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</si>
  <si>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</si>
  <si>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</si>
  <si>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</si>
  <si>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</si>
  <si>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</si>
  <si>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</si>
  <si>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</si>
  <si>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</si>
  <si>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</si>
  <si>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</si>
  <si>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</si>
  <si>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</si>
  <si>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</si>
  <si>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</si>
  <si>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</si>
  <si>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</si>
  <si>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</si>
  <si>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</si>
  <si>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</si>
  <si>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</si>
  <si>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</si>
  <si>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</si>
  <si>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</si>
  <si>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</si>
  <si>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</si>
  <si>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</si>
  <si>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</si>
  <si>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</si>
  <si>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</si>
  <si>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</si>
  <si>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</si>
  <si>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</si>
  <si>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</si>
  <si>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</si>
  <si>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</si>
  <si>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</si>
  <si>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</si>
  <si>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</si>
  <si>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</si>
  <si>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</si>
  <si>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</si>
  <si>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</si>
  <si>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</si>
  <si>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</si>
  <si>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</si>
  <si>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</si>
  <si>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</si>
  <si>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</si>
  <si>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</si>
  <si>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</si>
  <si>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</si>
  <si>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</si>
  <si>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</si>
  <si>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</si>
  <si>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</si>
  <si>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</si>
  <si>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</si>
  <si>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</si>
  <si>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</si>
  <si>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</si>
  <si>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</si>
  <si>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</si>
  <si>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</si>
  <si>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</si>
  <si>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</si>
  <si>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</si>
  <si>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</si>
  <si>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</si>
  <si>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</si>
  <si>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</si>
  <si>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</si>
  <si>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</si>
  <si>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</si>
  <si>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</si>
  <si>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</si>
  <si>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</si>
  <si>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</si>
  <si>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</si>
  <si>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</si>
  <si>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</si>
  <si>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</si>
  <si>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</si>
  <si>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</si>
  <si>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</si>
  <si>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</si>
  <si>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</si>
  <si>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</si>
  <si>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</si>
  <si>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</si>
  <si>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</si>
  <si>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</si>
  <si>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</si>
  <si>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</si>
  <si>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</si>
  <si>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</si>
  <si>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</si>
  <si>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</si>
  <si>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</si>
  <si>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</si>
  <si>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</si>
  <si>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</si>
  <si>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</si>
  <si>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</si>
  <si>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</si>
  <si>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</si>
  <si>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</si>
  <si>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</si>
  <si>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</si>
  <si>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</si>
  <si>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</si>
  <si>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</si>
  <si>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</si>
  <si>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</si>
  <si>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</si>
  <si>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</si>
  <si>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</si>
  <si>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</si>
  <si>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</si>
  <si>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</si>
  <si>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</si>
  <si>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</si>
  <si>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</si>
  <si>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</si>
  <si>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</si>
  <si>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</si>
  <si>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</si>
  <si>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</si>
  <si>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</si>
  <si>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</si>
  <si>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</si>
  <si>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</si>
  <si>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</si>
  <si>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</si>
  <si>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</si>
  <si>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</si>
  <si>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</si>
  <si>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</si>
  <si>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</si>
  <si>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</si>
  <si>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</si>
  <si>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</si>
  <si>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</si>
  <si>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</si>
  <si>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</si>
  <si>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</si>
  <si>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</si>
  <si>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</si>
  <si>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</si>
  <si>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</si>
  <si>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</si>
  <si>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</si>
  <si>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</si>
  <si>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</si>
  <si>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</si>
  <si>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</si>
  <si>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</si>
  <si>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</si>
  <si>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</si>
  <si>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</si>
  <si>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</si>
  <si>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</si>
  <si>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</si>
  <si>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</si>
  <si>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</si>
  <si>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</si>
  <si>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</si>
  <si>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</si>
  <si>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</si>
  <si>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</si>
  <si>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</si>
  <si>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</si>
  <si>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</si>
  <si>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</si>
  <si>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</si>
  <si>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</si>
  <si>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</si>
  <si>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</si>
  <si>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</si>
  <si>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</si>
  <si>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</si>
  <si>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</si>
  <si>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</si>
  <si>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</si>
  <si>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</si>
  <si>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</si>
  <si>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</si>
  <si>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</si>
  <si>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</si>
  <si>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</si>
  <si>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</si>
  <si>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</si>
  <si>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</si>
  <si>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</si>
  <si>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</si>
  <si>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</si>
  <si>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</si>
  <si>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</si>
  <si>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</si>
  <si>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</si>
  <si>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</si>
  <si>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</si>
  <si>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</si>
  <si>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</si>
  <si>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</si>
  <si>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</si>
  <si>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</si>
  <si>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</si>
  <si>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</si>
  <si>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</si>
  <si>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</si>
  <si>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</si>
  <si>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</si>
  <si>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</si>
  <si>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</si>
  <si>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</si>
  <si>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</si>
  <si>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</si>
  <si>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</si>
  <si>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</si>
  <si>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</si>
  <si>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</si>
  <si>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</si>
  <si>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</si>
  <si>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</si>
  <si>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</si>
  <si>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</si>
  <si>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</si>
  <si>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</si>
  <si>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</si>
  <si>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</si>
  <si>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</si>
  <si>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</si>
  <si>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</si>
  <si>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</si>
  <si>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</si>
  <si>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</si>
  <si>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</si>
  <si>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</si>
  <si>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</si>
  <si>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</si>
  <si>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</si>
  <si>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</si>
  <si>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</si>
  <si>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</si>
  <si>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</si>
  <si>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</si>
  <si>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</si>
  <si>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</si>
  <si>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</si>
  <si>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</si>
  <si>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</si>
  <si>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</si>
  <si>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</si>
  <si>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</si>
  <si>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</si>
  <si>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</si>
  <si>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</si>
  <si>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</si>
  <si>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</si>
  <si>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</si>
  <si>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</si>
  <si>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</si>
  <si>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</si>
  <si>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</si>
  <si>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</si>
  <si>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</si>
  <si>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</si>
  <si>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</si>
  <si>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</si>
  <si>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</si>
  <si>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</si>
  <si>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</si>
  <si>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</si>
  <si>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</si>
  <si>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</si>
  <si>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</si>
  <si>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</si>
  <si>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</si>
  <si>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</si>
  <si>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</si>
  <si>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</si>
  <si>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</si>
  <si>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</si>
  <si>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</si>
  <si>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</si>
  <si>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</si>
  <si>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</si>
  <si>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</si>
  <si>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</si>
  <si>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</si>
  <si>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</si>
  <si>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</si>
  <si>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</si>
  <si>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</si>
  <si>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</si>
  <si>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</si>
  <si>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</si>
  <si>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</si>
  <si>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</si>
  <si>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</si>
  <si>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</si>
  <si>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</si>
  <si>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</si>
  <si>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</si>
  <si>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</si>
  <si>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</si>
  <si>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</si>
  <si>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</si>
  <si>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</si>
  <si>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</si>
  <si>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</si>
  <si>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</si>
  <si>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</si>
  <si>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</si>
  <si>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</si>
  <si>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</si>
  <si>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</si>
  <si>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</si>
  <si>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</si>
  <si>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</si>
  <si>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</si>
  <si>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</si>
  <si>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</si>
  <si>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</si>
  <si>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</si>
  <si>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</si>
  <si>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</si>
  <si>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</si>
  <si>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</si>
  <si>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</si>
  <si>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</si>
  <si>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</si>
  <si>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</si>
  <si>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</si>
  <si>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</si>
  <si>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</si>
  <si>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</si>
  <si>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</si>
  <si>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</si>
  <si>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</si>
  <si>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</si>
  <si>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</si>
  <si>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</si>
  <si>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</si>
  <si>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</si>
  <si>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</si>
  <si>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</si>
  <si>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</si>
  <si>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</si>
  <si>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</si>
  <si>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</si>
  <si>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</si>
  <si>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</si>
  <si>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</si>
  <si>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</si>
  <si>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</si>
  <si>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</si>
  <si>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</si>
  <si>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</si>
  <si>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</si>
  <si>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</si>
  <si>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</si>
  <si>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</si>
  <si>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</si>
  <si>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</si>
  <si>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</si>
  <si>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</si>
  <si>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</si>
  <si>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</si>
  <si>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</si>
  <si>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</si>
  <si>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</si>
  <si>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</si>
  <si>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</si>
  <si>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</si>
  <si>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</si>
  <si>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</si>
  <si>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</si>
  <si>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</si>
  <si>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</si>
  <si>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</si>
  <si>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</si>
  <si>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</si>
  <si>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</si>
  <si>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</si>
  <si>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</si>
  <si>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</si>
  <si>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</si>
  <si>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</si>
  <si>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</si>
  <si>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</si>
  <si>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</si>
  <si>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</si>
  <si>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</si>
  <si>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</si>
  <si>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</si>
  <si>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</si>
  <si>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</si>
  <si>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</si>
  <si>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</si>
  <si>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</si>
  <si>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</si>
  <si>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</si>
  <si>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</si>
  <si>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</si>
  <si>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</si>
  <si>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</si>
  <si>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</si>
  <si>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</si>
  <si>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</si>
  <si>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</si>
  <si>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</si>
  <si>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</si>
  <si>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</si>
  <si>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</si>
  <si>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</si>
  <si>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</si>
  <si>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</si>
  <si>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</si>
  <si>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</si>
  <si>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</si>
  <si>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</si>
  <si>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</si>
  <si>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</si>
  <si>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</si>
  <si>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</si>
  <si>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</si>
  <si>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</si>
  <si>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</si>
  <si>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</si>
  <si>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</si>
  <si>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</si>
  <si>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</si>
  <si>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</si>
  <si>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</si>
  <si>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</si>
  <si>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</si>
  <si>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</si>
  <si>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</si>
  <si>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</si>
  <si>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</si>
  <si>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</si>
  <si>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</si>
  <si>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</si>
  <si>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</si>
  <si>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</si>
  <si>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</si>
  <si>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</si>
  <si>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</si>
  <si>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</si>
  <si>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</si>
  <si>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</si>
  <si>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</si>
  <si>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</si>
  <si>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</si>
  <si>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</si>
  <si>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</si>
  <si>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</si>
  <si>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</si>
  <si>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</si>
  <si>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</si>
  <si>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</si>
  <si>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</si>
  <si>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</si>
  <si>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</si>
  <si>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</si>
  <si>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</si>
  <si>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</si>
  <si>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</si>
  <si>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</si>
  <si>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</si>
  <si>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</si>
  <si>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</si>
  <si>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</si>
  <si>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</si>
  <si>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</si>
  <si>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</si>
  <si>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</si>
  <si>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</si>
  <si>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</si>
  <si>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</si>
  <si>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</si>
  <si>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</si>
  <si>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</si>
  <si>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</si>
  <si>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</si>
  <si>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</si>
  <si>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</si>
  <si>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</si>
  <si>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</si>
  <si>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</si>
  <si>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</si>
  <si>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</si>
  <si>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</si>
  <si>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</si>
  <si>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</si>
  <si>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</si>
  <si>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</si>
  <si>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</si>
  <si>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</si>
  <si>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</si>
  <si>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</si>
  <si>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</si>
  <si>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</si>
  <si>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</si>
  <si>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</si>
  <si>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</si>
  <si>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</si>
  <si>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</si>
  <si>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</si>
  <si>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</si>
  <si>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</si>
  <si>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</si>
  <si>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</si>
  <si>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</si>
  <si>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</si>
  <si>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</si>
  <si>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</si>
  <si>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</si>
  <si>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</si>
  <si>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</si>
  <si>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</si>
  <si>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</si>
  <si>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</si>
  <si>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</si>
  <si>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</si>
  <si>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</si>
  <si>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</si>
  <si>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</si>
  <si>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</si>
  <si>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</si>
  <si>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</si>
  <si>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</si>
  <si>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</si>
  <si>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</si>
  <si>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</si>
  <si>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</si>
  <si>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</si>
  <si>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</si>
  <si>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</si>
  <si>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</si>
  <si>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</si>
  <si>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</si>
  <si>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</si>
  <si>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</si>
  <si>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</si>
  <si>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</si>
  <si>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</si>
  <si>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</si>
  <si>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</si>
  <si>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</si>
  <si>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</si>
  <si>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</si>
  <si>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</si>
  <si>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</si>
  <si>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</si>
  <si>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</si>
  <si>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</si>
  <si>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</si>
  <si>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</si>
  <si>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</si>
  <si>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</si>
  <si>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</si>
  <si>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</si>
  <si>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</si>
  <si>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</si>
  <si>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</si>
  <si>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</si>
  <si>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</si>
  <si>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</si>
  <si>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</si>
  <si>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</si>
  <si>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</si>
  <si>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</si>
  <si>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</si>
  <si>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</si>
  <si>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</si>
  <si>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</si>
  <si>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</si>
  <si>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</si>
  <si>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</si>
  <si>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</si>
  <si>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</si>
  <si>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</si>
  <si>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</si>
  <si>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</si>
  <si>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</si>
  <si>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</si>
  <si>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</si>
  <si>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</si>
  <si>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</si>
  <si>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</si>
  <si>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</si>
  <si>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</si>
  <si>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</si>
  <si>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</si>
  <si>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</si>
  <si>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</si>
  <si>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</si>
  <si>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</si>
  <si>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</si>
  <si>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</si>
  <si>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</si>
  <si>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</si>
  <si>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</si>
  <si>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</si>
  <si>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</si>
  <si>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</si>
  <si>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</si>
  <si>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</si>
  <si>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</si>
  <si>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</si>
  <si>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</si>
  <si>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</si>
  <si>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</si>
  <si>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</si>
  <si>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</si>
  <si>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</si>
  <si>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</si>
  <si>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</si>
  <si>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</si>
  <si>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</si>
  <si>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</si>
  <si>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</si>
  <si>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</si>
  <si>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</si>
  <si>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</si>
  <si>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</si>
  <si>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</si>
  <si>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</si>
  <si>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</si>
  <si>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</si>
  <si>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</si>
  <si>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</si>
  <si>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</si>
  <si>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</si>
  <si>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</si>
  <si>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</si>
  <si>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</si>
  <si>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</si>
  <si>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</si>
  <si>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</si>
  <si>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</si>
  <si>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</si>
  <si>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</si>
  <si>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</si>
  <si>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</si>
  <si>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</si>
  <si>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</si>
  <si>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</si>
  <si>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</si>
  <si>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</si>
  <si>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</si>
  <si>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</si>
  <si>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</si>
  <si>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</si>
  <si>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</si>
  <si>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</si>
  <si>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</si>
  <si>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</si>
  <si>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</si>
  <si>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</si>
  <si>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</si>
  <si>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</si>
  <si>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</si>
  <si>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</si>
  <si>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</si>
  <si>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</si>
  <si>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</si>
  <si>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</si>
  <si>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</si>
  <si>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</si>
  <si>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</si>
  <si>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</si>
  <si>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</si>
  <si>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</si>
  <si>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</si>
  <si>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</si>
  <si>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</si>
  <si>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</si>
  <si>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</si>
  <si>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</si>
  <si>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</si>
  <si>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</si>
  <si>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</si>
  <si>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</si>
  <si>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</si>
  <si>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</si>
  <si>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</si>
  <si>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</si>
  <si>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</si>
  <si>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</si>
  <si>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</si>
  <si>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</si>
  <si>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</si>
  <si>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</si>
  <si>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</si>
  <si>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</si>
  <si>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</si>
  <si>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</si>
  <si>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</si>
  <si>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</si>
  <si>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</si>
  <si>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</si>
  <si>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</si>
  <si>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</si>
  <si>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</si>
  <si>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</si>
  <si>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</si>
  <si>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</si>
  <si>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</si>
  <si>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</si>
  <si>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</si>
  <si>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</si>
  <si>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</si>
  <si>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</si>
  <si>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</si>
  <si>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</si>
  <si>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</si>
  <si>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</si>
  <si>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</si>
  <si>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</si>
  <si>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</si>
  <si>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</si>
  <si>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</si>
  <si>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</si>
  <si>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</si>
  <si>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</si>
  <si>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</si>
  <si>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</si>
  <si>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</si>
  <si>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</si>
  <si>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</si>
  <si>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</si>
  <si>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</si>
  <si>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</si>
  <si>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</si>
  <si>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</si>
  <si>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</si>
  <si>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</si>
  <si>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</si>
  <si>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</si>
  <si>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</si>
  <si>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</si>
  <si>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</si>
  <si>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</si>
  <si>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</si>
  <si>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</si>
  <si>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</si>
  <si>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</si>
  <si>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</si>
  <si>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</si>
  <si>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</si>
  <si>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</si>
  <si>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</si>
  <si>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</si>
  <si>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</si>
  <si>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</si>
  <si>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</si>
  <si>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</si>
  <si>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</si>
  <si>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</si>
  <si>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</si>
  <si>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</si>
  <si>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</si>
  <si>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</si>
  <si>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</si>
  <si>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</si>
  <si>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</si>
  <si>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</si>
  <si>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</si>
  <si>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</si>
  <si>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</si>
  <si>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</si>
  <si>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</si>
  <si>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</si>
  <si>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</si>
  <si>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</si>
  <si>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</si>
  <si>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</si>
  <si>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</si>
  <si>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</si>
  <si>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</si>
  <si>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</si>
  <si>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</si>
  <si>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</si>
  <si>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</si>
  <si>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</si>
  <si>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</si>
  <si>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</si>
  <si>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</si>
  <si>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</si>
  <si>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</si>
  <si>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</si>
  <si>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</si>
  <si>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</si>
  <si>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</si>
  <si>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</si>
  <si>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</si>
  <si>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</si>
  <si>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</si>
  <si>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</si>
  <si>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</si>
  <si>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</si>
  <si>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</si>
  <si>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</si>
  <si>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</si>
  <si>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</si>
  <si>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</si>
  <si>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</si>
  <si>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</si>
  <si>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</si>
  <si>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</si>
  <si>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</si>
  <si>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</si>
  <si>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</si>
  <si>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</si>
  <si>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</si>
  <si>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</si>
  <si>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</si>
  <si>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</si>
  <si>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</si>
  <si>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</si>
  <si>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</si>
  <si>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</si>
  <si>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</si>
  <si>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</si>
  <si>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</si>
  <si>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</si>
  <si>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</si>
  <si>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</si>
  <si>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</si>
  <si>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</si>
  <si>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</si>
  <si>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</si>
  <si>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</si>
  <si>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</si>
  <si>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</si>
  <si>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</si>
  <si>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</si>
  <si>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</si>
  <si>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</si>
  <si>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</si>
  <si>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</si>
  <si>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</si>
  <si>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</si>
  <si>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</si>
  <si>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</si>
  <si>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</si>
  <si>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</si>
  <si>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</si>
  <si>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</si>
  <si>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</si>
  <si>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</si>
  <si>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</si>
  <si>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</si>
  <si>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</si>
  <si>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</si>
  <si>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</si>
  <si>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</si>
  <si>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</si>
  <si>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</si>
  <si>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</si>
  <si>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</si>
  <si>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</si>
  <si>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</si>
  <si>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</si>
  <si>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</si>
  <si>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</si>
  <si>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</si>
  <si>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</si>
  <si>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</si>
  <si>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</si>
  <si>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</si>
  <si>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</si>
  <si>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</si>
  <si>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</si>
  <si>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</si>
  <si>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</si>
  <si>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</si>
  <si>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</si>
  <si>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</si>
  <si>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</si>
  <si>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</si>
  <si>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</si>
  <si>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</si>
  <si>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</si>
  <si>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</si>
  <si>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</si>
  <si>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</si>
  <si>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</si>
  <si>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</si>
  <si>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</si>
  <si>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</si>
  <si>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</si>
  <si>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</si>
  <si>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</si>
  <si>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</si>
  <si>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</si>
  <si>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</si>
  <si>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</si>
  <si>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</si>
  <si>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</si>
  <si>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</si>
  <si>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</si>
  <si>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</si>
  <si>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</si>
  <si>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</si>
  <si>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</si>
  <si>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</si>
  <si>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</si>
  <si>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</si>
  <si>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</si>
  <si>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</si>
  <si>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</si>
  <si>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</si>
  <si>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</si>
  <si>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</si>
  <si>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</si>
  <si>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</si>
  <si>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</si>
  <si>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</si>
  <si>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</si>
  <si>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</si>
  <si>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</si>
  <si>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</si>
  <si>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</si>
  <si>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</si>
  <si>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</si>
  <si>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</si>
  <si>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</si>
  <si>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</si>
  <si>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</si>
  <si>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</si>
  <si>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</si>
  <si>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</si>
  <si>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</si>
  <si>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</si>
  <si>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</si>
  <si>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</si>
  <si>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</si>
  <si>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</si>
  <si>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</si>
  <si>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</si>
  <si>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</si>
  <si>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</si>
  <si>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</si>
  <si>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</si>
  <si>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</si>
  <si>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</si>
  <si>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</si>
  <si>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</si>
  <si>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</si>
  <si>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</si>
  <si>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</si>
  <si>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</si>
  <si>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</si>
  <si>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</si>
  <si>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</si>
  <si>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</si>
  <si>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</si>
  <si>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</si>
  <si>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</si>
  <si>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</si>
  <si>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</si>
  <si>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</si>
  <si>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</si>
  <si>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</si>
  <si>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</si>
  <si>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</si>
  <si>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</si>
  <si>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</si>
  <si>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</si>
  <si>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</si>
  <si>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</si>
  <si>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</si>
  <si>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</si>
  <si>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</si>
  <si>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</si>
  <si>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</si>
  <si>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</si>
  <si>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</si>
  <si>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</si>
  <si>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</si>
  <si>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</si>
  <si>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</si>
  <si>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</si>
  <si>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</si>
  <si>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</si>
  <si>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</si>
  <si>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</si>
  <si>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</si>
  <si>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</si>
  <si>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</si>
  <si>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</si>
  <si>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</si>
  <si>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</si>
  <si>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</si>
  <si>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</si>
  <si>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</si>
  <si>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</si>
  <si>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</si>
  <si>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</si>
  <si>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</si>
  <si>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</si>
  <si>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</si>
  <si>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</si>
  <si>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</si>
  <si>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</si>
  <si>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</si>
  <si>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</si>
  <si>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</si>
  <si>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</si>
  <si>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</si>
  <si>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</si>
  <si>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</si>
  <si>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</si>
  <si>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</si>
  <si>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</si>
  <si>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</si>
  <si>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</si>
  <si>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</si>
  <si>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</si>
  <si>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</si>
  <si>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</si>
  <si>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</si>
  <si>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</si>
  <si>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</si>
  <si>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</si>
  <si>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</si>
  <si>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</si>
  <si>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</si>
  <si>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</si>
  <si>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</si>
  <si>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</si>
  <si>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</si>
  <si>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</si>
  <si>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</si>
  <si>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</si>
  <si>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</si>
  <si>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</si>
  <si>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</si>
  <si>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</si>
  <si>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</si>
  <si>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</si>
  <si>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</si>
  <si>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</si>
  <si>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</si>
  <si>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</si>
  <si>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</si>
  <si>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</si>
  <si>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</si>
  <si>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</si>
  <si>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</si>
  <si>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</si>
  <si>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</si>
  <si>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</si>
  <si>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</si>
  <si>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</si>
  <si>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</si>
  <si>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</si>
  <si>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</si>
  <si>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</si>
  <si>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</si>
  <si>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</si>
  <si>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</si>
  <si>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</si>
  <si>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</si>
  <si>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</si>
  <si>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</si>
  <si>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</si>
  <si>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</si>
  <si>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</si>
  <si>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</si>
  <si>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</si>
  <si>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</si>
  <si>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</si>
  <si>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</si>
  <si>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</si>
  <si>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</si>
  <si>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</si>
  <si>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</si>
  <si>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</si>
  <si>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</si>
  <si>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</si>
  <si>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</si>
  <si>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</si>
  <si>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</si>
  <si>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</si>
  <si>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</si>
  <si>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</si>
  <si>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</si>
  <si>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</si>
  <si>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</si>
  <si>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</si>
  <si>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</si>
  <si>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</si>
  <si>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</si>
  <si>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</si>
  <si>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</si>
  <si>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</si>
  <si>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</si>
  <si>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</si>
  <si>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</si>
  <si>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</si>
  <si>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</si>
  <si>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</si>
  <si>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</si>
  <si>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</si>
  <si>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</si>
  <si>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</si>
  <si>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</si>
  <si>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</si>
  <si>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</si>
  <si>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</si>
  <si>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</si>
  <si>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</si>
  <si>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</si>
  <si>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</si>
  <si>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</si>
  <si>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</si>
  <si>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</si>
  <si>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</si>
  <si>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</si>
  <si>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</si>
  <si>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</si>
  <si>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</si>
  <si>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</si>
  <si>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</si>
  <si>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</si>
  <si>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</si>
  <si>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</si>
  <si>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</si>
  <si>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</si>
  <si>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</si>
  <si>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</si>
  <si>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</si>
  <si>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</si>
  <si>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</si>
  <si>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</si>
  <si>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</si>
  <si>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</si>
  <si>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</si>
  <si>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</si>
  <si>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</si>
  <si>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</si>
  <si>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</si>
  <si>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</si>
  <si>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</si>
  <si>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</si>
  <si>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</si>
  <si>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</si>
  <si>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</si>
  <si>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</si>
  <si>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</si>
  <si>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</si>
  <si>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</si>
  <si>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</si>
  <si>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</si>
  <si>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</si>
  <si>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</si>
  <si>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</si>
  <si>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</si>
  <si>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</si>
  <si>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</si>
  <si>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</si>
  <si>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</si>
  <si>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</si>
  <si>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</si>
  <si>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</si>
  <si>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</si>
  <si>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</si>
  <si>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</si>
  <si>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</si>
  <si>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</si>
  <si>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</si>
  <si>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</si>
  <si>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</si>
  <si>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</si>
  <si>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</si>
  <si>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</si>
  <si>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</si>
  <si>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</si>
  <si>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</si>
  <si>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</si>
  <si>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</si>
  <si>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</si>
  <si>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</si>
  <si>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</si>
  <si>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</si>
  <si>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</si>
  <si>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</si>
  <si>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</si>
  <si>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</si>
  <si>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</si>
  <si>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</si>
  <si>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</si>
  <si>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</si>
  <si>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</si>
  <si>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</si>
  <si>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</si>
  <si>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</si>
  <si>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</si>
  <si>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</si>
  <si>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</si>
  <si>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</si>
  <si>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</si>
  <si>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</si>
  <si>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</si>
  <si>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</si>
  <si>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</si>
  <si>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</si>
  <si>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</si>
  <si>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</si>
  <si>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</si>
  <si>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</si>
  <si>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</si>
  <si>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</si>
  <si>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</si>
  <si>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</si>
  <si>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</si>
  <si>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</si>
  <si>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</si>
  <si>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</si>
  <si>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</si>
  <si>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</si>
  <si>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</si>
  <si>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</si>
  <si>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</si>
  <si>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</si>
  <si>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</si>
  <si>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</si>
  <si>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</si>
  <si>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</si>
  <si>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</si>
  <si>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</si>
  <si>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</si>
  <si>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</si>
  <si>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</si>
  <si>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</si>
  <si>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</si>
  <si>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</si>
  <si>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</si>
  <si>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</si>
  <si>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</si>
  <si>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</si>
  <si>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</si>
  <si>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</si>
  <si>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</si>
  <si>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</si>
  <si>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</si>
  <si>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</si>
  <si>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</si>
  <si>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</si>
  <si>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</si>
  <si>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</si>
  <si>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</si>
  <si>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</si>
  <si>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</si>
  <si>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</si>
  <si>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</si>
  <si>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</si>
  <si>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</si>
  <si>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</si>
  <si>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</si>
  <si>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</si>
  <si>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</si>
  <si>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</si>
  <si>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</si>
  <si>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</si>
  <si>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</si>
  <si>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</si>
  <si>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</si>
  <si>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</si>
  <si>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</si>
  <si>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</si>
  <si>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</si>
  <si>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</si>
  <si>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</si>
  <si>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</si>
  <si>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</si>
  <si>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</si>
  <si>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</si>
  <si>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</si>
  <si>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</si>
  <si>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</si>
  <si>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</si>
  <si>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</si>
  <si>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</si>
  <si>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</si>
  <si>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</si>
  <si>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</si>
  <si>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</si>
  <si>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</si>
  <si>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</si>
  <si>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</si>
  <si>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</si>
  <si>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</si>
  <si>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</si>
  <si>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</si>
  <si>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</si>
  <si>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</si>
  <si>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</si>
  <si>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</si>
  <si>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</si>
  <si>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</si>
  <si>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</si>
  <si>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</si>
  <si>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</si>
  <si>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</si>
  <si>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</si>
  <si>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</si>
  <si>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</si>
  <si>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</si>
  <si>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</si>
  <si>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</si>
  <si>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</si>
  <si>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</si>
  <si>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</si>
  <si>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</si>
  <si>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</si>
  <si>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</si>
  <si>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</si>
  <si>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</si>
  <si>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</si>
  <si>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</si>
  <si>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</si>
  <si>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</si>
  <si>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</si>
  <si>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</si>
  <si>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</si>
  <si>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</si>
  <si>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</si>
  <si>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</si>
  <si>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</si>
  <si>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</si>
  <si>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</si>
  <si>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</si>
  <si>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</si>
  <si>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</si>
  <si>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</si>
  <si>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</si>
  <si>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</si>
  <si>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</si>
  <si>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</si>
  <si>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</si>
  <si>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</si>
  <si>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</si>
  <si>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</si>
  <si>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</si>
  <si>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</si>
  <si>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</si>
  <si>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</si>
  <si>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</si>
  <si>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</si>
  <si>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</si>
  <si>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</si>
  <si>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</si>
  <si>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</si>
  <si>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</si>
  <si>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</si>
  <si>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</si>
  <si>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</si>
  <si>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</si>
  <si>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</si>
  <si>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</si>
  <si>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</si>
  <si>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</si>
  <si>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</si>
  <si>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</si>
  <si>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</si>
  <si>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</si>
  <si>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</si>
  <si>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</si>
  <si>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</si>
  <si>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</si>
  <si>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</si>
  <si>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</si>
  <si>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</si>
  <si>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</si>
  <si>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</si>
  <si>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</si>
  <si>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</si>
  <si>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</si>
  <si>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</si>
  <si>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</si>
  <si>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</si>
  <si>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</si>
  <si>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</si>
  <si>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</si>
  <si>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</si>
  <si>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</si>
  <si>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</si>
  <si>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</si>
  <si>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</si>
  <si>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</si>
  <si>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</si>
  <si>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</si>
  <si>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</si>
  <si>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</si>
  <si>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</si>
  <si>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</si>
  <si>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</si>
  <si>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</si>
  <si>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</si>
  <si>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</si>
  <si>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</si>
  <si>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</si>
  <si>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</si>
  <si>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</si>
  <si>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</si>
  <si>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</si>
  <si>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</si>
  <si>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</si>
  <si>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</si>
  <si>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</si>
  <si>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</si>
  <si>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</si>
  <si>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</si>
  <si>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</si>
  <si>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</si>
  <si>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</si>
  <si>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</si>
  <si>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</si>
  <si>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</si>
  <si>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</si>
  <si>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</si>
  <si>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</si>
  <si>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</si>
  <si>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</si>
  <si>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</si>
  <si>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</si>
  <si>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</si>
  <si>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</si>
  <si>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</si>
  <si>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</si>
  <si>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</si>
  <si>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</si>
  <si>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</si>
  <si>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</si>
  <si>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</si>
  <si>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</si>
  <si>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</si>
  <si>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</si>
  <si>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</si>
  <si>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</si>
  <si>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</si>
  <si>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</si>
  <si>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</si>
  <si>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</si>
  <si>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</si>
  <si>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</si>
  <si>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</si>
  <si>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</si>
  <si>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</si>
  <si>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</si>
  <si>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</si>
  <si>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</si>
  <si>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</si>
  <si>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</si>
  <si>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</si>
  <si>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</si>
  <si>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</si>
  <si>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</si>
  <si>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</si>
  <si>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</si>
  <si>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</si>
  <si>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</si>
  <si>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</si>
  <si>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</si>
  <si>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</si>
  <si>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</si>
  <si>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</si>
  <si>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</si>
  <si>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</si>
  <si>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</si>
  <si>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</si>
  <si>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</si>
  <si>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</si>
  <si>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</si>
  <si>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</si>
  <si>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</si>
  <si>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</si>
  <si>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</si>
  <si>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</si>
  <si>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</si>
  <si>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</si>
  <si>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</si>
  <si>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</si>
  <si>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</si>
  <si>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</si>
  <si>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</si>
  <si>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</si>
  <si>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</si>
  <si>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</si>
  <si>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</si>
  <si>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</si>
  <si>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</si>
  <si>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</si>
  <si>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</si>
  <si>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</si>
  <si>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</si>
  <si>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</si>
  <si>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</si>
  <si>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</si>
  <si>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</si>
  <si>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</si>
  <si>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</si>
  <si>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</si>
  <si>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</si>
  <si>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</si>
  <si>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</si>
  <si>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</si>
  <si>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</si>
  <si>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</si>
  <si>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</si>
  <si>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</si>
  <si>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</si>
  <si>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</si>
  <si>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</si>
  <si>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</si>
  <si>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</si>
  <si>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</si>
  <si>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</si>
  <si>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</si>
  <si>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</si>
  <si>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</si>
  <si>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</si>
  <si>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</si>
  <si>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</si>
  <si>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</si>
  <si>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</si>
  <si>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</si>
  <si>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</si>
  <si>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</si>
  <si>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</si>
  <si>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</si>
  <si>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</si>
  <si>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</si>
  <si>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</si>
  <si>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</si>
  <si>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</si>
  <si>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</si>
  <si>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</si>
  <si>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</si>
  <si>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</si>
  <si>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</si>
  <si>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</si>
  <si>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</si>
  <si>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</si>
  <si>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</si>
  <si>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</si>
  <si>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</si>
  <si>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</si>
  <si>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</si>
  <si>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</si>
  <si>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</si>
  <si>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</si>
  <si>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</si>
  <si>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</si>
  <si>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</si>
  <si>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</si>
  <si>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</si>
  <si>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</si>
  <si>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</si>
  <si>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</si>
  <si>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</si>
  <si>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</si>
  <si>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</si>
  <si>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</si>
  <si>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</si>
  <si>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</si>
  <si>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</si>
  <si>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</si>
  <si>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</si>
  <si>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</si>
  <si>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</si>
  <si>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</si>
  <si>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</si>
  <si>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</si>
  <si>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</si>
  <si>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</si>
  <si>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</si>
  <si>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</si>
  <si>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</si>
  <si>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</si>
  <si>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</si>
  <si>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</si>
  <si>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</si>
  <si>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</si>
  <si>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</si>
  <si>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</si>
  <si>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</si>
  <si>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</si>
  <si>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</si>
  <si>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</si>
  <si>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</si>
  <si>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</si>
  <si>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</si>
  <si>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</si>
  <si>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</si>
  <si>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</si>
  <si>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</si>
  <si>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</si>
  <si>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</si>
  <si>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</si>
  <si>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</si>
  <si>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</si>
  <si>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</si>
  <si>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</si>
  <si>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</si>
  <si>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</si>
  <si>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</si>
  <si>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</si>
  <si>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</si>
  <si>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</si>
  <si>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</si>
  <si>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</si>
  <si>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</si>
  <si>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</si>
  <si>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</si>
  <si>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</si>
  <si>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</si>
  <si>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</si>
  <si>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</si>
  <si>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</si>
  <si>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</si>
  <si>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</si>
  <si>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</si>
  <si>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</si>
  <si>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</si>
  <si>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</si>
  <si>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</si>
  <si>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</si>
  <si>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</si>
  <si>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</si>
  <si>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</si>
  <si>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</si>
  <si>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</si>
  <si>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</si>
  <si>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</si>
  <si>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</si>
  <si>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</si>
  <si>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</si>
  <si>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</si>
  <si>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</si>
  <si>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</si>
  <si>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</si>
  <si>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</si>
  <si>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</si>
  <si>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</si>
  <si>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</si>
  <si>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</si>
  <si>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</si>
  <si>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</si>
  <si>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</si>
  <si>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</si>
  <si>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</si>
  <si>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</si>
  <si>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</si>
  <si>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</si>
  <si>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</si>
  <si>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</si>
  <si>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</si>
  <si>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</si>
  <si>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</si>
  <si>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</si>
  <si>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</si>
  <si>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</si>
  <si>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</si>
  <si>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</si>
  <si>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</si>
  <si>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</si>
  <si>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</si>
  <si>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</si>
  <si>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</si>
  <si>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</si>
  <si>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</si>
  <si>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</si>
  <si>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</si>
  <si>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</si>
  <si>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</si>
  <si>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</si>
  <si>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</si>
  <si>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</si>
  <si>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</si>
  <si>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</si>
  <si>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</si>
  <si>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</si>
  <si>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</si>
  <si>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</si>
  <si>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</si>
  <si>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</si>
  <si>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</si>
  <si>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</si>
  <si>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</si>
  <si>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</si>
  <si>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</si>
  <si>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</si>
  <si>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</si>
  <si>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</si>
  <si>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</si>
  <si>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</si>
  <si>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</si>
  <si>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</si>
  <si>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</si>
  <si>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</si>
  <si>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</si>
  <si>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</si>
  <si>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</si>
  <si>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</si>
  <si>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</si>
  <si>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</si>
  <si>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</si>
  <si>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</si>
  <si>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</si>
  <si>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</si>
  <si>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</si>
  <si>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</si>
  <si>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</si>
  <si>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</si>
  <si>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</si>
  <si>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</si>
  <si>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</si>
  <si>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</si>
  <si>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</si>
  <si>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</si>
  <si>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</si>
  <si>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</si>
  <si>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</si>
  <si>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</si>
  <si>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</si>
  <si>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</si>
  <si>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</si>
  <si>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</si>
  <si>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</si>
  <si>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</si>
  <si>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</si>
  <si>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</si>
  <si>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</si>
  <si>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</si>
  <si>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</si>
  <si>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</si>
  <si>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</si>
  <si>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</si>
  <si>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</si>
  <si>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</si>
  <si>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</si>
  <si>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</si>
  <si>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</si>
  <si>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</si>
  <si>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</si>
  <si>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</si>
  <si>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</si>
  <si>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</si>
  <si>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</si>
  <si>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</si>
  <si>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</si>
  <si>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</si>
  <si>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</si>
  <si>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</si>
  <si>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</si>
  <si>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</si>
  <si>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</si>
  <si>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</si>
  <si>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</si>
  <si>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</si>
  <si>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</si>
  <si>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</si>
  <si>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</si>
  <si>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</si>
  <si>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</si>
  <si>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</si>
  <si>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</si>
  <si>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</si>
  <si>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</si>
  <si>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</si>
  <si>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</si>
  <si>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</si>
  <si>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</si>
  <si>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</si>
  <si>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</si>
  <si>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</si>
  <si>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</si>
  <si>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</si>
  <si>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</si>
  <si>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</si>
  <si>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</si>
  <si>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</si>
  <si>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</si>
  <si>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</si>
  <si>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</si>
  <si>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</si>
  <si>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</si>
  <si>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</si>
  <si>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</si>
  <si>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</si>
  <si>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</si>
  <si>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</si>
  <si>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</si>
  <si>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</si>
  <si>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</si>
  <si>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</si>
  <si>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</si>
  <si>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</si>
  <si>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</si>
  <si>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</si>
  <si>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</si>
  <si>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</si>
  <si>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</si>
  <si>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</si>
  <si>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</si>
  <si>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</si>
  <si>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</si>
  <si>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</si>
  <si>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</si>
  <si>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</si>
  <si>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</si>
  <si>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</si>
  <si>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</si>
  <si>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</si>
  <si>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</si>
  <si>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</si>
  <si>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</si>
  <si>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</si>
  <si>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</si>
  <si>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</si>
  <si>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</si>
  <si>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</si>
  <si>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</si>
  <si>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</si>
  <si>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</si>
  <si>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</si>
  <si>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</si>
  <si>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</si>
  <si>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</si>
  <si>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</si>
  <si>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</si>
  <si>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</si>
  <si>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</si>
  <si>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</si>
  <si>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</si>
  <si>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</si>
  <si>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</si>
  <si>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</si>
  <si>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</si>
  <si>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</si>
  <si>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</si>
  <si>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</si>
  <si>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</si>
  <si>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</si>
  <si>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</si>
  <si>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</si>
  <si>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</si>
  <si>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</si>
  <si>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</si>
  <si>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</si>
  <si>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</si>
  <si>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</si>
  <si>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</si>
  <si>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</si>
  <si>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</si>
  <si>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</si>
  <si>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</si>
  <si>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</si>
  <si>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</si>
  <si>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</si>
  <si>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</si>
  <si>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</si>
  <si>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</si>
  <si>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</si>
  <si>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</si>
  <si>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</si>
  <si>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</si>
  <si>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</si>
  <si>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</si>
  <si>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</si>
  <si>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</si>
  <si>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</si>
  <si>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</si>
  <si>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</si>
  <si>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</si>
  <si>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</si>
  <si>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</si>
  <si>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</si>
  <si>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</si>
  <si>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</si>
  <si>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</si>
  <si>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</si>
  <si>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</si>
  <si>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</si>
  <si>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</si>
  <si>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</si>
  <si>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</si>
  <si>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</si>
  <si>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</si>
  <si>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</si>
  <si>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</si>
  <si>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</si>
  <si>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</si>
  <si>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</si>
  <si>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</si>
  <si>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</si>
  <si>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</si>
  <si>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</si>
  <si>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</si>
  <si>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</si>
  <si>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</si>
  <si>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</si>
  <si>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</si>
  <si>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</si>
  <si>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</si>
  <si>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</si>
  <si>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</si>
  <si>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</si>
  <si>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</si>
  <si>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</si>
  <si>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</si>
  <si>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</si>
  <si>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</si>
  <si>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</si>
  <si>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</si>
  <si>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</si>
  <si>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</si>
  <si>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</si>
  <si>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</si>
  <si>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</si>
  <si>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</si>
  <si>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</si>
  <si>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</si>
  <si>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</si>
  <si>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</si>
  <si>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</si>
  <si>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</si>
  <si>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</si>
  <si>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</si>
  <si>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</si>
  <si>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</si>
  <si>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</si>
  <si>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</si>
  <si>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</si>
  <si>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</si>
  <si>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</si>
  <si>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</si>
  <si>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</si>
  <si>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</si>
  <si>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</si>
  <si>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</si>
  <si>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</si>
  <si>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</si>
  <si>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</si>
  <si>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</si>
  <si>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</si>
  <si>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</si>
  <si>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</si>
  <si>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</si>
  <si>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</si>
  <si>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</si>
  <si>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</si>
  <si>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</si>
  <si>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</si>
  <si>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</si>
  <si>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</si>
  <si>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</si>
  <si>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</si>
  <si>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</si>
  <si>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</si>
  <si>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</si>
  <si>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</si>
  <si>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</si>
  <si>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</si>
  <si>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</si>
  <si>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</si>
  <si>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</si>
  <si>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</si>
  <si>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</si>
  <si>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</si>
  <si>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</si>
  <si>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</si>
  <si>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</si>
  <si>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</si>
  <si>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</si>
  <si>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</si>
  <si>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</si>
  <si>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</si>
  <si>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</si>
  <si>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</si>
  <si>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</si>
  <si>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</si>
  <si>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</si>
  <si>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</si>
  <si>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</si>
  <si>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</si>
  <si>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</si>
  <si>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</si>
  <si>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</si>
  <si>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</si>
  <si>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</si>
  <si>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</si>
  <si>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</si>
  <si>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</si>
  <si>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</si>
  <si>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</si>
  <si>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</si>
  <si>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</si>
  <si>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</si>
  <si>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</si>
  <si>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</si>
  <si>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</si>
  <si>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</si>
  <si>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</si>
  <si>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</si>
  <si>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</si>
  <si>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</si>
  <si>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</si>
  <si>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</si>
  <si>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</si>
  <si>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</si>
  <si>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</si>
  <si>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</si>
  <si>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</si>
  <si>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</si>
  <si>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</si>
  <si>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</si>
  <si>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</si>
  <si>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</si>
  <si>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</si>
  <si>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</si>
  <si>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</si>
  <si>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</si>
  <si>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</si>
  <si>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</si>
  <si>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</si>
  <si>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</si>
  <si>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</si>
  <si>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</si>
  <si>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</si>
  <si>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</si>
  <si>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</si>
  <si>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</si>
  <si>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</si>
  <si>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</si>
  <si>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</si>
  <si>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</si>
  <si>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</si>
  <si>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</si>
  <si>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</si>
  <si>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</si>
  <si>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</si>
  <si>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</si>
  <si>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</si>
  <si>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</si>
  <si>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</si>
  <si>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</si>
  <si>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</si>
  <si>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</si>
  <si>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</si>
  <si>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</si>
  <si>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</si>
  <si>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</si>
  <si>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</si>
  <si>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</si>
  <si>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</si>
  <si>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</si>
  <si>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</si>
  <si>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</si>
  <si>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</si>
  <si>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</si>
  <si>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</si>
  <si>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</si>
  <si>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</si>
  <si>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</si>
  <si>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</si>
  <si>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</si>
  <si>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</si>
  <si>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</si>
  <si>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</si>
  <si>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</si>
  <si>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</si>
  <si>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</si>
  <si>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</si>
  <si>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</si>
  <si>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</si>
  <si>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</si>
  <si>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</si>
  <si>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</si>
  <si>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</si>
  <si>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</si>
  <si>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</si>
  <si>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</si>
  <si>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</si>
  <si>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</si>
  <si>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</si>
  <si>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</si>
  <si>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</si>
  <si>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</si>
  <si>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</si>
  <si>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</si>
  <si>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</si>
  <si>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</si>
  <si>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</si>
  <si>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</si>
  <si>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</si>
  <si>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</si>
  <si>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</si>
  <si>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</si>
  <si>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</si>
  <si>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</si>
  <si>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</si>
  <si>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</si>
  <si>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</si>
  <si>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</si>
  <si>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</si>
  <si>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</si>
  <si>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</si>
  <si>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</si>
  <si>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</si>
  <si>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</si>
  <si>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</si>
  <si>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</si>
  <si>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</si>
  <si>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</si>
  <si>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</si>
  <si>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</si>
  <si>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</si>
  <si>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</si>
  <si>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</si>
  <si>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</si>
  <si>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</si>
  <si>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</si>
  <si>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</si>
  <si>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</si>
  <si>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</si>
  <si>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</si>
  <si>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</si>
  <si>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</si>
  <si>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</si>
  <si>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</si>
  <si>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</si>
  <si>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</si>
  <si>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</si>
  <si>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</si>
  <si>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</si>
  <si>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</si>
  <si>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</si>
  <si>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</si>
  <si>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</si>
  <si>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</si>
  <si>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</si>
  <si>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</si>
  <si>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</si>
  <si>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</si>
  <si>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</si>
  <si>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</si>
  <si>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</si>
  <si>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</si>
  <si>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</si>
  <si>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</si>
  <si>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</si>
  <si>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</si>
  <si>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</si>
  <si>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</si>
  <si>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</si>
  <si>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</si>
  <si>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</si>
  <si>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</si>
  <si>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</si>
  <si>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</si>
  <si>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</si>
  <si>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</si>
  <si>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</si>
  <si>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</si>
  <si>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</si>
  <si>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</si>
  <si>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</si>
  <si>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</si>
  <si>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</si>
  <si>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</si>
  <si>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</si>
  <si>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</si>
  <si>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</si>
  <si>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</si>
  <si>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</si>
  <si>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</si>
  <si>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</si>
  <si>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</si>
  <si>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</si>
  <si>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</si>
  <si>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</si>
  <si>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</si>
  <si>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</si>
  <si>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</si>
  <si>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</si>
  <si>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</si>
  <si>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</si>
  <si>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</si>
  <si>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</si>
  <si>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</si>
  <si>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</si>
  <si>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</si>
  <si>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</si>
  <si>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</si>
  <si>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</si>
  <si>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</si>
  <si>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</si>
  <si>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</si>
  <si>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</si>
  <si>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</si>
  <si>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</si>
  <si>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</si>
  <si>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</si>
  <si>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</si>
  <si>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</si>
  <si>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</si>
  <si>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</si>
  <si>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</si>
  <si>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</si>
  <si>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</si>
  <si>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</si>
  <si>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</si>
  <si>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</si>
  <si>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</si>
  <si>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</si>
  <si>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</si>
  <si>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</si>
  <si>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</si>
  <si>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</si>
  <si>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</si>
  <si>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</si>
  <si>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</si>
  <si>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</si>
  <si>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</si>
  <si>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</si>
  <si>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</si>
  <si>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</si>
  <si>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</si>
  <si>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</si>
  <si>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</si>
  <si>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</si>
  <si>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</si>
  <si>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</si>
  <si>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</si>
  <si>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</si>
  <si>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</si>
  <si>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</si>
  <si>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</si>
  <si>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</si>
  <si>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</si>
  <si>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</si>
  <si>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</si>
  <si>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</si>
  <si>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</si>
  <si>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</si>
  <si>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</si>
  <si>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</si>
  <si>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</si>
  <si>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</si>
  <si>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</si>
  <si>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</si>
  <si>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</si>
  <si>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</si>
  <si>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</si>
  <si>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</si>
  <si>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</si>
  <si>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</si>
  <si>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</si>
  <si>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</si>
  <si>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</si>
  <si>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</si>
  <si>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</si>
  <si>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</si>
  <si>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</si>
  <si>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</si>
  <si>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</si>
  <si>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</si>
  <si>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</si>
  <si>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</si>
  <si>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</si>
  <si>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</si>
  <si>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</si>
  <si>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</si>
  <si>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</si>
  <si>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</si>
  <si>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</si>
  <si>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</si>
  <si>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</si>
  <si>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</si>
  <si>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</si>
  <si>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</si>
  <si>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</si>
  <si>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</si>
  <si>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</si>
  <si>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</si>
  <si>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</si>
  <si>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</si>
  <si>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</si>
  <si>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</si>
  <si>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</si>
  <si>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</si>
  <si>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</si>
  <si>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</si>
  <si>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</si>
  <si>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</si>
  <si>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</si>
  <si>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</si>
  <si>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</si>
  <si>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</si>
  <si>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</si>
  <si>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</si>
  <si>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</si>
  <si>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</si>
  <si>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</si>
  <si>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</si>
  <si>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</si>
  <si>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</si>
  <si>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</si>
  <si>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</si>
  <si>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</si>
  <si>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</si>
  <si>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</si>
  <si>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</si>
  <si>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</si>
  <si>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</si>
  <si>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</si>
  <si>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</si>
  <si>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</si>
  <si>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</si>
  <si>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</si>
  <si>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</si>
  <si>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</si>
  <si>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</si>
  <si>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</si>
  <si>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</si>
  <si>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</si>
  <si>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</si>
  <si>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</si>
  <si>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</si>
  <si>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</si>
  <si>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</si>
  <si>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</si>
  <si>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</si>
  <si>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</si>
  <si>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</si>
  <si>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</si>
  <si>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</si>
  <si>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</si>
  <si>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</si>
  <si>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</si>
  <si>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</si>
  <si>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</si>
  <si>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</si>
  <si>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</si>
  <si>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</si>
  <si>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</si>
  <si>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</si>
  <si>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</si>
  <si>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</si>
  <si>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</si>
  <si>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</si>
  <si>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</si>
  <si>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</si>
  <si>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</si>
  <si>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</si>
  <si>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</si>
  <si>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</si>
  <si>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</si>
  <si>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</si>
  <si>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</si>
  <si>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</si>
  <si>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</si>
  <si>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</si>
  <si>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</si>
  <si>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</si>
  <si>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</si>
  <si>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</si>
  <si>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</si>
  <si>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</si>
  <si>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</si>
  <si>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</si>
  <si>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</si>
  <si>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</si>
  <si>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</si>
  <si>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</si>
  <si>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</si>
  <si>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</si>
  <si>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</si>
  <si>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</si>
  <si>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</si>
  <si>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</si>
  <si>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</si>
  <si>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</si>
  <si>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</si>
  <si>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</si>
  <si>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</si>
  <si>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</si>
  <si>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</si>
  <si>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</si>
  <si>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</si>
  <si>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</si>
  <si>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</si>
  <si>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</si>
  <si>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</si>
  <si>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</si>
  <si>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</si>
  <si>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</si>
  <si>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</si>
  <si>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</si>
  <si>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</si>
  <si>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</si>
  <si>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</si>
  <si>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</si>
  <si>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</si>
  <si>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</si>
  <si>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</si>
  <si>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</si>
  <si>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</si>
  <si>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</si>
  <si>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</si>
  <si>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</si>
  <si>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</si>
  <si>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</si>
  <si>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</si>
  <si>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</si>
  <si>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</si>
  <si>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</si>
  <si>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</si>
  <si>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</si>
  <si>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</si>
  <si>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</si>
  <si>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</si>
  <si>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</si>
  <si>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</si>
  <si>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</si>
  <si>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</si>
  <si>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</si>
  <si>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</si>
  <si>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</si>
  <si>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</si>
  <si>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</si>
  <si>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</si>
  <si>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</si>
  <si>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</si>
  <si>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</si>
  <si>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</si>
  <si>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</si>
  <si>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</si>
  <si>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</si>
  <si>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</si>
  <si>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</si>
  <si>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</si>
  <si>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</si>
  <si>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</si>
  <si>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</si>
  <si>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</si>
  <si>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</si>
  <si>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</si>
  <si>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</si>
  <si>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</si>
  <si>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</si>
  <si>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</si>
  <si>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</si>
  <si>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</si>
  <si>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</si>
  <si>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</si>
  <si>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</si>
  <si>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</si>
  <si>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</si>
  <si>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</si>
  <si>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</si>
  <si>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</si>
  <si>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</si>
  <si>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</si>
  <si>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</si>
  <si>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</si>
  <si>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</si>
  <si>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</si>
  <si>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</si>
  <si>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</si>
  <si>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</si>
  <si>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</si>
  <si>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</si>
  <si>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</si>
  <si>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</si>
  <si>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</si>
  <si>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</si>
  <si>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</si>
  <si>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</si>
  <si>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</si>
  <si>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</si>
  <si>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</si>
  <si>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</si>
  <si>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</si>
  <si>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</si>
  <si>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</si>
  <si>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</si>
  <si>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</si>
  <si>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</si>
  <si>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</si>
  <si>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</si>
  <si>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</si>
  <si>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</si>
  <si>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</si>
  <si>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</si>
  <si>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</si>
  <si>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</si>
  <si>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</si>
  <si>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</si>
  <si>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</si>
  <si>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</si>
  <si>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</si>
  <si>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</si>
  <si>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</si>
  <si>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</si>
  <si>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</si>
  <si>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</si>
  <si>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</si>
  <si>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</si>
  <si>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</si>
  <si>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</si>
  <si>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</si>
  <si>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</si>
  <si>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</si>
  <si>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</si>
  <si>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</si>
  <si>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</si>
  <si>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</si>
  <si>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</si>
  <si>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</si>
  <si>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</si>
  <si>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</si>
  <si>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</si>
  <si>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</si>
  <si>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</si>
  <si>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</si>
  <si>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</si>
  <si>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</si>
  <si>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</si>
  <si>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</si>
  <si>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</si>
  <si>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</si>
  <si>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</si>
  <si>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</si>
  <si>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</si>
  <si>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</si>
  <si>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</si>
  <si>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</si>
  <si>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</si>
  <si>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</si>
  <si>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</si>
  <si>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</si>
  <si>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</si>
  <si>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</si>
  <si>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</si>
  <si>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</si>
  <si>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</si>
  <si>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</si>
  <si>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</si>
  <si>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</si>
  <si>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</si>
  <si>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</si>
  <si>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</si>
  <si>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</si>
  <si>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</si>
  <si>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</si>
  <si>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</si>
  <si>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</si>
  <si>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</si>
  <si>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</si>
  <si>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</si>
  <si>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</si>
  <si>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</si>
  <si>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</si>
  <si>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</si>
  <si>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</si>
  <si>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</si>
  <si>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</si>
  <si>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</si>
  <si>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</si>
  <si>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</si>
  <si>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</si>
  <si>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</si>
  <si>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</si>
  <si>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</si>
  <si>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</si>
  <si>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</si>
  <si>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</si>
  <si>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</si>
  <si>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</si>
  <si>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</si>
  <si>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</si>
  <si>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</si>
  <si>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</si>
  <si>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</si>
  <si>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</si>
  <si>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</si>
  <si>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</si>
  <si>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</si>
  <si>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</si>
  <si>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</si>
  <si>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</si>
  <si>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</si>
  <si>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</si>
  <si>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</si>
  <si>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</si>
  <si>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</si>
  <si>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</si>
  <si>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</si>
  <si>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</si>
  <si>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</si>
  <si>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</si>
  <si>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</si>
  <si>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</si>
  <si>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</si>
  <si>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</si>
  <si>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</si>
  <si>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</si>
  <si>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</si>
  <si>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</si>
  <si>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</si>
  <si>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</si>
  <si>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</si>
  <si>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</si>
  <si>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</si>
  <si>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</si>
  <si>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</si>
  <si>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</si>
  <si>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</si>
  <si>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</si>
  <si>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</si>
  <si>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</si>
  <si>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</si>
  <si>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</si>
  <si>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</si>
  <si>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</si>
  <si>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</si>
  <si>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</si>
  <si>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</si>
  <si>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</si>
  <si>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</si>
  <si>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</si>
  <si>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</si>
  <si>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</si>
  <si>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</si>
  <si>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</si>
  <si>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</si>
  <si>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</si>
  <si>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</si>
  <si>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</si>
  <si>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</si>
  <si>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</si>
  <si>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</si>
  <si>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</si>
  <si>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</si>
  <si>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</si>
  <si>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</si>
  <si>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</si>
  <si>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</si>
  <si>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</si>
  <si>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</si>
  <si>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</si>
  <si>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</si>
  <si>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</si>
  <si>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</si>
  <si>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</si>
  <si>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</si>
  <si>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</si>
  <si>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</si>
  <si>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</si>
  <si>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</si>
  <si>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</si>
  <si>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</si>
  <si>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</si>
  <si>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</si>
  <si>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</si>
  <si>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</si>
  <si>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</si>
  <si>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</si>
  <si>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</si>
  <si>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</si>
  <si>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</si>
  <si>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</si>
  <si>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</si>
  <si>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</si>
  <si>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</si>
  <si>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</si>
  <si>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</si>
  <si>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</si>
  <si>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</si>
  <si>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</si>
  <si>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</si>
  <si>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</si>
  <si>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</si>
  <si>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</si>
  <si>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</si>
  <si>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</si>
  <si>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</si>
  <si>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</si>
  <si>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</si>
  <si>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</si>
  <si>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</si>
  <si>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</si>
  <si>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</si>
  <si>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</si>
  <si>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</si>
  <si>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</si>
  <si>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</si>
  <si>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</si>
  <si>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</si>
  <si>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</si>
  <si>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</si>
  <si>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</si>
  <si>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</si>
  <si>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</si>
  <si>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</si>
  <si>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</si>
  <si>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</si>
  <si>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</si>
  <si>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</si>
  <si>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</si>
  <si>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</si>
  <si>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</si>
  <si>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</si>
  <si>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</si>
  <si>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</si>
  <si>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</si>
  <si>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</si>
  <si>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</si>
  <si>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</si>
  <si>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</si>
  <si>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</si>
  <si>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</si>
  <si>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</si>
  <si>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</si>
  <si>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</si>
  <si>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</si>
  <si>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</si>
  <si>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</si>
  <si>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</si>
  <si>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</si>
  <si>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</si>
  <si>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</si>
  <si>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</si>
  <si>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</si>
  <si>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</si>
  <si>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</si>
  <si>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</si>
  <si>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</si>
  <si>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</si>
  <si>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</si>
  <si>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</si>
  <si>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</si>
  <si>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</si>
  <si>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</si>
  <si>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</si>
  <si>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</si>
  <si>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</si>
  <si>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</si>
  <si>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</si>
  <si>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</si>
  <si>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</si>
  <si>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</si>
  <si>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</si>
  <si>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</si>
  <si>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</si>
  <si>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</si>
  <si>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</si>
  <si>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</si>
  <si>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</si>
  <si>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</si>
  <si>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</si>
  <si>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</si>
  <si>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</si>
  <si>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</si>
  <si>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</si>
  <si>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</si>
  <si>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</si>
  <si>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</si>
  <si>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</si>
  <si>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</si>
  <si>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</si>
  <si>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</si>
  <si>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</si>
  <si>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</si>
  <si>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</si>
  <si>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</si>
  <si>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</si>
  <si>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</si>
  <si>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</si>
  <si>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</si>
  <si>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</si>
  <si>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</si>
  <si>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</si>
  <si>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</si>
  <si>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</si>
  <si>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</si>
  <si>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</si>
  <si>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</si>
  <si>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</si>
  <si>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</si>
  <si>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</si>
  <si>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</si>
  <si>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</si>
  <si>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</si>
  <si>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</si>
  <si>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</si>
  <si>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</si>
  <si>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</si>
  <si>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</si>
  <si>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</si>
  <si>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</si>
  <si>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</si>
  <si>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</si>
  <si>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</si>
  <si>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</si>
  <si>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</si>
  <si>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</si>
  <si>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</si>
  <si>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</si>
  <si>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</si>
  <si>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</si>
  <si>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</si>
  <si>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</si>
  <si>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</si>
  <si>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</si>
  <si>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</si>
  <si>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</si>
  <si>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</si>
  <si>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</si>
  <si>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</si>
  <si>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</si>
  <si>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</si>
  <si>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</si>
  <si>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</si>
  <si>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</si>
  <si>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</si>
  <si>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</si>
  <si>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</si>
  <si>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</si>
  <si>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</si>
  <si>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</si>
  <si>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</si>
  <si>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</si>
  <si>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</si>
  <si>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</si>
  <si>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</si>
  <si>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</si>
  <si>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</si>
  <si>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</si>
  <si>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</si>
  <si>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</si>
  <si>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</si>
  <si>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</si>
  <si>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</si>
  <si>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</si>
  <si>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</si>
  <si>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</si>
  <si>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</si>
  <si>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</si>
  <si>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</si>
  <si>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</si>
  <si>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</si>
  <si>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</si>
  <si>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</si>
  <si>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</si>
  <si>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</si>
  <si>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</si>
  <si>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</si>
  <si>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</si>
  <si>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</si>
  <si>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</si>
  <si>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</si>
  <si>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</si>
  <si>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</si>
  <si>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</si>
  <si>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</si>
  <si>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</si>
  <si>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</si>
  <si>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</si>
  <si>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</si>
  <si>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</si>
  <si>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</si>
  <si>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</si>
  <si>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</si>
  <si>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</si>
  <si>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</si>
  <si>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</si>
  <si>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</si>
  <si>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</si>
  <si>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</si>
  <si>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</si>
  <si>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</si>
  <si>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</si>
  <si>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</si>
  <si>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</si>
  <si>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</si>
  <si>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</si>
  <si>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</si>
  <si>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</si>
  <si>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</si>
  <si>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</si>
  <si>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</si>
  <si>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</si>
  <si>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</si>
  <si>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</si>
  <si>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</si>
  <si>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</si>
  <si>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</si>
  <si>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</si>
  <si>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</si>
  <si>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</si>
  <si>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</si>
  <si>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</si>
  <si>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</si>
  <si>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</si>
  <si>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</si>
  <si>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</si>
  <si>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</si>
  <si>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</si>
  <si>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</si>
  <si>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</si>
  <si>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</si>
  <si>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</si>
  <si>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</si>
  <si>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</si>
  <si>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</si>
  <si>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</si>
  <si>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</si>
  <si>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</si>
  <si>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</si>
  <si>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</si>
  <si>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</si>
  <si>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</si>
  <si>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</si>
  <si>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</si>
  <si>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</si>
  <si>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</si>
  <si>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</si>
  <si>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</si>
  <si>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</si>
  <si>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</si>
  <si>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</si>
  <si>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</si>
  <si>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</si>
  <si>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</si>
  <si>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</si>
  <si>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</si>
  <si>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</si>
  <si>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</si>
  <si>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</si>
  <si>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</si>
  <si>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</si>
  <si>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</si>
  <si>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</si>
  <si>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</si>
  <si>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</si>
  <si>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</si>
  <si>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</si>
  <si>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</si>
  <si>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</si>
  <si>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</si>
  <si>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</si>
  <si>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</si>
  <si>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</si>
  <si>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</si>
  <si>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</si>
  <si>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</si>
  <si>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</si>
  <si>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</si>
  <si>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</si>
  <si>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</si>
  <si>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</si>
  <si>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</si>
  <si>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</si>
  <si>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</si>
  <si>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</si>
  <si>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</si>
  <si>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</si>
  <si>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</si>
  <si>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</si>
  <si>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</si>
  <si>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</si>
  <si>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</si>
  <si>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</si>
  <si>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</si>
  <si>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</si>
  <si>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</si>
  <si>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</si>
  <si>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</si>
  <si>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</si>
  <si>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</si>
  <si>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</si>
  <si>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</si>
  <si>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</si>
  <si>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</si>
  <si>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</si>
  <si>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</si>
  <si>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</si>
  <si>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</si>
  <si>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</si>
  <si>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</si>
  <si>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</si>
  <si>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</si>
  <si>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</si>
  <si>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</si>
  <si>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</si>
  <si>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</si>
  <si>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</si>
  <si>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</si>
  <si>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</si>
  <si>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</si>
  <si>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</si>
  <si>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</si>
  <si>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</si>
  <si>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</si>
  <si>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</si>
  <si>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</si>
  <si>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</si>
  <si>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</si>
  <si>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</si>
  <si>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</si>
  <si>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</si>
  <si>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</si>
  <si>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</si>
  <si>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</si>
  <si>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</si>
  <si>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</si>
  <si>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</si>
  <si>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</si>
  <si>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</si>
  <si>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</si>
  <si>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</si>
  <si>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</si>
  <si>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</si>
  <si>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</si>
  <si>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</si>
  <si>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</si>
  <si>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</si>
  <si>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</si>
  <si>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</si>
  <si>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</si>
  <si>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</si>
  <si>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</si>
  <si>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</si>
  <si>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</si>
  <si>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</si>
  <si>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</si>
  <si>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</si>
  <si>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</si>
  <si>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</si>
  <si>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</si>
  <si>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</si>
  <si>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</si>
  <si>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</si>
  <si>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</si>
  <si>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</si>
  <si>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</si>
  <si>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</si>
  <si>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</si>
  <si>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</si>
  <si>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</si>
  <si>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</si>
  <si>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</si>
  <si>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</si>
  <si>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</si>
  <si>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</si>
  <si>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</si>
  <si>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</si>
  <si>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</si>
  <si>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</si>
  <si>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</si>
  <si>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</si>
  <si>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</si>
  <si>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</si>
  <si>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</si>
  <si>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</si>
  <si>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</si>
  <si>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</si>
  <si>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</si>
  <si>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</si>
  <si>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</si>
  <si>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</si>
  <si>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</si>
  <si>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</si>
  <si>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</si>
  <si>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</si>
  <si>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</si>
  <si>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</si>
  <si>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</si>
  <si>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</si>
  <si>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</si>
  <si>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</si>
  <si>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</si>
  <si>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</si>
  <si>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</si>
  <si>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</si>
  <si>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</si>
  <si>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</si>
  <si>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</si>
  <si>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</si>
  <si>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</si>
  <si>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</si>
  <si>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</si>
  <si>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</si>
  <si>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</si>
  <si>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</si>
  <si>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</si>
  <si>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</si>
  <si>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</si>
  <si>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</si>
  <si>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</si>
  <si>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</si>
  <si>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</si>
  <si>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</si>
  <si>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</si>
  <si>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</si>
  <si>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</si>
  <si>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</si>
  <si>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</si>
  <si>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</si>
  <si>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</si>
  <si>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</si>
  <si>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</si>
  <si>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</si>
  <si>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</si>
  <si>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</si>
  <si>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</si>
  <si>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</si>
  <si>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</si>
  <si>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</si>
  <si>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</si>
  <si>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</si>
  <si>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</si>
  <si>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</si>
  <si>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</si>
  <si>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</si>
  <si>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</si>
  <si>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</si>
  <si>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</si>
  <si>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</si>
  <si>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</si>
  <si>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</si>
  <si>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</si>
  <si>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</si>
  <si>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</si>
  <si>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</si>
  <si>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</si>
  <si>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</si>
  <si>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</si>
  <si>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</si>
  <si>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</si>
  <si>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</si>
  <si>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</si>
  <si>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</si>
  <si>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</si>
  <si>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</si>
  <si>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</si>
  <si>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</si>
  <si>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</si>
  <si>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</si>
  <si>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</si>
  <si>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</si>
  <si>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</si>
  <si>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</si>
  <si>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</si>
  <si>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</si>
  <si>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</si>
  <si>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</si>
  <si>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</si>
  <si>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</si>
  <si>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</si>
  <si>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</si>
  <si>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</si>
  <si>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</si>
  <si>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</si>
  <si>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</si>
  <si>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</si>
  <si>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</si>
  <si>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</si>
  <si>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</si>
  <si>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</si>
  <si>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</si>
  <si>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</si>
  <si>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</si>
  <si>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</si>
  <si>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</si>
  <si>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</si>
  <si>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</si>
  <si>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</si>
  <si>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</si>
  <si>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</si>
  <si>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</si>
  <si>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</si>
  <si>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</si>
  <si>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</si>
  <si>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</si>
  <si>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</si>
  <si>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</si>
  <si>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</si>
  <si>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</si>
  <si>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</si>
  <si>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</si>
  <si>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</si>
  <si>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</si>
  <si>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</si>
  <si>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</si>
  <si>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</si>
  <si>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</si>
  <si>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</si>
  <si>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</si>
  <si>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</si>
  <si>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</si>
  <si>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</si>
  <si>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</si>
  <si>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</si>
  <si>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</si>
  <si>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</si>
  <si>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</si>
  <si>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</si>
  <si>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</si>
  <si>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</si>
  <si>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</si>
  <si>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</si>
  <si>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</si>
  <si>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</si>
  <si>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</si>
  <si>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</si>
  <si>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</si>
  <si>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</si>
  <si>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</si>
  <si>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</si>
  <si>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</si>
  <si>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</si>
  <si>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</si>
  <si>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</si>
  <si>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</si>
  <si>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</si>
  <si>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</si>
  <si>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</si>
  <si>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</si>
  <si>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</si>
  <si>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</si>
  <si>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</si>
  <si>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</si>
  <si>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</si>
  <si>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</si>
  <si>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</si>
  <si>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</si>
  <si>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</si>
  <si>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</si>
  <si>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</si>
  <si>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</si>
  <si>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</si>
  <si>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</si>
  <si>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</si>
  <si>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</si>
  <si>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</si>
  <si>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</si>
  <si>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</si>
  <si>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</si>
  <si>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</si>
  <si>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</si>
  <si>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</si>
  <si>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</si>
  <si>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</si>
  <si>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</si>
  <si>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</si>
  <si>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</si>
  <si>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</si>
  <si>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</si>
  <si>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</si>
  <si>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</si>
  <si>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</si>
  <si>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</si>
  <si>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</si>
  <si>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</si>
  <si>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</si>
  <si>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</si>
  <si>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</si>
  <si>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</si>
  <si>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</si>
  <si>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</si>
  <si>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</si>
  <si>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</si>
  <si>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</si>
  <si>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</si>
  <si>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</si>
  <si>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</si>
  <si>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</si>
  <si>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</si>
  <si>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</si>
  <si>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</si>
  <si>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</si>
  <si>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</si>
  <si>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</si>
  <si>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</si>
  <si>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</si>
  <si>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</si>
  <si>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</si>
  <si>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</si>
  <si>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</si>
  <si>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</si>
  <si>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</si>
  <si>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</si>
  <si>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</si>
  <si>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</si>
  <si>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</si>
  <si>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</si>
  <si>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</si>
  <si>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</si>
  <si>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</si>
  <si>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</si>
  <si>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</si>
  <si>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</si>
  <si>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</si>
  <si>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</si>
  <si>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</si>
  <si>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</si>
  <si>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</si>
  <si>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</si>
  <si>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</si>
  <si>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</si>
  <si>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</si>
  <si>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</si>
  <si>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</si>
  <si>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</si>
  <si>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</si>
  <si>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</si>
  <si>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</si>
  <si>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</si>
  <si>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</si>
  <si>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</si>
  <si>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</si>
  <si>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</si>
  <si>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</si>
  <si>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</si>
  <si>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</si>
  <si>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</si>
  <si>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</si>
  <si>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</si>
  <si>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</si>
  <si>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</si>
  <si>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</si>
  <si>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</si>
  <si>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</si>
  <si>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</si>
  <si>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</si>
  <si>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</si>
  <si>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</si>
  <si>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</si>
  <si>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</si>
  <si>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</si>
  <si>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</si>
  <si>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</si>
  <si>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</si>
  <si>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</si>
  <si>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</si>
  <si>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</si>
  <si>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</si>
  <si>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</si>
  <si>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</si>
  <si>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</si>
  <si>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</si>
  <si>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</si>
  <si>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</si>
  <si>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</si>
  <si>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</si>
  <si>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</si>
  <si>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</si>
  <si>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</si>
  <si>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</si>
  <si>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</si>
  <si>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</si>
  <si>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</si>
  <si>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</si>
  <si>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</si>
  <si>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</si>
  <si>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</si>
  <si>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</si>
  <si>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</si>
  <si>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</si>
  <si>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</si>
  <si>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</si>
  <si>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</si>
  <si>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</si>
  <si>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</si>
  <si>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</si>
  <si>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</si>
  <si>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</si>
  <si>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</si>
  <si>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</si>
  <si>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</si>
  <si>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</si>
  <si>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</si>
  <si>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</si>
  <si>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</si>
  <si>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</si>
  <si>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</si>
  <si>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</si>
  <si>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</si>
  <si>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</si>
  <si>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</si>
  <si>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</si>
  <si>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</si>
  <si>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</si>
  <si>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</si>
  <si>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</si>
  <si>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</si>
  <si>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</si>
  <si>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</si>
  <si>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</si>
  <si>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</si>
  <si>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</si>
  <si>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</si>
  <si>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</si>
  <si>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</si>
  <si>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</si>
  <si>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</si>
  <si>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</si>
  <si>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</si>
  <si>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</si>
  <si>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</si>
  <si>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</si>
  <si>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</si>
  <si>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</si>
  <si>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</si>
  <si>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</si>
  <si>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</si>
  <si>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</si>
  <si>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</si>
  <si>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</si>
  <si>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</si>
  <si>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</si>
  <si>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</si>
  <si>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</si>
  <si>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</si>
  <si>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</si>
  <si>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</si>
  <si>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</si>
  <si>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</si>
  <si>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</si>
  <si>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</si>
  <si>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</si>
  <si>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</si>
  <si>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</si>
  <si>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</si>
  <si>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</si>
  <si>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</si>
  <si>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</si>
  <si>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</si>
  <si>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</si>
  <si>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</si>
  <si>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</si>
  <si>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</si>
  <si>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</si>
  <si>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</si>
  <si>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</si>
  <si>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</si>
  <si>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</si>
  <si>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</si>
  <si>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</si>
  <si>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</si>
  <si>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</si>
  <si>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</si>
  <si>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</si>
  <si>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</si>
  <si>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</si>
  <si>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</si>
  <si>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</si>
  <si>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</si>
  <si>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</si>
  <si>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</si>
  <si>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</si>
  <si>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</si>
  <si>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</si>
  <si>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</si>
  <si>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</si>
  <si>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</si>
  <si>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</si>
  <si>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</si>
  <si>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</si>
  <si>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</si>
  <si>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</si>
  <si>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</si>
  <si>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</si>
  <si>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</si>
  <si>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</si>
  <si>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</si>
  <si>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</si>
  <si>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</si>
  <si>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</si>
  <si>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</si>
  <si>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</si>
  <si>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</si>
  <si>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</si>
  <si>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</si>
  <si>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</si>
  <si>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</si>
  <si>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</si>
  <si>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</si>
  <si>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</si>
  <si>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</si>
  <si>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</si>
  <si>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</si>
  <si>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</si>
  <si>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</si>
  <si>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</si>
  <si>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</si>
  <si>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</si>
  <si>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</si>
  <si>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</si>
  <si>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</si>
  <si>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</si>
  <si>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</si>
  <si>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</si>
  <si>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</si>
  <si>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</si>
  <si>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</si>
  <si>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</si>
  <si>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</si>
  <si>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</si>
  <si>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</si>
  <si>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</si>
  <si>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</si>
  <si>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</si>
  <si>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</si>
  <si>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</si>
  <si>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</si>
  <si>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</si>
  <si>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</si>
  <si>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</si>
  <si>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</si>
  <si>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</si>
  <si>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</si>
  <si>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</si>
  <si>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</si>
  <si>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</si>
  <si>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</si>
  <si>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</si>
  <si>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</si>
  <si>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</si>
  <si>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</si>
  <si>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</si>
  <si>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</si>
  <si>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</si>
  <si>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</si>
  <si>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</si>
  <si>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</si>
  <si>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</si>
  <si>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</si>
  <si>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</si>
  <si>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</si>
  <si>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</si>
  <si>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</si>
  <si>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</si>
  <si>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</si>
  <si>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</si>
  <si>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</si>
  <si>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</si>
  <si>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</si>
  <si>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</si>
  <si>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</si>
  <si>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</si>
  <si>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</si>
  <si>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</si>
  <si>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</si>
  <si>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</si>
  <si>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</si>
  <si>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</si>
  <si>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</si>
  <si>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</si>
  <si>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</si>
  <si>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</si>
  <si>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</si>
  <si>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</si>
  <si>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</si>
  <si>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</si>
  <si>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</si>
  <si>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</si>
  <si>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</si>
  <si>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</si>
  <si>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</si>
  <si>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</si>
  <si>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</si>
  <si>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</si>
  <si>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</si>
  <si>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</si>
  <si>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</si>
  <si>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</si>
  <si>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</si>
  <si>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</si>
  <si>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</si>
  <si>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</si>
  <si>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</si>
  <si>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</si>
  <si>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</si>
  <si>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</si>
  <si>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</si>
  <si>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</si>
  <si>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</si>
  <si>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</si>
  <si>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</si>
  <si>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</si>
  <si>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</si>
  <si>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</si>
  <si>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</si>
  <si>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</si>
  <si>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</si>
  <si>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</si>
  <si>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</si>
  <si>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</si>
  <si>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</si>
  <si>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</si>
  <si>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</si>
  <si>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</si>
  <si>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</si>
  <si>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</si>
  <si>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</si>
  <si>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</si>
  <si>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</si>
  <si>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</si>
  <si>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</si>
  <si>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</si>
  <si>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</si>
  <si>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</si>
  <si>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</si>
  <si>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</si>
  <si>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</si>
  <si>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</si>
  <si>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</si>
  <si>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</si>
  <si>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</si>
  <si>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</si>
  <si>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</si>
  <si>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</si>
  <si>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</si>
  <si>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</si>
  <si>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</si>
  <si>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</si>
  <si>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</si>
  <si>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</si>
  <si>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</si>
  <si>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</si>
  <si>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</si>
  <si>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</si>
  <si>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</si>
  <si>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</si>
  <si>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</si>
  <si>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</si>
  <si>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</si>
  <si>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</si>
  <si>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</si>
  <si>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</si>
  <si>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</si>
  <si>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</si>
  <si>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</si>
  <si>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</si>
  <si>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</si>
  <si>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</si>
  <si>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</si>
  <si>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</si>
  <si>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</si>
  <si>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</si>
  <si>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</si>
  <si>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</si>
  <si>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</si>
  <si>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</si>
  <si>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</si>
  <si>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</si>
  <si>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</si>
  <si>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</si>
  <si>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</si>
  <si>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</si>
  <si>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</si>
  <si>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</si>
  <si>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</si>
  <si>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</si>
  <si>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</si>
  <si>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</si>
  <si>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</si>
  <si>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</si>
  <si>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</si>
  <si>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</si>
  <si>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</si>
  <si>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</si>
  <si>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</si>
  <si>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</si>
  <si>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</si>
  <si>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</si>
  <si>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</si>
  <si>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</si>
  <si>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</si>
  <si>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</si>
  <si>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</si>
  <si>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</si>
  <si>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</si>
  <si>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</si>
  <si>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</si>
  <si>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</si>
  <si>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</si>
  <si>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</si>
  <si>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</si>
  <si>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</si>
  <si>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</si>
  <si>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</si>
  <si>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</si>
  <si>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</si>
  <si>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</si>
  <si>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</si>
  <si>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</si>
  <si>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</si>
  <si>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</si>
  <si>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</si>
  <si>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</si>
  <si>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</si>
  <si>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</si>
  <si>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</si>
  <si>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</si>
  <si>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</si>
  <si>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</si>
  <si>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</si>
  <si>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</si>
  <si>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</si>
  <si>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</si>
  <si>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</si>
  <si>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</si>
  <si>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</si>
  <si>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</si>
  <si>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</si>
  <si>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</si>
  <si>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</si>
  <si>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</si>
  <si>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</si>
  <si>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</si>
  <si>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</si>
  <si>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</si>
  <si>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</si>
  <si>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</si>
  <si>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</si>
  <si>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</si>
  <si>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</si>
  <si>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</si>
  <si>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</si>
  <si>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</si>
  <si>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</si>
  <si>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</si>
  <si>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</si>
  <si>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</si>
  <si>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</si>
  <si>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</si>
  <si>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</si>
  <si>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</si>
  <si>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</si>
  <si>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</si>
  <si>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</si>
  <si>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</si>
  <si>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</si>
  <si>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</si>
  <si>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</si>
  <si>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</si>
  <si>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</si>
  <si>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</si>
  <si>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</si>
  <si>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</si>
  <si>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</si>
  <si>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</si>
  <si>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</si>
  <si>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</si>
  <si>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</si>
  <si>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</si>
  <si>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</si>
  <si>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</si>
  <si>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</si>
  <si>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</si>
  <si>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</si>
  <si>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</si>
  <si>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</si>
  <si>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</si>
  <si>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</si>
  <si>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</si>
  <si>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</si>
  <si>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</si>
  <si>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</si>
  <si>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</si>
  <si>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</si>
  <si>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</si>
  <si>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</si>
  <si>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</si>
  <si>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</si>
  <si>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</si>
  <si>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</si>
  <si>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</si>
  <si>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</si>
  <si>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</si>
  <si>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</si>
  <si>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</si>
  <si>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</si>
  <si>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</si>
  <si>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</si>
  <si>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</si>
  <si>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</si>
  <si>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</si>
  <si>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</si>
  <si>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</si>
  <si>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</si>
  <si>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</si>
  <si>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</si>
  <si>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</si>
  <si>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</si>
  <si>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</si>
  <si>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</si>
  <si>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</si>
  <si>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</si>
  <si>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</si>
  <si>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</si>
  <si>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</si>
  <si>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</si>
  <si>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</si>
  <si>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</si>
  <si>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</si>
  <si>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</si>
  <si>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</si>
  <si>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</si>
  <si>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</si>
  <si>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</si>
  <si>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</si>
  <si>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</si>
  <si>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</si>
  <si>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</si>
  <si>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</si>
  <si>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</si>
  <si>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</si>
  <si>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</si>
  <si>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</si>
  <si>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</si>
  <si>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</si>
  <si>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</si>
  <si>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</si>
  <si>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</si>
  <si>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</si>
  <si>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</si>
  <si>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</si>
  <si>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</si>
  <si>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</si>
  <si>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</si>
  <si>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</si>
  <si>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</si>
  <si>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</si>
  <si>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</si>
  <si>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</si>
  <si>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</si>
  <si>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</si>
  <si>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</si>
  <si>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</si>
  <si>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</si>
  <si>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</si>
  <si>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</si>
  <si>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</si>
  <si>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</si>
  <si>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</si>
  <si>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</si>
  <si>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</si>
  <si>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</si>
  <si>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</si>
  <si>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</si>
  <si>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</si>
  <si>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</si>
  <si>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</si>
  <si>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</si>
  <si>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</si>
  <si>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</si>
  <si>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</si>
  <si>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</si>
  <si>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</si>
  <si>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</si>
  <si>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</si>
  <si>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</si>
  <si>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</si>
  <si>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</si>
  <si>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</si>
  <si>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</si>
  <si>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</si>
  <si>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</si>
  <si>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</si>
  <si>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</si>
  <si>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</si>
  <si>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</si>
  <si>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</si>
  <si>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</si>
  <si>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</si>
  <si>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</si>
  <si>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</si>
  <si>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</si>
  <si>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</si>
  <si>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</si>
  <si>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</si>
  <si>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</si>
  <si>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</si>
  <si>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</si>
  <si>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</si>
  <si>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</si>
  <si>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</si>
  <si>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</si>
  <si>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</si>
  <si>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</si>
  <si>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</si>
  <si>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</si>
  <si>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</si>
  <si>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</si>
  <si>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</si>
  <si>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</si>
  <si>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</si>
  <si>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</si>
  <si>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</si>
  <si>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</si>
  <si>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</si>
  <si>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</si>
  <si>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</si>
  <si>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</si>
  <si>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</si>
  <si>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</si>
  <si>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</si>
  <si>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</si>
  <si>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</si>
  <si>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</si>
  <si>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</si>
  <si>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</si>
  <si>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</si>
  <si>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</si>
  <si>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</si>
  <si>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</si>
  <si>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</si>
  <si>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</si>
  <si>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</si>
  <si>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</si>
  <si>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</si>
  <si>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</si>
  <si>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</si>
  <si>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</si>
  <si>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</si>
  <si>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</si>
  <si>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</si>
  <si>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</si>
  <si>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</si>
  <si>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</si>
  <si>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</si>
  <si>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</si>
  <si>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</si>
  <si>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</si>
  <si>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</si>
  <si>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</si>
  <si>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</si>
  <si>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</si>
  <si>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</si>
  <si>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</si>
  <si>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</si>
  <si>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</si>
  <si>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</si>
  <si>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</si>
  <si>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</si>
  <si>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</si>
  <si>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</si>
  <si>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</si>
  <si>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</si>
  <si>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</si>
  <si>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</si>
  <si>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</si>
  <si>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</si>
  <si>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</si>
  <si>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</si>
  <si>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</si>
  <si>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</si>
  <si>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</si>
  <si>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</si>
  <si>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</si>
  <si>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</si>
  <si>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</si>
  <si>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</si>
  <si>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</si>
  <si>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</si>
  <si>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</si>
  <si>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</si>
  <si>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</si>
  <si>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</si>
  <si>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</si>
  <si>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</si>
  <si>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</si>
  <si>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</si>
  <si>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</si>
  <si>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</si>
  <si>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</si>
  <si>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</si>
  <si>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</si>
  <si>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</si>
  <si>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</si>
  <si>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</si>
  <si>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</si>
  <si>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</si>
  <si>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</si>
  <si>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</si>
  <si>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</si>
  <si>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</si>
  <si>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</si>
  <si>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</si>
  <si>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</si>
  <si>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</si>
  <si>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</si>
  <si>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</si>
  <si>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</si>
  <si>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</si>
  <si>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</si>
  <si>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</si>
  <si>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</si>
  <si>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</si>
  <si>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</si>
  <si>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</si>
  <si>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</si>
  <si>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</si>
  <si>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</si>
  <si>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</si>
  <si>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</si>
  <si>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</si>
  <si>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</si>
  <si>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</si>
  <si>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</si>
  <si>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</si>
  <si>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</si>
  <si>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</si>
  <si>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</si>
  <si>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</si>
  <si>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</si>
  <si>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</si>
  <si>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</si>
  <si>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</si>
  <si>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</si>
  <si>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</si>
  <si>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</si>
  <si>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</si>
  <si>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</si>
  <si>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</si>
  <si>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</si>
  <si>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</si>
  <si>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</si>
  <si>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</si>
  <si>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</si>
  <si>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</si>
  <si>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</si>
  <si>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</si>
  <si>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</si>
  <si>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</si>
  <si>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</si>
  <si>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</si>
  <si>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</si>
  <si>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</si>
  <si>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</si>
  <si>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</si>
  <si>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</si>
  <si>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</si>
  <si>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</si>
  <si>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</si>
  <si>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</si>
  <si>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</si>
  <si>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</si>
  <si>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</si>
  <si>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</si>
  <si>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</si>
  <si>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</si>
  <si>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</si>
  <si>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</si>
  <si>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</si>
  <si>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</si>
  <si>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</si>
  <si>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</si>
  <si>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</si>
  <si>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</si>
  <si>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</si>
  <si>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</si>
  <si>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</si>
  <si>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</si>
  <si>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</si>
  <si>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</si>
  <si>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</si>
  <si>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</si>
  <si>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</si>
  <si>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</si>
  <si>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</si>
  <si>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</si>
  <si>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</si>
  <si>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</si>
  <si>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</si>
  <si>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</si>
  <si>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</si>
  <si>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</si>
  <si>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</si>
  <si>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</si>
  <si>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</si>
  <si>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</si>
  <si>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</si>
  <si>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</si>
  <si>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</si>
  <si>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</si>
  <si>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</si>
  <si>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</si>
  <si>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</si>
  <si>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</si>
  <si>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</si>
  <si>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</si>
  <si>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</si>
  <si>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</si>
  <si>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</si>
  <si>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</si>
  <si>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</si>
  <si>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</si>
  <si>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</si>
  <si>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</si>
  <si>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</si>
  <si>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</si>
  <si>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</si>
  <si>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</si>
  <si>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</si>
  <si>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</si>
  <si>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</si>
  <si>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</si>
  <si>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</si>
  <si>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</si>
  <si>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</si>
  <si>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</si>
  <si>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</si>
  <si>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</si>
  <si>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</si>
  <si>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</si>
  <si>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</si>
  <si>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</si>
  <si>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</si>
  <si>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</si>
  <si>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</si>
  <si>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</si>
  <si>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</si>
  <si>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</si>
  <si>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</si>
  <si>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</si>
  <si>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</si>
  <si>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</si>
  <si>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</si>
  <si>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</si>
  <si>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</si>
  <si>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</si>
  <si>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</si>
  <si>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</si>
  <si>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</si>
  <si>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</si>
  <si>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</si>
  <si>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</si>
  <si>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</si>
  <si>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</si>
  <si>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</si>
  <si>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</si>
  <si>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</si>
  <si>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</si>
  <si>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</si>
  <si>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</si>
  <si>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</si>
  <si>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</si>
  <si>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</si>
  <si>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</si>
  <si>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</si>
  <si>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</si>
  <si>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</si>
  <si>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</si>
  <si>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</si>
  <si>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</si>
  <si>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</si>
  <si>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</si>
  <si>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</si>
  <si>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</si>
  <si>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</si>
  <si>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</si>
  <si>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</si>
  <si>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</si>
  <si>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</si>
  <si>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</si>
  <si>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</si>
  <si>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</si>
  <si>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</si>
  <si>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</si>
  <si>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</si>
  <si>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</si>
  <si>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</si>
  <si>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</si>
  <si>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</si>
  <si>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</si>
  <si>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</si>
  <si>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</si>
  <si>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</si>
  <si>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</si>
  <si>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</si>
  <si>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</si>
  <si>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</si>
  <si>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</si>
  <si>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</si>
  <si>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</si>
  <si>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</si>
  <si>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</si>
  <si>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</si>
  <si>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</si>
  <si>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</si>
  <si>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</si>
  <si>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</si>
  <si>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</si>
  <si>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</si>
  <si>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</si>
  <si>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</si>
  <si>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</si>
  <si>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</si>
  <si>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</si>
  <si>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</si>
  <si>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</si>
  <si>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</si>
  <si>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</si>
  <si>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</si>
  <si>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</si>
  <si>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</si>
  <si>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</si>
  <si>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</si>
  <si>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</si>
  <si>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</si>
  <si>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</si>
  <si>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</si>
  <si>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</si>
  <si>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</si>
  <si>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</si>
  <si>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</si>
  <si>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</si>
  <si>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</si>
  <si>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</si>
  <si>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</si>
  <si>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</si>
  <si>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</si>
  <si>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</si>
  <si>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</si>
  <si>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</si>
  <si>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</si>
  <si>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</si>
  <si>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</si>
  <si>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</si>
  <si>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</si>
  <si>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</si>
  <si>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</si>
  <si>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</si>
  <si>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</si>
  <si>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</si>
  <si>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</si>
  <si>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</si>
  <si>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</si>
  <si>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</si>
  <si>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</si>
  <si>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</si>
  <si>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</si>
  <si>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</si>
  <si>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</si>
  <si>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</si>
  <si>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</si>
  <si>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</si>
  <si>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</si>
  <si>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</si>
  <si>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</si>
  <si>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</si>
  <si>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</si>
  <si>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</si>
  <si>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</si>
  <si>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</si>
  <si>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</si>
  <si>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</si>
  <si>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</si>
  <si>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</si>
  <si>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</si>
  <si>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</si>
  <si>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</si>
  <si>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</si>
  <si>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</si>
  <si>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</si>
  <si>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</si>
  <si>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</si>
  <si>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</si>
  <si>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</si>
  <si>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</si>
  <si>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</si>
  <si>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</si>
  <si>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</si>
  <si>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</si>
  <si>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</si>
  <si>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</si>
  <si>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</si>
  <si>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</si>
  <si>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</si>
  <si>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</si>
  <si>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</si>
  <si>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</si>
  <si>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</si>
  <si>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</si>
  <si>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</si>
  <si>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</si>
  <si>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</si>
  <si>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</si>
  <si>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</si>
  <si>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</si>
  <si>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</si>
  <si>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</si>
  <si>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</si>
  <si>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</si>
  <si>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</si>
  <si>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</si>
  <si>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</si>
  <si>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</si>
  <si>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</si>
  <si>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</si>
  <si>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</si>
  <si>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</si>
  <si>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</si>
  <si>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</si>
  <si>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</si>
  <si>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</si>
  <si>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</si>
  <si>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</si>
  <si>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</si>
  <si>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</si>
  <si>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</si>
  <si>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</si>
  <si>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</si>
  <si>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</si>
  <si>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</si>
  <si>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</si>
  <si>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</si>
  <si>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</si>
  <si>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</si>
  <si>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</si>
  <si>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</si>
  <si>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</si>
  <si>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</si>
  <si>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</si>
  <si>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</si>
  <si>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</si>
  <si>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</si>
  <si>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</si>
  <si>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</si>
  <si>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</si>
  <si>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</si>
  <si>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</si>
  <si>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</si>
  <si>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</si>
  <si>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</si>
  <si>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</si>
  <si>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</si>
  <si>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</si>
  <si>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</si>
  <si>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</si>
  <si>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</si>
  <si>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</si>
  <si>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</si>
  <si>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</si>
  <si>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</si>
  <si>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</si>
  <si>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</si>
  <si>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</si>
  <si>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</si>
  <si>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</si>
  <si>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</si>
  <si>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</si>
  <si>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</si>
  <si>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</si>
  <si>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</si>
  <si>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</si>
  <si>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</si>
  <si>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</si>
  <si>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</si>
  <si>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</si>
  <si>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</si>
  <si>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</si>
  <si>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</si>
  <si>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</si>
  <si>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</si>
  <si>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</si>
  <si>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</si>
  <si>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</si>
  <si>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</si>
  <si>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</si>
  <si>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</si>
  <si>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</si>
  <si>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</si>
  <si>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</si>
  <si>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</si>
  <si>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</si>
  <si>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</si>
  <si>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</si>
  <si>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</si>
  <si>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</si>
  <si>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</si>
  <si>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</si>
  <si>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</si>
  <si>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</si>
  <si>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</si>
  <si>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</si>
  <si>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</si>
  <si>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</si>
  <si>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</si>
  <si>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</si>
  <si>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</si>
  <si>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</si>
  <si>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</si>
  <si>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</si>
  <si>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</si>
  <si>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</si>
  <si>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</si>
  <si>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</si>
  <si>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</si>
  <si>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</si>
  <si>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</si>
  <si>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</si>
  <si>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</si>
  <si>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</si>
  <si>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</si>
  <si>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</si>
  <si>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</si>
  <si>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</si>
  <si>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</si>
  <si>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</si>
  <si>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</si>
  <si>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</si>
  <si>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</si>
  <si>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</si>
  <si>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</si>
  <si>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</si>
  <si>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</si>
  <si>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</si>
  <si>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</si>
  <si>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</si>
  <si>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</si>
  <si>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</si>
  <si>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</si>
  <si>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</si>
  <si>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</si>
  <si>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</si>
  <si>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</si>
  <si>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</si>
  <si>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</si>
  <si>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</si>
  <si>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</si>
  <si>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</si>
  <si>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</si>
  <si>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</si>
  <si>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</si>
  <si>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</si>
  <si>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</si>
  <si>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</si>
  <si>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</si>
  <si>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</si>
  <si>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</si>
  <si>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</si>
  <si>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</si>
  <si>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</si>
  <si>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</si>
  <si>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</si>
  <si>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</si>
  <si>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</si>
  <si>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</si>
  <si>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</si>
  <si>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</si>
  <si>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</si>
  <si>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</si>
  <si>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</si>
  <si>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</si>
  <si>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</si>
  <si>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</si>
  <si>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</si>
  <si>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</si>
  <si>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</si>
  <si>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</si>
  <si>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</si>
  <si>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</si>
  <si>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</si>
  <si>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</si>
  <si>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</si>
  <si>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</si>
  <si>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</si>
  <si>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</si>
  <si>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</si>
  <si>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</si>
  <si>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</si>
  <si>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</si>
  <si>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</si>
  <si>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</si>
  <si>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</si>
  <si>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</si>
  <si>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</si>
  <si>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</si>
  <si>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</si>
  <si>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</si>
  <si>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</si>
  <si>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</si>
  <si>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</si>
  <si>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</si>
  <si>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</si>
  <si>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</si>
  <si>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</si>
  <si>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</si>
  <si>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</si>
  <si>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</si>
  <si>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</si>
  <si>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</si>
  <si>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</si>
  <si>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</si>
  <si>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</si>
  <si>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</si>
  <si>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</si>
  <si>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</si>
  <si>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</si>
  <si>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</si>
  <si>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</si>
  <si>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</si>
  <si>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</si>
  <si>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</si>
  <si>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</si>
  <si>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</si>
  <si>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</si>
  <si>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</si>
  <si>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</si>
  <si>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</si>
  <si>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</si>
  <si>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</si>
  <si>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</si>
  <si>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</si>
  <si>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</si>
  <si>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</si>
  <si>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</si>
  <si>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</si>
  <si>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</si>
  <si>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</si>
  <si>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</si>
  <si>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</si>
  <si>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</si>
  <si>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</si>
  <si>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</si>
  <si>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</si>
  <si>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</si>
  <si>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</si>
  <si>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</si>
  <si>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</si>
  <si>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</si>
  <si>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</si>
  <si>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</si>
  <si>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</si>
  <si>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</si>
  <si>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</si>
  <si>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</si>
  <si>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</si>
  <si>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</si>
  <si>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</si>
  <si>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</si>
  <si>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</si>
  <si>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</si>
  <si>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</si>
  <si>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</si>
  <si>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</si>
  <si>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</si>
  <si>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</si>
  <si>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</si>
  <si>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</si>
  <si>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</si>
  <si>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</si>
  <si>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</si>
  <si>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</si>
  <si>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</si>
  <si>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</si>
  <si>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</si>
  <si>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</si>
  <si>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</si>
  <si>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</si>
  <si>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</si>
  <si>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</si>
  <si>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</si>
  <si>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</si>
  <si>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</si>
  <si>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</si>
  <si>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</si>
  <si>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</si>
  <si>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</si>
  <si>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</si>
  <si>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</si>
  <si>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</si>
  <si>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</si>
  <si>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</si>
  <si>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</si>
  <si>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</si>
  <si>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</si>
  <si>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</si>
  <si>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</si>
  <si>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</si>
  <si>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</si>
  <si>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</si>
  <si>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</si>
  <si>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</si>
  <si>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</si>
  <si>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</si>
  <si>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</si>
  <si>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</si>
  <si>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</si>
  <si>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</si>
  <si>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</si>
  <si>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</si>
  <si>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</si>
  <si>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</si>
  <si>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</si>
  <si>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</si>
  <si>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</si>
  <si>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</si>
  <si>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</si>
  <si>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</si>
  <si>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</si>
  <si>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</si>
  <si>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</si>
  <si>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</si>
  <si>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</si>
  <si>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</si>
  <si>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</si>
  <si>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</si>
  <si>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</si>
  <si>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</si>
  <si>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</si>
  <si>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</si>
  <si>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</si>
  <si>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</si>
  <si>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</si>
  <si>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</si>
  <si>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</si>
  <si>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</si>
  <si>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</si>
  <si>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</si>
  <si>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</si>
  <si>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</si>
  <si>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</si>
  <si>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</si>
  <si>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</si>
  <si>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</si>
  <si>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</si>
  <si>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</si>
  <si>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</si>
  <si>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</si>
  <si>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</si>
  <si>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</si>
  <si>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</si>
  <si>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</si>
  <si>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</si>
  <si>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</si>
  <si>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</si>
  <si>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</si>
  <si>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</si>
  <si>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</si>
  <si>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</si>
  <si>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</si>
  <si>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</si>
  <si>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</si>
  <si>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</si>
  <si>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</si>
  <si>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</si>
  <si>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</si>
  <si>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</si>
  <si>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</si>
  <si>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</si>
  <si>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</si>
  <si>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</si>
  <si>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</si>
  <si>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</si>
  <si>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</si>
  <si>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</si>
  <si>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</si>
  <si>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</si>
  <si>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</si>
  <si>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</si>
  <si>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</si>
  <si>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</si>
  <si>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</si>
  <si>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</si>
  <si>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</si>
  <si>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</si>
  <si>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</si>
  <si>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</si>
  <si>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</si>
  <si>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</si>
  <si>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</si>
  <si>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</si>
  <si>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</si>
  <si>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</si>
  <si>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</si>
  <si>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</si>
  <si>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</si>
  <si>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</si>
  <si>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</si>
  <si>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</si>
  <si>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</si>
  <si>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</si>
  <si>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</si>
  <si>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</si>
  <si>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</si>
  <si>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</si>
  <si>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</si>
  <si>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</si>
  <si>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</si>
  <si>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</si>
  <si>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</si>
  <si>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</si>
  <si>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</si>
  <si>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</si>
  <si>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</si>
  <si>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</si>
  <si>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</si>
  <si>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</si>
  <si>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</si>
  <si>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</si>
  <si>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</si>
  <si>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</si>
  <si>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</si>
  <si>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</si>
  <si>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</si>
  <si>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</si>
  <si>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</si>
  <si>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</si>
  <si>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</si>
  <si>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</si>
  <si>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</si>
  <si>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</si>
  <si>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</si>
  <si>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</si>
  <si>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</si>
  <si>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</si>
  <si>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</si>
  <si>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</si>
  <si>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</si>
  <si>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</si>
  <si>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</si>
  <si>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</si>
  <si>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</si>
  <si>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</si>
  <si>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</si>
  <si>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</si>
  <si>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</si>
  <si>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</si>
  <si>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</si>
  <si>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</si>
  <si>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</si>
  <si>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</si>
  <si>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</si>
  <si>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</si>
  <si>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</si>
  <si>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</si>
  <si>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</si>
  <si>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</si>
  <si>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</si>
  <si>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</si>
  <si>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</si>
  <si>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</si>
  <si>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</si>
  <si>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</si>
  <si>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</si>
  <si>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</si>
  <si>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</si>
  <si>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</si>
  <si>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</si>
  <si>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</si>
  <si>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</si>
  <si>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</si>
  <si>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</si>
  <si>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</si>
  <si>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</si>
  <si>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</si>
  <si>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</si>
  <si>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</si>
  <si>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</si>
  <si>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</si>
  <si>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</si>
  <si>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</si>
  <si>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</si>
  <si>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</si>
  <si>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</si>
  <si>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</si>
  <si>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</si>
  <si>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</si>
  <si>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</si>
  <si>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</si>
  <si>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</si>
  <si>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</si>
  <si>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</si>
  <si>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</si>
  <si>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</si>
  <si>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</si>
  <si>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</si>
  <si>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</si>
  <si>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</si>
  <si>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</si>
  <si>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</si>
  <si>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</si>
  <si>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</si>
  <si>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</si>
  <si>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</si>
  <si>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</si>
  <si>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</si>
  <si>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</si>
  <si>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</si>
  <si>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</si>
  <si>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</si>
  <si>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</si>
  <si>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</si>
  <si>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</si>
  <si>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</si>
  <si>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</si>
  <si>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</si>
  <si>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</si>
  <si>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</si>
  <si>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</si>
  <si>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</si>
  <si>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</si>
  <si>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</si>
  <si>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</si>
  <si>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</si>
  <si>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</si>
  <si>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</si>
  <si>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</si>
  <si>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</si>
  <si>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</si>
  <si>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</si>
  <si>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</si>
  <si>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</si>
  <si>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</si>
  <si>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</si>
  <si>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</si>
  <si>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</si>
  <si>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</si>
  <si>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</si>
  <si>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</si>
  <si>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</si>
  <si>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</si>
  <si>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</si>
  <si>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</si>
  <si>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</si>
  <si>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</si>
  <si>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</si>
  <si>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</si>
  <si>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</si>
  <si>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</si>
  <si>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</si>
  <si>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</si>
  <si>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</si>
  <si>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</si>
  <si>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</si>
  <si>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</si>
  <si>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</si>
  <si>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</si>
  <si>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</si>
  <si>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</si>
  <si>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</si>
  <si>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</si>
  <si>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</si>
  <si>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</si>
  <si>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</si>
  <si>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</si>
  <si>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</si>
  <si>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</si>
  <si>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</si>
  <si>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</si>
  <si>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</si>
  <si>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</si>
  <si>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</si>
  <si>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</si>
  <si>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</si>
  <si>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</si>
  <si>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</si>
  <si>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</si>
  <si>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</si>
  <si>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</si>
  <si>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</si>
  <si>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</si>
  <si>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</si>
  <si>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</si>
  <si>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</si>
  <si>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</si>
  <si>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</si>
  <si>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</si>
  <si>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</si>
  <si>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</si>
  <si>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</si>
  <si>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</si>
  <si>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</si>
  <si>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</si>
  <si>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</si>
  <si>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</si>
  <si>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</si>
  <si>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</si>
  <si>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</si>
  <si>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</si>
  <si>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</si>
  <si>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</si>
  <si>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</si>
  <si>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</si>
  <si>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</si>
  <si>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</si>
  <si>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</si>
  <si>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</si>
  <si>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</si>
  <si>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</si>
  <si>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</si>
  <si>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</si>
  <si>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</si>
  <si>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</si>
  <si>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</si>
  <si>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</si>
  <si>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</si>
  <si>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</si>
  <si>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</si>
  <si>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</si>
  <si>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</si>
  <si>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</si>
  <si>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</si>
  <si>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</si>
  <si>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</si>
  <si>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</si>
  <si>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</si>
  <si>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</si>
  <si>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</si>
  <si>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</si>
  <si>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</si>
  <si>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</si>
  <si>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</si>
  <si>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</si>
  <si>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</si>
  <si>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</si>
  <si>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</si>
  <si>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</si>
  <si>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</si>
  <si>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</si>
  <si>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</si>
  <si>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</si>
  <si>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</si>
  <si>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</si>
  <si>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</si>
  <si>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</si>
  <si>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</si>
  <si>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</si>
  <si>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</si>
  <si>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</si>
  <si>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</si>
  <si>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</si>
  <si>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</si>
  <si>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</si>
  <si>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</si>
  <si>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</si>
  <si>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</si>
  <si>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</si>
  <si>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</si>
  <si>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</si>
  <si>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</si>
  <si>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</si>
  <si>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</si>
  <si>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</si>
  <si>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</si>
  <si>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</si>
  <si>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</si>
  <si>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</si>
  <si>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</si>
  <si>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</si>
  <si>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</si>
  <si>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</si>
  <si>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</si>
  <si>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</si>
  <si>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</si>
  <si>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</si>
  <si>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</si>
  <si>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</si>
  <si>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</si>
  <si>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</si>
  <si>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</si>
  <si>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</si>
  <si>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</si>
  <si>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</si>
  <si>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</si>
  <si>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</si>
  <si>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</si>
  <si>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</si>
  <si>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</si>
  <si>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</si>
  <si>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</si>
  <si>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</si>
  <si>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</si>
  <si>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</si>
  <si>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</si>
  <si>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</si>
  <si>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</si>
  <si>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</si>
  <si>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</si>
  <si>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</si>
  <si>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</si>
  <si>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</si>
  <si>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</si>
  <si>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</si>
  <si>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</si>
  <si>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</si>
  <si>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</si>
  <si>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</si>
  <si>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</si>
  <si>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</si>
  <si>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</si>
  <si>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</si>
  <si>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</si>
  <si>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</si>
  <si>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</si>
  <si>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</si>
  <si>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</si>
  <si>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</si>
  <si>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</si>
  <si>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</si>
  <si>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</si>
  <si>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</si>
  <si>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</si>
  <si>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</si>
  <si>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</si>
  <si>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</si>
  <si>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</si>
  <si>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</si>
  <si>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</si>
  <si>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</si>
  <si>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</si>
  <si>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</si>
  <si>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</si>
  <si>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</si>
  <si>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</si>
  <si>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</si>
  <si>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</si>
  <si>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</si>
  <si>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</si>
  <si>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</si>
  <si>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</si>
  <si>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</si>
  <si>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</si>
  <si>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</si>
  <si>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</si>
  <si>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</si>
  <si>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</si>
  <si>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</si>
  <si>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</si>
  <si>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</si>
  <si>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</si>
  <si>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</si>
  <si>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</si>
  <si>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</si>
  <si>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</si>
  <si>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</si>
  <si>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</si>
  <si>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</si>
  <si>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</si>
  <si>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</si>
  <si>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</si>
  <si>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</si>
  <si>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</si>
  <si>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</si>
  <si>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</si>
  <si>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</si>
  <si>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</si>
  <si>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</si>
  <si>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</si>
  <si>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</si>
  <si>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</si>
  <si>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</si>
  <si>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</si>
  <si>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</si>
  <si>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</si>
  <si>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</si>
  <si>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</si>
  <si>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</si>
  <si>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</si>
  <si>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</si>
  <si>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</si>
  <si>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</si>
  <si>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</si>
  <si>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</si>
  <si>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</si>
  <si>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</si>
  <si>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</si>
  <si>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</si>
  <si>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</si>
  <si>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</si>
  <si>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</si>
  <si>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</si>
  <si>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</si>
  <si>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</si>
  <si>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</si>
  <si>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</si>
  <si>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</si>
  <si>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</si>
  <si>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</si>
  <si>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</si>
  <si>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</si>
  <si>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</si>
  <si>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</si>
  <si>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</si>
  <si>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</si>
  <si>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</si>
  <si>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</si>
  <si>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</si>
  <si>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</si>
  <si>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</si>
  <si>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</si>
  <si>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</si>
  <si>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</si>
  <si>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</si>
  <si>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</si>
  <si>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</si>
  <si>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</si>
  <si>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</si>
  <si>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</si>
  <si>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</si>
  <si>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</si>
  <si>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</si>
  <si>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</si>
  <si>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</si>
  <si>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</si>
  <si>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</si>
  <si>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</si>
  <si>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</si>
  <si>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</si>
  <si>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</si>
  <si>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</si>
  <si>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</si>
  <si>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</si>
  <si>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</si>
  <si>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</si>
  <si>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</si>
  <si>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</si>
  <si>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</si>
  <si>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</si>
  <si>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</si>
  <si>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</si>
  <si>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</si>
  <si>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</si>
  <si>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</si>
  <si>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</si>
  <si>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</si>
  <si>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</si>
  <si>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</si>
  <si>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</si>
  <si>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</si>
  <si>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</si>
  <si>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</si>
  <si>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</si>
  <si>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</si>
  <si>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</si>
  <si>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</si>
  <si>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</si>
  <si>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</si>
  <si>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</si>
  <si>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</si>
  <si>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</si>
  <si>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</si>
  <si>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</si>
  <si>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</si>
  <si>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</si>
  <si>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</si>
  <si>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</si>
  <si>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</si>
  <si>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</si>
  <si>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</si>
  <si>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</si>
  <si>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</si>
  <si>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</si>
  <si>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</si>
  <si>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</si>
  <si>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</si>
  <si>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</si>
  <si>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</si>
  <si>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</si>
  <si>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</si>
  <si>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</si>
  <si>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</si>
  <si>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</si>
  <si>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</si>
  <si>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</si>
  <si>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</si>
  <si>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</si>
  <si>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</si>
  <si>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</si>
  <si>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</si>
  <si>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</si>
  <si>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</si>
  <si>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</si>
  <si>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</si>
  <si>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</si>
  <si>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</si>
  <si>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</si>
  <si>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</si>
  <si>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</si>
  <si>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</si>
  <si>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</si>
  <si>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</si>
  <si>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</si>
  <si>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</si>
  <si>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</si>
  <si>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</si>
  <si>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</si>
  <si>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</si>
  <si>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</si>
  <si>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</si>
  <si>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</si>
  <si>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</si>
  <si>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</si>
  <si>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</si>
  <si>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</si>
  <si>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</si>
  <si>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</si>
  <si>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</si>
  <si>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</si>
  <si>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</si>
  <si>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</si>
  <si>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</si>
  <si>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</si>
  <si>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</si>
  <si>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</si>
  <si>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</si>
  <si>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</si>
  <si>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</si>
  <si>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</si>
  <si>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</si>
  <si>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</si>
  <si>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</si>
  <si>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</si>
  <si>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</si>
  <si>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</si>
  <si>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</si>
  <si>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</si>
  <si>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</si>
  <si>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</si>
  <si>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</si>
  <si>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</si>
  <si>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</si>
  <si>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</si>
  <si>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</si>
  <si>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</si>
  <si>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</si>
  <si>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</si>
  <si>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</si>
  <si>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</si>
  <si>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</si>
  <si>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</si>
  <si>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</si>
  <si>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</si>
  <si>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</si>
  <si>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</si>
  <si>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</si>
  <si>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</si>
  <si>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</si>
  <si>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</si>
  <si>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</si>
  <si>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</si>
  <si>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</si>
  <si>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</si>
  <si>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</si>
  <si>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</si>
  <si>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</si>
  <si>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</si>
  <si>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</si>
  <si>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</si>
  <si>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</si>
  <si>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</si>
  <si>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</si>
  <si>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</si>
  <si>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</si>
  <si>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</si>
  <si>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</si>
  <si>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</si>
  <si>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</si>
  <si>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</si>
  <si>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</si>
  <si>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</si>
  <si>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</si>
  <si>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</si>
  <si>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</si>
  <si>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</si>
  <si>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</si>
  <si>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</si>
  <si>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</si>
  <si>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</si>
  <si>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</si>
  <si>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</si>
  <si>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</si>
  <si>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</si>
  <si>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</si>
  <si>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</si>
  <si>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</si>
  <si>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</si>
  <si>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</si>
  <si>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</si>
  <si>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</si>
  <si>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</si>
  <si>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</si>
  <si>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</si>
  <si>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</si>
  <si>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</si>
  <si>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</si>
  <si>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</si>
  <si>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</si>
  <si>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</si>
  <si>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</si>
  <si>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</si>
  <si>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</si>
  <si>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</si>
  <si>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</si>
  <si>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</si>
  <si>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</si>
  <si>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</si>
  <si>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</si>
  <si>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</si>
  <si>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</si>
  <si>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</si>
  <si>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</si>
  <si>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</si>
  <si>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</si>
  <si>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</si>
  <si>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</si>
  <si>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</si>
  <si>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</si>
  <si>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</si>
  <si>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</si>
  <si>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</si>
  <si>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</si>
  <si>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</si>
  <si>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</si>
  <si>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</si>
  <si>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</si>
  <si>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</si>
  <si>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</si>
  <si>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</si>
  <si>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</si>
  <si>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</si>
  <si>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</si>
  <si>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</si>
  <si>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</si>
  <si>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</si>
  <si>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</si>
  <si>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</si>
  <si>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</si>
  <si>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</si>
  <si>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</si>
  <si>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</si>
  <si>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</si>
  <si>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</si>
  <si>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</si>
  <si>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</si>
  <si>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</si>
  <si>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</si>
  <si>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</si>
  <si>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</si>
  <si>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</si>
  <si>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</si>
  <si>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</si>
  <si>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</si>
  <si>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</si>
  <si>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</si>
  <si>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</si>
  <si>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</si>
  <si>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</si>
  <si>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</si>
  <si>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</si>
  <si>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</si>
  <si>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</si>
  <si>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</si>
  <si>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</si>
  <si>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</si>
  <si>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</si>
  <si>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</si>
  <si>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</si>
  <si>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</si>
  <si>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</si>
  <si>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</si>
  <si>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</si>
  <si>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</si>
  <si>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</si>
  <si>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</si>
  <si>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</si>
  <si>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</si>
  <si>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</si>
  <si>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</si>
  <si>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</si>
  <si>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</si>
  <si>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</si>
  <si>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</si>
  <si>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</si>
  <si>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</si>
  <si>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</si>
  <si>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</si>
  <si>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</si>
  <si>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</si>
  <si>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</si>
  <si>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</si>
  <si>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</si>
  <si>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</si>
  <si>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</si>
  <si>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</si>
  <si>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</si>
  <si>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</si>
  <si>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</si>
  <si>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</si>
  <si>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</si>
  <si>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</si>
  <si>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</si>
  <si>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</si>
  <si>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</si>
  <si>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</si>
  <si>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</si>
  <si>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</si>
  <si>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</si>
  <si>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</si>
  <si>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</si>
  <si>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</si>
  <si>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</si>
  <si>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</si>
  <si>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</si>
  <si>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</si>
  <si>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</si>
  <si>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</si>
  <si>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</si>
  <si>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</si>
  <si>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</si>
  <si>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</si>
  <si>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</si>
  <si>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</si>
  <si>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</si>
  <si>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</si>
  <si>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</si>
  <si>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</si>
  <si>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</si>
  <si>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</si>
  <si>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</si>
  <si>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</si>
  <si>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</si>
  <si>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</si>
  <si>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</si>
  <si>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</si>
  <si>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</si>
  <si>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</si>
  <si>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</si>
  <si>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</si>
  <si>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</si>
  <si>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</si>
  <si>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</si>
  <si>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</si>
  <si>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</si>
  <si>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</si>
  <si>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</si>
  <si>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</si>
  <si>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</si>
  <si>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</si>
  <si>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</si>
  <si>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</si>
  <si>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</si>
  <si>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</si>
  <si>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</si>
  <si>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</si>
  <si>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</si>
  <si>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</si>
  <si>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</si>
  <si>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</si>
  <si>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</si>
  <si>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</si>
  <si>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</si>
  <si>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</si>
  <si>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</si>
  <si>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</si>
  <si>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</si>
  <si>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</si>
  <si>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</si>
  <si>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</si>
  <si>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</si>
  <si>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</si>
  <si>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</si>
  <si>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</si>
  <si>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</si>
  <si>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</si>
  <si>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</si>
  <si>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</si>
  <si>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</si>
  <si>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</si>
  <si>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</si>
  <si>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</si>
  <si>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</si>
  <si>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</si>
  <si>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</si>
  <si>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</si>
  <si>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</si>
  <si>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</si>
  <si>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</si>
  <si>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</si>
  <si>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</si>
  <si>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</si>
  <si>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</si>
  <si>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</si>
  <si>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</si>
  <si>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</si>
  <si>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</si>
  <si>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</si>
  <si>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</si>
  <si>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</si>
  <si>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</si>
  <si>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</si>
  <si>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</si>
  <si>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</si>
  <si>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</si>
  <si>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</si>
  <si>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</si>
  <si>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</si>
  <si>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</si>
  <si>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</si>
  <si>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</si>
  <si>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</si>
  <si>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</si>
  <si>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</si>
  <si>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</si>
  <si>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</si>
  <si>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</si>
  <si>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</si>
  <si>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</si>
  <si>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</si>
  <si>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</si>
  <si>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</si>
  <si>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</si>
  <si>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</si>
  <si>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</si>
  <si>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</si>
  <si>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</si>
  <si>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</si>
  <si>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</si>
  <si>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</si>
  <si>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</si>
  <si>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</si>
  <si>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</si>
  <si>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</si>
  <si>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</si>
  <si>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</si>
  <si>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</si>
  <si>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</si>
  <si>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</si>
  <si>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</si>
  <si>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</si>
  <si>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</si>
  <si>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</si>
  <si>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</si>
  <si>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</si>
  <si>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</si>
  <si>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</si>
  <si>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</si>
  <si>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</si>
  <si>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</si>
  <si>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</si>
  <si>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</si>
  <si>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</si>
  <si>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</si>
  <si>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</si>
  <si>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</si>
  <si>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</si>
  <si>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</si>
  <si>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</si>
  <si>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</si>
  <si>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</si>
  <si>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</si>
  <si>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</si>
  <si>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</si>
  <si>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</si>
  <si>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</si>
  <si>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</si>
  <si>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</si>
  <si>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</si>
  <si>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</si>
  <si>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</si>
  <si>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</si>
  <si>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</si>
  <si>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</si>
  <si>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</si>
  <si>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</si>
  <si>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</si>
  <si>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</si>
  <si>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</si>
  <si>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</si>
  <si>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</si>
  <si>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</si>
  <si>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</si>
  <si>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</si>
  <si>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</si>
  <si>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</si>
  <si>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</si>
  <si>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</si>
  <si>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</si>
  <si>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</si>
  <si>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</si>
  <si>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</si>
  <si>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</si>
  <si>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</si>
  <si>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</si>
  <si>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</si>
  <si>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</si>
  <si>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</si>
  <si>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</si>
  <si>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</si>
  <si>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</si>
  <si>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</si>
  <si>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</si>
  <si>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</si>
  <si>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</si>
  <si>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</si>
  <si>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</si>
  <si>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</si>
  <si>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</si>
  <si>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</si>
  <si>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</si>
  <si>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</si>
  <si>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</si>
  <si>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</si>
  <si>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</si>
  <si>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</si>
  <si>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</si>
  <si>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</si>
  <si>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</si>
  <si>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</si>
  <si>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</si>
  <si>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</si>
  <si>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</si>
  <si>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</si>
  <si>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</si>
  <si>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</si>
  <si>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</si>
  <si>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</si>
  <si>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</si>
  <si>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</si>
  <si>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</si>
  <si>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</si>
  <si>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</si>
  <si>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</si>
  <si>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</si>
  <si>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</si>
  <si>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</si>
  <si>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</si>
  <si>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</si>
  <si>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</si>
  <si>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</si>
  <si>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</si>
  <si>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</si>
  <si>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</si>
  <si>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</si>
  <si>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</si>
  <si>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</si>
  <si>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</si>
  <si>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</si>
  <si>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</si>
  <si>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</si>
  <si>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</si>
  <si>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</si>
  <si>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</si>
  <si>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</si>
  <si>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</si>
  <si>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</si>
  <si>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</si>
  <si>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</si>
  <si>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</si>
  <si>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</si>
  <si>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</si>
  <si>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</si>
  <si>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</si>
  <si>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</si>
  <si>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</si>
  <si>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</si>
  <si>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</si>
  <si>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</si>
  <si>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</si>
  <si>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</si>
  <si>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</si>
  <si>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</si>
  <si>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</si>
  <si>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</si>
  <si>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</si>
  <si>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</si>
  <si>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</si>
  <si>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</si>
  <si>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</si>
  <si>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</si>
  <si>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</si>
  <si>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</si>
  <si>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</si>
  <si>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</si>
  <si>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</si>
  <si>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</si>
  <si>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</si>
  <si>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</si>
  <si>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</si>
  <si>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</si>
  <si>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</si>
  <si>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</si>
  <si>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</si>
  <si>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</si>
  <si>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</si>
  <si>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</si>
  <si>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</si>
  <si>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</si>
  <si>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</si>
  <si>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</si>
  <si>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</si>
  <si>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</si>
  <si>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</si>
  <si>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</si>
  <si>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</si>
  <si>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</si>
  <si>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</si>
  <si>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</si>
  <si>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</si>
  <si>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</si>
  <si>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</si>
  <si>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</si>
  <si>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</si>
  <si>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</si>
  <si>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</si>
  <si>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</si>
  <si>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</si>
  <si>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</si>
  <si>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</si>
  <si>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</si>
  <si>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</si>
  <si>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</si>
  <si>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</si>
  <si>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</si>
  <si>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</si>
  <si>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</si>
  <si>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</si>
  <si>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</si>
  <si>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</si>
  <si>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</si>
  <si>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</si>
  <si>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</si>
  <si>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</si>
  <si>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</si>
  <si>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</si>
  <si>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</si>
  <si>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</si>
  <si>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</si>
  <si>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</si>
  <si>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</si>
  <si>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</si>
  <si>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</si>
  <si>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</si>
  <si>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</si>
  <si>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</si>
  <si>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</si>
  <si>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</si>
  <si>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</si>
  <si>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</si>
  <si>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</si>
  <si>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</si>
  <si>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</si>
  <si>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</si>
  <si>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</si>
  <si>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</si>
  <si>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</si>
  <si>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</si>
  <si>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</si>
  <si>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</si>
  <si>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</si>
  <si>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</si>
  <si>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</si>
  <si>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</si>
  <si>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</si>
  <si>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</si>
  <si>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</si>
  <si>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</si>
  <si>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</si>
  <si>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</si>
  <si>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</si>
  <si>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</si>
  <si>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</si>
  <si>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</si>
  <si>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</si>
  <si>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</si>
  <si>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</si>
  <si>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</si>
  <si>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</si>
  <si>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</si>
  <si>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</si>
  <si>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</si>
  <si>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</si>
  <si>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</si>
  <si>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</si>
  <si>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</si>
  <si>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</si>
  <si>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</si>
  <si>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</si>
  <si>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</si>
  <si>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</si>
  <si>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</si>
  <si>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</si>
  <si>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</si>
  <si>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</si>
  <si>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</si>
  <si>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</si>
  <si>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</si>
  <si>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</si>
  <si>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</si>
  <si>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</si>
  <si>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</si>
  <si>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</si>
  <si>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</si>
  <si>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</si>
  <si>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</si>
  <si>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</si>
  <si>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</si>
  <si>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</si>
  <si>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</si>
  <si>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</si>
  <si>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</si>
  <si>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</si>
  <si>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</si>
  <si>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</si>
  <si>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</si>
  <si>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</si>
  <si>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</si>
  <si>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</si>
  <si>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</si>
  <si>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</si>
  <si>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</si>
  <si>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</si>
  <si>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</si>
  <si>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</si>
  <si>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</si>
  <si>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</si>
  <si>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</si>
  <si>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</si>
  <si>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</si>
  <si>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</si>
  <si>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</si>
  <si>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</si>
  <si>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</si>
  <si>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</si>
  <si>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</si>
  <si>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</si>
  <si>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</si>
  <si>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</si>
  <si>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</si>
  <si>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</si>
  <si>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</si>
  <si>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</si>
  <si>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</si>
  <si>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</si>
  <si>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</si>
  <si>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</si>
  <si>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</si>
  <si>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</si>
  <si>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</si>
  <si>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</si>
  <si>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</si>
  <si>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</si>
  <si>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</si>
  <si>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</si>
  <si>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</si>
  <si>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</si>
  <si>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</si>
  <si>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</si>
  <si>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</si>
  <si>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</si>
  <si>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</si>
  <si>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</si>
  <si>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</si>
  <si>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</si>
  <si>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</si>
  <si>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</si>
  <si>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</si>
  <si>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</si>
  <si>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</si>
  <si>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</si>
  <si>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</si>
  <si>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</si>
  <si>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</si>
  <si>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</si>
  <si>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</si>
  <si>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</si>
  <si>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</si>
  <si>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</si>
  <si>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</si>
  <si>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</si>
  <si>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</si>
  <si>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</si>
  <si>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</si>
  <si>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</si>
  <si>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</si>
  <si>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</si>
  <si>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</si>
  <si>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</si>
  <si>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</si>
  <si>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</si>
  <si>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</si>
  <si>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</si>
  <si>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</si>
  <si>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</si>
  <si>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</si>
  <si>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</si>
  <si>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</si>
  <si>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</si>
  <si>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</si>
  <si>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</si>
  <si>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</si>
  <si>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</si>
  <si>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</si>
  <si>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</si>
  <si>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</si>
  <si>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</si>
  <si>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</si>
  <si>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</si>
  <si>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</si>
  <si>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</si>
  <si>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</si>
  <si>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</si>
  <si>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</si>
  <si>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</si>
  <si>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</si>
  <si>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</si>
  <si>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</si>
  <si>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</si>
  <si>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</si>
  <si>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</si>
  <si>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</si>
  <si>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</si>
  <si>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</si>
  <si>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</si>
  <si>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</si>
  <si>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</si>
  <si>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</si>
  <si>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</si>
  <si>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</si>
  <si>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</si>
  <si>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</si>
  <si>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</si>
  <si>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</si>
  <si>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</si>
  <si>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</si>
  <si>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</si>
  <si>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</si>
  <si>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</si>
  <si>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</si>
  <si>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</si>
  <si>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</si>
  <si>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</si>
  <si>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</si>
  <si>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</si>
  <si>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</si>
  <si>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</si>
  <si>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</si>
  <si>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</si>
  <si>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</si>
  <si>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</si>
  <si>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</si>
  <si>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</si>
  <si>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</si>
  <si>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</si>
  <si>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</si>
  <si>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</si>
  <si>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</si>
  <si>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</si>
  <si>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</si>
  <si>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</si>
  <si>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</si>
  <si>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</si>
  <si>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</si>
  <si>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</si>
  <si>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</si>
  <si>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</si>
  <si>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</si>
  <si>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</si>
  <si>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</si>
  <si>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</si>
  <si>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</si>
  <si>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</si>
  <si>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</si>
  <si>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</si>
  <si>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</si>
  <si>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</si>
  <si>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</si>
  <si>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</si>
  <si>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</si>
  <si>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</si>
  <si>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</si>
  <si>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</si>
  <si>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</si>
  <si>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</si>
  <si>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</si>
  <si>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</si>
  <si>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</si>
  <si>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</si>
  <si>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</si>
  <si>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</si>
  <si>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</si>
  <si>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</si>
  <si>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</si>
  <si>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</si>
  <si>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</si>
  <si>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</si>
  <si>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</si>
  <si>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</si>
  <si>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</si>
  <si>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</si>
  <si>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</si>
  <si>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</si>
  <si>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</si>
  <si>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</si>
  <si>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</si>
  <si>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</si>
  <si>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</si>
  <si>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</si>
  <si>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</si>
  <si>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</si>
  <si>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</si>
  <si>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</si>
  <si>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</si>
  <si>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</si>
  <si>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</si>
  <si>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</si>
  <si>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</si>
  <si>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</si>
  <si>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</si>
  <si>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</si>
  <si>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</si>
  <si>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</si>
  <si>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</si>
  <si>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</si>
  <si>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</si>
  <si>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</si>
  <si>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</si>
  <si>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</si>
  <si>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</si>
  <si>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</si>
  <si>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</si>
  <si>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</si>
  <si>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</si>
  <si>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</si>
  <si>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</si>
  <si>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</si>
  <si>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</si>
  <si>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</si>
  <si>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</si>
  <si>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</si>
  <si>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</si>
  <si>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</si>
  <si>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</si>
  <si>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</si>
  <si>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</si>
  <si>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</si>
  <si>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</si>
  <si>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</si>
  <si>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</si>
  <si>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</si>
  <si>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</si>
  <si>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</si>
  <si>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</si>
  <si>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</si>
  <si>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</si>
  <si>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</si>
  <si>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</si>
  <si>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</si>
  <si>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</si>
  <si>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</si>
  <si>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</si>
  <si>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</si>
  <si>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</si>
  <si>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</si>
  <si>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</si>
  <si>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</si>
  <si>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</si>
  <si>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</si>
  <si>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</si>
  <si>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</si>
  <si>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</si>
  <si>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</si>
  <si>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</si>
  <si>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</si>
  <si>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</si>
  <si>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</si>
  <si>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</si>
  <si>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</si>
  <si>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</si>
  <si>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</si>
  <si>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</si>
  <si>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</si>
  <si>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</si>
  <si>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</si>
  <si>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</si>
  <si>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</si>
  <si>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</si>
  <si>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</si>
  <si>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</si>
  <si>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</si>
  <si>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</si>
  <si>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</si>
  <si>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</si>
  <si>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</si>
  <si>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</si>
  <si>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</si>
  <si>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</si>
  <si>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</si>
  <si>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</si>
  <si>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</si>
  <si>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</si>
  <si>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</si>
  <si>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</si>
  <si>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</si>
  <si>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</si>
  <si>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</si>
  <si>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</si>
  <si>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</si>
  <si>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</si>
  <si>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</si>
  <si>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</si>
  <si>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</si>
  <si>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</si>
  <si>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</si>
  <si>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</si>
  <si>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</si>
  <si>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</si>
  <si>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</si>
  <si>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</si>
  <si>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</si>
  <si>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</si>
  <si>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</si>
  <si>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</si>
  <si>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</si>
  <si>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</si>
  <si>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</si>
  <si>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</si>
  <si>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</si>
  <si>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</si>
  <si>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</si>
  <si>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</si>
  <si>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</si>
  <si>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</si>
  <si>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</si>
  <si>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</si>
  <si>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</si>
  <si>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</si>
  <si>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</si>
  <si>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</si>
  <si>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</si>
  <si>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</si>
  <si>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</si>
  <si>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</si>
  <si>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</si>
  <si>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</si>
  <si>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</si>
  <si>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</si>
  <si>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</si>
  <si>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</si>
  <si>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</si>
  <si>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</si>
  <si>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</si>
  <si>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</si>
  <si>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</si>
  <si>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</si>
  <si>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</si>
  <si>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</si>
  <si>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</si>
  <si>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</si>
  <si>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</si>
  <si>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</si>
  <si>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</si>
  <si>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</si>
  <si>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</si>
  <si>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</si>
  <si>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</si>
  <si>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</si>
  <si>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</si>
  <si>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</si>
  <si>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</si>
  <si>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</si>
  <si>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</si>
  <si>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</si>
  <si>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</si>
  <si>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</si>
  <si>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</si>
  <si>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</si>
  <si>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</si>
  <si>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</si>
  <si>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</si>
  <si>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</si>
  <si>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</si>
  <si>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</si>
  <si>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</si>
  <si>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</si>
  <si>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</si>
  <si>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</si>
  <si>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</si>
  <si>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</si>
  <si>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</si>
  <si>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</si>
  <si>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</si>
  <si>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</si>
  <si>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</si>
  <si>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</si>
  <si>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</si>
  <si>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</si>
  <si>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</si>
  <si>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</si>
  <si>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</si>
  <si>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</si>
  <si>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</si>
  <si>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</si>
  <si>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</si>
  <si>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</si>
  <si>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</si>
  <si>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</si>
  <si>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</si>
  <si>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</si>
  <si>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</si>
  <si>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</si>
  <si>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</si>
  <si>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</si>
  <si>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</si>
  <si>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</si>
  <si>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</si>
  <si>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</si>
  <si>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</si>
  <si>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</si>
  <si>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</si>
  <si>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</si>
  <si>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</si>
  <si>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</si>
  <si>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</si>
  <si>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</si>
  <si>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</si>
  <si>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</si>
  <si>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</si>
  <si>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</si>
  <si>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</si>
  <si>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</si>
  <si>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</si>
  <si>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</si>
  <si>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</si>
  <si>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</si>
  <si>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</si>
  <si>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</si>
  <si>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</si>
  <si>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</si>
  <si>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</si>
  <si>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</si>
  <si>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</si>
  <si>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</si>
  <si>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</si>
  <si>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</si>
  <si>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</si>
  <si>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</si>
  <si>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</si>
  <si>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</si>
  <si>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</si>
  <si>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</si>
  <si>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</si>
  <si>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</si>
  <si>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</si>
  <si>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</si>
  <si>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</si>
  <si>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</si>
  <si>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</si>
  <si>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</si>
  <si>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</si>
  <si>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</si>
  <si>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</si>
  <si>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</si>
  <si>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</si>
  <si>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</si>
  <si>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</si>
  <si>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</si>
  <si>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</si>
  <si>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</si>
  <si>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</si>
  <si>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</si>
  <si>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</si>
  <si>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</si>
  <si>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</si>
  <si>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</si>
  <si>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</si>
  <si>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</si>
  <si>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</si>
  <si>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</si>
  <si>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</si>
  <si>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</si>
  <si>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</si>
  <si>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</si>
  <si>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</si>
  <si>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</si>
  <si>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</si>
  <si>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</si>
  <si>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</si>
  <si>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</si>
  <si>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</si>
  <si>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</si>
  <si>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</si>
  <si>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</si>
  <si>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</si>
  <si>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</si>
  <si>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</si>
  <si>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</si>
  <si>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</si>
  <si>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</si>
  <si>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</si>
  <si>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</si>
  <si>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</si>
  <si>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</si>
  <si>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</si>
  <si>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</si>
  <si>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</si>
  <si>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</si>
  <si>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</si>
  <si>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</si>
  <si>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</si>
  <si>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</si>
  <si>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</si>
  <si>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</si>
  <si>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</si>
  <si>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</si>
  <si>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</si>
  <si>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</si>
  <si>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</si>
  <si>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</si>
  <si>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</si>
  <si>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</si>
  <si>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</si>
  <si>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</si>
  <si>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</si>
  <si>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</si>
  <si>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</si>
  <si>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</si>
  <si>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</si>
  <si>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</si>
  <si>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</si>
  <si>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</si>
  <si>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</si>
  <si>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</si>
  <si>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</si>
  <si>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</si>
  <si>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</si>
  <si>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</si>
  <si>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</si>
  <si>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</si>
  <si>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</si>
  <si>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</si>
  <si>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</si>
  <si>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</si>
  <si>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</si>
  <si>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</si>
  <si>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</si>
  <si>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</si>
  <si>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</si>
  <si>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</si>
  <si>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</si>
  <si>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</si>
  <si>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</si>
  <si>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</si>
  <si>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</si>
  <si>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</si>
  <si>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</si>
  <si>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</si>
  <si>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</si>
  <si>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</si>
  <si>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</si>
  <si>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</si>
  <si>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</si>
  <si>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</si>
  <si>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</si>
  <si>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</si>
  <si>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</si>
  <si>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</si>
  <si>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</si>
  <si>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</si>
  <si>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</si>
  <si>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</si>
  <si>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</si>
  <si>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</si>
  <si>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</si>
  <si>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</si>
  <si>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</si>
  <si>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</si>
  <si>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</si>
  <si>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</si>
  <si>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</si>
  <si>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</si>
  <si>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</si>
  <si>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</si>
  <si>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</si>
  <si>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</si>
  <si>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</si>
  <si>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</si>
  <si>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</si>
  <si>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</si>
  <si>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</si>
  <si>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</si>
  <si>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</si>
  <si>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</si>
  <si>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</si>
  <si>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</si>
  <si>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</si>
  <si>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</si>
  <si>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</si>
  <si>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</si>
  <si>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</si>
  <si>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</si>
  <si>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</si>
  <si>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</si>
  <si>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</si>
  <si>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</si>
  <si>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</si>
  <si>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</si>
  <si>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</si>
  <si>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</si>
  <si>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</si>
  <si>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</si>
  <si>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</si>
  <si>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</si>
  <si>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</si>
  <si>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</si>
  <si>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</si>
  <si>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</si>
  <si>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</si>
  <si>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</si>
  <si>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</si>
  <si>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</si>
  <si>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</si>
  <si>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</si>
  <si>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</si>
  <si>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</si>
  <si>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</si>
  <si>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</si>
  <si>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</si>
  <si>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</si>
  <si>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</si>
  <si>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</si>
  <si>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</si>
  <si>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</si>
  <si>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</si>
  <si>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</si>
  <si>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</si>
  <si>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</si>
  <si>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</si>
  <si>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</si>
  <si>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</si>
  <si>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</si>
  <si>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</si>
  <si>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</si>
  <si>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</si>
  <si>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</si>
  <si>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</si>
  <si>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</si>
  <si>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</si>
  <si>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</si>
  <si>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</si>
  <si>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</si>
  <si>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</si>
  <si>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</si>
  <si>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</si>
  <si>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</si>
  <si>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</si>
  <si>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</si>
  <si>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</si>
  <si>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</si>
  <si>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</si>
  <si>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</si>
  <si>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</si>
  <si>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</si>
  <si>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</si>
  <si>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</si>
  <si>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</si>
  <si>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</si>
  <si>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</si>
  <si>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</si>
  <si>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</si>
  <si>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</si>
  <si>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</si>
  <si>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</si>
  <si>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</si>
  <si>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</si>
  <si>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</si>
  <si>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</si>
  <si>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</si>
  <si>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</si>
  <si>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</si>
  <si>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</si>
  <si>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</si>
  <si>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</si>
  <si>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</si>
  <si>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</si>
  <si>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</si>
  <si>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</si>
  <si>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</si>
  <si>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</si>
  <si>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</si>
  <si>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</si>
  <si>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</si>
  <si>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</si>
  <si>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</si>
  <si>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</si>
  <si>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</si>
  <si>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</si>
  <si>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</si>
  <si>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</si>
  <si>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</si>
  <si>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</si>
  <si>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</si>
  <si>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</si>
  <si>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</si>
  <si>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</si>
  <si>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</si>
  <si>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</si>
  <si>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</si>
  <si>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</si>
  <si>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</si>
  <si>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</si>
  <si>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</si>
  <si>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</si>
  <si>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</si>
  <si>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</si>
  <si>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</si>
  <si>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</si>
  <si>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</si>
  <si>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</si>
  <si>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</si>
  <si>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</si>
  <si>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</si>
  <si>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</si>
  <si>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</si>
  <si>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</si>
  <si>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</si>
  <si>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</si>
  <si>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</si>
  <si>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</si>
  <si>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</si>
  <si>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</si>
  <si>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</si>
  <si>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</si>
  <si>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</si>
  <si>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</si>
  <si>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</si>
  <si>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</si>
  <si>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</si>
  <si>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</si>
  <si>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</si>
  <si>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</si>
  <si>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</si>
  <si>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</si>
  <si>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</si>
  <si>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</si>
  <si>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</si>
  <si>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</si>
  <si>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</si>
  <si>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</si>
  <si>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</si>
  <si>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</si>
  <si>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</si>
  <si>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</si>
  <si>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</si>
  <si>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</si>
  <si>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</si>
  <si>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</si>
  <si>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</si>
  <si>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</si>
  <si>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</si>
  <si>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</si>
  <si>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</si>
  <si>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</si>
  <si>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</si>
  <si>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</si>
  <si>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</si>
  <si>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</si>
  <si>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</si>
  <si>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</si>
  <si>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</si>
  <si>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</si>
  <si>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</si>
  <si>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</si>
  <si>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</si>
  <si>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</si>
  <si>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</si>
  <si>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</si>
  <si>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</si>
  <si>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</si>
  <si>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</si>
  <si>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</si>
  <si>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</si>
  <si>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</si>
  <si>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</si>
  <si>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</si>
  <si>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</si>
  <si>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</si>
  <si>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</si>
  <si>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</si>
  <si>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</si>
  <si>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</si>
  <si>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</si>
  <si>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</si>
  <si>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</si>
  <si>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</si>
  <si>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</si>
  <si>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</si>
  <si>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</si>
  <si>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</si>
  <si>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</si>
  <si>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</si>
  <si>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</si>
  <si>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</si>
  <si>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</si>
  <si>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</si>
  <si>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</si>
  <si>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</si>
  <si>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</si>
  <si>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</si>
  <si>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</si>
  <si>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</si>
  <si>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</si>
  <si>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</si>
  <si>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</si>
  <si>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</si>
  <si>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</si>
  <si>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</si>
  <si>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</si>
  <si>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</si>
  <si>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</si>
  <si>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</si>
  <si>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</si>
  <si>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</si>
  <si>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</si>
  <si>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</si>
  <si>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</si>
  <si>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</si>
  <si>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</si>
  <si>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</si>
  <si>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</si>
  <si>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</si>
  <si>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</si>
  <si>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</si>
  <si>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</si>
  <si>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</si>
  <si>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</si>
  <si>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</si>
  <si>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</si>
  <si>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</si>
  <si>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</si>
  <si>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</si>
  <si>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</si>
  <si>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</si>
  <si>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</si>
  <si>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</si>
  <si>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</si>
  <si>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</si>
  <si>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</si>
  <si>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</si>
  <si>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</si>
  <si>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</si>
  <si>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</si>
  <si>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</si>
  <si>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</si>
  <si>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</si>
  <si>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</si>
  <si>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</si>
  <si>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</si>
  <si>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</si>
  <si>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</si>
  <si>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</si>
  <si>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</si>
  <si>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</si>
  <si>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</si>
  <si>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</si>
  <si>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</si>
  <si>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</si>
  <si>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</si>
  <si>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</si>
  <si>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</si>
  <si>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</si>
  <si>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</si>
  <si>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</si>
  <si>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</si>
  <si>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</si>
  <si>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</si>
  <si>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</si>
  <si>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</si>
  <si>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</si>
  <si>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</si>
  <si>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</si>
  <si>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</si>
  <si>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</si>
  <si>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</si>
  <si>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</si>
  <si>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</si>
  <si>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</si>
  <si>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</si>
  <si>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</si>
  <si>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</si>
  <si>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</si>
  <si>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</si>
  <si>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</si>
  <si>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</si>
  <si>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</si>
  <si>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</si>
  <si>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</si>
  <si>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</si>
  <si>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</si>
  <si>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</si>
  <si>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</si>
  <si>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</si>
  <si>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</si>
  <si>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</si>
  <si>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</si>
  <si>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</si>
  <si>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</si>
  <si>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</si>
  <si>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</si>
  <si>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</si>
  <si>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</si>
  <si>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</si>
  <si>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</si>
  <si>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</si>
  <si>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</si>
  <si>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</si>
  <si>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</si>
  <si>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</si>
  <si>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</si>
  <si>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</si>
  <si>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</si>
  <si>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</si>
  <si>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</si>
  <si>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</si>
  <si>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</si>
  <si>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</si>
  <si>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</si>
  <si>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</si>
  <si>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</si>
  <si>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</si>
  <si>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</si>
  <si>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</si>
  <si>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</si>
  <si>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</si>
  <si>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</si>
  <si>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</si>
  <si>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</si>
  <si>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</si>
  <si>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</si>
  <si>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</si>
  <si>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</si>
  <si>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</si>
  <si>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</si>
  <si>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</si>
  <si>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</si>
  <si>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</si>
  <si>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</si>
  <si>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</si>
  <si>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</si>
  <si>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</si>
  <si>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</si>
  <si>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</si>
  <si>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</si>
  <si>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</si>
  <si>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</si>
  <si>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</si>
  <si>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</si>
  <si>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</si>
  <si>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</si>
  <si>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</si>
  <si>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</si>
  <si>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</si>
  <si>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</si>
  <si>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</si>
  <si>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</si>
  <si>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</si>
  <si>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</si>
  <si>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</si>
  <si>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</si>
  <si>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</si>
  <si>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</si>
  <si>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</si>
  <si>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</si>
  <si>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</si>
  <si>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</si>
  <si>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</si>
  <si>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</si>
  <si>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</si>
  <si>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</si>
  <si>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</si>
  <si>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</si>
  <si>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</si>
  <si>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</si>
  <si>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</si>
  <si>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</si>
  <si>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</si>
  <si>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</si>
  <si>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</si>
  <si>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</si>
  <si>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</si>
  <si>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</si>
  <si>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</si>
  <si>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</si>
  <si>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</si>
  <si>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</si>
  <si>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</si>
  <si>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</si>
  <si>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</si>
  <si>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</si>
  <si>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</si>
  <si>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</si>
  <si>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</si>
  <si>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</si>
  <si>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</si>
  <si>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</si>
  <si>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</si>
  <si>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</si>
  <si>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</si>
  <si>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</si>
  <si>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</si>
  <si>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</si>
  <si>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</si>
  <si>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</si>
  <si>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</si>
  <si>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</si>
  <si>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</si>
  <si>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</si>
  <si>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</si>
  <si>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</si>
  <si>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</si>
  <si>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</si>
  <si>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</si>
  <si>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</si>
  <si>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</si>
  <si>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</si>
  <si>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</si>
  <si>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</si>
  <si>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</si>
  <si>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</si>
  <si>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</si>
  <si>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</si>
  <si>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</si>
  <si>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</si>
  <si>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</si>
  <si>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</si>
  <si>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</si>
  <si>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</si>
  <si>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</si>
  <si>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</si>
  <si>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</si>
  <si>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</si>
  <si>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</si>
  <si>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</si>
  <si>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</si>
  <si>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</si>
  <si>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</si>
  <si>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</si>
  <si>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</si>
  <si>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</si>
  <si>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</si>
  <si>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</si>
  <si>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</si>
  <si>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</si>
  <si>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</si>
  <si>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</si>
  <si>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</si>
  <si>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</si>
  <si>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</si>
  <si>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</si>
  <si>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</si>
  <si>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</si>
  <si>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</si>
  <si>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</si>
  <si>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</si>
  <si>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</si>
  <si>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</si>
  <si>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</si>
  <si>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</si>
  <si>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</si>
  <si>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</si>
  <si>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</si>
  <si>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</si>
  <si>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</si>
  <si>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</si>
  <si>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</si>
  <si>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</si>
  <si>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</si>
  <si>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</si>
  <si>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</si>
  <si>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</si>
  <si>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</si>
  <si>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</si>
  <si>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</si>
  <si>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</si>
  <si>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</si>
  <si>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</si>
  <si>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</si>
  <si>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</si>
  <si>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</si>
  <si>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</si>
  <si>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</si>
  <si>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</si>
  <si>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</si>
  <si>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</si>
  <si>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</si>
  <si>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</si>
  <si>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</si>
  <si>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</si>
  <si>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</si>
  <si>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</si>
  <si>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</si>
  <si>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</si>
  <si>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</si>
  <si>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</si>
  <si>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</si>
  <si>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</si>
  <si>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</si>
  <si>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</si>
  <si>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</si>
  <si>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</si>
  <si>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</si>
  <si>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</si>
  <si>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</si>
  <si>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</si>
  <si>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</si>
  <si>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</si>
  <si>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</si>
  <si>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</si>
  <si>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</si>
  <si>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</si>
  <si>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</si>
  <si>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</si>
  <si>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</si>
  <si>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</si>
  <si>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</si>
  <si>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</si>
  <si>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</si>
  <si>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</si>
  <si>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</si>
  <si>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</si>
  <si>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</si>
  <si>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</si>
  <si>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</si>
  <si>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</si>
  <si>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</si>
  <si>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</si>
  <si>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</si>
  <si>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</si>
  <si>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</si>
  <si>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</si>
  <si>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</si>
  <si>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</si>
  <si>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</si>
  <si>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</si>
  <si>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</si>
  <si>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</si>
  <si>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</si>
  <si>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</si>
  <si>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</si>
  <si>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</si>
  <si>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</si>
  <si>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</si>
  <si>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</si>
  <si>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</si>
  <si>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</si>
  <si>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</si>
  <si>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</si>
  <si>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</si>
  <si>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</si>
  <si>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</si>
  <si>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</si>
  <si>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</si>
  <si>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</si>
  <si>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</si>
  <si>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</si>
  <si>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</si>
  <si>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</si>
  <si>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</si>
  <si>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</si>
  <si>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</si>
  <si>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</si>
  <si>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</si>
  <si>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</si>
  <si>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</si>
  <si>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</si>
  <si>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</si>
  <si>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</si>
  <si>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</si>
  <si>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</si>
  <si>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</si>
  <si>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</si>
  <si>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</si>
  <si>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</si>
  <si>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</si>
  <si>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</si>
  <si>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</si>
  <si>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</si>
  <si>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</si>
  <si>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</si>
  <si>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</si>
  <si>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</si>
  <si>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</si>
  <si>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</si>
  <si>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</si>
  <si>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</si>
  <si>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</si>
  <si>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</si>
  <si>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</si>
  <si>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</si>
  <si>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</si>
  <si>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</si>
  <si>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</si>
  <si>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</si>
  <si>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</si>
  <si>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</si>
  <si>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</si>
  <si>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</si>
  <si>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</si>
  <si>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</si>
  <si>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</si>
  <si>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</si>
  <si>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</si>
  <si>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</si>
  <si>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</si>
  <si>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</si>
  <si>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</si>
  <si>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</si>
  <si>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</si>
  <si>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</si>
  <si>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</si>
  <si>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</si>
  <si>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</si>
  <si>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</si>
  <si>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</si>
  <si>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</si>
  <si>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</si>
  <si>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</si>
  <si>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</si>
  <si>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</si>
  <si>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</si>
  <si>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</si>
  <si>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</si>
  <si>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</si>
  <si>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</si>
  <si>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</si>
  <si>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</si>
  <si>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</si>
  <si>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</si>
  <si>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</si>
  <si>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</si>
  <si>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</si>
  <si>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</si>
  <si>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</si>
  <si>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</si>
  <si>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</si>
  <si>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</si>
  <si>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</si>
  <si>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</si>
  <si>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</si>
  <si>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</si>
  <si>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</si>
  <si>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</si>
  <si>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</si>
  <si>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</si>
  <si>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</si>
  <si>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</si>
  <si>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</si>
  <si>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</si>
  <si>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</si>
  <si>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</si>
  <si>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</si>
  <si>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</si>
  <si>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</si>
  <si>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</si>
  <si>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</si>
  <si>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</si>
  <si>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</si>
  <si>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</si>
  <si>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</si>
  <si>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</si>
  <si>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</si>
  <si>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</si>
  <si>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</si>
  <si>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</si>
  <si>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</si>
  <si>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</si>
  <si>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</si>
  <si>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</si>
  <si>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</si>
  <si>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</si>
  <si>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</si>
  <si>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</si>
  <si>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</si>
  <si>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</si>
  <si>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</si>
  <si>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</si>
  <si>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</si>
  <si>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</si>
  <si>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</si>
  <si>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</si>
  <si>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</si>
  <si>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</si>
  <si>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</si>
  <si>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</si>
  <si>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</si>
  <si>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</si>
  <si>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</si>
  <si>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</si>
  <si>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</si>
  <si>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</si>
  <si>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</si>
  <si>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</si>
  <si>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</si>
  <si>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</si>
  <si>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</si>
  <si>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</si>
  <si>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</si>
  <si>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</si>
  <si>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</si>
  <si>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</si>
  <si>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</si>
  <si>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</si>
  <si>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</si>
  <si>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</si>
  <si>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</si>
  <si>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</si>
  <si>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</si>
  <si>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</si>
  <si>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</si>
  <si>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</si>
  <si>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</si>
  <si>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</si>
  <si>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</si>
  <si>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</si>
  <si>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</si>
  <si>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</si>
  <si>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</si>
  <si>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</si>
  <si>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</si>
  <si>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</si>
  <si>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</si>
  <si>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</si>
  <si>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</si>
  <si>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</si>
  <si>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</si>
  <si>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</si>
  <si>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</si>
  <si>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</si>
  <si>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</si>
  <si>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</si>
  <si>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</si>
  <si>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</si>
  <si>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</si>
  <si>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</si>
  <si>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</si>
  <si>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</si>
  <si>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</si>
  <si>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</si>
  <si>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</si>
  <si>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</si>
  <si>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</si>
  <si>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</si>
  <si>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</si>
  <si>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</si>
  <si>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</si>
  <si>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</si>
  <si>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</si>
  <si>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</si>
  <si>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</si>
  <si>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</si>
  <si>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</si>
  <si>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</si>
  <si>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</si>
  <si>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</si>
  <si>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</si>
  <si>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</si>
  <si>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</si>
  <si>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</si>
  <si>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</si>
  <si>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</si>
  <si>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</si>
  <si>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</si>
  <si>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</si>
  <si>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</si>
  <si>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</si>
  <si>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</si>
  <si>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</si>
  <si>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</si>
  <si>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</si>
  <si>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</si>
  <si>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</si>
  <si>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</si>
  <si>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</si>
  <si>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</si>
  <si>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</si>
  <si>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</si>
  <si>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</si>
  <si>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</si>
  <si>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</si>
  <si>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</si>
  <si>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</si>
  <si>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</si>
  <si>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</si>
  <si>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</si>
  <si>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</si>
  <si>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</si>
  <si>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</si>
  <si>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</si>
  <si>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</si>
  <si>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</si>
  <si>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</si>
  <si>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</si>
  <si>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</si>
  <si>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</si>
  <si>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</si>
  <si>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</si>
  <si>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</si>
  <si>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</si>
  <si>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</si>
  <si>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</si>
  <si>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</si>
  <si>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</si>
  <si>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</si>
  <si>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</si>
  <si>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</si>
  <si>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</si>
  <si>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</si>
  <si>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</si>
  <si>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</si>
  <si>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</si>
  <si>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</si>
  <si>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</si>
  <si>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</si>
  <si>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</si>
  <si>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</si>
  <si>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</si>
  <si>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</si>
  <si>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</si>
  <si>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</si>
  <si>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</si>
  <si>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</si>
  <si>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</si>
  <si>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</si>
  <si>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</si>
  <si>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</si>
  <si>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</si>
  <si>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</si>
  <si>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</si>
  <si>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</si>
  <si>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</si>
  <si>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</si>
  <si>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</si>
  <si>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</si>
  <si>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</si>
  <si>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</si>
  <si>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</si>
  <si>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</si>
  <si>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</si>
  <si>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</si>
  <si>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</si>
  <si>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</si>
  <si>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</si>
  <si>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</si>
  <si>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</si>
  <si>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</si>
  <si>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</si>
  <si>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</si>
  <si>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</si>
  <si>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</si>
  <si>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</si>
  <si>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</si>
  <si>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</si>
  <si>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</si>
  <si>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</si>
  <si>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</si>
  <si>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</si>
  <si>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</si>
  <si>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</si>
  <si>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</si>
  <si>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</si>
  <si>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</si>
  <si>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</si>
  <si>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</si>
  <si>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</si>
  <si>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</si>
  <si>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</si>
  <si>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</si>
  <si>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</si>
  <si>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</si>
  <si>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</si>
  <si>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</si>
  <si>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</si>
  <si>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</si>
  <si>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</si>
  <si>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</si>
  <si>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</si>
  <si>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</si>
  <si>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</si>
  <si>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</si>
  <si>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</si>
  <si>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</si>
  <si>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</si>
  <si>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</si>
  <si>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</si>
  <si>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</si>
  <si>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</si>
  <si>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</si>
  <si>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</si>
  <si>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</si>
  <si>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</si>
  <si>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</si>
  <si>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</si>
  <si>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</si>
  <si>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</si>
  <si>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</si>
  <si>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</si>
  <si>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</si>
  <si>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</si>
  <si>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</si>
  <si>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</si>
  <si>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</si>
  <si>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</si>
  <si>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</si>
  <si>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</si>
  <si>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</si>
  <si>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</si>
  <si>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</si>
  <si>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</si>
  <si>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</si>
  <si>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</si>
  <si>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</si>
  <si>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</si>
  <si>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</si>
  <si>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</si>
  <si>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</si>
  <si>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</si>
  <si>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</si>
  <si>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</si>
  <si>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</si>
  <si>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</si>
  <si>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</si>
  <si>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</si>
  <si>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</si>
  <si>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</si>
  <si>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</si>
  <si>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</si>
  <si>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</si>
  <si>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</si>
  <si>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</si>
  <si>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</si>
  <si>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</si>
  <si>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</si>
  <si>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</si>
  <si>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</si>
  <si>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</si>
  <si>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</si>
  <si>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</si>
  <si>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</si>
  <si>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</si>
  <si>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</si>
  <si>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</si>
  <si>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</si>
  <si>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</si>
  <si>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</si>
  <si>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</si>
  <si>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</si>
  <si>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</si>
  <si>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</si>
  <si>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</si>
  <si>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</si>
  <si>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</si>
  <si>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</si>
  <si>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</si>
  <si>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</si>
  <si>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</si>
  <si>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</si>
  <si>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</si>
  <si>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</si>
  <si>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</si>
  <si>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</si>
  <si>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</si>
  <si>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</si>
  <si>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</si>
  <si>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</si>
  <si>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</si>
  <si>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</si>
  <si>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</si>
  <si>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</si>
  <si>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</si>
  <si>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</si>
  <si>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</si>
  <si>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</si>
  <si>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</si>
  <si>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</si>
  <si>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</si>
  <si>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</si>
  <si>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</si>
  <si>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</si>
  <si>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</si>
  <si>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</si>
  <si>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</si>
  <si>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</si>
  <si>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</si>
  <si>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</si>
  <si>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</si>
  <si>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</si>
  <si>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</si>
  <si>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</si>
  <si>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</si>
  <si>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</si>
  <si>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</si>
  <si>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</si>
  <si>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</si>
  <si>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</si>
  <si>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</si>
  <si>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</si>
  <si>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</si>
  <si>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</si>
  <si>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</si>
  <si>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</si>
  <si>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</si>
  <si>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</si>
  <si>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</si>
  <si>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</si>
  <si>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</si>
  <si>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</si>
  <si>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</si>
  <si>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</si>
  <si>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</si>
  <si>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</si>
  <si>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</si>
  <si>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</si>
  <si>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</si>
  <si>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</si>
  <si>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</si>
  <si>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</si>
  <si>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</si>
  <si>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</si>
  <si>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</si>
  <si>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</si>
  <si>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</si>
  <si>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</si>
  <si>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</si>
  <si>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</si>
  <si>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</si>
  <si>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</si>
  <si>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</si>
  <si>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</si>
  <si>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</si>
  <si>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</si>
  <si>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</si>
  <si>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</si>
  <si>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</si>
  <si>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</si>
  <si>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</si>
  <si>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</si>
  <si>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</si>
  <si>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</si>
  <si>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</si>
  <si>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</si>
  <si>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</si>
  <si>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</si>
  <si>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</si>
  <si>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</si>
  <si>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</si>
  <si>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</si>
  <si>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</si>
  <si>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</si>
  <si>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</si>
  <si>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</si>
  <si>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</si>
  <si>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</si>
  <si>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</si>
  <si>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</si>
  <si>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</si>
  <si>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</si>
  <si>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</si>
  <si>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</si>
  <si>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</si>
  <si>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</si>
  <si>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</si>
  <si>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</si>
  <si>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</si>
  <si>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</si>
  <si>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</si>
  <si>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</si>
  <si>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</si>
  <si>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</si>
  <si>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</si>
  <si>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</si>
  <si>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</si>
  <si>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</si>
  <si>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</si>
  <si>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</si>
  <si>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</si>
  <si>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</si>
  <si>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</si>
  <si>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</si>
  <si>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</si>
  <si>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</si>
  <si>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</si>
  <si>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</si>
  <si>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</si>
  <si>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</si>
  <si>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</si>
  <si>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</si>
  <si>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</si>
  <si>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</si>
  <si>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</si>
  <si>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</si>
  <si>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</si>
  <si>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</si>
  <si>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</si>
  <si>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</si>
  <si>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</si>
  <si>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</si>
  <si>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</si>
  <si>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</si>
  <si>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</si>
  <si>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</si>
  <si>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</si>
  <si>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</si>
  <si>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</si>
  <si>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</si>
  <si>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</si>
  <si>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</si>
  <si>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</si>
  <si>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</si>
  <si>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</si>
  <si>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</si>
  <si>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</si>
  <si>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</si>
  <si>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</si>
  <si>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</si>
  <si>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</si>
  <si>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</si>
  <si>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</si>
  <si>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</si>
  <si>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</si>
  <si>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</si>
  <si>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</si>
  <si>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</si>
  <si>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</si>
  <si>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</si>
  <si>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</si>
  <si>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</si>
  <si>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</si>
  <si>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</si>
  <si>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</si>
  <si>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</si>
  <si>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</si>
  <si>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</si>
  <si>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</si>
  <si>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</si>
  <si>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</si>
  <si>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</si>
  <si>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</si>
  <si>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</si>
  <si>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</si>
  <si>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</si>
  <si>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</si>
  <si>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</si>
  <si>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</si>
  <si>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</si>
  <si>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</si>
  <si>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</si>
  <si>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</si>
  <si>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</si>
  <si>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</si>
  <si>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</si>
  <si>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</si>
  <si>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</si>
  <si>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</si>
  <si>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</si>
  <si>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</si>
  <si>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</si>
  <si>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</si>
  <si>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</si>
  <si>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</si>
  <si>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</si>
  <si>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</si>
  <si>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</si>
  <si>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</si>
  <si>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</si>
  <si>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</si>
  <si>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</si>
  <si>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</si>
  <si>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</si>
  <si>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</si>
  <si>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</si>
  <si>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</si>
  <si>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</si>
  <si>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</si>
  <si>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</si>
  <si>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</si>
  <si>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</si>
  <si>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</si>
  <si>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</si>
  <si>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</si>
  <si>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</si>
  <si>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</si>
  <si>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</si>
  <si>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</si>
  <si>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</si>
  <si>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</si>
  <si>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</si>
  <si>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</si>
  <si>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</si>
  <si>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</si>
  <si>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</si>
  <si>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</si>
  <si>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</si>
  <si>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</si>
  <si>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</si>
  <si>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</si>
  <si>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</si>
  <si>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</si>
  <si>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</si>
  <si>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</si>
  <si>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</si>
  <si>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</si>
  <si>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</si>
  <si>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</si>
  <si>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</si>
  <si>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</si>
  <si>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</si>
  <si>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</si>
  <si>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</si>
  <si>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</si>
  <si>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</si>
  <si>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</si>
  <si>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</si>
  <si>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</si>
  <si>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</si>
  <si>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</si>
  <si>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</si>
  <si>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</si>
  <si>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</si>
  <si>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</si>
  <si>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</si>
  <si>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</si>
  <si>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</si>
  <si>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</si>
  <si>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</si>
  <si>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</si>
  <si>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</si>
  <si>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</si>
  <si>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</si>
  <si>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</si>
  <si>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</si>
  <si>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</si>
  <si>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</si>
  <si>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</si>
  <si>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</si>
  <si>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</si>
  <si>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</si>
  <si>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</si>
  <si>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</si>
  <si>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</si>
  <si>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</si>
  <si>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</si>
  <si>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</si>
  <si>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</si>
  <si>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</si>
  <si>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</si>
  <si>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</si>
  <si>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</si>
  <si>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</si>
  <si>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</si>
  <si>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</si>
  <si>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</si>
  <si>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</si>
  <si>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</si>
  <si>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</si>
  <si>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</si>
  <si>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</si>
  <si>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</si>
  <si>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</si>
  <si>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</si>
  <si>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</si>
  <si>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</si>
  <si>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</si>
  <si>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</si>
  <si>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</si>
  <si>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</si>
  <si>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</si>
  <si>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</si>
  <si>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</si>
  <si>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</si>
  <si>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</si>
  <si>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</si>
  <si>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</si>
  <si>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</si>
  <si>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</si>
  <si>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</si>
  <si>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</si>
  <si>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</si>
  <si>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</si>
  <si>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</si>
  <si>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</si>
  <si>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</si>
  <si>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</si>
  <si>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</si>
  <si>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</si>
  <si>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</si>
  <si>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</si>
  <si>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</si>
  <si>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</si>
  <si>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</si>
  <si>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</si>
  <si>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</si>
  <si>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</si>
  <si>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</si>
  <si>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</si>
  <si>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</si>
  <si>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</si>
  <si>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</si>
  <si>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</si>
  <si>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</si>
  <si>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</si>
  <si>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</si>
  <si>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</si>
  <si>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</si>
  <si>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</si>
  <si>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</si>
  <si>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</si>
  <si>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</si>
  <si>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</si>
  <si>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</si>
  <si>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</si>
  <si>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</si>
  <si>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</si>
  <si>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</si>
  <si>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</si>
  <si>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</si>
  <si>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</si>
  <si>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</si>
  <si>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</si>
  <si>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</si>
  <si>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</si>
  <si>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</si>
  <si>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</si>
  <si>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</si>
  <si>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</si>
  <si>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</si>
  <si>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</si>
  <si>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</si>
  <si>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</si>
  <si>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</si>
  <si>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</si>
  <si>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</si>
  <si>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</si>
  <si>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</si>
  <si>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</si>
  <si>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</si>
  <si>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</si>
  <si>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</si>
  <si>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</si>
  <si>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</si>
  <si>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</si>
  <si>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</si>
  <si>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</si>
  <si>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</si>
  <si>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</si>
  <si>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</si>
  <si>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</si>
  <si>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</si>
  <si>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</si>
  <si>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</si>
  <si>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</si>
  <si>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</si>
  <si>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</si>
  <si>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</si>
  <si>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</si>
  <si>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</si>
  <si>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</si>
  <si>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</si>
  <si>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</si>
  <si>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</si>
  <si>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</si>
  <si>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</si>
  <si>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</si>
  <si>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</si>
  <si>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</si>
  <si>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</si>
  <si>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</si>
  <si>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</si>
  <si>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</si>
  <si>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</si>
  <si>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</si>
  <si>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</si>
  <si>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</si>
  <si>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</si>
  <si>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</si>
  <si>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</si>
  <si>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</si>
  <si>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</si>
  <si>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</si>
  <si>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</si>
  <si>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</si>
  <si>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</si>
  <si>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</si>
  <si>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</si>
  <si>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</si>
  <si>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</si>
  <si>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</si>
  <si>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</si>
  <si>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</si>
  <si>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</si>
  <si>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</si>
  <si>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</si>
  <si>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</si>
  <si>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</si>
  <si>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</si>
  <si>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</si>
  <si>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</si>
  <si>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</si>
  <si>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</si>
  <si>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</si>
  <si>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</si>
  <si>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</si>
  <si>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</si>
  <si>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</si>
  <si>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</si>
  <si>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</si>
  <si>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</si>
  <si>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</si>
  <si>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</si>
  <si>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</si>
  <si>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</si>
  <si>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</si>
  <si>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</si>
  <si>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</si>
  <si>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</si>
  <si>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</si>
  <si>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</si>
  <si>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</si>
  <si>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</si>
  <si>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</si>
  <si>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</si>
  <si>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</si>
  <si>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</si>
  <si>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</si>
  <si>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</si>
  <si>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</si>
  <si>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</si>
  <si>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</si>
  <si>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</si>
  <si>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</si>
  <si>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</si>
  <si>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</si>
  <si>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</si>
  <si>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</si>
  <si>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</si>
  <si>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</si>
  <si>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</si>
  <si>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</si>
  <si>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</si>
  <si>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</si>
  <si>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</si>
  <si>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</si>
  <si>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</si>
  <si>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</si>
  <si>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</si>
  <si>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</si>
  <si>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</si>
  <si>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</si>
  <si>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</si>
  <si>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</si>
  <si>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</si>
  <si>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</si>
  <si>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</si>
  <si>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</si>
  <si>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</si>
  <si>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</si>
  <si>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</si>
  <si>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</si>
  <si>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</si>
  <si>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</si>
  <si>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</si>
  <si>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</si>
  <si>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</si>
  <si>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</si>
  <si>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</si>
  <si>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</si>
  <si>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</si>
  <si>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</si>
  <si>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</si>
  <si>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</si>
  <si>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</si>
  <si>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</si>
  <si>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</si>
  <si>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</si>
  <si>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</si>
  <si>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</si>
  <si>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</si>
  <si>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</si>
  <si>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</si>
  <si>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</si>
  <si>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</si>
  <si>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</si>
  <si>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</si>
  <si>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</si>
  <si>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</si>
  <si>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</si>
  <si>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</si>
  <si>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</si>
  <si>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</si>
  <si>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</si>
  <si>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</si>
  <si>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</si>
  <si>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</si>
  <si>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</si>
  <si>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</si>
  <si>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</si>
  <si>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</si>
  <si>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</si>
  <si>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</si>
  <si>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</si>
  <si>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</si>
  <si>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</si>
  <si>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</si>
  <si>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</si>
  <si>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</si>
  <si>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</si>
  <si>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</si>
  <si>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</si>
  <si>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</si>
  <si>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</si>
  <si>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</si>
  <si>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</si>
  <si>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</si>
  <si>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</si>
  <si>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</si>
  <si>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</si>
  <si>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</si>
  <si>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</si>
  <si>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</si>
  <si>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</si>
  <si>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</si>
  <si>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</si>
  <si>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</si>
  <si>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</si>
  <si>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</si>
  <si>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</si>
  <si>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</si>
  <si>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</si>
  <si>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</si>
  <si>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</si>
  <si>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</si>
  <si>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</si>
  <si>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</si>
  <si>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</si>
  <si>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</si>
  <si>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</si>
  <si>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</si>
  <si>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</si>
  <si>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</si>
  <si>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</si>
  <si>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</si>
  <si>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</si>
  <si>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</si>
  <si>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</si>
  <si>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</si>
  <si>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</si>
  <si>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</si>
  <si>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</si>
  <si>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</si>
  <si>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</si>
  <si>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</si>
  <si>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</si>
  <si>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</si>
  <si>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</si>
  <si>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</si>
  <si>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</si>
  <si>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</si>
  <si>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</si>
  <si>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</si>
  <si>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</si>
  <si>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</si>
  <si>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</si>
  <si>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</si>
  <si>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</si>
  <si>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</si>
  <si>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</si>
  <si>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</si>
  <si>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</si>
  <si>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</si>
  <si>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</si>
  <si>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</si>
  <si>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</si>
  <si>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</si>
  <si>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</si>
  <si>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</si>
  <si>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</si>
  <si>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</si>
  <si>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</si>
  <si>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</si>
  <si>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</si>
  <si>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</si>
  <si>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</si>
  <si>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</si>
  <si>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</si>
  <si>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</si>
  <si>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</si>
  <si>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</si>
  <si>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</si>
  <si>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</si>
  <si>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</si>
  <si>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</si>
  <si>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</si>
  <si>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</si>
  <si>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</si>
  <si>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</si>
  <si>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</si>
  <si>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</si>
  <si>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</si>
  <si>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</si>
  <si>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</si>
  <si>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</si>
  <si>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</si>
  <si>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</si>
  <si>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</si>
  <si>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</si>
  <si>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</si>
  <si>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</si>
  <si>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</si>
  <si>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</si>
  <si>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</si>
  <si>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</si>
  <si>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</si>
  <si>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</si>
  <si>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</si>
  <si>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</si>
  <si>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</si>
  <si>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</si>
  <si>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</si>
  <si>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</si>
  <si>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</si>
  <si>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</si>
  <si>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</si>
  <si>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</si>
  <si>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</si>
  <si>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</si>
  <si>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</si>
  <si>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</si>
  <si>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</si>
  <si>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</si>
  <si>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</si>
  <si>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</si>
  <si>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</si>
  <si>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</si>
  <si>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</si>
  <si>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</si>
  <si>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</si>
  <si>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</si>
  <si>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</si>
  <si>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</si>
  <si>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</si>
  <si>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</si>
  <si>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</si>
  <si>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</si>
  <si>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</si>
  <si>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</si>
  <si>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</si>
  <si>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</si>
  <si>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</si>
  <si>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</si>
  <si>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</si>
  <si>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</si>
  <si>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</si>
  <si>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</si>
  <si>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</si>
  <si>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</si>
  <si>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</si>
  <si>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</si>
  <si>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</si>
  <si>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</si>
  <si>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</si>
  <si>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</si>
  <si>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</si>
  <si>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</si>
  <si>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</si>
  <si>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</si>
  <si>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</si>
  <si>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</si>
  <si>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</si>
  <si>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</si>
  <si>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</si>
  <si>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</si>
  <si>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</si>
  <si>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</si>
  <si>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</si>
  <si>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</si>
  <si>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</si>
  <si>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</si>
  <si>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</si>
  <si>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</si>
  <si>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</si>
  <si>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</si>
  <si>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</si>
  <si>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</si>
  <si>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</si>
  <si>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</si>
  <si>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</si>
  <si>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</si>
  <si>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</si>
  <si>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</si>
  <si>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</si>
  <si>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</si>
  <si>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</si>
  <si>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</si>
  <si>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</si>
  <si>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</si>
  <si>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</si>
  <si>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</si>
  <si>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</si>
  <si>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</si>
  <si>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</si>
  <si>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</si>
  <si>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</si>
  <si>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</si>
  <si>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</si>
  <si>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</si>
  <si>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</si>
  <si>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</si>
  <si>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</si>
  <si>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</si>
  <si>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</si>
  <si>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</si>
  <si>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</si>
  <si>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</si>
  <si>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</si>
  <si>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</si>
  <si>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</si>
  <si>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</si>
  <si>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</si>
  <si>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</si>
  <si>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</si>
  <si>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</si>
  <si>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</si>
  <si>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</si>
  <si>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</si>
  <si>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</si>
  <si>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</si>
  <si>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</si>
  <si>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</si>
  <si>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</si>
  <si>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</si>
  <si>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</si>
  <si>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</si>
  <si>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</si>
  <si>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</si>
  <si>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</si>
  <si>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</si>
  <si>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</si>
  <si>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</si>
  <si>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</si>
  <si>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</si>
  <si>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</si>
  <si>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</si>
  <si>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</si>
  <si>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</si>
  <si>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</si>
  <si>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</si>
  <si>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</si>
  <si>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</si>
  <si>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</si>
  <si>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</si>
  <si>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</si>
  <si>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</si>
  <si>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</si>
  <si>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</si>
  <si>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</si>
  <si>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</si>
  <si>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</si>
  <si>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</si>
  <si>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</si>
  <si>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</si>
  <si>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</si>
  <si>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</si>
  <si>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</si>
  <si>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</si>
  <si>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</si>
  <si>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</si>
  <si>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</si>
  <si>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</si>
  <si>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</si>
  <si>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</si>
  <si>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</si>
  <si>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</si>
  <si>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</si>
  <si>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</si>
  <si>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</si>
  <si>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</si>
  <si>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</si>
  <si>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</si>
  <si>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</si>
  <si>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</si>
  <si>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</si>
  <si>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</si>
  <si>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</si>
  <si>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</si>
  <si>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</si>
  <si>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</si>
  <si>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</si>
  <si>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</si>
  <si>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</si>
  <si>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</si>
  <si>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</si>
  <si>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</si>
  <si>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</si>
  <si>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</si>
  <si>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</si>
  <si>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</si>
  <si>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</si>
  <si>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</si>
  <si>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</si>
  <si>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</si>
  <si>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</si>
  <si>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</si>
  <si>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</si>
  <si>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</si>
  <si>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</si>
  <si>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</si>
  <si>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</si>
  <si>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</si>
  <si>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</si>
  <si>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</si>
  <si>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</si>
  <si>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</si>
  <si>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</si>
  <si>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</si>
  <si>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</si>
  <si>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</si>
  <si>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</si>
  <si>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</si>
  <si>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</si>
  <si>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</si>
  <si>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</si>
  <si>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</si>
  <si>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</si>
  <si>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</si>
  <si>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</si>
  <si>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</si>
  <si>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</si>
  <si>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</si>
  <si>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</si>
  <si>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</si>
  <si>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</si>
  <si>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</si>
  <si>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</si>
  <si>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</si>
  <si>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</si>
  <si>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</si>
  <si>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</si>
  <si>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</si>
  <si>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</si>
  <si>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</si>
  <si>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</si>
  <si>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</si>
  <si>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</si>
  <si>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</si>
  <si>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</si>
  <si>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</si>
  <si>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</si>
  <si>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</si>
  <si>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</si>
  <si>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</si>
  <si>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</si>
  <si>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</si>
  <si>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</si>
  <si>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</si>
  <si>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</si>
  <si>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</si>
  <si>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</si>
  <si>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</si>
  <si>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</si>
  <si>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</si>
  <si>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</si>
  <si>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</si>
  <si>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</si>
  <si>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</si>
  <si>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</si>
  <si>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</si>
  <si>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</si>
  <si>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</si>
  <si>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</si>
  <si>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</si>
  <si>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</si>
  <si>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</si>
  <si>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</si>
  <si>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</si>
  <si>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</si>
  <si>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</si>
  <si>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</si>
  <si>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</si>
  <si>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</si>
  <si>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</si>
  <si>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</si>
  <si>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</si>
  <si>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</si>
  <si>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</si>
  <si>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</si>
  <si>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</si>
  <si>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</si>
  <si>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</si>
  <si>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</si>
  <si>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</si>
  <si>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</si>
  <si>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</si>
  <si>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</si>
  <si>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</si>
  <si>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</si>
  <si>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</si>
  <si>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</si>
  <si>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</si>
  <si>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</si>
  <si>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</si>
  <si>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</si>
  <si>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</si>
  <si>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</si>
  <si>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</si>
  <si>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</si>
  <si>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</si>
  <si>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</si>
  <si>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</si>
  <si>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</si>
  <si>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</si>
  <si>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</si>
  <si>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</si>
  <si>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</si>
  <si>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</si>
  <si>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</si>
  <si>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</si>
  <si>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</si>
  <si>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</si>
  <si>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</si>
  <si>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</si>
  <si>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</si>
  <si>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</si>
  <si>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</si>
  <si>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</si>
  <si>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</si>
  <si>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</si>
  <si>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</si>
  <si>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</si>
  <si>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</si>
  <si>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</si>
  <si>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</si>
  <si>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</si>
  <si>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</si>
  <si>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</si>
  <si>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</si>
  <si>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</si>
  <si>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</si>
  <si>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</si>
  <si>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</si>
  <si>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</si>
  <si>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</si>
  <si>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</si>
  <si>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</si>
  <si>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</si>
  <si>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</si>
  <si>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</si>
  <si>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</si>
  <si>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</si>
  <si>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</si>
  <si>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</si>
  <si>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</si>
  <si>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</si>
  <si>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</si>
  <si>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</si>
  <si>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</si>
  <si>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</si>
  <si>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</si>
  <si>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</si>
  <si>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</si>
  <si>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</si>
  <si>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</si>
  <si>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</si>
  <si>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</si>
  <si>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</si>
  <si>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</si>
  <si>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</si>
  <si>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</si>
  <si>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</si>
  <si>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</si>
  <si>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</si>
  <si>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</si>
  <si>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</si>
  <si>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</si>
  <si>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</si>
  <si>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</si>
  <si>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</si>
  <si>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</si>
  <si>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</si>
  <si>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</si>
  <si>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</si>
  <si>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</si>
  <si>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</si>
  <si>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</si>
  <si>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</si>
  <si>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</si>
  <si>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</si>
  <si>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</si>
  <si>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</si>
  <si>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</si>
  <si>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</si>
  <si>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</si>
  <si>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</si>
  <si>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</si>
  <si>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</si>
  <si>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</si>
  <si>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</si>
  <si>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</si>
  <si>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</si>
  <si>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</si>
  <si>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</si>
  <si>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</si>
  <si>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</si>
  <si>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</si>
  <si>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</si>
  <si>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</si>
  <si>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</si>
  <si>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</si>
  <si>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</si>
  <si>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</si>
  <si>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</si>
  <si>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</si>
  <si>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</si>
  <si>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</si>
  <si>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</si>
  <si>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</si>
  <si>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</si>
  <si>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</si>
  <si>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</si>
  <si>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</si>
  <si>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</si>
  <si>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</si>
  <si>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</si>
  <si>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</si>
  <si>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</si>
  <si>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</si>
  <si>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</si>
  <si>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</si>
  <si>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</si>
  <si>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</si>
  <si>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</si>
  <si>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</si>
  <si>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</si>
  <si>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</si>
  <si>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</si>
  <si>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</si>
  <si>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</si>
  <si>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</si>
  <si>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</si>
  <si>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</si>
  <si>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</si>
  <si>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</si>
  <si>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</si>
  <si>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</si>
  <si>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</si>
  <si>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</si>
  <si>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</si>
  <si>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</si>
  <si>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</si>
  <si>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</si>
  <si>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</si>
  <si>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</si>
  <si>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</si>
  <si>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</si>
  <si>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</si>
  <si>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</si>
  <si>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</si>
  <si>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</si>
  <si>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</si>
  <si>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</si>
  <si>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</si>
  <si>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</si>
  <si>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</si>
  <si>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</si>
  <si>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</si>
  <si>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</si>
  <si>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</si>
  <si>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</si>
  <si>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</si>
  <si>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</si>
  <si>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</si>
  <si>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</si>
  <si>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</si>
  <si>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</si>
  <si>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</si>
  <si>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</si>
  <si>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</si>
  <si>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</si>
  <si>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</si>
  <si>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</si>
  <si>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</si>
  <si>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</si>
  <si>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</si>
  <si>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</si>
  <si>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</si>
  <si>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</si>
  <si>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</si>
  <si>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</si>
  <si>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</si>
  <si>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</si>
  <si>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</si>
  <si>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</si>
  <si>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</si>
  <si>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</si>
  <si>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</si>
  <si>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</si>
  <si>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</si>
  <si>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</si>
  <si>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</si>
  <si>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</si>
  <si>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</si>
  <si>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</si>
  <si>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</si>
  <si>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</si>
  <si>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</si>
  <si>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</si>
  <si>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</si>
  <si>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</si>
  <si>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</si>
  <si>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</si>
  <si>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</si>
  <si>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</si>
  <si>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</si>
  <si>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</si>
  <si>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</si>
  <si>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</si>
  <si>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</si>
  <si>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</si>
  <si>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</si>
  <si>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</si>
  <si>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</si>
  <si>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</si>
  <si>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</si>
  <si>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</si>
  <si>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</si>
  <si>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</si>
  <si>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</si>
  <si>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</si>
  <si>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</si>
  <si>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</si>
  <si>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</si>
  <si>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</si>
  <si>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</si>
  <si>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</si>
  <si>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</si>
  <si>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</si>
  <si>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</si>
  <si>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</si>
  <si>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</si>
  <si>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</si>
  <si>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</si>
  <si>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</si>
  <si>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</si>
  <si>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</si>
  <si>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</si>
  <si>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</si>
  <si>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</si>
  <si>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</si>
  <si>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</si>
  <si>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</si>
  <si>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</si>
  <si>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</si>
  <si>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</si>
  <si>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</si>
  <si>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</si>
  <si>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</si>
  <si>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</si>
  <si>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</si>
  <si>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</si>
  <si>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</si>
  <si>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</si>
  <si>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</si>
  <si>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</si>
  <si>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</si>
  <si>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</si>
  <si>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</si>
  <si>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</si>
  <si>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</si>
  <si>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</si>
  <si>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</si>
  <si>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</si>
  <si>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</si>
  <si>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</si>
  <si>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</si>
  <si>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</si>
  <si>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</si>
  <si>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</si>
  <si>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</si>
  <si>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</si>
  <si>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</si>
  <si>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</si>
  <si>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</si>
  <si>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</si>
  <si>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</si>
  <si>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</si>
  <si>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</si>
  <si>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</si>
  <si>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</si>
  <si>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</si>
  <si>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</si>
  <si>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</si>
  <si>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</si>
  <si>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</si>
  <si>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</si>
  <si>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</si>
  <si>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</si>
  <si>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</si>
  <si>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</si>
  <si>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</si>
  <si>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</si>
  <si>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</si>
  <si>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</si>
  <si>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</si>
  <si>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</si>
  <si>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</si>
  <si>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</si>
  <si>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</si>
  <si>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</si>
  <si>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</si>
  <si>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</si>
  <si>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</si>
  <si>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</si>
  <si>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</si>
  <si>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</si>
  <si>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</si>
  <si>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</si>
  <si>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</si>
  <si>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</si>
  <si>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</si>
  <si>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</si>
  <si>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</si>
  <si>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</si>
  <si>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</si>
  <si>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</si>
  <si>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</si>
  <si>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</si>
  <si>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</si>
  <si>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</si>
  <si>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</si>
  <si>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</si>
  <si>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</si>
  <si>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</si>
  <si>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</si>
  <si>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</si>
  <si>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</si>
  <si>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</si>
  <si>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</si>
  <si>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</si>
  <si>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</si>
  <si>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</si>
  <si>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</si>
  <si>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</si>
  <si>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</si>
  <si>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</si>
  <si>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</si>
  <si>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</si>
  <si>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</si>
  <si>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</si>
  <si>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</si>
  <si>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</si>
  <si>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</si>
  <si>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</si>
  <si>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</si>
  <si>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</si>
  <si>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</si>
  <si>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</si>
  <si>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</si>
  <si>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</si>
  <si>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</si>
  <si>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</si>
  <si>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</si>
  <si>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</si>
  <si>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</si>
  <si>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</si>
  <si>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</si>
  <si>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</si>
  <si>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</si>
  <si>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</si>
  <si>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</si>
  <si>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</si>
  <si>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</si>
  <si>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</si>
  <si>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</si>
  <si>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</si>
  <si>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</si>
  <si>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</si>
  <si>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</si>
  <si>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</si>
  <si>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</si>
  <si>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</si>
  <si>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</si>
  <si>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</si>
  <si>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</si>
  <si>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</si>
  <si>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</si>
  <si>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</si>
  <si>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</si>
  <si>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</si>
  <si>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</si>
  <si>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</si>
  <si>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</si>
  <si>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</si>
  <si>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</si>
  <si>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</si>
  <si>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</si>
  <si>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</si>
  <si>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</si>
  <si>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</si>
  <si>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</si>
  <si>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</si>
  <si>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</si>
  <si>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</si>
  <si>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</si>
  <si>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</si>
  <si>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</si>
  <si>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</si>
  <si>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</si>
  <si>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</si>
  <si>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</si>
  <si>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</si>
  <si>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</si>
  <si>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</si>
  <si>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</si>
  <si>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</si>
  <si>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</si>
  <si>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</si>
  <si>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</si>
  <si>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</si>
  <si>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</si>
  <si>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</si>
  <si>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</si>
  <si>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</si>
  <si>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</si>
  <si>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</si>
  <si>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</si>
  <si>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</si>
  <si>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</si>
  <si>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</si>
  <si>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</si>
  <si>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</si>
  <si>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</si>
  <si>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</si>
  <si>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</si>
  <si>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</si>
  <si>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</si>
  <si>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</si>
  <si>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</si>
  <si>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</si>
  <si>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</si>
  <si>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</si>
  <si>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</si>
  <si>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</si>
  <si>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</si>
  <si>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</si>
  <si>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</si>
  <si>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</si>
  <si>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</si>
  <si>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</si>
  <si>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</si>
  <si>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</si>
  <si>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</si>
  <si>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</si>
  <si>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</si>
  <si>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</si>
  <si>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</si>
  <si>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</si>
  <si>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</si>
  <si>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</si>
  <si>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</si>
  <si>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</si>
  <si>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</si>
  <si>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</si>
  <si>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</si>
  <si>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</si>
  <si>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</si>
  <si>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</si>
  <si>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</si>
  <si>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</si>
  <si>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</si>
  <si>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</si>
  <si>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</si>
  <si>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</si>
  <si>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</si>
  <si>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</si>
  <si>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</si>
  <si>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</si>
  <si>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</si>
  <si>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</si>
  <si>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</si>
  <si>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</si>
  <si>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</si>
  <si>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</si>
  <si>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</si>
  <si>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</si>
  <si>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</si>
  <si>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</si>
  <si>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</si>
  <si>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</si>
  <si>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</si>
  <si>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</si>
  <si>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</si>
  <si>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</si>
  <si>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</si>
  <si>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</si>
  <si>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</si>
  <si>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</si>
  <si>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</si>
  <si>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</si>
  <si>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</si>
  <si>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</si>
  <si>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</si>
  <si>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</si>
  <si>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</si>
  <si>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</si>
  <si>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</si>
  <si>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</si>
  <si>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</si>
  <si>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</si>
  <si>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</si>
  <si>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</si>
  <si>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</si>
  <si>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</si>
  <si>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</si>
  <si>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</si>
  <si>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</si>
  <si>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</si>
  <si>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</si>
  <si>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</si>
  <si>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</si>
  <si>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</si>
  <si>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</si>
  <si>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</si>
  <si>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</si>
  <si>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</si>
  <si>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</si>
  <si>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</si>
  <si>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</si>
  <si>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</si>
  <si>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</si>
  <si>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</si>
  <si>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</si>
  <si>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</si>
  <si>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</si>
  <si>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</si>
  <si>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</si>
  <si>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</si>
  <si>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</si>
  <si>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</si>
  <si>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</si>
  <si>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</si>
  <si>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</si>
  <si>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</si>
  <si>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</si>
  <si>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</si>
  <si>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</si>
  <si>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</si>
  <si>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</si>
  <si>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</si>
  <si>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</si>
  <si>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</si>
  <si>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</si>
  <si>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</si>
  <si>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</si>
  <si>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</si>
  <si>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</si>
  <si>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</si>
  <si>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</si>
  <si>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</si>
  <si>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</si>
  <si>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</si>
  <si>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</si>
  <si>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</si>
  <si>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</si>
  <si>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</si>
  <si>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</si>
  <si>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</si>
  <si>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</si>
  <si>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</si>
  <si>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</si>
  <si>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</si>
  <si>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</si>
  <si>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</si>
  <si>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</si>
  <si>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</si>
  <si>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</si>
  <si>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</si>
  <si>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</si>
  <si>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</si>
  <si>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</si>
  <si>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</si>
  <si>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</si>
  <si>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</si>
  <si>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</si>
  <si>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</si>
  <si>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</si>
  <si>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</si>
  <si>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</si>
  <si>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</si>
  <si>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</si>
  <si>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</si>
  <si>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</si>
  <si>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</si>
  <si>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</si>
  <si>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</si>
  <si>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</si>
  <si>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</si>
  <si>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</si>
  <si>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</si>
  <si>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</si>
  <si>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</si>
  <si>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</si>
  <si>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</si>
  <si>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</si>
  <si>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</si>
  <si>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</si>
  <si>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</si>
  <si>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</si>
  <si>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</si>
  <si>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</si>
  <si>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</si>
  <si>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</si>
  <si>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</si>
  <si>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</si>
  <si>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</si>
  <si>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</si>
  <si>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</si>
  <si>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</si>
  <si>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</si>
  <si>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</si>
  <si>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</si>
  <si>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</si>
  <si>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</si>
  <si>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</si>
  <si>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</si>
  <si>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</si>
  <si>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</si>
  <si>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</si>
  <si>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</si>
  <si>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</si>
  <si>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</si>
  <si>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</si>
  <si>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</si>
  <si>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</si>
  <si>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</si>
  <si>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</si>
  <si>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</si>
  <si>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</si>
  <si>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</si>
  <si>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</si>
  <si>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</si>
  <si>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</si>
  <si>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</si>
  <si>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</si>
  <si>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</si>
  <si>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</si>
  <si>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</si>
  <si>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</si>
  <si>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</si>
  <si>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</si>
  <si>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</si>
  <si>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</si>
  <si>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</si>
  <si>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</si>
  <si>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</si>
  <si>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</si>
  <si>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</si>
  <si>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</si>
  <si>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</si>
  <si>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</si>
  <si>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</si>
  <si>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</si>
  <si>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</si>
  <si>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</si>
  <si>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</si>
  <si>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</si>
  <si>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</si>
  <si>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</si>
  <si>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</si>
  <si>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</si>
  <si>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</si>
  <si>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</si>
  <si>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</si>
  <si>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</si>
  <si>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</si>
  <si>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</si>
  <si>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</si>
  <si>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</si>
  <si>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</si>
  <si>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</si>
  <si>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</si>
  <si>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</si>
  <si>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</si>
  <si>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</si>
  <si>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</si>
  <si>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</si>
  <si>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</si>
  <si>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</si>
  <si>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</si>
  <si>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</si>
  <si>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</si>
  <si>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</si>
  <si>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</si>
  <si>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</si>
  <si>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</si>
  <si>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</si>
  <si>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</si>
  <si>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</si>
  <si>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</si>
  <si>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</si>
  <si>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</si>
  <si>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</si>
  <si>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</si>
  <si>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</si>
  <si>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</si>
  <si>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</si>
  <si>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</si>
  <si>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</si>
  <si>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</si>
  <si>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</si>
  <si>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</si>
  <si>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</si>
  <si>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</si>
  <si>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</si>
  <si>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</si>
  <si>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</si>
  <si>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</si>
  <si>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</si>
  <si>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</si>
  <si>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</si>
  <si>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</si>
  <si>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</si>
  <si>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</si>
  <si>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</si>
  <si>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</si>
  <si>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</si>
  <si>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</si>
  <si>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</si>
  <si>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</si>
  <si>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</si>
  <si>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</si>
  <si>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</si>
  <si>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</si>
  <si>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</si>
  <si>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</si>
  <si>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</si>
  <si>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</si>
  <si>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</si>
  <si>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</si>
  <si>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</si>
  <si>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</si>
  <si>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</si>
  <si>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</si>
  <si>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</si>
  <si>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</si>
  <si>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</si>
  <si>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</si>
  <si>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</si>
  <si>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</si>
  <si>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</si>
  <si>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</si>
  <si>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</si>
  <si>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</si>
  <si>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</si>
  <si>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</si>
  <si>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</si>
  <si>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</si>
  <si>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</si>
  <si>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</si>
  <si>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</si>
  <si>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</si>
  <si>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</si>
  <si>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</si>
  <si>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</si>
  <si>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</si>
  <si>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</si>
  <si>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</si>
  <si>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</si>
  <si>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</si>
  <si>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</si>
  <si>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</si>
  <si>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</si>
  <si>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</si>
  <si>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</si>
  <si>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</si>
  <si>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</si>
  <si>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</si>
  <si>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</si>
  <si>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</si>
  <si>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</si>
  <si>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</si>
  <si>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</si>
  <si>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</si>
  <si>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</si>
  <si>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</si>
  <si>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</si>
  <si>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</si>
  <si>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</si>
  <si>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</si>
  <si>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</si>
  <si>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</si>
  <si>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</si>
  <si>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</si>
  <si>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</si>
  <si>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</si>
  <si>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</si>
  <si>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</si>
  <si>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</si>
  <si>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</si>
  <si>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</si>
  <si>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</si>
  <si>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</si>
  <si>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</si>
  <si>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</si>
  <si>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</si>
  <si>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</si>
  <si>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</si>
  <si>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</si>
  <si>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</si>
  <si>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</si>
  <si>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</si>
  <si>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</si>
  <si>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</si>
  <si>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</si>
  <si>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</si>
  <si>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</si>
  <si>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</si>
  <si>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</si>
  <si>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</si>
  <si>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</si>
  <si>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</si>
  <si>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</si>
  <si>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</si>
  <si>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</si>
  <si>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</si>
  <si>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</si>
  <si>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</si>
  <si>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</si>
  <si>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</si>
  <si>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</si>
  <si>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</si>
  <si>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</si>
  <si>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</si>
  <si>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</si>
  <si>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</si>
  <si>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</si>
  <si>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</si>
  <si>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</si>
  <si>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</si>
  <si>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</si>
  <si>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</si>
  <si>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</si>
  <si>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</si>
  <si>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</si>
  <si>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</si>
  <si>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</si>
  <si>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</si>
  <si>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</si>
  <si>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</si>
  <si>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</si>
  <si>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</si>
  <si>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</si>
  <si>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</si>
  <si>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</si>
  <si>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</si>
  <si>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</si>
  <si>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</si>
  <si>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</si>
  <si>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</si>
  <si>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</si>
  <si>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</si>
  <si>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</si>
  <si>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</si>
  <si>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</si>
  <si>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</si>
  <si>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</si>
  <si>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</si>
  <si>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</si>
  <si>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</si>
  <si>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</si>
  <si>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</si>
  <si>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</si>
  <si>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</si>
  <si>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</si>
  <si>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</si>
  <si>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</si>
  <si>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</si>
  <si>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</si>
  <si>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</si>
  <si>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</si>
  <si>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</si>
  <si>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</si>
  <si>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</si>
  <si>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</si>
  <si>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</si>
  <si>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</si>
  <si>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</si>
  <si>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</si>
  <si>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</si>
  <si>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</si>
  <si>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</si>
  <si>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</si>
  <si>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</si>
  <si>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</si>
  <si>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</si>
  <si>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</si>
  <si>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</si>
  <si>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</si>
  <si>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</si>
  <si>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</si>
  <si>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</si>
  <si>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</si>
  <si>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</si>
  <si>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</si>
  <si>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</si>
  <si>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</si>
  <si>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</si>
  <si>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</si>
  <si>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</si>
  <si>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</si>
  <si>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</si>
  <si>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</si>
  <si>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</si>
  <si>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</si>
  <si>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</si>
  <si>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</si>
  <si>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</si>
  <si>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</si>
  <si>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</si>
  <si>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</si>
  <si>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</si>
  <si>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</si>
  <si>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</si>
  <si>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</si>
  <si>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</si>
  <si>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</si>
  <si>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</si>
  <si>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</si>
  <si>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</si>
  <si>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</si>
  <si>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</si>
  <si>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</si>
  <si>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</si>
  <si>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</si>
  <si>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</si>
  <si>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</si>
  <si>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</si>
  <si>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</si>
  <si>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</si>
  <si>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</si>
  <si>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</si>
  <si>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</si>
  <si>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</si>
  <si>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</si>
  <si>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</si>
  <si>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</si>
  <si>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</si>
  <si>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</si>
  <si>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</si>
  <si>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</si>
  <si>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</si>
  <si>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</si>
  <si>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</si>
  <si>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</si>
  <si>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</si>
  <si>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</si>
  <si>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</si>
  <si>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</si>
  <si>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</si>
  <si>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</si>
  <si>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</si>
  <si>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</si>
  <si>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</si>
  <si>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</si>
  <si>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</si>
  <si>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</si>
  <si>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</si>
  <si>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</si>
  <si>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</si>
  <si>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</si>
  <si>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</si>
  <si>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</si>
  <si>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</si>
  <si>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</si>
  <si>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</si>
  <si>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</si>
  <si>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</si>
  <si>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</si>
  <si>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</si>
  <si>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</si>
  <si>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</si>
  <si>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</si>
  <si>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</si>
  <si>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</si>
  <si>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</si>
  <si>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</si>
  <si>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</si>
  <si>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</si>
  <si>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</si>
  <si>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</si>
  <si>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</si>
  <si>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</si>
  <si>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</si>
  <si>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</si>
  <si>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</si>
  <si>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</si>
  <si>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</si>
  <si>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</si>
  <si>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</si>
  <si>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</si>
  <si>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</si>
  <si>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</si>
  <si>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</si>
  <si>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</si>
  <si>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</si>
  <si>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</si>
  <si>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</si>
  <si>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</si>
  <si>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</si>
  <si>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</si>
  <si>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</si>
  <si>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</si>
  <si>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</si>
  <si>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</si>
  <si>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</si>
  <si>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</si>
  <si>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</si>
  <si>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</si>
  <si>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</si>
  <si>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</si>
  <si>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</si>
  <si>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</si>
  <si>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</si>
  <si>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</si>
  <si>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</si>
  <si>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</si>
  <si>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</si>
  <si>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</si>
  <si>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</si>
  <si>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</si>
  <si>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</si>
  <si>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</si>
  <si>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</si>
  <si>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</si>
  <si>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</si>
  <si>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</si>
  <si>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</si>
  <si>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</si>
  <si>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</si>
  <si>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</si>
  <si>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</si>
  <si>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</si>
  <si>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</si>
  <si>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</si>
  <si>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</si>
  <si>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</si>
  <si>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</si>
  <si>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</si>
  <si>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</si>
  <si>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</si>
  <si>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</si>
  <si>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</si>
  <si>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</si>
  <si>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</si>
  <si>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</si>
  <si>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</si>
  <si>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</si>
  <si>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</si>
  <si>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</si>
  <si>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</si>
  <si>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</si>
  <si>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</si>
  <si>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</si>
  <si>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</si>
  <si>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</si>
  <si>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</si>
  <si>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</si>
  <si>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</si>
  <si>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</si>
  <si>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</si>
  <si>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</si>
  <si>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</si>
  <si>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</si>
  <si>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</si>
  <si>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</si>
  <si>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</si>
  <si>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</si>
  <si>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</si>
  <si>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</si>
  <si>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</si>
  <si>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</si>
  <si>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</si>
  <si>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</si>
  <si>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</si>
  <si>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</si>
  <si>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</si>
  <si>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</si>
  <si>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</si>
  <si>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</si>
  <si>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</si>
  <si>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</si>
  <si>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</si>
  <si>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</si>
  <si>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</si>
  <si>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</si>
  <si>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</si>
  <si>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</si>
  <si>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</si>
  <si>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</si>
  <si>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</si>
  <si>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</si>
  <si>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</si>
  <si>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</si>
  <si>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</si>
  <si>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</si>
  <si>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</si>
  <si>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</si>
  <si>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</si>
  <si>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</si>
  <si>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</si>
  <si>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</si>
  <si>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</si>
  <si>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</si>
  <si>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</si>
  <si>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</si>
  <si>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</si>
  <si>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</si>
  <si>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</si>
  <si>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</si>
  <si>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</si>
  <si>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</si>
  <si>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</si>
  <si>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</si>
  <si>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</si>
  <si>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</si>
  <si>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</si>
  <si>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</si>
  <si>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</si>
  <si>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</si>
  <si>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</si>
  <si>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</si>
  <si>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</si>
  <si>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</si>
  <si>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</si>
  <si>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</si>
  <si>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</si>
  <si>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</si>
  <si>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</si>
  <si>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</si>
  <si>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</si>
  <si>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</si>
  <si>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</si>
  <si>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</si>
  <si>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</si>
  <si>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</si>
  <si>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</si>
  <si>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</si>
  <si>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</si>
  <si>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</si>
  <si>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</si>
  <si>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</si>
  <si>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</si>
  <si>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</si>
  <si>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</si>
  <si>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</si>
  <si>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</si>
  <si>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</si>
  <si>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</si>
  <si>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</si>
  <si>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</si>
  <si>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</si>
  <si>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</si>
  <si>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</si>
  <si>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</si>
  <si>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</si>
  <si>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</si>
  <si>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</si>
  <si>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</si>
  <si>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</si>
  <si>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</si>
  <si>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</si>
  <si>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</si>
  <si>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</si>
  <si>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</si>
  <si>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</si>
  <si>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</si>
  <si>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</si>
  <si>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</si>
  <si>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</si>
  <si>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</si>
  <si>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</si>
  <si>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</si>
  <si>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</si>
  <si>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</si>
  <si>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</si>
  <si>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</si>
  <si>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</si>
  <si>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</si>
  <si>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</si>
  <si>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</si>
  <si>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</si>
  <si>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</si>
  <si>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</si>
  <si>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</si>
  <si>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</si>
  <si>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</si>
  <si>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</si>
  <si>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</si>
  <si>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</si>
  <si>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</si>
  <si>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</si>
  <si>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</si>
  <si>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</si>
  <si>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</si>
  <si>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</si>
  <si>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</si>
  <si>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</si>
  <si>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</si>
  <si>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</si>
  <si>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</si>
  <si>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</si>
  <si>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</si>
  <si>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</si>
  <si>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</si>
  <si>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</si>
  <si>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</si>
  <si>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</si>
  <si>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</si>
  <si>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</si>
  <si>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</si>
  <si>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</si>
  <si>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</si>
  <si>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</si>
  <si>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</si>
  <si>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</si>
  <si>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</si>
  <si>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</si>
  <si>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</si>
  <si>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</si>
  <si>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</si>
  <si>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</si>
  <si>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</si>
  <si>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</si>
  <si>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</si>
  <si>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</si>
  <si>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</si>
  <si>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</si>
  <si>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</si>
  <si>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</si>
  <si>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</si>
  <si>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</si>
  <si>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</si>
  <si>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</si>
  <si>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</si>
  <si>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</si>
  <si>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</si>
  <si>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</si>
  <si>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</si>
  <si>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</si>
  <si>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</si>
  <si>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</si>
  <si>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</si>
  <si>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</si>
  <si>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</si>
  <si>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</si>
  <si>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</si>
  <si>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</si>
  <si>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</si>
  <si>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</si>
  <si>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</si>
  <si>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</si>
  <si>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</si>
  <si>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</si>
  <si>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</si>
  <si>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</si>
  <si>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</si>
  <si>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</si>
  <si>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</si>
  <si>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</si>
  <si>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</si>
  <si>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</si>
  <si>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</si>
  <si>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</si>
  <si>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</si>
  <si>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</si>
  <si>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</si>
  <si>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</si>
  <si>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</si>
  <si>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</si>
  <si>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</si>
  <si>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</si>
  <si>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</si>
  <si>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</si>
  <si>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</si>
  <si>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</si>
  <si>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</si>
  <si>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</si>
  <si>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</si>
  <si>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</si>
  <si>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</si>
  <si>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</si>
  <si>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</si>
  <si>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</si>
  <si>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</si>
  <si>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</si>
  <si>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</si>
  <si>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</si>
  <si>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</si>
  <si>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</si>
  <si>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</si>
  <si>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</si>
  <si>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</si>
  <si>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</si>
  <si>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</si>
  <si>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</si>
  <si>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</si>
  <si>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</si>
  <si>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</si>
  <si>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</si>
  <si>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</si>
  <si>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</si>
  <si>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</si>
  <si>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</si>
  <si>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</si>
  <si>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</si>
  <si>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</si>
  <si>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</si>
  <si>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</si>
  <si>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</si>
  <si>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</si>
  <si>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</si>
  <si>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</si>
  <si>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</si>
  <si>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</si>
  <si>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</si>
  <si>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</si>
  <si>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</si>
  <si>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</si>
  <si>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</si>
  <si>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</si>
  <si>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</si>
  <si>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</si>
  <si>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</si>
  <si>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</si>
  <si>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</si>
  <si>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</si>
  <si>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</si>
  <si>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</si>
  <si>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</si>
  <si>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</si>
  <si>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</si>
  <si>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</si>
  <si>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</si>
  <si>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</si>
  <si>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</si>
  <si>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</si>
  <si>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</si>
  <si>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</si>
  <si>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</si>
  <si>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</si>
  <si>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</si>
  <si>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</si>
  <si>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</si>
  <si>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</si>
  <si>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</si>
  <si>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</si>
  <si>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</si>
  <si>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</si>
  <si>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</si>
  <si>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</si>
  <si>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</si>
  <si>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</si>
  <si>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</si>
  <si>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</si>
  <si>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</si>
  <si>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</si>
  <si>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</si>
  <si>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</si>
  <si>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</si>
  <si>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</si>
  <si>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</si>
  <si>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</si>
  <si>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</si>
  <si>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</si>
  <si>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</si>
  <si>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</si>
  <si>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</si>
  <si>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</si>
  <si>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</si>
  <si>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</si>
  <si>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</si>
  <si>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</si>
  <si>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</si>
  <si>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</si>
  <si>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</si>
  <si>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</si>
  <si>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</si>
  <si>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</si>
  <si>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</si>
  <si>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</si>
  <si>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</si>
  <si>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</si>
  <si>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</si>
  <si>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</si>
  <si>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</si>
  <si>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</si>
  <si>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</si>
  <si>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</si>
  <si>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</si>
  <si>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</si>
  <si>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</si>
  <si>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</si>
  <si>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</si>
  <si>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</si>
  <si>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</si>
  <si>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</si>
  <si>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</si>
  <si>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</si>
  <si>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</si>
  <si>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</si>
  <si>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</si>
  <si>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</si>
  <si>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</si>
  <si>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</si>
  <si>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</si>
  <si>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</si>
  <si>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</si>
  <si>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</si>
  <si>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</si>
  <si>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</si>
  <si>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</si>
  <si>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</si>
  <si>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</si>
  <si>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</si>
  <si>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</si>
  <si>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</si>
  <si>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</si>
  <si>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</si>
  <si>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</si>
  <si>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</si>
  <si>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</si>
  <si>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</si>
  <si>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</si>
  <si>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</si>
  <si>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</si>
  <si>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</si>
  <si>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</si>
  <si>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</si>
  <si>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</si>
  <si>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</si>
  <si>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</si>
  <si>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</si>
  <si>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</si>
  <si>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</si>
  <si>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</si>
  <si>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</si>
  <si>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</si>
  <si>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</si>
  <si>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</si>
  <si>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</si>
  <si>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</si>
  <si>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</si>
  <si>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</si>
  <si>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</si>
  <si>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</si>
  <si>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</si>
  <si>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</si>
  <si>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</si>
  <si>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</si>
  <si>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</si>
  <si>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</si>
  <si>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</si>
  <si>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</si>
  <si>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</si>
  <si>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</si>
  <si>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</si>
  <si>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</si>
  <si>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</si>
  <si>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</si>
  <si>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</si>
  <si>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</si>
  <si>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</si>
  <si>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</si>
  <si>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</si>
  <si>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</si>
  <si>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</si>
  <si>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</si>
  <si>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</si>
  <si>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</si>
  <si>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</si>
  <si>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</si>
  <si>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</si>
  <si>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</si>
  <si>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</si>
  <si>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</si>
  <si>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</si>
  <si>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</si>
  <si>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</si>
  <si>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</si>
  <si>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</si>
  <si>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</si>
  <si>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</si>
  <si>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</si>
  <si>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</si>
  <si>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</si>
  <si>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</si>
  <si>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</si>
  <si>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</si>
  <si>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</si>
  <si>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</si>
  <si>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</si>
  <si>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</si>
  <si>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</si>
  <si>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</si>
  <si>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</si>
  <si>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</si>
  <si>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</si>
  <si>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</si>
  <si>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</si>
  <si>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</si>
  <si>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</si>
  <si>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</si>
  <si>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</si>
  <si>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</si>
  <si>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</si>
  <si>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</si>
  <si>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</si>
  <si>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</si>
  <si>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</si>
  <si>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</si>
  <si>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</si>
  <si>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</si>
  <si>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</si>
  <si>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</si>
  <si>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</si>
  <si>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</si>
  <si>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</si>
  <si>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</si>
  <si>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</si>
  <si>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</si>
  <si>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</si>
  <si>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</si>
  <si>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</si>
  <si>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</si>
  <si>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</si>
  <si>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</si>
  <si>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</si>
  <si>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</si>
  <si>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</si>
  <si>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</si>
  <si>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</si>
  <si>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</si>
  <si>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</si>
  <si>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</si>
  <si>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</si>
  <si>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</si>
  <si>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</si>
  <si>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</si>
  <si>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</si>
  <si>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</si>
  <si>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</si>
  <si>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</si>
  <si>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</si>
  <si>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</si>
  <si>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</si>
  <si>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</si>
  <si>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</si>
  <si>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</si>
  <si>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</si>
  <si>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</si>
  <si>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</si>
  <si>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</si>
  <si>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</si>
  <si>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</si>
  <si>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</si>
  <si>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</si>
  <si>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</si>
  <si>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</si>
  <si>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</si>
  <si>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</si>
  <si>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</si>
  <si>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</si>
  <si>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</si>
  <si>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</si>
  <si>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</si>
  <si>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</si>
  <si>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</si>
  <si>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</si>
  <si>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</si>
  <si>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</si>
  <si>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</si>
  <si>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</si>
  <si>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</si>
  <si>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</si>
  <si>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</si>
  <si>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</si>
  <si>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</si>
  <si>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</si>
  <si>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</si>
  <si>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</si>
  <si>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</si>
  <si>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</si>
  <si>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</si>
  <si>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</si>
  <si>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</si>
  <si>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</si>
  <si>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</si>
  <si>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</si>
  <si>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</si>
  <si>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</si>
  <si>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</si>
  <si>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</si>
  <si>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</si>
  <si>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</si>
  <si>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</si>
  <si>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</si>
  <si>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</si>
  <si>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</si>
  <si>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</si>
  <si>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</si>
  <si>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</si>
  <si>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</si>
  <si>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</si>
  <si>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</si>
  <si>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</si>
  <si>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</si>
  <si>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</si>
  <si>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</si>
  <si>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</si>
  <si>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</si>
  <si>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</si>
  <si>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</si>
  <si>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</si>
  <si>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</si>
  <si>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</si>
  <si>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</si>
  <si>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</si>
  <si>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</si>
  <si>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</si>
  <si>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</si>
  <si>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</si>
  <si>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</si>
  <si>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</si>
  <si>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</si>
  <si>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</si>
  <si>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</si>
  <si>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</si>
  <si>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</si>
  <si>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</si>
  <si>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</si>
  <si>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</si>
  <si>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</si>
  <si>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</si>
  <si>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</si>
  <si>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</si>
  <si>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</si>
  <si>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</si>
  <si>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</si>
  <si>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</si>
  <si>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</si>
  <si>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</si>
  <si>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</si>
  <si>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</si>
  <si>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</si>
  <si>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</si>
  <si>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</si>
  <si>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</si>
  <si>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</si>
  <si>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</si>
  <si>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</si>
  <si>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</si>
  <si>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</si>
  <si>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</si>
  <si>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</si>
  <si>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</si>
  <si>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</si>
  <si>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</si>
  <si>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</si>
  <si>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</si>
  <si>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</si>
  <si>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</si>
  <si>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</si>
  <si>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</si>
  <si>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</si>
  <si>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</si>
  <si>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</si>
  <si>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</si>
  <si>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</si>
  <si>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</si>
  <si>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</si>
  <si>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</si>
  <si>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</si>
  <si>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</si>
  <si>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</si>
  <si>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</si>
  <si>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</si>
  <si>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</si>
  <si>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</si>
  <si>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</si>
  <si>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</si>
  <si>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</si>
  <si>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</si>
  <si>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</si>
  <si>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</si>
  <si>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</si>
  <si>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</si>
  <si>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</si>
  <si>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</si>
  <si>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</si>
  <si>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</si>
  <si>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</si>
  <si>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</si>
  <si>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</si>
  <si>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</si>
  <si>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</si>
  <si>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</si>
  <si>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</si>
  <si>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</si>
  <si>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</si>
  <si>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</si>
  <si>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</si>
  <si>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</si>
  <si>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</si>
  <si>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</si>
  <si>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</si>
  <si>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</si>
  <si>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</si>
  <si>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</si>
  <si>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</si>
  <si>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</si>
  <si>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</si>
  <si>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</si>
  <si>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</si>
  <si>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</si>
  <si>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</si>
  <si>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</si>
  <si>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</si>
  <si>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</si>
  <si>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</si>
  <si>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</si>
  <si>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</si>
  <si>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</si>
  <si>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</si>
  <si>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</si>
  <si>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</si>
  <si>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</si>
  <si>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</si>
  <si>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</si>
  <si>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</si>
  <si>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</si>
  <si>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</si>
  <si>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</si>
  <si>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</si>
  <si>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</si>
  <si>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</si>
  <si>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</si>
  <si>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</si>
  <si>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</si>
  <si>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</si>
  <si>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</si>
  <si>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</si>
  <si>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</si>
  <si>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</si>
  <si>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</si>
  <si>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</si>
  <si>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</si>
  <si>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</si>
  <si>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</si>
  <si>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</si>
  <si>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</si>
  <si>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</si>
  <si>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</si>
  <si>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</si>
  <si>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</si>
  <si>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</si>
  <si>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</si>
  <si>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</si>
  <si>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</si>
  <si>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</si>
  <si>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</si>
  <si>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</si>
  <si>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</si>
  <si>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</si>
  <si>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</si>
  <si>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</si>
  <si>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</si>
  <si>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</si>
  <si>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</si>
  <si>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</si>
  <si>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</si>
  <si>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</si>
  <si>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</si>
  <si>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</si>
  <si>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</si>
  <si>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</si>
  <si>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</si>
  <si>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</si>
  <si>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</si>
  <si>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</si>
  <si>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</si>
  <si>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</si>
  <si>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</si>
  <si>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</si>
  <si>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</si>
  <si>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</si>
  <si>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</si>
  <si>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</si>
  <si>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</si>
  <si>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</si>
  <si>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</si>
  <si>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</si>
  <si>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</si>
  <si>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</si>
  <si>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</si>
  <si>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</si>
  <si>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</si>
  <si>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</si>
  <si>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</si>
  <si>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</si>
  <si>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</si>
  <si>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</si>
  <si>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</si>
  <si>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</si>
  <si>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</si>
  <si>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</si>
  <si>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</si>
  <si>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</si>
  <si>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</si>
  <si>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</si>
  <si>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</si>
  <si>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</si>
  <si>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</si>
  <si>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</si>
  <si>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</si>
  <si>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</si>
  <si>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</si>
  <si>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</si>
  <si>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</si>
  <si>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</si>
  <si>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</si>
  <si>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</si>
  <si>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</si>
  <si>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</si>
  <si>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</si>
  <si>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</si>
  <si>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</si>
  <si>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</si>
  <si>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</si>
  <si>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</si>
  <si>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</si>
  <si>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</si>
  <si>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</si>
  <si>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</si>
  <si>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</si>
  <si>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</si>
  <si>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</si>
  <si>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</si>
  <si>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</si>
  <si>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</si>
  <si>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</si>
  <si>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</si>
  <si>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</si>
  <si>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</si>
  <si>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</si>
  <si>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</si>
  <si>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</si>
  <si>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</si>
  <si>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</si>
  <si>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</si>
  <si>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</si>
  <si>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</si>
  <si>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</si>
  <si>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</si>
  <si>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</si>
  <si>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</si>
  <si>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</si>
  <si>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</si>
  <si>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</si>
  <si>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</si>
  <si>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</si>
  <si>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</si>
  <si>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</si>
  <si>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</si>
  <si>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</si>
  <si>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</si>
  <si>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</si>
  <si>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</si>
  <si>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</si>
  <si>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</si>
  <si>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</si>
  <si>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</si>
  <si>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</si>
  <si>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</si>
  <si>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</si>
  <si>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</si>
  <si>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</si>
  <si>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</si>
  <si>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</si>
  <si>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</si>
  <si>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</si>
  <si>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</si>
  <si>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</si>
  <si>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</si>
  <si>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</si>
  <si>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</si>
  <si>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</si>
  <si>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</si>
  <si>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</si>
  <si>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</si>
  <si>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</si>
  <si>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</si>
  <si>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</si>
  <si>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</si>
  <si>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</si>
  <si>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</si>
  <si>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</si>
  <si>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</si>
  <si>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</si>
  <si>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</si>
  <si>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</si>
  <si>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</si>
  <si>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</si>
  <si>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</si>
  <si>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</si>
  <si>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</si>
  <si>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</si>
  <si>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</si>
  <si>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</si>
  <si>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</si>
  <si>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</si>
  <si>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</si>
  <si>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</si>
  <si>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</si>
  <si>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</si>
  <si>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</si>
  <si>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</si>
  <si>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</si>
  <si>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</si>
  <si>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</si>
  <si>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</si>
  <si>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</si>
  <si>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</si>
  <si>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</si>
  <si>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</si>
  <si>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</si>
  <si>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</si>
  <si>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</si>
  <si>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</si>
  <si>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</si>
  <si>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</si>
  <si>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</si>
  <si>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</si>
  <si>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</si>
  <si>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</si>
  <si>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</si>
  <si>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</si>
  <si>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</si>
  <si>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</si>
  <si>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</si>
  <si>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</si>
  <si>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</si>
  <si>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</si>
  <si>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</si>
  <si>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</si>
  <si>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</si>
  <si>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</si>
  <si>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</si>
  <si>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</si>
  <si>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</si>
  <si>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</si>
  <si>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</si>
  <si>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</si>
  <si>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</si>
  <si>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</si>
  <si>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</si>
  <si>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</si>
  <si>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</si>
  <si>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</si>
  <si>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</si>
  <si>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</si>
  <si>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</si>
  <si>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</si>
  <si>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</si>
  <si>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</si>
  <si>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</si>
  <si>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</si>
  <si>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</si>
  <si>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</si>
  <si>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</si>
  <si>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</si>
  <si>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</si>
  <si>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</si>
  <si>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</si>
  <si>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</si>
  <si>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</si>
  <si>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</si>
  <si>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</si>
  <si>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</si>
  <si>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</si>
  <si>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</si>
  <si>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</si>
  <si>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</si>
  <si>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</si>
  <si>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</si>
  <si>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</si>
  <si>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</si>
  <si>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</si>
  <si>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</si>
  <si>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</si>
  <si>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</si>
  <si>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</si>
  <si>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</si>
  <si>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</si>
  <si>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</si>
  <si>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</si>
  <si>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</si>
  <si>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</si>
  <si>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</si>
  <si>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</si>
  <si>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</si>
  <si>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</si>
  <si>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</si>
  <si>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</si>
  <si>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</si>
  <si>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</si>
  <si>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</si>
  <si>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</si>
  <si>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</si>
  <si>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</si>
  <si>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</si>
  <si>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</si>
  <si>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</si>
  <si>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</si>
  <si>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</si>
  <si>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</si>
  <si>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</si>
  <si>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</si>
  <si>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</si>
  <si>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</si>
  <si>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</si>
  <si>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</si>
  <si>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</si>
  <si>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</si>
  <si>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</si>
  <si>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</si>
  <si>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</si>
  <si>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</si>
  <si>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</si>
  <si>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</si>
  <si>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</si>
  <si>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</si>
  <si>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</si>
  <si>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</si>
  <si>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</si>
  <si>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</si>
  <si>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</si>
  <si>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</si>
  <si>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</si>
  <si>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</si>
  <si>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</si>
  <si>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</si>
  <si>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</si>
  <si>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</si>
  <si>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</si>
  <si>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</si>
  <si>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</si>
  <si>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</si>
  <si>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</si>
  <si>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</si>
  <si>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</si>
  <si>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</si>
  <si>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</si>
  <si>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</si>
  <si>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</si>
  <si>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</si>
  <si>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</si>
  <si>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</si>
  <si>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</si>
  <si>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</si>
  <si>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</si>
  <si>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</si>
  <si>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</si>
  <si>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</si>
  <si>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</si>
  <si>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</si>
  <si>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</si>
  <si>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</si>
  <si>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</si>
  <si>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</si>
  <si>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</si>
  <si>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</si>
  <si>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</si>
  <si>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</si>
  <si>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</si>
  <si>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</si>
  <si>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</si>
  <si>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</si>
  <si>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</si>
  <si>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</si>
  <si>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</si>
  <si>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</si>
  <si>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</si>
  <si>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</si>
  <si>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</si>
  <si>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</si>
  <si>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</si>
  <si>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</si>
  <si>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</si>
  <si>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</si>
  <si>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</si>
  <si>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</si>
  <si>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</si>
  <si>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</si>
  <si>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</si>
  <si>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</si>
  <si>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</si>
  <si>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</si>
  <si>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</si>
  <si>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</si>
  <si>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</si>
  <si>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</si>
  <si>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</si>
  <si>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</si>
  <si>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</si>
  <si>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</si>
  <si>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</si>
  <si>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</si>
  <si>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</si>
  <si>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</si>
  <si>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</si>
  <si>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</si>
  <si>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</si>
  <si>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</si>
  <si>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</si>
  <si>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</si>
  <si>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</si>
  <si>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</si>
  <si>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</si>
  <si>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</si>
  <si>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</si>
  <si>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</si>
  <si>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</si>
  <si>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</si>
  <si>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</si>
  <si>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</si>
  <si>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</si>
  <si>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</si>
  <si>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</si>
  <si>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</si>
  <si>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</si>
  <si>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</si>
  <si>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</si>
  <si>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</si>
  <si>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</si>
  <si>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</si>
  <si>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</si>
  <si>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</si>
  <si>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</si>
  <si>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</si>
  <si>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</si>
  <si>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</si>
  <si>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</si>
  <si>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</si>
  <si>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</si>
  <si>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</si>
  <si>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</si>
  <si>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</si>
  <si>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</si>
  <si>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</si>
  <si>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</si>
  <si>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</si>
  <si>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</si>
  <si>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</si>
  <si>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</si>
  <si>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</si>
  <si>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</si>
  <si>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</si>
  <si>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</si>
  <si>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</si>
  <si>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</si>
  <si>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</si>
  <si>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</si>
  <si>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</si>
  <si>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</si>
  <si>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</si>
  <si>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</si>
  <si>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</si>
  <si>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</si>
  <si>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</si>
  <si>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</si>
  <si>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</si>
  <si>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</si>
  <si>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</si>
  <si>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</si>
  <si>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</si>
  <si>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</si>
  <si>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</si>
  <si>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</si>
  <si>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</si>
  <si>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</si>
  <si>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</si>
  <si>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</si>
  <si>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</si>
  <si>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</si>
  <si>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</si>
  <si>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</si>
  <si>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</si>
  <si>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</si>
  <si>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</si>
  <si>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</si>
  <si>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</si>
  <si>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</si>
  <si>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</si>
  <si>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</si>
  <si>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</si>
  <si>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</si>
  <si>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</si>
  <si>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</si>
  <si>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</si>
  <si>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</si>
  <si>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</si>
  <si>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</si>
  <si>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</si>
  <si>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</si>
  <si>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</si>
  <si>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</si>
  <si>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</si>
  <si>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</si>
  <si>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</si>
  <si>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</si>
  <si>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</si>
  <si>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</si>
  <si>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</si>
  <si>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</si>
  <si>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</si>
  <si>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</si>
  <si>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</si>
  <si>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</si>
  <si>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</si>
  <si>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</si>
  <si>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</si>
  <si>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</si>
  <si>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</si>
  <si>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</si>
  <si>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</si>
  <si>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</si>
  <si>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</si>
  <si>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</si>
  <si>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</si>
  <si>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</si>
  <si>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</si>
  <si>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</si>
  <si>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</si>
  <si>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</si>
  <si>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</si>
  <si>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</si>
  <si>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</si>
  <si>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</si>
  <si>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</si>
  <si>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</si>
  <si>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</si>
  <si>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</si>
  <si>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</si>
  <si>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</si>
  <si>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</si>
  <si>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</si>
  <si>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</si>
  <si>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</si>
  <si>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</si>
  <si>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</si>
  <si>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</si>
  <si>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</si>
  <si>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</si>
  <si>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</si>
  <si>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</si>
  <si>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</si>
  <si>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</si>
  <si>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</si>
  <si>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</si>
  <si>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</si>
  <si>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</si>
  <si>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</si>
  <si>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</si>
  <si>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</si>
  <si>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</si>
  <si>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</si>
  <si>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</si>
  <si>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</si>
  <si>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</si>
  <si>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</si>
  <si>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</si>
  <si>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</si>
  <si>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</si>
  <si>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</si>
  <si>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</si>
  <si>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</si>
  <si>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</si>
  <si>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</si>
  <si>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</si>
  <si>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</si>
  <si>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</si>
  <si>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</si>
  <si>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</si>
  <si>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</si>
  <si>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</si>
  <si>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</si>
  <si>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</si>
  <si>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</si>
  <si>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</si>
  <si>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</si>
  <si>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</si>
  <si>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</si>
  <si>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</si>
  <si>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</si>
  <si>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</si>
  <si>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</si>
  <si>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</si>
  <si>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</si>
  <si>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</si>
  <si>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</si>
  <si>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</si>
  <si>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</si>
  <si>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</si>
  <si>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</si>
  <si>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</si>
  <si>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</si>
  <si>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</si>
  <si>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</si>
  <si>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</si>
  <si>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</si>
  <si>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</si>
  <si>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</si>
  <si>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</si>
  <si>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</si>
  <si>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</si>
  <si>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</si>
  <si>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</si>
  <si>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</si>
  <si>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</si>
  <si>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</si>
  <si>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</si>
  <si>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</si>
  <si>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</si>
  <si>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</si>
  <si>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</si>
  <si>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</si>
  <si>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</si>
  <si>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</si>
  <si>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</si>
  <si>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</si>
  <si>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</si>
  <si>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</si>
  <si>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</si>
  <si>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</si>
  <si>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</si>
  <si>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</si>
  <si>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</si>
  <si>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</si>
  <si>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</si>
  <si>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</si>
  <si>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</si>
  <si>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</si>
  <si>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</si>
  <si>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</si>
  <si>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</si>
  <si>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</si>
  <si>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</si>
  <si>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</si>
  <si>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</si>
  <si>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</si>
  <si>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</si>
  <si>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</si>
  <si>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</si>
  <si>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</si>
  <si>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</si>
  <si>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</si>
  <si>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</si>
  <si>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</si>
  <si>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</si>
  <si>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</si>
  <si>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</si>
  <si>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</si>
  <si>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</si>
  <si>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</si>
  <si>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</si>
  <si>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</si>
  <si>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</si>
  <si>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</si>
  <si>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</si>
  <si>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</si>
  <si>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</si>
  <si>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</si>
  <si>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</si>
  <si>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</si>
  <si>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</si>
  <si>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</si>
  <si>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</si>
  <si>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</si>
  <si>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</si>
  <si>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</si>
  <si>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</si>
  <si>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</si>
  <si>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</si>
  <si>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</si>
  <si>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</si>
  <si>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</si>
  <si>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</si>
  <si>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</si>
  <si>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</si>
  <si>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</si>
  <si>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</si>
  <si>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</si>
  <si>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</si>
  <si>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</si>
  <si>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</si>
  <si>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</si>
  <si>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</si>
  <si>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</si>
  <si>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</si>
  <si>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</si>
  <si>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</si>
  <si>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</si>
  <si>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</si>
  <si>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</si>
  <si>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</si>
  <si>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</si>
  <si>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</si>
  <si>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</si>
  <si>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</si>
  <si>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</si>
  <si>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</si>
  <si>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</si>
  <si>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</si>
  <si>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</si>
  <si>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</si>
  <si>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</si>
  <si>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</si>
  <si>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</si>
  <si>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</si>
  <si>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</si>
  <si>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</si>
  <si>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</si>
  <si>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</si>
  <si>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</si>
  <si>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</si>
  <si>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</si>
  <si>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</si>
  <si>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</si>
  <si>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</si>
  <si>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</si>
  <si>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</si>
  <si>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</si>
  <si>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</si>
  <si>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</si>
  <si>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</si>
  <si>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</si>
  <si>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</si>
  <si>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</si>
  <si>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</si>
  <si>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</si>
  <si>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</si>
  <si>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</si>
  <si>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</si>
  <si>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</si>
  <si>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</si>
  <si>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</si>
  <si>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</si>
  <si>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</si>
  <si>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</si>
  <si>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</si>
  <si>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</si>
  <si>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</si>
  <si>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</si>
  <si>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</si>
  <si>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</si>
  <si>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</si>
  <si>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</si>
  <si>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</si>
  <si>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</si>
  <si>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</si>
  <si>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</si>
  <si>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</si>
  <si>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</si>
  <si>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</si>
  <si>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</si>
  <si>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</si>
  <si>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</si>
  <si>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</si>
  <si>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</si>
  <si>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</si>
  <si>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</si>
  <si>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</si>
  <si>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</si>
  <si>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</si>
  <si>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</si>
  <si>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</si>
  <si>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</si>
  <si>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</si>
  <si>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</si>
  <si>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</si>
  <si>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</si>
  <si>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</si>
  <si>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</si>
  <si>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</si>
  <si>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</si>
  <si>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</si>
  <si>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</si>
  <si>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</si>
  <si>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</si>
  <si>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</si>
  <si>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</si>
  <si>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</si>
  <si>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</si>
  <si>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</si>
  <si>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</si>
  <si>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</si>
  <si>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</si>
  <si>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</si>
  <si>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</si>
  <si>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</si>
  <si>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</si>
  <si>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</si>
  <si>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</si>
  <si>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</si>
  <si>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</si>
  <si>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</si>
  <si>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</si>
  <si>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</si>
  <si>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</si>
  <si>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</si>
  <si>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</si>
  <si>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</si>
  <si>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</si>
  <si>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</si>
  <si>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</si>
  <si>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</si>
  <si>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</si>
  <si>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</si>
  <si>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</si>
  <si>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</si>
  <si>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</si>
  <si>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</si>
  <si>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</si>
  <si>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</si>
  <si>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</si>
  <si>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</si>
  <si>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</si>
  <si>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</si>
  <si>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</si>
  <si>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</si>
  <si>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</si>
  <si>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</si>
  <si>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</si>
  <si>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</si>
  <si>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</si>
  <si>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</si>
  <si>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</si>
  <si>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</si>
  <si>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</si>
  <si>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</si>
  <si>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</si>
  <si>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</si>
  <si>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</si>
  <si>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</si>
  <si>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</si>
  <si>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</si>
  <si>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</si>
  <si>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</si>
  <si>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</si>
  <si>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</si>
  <si>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</si>
  <si>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</si>
  <si>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</si>
  <si>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</si>
  <si>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</si>
  <si>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</si>
  <si>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</si>
  <si>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</si>
  <si>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</si>
  <si>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</si>
  <si>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</si>
  <si>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</si>
  <si>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</si>
  <si>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</si>
  <si>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</si>
  <si>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</si>
  <si>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</si>
  <si>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</si>
  <si>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</si>
  <si>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</si>
  <si>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</si>
  <si>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</si>
  <si>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</si>
  <si>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</si>
  <si>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</si>
  <si>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</si>
  <si>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</si>
  <si>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</si>
  <si>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</si>
  <si>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</si>
  <si>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</si>
  <si>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</si>
  <si>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</si>
  <si>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</si>
  <si>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</si>
  <si>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</si>
  <si>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</si>
  <si>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</si>
  <si>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</si>
  <si>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</si>
  <si>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</si>
  <si>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</si>
  <si>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</si>
  <si>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</si>
  <si>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</si>
  <si>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</si>
  <si>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</si>
  <si>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</si>
  <si>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</si>
  <si>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</si>
  <si>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</si>
  <si>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</si>
  <si>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</si>
  <si>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</si>
  <si>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</si>
  <si>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</si>
  <si>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</si>
  <si>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</si>
  <si>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</si>
  <si>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</si>
  <si>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</si>
  <si>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</si>
  <si>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</si>
  <si>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</si>
  <si>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</si>
  <si>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</si>
  <si>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</si>
  <si>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</si>
  <si>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</si>
  <si>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</si>
  <si>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</si>
  <si>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</si>
  <si>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</si>
  <si>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</si>
  <si>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</si>
  <si>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</si>
  <si>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</si>
  <si>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</si>
  <si>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</si>
  <si>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</si>
  <si>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</si>
  <si>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</si>
  <si>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</si>
  <si>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</si>
  <si>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</si>
  <si>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</si>
  <si>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</si>
  <si>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</si>
  <si>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</si>
  <si>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</si>
  <si>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</si>
  <si>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</si>
  <si>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</si>
  <si>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</si>
  <si>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</si>
  <si>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</si>
  <si>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</si>
  <si>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</si>
  <si>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</si>
  <si>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</si>
  <si>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</si>
  <si>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</si>
  <si>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</si>
  <si>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</si>
  <si>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</si>
  <si>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</si>
  <si>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</si>
  <si>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</si>
  <si>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</si>
  <si>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</si>
  <si>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</si>
  <si>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</si>
  <si>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</si>
  <si>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</si>
  <si>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</si>
  <si>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</si>
  <si>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</si>
  <si>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</si>
  <si>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</si>
  <si>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</si>
  <si>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</si>
  <si>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</si>
  <si>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</si>
  <si>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</si>
  <si>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</si>
  <si>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</si>
  <si>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</si>
  <si>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</si>
  <si>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</si>
  <si>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</si>
  <si>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</si>
  <si>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</si>
  <si>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</si>
  <si>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</si>
  <si>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</si>
  <si>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</si>
  <si>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</si>
  <si>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</si>
  <si>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</si>
  <si>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</si>
  <si>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</si>
  <si>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</si>
  <si>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</si>
  <si>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</si>
  <si>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</si>
  <si>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</si>
  <si>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</si>
  <si>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</si>
  <si>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</si>
  <si>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</si>
  <si>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</si>
  <si>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</si>
  <si>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</si>
  <si>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</si>
  <si>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</si>
  <si>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</si>
  <si>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</si>
  <si>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</si>
  <si>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</si>
  <si>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</si>
  <si>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</si>
  <si>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</si>
  <si>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</si>
  <si>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</si>
  <si>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</si>
  <si>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</si>
  <si>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</si>
  <si>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</si>
  <si>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</si>
  <si>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</si>
  <si>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</si>
  <si>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</si>
  <si>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</si>
  <si>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</si>
  <si>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</si>
  <si>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</si>
  <si>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</si>
  <si>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</si>
  <si>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</si>
  <si>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</si>
  <si>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</si>
  <si>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</si>
  <si>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</si>
  <si>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</si>
  <si>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</si>
  <si>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</si>
  <si>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</si>
  <si>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</si>
  <si>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</si>
  <si>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</si>
  <si>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</si>
  <si>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</si>
  <si>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</si>
  <si>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</si>
  <si>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</si>
  <si>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</si>
  <si>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</si>
  <si>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</si>
  <si>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</si>
  <si>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</si>
  <si>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</si>
  <si>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</si>
  <si>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</si>
  <si>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</si>
  <si>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</si>
  <si>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</si>
  <si>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</si>
  <si>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</si>
  <si>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</si>
  <si>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</si>
  <si>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</si>
  <si>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</si>
  <si>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</si>
  <si>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</si>
  <si>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</si>
  <si>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</si>
  <si>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</si>
  <si>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</si>
  <si>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</si>
  <si>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</si>
  <si>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</si>
  <si>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</si>
  <si>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</si>
  <si>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</si>
  <si>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</si>
  <si>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</si>
  <si>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</si>
  <si>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</si>
  <si>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</si>
  <si>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</si>
  <si>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</si>
  <si>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</si>
  <si>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</si>
  <si>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</si>
  <si>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</si>
  <si>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</si>
  <si>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</si>
  <si>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</si>
  <si>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</si>
  <si>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</si>
  <si>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</si>
  <si>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</si>
  <si>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</si>
  <si>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</si>
  <si>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</si>
  <si>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</si>
  <si>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</si>
  <si>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</si>
  <si>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</si>
  <si>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</si>
  <si>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</si>
  <si>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</si>
  <si>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</si>
  <si>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</si>
  <si>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</si>
  <si>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</si>
  <si>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</si>
  <si>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</si>
  <si>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</si>
  <si>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</si>
  <si>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</si>
  <si>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</si>
  <si>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</si>
  <si>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</si>
  <si>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</si>
  <si>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</si>
  <si>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</si>
  <si>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</si>
  <si>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</si>
  <si>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</si>
  <si>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</si>
  <si>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</si>
  <si>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</si>
  <si>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</si>
  <si>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</si>
  <si>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</si>
  <si>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</si>
  <si>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</si>
  <si>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</si>
  <si>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</si>
  <si>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</si>
  <si>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</si>
  <si>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</si>
  <si>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</si>
  <si>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</si>
  <si>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</si>
  <si>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</si>
  <si>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</si>
  <si>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</si>
  <si>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</si>
  <si>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</si>
  <si>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</si>
  <si>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</si>
  <si>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</si>
  <si>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</si>
  <si>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</si>
  <si>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</si>
  <si>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</si>
  <si>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</si>
  <si>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</si>
  <si>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</si>
  <si>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</si>
  <si>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</si>
  <si>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</si>
  <si>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</si>
  <si>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</si>
  <si>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</si>
  <si>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</si>
  <si>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</si>
  <si>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</si>
  <si>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</si>
  <si>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</si>
  <si>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</si>
  <si>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</si>
  <si>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</si>
  <si>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</si>
  <si>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</si>
  <si>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</si>
  <si>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</si>
  <si>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</si>
  <si>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</si>
  <si>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</si>
  <si>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</si>
  <si>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</si>
  <si>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</si>
  <si>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</si>
  <si>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</si>
  <si>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</si>
  <si>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</si>
  <si>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</si>
  <si>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</si>
  <si>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</si>
  <si>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</si>
  <si>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</si>
  <si>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</si>
  <si>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</si>
  <si>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</si>
  <si>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</si>
  <si>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</si>
  <si>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</si>
  <si>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</si>
  <si>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</si>
  <si>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</si>
  <si>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</si>
  <si>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</si>
  <si>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</si>
  <si>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</si>
  <si>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</si>
  <si>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</si>
  <si>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</si>
  <si>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</si>
  <si>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</si>
  <si>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</si>
  <si>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</si>
  <si>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</si>
  <si>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</si>
  <si>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</si>
  <si>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</si>
  <si>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</si>
  <si>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</si>
  <si>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</si>
  <si>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</si>
  <si>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</si>
  <si>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</si>
  <si>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</si>
  <si>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</si>
  <si>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</si>
  <si>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</si>
  <si>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</si>
  <si>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</si>
  <si>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</si>
  <si>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</si>
  <si>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</si>
  <si>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</si>
  <si>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</si>
  <si>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</si>
  <si>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</si>
  <si>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</si>
  <si>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</si>
  <si>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</si>
  <si>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</si>
  <si>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</si>
  <si>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</si>
  <si>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</si>
  <si>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</si>
  <si>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</si>
  <si>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</si>
  <si>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</si>
  <si>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</si>
  <si>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</si>
  <si>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</si>
  <si>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</si>
  <si>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</si>
  <si>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</si>
  <si>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</si>
  <si>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</si>
  <si>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</si>
  <si>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</si>
  <si>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</si>
  <si>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</si>
  <si>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</si>
  <si>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</si>
  <si>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</si>
  <si>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</si>
  <si>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</si>
  <si>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</si>
  <si>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</si>
  <si>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</si>
  <si>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</si>
  <si>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</si>
  <si>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</si>
  <si>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</si>
  <si>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</si>
  <si>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</si>
  <si>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</si>
  <si>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</si>
  <si>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</si>
  <si>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</si>
  <si>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</si>
  <si>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</si>
  <si>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</si>
  <si>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</si>
  <si>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</si>
  <si>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</si>
  <si>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</si>
  <si>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</si>
  <si>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</si>
  <si>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</si>
  <si>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</si>
  <si>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</si>
  <si>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</si>
  <si>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</si>
  <si>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</si>
  <si>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</si>
  <si>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</si>
  <si>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</si>
  <si>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</si>
  <si>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</si>
  <si>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</si>
  <si>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</si>
  <si>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</si>
  <si>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</si>
  <si>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</si>
  <si>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</si>
  <si>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</si>
  <si>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</si>
  <si>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</si>
  <si>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</si>
  <si>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</si>
  <si>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</si>
  <si>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</si>
  <si>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</si>
  <si>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</si>
  <si>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</si>
  <si>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</si>
  <si>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</si>
  <si>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</si>
  <si>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</si>
  <si>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</si>
  <si>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</si>
  <si>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</si>
  <si>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</si>
  <si>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</si>
  <si>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</si>
  <si>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</si>
  <si>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</si>
  <si>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</si>
  <si>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</si>
  <si>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</si>
  <si>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</si>
  <si>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</si>
  <si>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</si>
  <si>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</si>
  <si>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</si>
  <si>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</si>
  <si>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</si>
  <si>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</si>
  <si>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</si>
  <si>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</si>
  <si>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</si>
  <si>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</si>
  <si>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</si>
  <si>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</si>
  <si>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</si>
  <si>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</si>
  <si>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</si>
  <si>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</si>
  <si>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</si>
  <si>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</si>
  <si>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</si>
  <si>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</si>
  <si>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</si>
  <si>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</si>
  <si>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</si>
  <si>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</si>
  <si>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</si>
  <si>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</si>
  <si>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</si>
  <si>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</si>
  <si>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</si>
  <si>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</si>
  <si>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</si>
  <si>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</si>
  <si>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</si>
  <si>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</si>
  <si>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</si>
  <si>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</si>
  <si>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</si>
  <si>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</si>
  <si>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</si>
  <si>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</si>
  <si>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</si>
  <si>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</si>
  <si>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</si>
  <si>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</si>
  <si>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</si>
  <si>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</si>
  <si>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</si>
  <si>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</si>
  <si>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</si>
  <si>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</si>
  <si>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</si>
  <si>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</si>
  <si>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</si>
  <si>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</si>
  <si>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</si>
  <si>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</si>
  <si>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</si>
  <si>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</si>
  <si>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</si>
  <si>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</si>
  <si>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</si>
  <si>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</si>
  <si>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</si>
  <si>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</si>
  <si>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</si>
  <si>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</si>
  <si>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</si>
  <si>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</si>
  <si>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</si>
  <si>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</si>
  <si>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</si>
  <si>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</si>
  <si>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</si>
  <si>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</si>
  <si>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</si>
  <si>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</si>
  <si>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</si>
  <si>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</si>
  <si>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</si>
  <si>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</si>
  <si>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</si>
  <si>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</si>
  <si>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</si>
  <si>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</si>
  <si>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</si>
  <si>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</si>
  <si>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</si>
  <si>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</si>
  <si>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</si>
  <si>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</si>
  <si>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</si>
  <si>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</si>
  <si>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</si>
  <si>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</si>
  <si>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</si>
  <si>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</si>
  <si>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</si>
  <si>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</si>
  <si>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</si>
  <si>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</si>
  <si>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</si>
  <si>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</si>
  <si>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</si>
  <si>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</si>
  <si>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</si>
  <si>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</si>
  <si>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</si>
  <si>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</si>
  <si>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</si>
  <si>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</si>
  <si>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</si>
  <si>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</si>
  <si>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</si>
  <si>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</si>
  <si>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</si>
  <si>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</si>
  <si>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</si>
  <si>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</si>
  <si>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</si>
  <si>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</si>
  <si>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</si>
  <si>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</si>
  <si>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</si>
  <si>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</si>
  <si>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</si>
  <si>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</si>
  <si>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</si>
  <si>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</si>
  <si>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</si>
  <si>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</si>
  <si>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</si>
  <si>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</si>
  <si>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</si>
  <si>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</si>
  <si>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</si>
  <si>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</si>
  <si>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</si>
  <si>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</si>
  <si>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</si>
  <si>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</si>
  <si>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</si>
  <si>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</si>
  <si>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</si>
  <si>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</si>
  <si>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</si>
  <si>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</si>
  <si>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</si>
  <si>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</si>
  <si>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</si>
  <si>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</si>
  <si>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</si>
  <si>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</si>
  <si>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</si>
  <si>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</si>
  <si>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</si>
  <si>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</si>
  <si>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</si>
  <si>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</si>
  <si>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</si>
  <si>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</si>
  <si>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</si>
  <si>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</si>
  <si>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</si>
  <si>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</si>
  <si>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</si>
  <si>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</si>
  <si>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</si>
  <si>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</si>
  <si>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</si>
  <si>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</si>
  <si>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</si>
  <si>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</si>
  <si>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</si>
  <si>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</si>
  <si>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</si>
  <si>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</si>
  <si>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</si>
  <si>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</si>
  <si>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</si>
  <si>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</si>
  <si>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</si>
  <si>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</si>
  <si>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</si>
  <si>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</si>
  <si>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</si>
  <si>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</si>
  <si>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</si>
  <si>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</si>
  <si>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</si>
  <si>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</si>
  <si>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</si>
  <si>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</si>
  <si>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</si>
  <si>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</si>
  <si>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</si>
  <si>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</si>
  <si>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</si>
  <si>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</si>
  <si>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</si>
  <si>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</si>
  <si>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</si>
  <si>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</si>
  <si>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</si>
  <si>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</si>
  <si>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</si>
  <si>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</si>
  <si>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</si>
  <si>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</si>
  <si>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</si>
  <si>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</si>
  <si>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</si>
  <si>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</si>
  <si>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</si>
  <si>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</si>
  <si>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</si>
  <si>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</si>
  <si>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</si>
  <si>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</si>
  <si>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</si>
  <si>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</si>
  <si>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</si>
  <si>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</si>
  <si>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</si>
  <si>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</si>
  <si>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</si>
  <si>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</si>
  <si>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</si>
  <si>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</si>
  <si>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</si>
  <si>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</si>
  <si>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</si>
  <si>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</si>
  <si>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</si>
  <si>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</si>
  <si>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</si>
  <si>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</si>
  <si>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</si>
  <si>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</si>
  <si>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</si>
  <si>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</si>
  <si>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</si>
  <si>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</si>
  <si>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</si>
  <si>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</si>
  <si>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</si>
  <si>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</si>
  <si>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</si>
  <si>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</si>
  <si>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</si>
  <si>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</si>
  <si>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</si>
  <si>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</si>
  <si>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</si>
  <si>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</si>
  <si>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</si>
  <si>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</si>
  <si>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</si>
  <si>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</si>
  <si>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</si>
  <si>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</si>
  <si>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</si>
  <si>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</si>
  <si>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</si>
  <si>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</si>
  <si>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</si>
  <si>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</si>
  <si>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</si>
  <si>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</si>
  <si>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</si>
  <si>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</si>
  <si>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</si>
  <si>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</si>
  <si>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</si>
  <si>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</si>
  <si>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</si>
  <si>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</si>
  <si>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</si>
  <si>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</si>
  <si>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</si>
  <si>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</si>
  <si>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</si>
  <si>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</si>
  <si>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</si>
  <si>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</si>
  <si>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</si>
  <si>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</si>
  <si>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</si>
  <si>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</si>
  <si>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</si>
  <si>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</si>
  <si>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</si>
  <si>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</si>
  <si>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</si>
  <si>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</si>
  <si>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</si>
  <si>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</si>
  <si>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</si>
  <si>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</si>
  <si>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</si>
  <si>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</si>
  <si>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</si>
  <si>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</si>
  <si>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</si>
  <si>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</si>
  <si>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</si>
  <si>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</si>
  <si>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</si>
  <si>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</si>
  <si>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</si>
  <si>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</si>
  <si>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</si>
  <si>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</si>
  <si>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</si>
  <si>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</si>
  <si>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</si>
  <si>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</si>
  <si>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</si>
  <si>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</si>
  <si>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</si>
  <si>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</si>
  <si>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</si>
  <si>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</si>
  <si>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</si>
  <si>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</si>
  <si>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</si>
  <si>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</si>
  <si>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</si>
  <si>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</si>
  <si>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</si>
  <si>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</si>
  <si>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</si>
  <si>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</si>
  <si>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</si>
  <si>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</si>
  <si>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</si>
  <si>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</si>
  <si>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</si>
  <si>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</si>
  <si>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</si>
  <si>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</si>
  <si>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</si>
  <si>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</si>
  <si>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</si>
  <si>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</si>
  <si>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</si>
  <si>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</si>
  <si>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</si>
  <si>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</si>
  <si>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</si>
  <si>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</si>
  <si>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</si>
  <si>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</si>
  <si>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</si>
  <si>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</si>
  <si>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</si>
  <si>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</si>
  <si>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</si>
  <si>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</si>
  <si>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</si>
  <si>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</si>
  <si>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</si>
  <si>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</si>
  <si>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</si>
  <si>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</si>
  <si>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</si>
  <si>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</si>
  <si>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</si>
  <si>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</si>
  <si>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</si>
  <si>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</si>
  <si>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</si>
  <si>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</si>
  <si>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</si>
  <si>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</si>
  <si>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</si>
  <si>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</si>
  <si>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</si>
  <si>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</si>
  <si>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</si>
  <si>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</si>
  <si>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</si>
  <si>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</si>
  <si>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</si>
  <si>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</si>
  <si>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</si>
  <si>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</si>
  <si>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</si>
  <si>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</si>
  <si>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</si>
  <si>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</si>
  <si>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</si>
  <si>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</si>
  <si>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</si>
  <si>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</si>
  <si>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</si>
  <si>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</si>
  <si>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</si>
  <si>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</si>
  <si>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</si>
  <si>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</si>
  <si>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</si>
  <si>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</si>
  <si>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</si>
  <si>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</si>
  <si>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</si>
  <si>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</si>
  <si>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</si>
  <si>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</si>
  <si>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</si>
  <si>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</si>
  <si>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</si>
  <si>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</si>
  <si>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</si>
  <si>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</si>
  <si>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</si>
  <si>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</si>
  <si>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</si>
  <si>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</si>
  <si>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</si>
  <si>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</si>
  <si>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</si>
  <si>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</si>
  <si>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</si>
  <si>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</si>
  <si>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</si>
  <si>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</si>
  <si>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</si>
  <si>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</si>
  <si>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</si>
  <si>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</si>
  <si>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</si>
  <si>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</si>
  <si>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</si>
  <si>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</si>
  <si>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</si>
  <si>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</si>
  <si>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</si>
  <si>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</si>
  <si>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</si>
  <si>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</si>
  <si>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</si>
  <si>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</si>
  <si>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</si>
  <si>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</si>
  <si>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</si>
  <si>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</si>
  <si>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</si>
  <si>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</si>
  <si>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</si>
  <si>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</si>
  <si>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</si>
  <si>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</si>
  <si>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</si>
  <si>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</si>
  <si>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</si>
  <si>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</si>
  <si>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</si>
  <si>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</si>
  <si>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</si>
  <si>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</si>
  <si>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</si>
  <si>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</si>
  <si>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</si>
  <si>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</si>
  <si>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</si>
  <si>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</si>
  <si>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</si>
  <si>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</si>
  <si>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</si>
  <si>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</si>
  <si>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</si>
  <si>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</si>
  <si>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</si>
  <si>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</si>
  <si>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</si>
  <si>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</si>
  <si>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</si>
  <si>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</si>
  <si>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</si>
  <si>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</si>
  <si>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</si>
  <si>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</si>
  <si>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</si>
  <si>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</si>
  <si>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</si>
  <si>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</si>
  <si>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</si>
  <si>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</si>
  <si>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</si>
  <si>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</si>
  <si>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</si>
  <si>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</si>
  <si>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</si>
  <si>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</si>
  <si>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</si>
  <si>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</si>
  <si>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</si>
  <si>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</si>
  <si>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</si>
  <si>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</si>
  <si>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</si>
  <si>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</si>
  <si>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</si>
  <si>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</si>
  <si>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</si>
  <si>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</si>
  <si>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</si>
  <si>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</si>
  <si>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</si>
  <si>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</si>
  <si>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</si>
  <si>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</si>
  <si>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</si>
  <si>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</si>
  <si>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</si>
  <si>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</si>
  <si>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</si>
  <si>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</si>
  <si>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</si>
  <si>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</si>
  <si>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</si>
  <si>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</si>
  <si>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</si>
  <si>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</si>
  <si>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</si>
  <si>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</si>
  <si>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</si>
  <si>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</si>
  <si>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</si>
  <si>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</si>
  <si>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</si>
  <si>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</si>
  <si>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</si>
  <si>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</si>
  <si>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</si>
  <si>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</si>
  <si>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</si>
  <si>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</si>
  <si>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</si>
  <si>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</si>
  <si>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</si>
  <si>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</si>
  <si>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</si>
  <si>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</si>
  <si>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</si>
  <si>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</si>
  <si>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</si>
  <si>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</si>
  <si>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</si>
  <si>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</si>
  <si>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</si>
  <si>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</si>
  <si>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</si>
  <si>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</si>
  <si>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</si>
  <si>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</si>
  <si>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</si>
  <si>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</si>
  <si>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</si>
  <si>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</si>
  <si>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</si>
  <si>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</si>
  <si>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</si>
  <si>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</si>
  <si>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</si>
  <si>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</si>
  <si>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</si>
  <si>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</si>
  <si>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</si>
  <si>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</si>
  <si>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</si>
  <si>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</si>
  <si>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</si>
  <si>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</si>
  <si>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</si>
  <si>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</si>
  <si>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</si>
  <si>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</si>
  <si>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</si>
  <si>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</si>
  <si>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</si>
  <si>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</si>
  <si>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</si>
  <si>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</si>
  <si>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</si>
  <si>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</si>
  <si>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</si>
  <si>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</si>
  <si>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</si>
  <si>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</si>
  <si>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</si>
  <si>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</si>
  <si>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</si>
  <si>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</si>
  <si>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</si>
  <si>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</si>
  <si>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</si>
  <si>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</si>
  <si>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</si>
  <si>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</si>
  <si>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</si>
  <si>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</si>
  <si>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</si>
  <si>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</si>
  <si>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</si>
  <si>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</si>
  <si>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</si>
  <si>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</si>
  <si>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</si>
  <si>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</si>
  <si>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</si>
  <si>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</si>
  <si>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</si>
  <si>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</si>
  <si>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</si>
  <si>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</si>
  <si>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</si>
  <si>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</si>
  <si>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</si>
  <si>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</si>
  <si>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</si>
  <si>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</si>
  <si>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</si>
  <si>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</si>
  <si>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</si>
  <si>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</si>
  <si>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</si>
  <si>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</si>
  <si>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</si>
  <si>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</si>
  <si>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</si>
  <si>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</si>
  <si>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</si>
  <si>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</si>
  <si>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</si>
  <si>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</si>
  <si>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</si>
  <si>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</si>
  <si>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</si>
  <si>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</si>
  <si>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</si>
  <si>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</si>
  <si>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</si>
  <si>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</si>
  <si>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</si>
  <si>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</si>
  <si>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</si>
  <si>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</si>
  <si>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</si>
  <si>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</si>
  <si>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</si>
  <si>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</si>
  <si>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</si>
  <si>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</si>
  <si>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</si>
  <si>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</si>
  <si>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</si>
  <si>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</si>
  <si>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</si>
  <si>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</si>
  <si>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</si>
  <si>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</si>
  <si>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</si>
  <si>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</si>
  <si>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</si>
  <si>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</si>
  <si>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</si>
  <si>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</si>
  <si>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</si>
  <si>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</si>
  <si>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</si>
  <si>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</si>
  <si>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</si>
  <si>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</si>
  <si>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</si>
  <si>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</si>
  <si>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</si>
  <si>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</si>
  <si>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</si>
  <si>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</si>
  <si>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</si>
  <si>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</si>
  <si>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</si>
  <si>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</si>
  <si>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</si>
  <si>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</si>
  <si>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</si>
  <si>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</si>
  <si>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</si>
  <si>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</si>
  <si>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</si>
  <si>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</si>
  <si>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</si>
  <si>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</si>
  <si>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</si>
  <si>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</si>
  <si>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</si>
  <si>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</si>
  <si>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</si>
  <si>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</si>
  <si>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</si>
  <si>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</si>
  <si>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</si>
  <si>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</si>
  <si>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</si>
  <si>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</si>
  <si>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</si>
  <si>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</si>
  <si>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</si>
  <si>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</si>
  <si>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</si>
  <si>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</si>
  <si>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</si>
  <si>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</si>
  <si>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</si>
  <si>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</si>
  <si>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</si>
  <si>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</si>
  <si>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</si>
  <si>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</si>
  <si>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</si>
  <si>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</si>
  <si>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</si>
  <si>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</si>
  <si>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</si>
  <si>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</si>
  <si>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</si>
  <si>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</si>
  <si>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</si>
  <si>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</si>
  <si>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</si>
  <si>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</si>
  <si>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</si>
  <si>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</si>
  <si>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</si>
  <si>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</si>
  <si>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</si>
  <si>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</si>
  <si>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</si>
  <si>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</si>
  <si>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</si>
  <si>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</si>
  <si>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</si>
  <si>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</si>
  <si>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</si>
  <si>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</si>
  <si>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</si>
  <si>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</si>
  <si>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</si>
  <si>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</si>
  <si>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</si>
  <si>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</si>
  <si>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</si>
  <si>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</si>
  <si>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</si>
  <si>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</si>
  <si>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</si>
  <si>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</si>
  <si>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</si>
  <si>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</si>
  <si>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</si>
  <si>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</si>
  <si>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</si>
  <si>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</si>
  <si>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</si>
  <si>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</si>
  <si>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</si>
  <si>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</si>
  <si>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</si>
  <si>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</si>
  <si>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</si>
  <si>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</si>
  <si>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</si>
  <si>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</si>
  <si>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</si>
  <si>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</si>
  <si>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</si>
  <si>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</si>
  <si>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</si>
  <si>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</si>
  <si>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</si>
  <si>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</si>
  <si>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</si>
  <si>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</si>
  <si>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</si>
  <si>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</si>
  <si>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</si>
  <si>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</si>
  <si>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</si>
  <si>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</si>
  <si>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</si>
  <si>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</si>
  <si>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</si>
  <si>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</si>
  <si>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</si>
  <si>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</si>
  <si>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</si>
  <si>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</si>
  <si>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</si>
  <si>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</si>
  <si>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</si>
  <si>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</si>
  <si>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</si>
  <si>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</si>
  <si>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</si>
  <si>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</si>
  <si>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</si>
  <si>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</si>
  <si>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</si>
  <si>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</si>
  <si>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</si>
  <si>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</si>
  <si>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</si>
  <si>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</si>
  <si>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</si>
  <si>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</si>
  <si>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</si>
  <si>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</si>
  <si>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</si>
  <si>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</si>
  <si>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</si>
  <si>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</si>
  <si>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</si>
  <si>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</si>
  <si>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</si>
  <si>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</si>
  <si>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</si>
  <si>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</si>
  <si>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</si>
  <si>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</si>
  <si>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</si>
  <si>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</si>
  <si>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</si>
  <si>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</si>
  <si>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</si>
  <si>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</si>
  <si>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</si>
  <si>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</si>
  <si>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</si>
  <si>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</si>
  <si>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</si>
  <si>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</si>
  <si>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</si>
  <si>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</si>
  <si>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</si>
  <si>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</si>
  <si>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</si>
  <si>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</si>
  <si>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</si>
  <si>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</si>
  <si>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</si>
  <si>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</si>
  <si>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</si>
  <si>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</si>
  <si>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</si>
  <si>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</si>
  <si>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</si>
  <si>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</si>
  <si>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</si>
  <si>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</si>
  <si>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</si>
  <si>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</si>
  <si>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</si>
  <si>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</si>
  <si>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</si>
  <si>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</si>
  <si>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</si>
  <si>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</si>
  <si>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</si>
  <si>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</si>
  <si>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</si>
  <si>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</si>
  <si>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</si>
  <si>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</si>
  <si>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</si>
  <si>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</si>
  <si>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</si>
  <si>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</si>
  <si>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</si>
  <si>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</si>
  <si>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</si>
  <si>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</si>
  <si>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</si>
  <si>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</si>
  <si>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</si>
  <si>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</si>
  <si>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</si>
  <si>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</si>
  <si>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</si>
  <si>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</si>
  <si>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</si>
  <si>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</si>
  <si>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</si>
  <si>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</si>
  <si>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</si>
  <si>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</si>
  <si>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</si>
  <si>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</si>
  <si>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</si>
  <si>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</si>
  <si>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</si>
  <si>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</si>
  <si>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</si>
  <si>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</si>
  <si>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</si>
  <si>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</si>
  <si>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</si>
  <si>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</si>
  <si>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</si>
  <si>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</si>
  <si>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</si>
  <si>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</si>
  <si>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</si>
  <si>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</si>
  <si>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</si>
  <si>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</si>
  <si>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</si>
  <si>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</si>
  <si>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</si>
  <si>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</si>
  <si>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</si>
  <si>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</si>
  <si>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</si>
  <si>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</si>
  <si>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</si>
  <si>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</si>
  <si>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</si>
  <si>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</si>
  <si>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</si>
  <si>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</si>
  <si>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</si>
  <si>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</si>
  <si>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</si>
  <si>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</si>
  <si>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</si>
  <si>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</si>
  <si>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</si>
  <si>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</si>
  <si>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</si>
  <si>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</si>
  <si>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</si>
  <si>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</si>
  <si>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</si>
  <si>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</si>
  <si>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</si>
  <si>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</si>
  <si>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</si>
  <si>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</si>
  <si>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</si>
  <si>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</si>
  <si>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</si>
  <si>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</si>
  <si>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</si>
  <si>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</si>
  <si>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</si>
  <si>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</si>
  <si>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</si>
  <si>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</si>
  <si>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</si>
  <si>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</si>
  <si>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</si>
  <si>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</si>
  <si>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</si>
  <si>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</si>
  <si>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</si>
  <si>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</si>
  <si>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</si>
  <si>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</si>
  <si>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</si>
  <si>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</si>
  <si>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</si>
  <si>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</si>
  <si>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</si>
  <si>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</si>
  <si>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</si>
  <si>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</si>
  <si>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</si>
  <si>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</si>
  <si>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</si>
  <si>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</si>
  <si>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</si>
  <si>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</si>
  <si>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</si>
  <si>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</si>
  <si>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</si>
  <si>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</si>
  <si>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</si>
  <si>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</si>
  <si>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</si>
  <si>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</si>
  <si>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</si>
  <si>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</si>
  <si>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</si>
  <si>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</si>
  <si>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</si>
  <si>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</si>
  <si>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</si>
  <si>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</si>
  <si>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</si>
  <si>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</si>
  <si>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</si>
  <si>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</si>
  <si>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</si>
  <si>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</si>
  <si>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</si>
  <si>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</si>
  <si>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</si>
  <si>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</si>
  <si>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</si>
  <si>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</si>
  <si>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</si>
  <si>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</si>
  <si>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</si>
  <si>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</si>
  <si>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</si>
  <si>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</si>
  <si>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</si>
  <si>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</si>
  <si>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</si>
  <si>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</si>
  <si>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</si>
  <si>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</si>
  <si>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</si>
  <si>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</si>
  <si>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</si>
  <si>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</si>
  <si>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</si>
  <si>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</si>
  <si>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</si>
  <si>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</si>
  <si>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</si>
  <si>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</si>
  <si>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</si>
  <si>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</si>
  <si>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</si>
  <si>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</si>
  <si>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</si>
  <si>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</si>
  <si>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</si>
  <si>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</si>
  <si>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</si>
  <si>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</si>
  <si>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</si>
  <si>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</si>
  <si>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</si>
  <si>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</si>
  <si>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</si>
  <si>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</si>
  <si>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</si>
  <si>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</si>
  <si>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</si>
  <si>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</si>
  <si>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</si>
  <si>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</si>
  <si>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</si>
  <si>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</si>
  <si>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</si>
  <si>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</si>
  <si>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</si>
  <si>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</si>
  <si>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</si>
  <si>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</si>
  <si>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</si>
  <si>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</si>
  <si>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</si>
  <si>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</si>
  <si>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</si>
  <si>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</si>
  <si>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</si>
  <si>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</si>
  <si>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</si>
  <si>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</si>
  <si>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</si>
  <si>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</si>
  <si>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</si>
  <si>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</si>
  <si>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</si>
  <si>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</si>
  <si>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</si>
  <si>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</si>
  <si>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</si>
  <si>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</si>
  <si>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</si>
  <si>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</si>
  <si>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</si>
  <si>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</si>
  <si>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</si>
  <si>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</si>
  <si>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</si>
  <si>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</si>
  <si>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</si>
  <si>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</si>
  <si>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</si>
  <si>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</si>
  <si>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</si>
  <si>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</si>
  <si>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</si>
  <si>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</si>
  <si>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</si>
  <si>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</si>
  <si>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</si>
  <si>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</si>
  <si>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</si>
  <si>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</si>
  <si>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</si>
  <si>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</si>
  <si>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</si>
  <si>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</si>
  <si>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</si>
  <si>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</si>
  <si>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</si>
  <si>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</si>
  <si>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</si>
  <si>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</si>
  <si>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</si>
  <si>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</si>
  <si>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</si>
  <si>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</si>
  <si>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</si>
  <si>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</si>
  <si>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</si>
  <si>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</si>
  <si>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</si>
  <si>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</si>
  <si>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</si>
  <si>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</si>
  <si>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</si>
  <si>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</si>
  <si>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</si>
  <si>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</si>
  <si>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</si>
  <si>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</si>
  <si>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</si>
  <si>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</si>
  <si>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</si>
  <si>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</si>
  <si>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</si>
  <si>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</si>
  <si>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</si>
  <si>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</si>
  <si>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</si>
  <si>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</si>
  <si>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</si>
  <si>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</si>
  <si>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</si>
  <si>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</si>
  <si>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</si>
  <si>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</si>
  <si>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</si>
  <si>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</si>
  <si>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</si>
  <si>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</si>
  <si>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</si>
  <si>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</si>
  <si>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</si>
  <si>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</si>
  <si>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</si>
  <si>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</si>
  <si>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</si>
  <si>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</si>
  <si>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</si>
  <si>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</si>
  <si>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</si>
  <si>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</si>
  <si>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</si>
  <si>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</si>
  <si>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</si>
  <si>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</si>
  <si>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</si>
  <si>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</si>
  <si>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</si>
  <si>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</si>
  <si>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</si>
  <si>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</si>
  <si>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</si>
  <si>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</si>
  <si>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</si>
  <si>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</si>
  <si>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</si>
  <si>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</si>
  <si>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</si>
  <si>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</si>
  <si>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</si>
  <si>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</si>
  <si>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</si>
  <si>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</si>
  <si>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</si>
  <si>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</si>
  <si>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</si>
  <si>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</si>
  <si>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</si>
  <si>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</si>
  <si>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</si>
  <si>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</si>
  <si>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</si>
  <si>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</si>
  <si>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</si>
  <si>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</si>
  <si>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</si>
  <si>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</si>
  <si>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</si>
  <si>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</si>
  <si>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</si>
  <si>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</si>
  <si>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</si>
  <si>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</si>
  <si>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</si>
  <si>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</si>
  <si>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</si>
  <si>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</si>
  <si>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</si>
  <si>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</si>
  <si>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</si>
  <si>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</si>
  <si>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</si>
  <si>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</si>
  <si>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</si>
  <si>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</si>
  <si>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</si>
  <si>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</si>
  <si>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</si>
  <si>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</si>
  <si>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</si>
  <si>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</si>
  <si>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</si>
  <si>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</si>
  <si>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</si>
  <si>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</si>
  <si>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</si>
  <si>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</si>
  <si>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</si>
  <si>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</si>
  <si>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</si>
  <si>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</si>
  <si>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</si>
  <si>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</si>
  <si>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</si>
  <si>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</si>
  <si>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</si>
  <si>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</si>
  <si>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</si>
  <si>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</si>
  <si>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</si>
  <si>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</si>
  <si>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</si>
  <si>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</si>
  <si>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</si>
  <si>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</si>
  <si>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</si>
  <si>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</si>
  <si>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</si>
  <si>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</si>
  <si>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</si>
  <si>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</si>
  <si>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</si>
  <si>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</si>
  <si>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</si>
  <si>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</si>
  <si>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</si>
  <si>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</si>
  <si>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</si>
  <si>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</si>
  <si>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</si>
  <si>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</si>
  <si>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</si>
  <si>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</si>
  <si>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</si>
  <si>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</si>
  <si>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</si>
  <si>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</si>
  <si>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</si>
  <si>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</si>
  <si>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</si>
  <si>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</si>
  <si>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</si>
  <si>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</si>
  <si>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</si>
  <si>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</si>
  <si>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</si>
  <si>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</si>
  <si>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</si>
  <si>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</si>
  <si>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</si>
  <si>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</si>
  <si>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</si>
  <si>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</si>
  <si>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</si>
  <si>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</si>
  <si>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</si>
  <si>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</si>
  <si>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</si>
  <si>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</si>
  <si>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</si>
  <si>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</si>
  <si>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</si>
  <si>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</si>
  <si>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</si>
  <si>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</si>
  <si>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</si>
  <si>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</si>
  <si>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</si>
  <si>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</si>
  <si>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</si>
  <si>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</si>
  <si>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</si>
  <si>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</si>
  <si>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</si>
  <si>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</si>
  <si>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</si>
  <si>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</si>
  <si>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</si>
  <si>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</si>
  <si>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</si>
  <si>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</si>
  <si>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</si>
  <si>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</si>
  <si>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</si>
  <si>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</si>
  <si>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</si>
  <si>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</si>
  <si>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</si>
  <si>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</si>
  <si>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</si>
  <si>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</si>
  <si>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</si>
  <si>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</si>
  <si>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</si>
  <si>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</si>
  <si>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</si>
  <si>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</si>
  <si>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</si>
  <si>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</si>
  <si>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</si>
  <si>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</si>
  <si>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</si>
  <si>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</si>
  <si>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</si>
  <si>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</si>
  <si>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</si>
  <si>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</si>
  <si>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</si>
  <si>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</si>
  <si>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</si>
  <si>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</si>
  <si>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</si>
  <si>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</si>
  <si>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</si>
  <si>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</si>
  <si>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</si>
  <si>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</si>
  <si>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</si>
  <si>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</si>
  <si>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</si>
  <si>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</si>
  <si>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</si>
  <si>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</si>
  <si>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</si>
  <si>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</si>
  <si>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</si>
  <si>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</si>
  <si>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</si>
  <si>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</si>
  <si>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</si>
  <si>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</si>
  <si>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</si>
  <si>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</si>
  <si>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</si>
  <si>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</si>
  <si>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</si>
  <si>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</si>
  <si>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</si>
  <si>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</si>
  <si>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</si>
  <si>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</si>
  <si>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</si>
  <si>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</si>
  <si>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</si>
  <si>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</si>
  <si>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</si>
  <si>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</si>
  <si>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</si>
  <si>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</si>
  <si>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</si>
  <si>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</si>
  <si>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</si>
  <si>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</si>
  <si>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</si>
  <si>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</si>
  <si>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</si>
  <si>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</si>
  <si>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</si>
  <si>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</si>
  <si>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</si>
  <si>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</si>
  <si>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</si>
  <si>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</si>
  <si>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</si>
  <si>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</si>
  <si>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</si>
  <si>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</si>
  <si>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</si>
  <si>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</si>
  <si>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</si>
  <si>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</si>
  <si>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</si>
  <si>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</si>
  <si>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</si>
  <si>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</si>
  <si>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</si>
  <si>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</si>
  <si>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</si>
  <si>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</si>
  <si>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</si>
  <si>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</si>
  <si>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</si>
  <si>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</si>
  <si>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</si>
  <si>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</si>
  <si>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</si>
  <si>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</si>
  <si>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</si>
  <si>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</si>
  <si>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</si>
  <si>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</si>
  <si>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</si>
  <si>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</si>
  <si>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</si>
  <si>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</si>
  <si>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</si>
  <si>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</si>
  <si>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</si>
  <si>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</si>
  <si>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</si>
  <si>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</si>
  <si>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</si>
  <si>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</si>
  <si>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</si>
  <si>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</si>
  <si>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</si>
  <si>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</si>
  <si>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</si>
  <si>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</si>
  <si>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</si>
  <si>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</si>
  <si>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</si>
  <si>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</si>
  <si>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</si>
  <si>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</si>
  <si>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</si>
  <si>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</si>
  <si>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</si>
  <si>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</si>
  <si>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</si>
  <si>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</si>
  <si>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</si>
  <si>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</si>
  <si>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</si>
  <si>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</si>
  <si>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</si>
  <si>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</si>
  <si>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</si>
  <si>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</si>
  <si>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</si>
  <si>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</si>
  <si>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</si>
  <si>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</si>
  <si>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</si>
  <si>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</si>
  <si>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</si>
  <si>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</si>
  <si>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</si>
  <si>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</si>
  <si>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</si>
  <si>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</si>
  <si>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</si>
  <si>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</si>
  <si>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</si>
  <si>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</si>
  <si>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</si>
  <si>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</si>
  <si>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</si>
  <si>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</si>
  <si>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</si>
  <si>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</si>
  <si>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</si>
  <si>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</si>
  <si>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</si>
  <si>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</si>
  <si>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</si>
  <si>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</si>
  <si>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</si>
  <si>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</si>
  <si>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</si>
  <si>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</si>
  <si>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</si>
  <si>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</si>
  <si>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</si>
  <si>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</si>
  <si>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</si>
  <si>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</si>
  <si>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</si>
  <si>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</si>
  <si>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</si>
  <si>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</si>
  <si>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</si>
  <si>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</si>
  <si>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</si>
  <si>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</si>
  <si>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</si>
  <si>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</si>
  <si>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</si>
  <si>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</si>
  <si>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</si>
  <si>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</si>
  <si>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</si>
  <si>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</si>
  <si>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</si>
  <si>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</si>
  <si>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</si>
  <si>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</si>
  <si>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</si>
  <si>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</si>
  <si>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</si>
  <si>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</si>
  <si>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</si>
  <si>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</si>
  <si>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</si>
  <si>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</si>
  <si>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</si>
  <si>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</si>
  <si>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</si>
  <si>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</si>
  <si>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</si>
  <si>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</si>
  <si>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</si>
  <si>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</si>
  <si>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</si>
  <si>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</si>
  <si>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</si>
  <si>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</si>
  <si>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</si>
  <si>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</si>
  <si>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</si>
  <si>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</si>
  <si>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</si>
  <si>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</si>
  <si>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</si>
  <si>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</si>
  <si>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</si>
  <si>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</si>
  <si>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</si>
  <si>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</si>
  <si>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</si>
  <si>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</si>
  <si>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</si>
  <si>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</si>
  <si>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</si>
  <si>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</si>
  <si>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</si>
  <si>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</si>
  <si>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</si>
  <si>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</si>
  <si>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</si>
  <si>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</si>
  <si>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</si>
  <si>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</si>
  <si>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</si>
  <si>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</si>
  <si>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</si>
  <si>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</si>
  <si>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</si>
  <si>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</si>
  <si>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</si>
  <si>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</si>
  <si>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</si>
  <si>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</si>
  <si>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</si>
  <si>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</si>
  <si>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</si>
  <si>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</si>
  <si>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</si>
  <si>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</si>
  <si>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</si>
  <si>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</si>
  <si>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</si>
  <si>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</si>
  <si>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</si>
  <si>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</si>
  <si>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</si>
  <si>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</si>
  <si>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</si>
  <si>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</si>
  <si>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</si>
  <si>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</si>
  <si>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</si>
  <si>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</si>
  <si>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</si>
  <si>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</si>
  <si>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</si>
  <si>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</si>
  <si>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</si>
  <si>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</si>
  <si>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</si>
  <si>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</si>
  <si>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</si>
  <si>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</si>
  <si>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</si>
  <si>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</si>
  <si>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</si>
  <si>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</si>
  <si>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</si>
  <si>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</si>
  <si>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</si>
  <si>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</si>
  <si>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</si>
  <si>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</si>
  <si>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</si>
  <si>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</si>
  <si>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</si>
  <si>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</si>
  <si>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</si>
  <si>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</si>
  <si>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</si>
  <si>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</si>
  <si>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</si>
  <si>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</si>
  <si>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</si>
  <si>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</si>
  <si>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</si>
  <si>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</si>
  <si>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</si>
  <si>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</si>
  <si>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</si>
  <si>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</si>
  <si>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</si>
  <si>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</si>
  <si>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</si>
  <si>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</si>
  <si>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</si>
  <si>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</si>
  <si>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</si>
  <si>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</si>
  <si>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</si>
  <si>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</si>
  <si>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</si>
  <si>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</si>
  <si>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</si>
  <si>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</si>
  <si>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</si>
  <si>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</si>
  <si>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</si>
  <si>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</si>
  <si>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</si>
  <si>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</si>
  <si>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</si>
  <si>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</si>
  <si>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</si>
  <si>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</si>
  <si>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</si>
  <si>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</si>
  <si>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</si>
  <si>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</si>
  <si>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</si>
  <si>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</si>
  <si>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</si>
  <si>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</si>
  <si>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</si>
  <si>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</si>
  <si>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</si>
  <si>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</si>
  <si>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</si>
  <si>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</si>
  <si>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</si>
  <si>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</si>
  <si>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</si>
  <si>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</si>
  <si>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</si>
  <si>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</si>
  <si>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</si>
  <si>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</si>
  <si>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</si>
  <si>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</si>
  <si>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</si>
  <si>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</si>
  <si>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</si>
  <si>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</si>
  <si>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</si>
  <si>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</si>
  <si>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</si>
  <si>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</si>
  <si>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</si>
  <si>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</si>
  <si>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</si>
  <si>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</si>
  <si>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</si>
  <si>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</si>
  <si>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</si>
  <si>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</si>
  <si>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</si>
  <si>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</si>
  <si>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</si>
  <si>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</si>
  <si>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</si>
  <si>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</si>
  <si>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</si>
  <si>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</si>
  <si>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</si>
  <si>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</si>
  <si>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</si>
  <si>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</si>
  <si>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</si>
  <si>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</si>
  <si>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</si>
  <si>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</si>
  <si>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</si>
  <si>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</si>
  <si>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</si>
  <si>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</si>
  <si>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</si>
  <si>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</si>
  <si>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</si>
  <si>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</si>
  <si>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</si>
  <si>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</si>
  <si>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</si>
  <si>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</si>
  <si>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</si>
  <si>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</si>
  <si>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</si>
  <si>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</si>
  <si>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</si>
  <si>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</si>
  <si>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</si>
  <si>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</si>
  <si>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</si>
  <si>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</si>
  <si>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</si>
  <si>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</si>
  <si>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</si>
  <si>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</si>
  <si>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</si>
  <si>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</si>
  <si>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</si>
  <si>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</si>
  <si>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</si>
  <si>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</si>
  <si>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</si>
  <si>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</si>
  <si>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</si>
  <si>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</si>
  <si>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</si>
  <si>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</si>
  <si>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</si>
  <si>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</si>
  <si>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</si>
  <si>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</si>
  <si>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</si>
  <si>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</si>
  <si>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</si>
  <si>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</si>
  <si>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</si>
  <si>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</si>
  <si>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</si>
  <si>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</si>
  <si>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</si>
  <si>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</si>
  <si>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</si>
  <si>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</si>
  <si>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</si>
  <si>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</si>
  <si>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</si>
  <si>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</si>
  <si>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</si>
  <si>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</si>
  <si>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</si>
  <si>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</si>
  <si>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</si>
  <si>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</si>
  <si>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</si>
  <si>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</si>
  <si>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</si>
  <si>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</si>
  <si>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</si>
  <si>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</si>
  <si>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</si>
  <si>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</si>
  <si>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</si>
  <si>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</si>
  <si>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</si>
  <si>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</si>
  <si>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</si>
  <si>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</si>
  <si>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</si>
  <si>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</si>
  <si>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</si>
  <si>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</si>
  <si>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</si>
  <si>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</si>
  <si>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</si>
  <si>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</si>
  <si>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</si>
  <si>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</si>
  <si>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</si>
  <si>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</si>
  <si>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</si>
  <si>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</si>
  <si>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</si>
  <si>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</si>
  <si>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</si>
  <si>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</si>
  <si>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</si>
  <si>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</si>
  <si>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</si>
  <si>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</si>
  <si>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</si>
  <si>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</si>
  <si>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</si>
  <si>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</si>
  <si>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</si>
  <si>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</si>
  <si>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</si>
  <si>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</si>
  <si>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</si>
  <si>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</si>
  <si>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</si>
  <si>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</si>
  <si>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</si>
  <si>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</si>
  <si>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</si>
  <si>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</si>
  <si>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</si>
  <si>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</si>
  <si>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</si>
  <si>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</si>
  <si>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</si>
  <si>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</si>
  <si>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</si>
  <si>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</si>
  <si>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</si>
  <si>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</si>
  <si>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</si>
  <si>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</si>
  <si>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</si>
  <si>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</si>
  <si>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</si>
  <si>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</si>
  <si>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</si>
  <si>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</si>
  <si>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</si>
  <si>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</si>
  <si>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</si>
  <si>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</si>
  <si>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</si>
  <si>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</si>
  <si>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</si>
  <si>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</si>
  <si>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</si>
  <si>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</si>
  <si>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</si>
  <si>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</si>
  <si>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</si>
  <si>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</si>
  <si>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</si>
  <si>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</si>
  <si>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</si>
  <si>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</si>
  <si>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</si>
  <si>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</si>
  <si>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</si>
  <si>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</si>
  <si>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</si>
  <si>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</si>
  <si>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</si>
  <si>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</si>
  <si>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</si>
  <si>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</si>
  <si>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</si>
  <si>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</si>
  <si>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</si>
  <si>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</si>
  <si>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</si>
  <si>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</si>
  <si>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</si>
  <si>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</si>
  <si>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</si>
  <si>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</si>
  <si>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</si>
  <si>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</si>
  <si>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</si>
  <si>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</si>
  <si>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</si>
  <si>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</si>
  <si>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</si>
  <si>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</si>
  <si>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</si>
  <si>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</si>
  <si>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</si>
  <si>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</si>
  <si>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</si>
  <si>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</si>
  <si>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</si>
  <si>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</si>
  <si>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</si>
  <si>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</si>
  <si>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</si>
  <si>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</si>
  <si>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</si>
  <si>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</si>
  <si>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</si>
  <si>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</si>
  <si>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</si>
  <si>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</si>
  <si>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</si>
  <si>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</si>
  <si>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</si>
  <si>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</si>
  <si>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</si>
  <si>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</si>
  <si>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</si>
  <si>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</si>
  <si>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</si>
  <si>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</si>
  <si>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</si>
  <si>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</si>
  <si>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</si>
  <si>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</si>
  <si>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</si>
  <si>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</si>
  <si>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</si>
  <si>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</si>
  <si>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</si>
  <si>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</si>
  <si>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</si>
  <si>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</si>
  <si>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</si>
  <si>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</si>
  <si>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</si>
  <si>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</si>
  <si>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</si>
  <si>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</si>
  <si>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</si>
  <si>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</si>
  <si>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</si>
  <si>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</si>
  <si>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</si>
  <si>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</si>
  <si>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</si>
  <si>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</si>
  <si>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</si>
  <si>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</si>
  <si>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</si>
  <si>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</si>
  <si>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</si>
  <si>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</si>
  <si>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</si>
  <si>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</si>
  <si>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</si>
  <si>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</si>
  <si>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</si>
  <si>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</si>
  <si>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</si>
  <si>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</si>
  <si>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</si>
  <si>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</si>
  <si>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</si>
  <si>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</si>
  <si>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</si>
  <si>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</si>
  <si>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</si>
  <si>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</si>
  <si>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</si>
  <si>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</si>
  <si>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</si>
  <si>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</si>
  <si>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</si>
  <si>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</si>
  <si>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</si>
  <si>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</si>
  <si>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</si>
  <si>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</si>
  <si>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</si>
  <si>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</si>
  <si>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</si>
  <si>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</si>
  <si>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</si>
  <si>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</si>
  <si>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</si>
  <si>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</si>
  <si>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</si>
  <si>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</si>
  <si>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</si>
  <si>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</si>
  <si>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</si>
  <si>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</si>
  <si>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</si>
  <si>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</si>
  <si>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</si>
  <si>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</si>
  <si>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</si>
  <si>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</si>
  <si>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</si>
  <si>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</si>
  <si>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</si>
  <si>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</si>
  <si>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</si>
  <si>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</si>
  <si>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</si>
  <si>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</si>
  <si>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</si>
  <si>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</si>
  <si>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</si>
  <si>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</si>
  <si>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</si>
  <si>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</si>
  <si>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</si>
  <si>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</si>
  <si>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</si>
  <si>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</si>
  <si>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</si>
  <si>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</si>
  <si>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</si>
  <si>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</si>
  <si>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</si>
  <si>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</si>
  <si>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</si>
  <si>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</si>
  <si>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</si>
  <si>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</si>
  <si>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</si>
  <si>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</si>
  <si>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</si>
  <si>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</si>
  <si>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</si>
  <si>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</si>
  <si>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</si>
  <si>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</si>
  <si>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</si>
  <si>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</si>
  <si>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</si>
  <si>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</si>
  <si>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</si>
  <si>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</si>
  <si>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</si>
  <si>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</si>
  <si>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</si>
  <si>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</si>
  <si>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</si>
  <si>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</si>
  <si>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</si>
  <si>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</si>
  <si>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</si>
  <si>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</si>
  <si>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</si>
  <si>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</si>
  <si>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</si>
  <si>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</si>
  <si>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</si>
  <si>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</si>
  <si>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</si>
  <si>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</si>
  <si>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</si>
  <si>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</si>
  <si>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</si>
  <si>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</si>
  <si>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</si>
  <si>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</si>
  <si>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</si>
  <si>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</si>
  <si>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</si>
  <si>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</si>
  <si>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</si>
  <si>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</si>
  <si>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</si>
  <si>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</si>
  <si>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</si>
  <si>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</si>
  <si>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</si>
  <si>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</si>
  <si>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</si>
  <si>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</si>
  <si>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</si>
  <si>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</si>
  <si>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</si>
  <si>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</si>
  <si>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</si>
  <si>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</si>
  <si>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</si>
  <si>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</si>
  <si>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</si>
  <si>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</si>
  <si>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</si>
  <si>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</si>
  <si>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</si>
  <si>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</si>
  <si>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</si>
  <si>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</si>
  <si>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</si>
  <si>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</si>
  <si>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</si>
  <si>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</si>
  <si>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</si>
  <si>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</si>
  <si>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</si>
  <si>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</si>
  <si>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</si>
  <si>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</si>
  <si>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</si>
  <si>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</si>
  <si>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</si>
  <si>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</si>
  <si>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</si>
  <si>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</si>
  <si>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</si>
  <si>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</si>
  <si>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</si>
  <si>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</si>
  <si>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</si>
  <si>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</si>
  <si>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</si>
  <si>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</si>
  <si>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</si>
  <si>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</si>
  <si>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</si>
  <si>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</si>
  <si>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</si>
  <si>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</si>
  <si>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</si>
  <si>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</si>
  <si>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</si>
  <si>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</si>
  <si>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</si>
  <si>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</si>
  <si>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</si>
  <si>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</si>
  <si>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</si>
  <si>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</si>
  <si>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</si>
  <si>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</si>
  <si>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</si>
  <si>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</si>
  <si>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</si>
  <si>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</si>
  <si>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</si>
  <si>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</si>
  <si>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</si>
  <si>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</si>
  <si>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</si>
  <si>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</si>
  <si>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</si>
  <si>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</si>
  <si>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</si>
  <si>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</si>
  <si>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</si>
  <si>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</si>
  <si>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</si>
  <si>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</si>
  <si>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</si>
  <si>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</si>
  <si>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</si>
  <si>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</si>
  <si>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</si>
  <si>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</si>
  <si>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</si>
  <si>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</si>
  <si>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</si>
  <si>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</si>
  <si>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</si>
  <si>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</si>
  <si>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</si>
  <si>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</si>
  <si>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</si>
  <si>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</si>
  <si>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</si>
  <si>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</si>
  <si>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</si>
  <si>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</si>
  <si>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</si>
  <si>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</si>
  <si>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</si>
  <si>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</si>
  <si>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</si>
  <si>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</si>
  <si>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</si>
  <si>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</si>
  <si>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</si>
  <si>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</si>
  <si>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</si>
  <si>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</si>
  <si>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</si>
  <si>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</si>
  <si>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</si>
  <si>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</si>
  <si>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</si>
  <si>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</si>
  <si>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</si>
  <si>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</si>
  <si>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</si>
  <si>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</si>
  <si>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</si>
  <si>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</si>
  <si>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</si>
  <si>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</si>
  <si>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</si>
  <si>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</si>
  <si>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</si>
  <si>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</si>
  <si>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</si>
  <si>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</si>
  <si>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</si>
  <si>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</si>
  <si>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</si>
  <si>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</si>
  <si>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</si>
  <si>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</si>
  <si>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</si>
  <si>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</si>
  <si>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</si>
  <si>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</si>
  <si>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</si>
  <si>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</si>
  <si>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</si>
  <si>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</si>
  <si>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</si>
  <si>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</si>
  <si>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</si>
  <si>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</si>
  <si>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</si>
  <si>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</si>
  <si>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</si>
  <si>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</si>
  <si>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</si>
  <si>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</si>
  <si>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</si>
  <si>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</si>
  <si>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</si>
  <si>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</si>
  <si>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</si>
  <si>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</si>
  <si>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</si>
  <si>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</si>
  <si>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</si>
  <si>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</si>
  <si>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</si>
  <si>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</si>
  <si>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</si>
  <si>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</si>
  <si>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</si>
  <si>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</si>
  <si>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</si>
  <si>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</si>
  <si>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</si>
  <si>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</si>
  <si>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</si>
  <si>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</si>
  <si>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</si>
  <si>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</si>
  <si>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</si>
  <si>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</si>
  <si>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</si>
  <si>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</si>
  <si>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</si>
  <si>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</si>
  <si>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</si>
  <si>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</si>
  <si>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</si>
  <si>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</si>
  <si>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</si>
  <si>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</si>
  <si>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</si>
  <si>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</si>
  <si>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</si>
  <si>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</si>
  <si>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</si>
  <si>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</si>
  <si>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</si>
  <si>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</si>
  <si>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</si>
  <si>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</si>
  <si>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</si>
  <si>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</si>
  <si>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</si>
  <si>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</si>
  <si>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</si>
  <si>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</si>
  <si>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</si>
  <si>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</si>
  <si>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</si>
  <si>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</si>
  <si>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</si>
  <si>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</si>
  <si>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</si>
  <si>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</si>
  <si>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</si>
  <si>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</si>
  <si>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</si>
  <si>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</si>
  <si>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</si>
  <si>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</si>
  <si>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</si>
  <si>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</si>
  <si>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</si>
  <si>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</si>
  <si>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</si>
  <si>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</si>
  <si>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</si>
  <si>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</si>
  <si>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</si>
  <si>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</si>
  <si>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</si>
  <si>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</si>
  <si>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</si>
  <si>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</si>
  <si>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</si>
  <si>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</si>
  <si>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</si>
  <si>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</si>
  <si>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</si>
  <si>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</si>
  <si>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</si>
  <si>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</si>
  <si>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</si>
  <si>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</si>
  <si>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</si>
  <si>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</si>
  <si>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</si>
  <si>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</si>
  <si>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</si>
  <si>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</si>
  <si>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</si>
  <si>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</si>
  <si>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</si>
  <si>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</si>
  <si>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</si>
  <si>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</si>
  <si>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</si>
  <si>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</si>
  <si>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</si>
  <si>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</si>
  <si>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</si>
  <si>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</si>
  <si>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</si>
  <si>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</si>
  <si>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</si>
  <si>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</si>
  <si>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</si>
  <si>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</si>
  <si>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</si>
  <si>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</si>
  <si>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</si>
  <si>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</si>
  <si>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</si>
  <si>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</si>
  <si>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</si>
  <si>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</si>
  <si>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</si>
  <si>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</si>
  <si>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</si>
  <si>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</si>
  <si>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</si>
  <si>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</si>
  <si>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</si>
  <si>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</si>
  <si>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</si>
  <si>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</si>
  <si>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</si>
  <si>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</si>
  <si>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</si>
  <si>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</si>
  <si>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</si>
  <si>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</si>
  <si>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</si>
  <si>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</si>
  <si>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</si>
  <si>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</si>
  <si>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</si>
  <si>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</si>
  <si>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</si>
  <si>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</si>
  <si>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</si>
  <si>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</si>
  <si>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</si>
  <si>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</si>
  <si>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</si>
  <si>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</si>
  <si>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</si>
  <si>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</si>
  <si>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</si>
  <si>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</si>
  <si>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</si>
  <si>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</si>
  <si>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</si>
  <si>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</si>
  <si>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</si>
  <si>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</si>
  <si>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</si>
  <si>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</si>
  <si>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</si>
  <si>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</si>
  <si>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</si>
  <si>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</si>
  <si>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</si>
  <si>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</si>
  <si>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</si>
  <si>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</si>
  <si>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</si>
  <si>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</si>
  <si>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</si>
  <si>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</si>
  <si>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</si>
  <si>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</si>
  <si>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</si>
  <si>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</si>
  <si>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</si>
  <si>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</si>
  <si>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</si>
  <si>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</si>
  <si>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</si>
  <si>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</si>
  <si>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</si>
  <si>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</si>
  <si>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</si>
  <si>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</si>
  <si>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</si>
  <si>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</si>
  <si>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</si>
  <si>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</si>
  <si>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</si>
  <si>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</si>
  <si>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</si>
  <si>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</si>
  <si>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</si>
  <si>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</si>
  <si>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</si>
  <si>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</si>
  <si>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</si>
  <si>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</si>
  <si>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</si>
  <si>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</si>
  <si>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</si>
  <si>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</si>
  <si>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</si>
  <si>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</si>
  <si>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</si>
  <si>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</si>
  <si>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</si>
  <si>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</si>
  <si>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</si>
  <si>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</si>
  <si>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</si>
  <si>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</si>
  <si>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</si>
  <si>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</si>
  <si>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</si>
  <si>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</si>
  <si>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</si>
  <si>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</si>
  <si>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</si>
  <si>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</si>
  <si>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</si>
  <si>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</si>
  <si>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</si>
  <si>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</si>
  <si>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</si>
  <si>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</si>
  <si>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</si>
  <si>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</si>
  <si>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</si>
  <si>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</si>
  <si>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</si>
  <si>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</si>
  <si>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</si>
  <si>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</si>
  <si>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</si>
  <si>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</si>
  <si>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</si>
  <si>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</si>
  <si>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</si>
  <si>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</si>
  <si>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</si>
  <si>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</si>
  <si>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</si>
  <si>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</si>
  <si>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</si>
  <si>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</si>
  <si>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</si>
  <si>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</si>
  <si>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</si>
  <si>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</si>
  <si>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</si>
  <si>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</si>
  <si>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</si>
  <si>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</si>
  <si>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</si>
  <si>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</si>
  <si>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</si>
  <si>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</si>
  <si>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</si>
  <si>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</si>
  <si>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</si>
  <si>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</si>
  <si>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</si>
  <si>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</si>
  <si>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</si>
  <si>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</si>
  <si>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</si>
  <si>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</si>
  <si>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</si>
  <si>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</si>
  <si>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</si>
  <si>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</si>
  <si>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</si>
  <si>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</si>
  <si>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</si>
  <si>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</si>
  <si>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</si>
  <si>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</si>
  <si>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</si>
  <si>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</si>
  <si>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</si>
  <si>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</si>
  <si>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</si>
  <si>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</si>
  <si>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</si>
  <si>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</si>
  <si>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</si>
  <si>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</si>
  <si>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</si>
  <si>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</si>
  <si>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</si>
  <si>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</si>
  <si>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</si>
  <si>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</si>
  <si>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</si>
  <si>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</si>
  <si>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</si>
  <si>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</si>
  <si>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</si>
  <si>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</si>
  <si>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</si>
  <si>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</si>
  <si>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</si>
  <si>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</si>
  <si>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</si>
  <si>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</si>
  <si>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</si>
  <si>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</si>
  <si>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</si>
  <si>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</si>
  <si>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</si>
  <si>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</si>
  <si>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</si>
  <si>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</si>
  <si>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</si>
  <si>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</si>
  <si>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</si>
  <si>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</si>
  <si>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</si>
  <si>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</si>
  <si>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</si>
  <si>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</si>
  <si>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</si>
  <si>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</si>
  <si>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</si>
  <si>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</si>
  <si>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</si>
  <si>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</si>
  <si>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</si>
  <si>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</si>
  <si>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</si>
  <si>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</si>
  <si>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</si>
  <si>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</si>
  <si>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</si>
  <si>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</si>
  <si>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</si>
  <si>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</si>
  <si>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</si>
  <si>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</si>
  <si>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</si>
  <si>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</si>
  <si>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</si>
  <si>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</si>
  <si>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</si>
  <si>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</si>
  <si>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</si>
  <si>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</si>
  <si>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</si>
  <si>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</si>
  <si>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</si>
  <si>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</si>
  <si>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</si>
  <si>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</si>
  <si>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</si>
  <si>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</si>
  <si>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</si>
  <si>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</si>
  <si>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</si>
  <si>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</si>
  <si>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</si>
  <si>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</si>
  <si>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</si>
  <si>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</si>
  <si>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</si>
  <si>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</si>
  <si>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</si>
  <si>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</si>
  <si>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</si>
  <si>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</si>
  <si>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23/05/2023, 2:39:59 pm</t>
  </si>
  <si>
    <t>23/05/2023, 2:40:00 pm</t>
  </si>
  <si>
    <t>23/05/2023, 2:40:01 pm</t>
  </si>
  <si>
    <t>23/05/2023, 2:40:02 pm</t>
  </si>
  <si>
    <t>23/05/2023, 2:40:03 pm</t>
  </si>
  <si>
    <t>23/05/2023, 2:40:04 pm</t>
  </si>
  <si>
    <t>23/05/2023, 2:40:05 pm</t>
  </si>
  <si>
    <t>23/05/2023, 2:40:06 pm</t>
  </si>
  <si>
    <t>23/05/2023, 2:40:07 pm</t>
  </si>
  <si>
    <t>23/05/2023, 2:40:08 pm</t>
  </si>
  <si>
    <t>23/05/2023, 2:40:09 pm</t>
  </si>
  <si>
    <t>23/05/2023, 2:40:10 pm</t>
  </si>
  <si>
    <t>23/05/2023, 2:40:11 pm</t>
  </si>
  <si>
    <t>23/05/2023, 2:40:12 pm</t>
  </si>
  <si>
    <t>23/05/2023, 2:40:13 pm</t>
  </si>
  <si>
    <t>23/05/2023, 2:40:14 pm</t>
  </si>
  <si>
    <t>23/05/2023, 2:40:15 pm</t>
  </si>
  <si>
    <t>23/05/2023, 2:40:16 pm</t>
  </si>
  <si>
    <t>23/05/2023, 2:40:17 pm</t>
  </si>
  <si>
    <t>23/05/2023, 2:40:18 pm</t>
  </si>
  <si>
    <t>23/05/2023, 2:40:19 pm</t>
  </si>
  <si>
    <t>23/05/2023, 2:40:20 pm</t>
  </si>
  <si>
    <t>23/05/2023, 2:40:21 pm</t>
  </si>
  <si>
    <t>23/05/2023, 2:40:22 pm</t>
  </si>
  <si>
    <t>23/05/2023, 2:40:23 pm</t>
  </si>
  <si>
    <t>23/05/2023, 2:40:24 pm</t>
  </si>
  <si>
    <t>23/05/2023, 2:40:25 pm</t>
  </si>
  <si>
    <t>23/05/2023, 2:40:26 pm</t>
  </si>
  <si>
    <t>23/05/2023, 2:40:27 pm</t>
  </si>
  <si>
    <t>23/05/2023, 2:40:28 pm</t>
  </si>
  <si>
    <t>23/05/2023, 2:40:29 pm</t>
  </si>
  <si>
    <t>23/05/2023, 2:40:30 pm</t>
  </si>
  <si>
    <t>23/05/2023, 2:40:31 pm</t>
  </si>
  <si>
    <t>23/05/2023, 2:40:32 pm</t>
  </si>
  <si>
    <t>23/05/2023, 2:40:33 pm</t>
  </si>
  <si>
    <t>23/05/2023, 2:40:34 pm</t>
  </si>
  <si>
    <t>23/05/2023, 2:40:35 pm</t>
  </si>
  <si>
    <t>23/05/2023, 2:40:36 pm</t>
  </si>
  <si>
    <t>23/05/2023, 2:40:37 pm</t>
  </si>
  <si>
    <t>23/05/2023, 2:40:38 pm</t>
  </si>
  <si>
    <t>23/05/2023, 2:40:39 pm</t>
  </si>
  <si>
    <t>23/05/2023, 2:40:40 pm</t>
  </si>
  <si>
    <t>23/05/2023, 2:40:41 pm</t>
  </si>
  <si>
    <t>23/05/2023, 2:40:42 pm</t>
  </si>
  <si>
    <t>23/05/2023, 2:40:43 pm</t>
  </si>
  <si>
    <t>23/05/2023, 2:40:44 pm</t>
  </si>
  <si>
    <t>23/05/2023, 2:40:45 pm</t>
  </si>
  <si>
    <t>23/05/2023, 2:40:46 pm</t>
  </si>
  <si>
    <t>23/05/2023, 2:40:47 pm</t>
  </si>
  <si>
    <t>23/05/2023, 2:40:48 pm</t>
  </si>
  <si>
    <t>23/05/2023, 2:40:49 pm</t>
  </si>
  <si>
    <t>23/05/2023, 2:40:50 pm</t>
  </si>
  <si>
    <t>23/05/2023, 2:40:51 pm</t>
  </si>
  <si>
    <t>23/05/2023, 2:40:55 pm</t>
  </si>
  <si>
    <t>23/05/2023, 2:40:56 pm</t>
  </si>
  <si>
    <t>23/05/2023, 2:40:57 pm</t>
  </si>
  <si>
    <t>23/05/2023, 2:40:58 pm</t>
  </si>
  <si>
    <t>23/05/2023, 2:40:59 pm</t>
  </si>
  <si>
    <t>23/05/2023, 2:41:00 pm</t>
  </si>
  <si>
    <t>23/05/2023, 2:41:01 pm</t>
  </si>
  <si>
    <t>23/05/2023, 2:41:02 pm</t>
  </si>
  <si>
    <t>23/05/2023, 2:41:03 pm</t>
  </si>
  <si>
    <t>23/05/2023, 2:41:04 pm</t>
  </si>
  <si>
    <t>23/05/2023, 2:41:05 pm</t>
  </si>
  <si>
    <t>23/05/2023, 2:41:06 pm</t>
  </si>
  <si>
    <t>23/05/2023, 2:41:07 pm</t>
  </si>
  <si>
    <t>23/05/2023, 2:41:08 pm</t>
  </si>
  <si>
    <t>23/05/2023, 2:41:09 pm</t>
  </si>
  <si>
    <t>23/05/2023, 2:41:10 pm</t>
  </si>
  <si>
    <t>23/05/2023, 2:41:11 pm</t>
  </si>
  <si>
    <t>23/05/2023, 2:41:12 pm</t>
  </si>
  <si>
    <t>23/05/2023, 2:41:13 pm</t>
  </si>
  <si>
    <t>23/05/2023, 2:41:14 pm</t>
  </si>
  <si>
    <t>23/05/2023, 2:41:15 pm</t>
  </si>
  <si>
    <t>23/05/2023, 2:41:16 pm</t>
  </si>
  <si>
    <t>23/05/2023, 2:41:17 pm</t>
  </si>
  <si>
    <t>23/05/2023, 2:41:18 pm</t>
  </si>
  <si>
    <t>23/05/2023, 2:41:19 pm</t>
  </si>
  <si>
    <t>23/05/2023, 2:41:20 pm</t>
  </si>
  <si>
    <t>23/05/2023, 2:41:21 pm</t>
  </si>
  <si>
    <t>23/05/2023, 2:41:22 pm</t>
  </si>
  <si>
    <t>23/05/2023, 2:41:23 pm</t>
  </si>
  <si>
    <t>23/05/2023, 2:41:24 pm</t>
  </si>
  <si>
    <t>23/05/2023, 2:41:25 pm</t>
  </si>
  <si>
    <t>23/05/2023, 2:41:26 pm</t>
  </si>
  <si>
    <t>23/05/2023, 2:41:27 pm</t>
  </si>
  <si>
    <t>23/05/2023, 2:41:28 pm</t>
  </si>
  <si>
    <t>23/05/2023, 2:41:29 pm</t>
  </si>
  <si>
    <t>23/05/2023, 2:41:30 pm</t>
  </si>
  <si>
    <t>23/05/2023, 2:41:31 pm</t>
  </si>
  <si>
    <t>23/05/2023, 2:41:32 pm</t>
  </si>
  <si>
    <t>23/05/2023, 2:41:34 pm</t>
  </si>
  <si>
    <t>23/05/2023, 2:41:35 pm</t>
  </si>
  <si>
    <t>23/05/2023, 2:41:36 pm</t>
  </si>
  <si>
    <t>23/05/2023, 2:41:37 pm</t>
  </si>
  <si>
    <t>23/05/2023, 2:41:38 pm</t>
  </si>
  <si>
    <t>23/05/2023, 2:41:39 pm</t>
  </si>
  <si>
    <t>23/05/2023, 2:41:40 pm</t>
  </si>
  <si>
    <t>23/05/2023, 2:41:41 pm</t>
  </si>
  <si>
    <t>23/05/2023, 2:41:43 pm</t>
  </si>
  <si>
    <t>23/05/2023, 2:41:44 pm</t>
  </si>
  <si>
    <t>23/05/2023, 2:41:45 pm</t>
  </si>
  <si>
    <t>23/05/2023, 2:41:46 pm</t>
  </si>
  <si>
    <t>23/05/2023, 2:41:47 pm</t>
  </si>
  <si>
    <t>23/05/2023, 2:41:48 pm</t>
  </si>
  <si>
    <t>23/05/2023, 2:41:49 pm</t>
  </si>
  <si>
    <t>23/05/2023, 2:41:50 pm</t>
  </si>
  <si>
    <t>23/05/2023, 2:41:51 pm</t>
  </si>
  <si>
    <t>23/05/2023, 2:41:52 pm</t>
  </si>
  <si>
    <t>23/05/2023, 2:41:53 pm</t>
  </si>
  <si>
    <t>23/05/2023, 2:41:54 pm</t>
  </si>
  <si>
    <t>23/05/2023, 2:41:55 pm</t>
  </si>
  <si>
    <t>23/05/2023, 2:41:56 pm</t>
  </si>
  <si>
    <t>23/05/2023, 2:41:57 pm</t>
  </si>
  <si>
    <t>23/05/2023, 2:41:58 pm</t>
  </si>
  <si>
    <t>23/05/2023, 2:41:59 pm</t>
  </si>
  <si>
    <t>23/05/2023, 2:42:00 pm</t>
  </si>
  <si>
    <t>23/05/2023, 2:42:01 pm</t>
  </si>
  <si>
    <t>23/05/2023, 2:42:02 pm</t>
  </si>
  <si>
    <t>23/05/2023, 2:42:03 pm</t>
  </si>
  <si>
    <t>23/05/2023, 2:42:04 pm</t>
  </si>
  <si>
    <t>23/05/2023, 2:42:05 pm</t>
  </si>
  <si>
    <t>23/05/2023, 2:42:06 pm</t>
  </si>
  <si>
    <t>23/05/2023, 2:42:07 pm</t>
  </si>
  <si>
    <t>23/05/2023, 2:42:08 pm</t>
  </si>
  <si>
    <t>23/05/2023, 2:42:09 pm</t>
  </si>
  <si>
    <t>23/05/2023, 2:42:10 pm</t>
  </si>
  <si>
    <t>23/05/2023, 2:42:11 pm</t>
  </si>
  <si>
    <t>23/05/2023, 2:42:12 pm</t>
  </si>
  <si>
    <t>23/05/2023, 2:42:13 pm</t>
  </si>
  <si>
    <t>23/05/2023, 2:42:14 pm</t>
  </si>
  <si>
    <t>23/05/2023, 2:42:15 pm</t>
  </si>
  <si>
    <t>23/05/2023, 2:42:16 pm</t>
  </si>
  <si>
    <t>23/05/2023, 2:42:17 pm</t>
  </si>
  <si>
    <t>23/05/2023, 2:42:18 pm</t>
  </si>
  <si>
    <t>23/05/2023, 2:42:19 pm</t>
  </si>
  <si>
    <t>23/05/2023, 2:42:20 pm</t>
  </si>
  <si>
    <t>23/05/2023, 2:42:21 pm</t>
  </si>
  <si>
    <t>23/05/2023, 2:42:22 pm</t>
  </si>
  <si>
    <t>23/05/2023, 2:42:23 pm</t>
  </si>
  <si>
    <t>23/05/2023, 2:42:24 pm</t>
  </si>
  <si>
    <t>23/05/2023, 2:42:25 pm</t>
  </si>
  <si>
    <t>23/05/2023, 2:42:26 pm</t>
  </si>
  <si>
    <t>23/05/2023, 2:42:27 pm</t>
  </si>
  <si>
    <t>23/05/2023, 2:42:28 pm</t>
  </si>
  <si>
    <t>23/05/2023, 2:42:29 pm</t>
  </si>
  <si>
    <t>23/05/2023, 2:42:30 pm</t>
  </si>
  <si>
    <t>23/05/2023, 2:42:31 pm</t>
  </si>
  <si>
    <t>23/05/2023, 2:42:32 pm</t>
  </si>
  <si>
    <t>23/05/2023, 2:42:33 pm</t>
  </si>
  <si>
    <t>23/05/2023, 2:42:34 pm</t>
  </si>
  <si>
    <t>23/05/2023, 2:42:35 pm</t>
  </si>
  <si>
    <t>23/05/2023, 2:42:36 pm</t>
  </si>
  <si>
    <t>23/05/2023, 2:42:37 pm</t>
  </si>
  <si>
    <t>23/05/2023, 2:42:38 pm</t>
  </si>
  <si>
    <t>23/05/2023, 2:42:39 pm</t>
  </si>
  <si>
    <t>23/05/2023, 2:42:40 pm</t>
  </si>
  <si>
    <t>23/05/2023, 2:42:41 pm</t>
  </si>
  <si>
    <t>23/05/2023, 2:42:42 pm</t>
  </si>
  <si>
    <t>23/05/2023, 2:42:43 pm</t>
  </si>
  <si>
    <t>23/05/2023, 2:42:44 pm</t>
  </si>
  <si>
    <t>23/05/2023, 2:42:45 pm</t>
  </si>
  <si>
    <t>23/05/2023, 2:42:46 pm</t>
  </si>
  <si>
    <t>23/05/2023, 2:42:47 pm</t>
  </si>
  <si>
    <t>23/05/2023, 2:42:48 pm</t>
  </si>
  <si>
    <t>23/05/2023, 2:42:49 pm</t>
  </si>
  <si>
    <t>23/05/2023, 2:42:50 pm</t>
  </si>
  <si>
    <t>23/05/2023, 2:42:51 pm</t>
  </si>
  <si>
    <t>23/05/2023, 2:42:52 pm</t>
  </si>
  <si>
    <t>23/05/2023, 2:42:53 pm</t>
  </si>
  <si>
    <t>23/05/2023, 2:42:54 pm</t>
  </si>
  <si>
    <t>23/05/2023, 2:42:55 pm</t>
  </si>
  <si>
    <t>23/05/2023, 2:42:56 pm</t>
  </si>
  <si>
    <t>23/05/2023, 2:42:57 pm</t>
  </si>
  <si>
    <t>23/05/2023, 2:42:58 pm</t>
  </si>
  <si>
    <t>23/05/2023, 2:42:59 pm</t>
  </si>
  <si>
    <t>23/05/2023, 2:43:00 pm</t>
  </si>
  <si>
    <t>23/05/2023, 2:43:01 pm</t>
  </si>
  <si>
    <t>23/05/2023, 2:43:02 pm</t>
  </si>
  <si>
    <t>23/05/2023, 2:43:03 pm</t>
  </si>
  <si>
    <t>23/05/2023, 2:43:04 pm</t>
  </si>
  <si>
    <t>23/05/2023, 2:43:05 pm</t>
  </si>
  <si>
    <t>23/05/2023, 2:43:06 pm</t>
  </si>
  <si>
    <t>23/05/2023, 2:43:07 pm</t>
  </si>
  <si>
    <t>23/05/2023, 2:43:08 pm</t>
  </si>
  <si>
    <t>23/05/2023, 2:43:09 pm</t>
  </si>
  <si>
    <t>23/05/2023, 2:43:10 pm</t>
  </si>
  <si>
    <t>23/05/2023, 2:43:11 pm</t>
  </si>
  <si>
    <t>23/05/2023, 2:43:12 pm</t>
  </si>
  <si>
    <t>23/05/2023, 2:43:13 pm</t>
  </si>
  <si>
    <t>23/05/2023, 2:43:14 pm</t>
  </si>
  <si>
    <t>23/05/2023, 2:43:15 pm</t>
  </si>
  <si>
    <t>23/05/2023, 2:43:16 pm</t>
  </si>
  <si>
    <t>23/05/2023, 2:43:17 pm</t>
  </si>
  <si>
    <t>23/05/2023, 2:43:18 pm</t>
  </si>
  <si>
    <t>23/05/2023, 2:43:19 pm</t>
  </si>
  <si>
    <t>23/05/2023, 2:43:20 pm</t>
  </si>
  <si>
    <t>23/05/2023, 2:43:21 pm</t>
  </si>
  <si>
    <t>23/05/2023, 2:43:22 pm</t>
  </si>
  <si>
    <t>23/05/2023, 2:43:23 pm</t>
  </si>
  <si>
    <t>23/05/2023, 2:43:24 pm</t>
  </si>
  <si>
    <t>23/05/2023, 2:43:26 pm</t>
  </si>
  <si>
    <t>23/05/2023, 2:43:27 pm</t>
  </si>
  <si>
    <t>23/05/2023, 2:43:28 pm</t>
  </si>
  <si>
    <t>23/05/2023, 2:43:29 pm</t>
  </si>
  <si>
    <t>23/05/2023, 2:43:30 pm</t>
  </si>
  <si>
    <t>23/05/2023, 2:43:31 pm</t>
  </si>
  <si>
    <t>23/05/2023, 2:43:32 pm</t>
  </si>
  <si>
    <t>23/05/2023, 2:43:33 pm</t>
  </si>
  <si>
    <t>23/05/2023, 2:43:34 pm</t>
  </si>
  <si>
    <t>23/05/2023, 2:43:35 pm</t>
  </si>
  <si>
    <t>23/05/2023, 2:43:36 pm</t>
  </si>
  <si>
    <t>23/05/2023, 2:43:37 pm</t>
  </si>
  <si>
    <t>23/05/2023, 2:43:38 pm</t>
  </si>
  <si>
    <t>23/05/2023, 2:43:39 pm</t>
  </si>
  <si>
    <t>23/05/2023, 2:43:40 pm</t>
  </si>
  <si>
    <t>23/05/2023, 2:43:41 pm</t>
  </si>
  <si>
    <t>23/05/2023, 2:43:42 pm</t>
  </si>
  <si>
    <t>23/05/2023, 2:43:43 pm</t>
  </si>
  <si>
    <t>23/05/2023, 2:43:44 pm</t>
  </si>
  <si>
    <t>23/05/2023, 2:43:45 pm</t>
  </si>
  <si>
    <t>23/05/2023, 2:43:46 pm</t>
  </si>
  <si>
    <t>23/05/2023, 2:43:47 pm</t>
  </si>
  <si>
    <t>23/05/2023, 2:43:48 pm</t>
  </si>
  <si>
    <t>23/05/2023, 2:43:49 pm</t>
  </si>
  <si>
    <t>23/05/2023, 2:43:50 pm</t>
  </si>
  <si>
    <t>23/05/2023, 2:43:51 pm</t>
  </si>
  <si>
    <t>23/05/2023, 2:43:52 pm</t>
  </si>
  <si>
    <t>23/05/2023, 2:43:53 pm</t>
  </si>
  <si>
    <t>23/05/2023, 2:43:54 pm</t>
  </si>
  <si>
    <t>23/05/2023, 2:43:55 pm</t>
  </si>
  <si>
    <t>23/05/2023, 2:43:56 pm</t>
  </si>
  <si>
    <t>23/05/2023, 2:43:57 pm</t>
  </si>
  <si>
    <t>23/05/2023, 2:43:58 pm</t>
  </si>
  <si>
    <t>23/05/2023, 2:43:59 pm</t>
  </si>
  <si>
    <t>23/05/2023, 2:44:00 pm</t>
  </si>
  <si>
    <t>23/05/2023, 2:44:01 pm</t>
  </si>
  <si>
    <t>23/05/2023, 2:44:02 pm</t>
  </si>
  <si>
    <t>23/05/2023, 2:44:03 pm</t>
  </si>
  <si>
    <t>23/05/2023, 2:44:04 pm</t>
  </si>
  <si>
    <t>23/05/2023, 2:44:05 pm</t>
  </si>
  <si>
    <t>23/05/2023, 2:44:06 pm</t>
  </si>
  <si>
    <t>23/05/2023, 2:44:07 pm</t>
  </si>
  <si>
    <t>23/05/2023, 2:44:08 pm</t>
  </si>
  <si>
    <t>23/05/2023, 2:44:09 pm</t>
  </si>
  <si>
    <t>23/05/2023, 2:44:10 pm</t>
  </si>
  <si>
    <t>23/05/2023, 2:44:11 pm</t>
  </si>
  <si>
    <t>23/05/2023, 2:44:12 pm</t>
  </si>
  <si>
    <t>23/05/2023, 2:44:13 pm</t>
  </si>
  <si>
    <t>23/05/2023, 2:44:14 pm</t>
  </si>
  <si>
    <t>23/05/2023, 2:44:15 pm</t>
  </si>
  <si>
    <t>23/05/2023, 2:44:16 pm</t>
  </si>
  <si>
    <t>23/05/2023, 2:44:17 pm</t>
  </si>
  <si>
    <t>23/05/2023, 2:44:18 pm</t>
  </si>
  <si>
    <t>23/05/2023, 2:44:19 pm</t>
  </si>
  <si>
    <t>23/05/2023, 2:44:20 pm</t>
  </si>
  <si>
    <t>23/05/2023, 2:44:21 pm</t>
  </si>
  <si>
    <t>23/05/2023, 2:44:22 pm</t>
  </si>
  <si>
    <t>23/05/2023, 2:44:23 pm</t>
  </si>
  <si>
    <t>23/05/2023, 2:44:24 pm</t>
  </si>
  <si>
    <t>23/05/2023, 2:44:25 pm</t>
  </si>
  <si>
    <t>23/05/2023, 2:44:26 pm</t>
  </si>
  <si>
    <t>23/05/2023, 2:44:27 pm</t>
  </si>
  <si>
    <t>23/05/2023, 2:44:28 pm</t>
  </si>
  <si>
    <t>23/05/2023, 2:44:29 pm</t>
  </si>
  <si>
    <t>23/05/2023, 2:44:30 pm</t>
  </si>
  <si>
    <t>23/05/2023, 2:44:31 pm</t>
  </si>
  <si>
    <t>23/05/2023, 2:44:32 pm</t>
  </si>
  <si>
    <t>23/05/2023, 2:44:33 pm</t>
  </si>
  <si>
    <t>23/05/2023, 2:44:34 pm</t>
  </si>
  <si>
    <t>23/05/2023, 2:44:35 pm</t>
  </si>
  <si>
    <t>23/05/2023, 2:44:36 pm</t>
  </si>
  <si>
    <t>23/05/2023, 2:44:37 pm</t>
  </si>
  <si>
    <t>23/05/2023, 2:44:38 pm</t>
  </si>
  <si>
    <t>23/05/2023, 2:44:39 pm</t>
  </si>
  <si>
    <t>23/05/2023, 2:44:40 pm</t>
  </si>
  <si>
    <t>23/05/2023, 2:44:41 pm</t>
  </si>
  <si>
    <t>23/05/2023, 2:44:42 pm</t>
  </si>
  <si>
    <t>23/05/2023, 2:44:43 pm</t>
  </si>
  <si>
    <t>23/05/2023, 2:44:44 pm</t>
  </si>
  <si>
    <t>23/05/2023, 2:44:45 pm</t>
  </si>
  <si>
    <t>23/05/2023, 2:44:46 pm</t>
  </si>
  <si>
    <t>23/05/2023, 2:44:47 pm</t>
  </si>
  <si>
    <t>23/05/2023, 2:44:48 pm</t>
  </si>
  <si>
    <t>23/05/2023, 2:44:49 pm</t>
  </si>
  <si>
    <t>23/05/2023, 2:44:50 pm</t>
  </si>
  <si>
    <t>23/05/2023, 2:44:51 pm</t>
  </si>
  <si>
    <t>23/05/2023, 2:44:52 pm</t>
  </si>
  <si>
    <t>23/05/2023, 2:44:53 pm</t>
  </si>
  <si>
    <t>23/05/2023, 2:44:54 pm</t>
  </si>
  <si>
    <t>23/05/2023, 2:44:55 pm</t>
  </si>
  <si>
    <t>23/05/2023, 2:44:56 pm</t>
  </si>
  <si>
    <t>23/05/2023, 2:44:57 pm</t>
  </si>
  <si>
    <t>23/05/2023, 2:44:58 pm</t>
  </si>
  <si>
    <t>23/05/2023, 2:44:59 pm</t>
  </si>
  <si>
    <t>23/05/2023, 2:45:00 pm</t>
  </si>
  <si>
    <t>23/05/2023, 2:45:01 pm</t>
  </si>
  <si>
    <t>23/05/2023, 2:45:02 pm</t>
  </si>
  <si>
    <t>23/05/2023, 2:45:03 pm</t>
  </si>
  <si>
    <t>23/05/2023, 2:45:04 pm</t>
  </si>
  <si>
    <t>23/05/2023, 2:45:05 pm</t>
  </si>
  <si>
    <t>23/05/2023, 2:45:06 pm</t>
  </si>
  <si>
    <t>23/05/2023, 2:45:07 pm</t>
  </si>
  <si>
    <t>23/05/2023, 2:45:08 pm</t>
  </si>
  <si>
    <t>23/05/2023, 2:45:09 pm</t>
  </si>
  <si>
    <t>23/05/2023, 2:45:10 pm</t>
  </si>
  <si>
    <t>23/05/2023, 2:45:11 pm</t>
  </si>
  <si>
    <t>23/05/2023, 2:45:12 pm</t>
  </si>
  <si>
    <t>23/05/2023, 2:45:13 pm</t>
  </si>
  <si>
    <t>23/05/2023, 2:45:14 pm</t>
  </si>
  <si>
    <t>23/05/2023, 2:45:15 pm</t>
  </si>
  <si>
    <t>23/05/2023, 2:45:16 pm</t>
  </si>
  <si>
    <t>23/05/2023, 2:45:17 pm</t>
  </si>
  <si>
    <t>23/05/2023, 2:45:18 pm</t>
  </si>
  <si>
    <t>23/05/2023, 2:45:19 pm</t>
  </si>
  <si>
    <t>23/05/2023, 2:45:20 pm</t>
  </si>
  <si>
    <t>23/05/2023, 2:45:21 pm</t>
  </si>
  <si>
    <t>23/05/2023, 2:45:22 pm</t>
  </si>
  <si>
    <t>23/05/2023, 2:45:23 pm</t>
  </si>
  <si>
    <t>23/05/2023, 2:45:24 pm</t>
  </si>
  <si>
    <t>23/05/2023, 2:45:25 pm</t>
  </si>
  <si>
    <t>23/05/2023, 2:45:26 pm</t>
  </si>
  <si>
    <t>23/05/2023, 2:45:27 pm</t>
  </si>
  <si>
    <t>23/05/2023, 2:45:28 pm</t>
  </si>
  <si>
    <t>23/05/2023, 2:45:29 pm</t>
  </si>
  <si>
    <t>23/05/2023, 2:45:30 pm</t>
  </si>
  <si>
    <t>23/05/2023, 2:45:31 pm</t>
  </si>
  <si>
    <t>23/05/2023, 2:45:32 pm</t>
  </si>
  <si>
    <t>23/05/2023, 2:45:33 pm</t>
  </si>
  <si>
    <t>23/05/2023, 2:45:34 pm</t>
  </si>
  <si>
    <t>23/05/2023, 2:45:35 pm</t>
  </si>
  <si>
    <t>23/05/2023, 2:45:36 pm</t>
  </si>
  <si>
    <t>23/05/2023, 2:45:37 pm</t>
  </si>
  <si>
    <t>23/05/2023, 2:45:38 pm</t>
  </si>
  <si>
    <t>23/05/2023, 2:45:39 pm</t>
  </si>
  <si>
    <t>23/05/2023, 2:45:40 pm</t>
  </si>
  <si>
    <t>23/05/2023, 2:45:41 pm</t>
  </si>
  <si>
    <t>23/05/2023, 2:45:42 pm</t>
  </si>
  <si>
    <t>23/05/2023, 2:45:43 pm</t>
  </si>
  <si>
    <t>23/05/2023, 2:45:44 pm</t>
  </si>
  <si>
    <t>23/05/2023, 2:45:45 pm</t>
  </si>
  <si>
    <t>23/05/2023, 2:45:46 pm</t>
  </si>
  <si>
    <t>23/05/2023, 2:45:47 pm</t>
  </si>
  <si>
    <t>23/05/2023, 2:45:48 pm</t>
  </si>
  <si>
    <t>23/05/2023, 2:45:49 pm</t>
  </si>
  <si>
    <t>23/05/2023, 2:45:50 pm</t>
  </si>
  <si>
    <t>23/05/2023, 2:45:51 pm</t>
  </si>
  <si>
    <t>23/05/2023, 2:45:53 pm</t>
  </si>
  <si>
    <t>23/05/2023, 2:45:54 pm</t>
  </si>
  <si>
    <t>23/05/2023, 2:45:55 pm</t>
  </si>
  <si>
    <t>23/05/2023, 2:45:56 pm</t>
  </si>
  <si>
    <t>23/05/2023, 2:45:57 pm</t>
  </si>
  <si>
    <t>23/05/2023, 2:45:58 pm</t>
  </si>
  <si>
    <t>23/05/2023, 2:45:59 pm</t>
  </si>
  <si>
    <t>23/05/2023, 2:46:00 pm</t>
  </si>
  <si>
    <t>23/05/2023, 2:46:01 pm</t>
  </si>
  <si>
    <t>23/05/2023, 2:46:02 pm</t>
  </si>
  <si>
    <t>23/05/2023, 2:46:03 pm</t>
  </si>
  <si>
    <t>23/05/2023, 2:46:04 pm</t>
  </si>
  <si>
    <t>23/05/2023, 2:46:05 pm</t>
  </si>
  <si>
    <t>23/05/2023, 2:46:06 pm</t>
  </si>
  <si>
    <t>23/05/2023, 2:46:07 pm</t>
  </si>
  <si>
    <t>23/05/2023, 2:46:08 pm</t>
  </si>
  <si>
    <t>23/05/2023, 2:46:09 pm</t>
  </si>
  <si>
    <t>23/05/2023, 2:46:10 pm</t>
  </si>
  <si>
    <t>23/05/2023, 2:46:11 pm</t>
  </si>
  <si>
    <t>23/05/2023, 2:46:12 pm</t>
  </si>
  <si>
    <t>23/05/2023, 2:46:13 pm</t>
  </si>
  <si>
    <t>23/05/2023, 2:46:14 pm</t>
  </si>
  <si>
    <t>23/05/2023, 2:46:15 pm</t>
  </si>
  <si>
    <t>23/05/2023, 2:46:16 pm</t>
  </si>
  <si>
    <t>23/05/2023, 2:46:17 pm</t>
  </si>
  <si>
    <t>23/05/2023, 2:46:18 pm</t>
  </si>
  <si>
    <t>23/05/2023, 2:46:19 pm</t>
  </si>
  <si>
    <t>23/05/2023, 2:46:20 pm</t>
  </si>
  <si>
    <t>23/05/2023, 2:46:21 pm</t>
  </si>
  <si>
    <t>23/05/2023, 2:46:22 pm</t>
  </si>
  <si>
    <t>23/05/2023, 2:46:23 pm</t>
  </si>
  <si>
    <t>23/05/2023, 2:46:24 pm</t>
  </si>
  <si>
    <t>23/05/2023, 2:46:25 pm</t>
  </si>
  <si>
    <t>23/05/2023, 2:46:26 pm</t>
  </si>
  <si>
    <t>23/05/2023, 2:46:27 pm</t>
  </si>
  <si>
    <t>23/05/2023, 2:46:28 pm</t>
  </si>
  <si>
    <t>23/05/2023, 2:46:29 pm</t>
  </si>
  <si>
    <t>23/05/2023, 2:46:30 pm</t>
  </si>
  <si>
    <t>23/05/2023, 2:46:31 pm</t>
  </si>
  <si>
    <t>23/05/2023, 2:46:32 pm</t>
  </si>
  <si>
    <t>23/05/2023, 2:46:33 pm</t>
  </si>
  <si>
    <t>23/05/2023, 2:46:34 pm</t>
  </si>
  <si>
    <t>23/05/2023, 2:46:35 pm</t>
  </si>
  <si>
    <t>23/05/2023, 2:46:36 pm</t>
  </si>
  <si>
    <t>23/05/2023, 2:46:37 pm</t>
  </si>
  <si>
    <t>23/05/2023, 2:46:38 pm</t>
  </si>
  <si>
    <t>23/05/2023, 2:46:39 pm</t>
  </si>
  <si>
    <t>23/05/2023, 2:46:40 pm</t>
  </si>
  <si>
    <t>23/05/2023, 2:46:41 pm</t>
  </si>
  <si>
    <t>23/05/2023, 2:46:42 pm</t>
  </si>
  <si>
    <t>23/05/2023, 2:46:43 pm</t>
  </si>
  <si>
    <t>23/05/2023, 2:46:44 pm</t>
  </si>
  <si>
    <t>23/05/2023, 2:46:45 pm</t>
  </si>
  <si>
    <t>23/05/2023, 2:46:46 pm</t>
  </si>
  <si>
    <t>23/05/2023, 2:46:47 pm</t>
  </si>
  <si>
    <t>23/05/2023, 2:46:48 pm</t>
  </si>
  <si>
    <t>23/05/2023, 2:46:49 pm</t>
  </si>
  <si>
    <t>23/05/2023, 2:46:50 pm</t>
  </si>
  <si>
    <t>23/05/2023, 2:46:51 pm</t>
  </si>
  <si>
    <t>23/05/2023, 2:46:52 pm</t>
  </si>
  <si>
    <t>23/05/2023, 2:46:53 pm</t>
  </si>
  <si>
    <t>23/05/2023, 2:46:54 pm</t>
  </si>
  <si>
    <t>23/05/2023, 2:46:55 pm</t>
  </si>
  <si>
    <t>23/05/2023, 2:46:56 pm</t>
  </si>
  <si>
    <t>23/05/2023, 2:46:57 pm</t>
  </si>
  <si>
    <t>23/05/2023, 2:46:58 pm</t>
  </si>
  <si>
    <t>23/05/2023, 2:46:59 pm</t>
  </si>
  <si>
    <t>23/05/2023, 2:47:00 pm</t>
  </si>
  <si>
    <t>23/05/2023, 2:47:01 pm</t>
  </si>
  <si>
    <t>23/05/2023, 2:47:02 pm</t>
  </si>
  <si>
    <t>23/05/2023, 2:47:03 pm</t>
  </si>
  <si>
    <t>23/05/2023, 2:47:04 pm</t>
  </si>
  <si>
    <t>23/05/2023, 2:47:05 pm</t>
  </si>
  <si>
    <t>23/05/2023, 2:47:06 pm</t>
  </si>
  <si>
    <t>23/05/2023, 2:47:07 pm</t>
  </si>
  <si>
    <t>23/05/2023, 2:47:08 pm</t>
  </si>
  <si>
    <t>23/05/2023, 2:47:09 pm</t>
  </si>
  <si>
    <t>23/05/2023, 2:47:10 pm</t>
  </si>
  <si>
    <t>23/05/2023, 2:47:11 pm</t>
  </si>
  <si>
    <t>23/05/2023, 2:47:12 pm</t>
  </si>
  <si>
    <t>23/05/2023, 2:47:13 pm</t>
  </si>
  <si>
    <t>23/05/2023, 2:47:14 pm</t>
  </si>
  <si>
    <t>23/05/2023, 2:47:15 pm</t>
  </si>
  <si>
    <t>23/05/2023, 2:47:16 pm</t>
  </si>
  <si>
    <t>23/05/2023, 2:47:17 pm</t>
  </si>
  <si>
    <t>23/05/2023, 2:47:18 pm</t>
  </si>
  <si>
    <t>23/05/2023, 2:47:19 pm</t>
  </si>
  <si>
    <t>23/05/2023, 2:47:20 pm</t>
  </si>
  <si>
    <t>23/05/2023, 2:47:21 pm</t>
  </si>
  <si>
    <t>23/05/2023, 2:47:22 pm</t>
  </si>
  <si>
    <t>23/05/2023, 2:47:23 pm</t>
  </si>
  <si>
    <t>23/05/2023, 2:47:24 pm</t>
  </si>
  <si>
    <t>23/05/2023, 2:47:25 pm</t>
  </si>
  <si>
    <t>23/05/2023, 2:47:26 pm</t>
  </si>
  <si>
    <t>23/05/2023, 2:47:27 pm</t>
  </si>
  <si>
    <t>23/05/2023, 2:47:28 pm</t>
  </si>
  <si>
    <t>23/05/2023, 2:47:29 pm</t>
  </si>
  <si>
    <t>23/05/2023, 2:47:30 pm</t>
  </si>
  <si>
    <t>23/05/2023, 2:47:31 pm</t>
  </si>
  <si>
    <t>23/05/2023, 2:47:32 pm</t>
  </si>
  <si>
    <t>23/05/2023, 2:47:33 pm</t>
  </si>
  <si>
    <t>23/05/2023, 2:47:34 pm</t>
  </si>
  <si>
    <t>23/05/2023, 2:47:35 pm</t>
  </si>
  <si>
    <t>23/05/2023, 2:47:36 pm</t>
  </si>
  <si>
    <t>23/05/2023, 2:47:37 pm</t>
  </si>
  <si>
    <t>23/05/2023, 2:47:38 pm</t>
  </si>
  <si>
    <t>23/05/2023, 2:47:39 pm</t>
  </si>
  <si>
    <t>23/05/2023, 2:47:40 pm</t>
  </si>
  <si>
    <t>23/05/2023, 2:47:41 pm</t>
  </si>
  <si>
    <t>23/05/2023, 2:47:42 pm</t>
  </si>
  <si>
    <t>23/05/2023, 2:47:43 pm</t>
  </si>
  <si>
    <t>23/05/2023, 2:47:44 pm</t>
  </si>
  <si>
    <t>23/05/2023, 2:47:45 pm</t>
  </si>
  <si>
    <t>23/05/2023, 2:47:46 pm</t>
  </si>
  <si>
    <t>23/05/2023, 2:47:47 pm</t>
  </si>
  <si>
    <t>23/05/2023, 2:47:48 pm</t>
  </si>
  <si>
    <t>23/05/2023, 2:47:49 pm</t>
  </si>
  <si>
    <t>23/05/2023, 2:47:50 pm</t>
  </si>
  <si>
    <t>23/05/2023, 2:47:51 pm</t>
  </si>
  <si>
    <t>23/05/2023, 2:47:52 pm</t>
  </si>
  <si>
    <t>23/05/2023, 2:47:53 pm</t>
  </si>
  <si>
    <t>23/05/2023, 2:47:54 pm</t>
  </si>
  <si>
    <t>23/05/2023, 2:47:55 pm</t>
  </si>
  <si>
    <t>23/05/2023, 2:47:56 pm</t>
  </si>
  <si>
    <t>23/05/2023, 2:47:57 pm</t>
  </si>
  <si>
    <t>23/05/2023, 2:47:58 pm</t>
  </si>
  <si>
    <t>23/05/2023, 2:47:59 pm</t>
  </si>
  <si>
    <t>23/05/2023, 2:48:00 pm</t>
  </si>
  <si>
    <t>23/05/2023, 2:48:01 pm</t>
  </si>
  <si>
    <t>23/05/2023, 2:48:02 pm</t>
  </si>
  <si>
    <t>23/05/2023, 2:48:03 pm</t>
  </si>
  <si>
    <t>23/05/2023, 2:48:04 pm</t>
  </si>
  <si>
    <t>23/05/2023, 2:48:05 pm</t>
  </si>
  <si>
    <t>23/05/2023, 2:48:06 pm</t>
  </si>
  <si>
    <t>23/05/2023, 2:48:07 pm</t>
  </si>
  <si>
    <t>23/05/2023, 2:48:08 pm</t>
  </si>
  <si>
    <t>23/05/2023, 2:48:09 pm</t>
  </si>
  <si>
    <t>23/05/2023, 2:48:10 pm</t>
  </si>
  <si>
    <t>23/05/2023, 2:48:11 pm</t>
  </si>
  <si>
    <t>23/05/2023, 2:48:13 pm</t>
  </si>
  <si>
    <t>23/05/2023, 2:48:14 pm</t>
  </si>
  <si>
    <t>23/05/2023, 2:48:15 pm</t>
  </si>
  <si>
    <t>23/05/2023, 2:48:16 pm</t>
  </si>
  <si>
    <t>23/05/2023, 2:48:17 pm</t>
  </si>
  <si>
    <t>23/05/2023, 2:48:18 pm</t>
  </si>
  <si>
    <t>23/05/2023, 2:48:19 pm</t>
  </si>
  <si>
    <t>23/05/2023, 2:48:20 pm</t>
  </si>
  <si>
    <t>23/05/2023, 2:48:21 pm</t>
  </si>
  <si>
    <t>23/05/2023, 2:48:22 pm</t>
  </si>
  <si>
    <t>23/05/2023, 2:48:23 pm</t>
  </si>
  <si>
    <t>23/05/2023, 2:48:24 pm</t>
  </si>
  <si>
    <t>23/05/2023, 2:48:25 pm</t>
  </si>
  <si>
    <t>23/05/2023, 2:48:26 pm</t>
  </si>
  <si>
    <t>23/05/2023, 2:48:27 pm</t>
  </si>
  <si>
    <t>23/05/2023, 2:48:28 pm</t>
  </si>
  <si>
    <t>23/05/2023, 2:48:29 pm</t>
  </si>
  <si>
    <t>23/05/2023, 2:48:30 pm</t>
  </si>
  <si>
    <t>23/05/2023, 2:48:31 pm</t>
  </si>
  <si>
    <t>23/05/2023, 2:48:32 pm</t>
  </si>
  <si>
    <t>23/05/2023, 2:48:33 pm</t>
  </si>
  <si>
    <t>23/05/2023, 2:48:34 pm</t>
  </si>
  <si>
    <t>23/05/2023, 2:48:35 pm</t>
  </si>
  <si>
    <t>23/05/2023, 2:48:36 pm</t>
  </si>
  <si>
    <t>23/05/2023, 2:48:37 pm</t>
  </si>
  <si>
    <t>23/05/2023, 2:48:38 pm</t>
  </si>
  <si>
    <t>23/05/2023, 2:48:39 pm</t>
  </si>
  <si>
    <t>23/05/2023, 2:48:40 pm</t>
  </si>
  <si>
    <t>23/05/2023, 2:48:41 pm</t>
  </si>
  <si>
    <t>23/05/2023, 2:48:42 pm</t>
  </si>
  <si>
    <t>23/05/2023, 2:48:43 pm</t>
  </si>
  <si>
    <t>23/05/2023, 2:48:44 pm</t>
  </si>
  <si>
    <t>23/05/2023, 2:48:45 pm</t>
  </si>
  <si>
    <t>23/05/2023, 2:48:46 pm</t>
  </si>
  <si>
    <t>23/05/2023, 2:48:47 pm</t>
  </si>
  <si>
    <t>23/05/2023, 2:48:48 pm</t>
  </si>
  <si>
    <t>23/05/2023, 2:48:49 pm</t>
  </si>
  <si>
    <t>23/05/2023, 2:48:50 pm</t>
  </si>
  <si>
    <t>23/05/2023, 2:48:51 pm</t>
  </si>
  <si>
    <t>23/05/2023, 2:48:52 pm</t>
  </si>
  <si>
    <t>23/05/2023, 2:48:53 pm</t>
  </si>
  <si>
    <t>23/05/2023, 2:48:54 pm</t>
  </si>
  <si>
    <t>23/05/2023, 2:48:55 pm</t>
  </si>
  <si>
    <t>23/05/2023, 2:48:56 pm</t>
  </si>
  <si>
    <t>23/05/2023, 2:48:57 pm</t>
  </si>
  <si>
    <t>23/05/2023, 2:48:58 pm</t>
  </si>
  <si>
    <t>23/05/2023, 2:48:59 pm</t>
  </si>
  <si>
    <t>23/05/2023, 2:49:00 pm</t>
  </si>
  <si>
    <t>23/05/2023, 2:49:01 pm</t>
  </si>
  <si>
    <t>23/05/2023, 2:49:02 pm</t>
  </si>
  <si>
    <t>23/05/2023, 2:49:03 pm</t>
  </si>
  <si>
    <t>23/05/2023, 2:49:04 pm</t>
  </si>
  <si>
    <t>23/05/2023, 2:49:05 pm</t>
  </si>
  <si>
    <t>23/05/2023, 2:49:06 pm</t>
  </si>
  <si>
    <t>23/05/2023, 2:49:07 pm</t>
  </si>
  <si>
    <t>23/05/2023, 2:49:08 pm</t>
  </si>
  <si>
    <t>23/05/2023, 2:49:09 pm</t>
  </si>
  <si>
    <t>23/05/2023, 2:49:10 pm</t>
  </si>
  <si>
    <t>23/05/2023, 2:49:11 pm</t>
  </si>
  <si>
    <t>23/05/2023, 2:49:12 pm</t>
  </si>
  <si>
    <t>23/05/2023, 2:49:13 pm</t>
  </si>
  <si>
    <t>23/05/2023, 2:49:14 pm</t>
  </si>
  <si>
    <t>23/05/2023, 2:49:15 pm</t>
  </si>
  <si>
    <t>23/05/2023, 2:49:16 pm</t>
  </si>
  <si>
    <t>23/05/2023, 2:49:17 pm</t>
  </si>
  <si>
    <t>23/05/2023, 2:49:18 pm</t>
  </si>
  <si>
    <t>23/05/2023, 2:49:19 pm</t>
  </si>
  <si>
    <t>23/05/2023, 2:49:20 pm</t>
  </si>
  <si>
    <t>23/05/2023, 2:49:21 pm</t>
  </si>
  <si>
    <t>23/05/2023, 2:49:22 pm</t>
  </si>
  <si>
    <t>23/05/2023, 2:49:23 pm</t>
  </si>
  <si>
    <t>23/05/2023, 2:49:24 pm</t>
  </si>
  <si>
    <t>23/05/2023, 2:49:25 pm</t>
  </si>
  <si>
    <t>23/05/2023, 2:49:26 pm</t>
  </si>
  <si>
    <t>23/05/2023, 2:49:27 pm</t>
  </si>
  <si>
    <t>23/05/2023, 2:49:28 pm</t>
  </si>
  <si>
    <t>23/05/2023, 2:49:29 pm</t>
  </si>
  <si>
    <t>23/05/2023, 2:49:30 pm</t>
  </si>
  <si>
    <t>23/05/2023, 2:49:31 pm</t>
  </si>
  <si>
    <t>23/05/2023, 2:49:32 pm</t>
  </si>
  <si>
    <t>23/05/2023, 2:49:33 pm</t>
  </si>
  <si>
    <t>23/05/2023, 2:49:34 pm</t>
  </si>
  <si>
    <t>23/05/2023, 2:49:35 pm</t>
  </si>
  <si>
    <t>23/05/2023, 2:49:36 pm</t>
  </si>
  <si>
    <t>23/05/2023, 2:49:37 pm</t>
  </si>
  <si>
    <t>23/05/2023, 2:49:38 pm</t>
  </si>
  <si>
    <t>23/05/2023, 2:49:39 pm</t>
  </si>
  <si>
    <t>23/05/2023, 2:49:40 pm</t>
  </si>
  <si>
    <t>23/05/2023, 2:49:41 pm</t>
  </si>
  <si>
    <t>23/05/2023, 2:49:42 pm</t>
  </si>
  <si>
    <t>23/05/2023, 2:49:43 pm</t>
  </si>
  <si>
    <t>23/05/2023, 2:49:44 pm</t>
  </si>
  <si>
    <t>23/05/2023, 2:49:45 pm</t>
  </si>
  <si>
    <t>23/05/2023, 2:49:46 pm</t>
  </si>
  <si>
    <t>23/05/2023, 2:49:47 pm</t>
  </si>
  <si>
    <t>23/05/2023, 2:49:48 pm</t>
  </si>
  <si>
    <t>23/05/2023, 2:49:49 pm</t>
  </si>
  <si>
    <t>23/05/2023, 2:49:50 pm</t>
  </si>
  <si>
    <t>23/05/2023, 2:49:51 pm</t>
  </si>
  <si>
    <t>23/05/2023, 2:49:52 pm</t>
  </si>
  <si>
    <t>23/05/2023, 2:49:53 pm</t>
  </si>
  <si>
    <t>23/05/2023, 2:49:54 pm</t>
  </si>
  <si>
    <t>23/05/2023, 2:49:55 pm</t>
  </si>
  <si>
    <t>23/05/2023, 2:49:56 pm</t>
  </si>
  <si>
    <t>23/05/2023, 2:49:57 pm</t>
  </si>
  <si>
    <t>23/05/2023, 2:49:58 pm</t>
  </si>
  <si>
    <t>23/05/2023, 2:49:59 pm</t>
  </si>
  <si>
    <t>23/05/2023, 2:50:00 pm</t>
  </si>
  <si>
    <t>23/05/2023, 2:50:01 pm</t>
  </si>
  <si>
    <t>23/05/2023, 2:50:02 pm</t>
  </si>
  <si>
    <t>23/05/2023, 2:50:03 pm</t>
  </si>
  <si>
    <t>23/05/2023, 2:50:04 pm</t>
  </si>
  <si>
    <t>23/05/2023, 2:50:05 pm</t>
  </si>
  <si>
    <t>23/05/2023, 2:50:06 pm</t>
  </si>
  <si>
    <t>23/05/2023, 2:50:07 pm</t>
  </si>
  <si>
    <t>23/05/2023, 2:50:08 pm</t>
  </si>
  <si>
    <t>23/05/2023, 2:50:09 pm</t>
  </si>
  <si>
    <t>23/05/2023, 2:50:10 pm</t>
  </si>
  <si>
    <t>23/05/2023, 2:50:11 pm</t>
  </si>
  <si>
    <t>23/05/2023, 2:50:12 pm</t>
  </si>
  <si>
    <t>23/05/2023, 2:50:13 pm</t>
  </si>
  <si>
    <t>23/05/2023, 2:50:14 pm</t>
  </si>
  <si>
    <t>23/05/2023, 2:50:15 pm</t>
  </si>
  <si>
    <t>23/05/2023, 2:50:16 pm</t>
  </si>
  <si>
    <t>23/05/2023, 2:50:17 pm</t>
  </si>
  <si>
    <t>23/05/2023, 2:50:18 pm</t>
  </si>
  <si>
    <t>23/05/2023, 2:50:19 pm</t>
  </si>
  <si>
    <t>23/05/2023, 2:50:20 pm</t>
  </si>
  <si>
    <t>23/05/2023, 2:50:21 pm</t>
  </si>
  <si>
    <t>23/05/2023, 2:50:22 pm</t>
  </si>
  <si>
    <t>23/05/2023, 2:50:24 pm</t>
  </si>
  <si>
    <t>23/05/2023, 2:50:25 pm</t>
  </si>
  <si>
    <t>23/05/2023, 2:50:26 pm</t>
  </si>
  <si>
    <t>23/05/2023, 2:50:27 pm</t>
  </si>
  <si>
    <t>23/05/2023, 2:50:28 pm</t>
  </si>
  <si>
    <t>23/05/2023, 2:50:29 pm</t>
  </si>
  <si>
    <t>23/05/2023, 2:50:30 pm</t>
  </si>
  <si>
    <t>23/05/2023, 2:50:31 pm</t>
  </si>
  <si>
    <t>23/05/2023, 2:50:32 pm</t>
  </si>
  <si>
    <t>23/05/2023, 2:50:33 pm</t>
  </si>
  <si>
    <t>23/05/2023, 2:50:34 pm</t>
  </si>
  <si>
    <t>23/05/2023, 2:50:35 pm</t>
  </si>
  <si>
    <t>23/05/2023, 2:50:36 pm</t>
  </si>
  <si>
    <t>23/05/2023, 2:50:37 pm</t>
  </si>
  <si>
    <t>23/05/2023, 2:50:38 pm</t>
  </si>
  <si>
    <t>23/05/2023, 2:50:39 pm</t>
  </si>
  <si>
    <t>23/05/2023, 2:50:40 pm</t>
  </si>
  <si>
    <t>23/05/2023, 2:50:41 pm</t>
  </si>
  <si>
    <t>23/05/2023, 2:50:42 pm</t>
  </si>
  <si>
    <t>23/05/2023, 2:50:43 pm</t>
  </si>
  <si>
    <t>23/05/2023, 2:50:44 pm</t>
  </si>
  <si>
    <t>23/05/2023, 2:50:45 pm</t>
  </si>
  <si>
    <t>23/05/2023, 2:50:46 pm</t>
  </si>
  <si>
    <t>23/05/2023, 2:50:47 pm</t>
  </si>
  <si>
    <t>23/05/2023, 2:50:48 pm</t>
  </si>
  <si>
    <t>23/05/2023, 2:50:49 pm</t>
  </si>
  <si>
    <t>23/05/2023, 2:50:50 pm</t>
  </si>
  <si>
    <t>23/05/2023, 2:50:51 pm</t>
  </si>
  <si>
    <t>23/05/2023, 2:50:52 pm</t>
  </si>
  <si>
    <t>23/05/2023, 2:50:53 pm</t>
  </si>
  <si>
    <t>23/05/2023, 2:50:54 pm</t>
  </si>
  <si>
    <t>23/05/2023, 2:50:55 pm</t>
  </si>
  <si>
    <t>23/05/2023, 2:50:56 pm</t>
  </si>
  <si>
    <t>23/05/2023, 2:50:57 pm</t>
  </si>
  <si>
    <t>23/05/2023, 2:50:58 pm</t>
  </si>
  <si>
    <t>23/05/2023, 2:50:59 pm</t>
  </si>
  <si>
    <t>23/05/2023, 2:51:00 pm</t>
  </si>
  <si>
    <t>23/05/2023, 2:51:01 pm</t>
  </si>
  <si>
    <t>23/05/2023, 2:51:02 pm</t>
  </si>
  <si>
    <t>23/05/2023, 2:51:03 pm</t>
  </si>
  <si>
    <t>23/05/2023, 2:51:04 pm</t>
  </si>
  <si>
    <t>23/05/2023, 2:51:05 pm</t>
  </si>
  <si>
    <t>23/05/2023, 2:51:06 pm</t>
  </si>
  <si>
    <t>23/05/2023, 2:51:07 pm</t>
  </si>
  <si>
    <t>23/05/2023, 2:51:08 pm</t>
  </si>
  <si>
    <t>23/05/2023, 2:51:09 pm</t>
  </si>
  <si>
    <t>23/05/2023, 2:51:10 pm</t>
  </si>
  <si>
    <t>23/05/2023, 2:51:11 pm</t>
  </si>
  <si>
    <t>23/05/2023, 2:51:12 pm</t>
  </si>
  <si>
    <t>23/05/2023, 2:51:13 pm</t>
  </si>
  <si>
    <t>23/05/2023, 2:51:14 pm</t>
  </si>
  <si>
    <t>23/05/2023, 2:51:15 pm</t>
  </si>
  <si>
    <t>23/05/2023, 2:51:16 pm</t>
  </si>
  <si>
    <t>23/05/2023, 2:51:17 pm</t>
  </si>
  <si>
    <t>23/05/2023, 2:51:18 pm</t>
  </si>
  <si>
    <t>23/05/2023, 2:51:19 pm</t>
  </si>
  <si>
    <t>23/05/2023, 2:51:20 pm</t>
  </si>
  <si>
    <t>23/05/2023, 2:51:21 pm</t>
  </si>
  <si>
    <t>23/05/2023, 2:51:22 pm</t>
  </si>
  <si>
    <t>23/05/2023, 2:51:23 pm</t>
  </si>
  <si>
    <t>23/05/2023, 2:51:24 pm</t>
  </si>
  <si>
    <t>23/05/2023, 2:51:25 pm</t>
  </si>
  <si>
    <t>23/05/2023, 2:51:26 pm</t>
  </si>
  <si>
    <t>23/05/2023, 2:51:27 pm</t>
  </si>
  <si>
    <t>23/05/2023, 2:51:28 pm</t>
  </si>
  <si>
    <t>23/05/2023, 2:51:29 pm</t>
  </si>
  <si>
    <t>23/05/2023, 2:51:30 pm</t>
  </si>
  <si>
    <t>23/05/2023, 2:51:31 pm</t>
  </si>
  <si>
    <t>23/05/2023, 2:51:32 pm</t>
  </si>
  <si>
    <t>23/05/2023, 2:51:33 pm</t>
  </si>
  <si>
    <t>23/05/2023, 2:51:34 pm</t>
  </si>
  <si>
    <t>23/05/2023, 2:51:35 pm</t>
  </si>
  <si>
    <t>23/05/2023, 2:51:36 pm</t>
  </si>
  <si>
    <t>23/05/2023, 2:51:37 pm</t>
  </si>
  <si>
    <t>23/05/2023, 2:51:38 pm</t>
  </si>
  <si>
    <t>23/05/2023, 2:51:39 pm</t>
  </si>
  <si>
    <t>23/05/2023, 2:51:40 pm</t>
  </si>
  <si>
    <t>23/05/2023, 2:51:41 pm</t>
  </si>
  <si>
    <t>23/05/2023, 2:51:42 pm</t>
  </si>
  <si>
    <t>23/05/2023, 2:51:43 pm</t>
  </si>
  <si>
    <t>23/05/2023, 2:51:44 pm</t>
  </si>
  <si>
    <t>23/05/2023, 2:51:45 pm</t>
  </si>
  <si>
    <t>23/05/2023, 2:51:46 pm</t>
  </si>
  <si>
    <t>23/05/2023, 2:51:47 pm</t>
  </si>
  <si>
    <t>23/05/2023, 2:51:48 pm</t>
  </si>
  <si>
    <t>23/05/2023, 2:51:49 pm</t>
  </si>
  <si>
    <t>23/05/2023, 2:51:50 pm</t>
  </si>
  <si>
    <t>23/05/2023, 2:51:51 pm</t>
  </si>
  <si>
    <t>23/05/2023, 2:51:52 pm</t>
  </si>
  <si>
    <t>23/05/2023, 2:51:53 pm</t>
  </si>
  <si>
    <t>23/05/2023, 2:51:54 pm</t>
  </si>
  <si>
    <t>23/05/2023, 2:51:55 pm</t>
  </si>
  <si>
    <t>23/05/2023, 2:51:56 pm</t>
  </si>
  <si>
    <t>23/05/2023, 2:51:57 pm</t>
  </si>
  <si>
    <t>23/05/2023, 2:51:58 pm</t>
  </si>
  <si>
    <t>23/05/2023, 2:51:59 pm</t>
  </si>
  <si>
    <t>23/05/2023, 2:52:00 pm</t>
  </si>
  <si>
    <t>23/05/2023, 2:52:01 pm</t>
  </si>
  <si>
    <t>23/05/2023, 2:52:02 pm</t>
  </si>
  <si>
    <t>23/05/2023, 2:52:03 pm</t>
  </si>
  <si>
    <t>23/05/2023, 2:52:04 pm</t>
  </si>
  <si>
    <t>23/05/2023, 2:52:05 pm</t>
  </si>
  <si>
    <t>23/05/2023, 2:52:06 pm</t>
  </si>
  <si>
    <t>23/05/2023, 2:52:07 pm</t>
  </si>
  <si>
    <t>23/05/2023, 2:52:08 pm</t>
  </si>
  <si>
    <t>23/05/2023, 2:52:09 pm</t>
  </si>
  <si>
    <t>23/05/2023, 2:52:10 pm</t>
  </si>
  <si>
    <t>23/05/2023, 2:52:11 pm</t>
  </si>
  <si>
    <t>23/05/2023, 2:52:12 pm</t>
  </si>
  <si>
    <t>23/05/2023, 2:52:13 pm</t>
  </si>
  <si>
    <t>23/05/2023, 2:52:14 pm</t>
  </si>
  <si>
    <t>23/05/2023, 2:52:15 pm</t>
  </si>
  <si>
    <t>23/05/2023, 2:52:16 pm</t>
  </si>
  <si>
    <t>23/05/2023, 2:52:17 pm</t>
  </si>
  <si>
    <t>23/05/2023, 2:52:18 pm</t>
  </si>
  <si>
    <t>23/05/2023, 2:52:19 pm</t>
  </si>
  <si>
    <t>23/05/2023, 2:52:20 pm</t>
  </si>
  <si>
    <t>23/05/2023, 2:52:21 pm</t>
  </si>
  <si>
    <t>23/05/2023, 2:52:22 pm</t>
  </si>
  <si>
    <t>23/05/2023, 2:52:23 pm</t>
  </si>
  <si>
    <t>23/05/2023, 2:52:24 pm</t>
  </si>
  <si>
    <t>23/05/2023, 2:52:25 pm</t>
  </si>
  <si>
    <t>23/05/2023, 2:52:26 pm</t>
  </si>
  <si>
    <t>23/05/2023, 2:52:27 pm</t>
  </si>
  <si>
    <t>23/05/2023, 2:52:28 pm</t>
  </si>
  <si>
    <t>23/05/2023, 2:52:29 pm</t>
  </si>
  <si>
    <t>23/05/2023, 2:52:30 pm</t>
  </si>
  <si>
    <t>23/05/2023, 2:52:31 pm</t>
  </si>
  <si>
    <t>23/05/2023, 2:52:32 pm</t>
  </si>
  <si>
    <t>23/05/2023, 2:52:33 pm</t>
  </si>
  <si>
    <t>23/05/2023, 2:52:34 pm</t>
  </si>
  <si>
    <t>23/05/2023, 2:52:35 pm</t>
  </si>
  <si>
    <t>23/05/2023, 2:52:36 pm</t>
  </si>
  <si>
    <t>23/05/2023, 2:52:38 pm</t>
  </si>
  <si>
    <t>23/05/2023, 2:52:39 pm</t>
  </si>
  <si>
    <t>23/05/2023, 2:52:40 pm</t>
  </si>
  <si>
    <t>23/05/2023, 2:52:41 pm</t>
  </si>
  <si>
    <t>23/05/2023, 2:52:42 pm</t>
  </si>
  <si>
    <t>23/05/2023, 2:52:43 pm</t>
  </si>
  <si>
    <t>23/05/2023, 2:52:44 pm</t>
  </si>
  <si>
    <t>23/05/2023, 2:52:45 pm</t>
  </si>
  <si>
    <t>23/05/2023, 2:52:46 pm</t>
  </si>
  <si>
    <t>23/05/2023, 2:52:47 pm</t>
  </si>
  <si>
    <t>23/05/2023, 2:52:48 pm</t>
  </si>
  <si>
    <t>23/05/2023, 2:52:49 pm</t>
  </si>
  <si>
    <t>23/05/2023, 2:52:50 pm</t>
  </si>
  <si>
    <t>23/05/2023, 2:52:51 pm</t>
  </si>
  <si>
    <t>23/05/2023, 2:52:52 pm</t>
  </si>
  <si>
    <t>23/05/2023, 2:52:53 pm</t>
  </si>
  <si>
    <t>23/05/2023, 2:52:54 pm</t>
  </si>
  <si>
    <t>23/05/2023, 2:52:55 pm</t>
  </si>
  <si>
    <t>23/05/2023, 2:52:56 pm</t>
  </si>
  <si>
    <t>23/05/2023, 2:52:57 pm</t>
  </si>
  <si>
    <t>23/05/2023, 2:52:58 pm</t>
  </si>
  <si>
    <t>23/05/2023, 2:52:59 pm</t>
  </si>
  <si>
    <t>23/05/2023, 2:53:00 pm</t>
  </si>
  <si>
    <t>23/05/2023, 2:53:01 pm</t>
  </si>
  <si>
    <t>23/05/2023, 2:53:02 pm</t>
  </si>
  <si>
    <t>23/05/2023, 2:53:03 pm</t>
  </si>
  <si>
    <t>23/05/2023, 2:53:04 pm</t>
  </si>
  <si>
    <t>23/05/2023, 2:53:05 pm</t>
  </si>
  <si>
    <t>23/05/2023, 2:53:06 pm</t>
  </si>
  <si>
    <t>23/05/2023, 2:53:07 pm</t>
  </si>
  <si>
    <t>23/05/2023, 2:53:08 pm</t>
  </si>
  <si>
    <t>23/05/2023, 2:53:09 pm</t>
  </si>
  <si>
    <t>23/05/2023, 2:53:10 pm</t>
  </si>
  <si>
    <t>23/05/2023, 2:53:11 pm</t>
  </si>
  <si>
    <t>23/05/2023, 2:53:12 pm</t>
  </si>
  <si>
    <t>23/05/2023, 2:53:13 pm</t>
  </si>
  <si>
    <t>23/05/2023, 2:53:14 pm</t>
  </si>
  <si>
    <t>23/05/2023, 2:53:15 pm</t>
  </si>
  <si>
    <t>23/05/2023, 2:53:16 pm</t>
  </si>
  <si>
    <t>23/05/2023, 2:53:17 pm</t>
  </si>
  <si>
    <t>23/05/2023, 2:53:18 pm</t>
  </si>
  <si>
    <t>23/05/2023, 2:53:19 pm</t>
  </si>
  <si>
    <t>23/05/2023, 2:53:20 pm</t>
  </si>
  <si>
    <t>23/05/2023, 2:53:21 pm</t>
  </si>
  <si>
    <t>23/05/2023, 2:53:22 pm</t>
  </si>
  <si>
    <t>23/05/2023, 2:53:23 pm</t>
  </si>
  <si>
    <t>23/05/2023, 2:53:24 pm</t>
  </si>
  <si>
    <t>23/05/2023, 2:53:25 pm</t>
  </si>
  <si>
    <t>23/05/2023, 2:53:26 pm</t>
  </si>
  <si>
    <t>23/05/2023, 2:53:27 pm</t>
  </si>
  <si>
    <t>23/05/2023, 2:53:28 pm</t>
  </si>
  <si>
    <t>23/05/2023, 2:53:29 pm</t>
  </si>
  <si>
    <t>23/05/2023, 2:53:30 pm</t>
  </si>
  <si>
    <t>23/05/2023, 2:53:31 pm</t>
  </si>
  <si>
    <t>23/05/2023, 2:53:32 pm</t>
  </si>
  <si>
    <t>23/05/2023, 2:53:33 pm</t>
  </si>
  <si>
    <t>23/05/2023, 2:53:34 pm</t>
  </si>
  <si>
    <t>23/05/2023, 2:53:35 pm</t>
  </si>
  <si>
    <t>23/05/2023, 2:53:36 pm</t>
  </si>
  <si>
    <t>23/05/2023, 2:53:37 pm</t>
  </si>
  <si>
    <t>23/05/2023, 2:53:38 pm</t>
  </si>
  <si>
    <t>23/05/2023, 2:53:39 pm</t>
  </si>
  <si>
    <t>23/05/2023, 2:53:40 pm</t>
  </si>
  <si>
    <t>23/05/2023, 2:53:41 pm</t>
  </si>
  <si>
    <t>23/05/2023, 2:53:42 pm</t>
  </si>
  <si>
    <t>23/05/2023, 2:53:43 pm</t>
  </si>
  <si>
    <t>23/05/2023, 2:53:44 pm</t>
  </si>
  <si>
    <t>23/05/2023, 2:53:45 pm</t>
  </si>
  <si>
    <t>23/05/2023, 2:53:46 pm</t>
  </si>
  <si>
    <t>23/05/2023, 2:53:47 pm</t>
  </si>
  <si>
    <t>23/05/2023, 2:53:48 pm</t>
  </si>
  <si>
    <t>23/05/2023, 2:53:49 pm</t>
  </si>
  <si>
    <t>23/05/2023, 2:53:50 pm</t>
  </si>
  <si>
    <t>23/05/2023, 2:53:51 pm</t>
  </si>
  <si>
    <t>23/05/2023, 2:53:52 pm</t>
  </si>
  <si>
    <t>23/05/2023, 2:53:53 pm</t>
  </si>
  <si>
    <t>23/05/2023, 2:53:54 pm</t>
  </si>
  <si>
    <t>23/05/2023, 2:53:55 pm</t>
  </si>
  <si>
    <t>23/05/2023, 2:53:56 pm</t>
  </si>
  <si>
    <t>23/05/2023, 2:53:57 pm</t>
  </si>
  <si>
    <t>23/05/2023, 2:53:58 pm</t>
  </si>
  <si>
    <t>23/05/2023, 2:53:59 pm</t>
  </si>
  <si>
    <t>23/05/2023, 2:54:00 pm</t>
  </si>
  <si>
    <t>23/05/2023, 2:54:01 pm</t>
  </si>
  <si>
    <t>23/05/2023, 2:54:02 pm</t>
  </si>
  <si>
    <t>23/05/2023, 2:54:03 pm</t>
  </si>
  <si>
    <t>23/05/2023, 2:54:04 pm</t>
  </si>
  <si>
    <t>23/05/2023, 2:54:05 pm</t>
  </si>
  <si>
    <t>23/05/2023, 2:54:06 pm</t>
  </si>
  <si>
    <t>23/05/2023, 2:54:07 pm</t>
  </si>
  <si>
    <t>23/05/2023, 2:54:08 pm</t>
  </si>
  <si>
    <t>23/05/2023, 2:54:09 pm</t>
  </si>
  <si>
    <t>23/05/2023, 2:54:10 pm</t>
  </si>
  <si>
    <t>23/05/2023, 2:54:11 pm</t>
  </si>
  <si>
    <t>23/05/2023, 2:54:12 pm</t>
  </si>
  <si>
    <t>23/05/2023, 2:54:13 pm</t>
  </si>
  <si>
    <t>23/05/2023, 2:54:14 pm</t>
  </si>
  <si>
    <t>23/05/2023, 2:54:15 pm</t>
  </si>
  <si>
    <t>23/05/2023, 2:54:16 pm</t>
  </si>
  <si>
    <t>23/05/2023, 2:54:17 pm</t>
  </si>
  <si>
    <t>23/05/2023, 2:54:18 pm</t>
  </si>
  <si>
    <t>23/05/2023, 2:54:19 pm</t>
  </si>
  <si>
    <t>23/05/2023, 2:54:20 pm</t>
  </si>
  <si>
    <t>23/05/2023, 2:54:21 pm</t>
  </si>
  <si>
    <t>23/05/2023, 2:54:22 pm</t>
  </si>
  <si>
    <t>23/05/2023, 2:54:23 pm</t>
  </si>
  <si>
    <t>23/05/2023, 2:54:24 pm</t>
  </si>
  <si>
    <t>23/05/2023, 2:54:25 pm</t>
  </si>
  <si>
    <t>23/05/2023, 2:54:26 pm</t>
  </si>
  <si>
    <t>23/05/2023, 2:54:27 pm</t>
  </si>
  <si>
    <t>23/05/2023, 2:54:28 pm</t>
  </si>
  <si>
    <t>23/05/2023, 2:54:29 pm</t>
  </si>
  <si>
    <t>23/05/2023, 2:54:30 pm</t>
  </si>
  <si>
    <t>23/05/2023, 2:54:31 pm</t>
  </si>
  <si>
    <t>23/05/2023, 2:54:32 pm</t>
  </si>
  <si>
    <t>23/05/2023, 2:54:33 pm</t>
  </si>
  <si>
    <t>23/05/2023, 2:54:34 pm</t>
  </si>
  <si>
    <t>23/05/2023, 2:54:35 pm</t>
  </si>
  <si>
    <t>23/05/2023, 2:54:36 pm</t>
  </si>
  <si>
    <t>23/05/2023, 2:54:37 pm</t>
  </si>
  <si>
    <t>23/05/2023, 2:54:38 pm</t>
  </si>
  <si>
    <t>23/05/2023, 2:54:39 pm</t>
  </si>
  <si>
    <t>23/05/2023, 2:54:40 pm</t>
  </si>
  <si>
    <t>23/05/2023, 2:54:41 pm</t>
  </si>
  <si>
    <t>23/05/2023, 2:54:42 pm</t>
  </si>
  <si>
    <t>23/05/2023, 2:54:43 pm</t>
  </si>
  <si>
    <t>23/05/2023, 2:54:44 pm</t>
  </si>
  <si>
    <t>23/05/2023, 2:54:45 pm</t>
  </si>
  <si>
    <t>23/05/2023, 2:54:46 pm</t>
  </si>
  <si>
    <t>23/05/2023, 2:54:47 pm</t>
  </si>
  <si>
    <t>23/05/2023, 2:54:48 pm</t>
  </si>
  <si>
    <t>23/05/2023, 2:54:49 pm</t>
  </si>
  <si>
    <t>23/05/2023, 2:54:50 pm</t>
  </si>
  <si>
    <t>23/05/2023, 2:54:51 pm</t>
  </si>
  <si>
    <t>23/05/2023, 2:54:52 pm</t>
  </si>
  <si>
    <t>23/05/2023, 2:54:53 pm</t>
  </si>
  <si>
    <t>23/05/2023, 2:54:54 pm</t>
  </si>
  <si>
    <t>23/05/2023, 2:54:55 pm</t>
  </si>
  <si>
    <t>23/05/2023, 2:54:56 pm</t>
  </si>
  <si>
    <t>23/05/2023, 2:54:57 pm</t>
  </si>
  <si>
    <t>23/05/2023, 2:54:58 pm</t>
  </si>
  <si>
    <t>23/05/2023, 2:54:59 pm</t>
  </si>
  <si>
    <t>23/05/2023, 2:55:00 pm</t>
  </si>
  <si>
    <t>23/05/2023, 2:55:01 pm</t>
  </si>
  <si>
    <t>23/05/2023, 2:55:03 pm</t>
  </si>
  <si>
    <t>23/05/2023, 2:55:04 pm</t>
  </si>
  <si>
    <t>23/05/2023, 2:55:05 pm</t>
  </si>
  <si>
    <t>23/05/2023, 2:55:06 pm</t>
  </si>
  <si>
    <t>23/05/2023, 2:55:07 pm</t>
  </si>
  <si>
    <t>23/05/2023, 2:55:08 pm</t>
  </si>
  <si>
    <t>23/05/2023, 2:55:09 pm</t>
  </si>
  <si>
    <t>23/05/2023, 2:55:10 pm</t>
  </si>
  <si>
    <t>23/05/2023, 2:55:11 pm</t>
  </si>
  <si>
    <t>23/05/2023, 2:55:12 pm</t>
  </si>
  <si>
    <t>23/05/2023, 2:55:13 pm</t>
  </si>
  <si>
    <t>23/05/2023, 2:55:14 pm</t>
  </si>
  <si>
    <t>23/05/2023, 2:55:15 pm</t>
  </si>
  <si>
    <t>23/05/2023, 2:55:16 pm</t>
  </si>
  <si>
    <t>23/05/2023, 2:55:17 pm</t>
  </si>
  <si>
    <t>23/05/2023, 2:55:18 pm</t>
  </si>
  <si>
    <t>23/05/2023, 2:55:19 pm</t>
  </si>
  <si>
    <t>23/05/2023, 2:55:20 pm</t>
  </si>
  <si>
    <t>23/05/2023, 2:55:21 pm</t>
  </si>
  <si>
    <t>23/05/2023, 2:55:22 pm</t>
  </si>
  <si>
    <t>23/05/2023, 2:55:23 pm</t>
  </si>
  <si>
    <t>23/05/2023, 2:55:24 pm</t>
  </si>
  <si>
    <t>23/05/2023, 2:55:25 pm</t>
  </si>
  <si>
    <t>23/05/2023, 2:55:26 pm</t>
  </si>
  <si>
    <t>23/05/2023, 2:55:27 pm</t>
  </si>
  <si>
    <t>23/05/2023, 2:55:28 pm</t>
  </si>
  <si>
    <t>23/05/2023, 2:55:29 pm</t>
  </si>
  <si>
    <t>23/05/2023, 2:55:30 pm</t>
  </si>
  <si>
    <t>23/05/2023, 2:55:31 pm</t>
  </si>
  <si>
    <t>23/05/2023, 2:55:32 pm</t>
  </si>
  <si>
    <t>23/05/2023, 2:55:33 pm</t>
  </si>
  <si>
    <t>23/05/2023, 2:55:34 pm</t>
  </si>
  <si>
    <t>23/05/2023, 2:55:35 pm</t>
  </si>
  <si>
    <t>23/05/2023, 2:55:36 pm</t>
  </si>
  <si>
    <t>23/05/2023, 2:55:37 pm</t>
  </si>
  <si>
    <t>23/05/2023, 2:55:38 pm</t>
  </si>
  <si>
    <t>23/05/2023, 2:55:39 pm</t>
  </si>
  <si>
    <t>23/05/2023, 2:55:40 pm</t>
  </si>
  <si>
    <t>23/05/2023, 2:55:41 pm</t>
  </si>
  <si>
    <t>23/05/2023, 2:55:42 pm</t>
  </si>
  <si>
    <t>23/05/2023, 2:55:43 pm</t>
  </si>
  <si>
    <t>23/05/2023, 2:55:44 pm</t>
  </si>
  <si>
    <t>23/05/2023, 2:55:45 pm</t>
  </si>
  <si>
    <t>23/05/2023, 2:55:46 pm</t>
  </si>
  <si>
    <t>23/05/2023, 2:55:47 pm</t>
  </si>
  <si>
    <t>23/05/2023, 2:55:48 pm</t>
  </si>
  <si>
    <t>23/05/2023, 2:55:49 pm</t>
  </si>
  <si>
    <t>23/05/2023, 2:55:50 pm</t>
  </si>
  <si>
    <t>23/05/2023, 2:55:51 pm</t>
  </si>
  <si>
    <t>23/05/2023, 2:55:52 pm</t>
  </si>
  <si>
    <t>23/05/2023, 2:55:53 pm</t>
  </si>
  <si>
    <t>23/05/2023, 2:55:54 pm</t>
  </si>
  <si>
    <t>23/05/2023, 2:55:55 pm</t>
  </si>
  <si>
    <t>23/05/2023, 2:55:56 pm</t>
  </si>
  <si>
    <t>23/05/2023, 2:55:57 pm</t>
  </si>
  <si>
    <t>23/05/2023, 2:55:58 pm</t>
  </si>
  <si>
    <t>23/05/2023, 2:55:59 pm</t>
  </si>
  <si>
    <t>23/05/2023, 2:56:00 pm</t>
  </si>
  <si>
    <t>23/05/2023, 2:56:01 pm</t>
  </si>
  <si>
    <t>23/05/2023, 2:56:02 pm</t>
  </si>
  <si>
    <t>23/05/2023, 2:56:03 pm</t>
  </si>
  <si>
    <t>23/05/2023, 2:56:04 pm</t>
  </si>
  <si>
    <t>23/05/2023, 2:56:05 pm</t>
  </si>
  <si>
    <t>23/05/2023, 2:56:06 pm</t>
  </si>
  <si>
    <t>23/05/2023, 2:56:07 pm</t>
  </si>
  <si>
    <t>23/05/2023, 2:56:08 pm</t>
  </si>
  <si>
    <t>23/05/2023, 2:56:09 pm</t>
  </si>
  <si>
    <t>23/05/2023, 2:56:10 pm</t>
  </si>
  <si>
    <t>23/05/2023, 2:56:11 pm</t>
  </si>
  <si>
    <t>23/05/2023, 2:56:12 pm</t>
  </si>
  <si>
    <t>23/05/2023, 2:56:13 pm</t>
  </si>
  <si>
    <t>23/05/2023, 2:56:14 pm</t>
  </si>
  <si>
    <t>23/05/2023, 2:56:15 pm</t>
  </si>
  <si>
    <t>23/05/2023, 2:56:16 pm</t>
  </si>
  <si>
    <t>23/05/2023, 2:56:17 pm</t>
  </si>
  <si>
    <t>23/05/2023, 2:56:18 pm</t>
  </si>
  <si>
    <t>23/05/2023, 2:56:19 pm</t>
  </si>
  <si>
    <t>23/05/2023, 2:56:20 pm</t>
  </si>
  <si>
    <t>23/05/2023, 2:56:21 pm</t>
  </si>
  <si>
    <t>23/05/2023, 2:56:22 pm</t>
  </si>
  <si>
    <t>23/05/2023, 2:56:23 pm</t>
  </si>
  <si>
    <t>23/05/2023, 2:56:24 pm</t>
  </si>
  <si>
    <t>23/05/2023, 2:56:25 pm</t>
  </si>
  <si>
    <t>23/05/2023, 2:56:26 pm</t>
  </si>
  <si>
    <t>23/05/2023, 2:56:27 pm</t>
  </si>
  <si>
    <t>23/05/2023, 2:56:28 pm</t>
  </si>
  <si>
    <t>23/05/2023, 2:56:29 pm</t>
  </si>
  <si>
    <t>23/05/2023, 2:56:30 pm</t>
  </si>
  <si>
    <t>23/05/2023, 2:56:31 pm</t>
  </si>
  <si>
    <t>23/05/2023, 2:56:32 pm</t>
  </si>
  <si>
    <t>23/05/2023, 2:56:33 pm</t>
  </si>
  <si>
    <t>23/05/2023, 2:56:34 pm</t>
  </si>
  <si>
    <t>23/05/2023, 2:56:35 pm</t>
  </si>
  <si>
    <t>23/05/2023, 2:56:36 pm</t>
  </si>
  <si>
    <t>23/05/2023, 2:56:37 pm</t>
  </si>
  <si>
    <t>23/05/2023, 2:56:38 pm</t>
  </si>
  <si>
    <t>23/05/2023, 2:56:39 pm</t>
  </si>
  <si>
    <t>23/05/2023, 2:56:40 pm</t>
  </si>
  <si>
    <t>23/05/2023, 2:56:41 pm</t>
  </si>
  <si>
    <t>23/05/2023, 2:56:42 pm</t>
  </si>
  <si>
    <t>23/05/2023, 2:56:43 pm</t>
  </si>
  <si>
    <t>23/05/2023, 2:56:44 pm</t>
  </si>
  <si>
    <t>23/05/2023, 2:56:45 pm</t>
  </si>
  <si>
    <t>23/05/2023, 2:56:46 pm</t>
  </si>
  <si>
    <t>23/05/2023, 2:56:47 pm</t>
  </si>
  <si>
    <t>23/05/2023, 2:56:48 pm</t>
  </si>
  <si>
    <t>23/05/2023, 2:56:49 pm</t>
  </si>
  <si>
    <t>23/05/2023, 2:56:50 pm</t>
  </si>
  <si>
    <t>23/05/2023, 2:56:51 pm</t>
  </si>
  <si>
    <t>23/05/2023, 2:56:52 pm</t>
  </si>
  <si>
    <t>23/05/2023, 2:56:53 pm</t>
  </si>
  <si>
    <t>23/05/2023, 2:56:54 pm</t>
  </si>
  <si>
    <t>23/05/2023, 2:56:55 pm</t>
  </si>
  <si>
    <t>23/05/2023, 2:56:56 pm</t>
  </si>
  <si>
    <t>23/05/2023, 2:56:57 pm</t>
  </si>
  <si>
    <t>23/05/2023, 2:56:58 pm</t>
  </si>
  <si>
    <t>23/05/2023, 2:56:59 pm</t>
  </si>
  <si>
    <t>23/05/2023, 2:57:00 pm</t>
  </si>
  <si>
    <t>23/05/2023, 2:57:01 pm</t>
  </si>
  <si>
    <t>23/05/2023, 2:57:02 pm</t>
  </si>
  <si>
    <t>23/05/2023, 2:57:03 pm</t>
  </si>
  <si>
    <t>23/05/2023, 2:57:04 pm</t>
  </si>
  <si>
    <t>23/05/2023, 2:57:05 pm</t>
  </si>
  <si>
    <t>23/05/2023, 2:57:06 pm</t>
  </si>
  <si>
    <t>23/05/2023, 2:57:07 pm</t>
  </si>
  <si>
    <t>23/05/2023, 2:57:08 pm</t>
  </si>
  <si>
    <t>23/05/2023, 2:57:09 pm</t>
  </si>
  <si>
    <t>23/05/2023, 2:57:10 pm</t>
  </si>
  <si>
    <t>23/05/2023, 2:57:11 pm</t>
  </si>
  <si>
    <t>23/05/2023, 2:57:12 pm</t>
  </si>
  <si>
    <t>23/05/2023, 2:57:13 pm</t>
  </si>
  <si>
    <t>23/05/2023, 2:57:14 pm</t>
  </si>
  <si>
    <t>23/05/2023, 2:57:15 pm</t>
  </si>
  <si>
    <t>23/05/2023, 2:57:16 pm</t>
  </si>
  <si>
    <t>23/05/2023, 2:57:17 pm</t>
  </si>
  <si>
    <t>23/05/2023, 2:57:18 pm</t>
  </si>
  <si>
    <t>23/05/2023, 2:57:19 pm</t>
  </si>
  <si>
    <t>23/05/2023, 2:57:20 pm</t>
  </si>
  <si>
    <t>23/05/2023, 2:57:22 pm</t>
  </si>
  <si>
    <t>23/05/2023, 2:57:23 pm</t>
  </si>
  <si>
    <t>23/05/2023, 2:57:24 pm</t>
  </si>
  <si>
    <t>23/05/2023, 2:57:25 pm</t>
  </si>
  <si>
    <t>23/05/2023, 2:57:26 pm</t>
  </si>
  <si>
    <t>23/05/2023, 2:57:27 pm</t>
  </si>
  <si>
    <t>23/05/2023, 2:57:28 pm</t>
  </si>
  <si>
    <t>23/05/2023, 2:57:29 pm</t>
  </si>
  <si>
    <t>23/05/2023, 2:57:30 pm</t>
  </si>
  <si>
    <t>23/05/2023, 2:57:31 pm</t>
  </si>
  <si>
    <t>23/05/2023, 2:57:32 pm</t>
  </si>
  <si>
    <t>23/05/2023, 2:57:33 pm</t>
  </si>
  <si>
    <t>23/05/2023, 2:57:34 pm</t>
  </si>
  <si>
    <t>23/05/2023, 2:57:35 pm</t>
  </si>
  <si>
    <t>23/05/2023, 2:57:36 pm</t>
  </si>
  <si>
    <t>23/05/2023, 2:57:37 pm</t>
  </si>
  <si>
    <t>23/05/2023, 2:57:38 pm</t>
  </si>
  <si>
    <t>23/05/2023, 2:57:39 pm</t>
  </si>
  <si>
    <t>23/05/2023, 2:57:40 pm</t>
  </si>
  <si>
    <t>23/05/2023, 2:57:41 pm</t>
  </si>
  <si>
    <t>23/05/2023, 2:57:42 pm</t>
  </si>
  <si>
    <t>23/05/2023, 2:57:43 pm</t>
  </si>
  <si>
    <t>23/05/2023, 2:57:44 pm</t>
  </si>
  <si>
    <t>23/05/2023, 2:57:45 pm</t>
  </si>
  <si>
    <t>23/05/2023, 2:57:46 pm</t>
  </si>
  <si>
    <t>23/05/2023, 2:57:47 pm</t>
  </si>
  <si>
    <t>23/05/2023, 2:57:48 pm</t>
  </si>
  <si>
    <t>23/05/2023, 2:57:49 pm</t>
  </si>
  <si>
    <t>23/05/2023, 2:57:50 pm</t>
  </si>
  <si>
    <t>23/05/2023, 2:57:51 pm</t>
  </si>
  <si>
    <t>23/05/2023, 2:57:52 pm</t>
  </si>
  <si>
    <t>23/05/2023, 2:57:53 pm</t>
  </si>
  <si>
    <t>23/05/2023, 2:57:54 pm</t>
  </si>
  <si>
    <t>23/05/2023, 2:57:55 pm</t>
  </si>
  <si>
    <t>23/05/2023, 2:57:56 pm</t>
  </si>
  <si>
    <t>23/05/2023, 2:57:57 pm</t>
  </si>
  <si>
    <t>23/05/2023, 2:57:58 pm</t>
  </si>
  <si>
    <t>23/05/2023, 2:57:59 pm</t>
  </si>
  <si>
    <t>23/05/2023, 2:58:00 pm</t>
  </si>
  <si>
    <t>23/05/2023, 2:58:01 pm</t>
  </si>
  <si>
    <t>23/05/2023, 2:58:02 pm</t>
  </si>
  <si>
    <t>23/05/2023, 2:58:03 pm</t>
  </si>
  <si>
    <t>23/05/2023, 2:58:04 pm</t>
  </si>
  <si>
    <t>23/05/2023, 2:58:05 pm</t>
  </si>
  <si>
    <t>23/05/2023, 2:58:06 pm</t>
  </si>
  <si>
    <t>23/05/2023, 2:58:07 pm</t>
  </si>
  <si>
    <t>23/05/2023, 2:58:08 pm</t>
  </si>
  <si>
    <t>23/05/2023, 2:58:09 pm</t>
  </si>
  <si>
    <t>23/05/2023, 2:58:10 pm</t>
  </si>
  <si>
    <t>23/05/2023, 2:58:11 pm</t>
  </si>
  <si>
    <t>23/05/2023, 2:58:12 pm</t>
  </si>
  <si>
    <t>23/05/2023, 2:58:13 pm</t>
  </si>
  <si>
    <t>23/05/2023, 2:58:14 pm</t>
  </si>
  <si>
    <t>23/05/2023, 2:58:15 pm</t>
  </si>
  <si>
    <t>23/05/2023, 2:58:16 pm</t>
  </si>
  <si>
    <t>23/05/2023, 2:58:17 pm</t>
  </si>
  <si>
    <t>23/05/2023, 2:58:18 pm</t>
  </si>
  <si>
    <t>23/05/2023, 2:58:19 pm</t>
  </si>
  <si>
    <t>23/05/2023, 2:58:20 pm</t>
  </si>
  <si>
    <t>23/05/2023, 2:58:21 pm</t>
  </si>
  <si>
    <t>23/05/2023, 2:58:22 pm</t>
  </si>
  <si>
    <t>23/05/2023, 2:58:23 pm</t>
  </si>
  <si>
    <t>23/05/2023, 2:58:24 pm</t>
  </si>
  <si>
    <t>23/05/2023, 2:58:25 pm</t>
  </si>
  <si>
    <t>23/05/2023, 2:58:26 pm</t>
  </si>
  <si>
    <t>23/05/2023, 2:58:27 pm</t>
  </si>
  <si>
    <t>23/05/2023, 2:58:28 pm</t>
  </si>
  <si>
    <t>23/05/2023, 2:58:29 pm</t>
  </si>
  <si>
    <t>23/05/2023, 2:58:30 pm</t>
  </si>
  <si>
    <t>23/05/2023, 2:58:31 pm</t>
  </si>
  <si>
    <t>23/05/2023, 2:58:32 pm</t>
  </si>
  <si>
    <t>23/05/2023, 2:58:33 pm</t>
  </si>
  <si>
    <t>23/05/2023, 2:58:34 pm</t>
  </si>
  <si>
    <t>23/05/2023, 2:58:35 pm</t>
  </si>
  <si>
    <t>23/05/2023, 2:58:36 pm</t>
  </si>
  <si>
    <t>23/05/2023, 2:58:37 pm</t>
  </si>
  <si>
    <t>23/05/2023, 2:58:38 pm</t>
  </si>
  <si>
    <t>23/05/2023, 2:58:39 pm</t>
  </si>
  <si>
    <t>23/05/2023, 2:58:40 pm</t>
  </si>
  <si>
    <t>23/05/2023, 2:58:41 pm</t>
  </si>
  <si>
    <t>23/05/2023, 2:58:42 pm</t>
  </si>
  <si>
    <t>23/05/2023, 2:58:43 pm</t>
  </si>
  <si>
    <t>23/05/2023, 2:58:44 pm</t>
  </si>
  <si>
    <t>23/05/2023, 2:58:45 pm</t>
  </si>
  <si>
    <t>23/05/2023, 2:58:46 pm</t>
  </si>
  <si>
    <t>23/05/2023, 2:58:47 pm</t>
  </si>
  <si>
    <t>23/05/2023, 2:58:48 pm</t>
  </si>
  <si>
    <t>23/05/2023, 2:58:49 pm</t>
  </si>
  <si>
    <t>23/05/2023, 2:58:50 pm</t>
  </si>
  <si>
    <t>23/05/2023, 2:58:51 pm</t>
  </si>
  <si>
    <t>23/05/2023, 2:58:52 pm</t>
  </si>
  <si>
    <t>23/05/2023, 2:58:53 pm</t>
  </si>
  <si>
    <t>23/05/2023, 2:58:54 pm</t>
  </si>
  <si>
    <t>23/05/2023, 2:58:55 pm</t>
  </si>
  <si>
    <t>23/05/2023, 2:58:56 pm</t>
  </si>
  <si>
    <t>23/05/2023, 2:58:57 pm</t>
  </si>
  <si>
    <t>23/05/2023, 2:58:58 pm</t>
  </si>
  <si>
    <t>23/05/2023, 2:58:59 pm</t>
  </si>
  <si>
    <t>23/05/2023, 2:59:00 pm</t>
  </si>
  <si>
    <t>23/05/2023, 2:59:01 pm</t>
  </si>
  <si>
    <t>23/05/2023, 2:59:02 pm</t>
  </si>
  <si>
    <t>23/05/2023, 2:59:03 pm</t>
  </si>
  <si>
    <t>23/05/2023, 2:59:04 pm</t>
  </si>
  <si>
    <t>23/05/2023, 2:59:05 pm</t>
  </si>
  <si>
    <t>23/05/2023, 2:59:06 pm</t>
  </si>
  <si>
    <t>23/05/2023, 2:59:07 pm</t>
  </si>
  <si>
    <t>23/05/2023, 2:59:08 pm</t>
  </si>
  <si>
    <t>23/05/2023, 2:59:09 pm</t>
  </si>
  <si>
    <t>23/05/2023, 2:59:10 pm</t>
  </si>
  <si>
    <t>23/05/2023, 2:59:11 pm</t>
  </si>
  <si>
    <t>23/05/2023, 2:59:12 pm</t>
  </si>
  <si>
    <t>23/05/2023, 2:59:13 pm</t>
  </si>
  <si>
    <t>23/05/2023, 2:59:14 pm</t>
  </si>
  <si>
    <t>23/05/2023, 2:59:15 pm</t>
  </si>
  <si>
    <t>23/05/2023, 2:59:16 pm</t>
  </si>
  <si>
    <t>23/05/2023, 2:59:17 pm</t>
  </si>
  <si>
    <t>23/05/2023, 2:59:18 pm</t>
  </si>
  <si>
    <t>23/05/2023, 2:59:19 pm</t>
  </si>
  <si>
    <t>23/05/2023, 2:59:20 pm</t>
  </si>
  <si>
    <t>23/05/2023, 2:59:21 pm</t>
  </si>
  <si>
    <t>23/05/2023, 2:59:22 pm</t>
  </si>
  <si>
    <t>23/05/2023, 2:59:23 pm</t>
  </si>
  <si>
    <t>23/05/2023, 2:59:24 pm</t>
  </si>
  <si>
    <t>23/05/2023, 2:59:25 pm</t>
  </si>
  <si>
    <t>23/05/2023, 2:59:26 pm</t>
  </si>
  <si>
    <t>23/05/2023, 2:59:28 pm</t>
  </si>
  <si>
    <t>23/05/2023, 2:59:29 pm</t>
  </si>
  <si>
    <t>23/05/2023, 2:59:30 pm</t>
  </si>
  <si>
    <t>23/05/2023, 2:59:31 pm</t>
  </si>
  <si>
    <t>23/05/2023, 2:59:32 pm</t>
  </si>
  <si>
    <t>23/05/2023, 2:59:33 pm</t>
  </si>
  <si>
    <t>23/05/2023, 2:59:34 pm</t>
  </si>
  <si>
    <t>23/05/2023, 2:59:35 pm</t>
  </si>
  <si>
    <t>23/05/2023, 2:59:36 pm</t>
  </si>
  <si>
    <t>23/05/2023, 2:59:37 pm</t>
  </si>
  <si>
    <t>23/05/2023, 2:59:38 pm</t>
  </si>
  <si>
    <t>23/05/2023, 2:59:39 pm</t>
  </si>
  <si>
    <t>23/05/2023, 2:59:40 pm</t>
  </si>
  <si>
    <t>23/05/2023, 2:59:41 pm</t>
  </si>
  <si>
    <t>23/05/2023, 2:59:42 pm</t>
  </si>
  <si>
    <t>23/05/2023, 2:59:43 pm</t>
  </si>
  <si>
    <t>23/05/2023, 2:59:44 pm</t>
  </si>
  <si>
    <t>23/05/2023, 2:59:45 pm</t>
  </si>
  <si>
    <t>23/05/2023, 2:59:46 pm</t>
  </si>
  <si>
    <t>23/05/2023, 2:59:47 pm</t>
  </si>
  <si>
    <t>23/05/2023, 2:59:48 pm</t>
  </si>
  <si>
    <t>23/05/2023, 2:59:49 pm</t>
  </si>
  <si>
    <t>23/05/2023, 2:59:50 pm</t>
  </si>
  <si>
    <t>23/05/2023, 2:59:51 pm</t>
  </si>
  <si>
    <t>23/05/2023, 2:59:52 pm</t>
  </si>
  <si>
    <t>23/05/2023, 2:59:53 pm</t>
  </si>
  <si>
    <t>23/05/2023, 2:59:54 pm</t>
  </si>
  <si>
    <t>23/05/2023, 2:59:55 pm</t>
  </si>
  <si>
    <t>23/05/2023, 2:59:56 pm</t>
  </si>
  <si>
    <t>23/05/2023, 2:59:57 pm</t>
  </si>
  <si>
    <t>23/05/2023, 2:59:58 pm</t>
  </si>
  <si>
    <t>23/05/2023, 2:59:59 pm</t>
  </si>
  <si>
    <t>23/05/2023, 3:00:00 pm</t>
  </si>
  <si>
    <t>23/05/2023, 3:00:01 pm</t>
  </si>
  <si>
    <t>23/05/2023, 3:00:02 pm</t>
  </si>
  <si>
    <t>23/05/2023, 3:00:03 pm</t>
  </si>
  <si>
    <t>23/05/2023, 3:00:04 pm</t>
  </si>
  <si>
    <t>23/05/2023, 3:00:05 pm</t>
  </si>
  <si>
    <t>23/05/2023, 3:00:06 pm</t>
  </si>
  <si>
    <t>23/05/2023, 3:00:07 pm</t>
  </si>
  <si>
    <t>23/05/2023, 3:00:08 pm</t>
  </si>
  <si>
    <t>23/05/2023, 3:00:09 pm</t>
  </si>
  <si>
    <t>23/05/2023, 3:00:10 pm</t>
  </si>
  <si>
    <t>23/05/2023, 3:00:11 pm</t>
  </si>
  <si>
    <t>23/05/2023, 3:00:12 pm</t>
  </si>
  <si>
    <t>23/05/2023, 3:00:13 pm</t>
  </si>
  <si>
    <t>23/05/2023, 3:00:14 pm</t>
  </si>
  <si>
    <t>23/05/2023, 3:00:15 pm</t>
  </si>
  <si>
    <t>23/05/2023, 3:00:16 pm</t>
  </si>
  <si>
    <t>23/05/2023, 3:00:17 pm</t>
  </si>
  <si>
    <t>23/05/2023, 3:00:18 pm</t>
  </si>
  <si>
    <t>23/05/2023, 3:00:19 pm</t>
  </si>
  <si>
    <t>23/05/2023, 3:00:20 pm</t>
  </si>
  <si>
    <t>23/05/2023, 3:00:21 pm</t>
  </si>
  <si>
    <t>23/05/2023, 3:00:22 pm</t>
  </si>
  <si>
    <t>23/05/2023, 3:00:23 pm</t>
  </si>
  <si>
    <t>23/05/2023, 3:00:24 pm</t>
  </si>
  <si>
    <t>23/05/2023, 3:00:25 pm</t>
  </si>
  <si>
    <t>23/05/2023, 3:00:26 pm</t>
  </si>
  <si>
    <t>23/05/2023, 3:00:27 pm</t>
  </si>
  <si>
    <t>23/05/2023, 3:00:28 pm</t>
  </si>
  <si>
    <t>23/05/2023, 3:00:29 pm</t>
  </si>
  <si>
    <t>23/05/2023, 3:00:30 pm</t>
  </si>
  <si>
    <t>23/05/2023, 3:00:31 pm</t>
  </si>
  <si>
    <t>23/05/2023, 3:00:32 pm</t>
  </si>
  <si>
    <t>23/05/2023, 3:00:33 pm</t>
  </si>
  <si>
    <t>23/05/2023, 3:00:34 pm</t>
  </si>
  <si>
    <t>23/05/2023, 3:00:35 pm</t>
  </si>
  <si>
    <t>23/05/2023, 3:00:36 pm</t>
  </si>
  <si>
    <t>23/05/2023, 3:00:37 pm</t>
  </si>
  <si>
    <t>23/05/2023, 3:00:38 pm</t>
  </si>
  <si>
    <t>23/05/2023, 3:00:39 pm</t>
  </si>
  <si>
    <t>23/05/2023, 3:00:40 pm</t>
  </si>
  <si>
    <t>23/05/2023, 3:00:41 pm</t>
  </si>
  <si>
    <t>23/05/2023, 3:00:42 pm</t>
  </si>
  <si>
    <t>23/05/2023, 3:00:43 pm</t>
  </si>
  <si>
    <t>23/05/2023, 3:00:44 pm</t>
  </si>
  <si>
    <t>23/05/2023, 3:00:45 pm</t>
  </si>
  <si>
    <t>23/05/2023, 3:00:46 pm</t>
  </si>
  <si>
    <t>23/05/2023, 3:00:47 pm</t>
  </si>
  <si>
    <t>23/05/2023, 3:00:48 pm</t>
  </si>
  <si>
    <t>23/05/2023, 3:00:49 pm</t>
  </si>
  <si>
    <t>23/05/2023, 3:00:50 pm</t>
  </si>
  <si>
    <t>23/05/2023, 3:00:51 pm</t>
  </si>
  <si>
    <t>23/05/2023, 3:00:52 pm</t>
  </si>
  <si>
    <t>23/05/2023, 3:00:53 pm</t>
  </si>
  <si>
    <t>23/05/2023, 3:00:54 pm</t>
  </si>
  <si>
    <t>23/05/2023, 3:00:55 pm</t>
  </si>
  <si>
    <t>23/05/2023, 3:00:56 pm</t>
  </si>
  <si>
    <t>23/05/2023, 3:00:57 pm</t>
  </si>
  <si>
    <t>23/05/2023, 3:00:58 pm</t>
  </si>
  <si>
    <t>23/05/2023, 3:00:59 pm</t>
  </si>
  <si>
    <t>23/05/2023, 3:01:00 pm</t>
  </si>
  <si>
    <t>23/05/2023, 3:01:01 pm</t>
  </si>
  <si>
    <t>23/05/2023, 3:01:02 pm</t>
  </si>
  <si>
    <t>23/05/2023, 3:01:03 pm</t>
  </si>
  <si>
    <t>23/05/2023, 3:01:04 pm</t>
  </si>
  <si>
    <t>23/05/2023, 3:01:05 pm</t>
  </si>
  <si>
    <t>23/05/2023, 3:01:06 pm</t>
  </si>
  <si>
    <t>23/05/2023, 3:01:07 pm</t>
  </si>
  <si>
    <t>23/05/2023, 3:01:08 pm</t>
  </si>
  <si>
    <t>23/05/2023, 3:01:09 pm</t>
  </si>
  <si>
    <t>23/05/2023, 3:01:10 pm</t>
  </si>
  <si>
    <t>23/05/2023, 3:01:11 pm</t>
  </si>
  <si>
    <t>23/05/2023, 3:01:12 pm</t>
  </si>
  <si>
    <t>23/05/2023, 3:01:13 pm</t>
  </si>
  <si>
    <t>23/05/2023, 3:01:14 pm</t>
  </si>
  <si>
    <t>23/05/2023, 3:01:15 pm</t>
  </si>
  <si>
    <t>23/05/2023, 3:01:16 pm</t>
  </si>
  <si>
    <t>23/05/2023, 3:01:17 pm</t>
  </si>
  <si>
    <t>23/05/2023, 3:01:18 pm</t>
  </si>
  <si>
    <t>23/05/2023, 3:01:19 pm</t>
  </si>
  <si>
    <t>23/05/2023, 3:01:20 pm</t>
  </si>
  <si>
    <t>23/05/2023, 3:01:21 pm</t>
  </si>
  <si>
    <t>23/05/2023, 3:01:22 pm</t>
  </si>
  <si>
    <t>23/05/2023, 3:01:23 pm</t>
  </si>
  <si>
    <t>23/05/2023, 3:01:24 pm</t>
  </si>
  <si>
    <t>23/05/2023, 3:01:25 pm</t>
  </si>
  <si>
    <t>23/05/2023, 3:01:26 pm</t>
  </si>
  <si>
    <t>23/05/2023, 3:01:27 pm</t>
  </si>
  <si>
    <t>23/05/2023, 3:01:28 pm</t>
  </si>
  <si>
    <t>23/05/2023, 3:01:29 pm</t>
  </si>
  <si>
    <t>23/05/2023, 3:01:30 pm</t>
  </si>
  <si>
    <t>23/05/2023, 3:01:31 pm</t>
  </si>
  <si>
    <t>23/05/2023, 3:01:32 pm</t>
  </si>
  <si>
    <t>23/05/2023, 3:01:33 pm</t>
  </si>
  <si>
    <t>23/05/2023, 3:01:34 pm</t>
  </si>
  <si>
    <t>23/05/2023, 3:01:35 pm</t>
  </si>
  <si>
    <t>23/05/2023, 3:01:36 pm</t>
  </si>
  <si>
    <t>23/05/2023, 3:01:37 pm</t>
  </si>
  <si>
    <t>23/05/2023, 3:01:38 pm</t>
  </si>
  <si>
    <t>23/05/2023, 3:01:39 pm</t>
  </si>
  <si>
    <t>23/05/2023, 3:01:40 pm</t>
  </si>
  <si>
    <t>23/05/2023, 3:01:41 pm</t>
  </si>
  <si>
    <t>23/05/2023, 3:01:42 pm</t>
  </si>
  <si>
    <t>23/05/2023, 3:01:43 pm</t>
  </si>
  <si>
    <t>23/05/2023, 3:01:44 pm</t>
  </si>
  <si>
    <t>23/05/2023, 3:01:45 pm</t>
  </si>
  <si>
    <t>23/05/2023, 3:01:46 pm</t>
  </si>
  <si>
    <t>23/05/2023, 3:01:47 pm</t>
  </si>
  <si>
    <t>23/05/2023, 3:01:49 pm</t>
  </si>
  <si>
    <t>23/05/2023, 3:01:50 pm</t>
  </si>
  <si>
    <t>23/05/2023, 3:01:51 pm</t>
  </si>
  <si>
    <t>23/05/2023, 3:01:52 pm</t>
  </si>
  <si>
    <t>23/05/2023, 3:01:53 pm</t>
  </si>
  <si>
    <t>23/05/2023, 3:01:54 pm</t>
  </si>
  <si>
    <t>23/05/2023, 3:01:55 pm</t>
  </si>
  <si>
    <t>23/05/2023, 3:01:56 pm</t>
  </si>
  <si>
    <t>23/05/2023, 3:01:57 pm</t>
  </si>
  <si>
    <t>23/05/2023, 3:01:58 pm</t>
  </si>
  <si>
    <t>23/05/2023, 3:01:59 pm</t>
  </si>
  <si>
    <t>23/05/2023, 3:02:00 pm</t>
  </si>
  <si>
    <t>23/05/2023, 3:02:01 pm</t>
  </si>
  <si>
    <t>23/05/2023, 3:02:02 pm</t>
  </si>
  <si>
    <t>23/05/2023, 3:02:03 pm</t>
  </si>
  <si>
    <t>23/05/2023, 3:02:04 pm</t>
  </si>
  <si>
    <t>23/05/2023, 3:02:05 pm</t>
  </si>
  <si>
    <t>23/05/2023, 3:02:06 pm</t>
  </si>
  <si>
    <t>23/05/2023, 3:02:07 pm</t>
  </si>
  <si>
    <t>23/05/2023, 3:02:08 pm</t>
  </si>
  <si>
    <t>23/05/2023, 3:02:09 pm</t>
  </si>
  <si>
    <t>23/05/2023, 3:02:10 pm</t>
  </si>
  <si>
    <t>23/05/2023, 3:02:11 pm</t>
  </si>
  <si>
    <t>23/05/2023, 3:02:12 pm</t>
  </si>
  <si>
    <t>23/05/2023, 3:02:13 pm</t>
  </si>
  <si>
    <t>23/05/2023, 3:02:14 pm</t>
  </si>
  <si>
    <t>23/05/2023, 3:02:15 pm</t>
  </si>
  <si>
    <t>23/05/2023, 3:02:16 pm</t>
  </si>
  <si>
    <t>23/05/2023, 3:02:17 pm</t>
  </si>
  <si>
    <t>23/05/2023, 3:02:18 pm</t>
  </si>
  <si>
    <t>23/05/2023, 3:02:19 pm</t>
  </si>
  <si>
    <t>23/05/2023, 3:02:20 pm</t>
  </si>
  <si>
    <t>23/05/2023, 3:02:21 pm</t>
  </si>
  <si>
    <t>23/05/2023, 3:02:22 pm</t>
  </si>
  <si>
    <t>23/05/2023, 3:02:23 pm</t>
  </si>
  <si>
    <t>23/05/2023, 3:02:24 pm</t>
  </si>
  <si>
    <t>23/05/2023, 3:02:25 pm</t>
  </si>
  <si>
    <t>23/05/2023, 3:02:26 pm</t>
  </si>
  <si>
    <t>23/05/2023, 3:02:27 pm</t>
  </si>
  <si>
    <t>23/05/2023, 3:02:28 pm</t>
  </si>
  <si>
    <t>23/05/2023, 3:02:29 pm</t>
  </si>
  <si>
    <t>23/05/2023, 3:02:30 pm</t>
  </si>
  <si>
    <t>23/05/2023, 3:02:31 pm</t>
  </si>
  <si>
    <t>23/05/2023, 3:02:32 pm</t>
  </si>
  <si>
    <t>23/05/2023, 3:02:33 pm</t>
  </si>
  <si>
    <t>23/05/2023, 3:02:34 pm</t>
  </si>
  <si>
    <t>23/05/2023, 3:02:35 pm</t>
  </si>
  <si>
    <t>23/05/2023, 3:02:36 pm</t>
  </si>
  <si>
    <t>23/05/2023, 3:02:37 pm</t>
  </si>
  <si>
    <t>23/05/2023, 3:02:38 pm</t>
  </si>
  <si>
    <t>23/05/2023, 3:02:39 pm</t>
  </si>
  <si>
    <t>23/05/2023, 3:02:40 pm</t>
  </si>
  <si>
    <t>23/05/2023, 3:02:41 pm</t>
  </si>
  <si>
    <t>23/05/2023, 3:02:42 pm</t>
  </si>
  <si>
    <t>23/05/2023, 3:02:43 pm</t>
  </si>
  <si>
    <t>23/05/2023, 3:02:44 pm</t>
  </si>
  <si>
    <t>23/05/2023, 3:02:45 pm</t>
  </si>
  <si>
    <t>23/05/2023, 3:02:46 pm</t>
  </si>
  <si>
    <t>23/05/2023, 3:02:47 pm</t>
  </si>
  <si>
    <t>23/05/2023, 3:02:48 pm</t>
  </si>
  <si>
    <t>23/05/2023, 3:02:49 pm</t>
  </si>
  <si>
    <t>23/05/2023, 3:02:50 pm</t>
  </si>
  <si>
    <t>23/05/2023, 3:02:51 pm</t>
  </si>
  <si>
    <t>23/05/2023, 3:02:52 pm</t>
  </si>
  <si>
    <t>23/05/2023, 3:02:53 pm</t>
  </si>
  <si>
    <t>23/05/2023, 3:02:54 pm</t>
  </si>
  <si>
    <t>23/05/2023, 3:02:55 pm</t>
  </si>
  <si>
    <t>23/05/2023, 3:02:56 pm</t>
  </si>
  <si>
    <t>23/05/2023, 3:02:57 pm</t>
  </si>
  <si>
    <t>23/05/2023, 3:02:58 pm</t>
  </si>
  <si>
    <t>23/05/2023, 3:02:59 pm</t>
  </si>
  <si>
    <t>23/05/2023, 3:03:00 pm</t>
  </si>
  <si>
    <t>23/05/2023, 3:03:01 pm</t>
  </si>
  <si>
    <t>23/05/2023, 3:03:02 pm</t>
  </si>
  <si>
    <t>23/05/2023, 3:03:03 pm</t>
  </si>
  <si>
    <t>23/05/2023, 3:03:04 pm</t>
  </si>
  <si>
    <t>23/05/2023, 3:03:05 pm</t>
  </si>
  <si>
    <t>23/05/2023, 3:03:06 pm</t>
  </si>
  <si>
    <t>23/05/2023, 3:03:07 pm</t>
  </si>
  <si>
    <t>23/05/2023, 3:03:08 pm</t>
  </si>
  <si>
    <t>23/05/2023, 3:03:09 pm</t>
  </si>
  <si>
    <t>23/05/2023, 3:03:10 pm</t>
  </si>
  <si>
    <t>23/05/2023, 3:03:11 pm</t>
  </si>
  <si>
    <t>23/05/2023, 3:03:12 pm</t>
  </si>
  <si>
    <t>23/05/2023, 3:03:13 pm</t>
  </si>
  <si>
    <t>23/05/2023, 3:03:14 pm</t>
  </si>
  <si>
    <t>23/05/2023, 3:03:15 pm</t>
  </si>
  <si>
    <t>23/05/2023, 3:03:16 pm</t>
  </si>
  <si>
    <t>23/05/2023, 3:03:17 pm</t>
  </si>
  <si>
    <t>23/05/2023, 3:03:18 pm</t>
  </si>
  <si>
    <t>23/05/2023, 3:03:19 pm</t>
  </si>
  <si>
    <t>23/05/2023, 3:03:20 pm</t>
  </si>
  <si>
    <t>23/05/2023, 3:03:21 pm</t>
  </si>
  <si>
    <t>23/05/2023, 3:03:22 pm</t>
  </si>
  <si>
    <t>23/05/2023, 3:03:23 pm</t>
  </si>
  <si>
    <t>23/05/2023, 3:03:24 pm</t>
  </si>
  <si>
    <t>23/05/2023, 3:03:25 pm</t>
  </si>
  <si>
    <t>23/05/2023, 3:03:26 pm</t>
  </si>
  <si>
    <t>23/05/2023, 3:03:27 pm</t>
  </si>
  <si>
    <t>23/05/2023, 3:03:28 pm</t>
  </si>
  <si>
    <t>23/05/2023, 3:03:29 pm</t>
  </si>
  <si>
    <t>23/05/2023, 3:03:30 pm</t>
  </si>
  <si>
    <t>23/05/2023, 3:03:31 pm</t>
  </si>
  <si>
    <t>23/05/2023, 3:03:32 pm</t>
  </si>
  <si>
    <t>23/05/2023, 3:03:33 pm</t>
  </si>
  <si>
    <t>23/05/2023, 3:03:34 pm</t>
  </si>
  <si>
    <t>23/05/2023, 3:03:35 pm</t>
  </si>
  <si>
    <t>23/05/2023, 3:03:36 pm</t>
  </si>
  <si>
    <t>23/05/2023, 3:03:37 pm</t>
  </si>
  <si>
    <t>23/05/2023, 3:03:38 pm</t>
  </si>
  <si>
    <t>23/05/2023, 3:03:39 pm</t>
  </si>
  <si>
    <t>23/05/2023, 3:03:40 pm</t>
  </si>
  <si>
    <t>23/05/2023, 3:03:41 pm</t>
  </si>
  <si>
    <t>23/05/2023, 3:03:42 pm</t>
  </si>
  <si>
    <t>23/05/2023, 3:03:43 pm</t>
  </si>
  <si>
    <t>23/05/2023, 3:03:44 pm</t>
  </si>
  <si>
    <t>23/05/2023, 3:03:45 pm</t>
  </si>
  <si>
    <t>23/05/2023, 3:03:46 pm</t>
  </si>
  <si>
    <t>23/05/2023, 3:03:47 pm</t>
  </si>
  <si>
    <t>23/05/2023, 3:03:48 pm</t>
  </si>
  <si>
    <t>23/05/2023, 3:03:49 pm</t>
  </si>
  <si>
    <t>23/05/2023, 3:03:50 pm</t>
  </si>
  <si>
    <t>23/05/2023, 3:03:51 pm</t>
  </si>
  <si>
    <t>23/05/2023, 3:03:52 pm</t>
  </si>
  <si>
    <t>23/05/2023, 3:03:53 pm</t>
  </si>
  <si>
    <t>23/05/2023, 3:03:54 pm</t>
  </si>
  <si>
    <t>23/05/2023, 3:03:55 pm</t>
  </si>
  <si>
    <t>23/05/2023, 3:03:56 pm</t>
  </si>
  <si>
    <t>23/05/2023, 3:03:58 pm</t>
  </si>
  <si>
    <t>23/05/2023, 3:03:59 pm</t>
  </si>
  <si>
    <t>23/05/2023, 3:04:00 pm</t>
  </si>
  <si>
    <t>23/05/2023, 3:04:01 pm</t>
  </si>
  <si>
    <t>23/05/2023, 3:04:02 pm</t>
  </si>
  <si>
    <t>23/05/2023, 3:04:03 pm</t>
  </si>
  <si>
    <t>23/05/2023, 3:04:04 pm</t>
  </si>
  <si>
    <t>23/05/2023, 3:04:05 pm</t>
  </si>
  <si>
    <t>23/05/2023, 3:04:06 pm</t>
  </si>
  <si>
    <t>23/05/2023, 3:04:07 pm</t>
  </si>
  <si>
    <t>23/05/2023, 3:04:08 pm</t>
  </si>
  <si>
    <t>23/05/2023, 3:04:09 pm</t>
  </si>
  <si>
    <t>23/05/2023, 3:04:10 pm</t>
  </si>
  <si>
    <t>23/05/2023, 3:04:11 pm</t>
  </si>
  <si>
    <t>23/05/2023, 3:04:12 pm</t>
  </si>
  <si>
    <t>23/05/2023, 3:04:13 pm</t>
  </si>
  <si>
    <t>23/05/2023, 3:04:14 pm</t>
  </si>
  <si>
    <t>23/05/2023, 3:04:15 pm</t>
  </si>
  <si>
    <t>23/05/2023, 3:04:16 pm</t>
  </si>
  <si>
    <t>23/05/2023, 3:04:17 pm</t>
  </si>
  <si>
    <t>23/05/2023, 3:04:18 pm</t>
  </si>
  <si>
    <t>23/05/2023, 3:04:19 pm</t>
  </si>
  <si>
    <t>23/05/2023, 3:04:20 pm</t>
  </si>
  <si>
    <t>23/05/2023, 3:04:21 pm</t>
  </si>
  <si>
    <t>23/05/2023, 3:04:22 pm</t>
  </si>
  <si>
    <t>23/05/2023, 3:04:23 pm</t>
  </si>
  <si>
    <t>23/05/2023, 3:04:24 pm</t>
  </si>
  <si>
    <t>23/05/2023, 3:04:25 pm</t>
  </si>
  <si>
    <t>23/05/2023, 3:04:26 pm</t>
  </si>
  <si>
    <t>23/05/2023, 3:04:27 pm</t>
  </si>
  <si>
    <t>23/05/2023, 3:04:28 pm</t>
  </si>
  <si>
    <t>23/05/2023, 3:04:29 pm</t>
  </si>
  <si>
    <t>23/05/2023, 3:04:30 pm</t>
  </si>
  <si>
    <t>23/05/2023, 3:04:55 pm</t>
  </si>
  <si>
    <t>23/05/2023, 3:04:56 pm</t>
  </si>
  <si>
    <t>23/05/2023, 3:04:57 pm</t>
  </si>
  <si>
    <t>23/05/2023, 3:04:58 pm</t>
  </si>
  <si>
    <t>23/05/2023, 3:04:59 pm</t>
  </si>
  <si>
    <t>23/05/2023, 3:05:00 pm</t>
  </si>
  <si>
    <t>23/05/2023, 3:05:01 pm</t>
  </si>
  <si>
    <t>23/05/2023, 3:05:02 pm</t>
  </si>
  <si>
    <t>23/05/2023, 3:05:03 pm</t>
  </si>
  <si>
    <t>23/05/2023, 3:05:04 pm</t>
  </si>
  <si>
    <t>23/05/2023, 3:05:05 pm</t>
  </si>
  <si>
    <t>23/05/2023, 3:05:06 pm</t>
  </si>
  <si>
    <t>23/05/2023, 3:05:07 pm</t>
  </si>
  <si>
    <t>23/05/2023, 3:05:08 pm</t>
  </si>
  <si>
    <t>23/05/2023, 3:05:09 pm</t>
  </si>
  <si>
    <t>23/05/2023, 3:05:10 pm</t>
  </si>
  <si>
    <t>23/05/2023, 3:05:11 pm</t>
  </si>
  <si>
    <t>23/05/2023, 3:05:12 pm</t>
  </si>
  <si>
    <t>23/05/2023, 3:05:13 pm</t>
  </si>
  <si>
    <t>23/05/2023, 3:05:14 pm</t>
  </si>
  <si>
    <t>23/05/2023, 3:05:15 pm</t>
  </si>
  <si>
    <t>23/05/2023, 3:05:16 pm</t>
  </si>
  <si>
    <t>23/05/2023, 3:05:17 pm</t>
  </si>
  <si>
    <t>23/05/2023, 3:05:18 pm</t>
  </si>
  <si>
    <t>23/05/2023, 3:05:19 pm</t>
  </si>
  <si>
    <t>23/05/2023, 3:05:20 pm</t>
  </si>
  <si>
    <t>23/05/2023, 3:05:21 pm</t>
  </si>
  <si>
    <t>23/05/2023, 3:05:22 pm</t>
  </si>
  <si>
    <t>23/05/2023, 3:05:23 pm</t>
  </si>
  <si>
    <t>23/05/2023, 3:05:24 pm</t>
  </si>
  <si>
    <t>23/05/2023, 3:05:27 pm</t>
  </si>
  <si>
    <t>23/05/2023, 3:06:46 pm</t>
  </si>
  <si>
    <t>23/05/2023, 3:06:47 pm</t>
  </si>
  <si>
    <t>23/05/2023, 3:06:48 pm</t>
  </si>
  <si>
    <t>23/05/2023, 3:06:49 pm</t>
  </si>
  <si>
    <t>23/05/2023, 3:06:50 pm</t>
  </si>
  <si>
    <t>23/05/2023, 3:06:51 pm</t>
  </si>
  <si>
    <t>23/05/2023, 3:06:52 pm</t>
  </si>
  <si>
    <t>23/05/2023, 3:06:53 pm</t>
  </si>
  <si>
    <t>23/05/2023, 3:06:54 pm</t>
  </si>
  <si>
    <t>23/05/2023, 3:06:55 pm</t>
  </si>
  <si>
    <t>23/05/2023, 3:06:56 pm</t>
  </si>
  <si>
    <t>23/05/2023, 3:06:57 pm</t>
  </si>
  <si>
    <t>23/05/2023, 3:06:58 pm</t>
  </si>
  <si>
    <t>23/05/2023, 3:06:59 pm</t>
  </si>
  <si>
    <t>23/05/2023, 3:07:00 pm</t>
  </si>
  <si>
    <t>23/05/2023, 3:07:01 pm</t>
  </si>
  <si>
    <t>23/05/2023, 3:07:02 pm</t>
  </si>
  <si>
    <t>23/05/2023, 3:07:03 pm</t>
  </si>
  <si>
    <t>23/05/2023, 3:07:04 pm</t>
  </si>
  <si>
    <t>23/05/2023, 3:07:05 pm</t>
  </si>
  <si>
    <t>23/05/2023, 3:07:06 pm</t>
  </si>
  <si>
    <t>23/05/2023, 3:07:07 pm</t>
  </si>
  <si>
    <t>23/05/2023, 3:07:08 pm</t>
  </si>
  <si>
    <t>23/05/2023, 3:07:09 pm</t>
  </si>
  <si>
    <t>23/05/2023, 3:07:10 pm</t>
  </si>
  <si>
    <t>23/05/2023, 3:07:11 pm</t>
  </si>
  <si>
    <t>23/05/2023, 3:07:12 pm</t>
  </si>
  <si>
    <t>23/05/2023, 3:07:13 pm</t>
  </si>
  <si>
    <t>23/05/2023, 3:07:14 pm</t>
  </si>
  <si>
    <t>23/05/2023, 3:07:15 pm</t>
  </si>
  <si>
    <t>23/05/2023, 3:07:16 pm</t>
  </si>
  <si>
    <t>23/05/2023, 3:07:17 pm</t>
  </si>
  <si>
    <t>23/05/2023, 3:07:19 pm</t>
  </si>
  <si>
    <t>23/05/2023, 3:07:20 pm</t>
  </si>
  <si>
    <t>23/05/2023, 3:07:21 pm</t>
  </si>
  <si>
    <t>23/05/2023, 3:07:22 pm</t>
  </si>
  <si>
    <t>23/05/2023, 3:07:23 pm</t>
  </si>
  <si>
    <t>23/05/2023, 3:07:24 pm</t>
  </si>
  <si>
    <t>23/05/2023, 3:07:25 pm</t>
  </si>
  <si>
    <t>23/05/2023, 3:07:26 pm</t>
  </si>
  <si>
    <t>23/05/2023, 3:07:27 pm</t>
  </si>
  <si>
    <t>23/05/2023, 3:07:28 pm</t>
  </si>
  <si>
    <t>23/05/2023, 3:07:29 pm</t>
  </si>
  <si>
    <t>23/05/2023, 3:07:30 pm</t>
  </si>
  <si>
    <t>23/05/2023, 3:07:31 pm</t>
  </si>
  <si>
    <t>23/05/2023, 3:07:32 pm</t>
  </si>
  <si>
    <t>23/05/2023, 3:07:33 pm</t>
  </si>
  <si>
    <t>23/05/2023, 3:07:34 pm</t>
  </si>
  <si>
    <t>23/05/2023, 3:07:35 pm</t>
  </si>
  <si>
    <t>23/05/2023, 3:07:36 pm</t>
  </si>
  <si>
    <t>23/05/2023, 3:07:37 pm</t>
  </si>
  <si>
    <t>23/05/2023, 3:07:38 pm</t>
  </si>
  <si>
    <t>23/05/2023, 3:07:39 pm</t>
  </si>
  <si>
    <t>23/05/2023, 3:07:40 pm</t>
  </si>
  <si>
    <t>23/05/2023, 3:07:41 pm</t>
  </si>
  <si>
    <t>23/05/2023, 3:07:42 pm</t>
  </si>
  <si>
    <t>23/05/2023, 3:07:43 pm</t>
  </si>
  <si>
    <t>23/05/2023, 3:07:44 pm</t>
  </si>
  <si>
    <t>23/05/2023, 3:07:45 pm</t>
  </si>
  <si>
    <t>23/05/2023, 3:07:46 pm</t>
  </si>
  <si>
    <t>23/05/2023, 3:07:47 pm</t>
  </si>
  <si>
    <t>23/05/2023, 3:07:48 pm</t>
  </si>
  <si>
    <t>23/05/2023, 3:07:49 pm</t>
  </si>
  <si>
    <t>23/05/2023, 3:07:50 pm</t>
  </si>
  <si>
    <t>23/05/2023, 3:07:51 pm</t>
  </si>
  <si>
    <t>23/05/2023, 3:07:52 pm</t>
  </si>
  <si>
    <t>23/05/2023, 3:07:53 pm</t>
  </si>
  <si>
    <t>23/05/2023, 3:07:54 pm</t>
  </si>
  <si>
    <t>23/05/2023, 3:07:55 pm</t>
  </si>
  <si>
    <t>23/05/2023, 3:07:56 pm</t>
  </si>
  <si>
    <t>23/05/2023, 3:07:57 pm</t>
  </si>
  <si>
    <t>23/05/2023, 3:07:58 pm</t>
  </si>
  <si>
    <t>23/05/2023, 3:07:59 pm</t>
  </si>
  <si>
    <t>23/05/2023, 3:08:00 pm</t>
  </si>
  <si>
    <t>23/05/2023, 3:08:01 pm</t>
  </si>
  <si>
    <t>23/05/2023, 3:08:02 pm</t>
  </si>
  <si>
    <t>23/05/2023, 3:08:03 pm</t>
  </si>
  <si>
    <t>23/05/2023, 3:08:04 pm</t>
  </si>
  <si>
    <t>23/05/2023, 3:08:05 pm</t>
  </si>
  <si>
    <t>23/05/2023, 3:08:06 pm</t>
  </si>
  <si>
    <t>23/05/2023, 3:08:07 pm</t>
  </si>
  <si>
    <t>23/05/2023, 3:08:08 pm</t>
  </si>
  <si>
    <t>23/05/2023, 3:08:09 pm</t>
  </si>
  <si>
    <t>23/05/2023, 3:08:10 pm</t>
  </si>
  <si>
    <t>23/05/2023, 3:08:11 pm</t>
  </si>
  <si>
    <t>23/05/2023, 3:08:12 pm</t>
  </si>
  <si>
    <t>23/05/2023, 3:08:13 pm</t>
  </si>
  <si>
    <t>23/05/2023, 3:08:14 pm</t>
  </si>
  <si>
    <t>23/05/2023, 3:08:15 pm</t>
  </si>
  <si>
    <t>23/05/2023, 3:08:16 pm</t>
  </si>
  <si>
    <t>23/05/2023, 3:08:17 pm</t>
  </si>
  <si>
    <t>23/05/2023, 3:08:18 pm</t>
  </si>
  <si>
    <t>23/05/2023, 3:08:19 pm</t>
  </si>
  <si>
    <t>23/05/2023, 3:08:20 pm</t>
  </si>
  <si>
    <t>23/05/2023, 3:08:21 pm</t>
  </si>
  <si>
    <t>23/05/2023, 3:08:22 pm</t>
  </si>
  <si>
    <t>23/05/2023, 3:08:23 pm</t>
  </si>
  <si>
    <t>23/05/2023, 3:08:24 pm</t>
  </si>
  <si>
    <t>23/05/2023, 3:08:25 pm</t>
  </si>
  <si>
    <t>23/05/2023, 3:08:26 pm</t>
  </si>
  <si>
    <t>23/05/2023, 3:08:27 pm</t>
  </si>
  <si>
    <t>23/05/2023, 3:08:28 pm</t>
  </si>
  <si>
    <t>23/05/2023, 3:08:29 pm</t>
  </si>
  <si>
    <t>23/05/2023, 3:08:30 pm</t>
  </si>
  <si>
    <t>23/05/2023, 3:08:31 pm</t>
  </si>
  <si>
    <t>23/05/2023, 3:08:32 pm</t>
  </si>
  <si>
    <t>23/05/2023, 3:08:33 pm</t>
  </si>
  <si>
    <t>23/05/2023, 3:08:34 pm</t>
  </si>
  <si>
    <t>23/05/2023, 3:08:35 pm</t>
  </si>
  <si>
    <t>23/05/2023, 3:08:36 pm</t>
  </si>
  <si>
    <t>23/05/2023, 3:08:37 pm</t>
  </si>
  <si>
    <t>23/05/2023, 3:08:38 pm</t>
  </si>
  <si>
    <t>23/05/2023, 3:08:39 pm</t>
  </si>
  <si>
    <t>23/05/2023, 3:08:40 pm</t>
  </si>
  <si>
    <t>23/05/2023, 3:08:41 pm</t>
  </si>
  <si>
    <t>23/05/2023, 3:08:42 pm</t>
  </si>
  <si>
    <t>23/05/2023, 3:08:43 pm</t>
  </si>
  <si>
    <t>23/05/2023, 3:08:44 pm</t>
  </si>
  <si>
    <t>23/05/2023, 3:08:45 pm</t>
  </si>
  <si>
    <t>23/05/2023, 3:08:46 pm</t>
  </si>
  <si>
    <t>23/05/2023, 3:08:47 pm</t>
  </si>
  <si>
    <t>23/05/2023, 3:08:48 pm</t>
  </si>
  <si>
    <t>23/05/2023, 3:08:49 pm</t>
  </si>
  <si>
    <t>23/05/2023, 3:08:50 pm</t>
  </si>
  <si>
    <t>23/05/2023, 3:08:51 pm</t>
  </si>
  <si>
    <t>23/05/2023, 3:08:52 pm</t>
  </si>
  <si>
    <t>23/05/2023, 3:08:53 pm</t>
  </si>
  <si>
    <t>23/05/2023, 3:08:54 pm</t>
  </si>
  <si>
    <t>23/05/2023, 3:08:55 pm</t>
  </si>
  <si>
    <t>23/05/2023, 3:08:56 pm</t>
  </si>
  <si>
    <t>23/05/2023, 3:08:57 pm</t>
  </si>
  <si>
    <t>23/05/2023, 3:08:58 pm</t>
  </si>
  <si>
    <t>23/05/2023, 3:08:59 pm</t>
  </si>
  <si>
    <t>23/05/2023, 3:09:00 pm</t>
  </si>
  <si>
    <t>23/05/2023, 3:09:01 pm</t>
  </si>
  <si>
    <t>23/05/2023, 3:09:02 pm</t>
  </si>
  <si>
    <t>23/05/2023, 3:09:03 pm</t>
  </si>
  <si>
    <t>23/05/2023, 3:09:04 pm</t>
  </si>
  <si>
    <t>23/05/2023, 3:09:05 pm</t>
  </si>
  <si>
    <t>23/05/2023, 3:09:06 pm</t>
  </si>
  <si>
    <t>23/05/2023, 3:09:07 pm</t>
  </si>
  <si>
    <t>23/05/2023, 3:09:08 pm</t>
  </si>
  <si>
    <t>23/05/2023, 3:09:09 pm</t>
  </si>
  <si>
    <t>23/05/2023, 3:09:10 pm</t>
  </si>
  <si>
    <t>23/05/2023, 3:09:11 pm</t>
  </si>
  <si>
    <t>23/05/2023, 3:09:12 pm</t>
  </si>
  <si>
    <t>23/05/2023, 3:09:13 pm</t>
  </si>
  <si>
    <t>23/05/2023, 3:09:14 pm</t>
  </si>
  <si>
    <t>23/05/2023, 3:09:15 pm</t>
  </si>
  <si>
    <t>23/05/2023, 3:09:16 pm</t>
  </si>
  <si>
    <t>23/05/2023, 3:09:17 pm</t>
  </si>
  <si>
    <t>23/05/2023, 3:09:18 pm</t>
  </si>
  <si>
    <t>23/05/2023, 3:09:19 pm</t>
  </si>
  <si>
    <t>23/05/2023, 3:09:20 pm</t>
  </si>
  <si>
    <t>23/05/2023, 3:09:21 pm</t>
  </si>
  <si>
    <t>23/05/2023, 3:09:22 pm</t>
  </si>
  <si>
    <t>23/05/2023, 3:09:23 pm</t>
  </si>
  <si>
    <t>23/05/2023, 3:09:24 pm</t>
  </si>
  <si>
    <t>23/05/2023, 3:09:25 pm</t>
  </si>
  <si>
    <t>23/05/2023, 3:09:26 pm</t>
  </si>
  <si>
    <t>23/05/2023, 3:09:27 pm</t>
  </si>
  <si>
    <t>23/05/2023, 3:09:28 pm</t>
  </si>
  <si>
    <t>23/05/2023, 3:09:29 pm</t>
  </si>
  <si>
    <t>23/05/2023, 3:09:30 pm</t>
  </si>
  <si>
    <t>23/05/2023, 3:09:31 pm</t>
  </si>
  <si>
    <t>23/05/2023, 3:09:32 pm</t>
  </si>
  <si>
    <t>23/05/2023, 3:09:33 pm</t>
  </si>
  <si>
    <t>23/05/2023, 3:09:34 pm</t>
  </si>
  <si>
    <t>23/05/2023, 3:09:35 pm</t>
  </si>
  <si>
    <t>23/05/2023, 3:09:36 pm</t>
  </si>
  <si>
    <t>23/05/2023, 3:09:37 pm</t>
  </si>
  <si>
    <t>23/05/2023, 3:09:38 pm</t>
  </si>
  <si>
    <t>23/05/2023, 3:09:40 pm</t>
  </si>
  <si>
    <t>23/05/2023, 3:09:41 pm</t>
  </si>
  <si>
    <t>23/05/2023, 3:09:42 pm</t>
  </si>
  <si>
    <t>23/05/2023, 3:09:43 pm</t>
  </si>
  <si>
    <t>23/05/2023, 3:09:44 pm</t>
  </si>
  <si>
    <t>23/05/2023, 3:09:45 pm</t>
  </si>
  <si>
    <t>23/05/2023, 3:09:46 pm</t>
  </si>
  <si>
    <t>23/05/2023, 3:09:47 pm</t>
  </si>
  <si>
    <t>23/05/2023, 3:09:48 pm</t>
  </si>
  <si>
    <t>23/05/2023, 3:09:49 pm</t>
  </si>
  <si>
    <t>23/05/2023, 3:09:50 pm</t>
  </si>
  <si>
    <t>23/05/2023, 3:09:51 pm</t>
  </si>
  <si>
    <t>23/05/2023, 3:09:52 pm</t>
  </si>
  <si>
    <t>23/05/2023, 3:09:53 pm</t>
  </si>
  <si>
    <t>23/05/2023, 3:09:54 pm</t>
  </si>
  <si>
    <t>23/05/2023, 3:09:55 pm</t>
  </si>
  <si>
    <t>23/05/2023, 3:09:56 pm</t>
  </si>
  <si>
    <t>23/05/2023, 3:09:57 pm</t>
  </si>
  <si>
    <t>23/05/2023, 3:09:58 pm</t>
  </si>
  <si>
    <t>23/05/2023, 3:09:59 pm</t>
  </si>
  <si>
    <t>23/05/2023, 3:10:00 pm</t>
  </si>
  <si>
    <t>23/05/2023, 3:10:01 pm</t>
  </si>
  <si>
    <t>23/05/2023, 3:10:02 pm</t>
  </si>
  <si>
    <t>23/05/2023, 3:10:03 pm</t>
  </si>
  <si>
    <t>23/05/2023, 3:10:04 pm</t>
  </si>
  <si>
    <t>23/05/2023, 3:10:05 pm</t>
  </si>
  <si>
    <t>23/05/2023, 3:10:06 pm</t>
  </si>
  <si>
    <t>23/05/2023, 3:10:07 pm</t>
  </si>
  <si>
    <t>23/05/2023, 3:10:08 pm</t>
  </si>
  <si>
    <t>23/05/2023, 3:10:09 pm</t>
  </si>
  <si>
    <t>23/05/2023, 3:10:10 pm</t>
  </si>
  <si>
    <t>23/05/2023, 3:10:11 pm</t>
  </si>
  <si>
    <t>23/05/2023, 3:10:12 pm</t>
  </si>
  <si>
    <t>23/05/2023, 3:10:13 pm</t>
  </si>
  <si>
    <t>23/05/2023, 3:10:14 pm</t>
  </si>
  <si>
    <t>23/05/2023, 3:10:15 pm</t>
  </si>
  <si>
    <t>23/05/2023, 3:10:16 pm</t>
  </si>
  <si>
    <t>23/05/2023, 3:10:17 pm</t>
  </si>
  <si>
    <t>23/05/2023, 3:10:18 pm</t>
  </si>
  <si>
    <t>23/05/2023, 3:10:19 pm</t>
  </si>
  <si>
    <t>23/05/2023, 3:10:20 pm</t>
  </si>
  <si>
    <t>23/05/2023, 3:10:21 pm</t>
  </si>
  <si>
    <t>23/05/2023, 3:10:22 pm</t>
  </si>
  <si>
    <t>23/05/2023, 3:10:23 pm</t>
  </si>
  <si>
    <t>23/05/2023, 3:10:24 pm</t>
  </si>
  <si>
    <t>23/05/2023, 3:10:25 pm</t>
  </si>
  <si>
    <t>23/05/2023, 3:10:26 pm</t>
  </si>
  <si>
    <t>23/05/2023, 3:10:27 pm</t>
  </si>
  <si>
    <t>23/05/2023, 3:10:28 pm</t>
  </si>
  <si>
    <t>23/05/2023, 3:10:29 pm</t>
  </si>
  <si>
    <t>23/05/2023, 3:10:30 pm</t>
  </si>
  <si>
    <t>23/05/2023, 3:10:31 pm</t>
  </si>
  <si>
    <t>23/05/2023, 3:10:32 pm</t>
  </si>
  <si>
    <t>23/05/2023, 3:10:33 pm</t>
  </si>
  <si>
    <t>23/05/2023, 3:10:34 pm</t>
  </si>
  <si>
    <t>23/05/2023, 3:10:35 pm</t>
  </si>
  <si>
    <t>23/05/2023, 3:10:36 pm</t>
  </si>
  <si>
    <t>23/05/2023, 3:10:37 pm</t>
  </si>
  <si>
    <t>23/05/2023, 3:10:38 pm</t>
  </si>
  <si>
    <t>23/05/2023, 3:10:39 pm</t>
  </si>
  <si>
    <t>23/05/2023, 3:10:40 pm</t>
  </si>
  <si>
    <t>23/05/2023, 3:10:41 pm</t>
  </si>
  <si>
    <t>23/05/2023, 3:10:42 pm</t>
  </si>
  <si>
    <t>23/05/2023, 3:10:43 pm</t>
  </si>
  <si>
    <t>23/05/2023, 3:10:44 pm</t>
  </si>
  <si>
    <t>23/05/2023, 3:10:45 pm</t>
  </si>
  <si>
    <t>23/05/2023, 3:10:46 pm</t>
  </si>
  <si>
    <t>23/05/2023, 3:10:47 pm</t>
  </si>
  <si>
    <t>23/05/2023, 3:10:48 pm</t>
  </si>
  <si>
    <t>23/05/2023, 3:10:49 pm</t>
  </si>
  <si>
    <t>23/05/2023, 3:10:50 pm</t>
  </si>
  <si>
    <t>23/05/2023, 3:10:51 pm</t>
  </si>
  <si>
    <t>23/05/2023, 3:10:52 pm</t>
  </si>
  <si>
    <t>23/05/2023, 3:10:53 pm</t>
  </si>
  <si>
    <t>23/05/2023, 3:10:54 pm</t>
  </si>
  <si>
    <t>23/05/2023, 3:10:55 pm</t>
  </si>
  <si>
    <t>23/05/2023, 3:10:56 pm</t>
  </si>
  <si>
    <t>23/05/2023, 3:10:57 pm</t>
  </si>
  <si>
    <t>23/05/2023, 3:10:58 pm</t>
  </si>
  <si>
    <t>23/05/2023, 3:10:59 pm</t>
  </si>
  <si>
    <t>23/05/2023, 3:11:00 pm</t>
  </si>
  <si>
    <t>23/05/2023, 3:11:01 pm</t>
  </si>
  <si>
    <t>23/05/2023, 3:11:02 pm</t>
  </si>
  <si>
    <t>23/05/2023, 3:11:03 pm</t>
  </si>
  <si>
    <t>23/05/2023, 3:11:04 pm</t>
  </si>
  <si>
    <t>23/05/2023, 3:11:05 pm</t>
  </si>
  <si>
    <t>23/05/2023, 3:11:06 pm</t>
  </si>
  <si>
    <t>23/05/2023, 3:11:07 pm</t>
  </si>
  <si>
    <t>23/05/2023, 3:11:08 pm</t>
  </si>
  <si>
    <t>23/05/2023, 3:11:09 pm</t>
  </si>
  <si>
    <t>23/05/2023, 3:11:10 pm</t>
  </si>
  <si>
    <t>23/05/2023, 3:11:11 pm</t>
  </si>
  <si>
    <t>23/05/2023, 3:11:12 pm</t>
  </si>
  <si>
    <t>23/05/2023, 3:11:13 pm</t>
  </si>
  <si>
    <t>23/05/2023, 3:11:14 pm</t>
  </si>
  <si>
    <t>23/05/2023, 3:11:15 pm</t>
  </si>
  <si>
    <t>23/05/2023, 3:11:16 pm</t>
  </si>
  <si>
    <t>23/05/2023, 3:11:17 pm</t>
  </si>
  <si>
    <t>23/05/2023, 3:11:18 pm</t>
  </si>
  <si>
    <t>23/05/2023, 3:11:19 pm</t>
  </si>
  <si>
    <t>23/05/2023, 3:11:20 pm</t>
  </si>
  <si>
    <t>23/05/2023, 3:11:21 pm</t>
  </si>
  <si>
    <t>23/05/2023, 3:11:22 pm</t>
  </si>
  <si>
    <t>23/05/2023, 3:11:23 pm</t>
  </si>
  <si>
    <t>23/05/2023, 3:11:24 pm</t>
  </si>
  <si>
    <t>23/05/2023, 3:11:25 pm</t>
  </si>
  <si>
    <t>23/05/2023, 3:11:26 pm</t>
  </si>
  <si>
    <t>23/05/2023, 3:11:27 pm</t>
  </si>
  <si>
    <t>23/05/2023, 3:11:28 pm</t>
  </si>
  <si>
    <t>23/05/2023, 3:11:29 pm</t>
  </si>
  <si>
    <t>23/05/2023, 3:11:30 pm</t>
  </si>
  <si>
    <t>23/05/2023, 3:11:31 pm</t>
  </si>
  <si>
    <t>23/05/2023, 3:11:32 pm</t>
  </si>
  <si>
    <t>23/05/2023, 3:11:33 pm</t>
  </si>
  <si>
    <t>23/05/2023, 3:11:34 pm</t>
  </si>
  <si>
    <t>23/05/2023, 3:11:35 pm</t>
  </si>
  <si>
    <t>23/05/2023, 3:11:36 pm</t>
  </si>
  <si>
    <t>23/05/2023, 3:11:37 pm</t>
  </si>
  <si>
    <t>23/05/2023, 3:11:38 pm</t>
  </si>
  <si>
    <t>23/05/2023, 3:11:39 pm</t>
  </si>
  <si>
    <t>23/05/2023, 3:11:40 pm</t>
  </si>
  <si>
    <t>23/05/2023, 3:11:41 pm</t>
  </si>
  <si>
    <t>23/05/2023, 3:11:42 pm</t>
  </si>
  <si>
    <t>23/05/2023, 3:11:43 pm</t>
  </si>
  <si>
    <t>23/05/2023, 3:11:44 pm</t>
  </si>
  <si>
    <t>23/05/2023, 3:11:45 pm</t>
  </si>
  <si>
    <t>23/05/2023, 3:11:46 pm</t>
  </si>
  <si>
    <t>23/05/2023, 3:11:47 pm</t>
  </si>
  <si>
    <t>23/05/2023, 3:11:48 pm</t>
  </si>
  <si>
    <t>23/05/2023, 3:11:49 pm</t>
  </si>
  <si>
    <t>23/05/2023, 3:11:50 pm</t>
  </si>
  <si>
    <t>23/05/2023, 3:11:51 pm</t>
  </si>
  <si>
    <t>23/05/2023, 3:11:52 pm</t>
  </si>
  <si>
    <t>23/05/2023, 3:11:53 pm</t>
  </si>
  <si>
    <t>23/05/2023, 3:11:54 pm</t>
  </si>
  <si>
    <t>23/05/2023, 3:11:55 pm</t>
  </si>
  <si>
    <t>23/05/2023, 3:11:56 pm</t>
  </si>
  <si>
    <t>23/05/2023, 3:11:57 pm</t>
  </si>
  <si>
    <t>23/05/2023, 3:11:59 pm</t>
  </si>
  <si>
    <t>23/05/2023, 3:12:00 pm</t>
  </si>
  <si>
    <t>23/05/2023, 3:12:01 pm</t>
  </si>
  <si>
    <t>23/05/2023, 3:12:02 pm</t>
  </si>
  <si>
    <t>23/05/2023, 3:12:03 pm</t>
  </si>
  <si>
    <t>23/05/2023, 3:12:04 pm</t>
  </si>
  <si>
    <t>23/05/2023, 3:12:05 pm</t>
  </si>
  <si>
    <t>23/05/2023, 3:12:06 pm</t>
  </si>
  <si>
    <t>23/05/2023, 3:12:07 pm</t>
  </si>
  <si>
    <t>23/05/2023, 3:12:08 pm</t>
  </si>
  <si>
    <t>23/05/2023, 3:12:09 pm</t>
  </si>
  <si>
    <t>23/05/2023, 3:12:10 pm</t>
  </si>
  <si>
    <t>23/05/2023, 3:12:11 pm</t>
  </si>
  <si>
    <t>23/05/2023, 3:12:12 pm</t>
  </si>
  <si>
    <t>23/05/2023, 3:12:13 pm</t>
  </si>
  <si>
    <t>23/05/2023, 3:12:14 pm</t>
  </si>
  <si>
    <t>23/05/2023, 3:12:15 pm</t>
  </si>
  <si>
    <t>23/05/2023, 3:12:16 pm</t>
  </si>
  <si>
    <t>23/05/2023, 3:12:17 pm</t>
  </si>
  <si>
    <t>23/05/2023, 3:12:18 pm</t>
  </si>
  <si>
    <t>23/05/2023, 3:12:19 pm</t>
  </si>
  <si>
    <t>23/05/2023, 3:12:20 pm</t>
  </si>
  <si>
    <t>23/05/2023, 3:12:21 pm</t>
  </si>
  <si>
    <t>23/05/2023, 3:12:22 pm</t>
  </si>
  <si>
    <t>23/05/2023, 3:12:23 pm</t>
  </si>
  <si>
    <t>23/05/2023, 3:12:24 pm</t>
  </si>
  <si>
    <t>23/05/2023, 3:12:25 pm</t>
  </si>
  <si>
    <t>23/05/2023, 3:12:26 pm</t>
  </si>
  <si>
    <t>23/05/2023, 3:12:27 pm</t>
  </si>
  <si>
    <t>23/05/2023, 3:12:28 pm</t>
  </si>
  <si>
    <t>23/05/2023, 3:12:29 pm</t>
  </si>
  <si>
    <t>23/05/2023, 3:12:30 pm</t>
  </si>
  <si>
    <t>23/05/2023, 3:12:31 pm</t>
  </si>
  <si>
    <t>23/05/2023, 3:12:32 pm</t>
  </si>
  <si>
    <t>23/05/2023, 3:12:33 pm</t>
  </si>
  <si>
    <t>23/05/2023, 3:12:34 pm</t>
  </si>
  <si>
    <t>23/05/2023, 3:12:35 pm</t>
  </si>
  <si>
    <t>23/05/2023, 3:12:36 pm</t>
  </si>
  <si>
    <t>23/05/2023, 3:12:37 pm</t>
  </si>
  <si>
    <t>23/05/2023, 3:12:38 pm</t>
  </si>
  <si>
    <t>23/05/2023, 3:12:39 pm</t>
  </si>
  <si>
    <t>23/05/2023, 3:12:40 pm</t>
  </si>
  <si>
    <t>23/05/2023, 3:12:41 pm</t>
  </si>
  <si>
    <t>23/05/2023, 3:12:42 pm</t>
  </si>
  <si>
    <t>23/05/2023, 3:12:43 pm</t>
  </si>
  <si>
    <t>23/05/2023, 3:12:44 pm</t>
  </si>
  <si>
    <t>23/05/2023, 3:12:45 pm</t>
  </si>
  <si>
    <t>23/05/2023, 3:12:46 pm</t>
  </si>
  <si>
    <t>23/05/2023, 3:12:47 pm</t>
  </si>
  <si>
    <t>23/05/2023, 3:12:48 pm</t>
  </si>
  <si>
    <t>23/05/2023, 3:12:49 pm</t>
  </si>
  <si>
    <t>23/05/2023, 3:12:50 pm</t>
  </si>
  <si>
    <t>23/05/2023, 3:12:51 pm</t>
  </si>
  <si>
    <t>23/05/2023, 3:12:52 pm</t>
  </si>
  <si>
    <t>23/05/2023, 3:12:53 pm</t>
  </si>
  <si>
    <t>23/05/2023, 3:12:54 pm</t>
  </si>
  <si>
    <t>23/05/2023, 3:12:55 pm</t>
  </si>
  <si>
    <t>23/05/2023, 3:12:56 pm</t>
  </si>
  <si>
    <t>23/05/2023, 3:12:57 pm</t>
  </si>
  <si>
    <t>23/05/2023, 3:12:58 pm</t>
  </si>
  <si>
    <t>23/05/2023, 3:12:59 pm</t>
  </si>
  <si>
    <t>23/05/2023, 3:13:00 pm</t>
  </si>
  <si>
    <t>23/05/2023, 3:13:01 pm</t>
  </si>
  <si>
    <t>23/05/2023, 3:13:02 pm</t>
  </si>
  <si>
    <t>23/05/2023, 3:13:03 pm</t>
  </si>
  <si>
    <t>23/05/2023, 3:13:04 pm</t>
  </si>
  <si>
    <t>23/05/2023, 3:13:05 pm</t>
  </si>
  <si>
    <t>23/05/2023, 3:13:06 pm</t>
  </si>
  <si>
    <t>23/05/2023, 3:13:07 pm</t>
  </si>
  <si>
    <t>23/05/2023, 3:13:08 pm</t>
  </si>
  <si>
    <t>23/05/2023, 3:13:09 pm</t>
  </si>
  <si>
    <t>23/05/2023, 3:13:10 pm</t>
  </si>
  <si>
    <t>23/05/2023, 3:13:11 pm</t>
  </si>
  <si>
    <t>23/05/2023, 3:13:12 pm</t>
  </si>
  <si>
    <t>23/05/2023, 3:13:13 pm</t>
  </si>
  <si>
    <t>23/05/2023, 3:13:14 pm</t>
  </si>
  <si>
    <t>23/05/2023, 3:13:15 pm</t>
  </si>
  <si>
    <t>23/05/2023, 3:13:16 pm</t>
  </si>
  <si>
    <t>23/05/2023, 3:13:17 pm</t>
  </si>
  <si>
    <t>23/05/2023, 3:13:18 pm</t>
  </si>
  <si>
    <t>23/05/2023, 3:13:19 pm</t>
  </si>
  <si>
    <t>23/05/2023, 3:13:20 pm</t>
  </si>
  <si>
    <t>23/05/2023, 3:13:21 pm</t>
  </si>
  <si>
    <t>23/05/2023, 3:13:22 pm</t>
  </si>
  <si>
    <t>23/05/2023, 3:13:23 pm</t>
  </si>
  <si>
    <t>23/05/2023, 3:13:24 pm</t>
  </si>
  <si>
    <t>23/05/2023, 3:13:25 pm</t>
  </si>
  <si>
    <t>23/05/2023, 3:13:26 pm</t>
  </si>
  <si>
    <t>23/05/2023, 3:13:27 pm</t>
  </si>
  <si>
    <t>23/05/2023, 3:13:28 pm</t>
  </si>
  <si>
    <t>23/05/2023, 3:13:29 pm</t>
  </si>
  <si>
    <t>23/05/2023, 3:13:30 pm</t>
  </si>
  <si>
    <t>23/05/2023, 3:13:31 pm</t>
  </si>
  <si>
    <t>23/05/2023, 3:13:32 pm</t>
  </si>
  <si>
    <t>23/05/2023, 3:13:33 pm</t>
  </si>
  <si>
    <t>23/05/2023, 3:13:34 pm</t>
  </si>
  <si>
    <t>23/05/2023, 3:13:35 pm</t>
  </si>
  <si>
    <t>23/05/2023, 3:13:36 pm</t>
  </si>
  <si>
    <t>23/05/2023, 3:13:37 pm</t>
  </si>
  <si>
    <t>23/05/2023, 3:13:38 pm</t>
  </si>
  <si>
    <t>23/05/2023, 3:13:39 pm</t>
  </si>
  <si>
    <t>23/05/2023, 3:13:40 pm</t>
  </si>
  <si>
    <t>23/05/2023, 3:13:41 pm</t>
  </si>
  <si>
    <t>23/05/2023, 3:13:42 pm</t>
  </si>
  <si>
    <t>23/05/2023, 3:13:43 pm</t>
  </si>
  <si>
    <t>23/05/2023, 3:13:44 pm</t>
  </si>
  <si>
    <t>23/05/2023, 3:13:45 pm</t>
  </si>
  <si>
    <t>23/05/2023, 3:13:46 pm</t>
  </si>
  <si>
    <t>23/05/2023, 3:13:47 pm</t>
  </si>
  <si>
    <t>23/05/2023, 3:13:48 pm</t>
  </si>
  <si>
    <t>23/05/2023, 3:13:49 pm</t>
  </si>
  <si>
    <t>23/05/2023, 3:13:50 pm</t>
  </si>
  <si>
    <t>23/05/2023, 3:13:51 pm</t>
  </si>
  <si>
    <t>23/05/2023, 3:13:52 pm</t>
  </si>
  <si>
    <t>23/05/2023, 3:13:53 pm</t>
  </si>
  <si>
    <t>23/05/2023, 3:13:54 pm</t>
  </si>
  <si>
    <t>23/05/2023, 3:13:56 pm</t>
  </si>
  <si>
    <t>23/05/2023, 3:13:57 pm</t>
  </si>
  <si>
    <t>23/05/2023, 3:13:58 pm</t>
  </si>
  <si>
    <t>23/05/2023, 3:13:59 pm</t>
  </si>
  <si>
    <t>23/05/2023, 3:14:00 pm</t>
  </si>
  <si>
    <t>23/05/2023, 3:14:01 pm</t>
  </si>
  <si>
    <t>23/05/2023, 3:14:02 pm</t>
  </si>
  <si>
    <t>23/05/2023, 3:14:03 pm</t>
  </si>
  <si>
    <t>23/05/2023, 3:14:04 pm</t>
  </si>
  <si>
    <t>23/05/2023, 3:14:05 pm</t>
  </si>
  <si>
    <t>23/05/2023, 3:14:06 pm</t>
  </si>
  <si>
    <t>23/05/2023, 3:14:07 pm</t>
  </si>
  <si>
    <t>23/05/2023, 3:14:08 pm</t>
  </si>
  <si>
    <t>23/05/2023, 3:14:09 pm</t>
  </si>
  <si>
    <t>23/05/2023, 3:14:10 pm</t>
  </si>
  <si>
    <t>23/05/2023, 3:14:11 pm</t>
  </si>
  <si>
    <t>23/05/2023, 3:14:12 pm</t>
  </si>
  <si>
    <t>23/05/2023, 3:14:13 pm</t>
  </si>
  <si>
    <t>23/05/2023, 3:14:14 pm</t>
  </si>
  <si>
    <t>23/05/2023, 3:14:15 pm</t>
  </si>
  <si>
    <t>23/05/2023, 3:14:16 pm</t>
  </si>
  <si>
    <t>23/05/2023, 3:14:17 pm</t>
  </si>
  <si>
    <t>23/05/2023, 3:14:18 pm</t>
  </si>
  <si>
    <t>23/05/2023, 3:14:19 pm</t>
  </si>
  <si>
    <t>23/05/2023, 3:14:20 pm</t>
  </si>
  <si>
    <t>23/05/2023, 3:14:21 pm</t>
  </si>
  <si>
    <t>23/05/2023, 3:14:22 pm</t>
  </si>
  <si>
    <t>23/05/2023, 3:14:23 pm</t>
  </si>
  <si>
    <t>23/05/2023, 3:14:24 pm</t>
  </si>
  <si>
    <t>23/05/2023, 3:14:25 pm</t>
  </si>
  <si>
    <t>23/05/2023, 3:14:26 pm</t>
  </si>
  <si>
    <t>23/05/2023, 3:14:27 pm</t>
  </si>
  <si>
    <t>23/05/2023, 3:14:28 pm</t>
  </si>
  <si>
    <t>23/05/2023, 3:14:29 pm</t>
  </si>
  <si>
    <t>23/05/2023, 3:14:30 pm</t>
  </si>
  <si>
    <t>23/05/2023, 3:14:31 pm</t>
  </si>
  <si>
    <t>23/05/2023, 3:14:32 pm</t>
  </si>
  <si>
    <t>23/05/2023, 3:14:33 pm</t>
  </si>
  <si>
    <t>23/05/2023, 3:14:34 pm</t>
  </si>
  <si>
    <t>23/05/2023, 3:14:35 pm</t>
  </si>
  <si>
    <t>23/05/2023, 3:14:36 pm</t>
  </si>
  <si>
    <t>23/05/2023, 3:14:37 pm</t>
  </si>
  <si>
    <t>23/05/2023, 3:14:38 pm</t>
  </si>
  <si>
    <t>23/05/2023, 3:14:39 pm</t>
  </si>
  <si>
    <t>23/05/2023, 3:14:40 pm</t>
  </si>
  <si>
    <t>23/05/2023, 3:14:41 pm</t>
  </si>
  <si>
    <t>23/05/2023, 3:14:42 pm</t>
  </si>
  <si>
    <t>23/05/2023, 3:14:43 pm</t>
  </si>
  <si>
    <t>23/05/2023, 3:14:44 pm</t>
  </si>
  <si>
    <t>23/05/2023, 3:14:45 pm</t>
  </si>
  <si>
    <t>23/05/2023, 3:14:46 pm</t>
  </si>
  <si>
    <t>23/05/2023, 3:14:47 pm</t>
  </si>
  <si>
    <t>23/05/2023, 3:14:48 pm</t>
  </si>
  <si>
    <t>23/05/2023, 3:14:49 pm</t>
  </si>
  <si>
    <t>23/05/2023, 3:14:50 pm</t>
  </si>
  <si>
    <t>23/05/2023, 3:14:51 pm</t>
  </si>
  <si>
    <t>23/05/2023, 3:14:52 pm</t>
  </si>
  <si>
    <t>23/05/2023, 3:14:53 pm</t>
  </si>
  <si>
    <t>23/05/2023, 3:14:54 pm</t>
  </si>
  <si>
    <t>23/05/2023, 3:14:55 pm</t>
  </si>
  <si>
    <t>23/05/2023, 3:14:56 pm</t>
  </si>
  <si>
    <t>23/05/2023, 3:14:57 pm</t>
  </si>
  <si>
    <t>23/05/2023, 3:14:58 pm</t>
  </si>
  <si>
    <t>23/05/2023, 3:14:59 pm</t>
  </si>
  <si>
    <t>23/05/2023, 3:15:00 pm</t>
  </si>
  <si>
    <t>23/05/2023, 3:15:01 pm</t>
  </si>
  <si>
    <t>23/05/2023, 3:15:02 pm</t>
  </si>
  <si>
    <t>23/05/2023, 3:15:03 pm</t>
  </si>
  <si>
    <t>23/05/2023, 3:15:04 pm</t>
  </si>
  <si>
    <t>23/05/2023, 3:15:05 pm</t>
  </si>
  <si>
    <t>23/05/2023, 3:15:06 pm</t>
  </si>
  <si>
    <t>23/05/2023, 3:15:07 pm</t>
  </si>
  <si>
    <t>23/05/2023, 3:15:08 pm</t>
  </si>
  <si>
    <t>23/05/2023, 3:15:09 pm</t>
  </si>
  <si>
    <t>23/05/2023, 3:15:10 pm</t>
  </si>
  <si>
    <t>23/05/2023, 3:15:11 pm</t>
  </si>
  <si>
    <t>23/05/2023, 3:15:12 pm</t>
  </si>
  <si>
    <t>23/05/2023, 3:15:13 pm</t>
  </si>
  <si>
    <t>23/05/2023, 3:15:14 pm</t>
  </si>
  <si>
    <t>23/05/2023, 3:15:15 pm</t>
  </si>
  <si>
    <t>23/05/2023, 3:15:16 pm</t>
  </si>
  <si>
    <t>23/05/2023, 3:15:17 pm</t>
  </si>
  <si>
    <t>23/05/2023, 3:15:18 pm</t>
  </si>
  <si>
    <t>23/05/2023, 3:15:19 pm</t>
  </si>
  <si>
    <t>23/05/2023, 3:15:20 pm</t>
  </si>
  <si>
    <t>23/05/2023, 3:15:21 pm</t>
  </si>
  <si>
    <t>23/05/2023, 3:15:22 pm</t>
  </si>
  <si>
    <t>23/05/2023, 3:15:23 pm</t>
  </si>
  <si>
    <t>23/05/2023, 3:15:24 pm</t>
  </si>
  <si>
    <t>23/05/2023, 3:15:25 pm</t>
  </si>
  <si>
    <t>23/05/2023, 3:15:26 pm</t>
  </si>
  <si>
    <t>23/05/2023, 3:15:27 pm</t>
  </si>
  <si>
    <t>23/05/2023, 3:15:28 pm</t>
  </si>
  <si>
    <t>23/05/2023, 3:15:29 pm</t>
  </si>
  <si>
    <t>23/05/2023, 3:15:30 pm</t>
  </si>
  <si>
    <t>23/05/2023, 3:15:31 pm</t>
  </si>
  <si>
    <t>23/05/2023, 3:15:32 pm</t>
  </si>
  <si>
    <t>23/05/2023, 3:15:33 pm</t>
  </si>
  <si>
    <t>23/05/2023, 3:15:34 pm</t>
  </si>
  <si>
    <t>23/05/2023, 3:15:35 pm</t>
  </si>
  <si>
    <t>23/05/2023, 3:15:36 pm</t>
  </si>
  <si>
    <t>23/05/2023, 3:15:37 pm</t>
  </si>
  <si>
    <t>23/05/2023, 3:15:38 pm</t>
  </si>
  <si>
    <t>23/05/2023, 3:15:39 pm</t>
  </si>
  <si>
    <t>23/05/2023, 3:15:40 pm</t>
  </si>
  <si>
    <t>23/05/2023, 3:15:41 pm</t>
  </si>
  <si>
    <t>23/05/2023, 3:15:42 pm</t>
  </si>
  <si>
    <t>23/05/2023, 3:15:43 pm</t>
  </si>
  <si>
    <t>23/05/2023, 3:15:44 pm</t>
  </si>
  <si>
    <t>23/05/2023, 3:15:45 pm</t>
  </si>
  <si>
    <t>23/05/2023, 3:15:46 pm</t>
  </si>
  <si>
    <t>23/05/2023, 3:15:47 pm</t>
  </si>
  <si>
    <t>23/05/2023, 3:15:48 pm</t>
  </si>
  <si>
    <t>23/05/2023, 3:15:49 pm</t>
  </si>
  <si>
    <t>23/05/2023, 3:15:50 pm</t>
  </si>
  <si>
    <t>23/05/2023, 3:15:51 pm</t>
  </si>
  <si>
    <t>23/05/2023, 3:15:52 pm</t>
  </si>
  <si>
    <t>23/05/2023, 3:15:53 pm</t>
  </si>
  <si>
    <t>23/05/2023, 3:15:54 pm</t>
  </si>
  <si>
    <t>23/05/2023, 3:15:55 pm</t>
  </si>
  <si>
    <t>23/05/2023, 3:15:56 pm</t>
  </si>
  <si>
    <t>23/05/2023, 3:15:57 pm</t>
  </si>
  <si>
    <t>23/05/2023, 3:15:58 pm</t>
  </si>
  <si>
    <t>23/05/2023, 3:15:59 pm</t>
  </si>
  <si>
    <t>23/05/2023, 3:16:00 pm</t>
  </si>
  <si>
    <t>23/05/2023, 3:16:01 pm</t>
  </si>
  <si>
    <t>23/05/2023, 3:16:02 pm</t>
  </si>
  <si>
    <t>23/05/2023, 3:16:03 pm</t>
  </si>
  <si>
    <t>23/05/2023, 3:16:04 pm</t>
  </si>
  <si>
    <t>23/05/2023, 3:16:05 pm</t>
  </si>
  <si>
    <t>23/05/2023, 3:16:06 pm</t>
  </si>
  <si>
    <t>23/05/2023, 3:16:07 pm</t>
  </si>
  <si>
    <t>23/05/2023, 3:16:08 pm</t>
  </si>
  <si>
    <t>23/05/2023, 3:16:10 pm</t>
  </si>
  <si>
    <t>23/05/2023, 3:16:11 pm</t>
  </si>
  <si>
    <t>23/05/2023, 3:16:12 pm</t>
  </si>
  <si>
    <t>23/05/2023, 3:16:13 pm</t>
  </si>
  <si>
    <t>23/05/2023, 3:16:14 pm</t>
  </si>
  <si>
    <t>23/05/2023, 3:16:15 pm</t>
  </si>
  <si>
    <t>23/05/2023, 3:16:16 pm</t>
  </si>
  <si>
    <t>23/05/2023, 3:16:17 pm</t>
  </si>
  <si>
    <t>23/05/2023, 3:16:18 pm</t>
  </si>
  <si>
    <t>23/05/2023, 3:16:19 pm</t>
  </si>
  <si>
    <t>23/05/2023, 3:16:20 pm</t>
  </si>
  <si>
    <t>23/05/2023, 3:16:21 pm</t>
  </si>
  <si>
    <t>23/05/2023, 3:16:22 pm</t>
  </si>
  <si>
    <t>23/05/2023, 3:16:23 pm</t>
  </si>
  <si>
    <t>23/05/2023, 3:16:24 pm</t>
  </si>
  <si>
    <t>23/05/2023, 3:16:25 pm</t>
  </si>
  <si>
    <t>23/05/2023, 3:16:26 pm</t>
  </si>
  <si>
    <t>23/05/2023, 3:16:27 pm</t>
  </si>
  <si>
    <t>23/05/2023, 3:16:28 pm</t>
  </si>
  <si>
    <t>23/05/2023, 3:16:29 pm</t>
  </si>
  <si>
    <t>23/05/2023, 3:16:30 pm</t>
  </si>
  <si>
    <t>23/05/2023, 3:16:31 pm</t>
  </si>
  <si>
    <t>23/05/2023, 3:16:32 pm</t>
  </si>
  <si>
    <t>23/05/2023, 3:16:33 pm</t>
  </si>
  <si>
    <t>23/05/2023, 3:16:34 pm</t>
  </si>
  <si>
    <t>23/05/2023, 3:16:35 pm</t>
  </si>
  <si>
    <t>23/05/2023, 3:16:36 pm</t>
  </si>
  <si>
    <t>23/05/2023, 3:16:37 pm</t>
  </si>
  <si>
    <t>23/05/2023, 3:16:38 pm</t>
  </si>
  <si>
    <t>23/05/2023, 3:16:39 pm</t>
  </si>
  <si>
    <t>23/05/2023, 3:16:40 pm</t>
  </si>
  <si>
    <t>23/05/2023, 3:16:41 pm</t>
  </si>
  <si>
    <t>23/05/2023, 3:16:42 pm</t>
  </si>
  <si>
    <t>23/05/2023, 3:16:43 pm</t>
  </si>
  <si>
    <t>23/05/2023, 3:16:44 pm</t>
  </si>
  <si>
    <t>23/05/2023, 3:16:45 pm</t>
  </si>
  <si>
    <t>23/05/2023, 3:16:46 pm</t>
  </si>
  <si>
    <t>23/05/2023, 3:16:47 pm</t>
  </si>
  <si>
    <t>23/05/2023, 3:16:48 pm</t>
  </si>
  <si>
    <t>23/05/2023, 3:16:49 pm</t>
  </si>
  <si>
    <t>23/05/2023, 3:16:50 pm</t>
  </si>
  <si>
    <t>23/05/2023, 3:16:51 pm</t>
  </si>
  <si>
    <t>23/05/2023, 3:16:52 pm</t>
  </si>
  <si>
    <t>23/05/2023, 3:16:53 pm</t>
  </si>
  <si>
    <t>23/05/2023, 3:16:54 pm</t>
  </si>
  <si>
    <t>23/05/2023, 3:16:55 pm</t>
  </si>
  <si>
    <t>23/05/2023, 3:16:56 pm</t>
  </si>
  <si>
    <t>23/05/2023, 3:16:57 pm</t>
  </si>
  <si>
    <t>23/05/2023, 3:16:58 pm</t>
  </si>
  <si>
    <t>23/05/2023, 3:16:59 pm</t>
  </si>
  <si>
    <t>23/05/2023, 3:17:00 pm</t>
  </si>
  <si>
    <t>23/05/2023, 3:17:01 pm</t>
  </si>
  <si>
    <t>23/05/2023, 3:17:02 pm</t>
  </si>
  <si>
    <t>23/05/2023, 3:17:03 pm</t>
  </si>
  <si>
    <t>23/05/2023, 3:17:04 pm</t>
  </si>
  <si>
    <t>23/05/2023, 3:17:05 pm</t>
  </si>
  <si>
    <t>23/05/2023, 3:17:06 pm</t>
  </si>
  <si>
    <t>23/05/2023, 3:17:07 pm</t>
  </si>
  <si>
    <t>23/05/2023, 3:17:08 pm</t>
  </si>
  <si>
    <t>23/05/2023, 3:17:09 pm</t>
  </si>
  <si>
    <t>23/05/2023, 3:17:10 pm</t>
  </si>
  <si>
    <t>23/05/2023, 3:17:11 pm</t>
  </si>
  <si>
    <t>23/05/2023, 3:17:12 pm</t>
  </si>
  <si>
    <t>23/05/2023, 3:17:13 pm</t>
  </si>
  <si>
    <t>23/05/2023, 3:17:14 pm</t>
  </si>
  <si>
    <t>23/05/2023, 3:17:15 pm</t>
  </si>
  <si>
    <t>23/05/2023, 3:17:16 pm</t>
  </si>
  <si>
    <t>23/05/2023, 3:17:17 pm</t>
  </si>
  <si>
    <t>23/05/2023, 3:17:18 pm</t>
  </si>
  <si>
    <t>23/05/2023, 3:17:19 pm</t>
  </si>
  <si>
    <t>23/05/2023, 3:17:20 pm</t>
  </si>
  <si>
    <t>23/05/2023, 3:17:21 pm</t>
  </si>
  <si>
    <t>23/05/2023, 3:17:22 pm</t>
  </si>
  <si>
    <t>23/05/2023, 3:17:23 pm</t>
  </si>
  <si>
    <t>23/05/2023, 3:17:24 pm</t>
  </si>
  <si>
    <t>23/05/2023, 3:17:25 pm</t>
  </si>
  <si>
    <t>23/05/2023, 3:17:26 pm</t>
  </si>
  <si>
    <t>23/05/2023, 3:17:27 pm</t>
  </si>
  <si>
    <t>23/05/2023, 3:17:28 pm</t>
  </si>
  <si>
    <t>23/05/2023, 3:17:29 pm</t>
  </si>
  <si>
    <t>23/05/2023, 3:17:30 pm</t>
  </si>
  <si>
    <t>23/05/2023, 3:17:31 pm</t>
  </si>
  <si>
    <t>23/05/2023, 3:17:32 pm</t>
  </si>
  <si>
    <t>23/05/2023, 3:17:33 pm</t>
  </si>
  <si>
    <t>23/05/2023, 3:17:34 pm</t>
  </si>
  <si>
    <t>23/05/2023, 3:17:35 pm</t>
  </si>
  <si>
    <t>23/05/2023, 3:17:36 pm</t>
  </si>
  <si>
    <t>23/05/2023, 3:17:37 pm</t>
  </si>
  <si>
    <t>23/05/2023, 3:17:38 pm</t>
  </si>
  <si>
    <t>23/05/2023, 3:17:39 pm</t>
  </si>
  <si>
    <t>23/05/2023, 3:17:40 pm</t>
  </si>
  <si>
    <t>23/05/2023, 3:17:41 pm</t>
  </si>
  <si>
    <t>23/05/2023, 3:17:42 pm</t>
  </si>
  <si>
    <t>23/05/2023, 3:17:43 pm</t>
  </si>
  <si>
    <t>23/05/2023, 3:17:44 pm</t>
  </si>
  <si>
    <t>23/05/2023, 3:17:45 pm</t>
  </si>
  <si>
    <t>23/05/2023, 3:17:46 pm</t>
  </si>
  <si>
    <t>23/05/2023, 3:17:47 pm</t>
  </si>
  <si>
    <t>23/05/2023, 3:17:48 pm</t>
  </si>
  <si>
    <t>23/05/2023, 3:17:49 pm</t>
  </si>
  <si>
    <t>23/05/2023, 3:17:50 pm</t>
  </si>
  <si>
    <t>23/05/2023, 3:17:51 pm</t>
  </si>
  <si>
    <t>23/05/2023, 3:17:52 pm</t>
  </si>
  <si>
    <t>23/05/2023, 3:17:53 pm</t>
  </si>
  <si>
    <t>23/05/2023, 3:17:54 pm</t>
  </si>
  <si>
    <t>23/05/2023, 3:17:55 pm</t>
  </si>
  <si>
    <t>23/05/2023, 3:17:56 pm</t>
  </si>
  <si>
    <t>23/05/2023, 3:17:57 pm</t>
  </si>
  <si>
    <t>23/05/2023, 3:17:58 pm</t>
  </si>
  <si>
    <t>23/05/2023, 3:17:59 pm</t>
  </si>
  <si>
    <t>23/05/2023, 3:18:00 pm</t>
  </si>
  <si>
    <t>23/05/2023, 3:18:01 pm</t>
  </si>
  <si>
    <t>23/05/2023, 3:18:02 pm</t>
  </si>
  <si>
    <t>23/05/2023, 3:18:03 pm</t>
  </si>
  <si>
    <t>23/05/2023, 3:18:04 pm</t>
  </si>
  <si>
    <t>23/05/2023, 3:18:05 pm</t>
  </si>
  <si>
    <t>23/05/2023, 3:18:06 pm</t>
  </si>
  <si>
    <t>23/05/2023, 3:18:07 pm</t>
  </si>
  <si>
    <t>23/05/2023, 3:18:08 pm</t>
  </si>
  <si>
    <t>23/05/2023, 3:18:09 pm</t>
  </si>
  <si>
    <t>23/05/2023, 3:18:10 pm</t>
  </si>
  <si>
    <t>23/05/2023, 3:18:11 pm</t>
  </si>
  <si>
    <t>23/05/2023, 3:18:12 pm</t>
  </si>
  <si>
    <t>23/05/2023, 3:18:13 pm</t>
  </si>
  <si>
    <t>23/05/2023, 3:18:14 pm</t>
  </si>
  <si>
    <t>23/05/2023, 3:18:15 pm</t>
  </si>
  <si>
    <t>23/05/2023, 3:18:16 pm</t>
  </si>
  <si>
    <t>23/05/2023, 3:18:17 pm</t>
  </si>
  <si>
    <t>23/05/2023, 3:18:18 pm</t>
  </si>
  <si>
    <t>23/05/2023, 3:18:19 pm</t>
  </si>
  <si>
    <t>23/05/2023, 3:18:20 pm</t>
  </si>
  <si>
    <t>23/05/2023, 3:18:21 pm</t>
  </si>
  <si>
    <t>23/05/2023, 3:18:22 pm</t>
  </si>
  <si>
    <t>23/05/2023, 3:18:23 pm</t>
  </si>
  <si>
    <t>23/05/2023, 3:18:24 pm</t>
  </si>
  <si>
    <t>23/05/2023, 3:18:25 pm</t>
  </si>
  <si>
    <t>23/05/2023, 3:18:26 pm</t>
  </si>
  <si>
    <t>23/05/2023, 3:18:27 pm</t>
  </si>
  <si>
    <t>23/05/2023, 3:18:28 pm</t>
  </si>
  <si>
    <t>23/05/2023, 3:18:29 pm</t>
  </si>
  <si>
    <t>23/05/2023, 3:18:30 pm</t>
  </si>
  <si>
    <t>23/05/2023, 3:18:31 pm</t>
  </si>
  <si>
    <t>23/05/2023, 3:18:32 pm</t>
  </si>
  <si>
    <t>23/05/2023, 3:18:34 pm</t>
  </si>
  <si>
    <t>23/05/2023, 3:18:35 pm</t>
  </si>
  <si>
    <t>23/05/2023, 3:18:36 pm</t>
  </si>
  <si>
    <t>23/05/2023, 3:18:37 pm</t>
  </si>
  <si>
    <t>23/05/2023, 3:18:38 pm</t>
  </si>
  <si>
    <t>23/05/2023, 3:18:39 pm</t>
  </si>
  <si>
    <t>23/05/2023, 3:18:40 pm</t>
  </si>
  <si>
    <t>23/05/2023, 3:18:41 pm</t>
  </si>
  <si>
    <t>23/05/2023, 3:18:42 pm</t>
  </si>
  <si>
    <t>23/05/2023, 3:18:43 pm</t>
  </si>
  <si>
    <t>23/05/2023, 3:18:44 pm</t>
  </si>
  <si>
    <t>23/05/2023, 3:18:45 pm</t>
  </si>
  <si>
    <t>23/05/2023, 3:18:46 pm</t>
  </si>
  <si>
    <t>23/05/2023, 3:18:47 pm</t>
  </si>
  <si>
    <t>23/05/2023, 3:18:48 pm</t>
  </si>
  <si>
    <t>23/05/2023, 3:18:49 pm</t>
  </si>
  <si>
    <t>23/05/2023, 3:18:50 pm</t>
  </si>
  <si>
    <t>23/05/2023, 3:18:51 pm</t>
  </si>
  <si>
    <t>23/05/2023, 3:18:52 pm</t>
  </si>
  <si>
    <t>23/05/2023, 3:18:53 pm</t>
  </si>
  <si>
    <t>23/05/2023, 3:18:54 pm</t>
  </si>
  <si>
    <t>23/05/2023, 3:18:55 pm</t>
  </si>
  <si>
    <t>23/05/2023, 3:18:56 pm</t>
  </si>
  <si>
    <t>23/05/2023, 3:18:57 pm</t>
  </si>
  <si>
    <t>23/05/2023, 3:18:58 pm</t>
  </si>
  <si>
    <t>23/05/2023, 3:18:59 pm</t>
  </si>
  <si>
    <t>23/05/2023, 3:19:00 pm</t>
  </si>
  <si>
    <t>23/05/2023, 3:19:01 pm</t>
  </si>
  <si>
    <t>23/05/2023, 3:19:02 pm</t>
  </si>
  <si>
    <t>23/05/2023, 3:19:03 pm</t>
  </si>
  <si>
    <t>23/05/2023, 3:19:04 pm</t>
  </si>
  <si>
    <t>23/05/2023, 3:19:05 pm</t>
  </si>
  <si>
    <t>23/05/2023, 3:19:06 pm</t>
  </si>
  <si>
    <t>23/05/2023, 3:19:07 pm</t>
  </si>
  <si>
    <t>23/05/2023, 3:19:08 pm</t>
  </si>
  <si>
    <t>23/05/2023, 3:19:09 pm</t>
  </si>
  <si>
    <t>23/05/2023, 3:19:10 pm</t>
  </si>
  <si>
    <t>23/05/2023, 3:19:11 pm</t>
  </si>
  <si>
    <t>23/05/2023, 3:19:12 pm</t>
  </si>
  <si>
    <t>23/05/2023, 3:19:13 pm</t>
  </si>
  <si>
    <t>23/05/2023, 3:19:14 pm</t>
  </si>
  <si>
    <t>23/05/2023, 3:19:15 pm</t>
  </si>
  <si>
    <t>23/05/2023, 3:19:16 pm</t>
  </si>
  <si>
    <t>23/05/2023, 3:19:17 pm</t>
  </si>
  <si>
    <t>23/05/2023, 3:19:18 pm</t>
  </si>
  <si>
    <t>23/05/2023, 3:19:19 pm</t>
  </si>
  <si>
    <t>23/05/2023, 3:19:20 pm</t>
  </si>
  <si>
    <t>23/05/2023, 3:19:21 pm</t>
  </si>
  <si>
    <t>23/05/2023, 3:19:22 pm</t>
  </si>
  <si>
    <t>23/05/2023, 3:19:23 pm</t>
  </si>
  <si>
    <t>23/05/2023, 3:19:24 pm</t>
  </si>
  <si>
    <t>23/05/2023, 3:19:25 pm</t>
  </si>
  <si>
    <t>23/05/2023, 3:19:26 pm</t>
  </si>
  <si>
    <t>23/05/2023, 3:19:27 pm</t>
  </si>
  <si>
    <t>23/05/2023, 3:19:28 pm</t>
  </si>
  <si>
    <t>23/05/2023, 3:19:29 pm</t>
  </si>
  <si>
    <t>23/05/2023, 3:19:30 pm</t>
  </si>
  <si>
    <t>23/05/2023, 3:19:31 pm</t>
  </si>
  <si>
    <t>23/05/2023, 3:19:32 pm</t>
  </si>
  <si>
    <t>23/05/2023, 3:19:33 pm</t>
  </si>
  <si>
    <t>23/05/2023, 3:19:34 pm</t>
  </si>
  <si>
    <t>23/05/2023, 3:19:35 pm</t>
  </si>
  <si>
    <t>23/05/2023, 3:19:36 pm</t>
  </si>
  <si>
    <t>23/05/2023, 3:19:37 pm</t>
  </si>
  <si>
    <t>23/05/2023, 3:19:38 pm</t>
  </si>
  <si>
    <t>23/05/2023, 3:19:39 pm</t>
  </si>
  <si>
    <t>23/05/2023, 3:19:40 pm</t>
  </si>
  <si>
    <t>23/05/2023, 3:19:41 pm</t>
  </si>
  <si>
    <t>23/05/2023, 3:19:42 pm</t>
  </si>
  <si>
    <t>23/05/2023, 3:19:43 pm</t>
  </si>
  <si>
    <t>23/05/2023, 3:19:44 pm</t>
  </si>
  <si>
    <t>23/05/2023, 3:19:45 pm</t>
  </si>
  <si>
    <t>23/05/2023, 3:19:46 pm</t>
  </si>
  <si>
    <t>23/05/2023, 3:19:47 pm</t>
  </si>
  <si>
    <t>23/05/2023, 3:19:48 pm</t>
  </si>
  <si>
    <t>23/05/2023, 3:19:49 pm</t>
  </si>
  <si>
    <t>23/05/2023, 3:19:50 pm</t>
  </si>
  <si>
    <t>23/05/2023, 3:19:51 pm</t>
  </si>
  <si>
    <t>23/05/2023, 3:19:52 pm</t>
  </si>
  <si>
    <t>23/05/2023, 3:19:53 pm</t>
  </si>
  <si>
    <t>23/05/2023, 3:19:54 pm</t>
  </si>
  <si>
    <t>23/05/2023, 3:19:55 pm</t>
  </si>
  <si>
    <t>23/05/2023, 3:19:56 pm</t>
  </si>
  <si>
    <t>23/05/2023, 3:19:57 pm</t>
  </si>
  <si>
    <t>23/05/2023, 3:19:58 pm</t>
  </si>
  <si>
    <t>23/05/2023, 3:19:59 pm</t>
  </si>
  <si>
    <t>23/05/2023, 3:20:00 pm</t>
  </si>
  <si>
    <t>23/05/2023, 3:20:01 pm</t>
  </si>
  <si>
    <t>23/05/2023, 3:20:02 pm</t>
  </si>
  <si>
    <t>23/05/2023, 3:20:03 pm</t>
  </si>
  <si>
    <t>23/05/2023, 3:20:04 pm</t>
  </si>
  <si>
    <t>23/05/2023, 3:20:05 pm</t>
  </si>
  <si>
    <t>23/05/2023, 3:20:06 pm</t>
  </si>
  <si>
    <t>23/05/2023, 3:20:07 pm</t>
  </si>
  <si>
    <t>23/05/2023, 3:20:08 pm</t>
  </si>
  <si>
    <t>23/05/2023, 3:20:09 pm</t>
  </si>
  <si>
    <t>23/05/2023, 3:20:10 pm</t>
  </si>
  <si>
    <t>23/05/2023, 3:20:11 pm</t>
  </si>
  <si>
    <t>23/05/2023, 3:20:12 pm</t>
  </si>
  <si>
    <t>23/05/2023, 3:20:13 pm</t>
  </si>
  <si>
    <t>23/05/2023, 3:20:14 pm</t>
  </si>
  <si>
    <t>23/05/2023, 3:20:15 pm</t>
  </si>
  <si>
    <t>23/05/2023, 3:20:16 pm</t>
  </si>
  <si>
    <t>23/05/2023, 3:20:17 pm</t>
  </si>
  <si>
    <t>23/05/2023, 3:20:18 pm</t>
  </si>
  <si>
    <t>23/05/2023, 3:20:19 pm</t>
  </si>
  <si>
    <t>23/05/2023, 3:20:20 pm</t>
  </si>
  <si>
    <t>23/05/2023, 3:20:21 pm</t>
  </si>
  <si>
    <t>23/05/2023, 3:20:22 pm</t>
  </si>
  <si>
    <t>23/05/2023, 3:20:23 pm</t>
  </si>
  <si>
    <t>23/05/2023, 3:20:24 pm</t>
  </si>
  <si>
    <t>23/05/2023, 3:20:25 pm</t>
  </si>
  <si>
    <t>23/05/2023, 3:20:26 pm</t>
  </si>
  <si>
    <t>23/05/2023, 3:20:27 pm</t>
  </si>
  <si>
    <t>23/05/2023, 3:20:28 pm</t>
  </si>
  <si>
    <t>23/05/2023, 3:20:29 pm</t>
  </si>
  <si>
    <t>23/05/2023, 3:20:30 pm</t>
  </si>
  <si>
    <t>23/05/2023, 3:20:31 pm</t>
  </si>
  <si>
    <t>23/05/2023, 3:20:32 pm</t>
  </si>
  <si>
    <t>23/05/2023, 3:20:33 pm</t>
  </si>
  <si>
    <t>23/05/2023, 3:20:34 pm</t>
  </si>
  <si>
    <t>23/05/2023, 3:20:35 pm</t>
  </si>
  <si>
    <t>23/05/2023, 3:20:36 pm</t>
  </si>
  <si>
    <t>23/05/2023, 3:20:37 pm</t>
  </si>
  <si>
    <t>23/05/2023, 3:20:38 pm</t>
  </si>
  <si>
    <t>23/05/2023, 3:20:39 pm</t>
  </si>
  <si>
    <t>23/05/2023, 3:20:41 pm</t>
  </si>
  <si>
    <t>23/05/2023, 3:20:42 pm</t>
  </si>
  <si>
    <t>23/05/2023, 3:20:43 pm</t>
  </si>
  <si>
    <t>23/05/2023, 3:20:44 pm</t>
  </si>
  <si>
    <t>23/05/2023, 3:20:45 pm</t>
  </si>
  <si>
    <t>23/05/2023, 3:20:46 pm</t>
  </si>
  <si>
    <t>23/05/2023, 3:20:47 pm</t>
  </si>
  <si>
    <t>23/05/2023, 3:20:48 pm</t>
  </si>
  <si>
    <t>23/05/2023, 3:20:49 pm</t>
  </si>
  <si>
    <t>23/05/2023, 3:20:50 pm</t>
  </si>
  <si>
    <t>23/05/2023, 3:20:51 pm</t>
  </si>
  <si>
    <t>23/05/2023, 3:20:52 pm</t>
  </si>
  <si>
    <t>23/05/2023, 3:20:53 pm</t>
  </si>
  <si>
    <t>23/05/2023, 3:20:54 pm</t>
  </si>
  <si>
    <t>23/05/2023, 3:20:55 pm</t>
  </si>
  <si>
    <t>23/05/2023, 3:20:56 pm</t>
  </si>
  <si>
    <t>23/05/2023, 3:20:57 pm</t>
  </si>
  <si>
    <t>23/05/2023, 3:20:58 pm</t>
  </si>
  <si>
    <t>23/05/2023, 3:20:59 pm</t>
  </si>
  <si>
    <t>23/05/2023, 3:21:00 pm</t>
  </si>
  <si>
    <t>23/05/2023, 3:21:01 pm</t>
  </si>
  <si>
    <t>23/05/2023, 3:21:02 pm</t>
  </si>
  <si>
    <t>23/05/2023, 3:21:03 pm</t>
  </si>
  <si>
    <t>23/05/2023, 3:21:04 pm</t>
  </si>
  <si>
    <t>23/05/2023, 3:21:05 pm</t>
  </si>
  <si>
    <t>23/05/2023, 3:21:06 pm</t>
  </si>
  <si>
    <t>23/05/2023, 3:21:07 pm</t>
  </si>
  <si>
    <t>23/05/2023, 3:21:08 pm</t>
  </si>
  <si>
    <t>23/05/2023, 3:21:09 pm</t>
  </si>
  <si>
    <t>23/05/2023, 3:21:10 pm</t>
  </si>
  <si>
    <t>23/05/2023, 3:21:11 pm</t>
  </si>
  <si>
    <t>23/05/2023, 3:21:12 pm</t>
  </si>
  <si>
    <t>23/05/2023, 3:21:13 pm</t>
  </si>
  <si>
    <t>23/05/2023, 3:21:14 pm</t>
  </si>
  <si>
    <t>23/05/2023, 3:21:15 pm</t>
  </si>
  <si>
    <t>23/05/2023, 3:21:16 pm</t>
  </si>
  <si>
    <t>23/05/2023, 3:21:17 pm</t>
  </si>
  <si>
    <t>23/05/2023, 3:21:18 pm</t>
  </si>
  <si>
    <t>23/05/2023, 3:21:19 pm</t>
  </si>
  <si>
    <t>23/05/2023, 3:21:20 pm</t>
  </si>
  <si>
    <t>23/05/2023, 3:21:21 pm</t>
  </si>
  <si>
    <t>23/05/2023, 3:21:22 pm</t>
  </si>
  <si>
    <t>23/05/2023, 3:21:23 pm</t>
  </si>
  <si>
    <t>23/05/2023, 3:21:24 pm</t>
  </si>
  <si>
    <t>23/05/2023, 3:21:25 pm</t>
  </si>
  <si>
    <t>23/05/2023, 3:21:26 pm</t>
  </si>
  <si>
    <t>23/05/2023, 3:21:27 pm</t>
  </si>
  <si>
    <t>23/05/2023, 3:21:28 pm</t>
  </si>
  <si>
    <t>23/05/2023, 3:21:29 pm</t>
  </si>
  <si>
    <t>23/05/2023, 3:21:30 pm</t>
  </si>
  <si>
    <t>23/05/2023, 3:21:31 pm</t>
  </si>
  <si>
    <t>23/05/2023, 3:21:32 pm</t>
  </si>
  <si>
    <t>23/05/2023, 3:21:33 pm</t>
  </si>
  <si>
    <t>23/05/2023, 3:21:34 pm</t>
  </si>
  <si>
    <t>23/05/2023, 3:21:35 pm</t>
  </si>
  <si>
    <t>23/05/2023, 3:21:36 pm</t>
  </si>
  <si>
    <t>23/05/2023, 3:21:37 pm</t>
  </si>
  <si>
    <t>23/05/2023, 3:21:38 pm</t>
  </si>
  <si>
    <t>23/05/2023, 3:21:39 pm</t>
  </si>
  <si>
    <t>23/05/2023, 3:21:40 pm</t>
  </si>
  <si>
    <t>23/05/2023, 3:21:41 pm</t>
  </si>
  <si>
    <t>23/05/2023, 3:21:42 pm</t>
  </si>
  <si>
    <t>23/05/2023, 3:21:43 pm</t>
  </si>
  <si>
    <t>23/05/2023, 3:21:44 pm</t>
  </si>
  <si>
    <t>23/05/2023, 3:21:45 pm</t>
  </si>
  <si>
    <t>23/05/2023, 3:21:46 pm</t>
  </si>
  <si>
    <t>23/05/2023, 3:21:47 pm</t>
  </si>
  <si>
    <t>23/05/2023, 3:21:48 pm</t>
  </si>
  <si>
    <t>23/05/2023, 3:21:49 pm</t>
  </si>
  <si>
    <t>23/05/2023, 3:21:50 pm</t>
  </si>
  <si>
    <t>23/05/2023, 3:21:51 pm</t>
  </si>
  <si>
    <t>23/05/2023, 3:21:52 pm</t>
  </si>
  <si>
    <t>23/05/2023, 3:21:53 pm</t>
  </si>
  <si>
    <t>23/05/2023, 3:21:54 pm</t>
  </si>
  <si>
    <t>23/05/2023, 3:21:55 pm</t>
  </si>
  <si>
    <t>23/05/2023, 3:21:56 pm</t>
  </si>
  <si>
    <t>23/05/2023, 3:21:57 pm</t>
  </si>
  <si>
    <t>23/05/2023, 3:21:58 pm</t>
  </si>
  <si>
    <t>23/05/2023, 3:21:59 pm</t>
  </si>
  <si>
    <t>23/05/2023, 3:22:00 pm</t>
  </si>
  <si>
    <t>23/05/2023, 3:22:01 pm</t>
  </si>
  <si>
    <t>23/05/2023, 3:22:02 pm</t>
  </si>
  <si>
    <t>23/05/2023, 3:22:03 pm</t>
  </si>
  <si>
    <t>23/05/2023, 3:22:04 pm</t>
  </si>
  <si>
    <t>23/05/2023, 3:22:05 pm</t>
  </si>
  <si>
    <t>23/05/2023, 3:22:06 pm</t>
  </si>
  <si>
    <t>23/05/2023, 3:22:07 pm</t>
  </si>
  <si>
    <t>23/05/2023, 3:22:08 pm</t>
  </si>
  <si>
    <t>23/05/2023, 3:22:09 pm</t>
  </si>
  <si>
    <t>23/05/2023, 3:22:10 pm</t>
  </si>
  <si>
    <t>23/05/2023, 3:22:11 pm</t>
  </si>
  <si>
    <t>23/05/2023, 3:22:12 pm</t>
  </si>
  <si>
    <t>23/05/2023, 3:22:13 pm</t>
  </si>
  <si>
    <t>23/05/2023, 3:22:14 pm</t>
  </si>
  <si>
    <t>23/05/2023, 3:22:15 pm</t>
  </si>
  <si>
    <t>23/05/2023, 3:22:16 pm</t>
  </si>
  <si>
    <t>23/05/2023, 3:22:17 pm</t>
  </si>
  <si>
    <t>23/05/2023, 3:22:18 pm</t>
  </si>
  <si>
    <t>23/05/2023, 3:22:19 pm</t>
  </si>
  <si>
    <t>23/05/2023, 3:22:20 pm</t>
  </si>
  <si>
    <t>23/05/2023, 3:22:21 pm</t>
  </si>
  <si>
    <t>23/05/2023, 3:22:22 pm</t>
  </si>
  <si>
    <t>23/05/2023, 3:22:23 pm</t>
  </si>
  <si>
    <t>23/05/2023, 3:22:24 pm</t>
  </si>
  <si>
    <t>23/05/2023, 3:22:25 pm</t>
  </si>
  <si>
    <t>23/05/2023, 3:22:26 pm</t>
  </si>
  <si>
    <t>23/05/2023, 3:22:27 pm</t>
  </si>
  <si>
    <t>23/05/2023, 3:22:28 pm</t>
  </si>
  <si>
    <t>23/05/2023, 3:22:29 pm</t>
  </si>
  <si>
    <t>23/05/2023, 3:22:30 pm</t>
  </si>
  <si>
    <t>23/05/2023, 3:22:31 pm</t>
  </si>
  <si>
    <t>23/05/2023, 3:22:32 pm</t>
  </si>
  <si>
    <t>23/05/2023, 3:22:33 pm</t>
  </si>
  <si>
    <t>23/05/2023, 3:22:34 pm</t>
  </si>
  <si>
    <t>23/05/2023, 3:22:35 pm</t>
  </si>
  <si>
    <t>23/05/2023, 3:22:36 pm</t>
  </si>
  <si>
    <t>23/05/2023, 3:22:37 pm</t>
  </si>
  <si>
    <t>23/05/2023, 3:22:38 pm</t>
  </si>
  <si>
    <t>23/05/2023, 3:22:39 pm</t>
  </si>
  <si>
    <t>23/05/2023, 3:22:40 pm</t>
  </si>
  <si>
    <t>23/05/2023, 3:22:41 pm</t>
  </si>
  <si>
    <t>23/05/2023, 3:22:43 pm</t>
  </si>
  <si>
    <t>23/05/2023, 3:22:44 pm</t>
  </si>
  <si>
    <t>23/05/2023, 3:22:45 pm</t>
  </si>
  <si>
    <t>23/05/2023, 3:22:46 pm</t>
  </si>
  <si>
    <t>23/05/2023, 3:22:47 pm</t>
  </si>
  <si>
    <t>23/05/2023, 3:22:48 pm</t>
  </si>
  <si>
    <t>23/05/2023, 3:22:49 pm</t>
  </si>
  <si>
    <t>23/05/2023, 3:22:50 pm</t>
  </si>
  <si>
    <t>23/05/2023, 3:22:51 pm</t>
  </si>
  <si>
    <t>23/05/2023, 3:22:52 pm</t>
  </si>
  <si>
    <t>23/05/2023, 3:22:53 pm</t>
  </si>
  <si>
    <t>23/05/2023, 3:22:54 pm</t>
  </si>
  <si>
    <t>23/05/2023, 3:22:55 pm</t>
  </si>
  <si>
    <t>23/05/2023, 3:22:56 pm</t>
  </si>
  <si>
    <t>23/05/2023, 3:22:57 pm</t>
  </si>
  <si>
    <t>23/05/2023, 3:22:58 pm</t>
  </si>
  <si>
    <t>23/05/2023, 3:22:59 pm</t>
  </si>
  <si>
    <t>23/05/2023, 3:23:00 pm</t>
  </si>
  <si>
    <t>23/05/2023, 3:23:01 pm</t>
  </si>
  <si>
    <t>23/05/2023, 3:23:02 pm</t>
  </si>
  <si>
    <t>23/05/2023, 3:23:03 pm</t>
  </si>
  <si>
    <t>23/05/2023, 3:23:04 pm</t>
  </si>
  <si>
    <t>23/05/2023, 3:23:05 pm</t>
  </si>
  <si>
    <t>23/05/2023, 3:23:06 pm</t>
  </si>
  <si>
    <t>23/05/2023, 3:23:07 pm</t>
  </si>
  <si>
    <t>23/05/2023, 3:23:08 pm</t>
  </si>
  <si>
    <t>23/05/2023, 3:23:09 pm</t>
  </si>
  <si>
    <t>23/05/2023, 3:23:10 pm</t>
  </si>
  <si>
    <t>23/05/2023, 3:23:11 pm</t>
  </si>
  <si>
    <t>23/05/2023, 3:23:12 pm</t>
  </si>
  <si>
    <t>23/05/2023, 3:23:13 pm</t>
  </si>
  <si>
    <t>23/05/2023, 3:23:14 pm</t>
  </si>
  <si>
    <t>23/05/2023, 3:23:15 pm</t>
  </si>
  <si>
    <t>23/05/2023, 3:23:16 pm</t>
  </si>
  <si>
    <t>23/05/2023, 3:23:17 pm</t>
  </si>
  <si>
    <t>23/05/2023, 3:23:18 pm</t>
  </si>
  <si>
    <t>23/05/2023, 3:23:19 pm</t>
  </si>
  <si>
    <t>23/05/2023, 3:23:20 pm</t>
  </si>
  <si>
    <t>23/05/2023, 3:23:21 pm</t>
  </si>
  <si>
    <t>23/05/2023, 3:23:22 pm</t>
  </si>
  <si>
    <t>23/05/2023, 3:23:23 pm</t>
  </si>
  <si>
    <t>23/05/2023, 3:23:24 pm</t>
  </si>
  <si>
    <t>23/05/2023, 3:23:25 pm</t>
  </si>
  <si>
    <t>23/05/2023, 3:23:26 pm</t>
  </si>
  <si>
    <t>23/05/2023, 3:23:27 pm</t>
  </si>
  <si>
    <t>23/05/2023, 3:23:28 pm</t>
  </si>
  <si>
    <t>23/05/2023, 3:23:29 pm</t>
  </si>
  <si>
    <t>23/05/2023, 3:23:30 pm</t>
  </si>
  <si>
    <t>23/05/2023, 3:23:31 pm</t>
  </si>
  <si>
    <t>23/05/2023, 3:23:32 pm</t>
  </si>
  <si>
    <t>23/05/2023, 3:23:33 pm</t>
  </si>
  <si>
    <t>23/05/2023, 3:23:34 pm</t>
  </si>
  <si>
    <t>23/05/2023, 3:23:35 pm</t>
  </si>
  <si>
    <t>23/05/2023, 3:23:36 pm</t>
  </si>
  <si>
    <t>23/05/2023, 3:23:37 pm</t>
  </si>
  <si>
    <t>23/05/2023, 3:23:38 pm</t>
  </si>
  <si>
    <t>23/05/2023, 3:23:39 pm</t>
  </si>
  <si>
    <t>23/05/2023, 3:23:40 pm</t>
  </si>
  <si>
    <t>23/05/2023, 3:23:41 pm</t>
  </si>
  <si>
    <t>23/05/2023, 3:23:42 pm</t>
  </si>
  <si>
    <t>23/05/2023, 3:23:43 pm</t>
  </si>
  <si>
    <t>23/05/2023, 3:23:44 pm</t>
  </si>
  <si>
    <t>23/05/2023, 3:23:45 pm</t>
  </si>
  <si>
    <t>23/05/2023, 3:23:46 pm</t>
  </si>
  <si>
    <t>23/05/2023, 3:23:47 pm</t>
  </si>
  <si>
    <t>23/05/2023, 3:23:48 pm</t>
  </si>
  <si>
    <t>23/05/2023, 3:23:49 pm</t>
  </si>
  <si>
    <t>23/05/2023, 3:23:50 pm</t>
  </si>
  <si>
    <t>23/05/2023, 3:23:51 pm</t>
  </si>
  <si>
    <t>23/05/2023, 3:23:52 pm</t>
  </si>
  <si>
    <t>23/05/2023, 3:23:53 pm</t>
  </si>
  <si>
    <t>23/05/2023, 3:23:54 pm</t>
  </si>
  <si>
    <t>23/05/2023, 3:23:55 pm</t>
  </si>
  <si>
    <t>23/05/2023, 3:23:56 pm</t>
  </si>
  <si>
    <t>23/05/2023, 3:23:57 pm</t>
  </si>
  <si>
    <t>23/05/2023, 3:23:58 pm</t>
  </si>
  <si>
    <t>23/05/2023, 3:23:59 pm</t>
  </si>
  <si>
    <t>23/05/2023, 3:24:00 pm</t>
  </si>
  <si>
    <t>23/05/2023, 3:24:01 pm</t>
  </si>
  <si>
    <t>23/05/2023, 3:24:02 pm</t>
  </si>
  <si>
    <t>23/05/2023, 3:24:03 pm</t>
  </si>
  <si>
    <t>23/05/2023, 3:24:04 pm</t>
  </si>
  <si>
    <t>23/05/2023, 3:24:05 pm</t>
  </si>
  <si>
    <t>23/05/2023, 3:24:06 pm</t>
  </si>
  <si>
    <t>23/05/2023, 3:24:07 pm</t>
  </si>
  <si>
    <t>23/05/2023, 3:24:08 pm</t>
  </si>
  <si>
    <t>23/05/2023, 3:24:09 pm</t>
  </si>
  <si>
    <t>23/05/2023, 3:24:10 pm</t>
  </si>
  <si>
    <t>23/05/2023, 3:24:11 pm</t>
  </si>
  <si>
    <t>23/05/2023, 3:24:12 pm</t>
  </si>
  <si>
    <t>23/05/2023, 3:24:13 pm</t>
  </si>
  <si>
    <t>23/05/2023, 3:24:14 pm</t>
  </si>
  <si>
    <t>23/05/2023, 3:24:15 pm</t>
  </si>
  <si>
    <t>23/05/2023, 3:24:16 pm</t>
  </si>
  <si>
    <t>23/05/2023, 3:24:17 pm</t>
  </si>
  <si>
    <t>23/05/2023, 3:24:18 pm</t>
  </si>
  <si>
    <t>23/05/2023, 3:24:19 pm</t>
  </si>
  <si>
    <t>23/05/2023, 3:24:20 pm</t>
  </si>
  <si>
    <t>23/05/2023, 3:24:21 pm</t>
  </si>
  <si>
    <t>23/05/2023, 3:24:22 pm</t>
  </si>
  <si>
    <t>23/05/2023, 3:24:23 pm</t>
  </si>
  <si>
    <t>23/05/2023, 3:24:24 pm</t>
  </si>
  <si>
    <t>23/05/2023, 3:24:25 pm</t>
  </si>
  <si>
    <t>23/05/2023, 3:24:26 pm</t>
  </si>
  <si>
    <t>23/05/2023, 3:24:27 pm</t>
  </si>
  <si>
    <t>23/05/2023, 3:24:28 pm</t>
  </si>
  <si>
    <t>23/05/2023, 3:24:29 pm</t>
  </si>
  <si>
    <t>23/05/2023, 3:24:30 pm</t>
  </si>
  <si>
    <t>23/05/2023, 3:24:31 pm</t>
  </si>
  <si>
    <t>23/05/2023, 3:24:32 pm</t>
  </si>
  <si>
    <t>23/05/2023, 3:24:33 pm</t>
  </si>
  <si>
    <t>23/05/2023, 3:24:34 pm</t>
  </si>
  <si>
    <t>23/05/2023, 3:24:35 pm</t>
  </si>
  <si>
    <t>23/05/2023, 3:24:36 pm</t>
  </si>
  <si>
    <t>23/05/2023, 3:24:37 pm</t>
  </si>
  <si>
    <t>23/05/2023, 3:24:38 pm</t>
  </si>
  <si>
    <t>23/05/2023, 3:24:39 pm</t>
  </si>
  <si>
    <t>23/05/2023, 3:24:40 pm</t>
  </si>
  <si>
    <t>23/05/2023, 3:24:41 pm</t>
  </si>
  <si>
    <t>23/05/2023, 3:24:42 pm</t>
  </si>
  <si>
    <t>23/05/2023, 3:24:43 pm</t>
  </si>
  <si>
    <t>23/05/2023, 3:24:44 pm</t>
  </si>
  <si>
    <t>23/05/2023, 3:24:45 pm</t>
  </si>
  <si>
    <t>23/05/2023, 3:24:46 pm</t>
  </si>
  <si>
    <t>23/05/2023, 3:24:47 pm</t>
  </si>
  <si>
    <t>23/05/2023, 3:24:48 pm</t>
  </si>
  <si>
    <t>23/05/2023, 3:24:49 pm</t>
  </si>
  <si>
    <t>23/05/2023, 3:24:50 pm</t>
  </si>
  <si>
    <t>23/05/2023, 3:24:52 pm</t>
  </si>
  <si>
    <t>23/05/2023, 3:24:53 pm</t>
  </si>
  <si>
    <t>23/05/2023, 3:24:54 pm</t>
  </si>
  <si>
    <t>23/05/2023, 3:24:55 pm</t>
  </si>
  <si>
    <t>23/05/2023, 3:24:56 pm</t>
  </si>
  <si>
    <t>23/05/2023, 3:24:57 pm</t>
  </si>
  <si>
    <t>23/05/2023, 3:24:58 pm</t>
  </si>
  <si>
    <t>23/05/2023, 3:24:59 pm</t>
  </si>
  <si>
    <t>23/05/2023, 3:25:00 pm</t>
  </si>
  <si>
    <t>23/05/2023, 3:25:01 pm</t>
  </si>
  <si>
    <t>23/05/2023, 3:25:02 pm</t>
  </si>
  <si>
    <t>23/05/2023, 3:25:03 pm</t>
  </si>
  <si>
    <t>23/05/2023, 3:25:04 pm</t>
  </si>
  <si>
    <t>23/05/2023, 3:25:05 pm</t>
  </si>
  <si>
    <t>23/05/2023, 3:25:06 pm</t>
  </si>
  <si>
    <t>23/05/2023, 3:25:07 pm</t>
  </si>
  <si>
    <t>23/05/2023, 3:25:08 pm</t>
  </si>
  <si>
    <t>23/05/2023, 3:25:09 pm</t>
  </si>
  <si>
    <t>23/05/2023, 3:25:10 pm</t>
  </si>
  <si>
    <t>23/05/2023, 3:25:11 pm</t>
  </si>
  <si>
    <t>23/05/2023, 3:25:12 pm</t>
  </si>
  <si>
    <t>23/05/2023, 3:25:13 pm</t>
  </si>
  <si>
    <t>23/05/2023, 3:25:14 pm</t>
  </si>
  <si>
    <t>23/05/2023, 3:25:15 pm</t>
  </si>
  <si>
    <t>23/05/2023, 3:25:16 pm</t>
  </si>
  <si>
    <t>23/05/2023, 3:25:17 pm</t>
  </si>
  <si>
    <t>23/05/2023, 3:25:18 pm</t>
  </si>
  <si>
    <t>23/05/2023, 3:25:19 pm</t>
  </si>
  <si>
    <t>23/05/2023, 3:25:20 pm</t>
  </si>
  <si>
    <t>23/05/2023, 3:25:21 pm</t>
  </si>
  <si>
    <t>23/05/2023, 3:25:22 pm</t>
  </si>
  <si>
    <t>23/05/2023, 3:25:23 pm</t>
  </si>
  <si>
    <t>23/05/2023, 3:25:24 pm</t>
  </si>
  <si>
    <t>23/05/2023, 3:25:25 pm</t>
  </si>
  <si>
    <t>23/05/2023, 3:25:26 pm</t>
  </si>
  <si>
    <t>23/05/2023, 3:25:27 pm</t>
  </si>
  <si>
    <t>23/05/2023, 3:25:28 pm</t>
  </si>
  <si>
    <t>23/05/2023, 3:25:29 pm</t>
  </si>
  <si>
    <t>23/05/2023, 3:25:30 pm</t>
  </si>
  <si>
    <t>23/05/2023, 3:25:31 pm</t>
  </si>
  <si>
    <t>23/05/2023, 3:25:32 pm</t>
  </si>
  <si>
    <t>23/05/2023, 3:25:33 pm</t>
  </si>
  <si>
    <t>23/05/2023, 3:25:34 pm</t>
  </si>
  <si>
    <t>23/05/2023, 3:25:35 pm</t>
  </si>
  <si>
    <t>23/05/2023, 3:25:36 pm</t>
  </si>
  <si>
    <t>23/05/2023, 3:25:37 pm</t>
  </si>
  <si>
    <t>23/05/2023, 3:25:38 pm</t>
  </si>
  <si>
    <t>23/05/2023, 3:25:39 pm</t>
  </si>
  <si>
    <t>23/05/2023, 3:25:40 pm</t>
  </si>
  <si>
    <t>23/05/2023, 3:25:41 pm</t>
  </si>
  <si>
    <t>23/05/2023, 3:25:42 pm</t>
  </si>
  <si>
    <t>23/05/2023, 3:25:43 pm</t>
  </si>
  <si>
    <t>23/05/2023, 3:25:44 pm</t>
  </si>
  <si>
    <t>23/05/2023, 3:25:45 pm</t>
  </si>
  <si>
    <t>23/05/2023, 3:25:46 pm</t>
  </si>
  <si>
    <t>23/05/2023, 3:25:47 pm</t>
  </si>
  <si>
    <t>23/05/2023, 3:25:48 pm</t>
  </si>
  <si>
    <t>23/05/2023, 3:25:49 pm</t>
  </si>
  <si>
    <t>23/05/2023, 3:25:50 pm</t>
  </si>
  <si>
    <t>23/05/2023, 3:25:51 pm</t>
  </si>
  <si>
    <t>23/05/2023, 3:25:52 pm</t>
  </si>
  <si>
    <t>23/05/2023, 3:25:53 pm</t>
  </si>
  <si>
    <t>23/05/2023, 3:25:54 pm</t>
  </si>
  <si>
    <t>23/05/2023, 3:25:55 pm</t>
  </si>
  <si>
    <t>23/05/2023, 3:25:56 pm</t>
  </si>
  <si>
    <t>23/05/2023, 3:25:57 pm</t>
  </si>
  <si>
    <t>23/05/2023, 3:25:58 pm</t>
  </si>
  <si>
    <t>23/05/2023, 3:25:59 pm</t>
  </si>
  <si>
    <t>23/05/2023, 3:26:00 pm</t>
  </si>
  <si>
    <t>23/05/2023, 3:26:01 pm</t>
  </si>
  <si>
    <t>23/05/2023, 3:26:02 pm</t>
  </si>
  <si>
    <t>23/05/2023, 3:26:03 pm</t>
  </si>
  <si>
    <t>23/05/2023, 3:26:04 pm</t>
  </si>
  <si>
    <t>23/05/2023, 3:26:05 pm</t>
  </si>
  <si>
    <t>23/05/2023, 3:26:06 pm</t>
  </si>
  <si>
    <t>23/05/2023, 3:26:07 pm</t>
  </si>
  <si>
    <t>23/05/2023, 3:26:08 pm</t>
  </si>
  <si>
    <t>23/05/2023, 3:26:09 pm</t>
  </si>
  <si>
    <t>23/05/2023, 3:26:10 pm</t>
  </si>
  <si>
    <t>23/05/2023, 3:26:11 pm</t>
  </si>
  <si>
    <t>23/05/2023, 3:26:12 pm</t>
  </si>
  <si>
    <t>23/05/2023, 3:26:13 pm</t>
  </si>
  <si>
    <t>23/05/2023, 3:26:14 pm</t>
  </si>
  <si>
    <t>23/05/2023, 3:26:15 pm</t>
  </si>
  <si>
    <t>23/05/2023, 3:26:16 pm</t>
  </si>
  <si>
    <t>23/05/2023, 3:26:17 pm</t>
  </si>
  <si>
    <t>23/05/2023, 3:26:18 pm</t>
  </si>
  <si>
    <t>23/05/2023, 3:26:19 pm</t>
  </si>
  <si>
    <t>23/05/2023, 3:26:20 pm</t>
  </si>
  <si>
    <t>23/05/2023, 3:26:21 pm</t>
  </si>
  <si>
    <t>23/05/2023, 3:26:22 pm</t>
  </si>
  <si>
    <t>23/05/2023, 3:26:23 pm</t>
  </si>
  <si>
    <t>23/05/2023, 3:26:24 pm</t>
  </si>
  <si>
    <t>23/05/2023, 3:26:25 pm</t>
  </si>
  <si>
    <t>23/05/2023, 3:26:26 pm</t>
  </si>
  <si>
    <t>23/05/2023, 3:26:27 pm</t>
  </si>
  <si>
    <t>23/05/2023, 3:26:28 pm</t>
  </si>
  <si>
    <t>23/05/2023, 3:26:29 pm</t>
  </si>
  <si>
    <t>23/05/2023, 3:26:30 pm</t>
  </si>
  <si>
    <t>23/05/2023, 3:26:31 pm</t>
  </si>
  <si>
    <t>23/05/2023, 3:26:32 pm</t>
  </si>
  <si>
    <t>23/05/2023, 3:26:33 pm</t>
  </si>
  <si>
    <t>23/05/2023, 3:26:34 pm</t>
  </si>
  <si>
    <t>23/05/2023, 3:26:35 pm</t>
  </si>
  <si>
    <t>23/05/2023, 3:26:36 pm</t>
  </si>
  <si>
    <t>23/05/2023, 3:26:37 pm</t>
  </si>
  <si>
    <t>23/05/2023, 3:26:38 pm</t>
  </si>
  <si>
    <t>23/05/2023, 3:26:39 pm</t>
  </si>
  <si>
    <t>23/05/2023, 3:26:40 pm</t>
  </si>
  <si>
    <t>23/05/2023, 3:26:41 pm</t>
  </si>
  <si>
    <t>23/05/2023, 3:26:42 pm</t>
  </si>
  <si>
    <t>23/05/2023, 3:26:43 pm</t>
  </si>
  <si>
    <t>23/05/2023, 3:26:44 pm</t>
  </si>
  <si>
    <t>23/05/2023, 3:26:45 pm</t>
  </si>
  <si>
    <t>23/05/2023, 3:26:47 pm</t>
  </si>
  <si>
    <t>23/05/2023, 3:26:48 pm</t>
  </si>
  <si>
    <t>23/05/2023, 3:26:49 pm</t>
  </si>
  <si>
    <t>23/05/2023, 3:26:50 pm</t>
  </si>
  <si>
    <t>23/05/2023, 3:26:51 pm</t>
  </si>
  <si>
    <t>23/05/2023, 3:26:52 pm</t>
  </si>
  <si>
    <t>23/05/2023, 3:26:53 pm</t>
  </si>
  <si>
    <t>23/05/2023, 3:26:54 pm</t>
  </si>
  <si>
    <t>23/05/2023, 3:26:55 pm</t>
  </si>
  <si>
    <t>23/05/2023, 3:26:56 pm</t>
  </si>
  <si>
    <t>23/05/2023, 3:26:57 pm</t>
  </si>
  <si>
    <t>23/05/2023, 3:26:58 pm</t>
  </si>
  <si>
    <t>23/05/2023, 3:26:59 pm</t>
  </si>
  <si>
    <t>23/05/2023, 3:27:00 pm</t>
  </si>
  <si>
    <t>23/05/2023, 3:27:01 pm</t>
  </si>
  <si>
    <t>23/05/2023, 3:27:02 pm</t>
  </si>
  <si>
    <t>23/05/2023, 3:27:03 pm</t>
  </si>
  <si>
    <t>23/05/2023, 3:27:04 pm</t>
  </si>
  <si>
    <t>23/05/2023, 3:27:05 pm</t>
  </si>
  <si>
    <t>23/05/2023, 3:27:06 pm</t>
  </si>
  <si>
    <t>23/05/2023, 3:27:07 pm</t>
  </si>
  <si>
    <t>23/05/2023, 3:27:08 pm</t>
  </si>
  <si>
    <t>23/05/2023, 3:27:09 pm</t>
  </si>
  <si>
    <t>23/05/2023, 3:27:10 pm</t>
  </si>
  <si>
    <t>23/05/2023, 3:27:11 pm</t>
  </si>
  <si>
    <t>23/05/2023, 3:27:12 pm</t>
  </si>
  <si>
    <t>23/05/2023, 3:27:13 pm</t>
  </si>
  <si>
    <t>23/05/2023, 3:27:14 pm</t>
  </si>
  <si>
    <t>23/05/2023, 3:27:15 pm</t>
  </si>
  <si>
    <t>23/05/2023, 3:27:16 pm</t>
  </si>
  <si>
    <t>23/05/2023, 3:27:17 pm</t>
  </si>
  <si>
    <t>23/05/2023, 3:27:18 pm</t>
  </si>
  <si>
    <t>23/05/2023, 3:27:19 pm</t>
  </si>
  <si>
    <t>23/05/2023, 3:27:20 pm</t>
  </si>
  <si>
    <t>23/05/2023, 3:27:21 pm</t>
  </si>
  <si>
    <t>23/05/2023, 3:27:22 pm</t>
  </si>
  <si>
    <t>23/05/2023, 3:27:23 pm</t>
  </si>
  <si>
    <t>23/05/2023, 3:27:24 pm</t>
  </si>
  <si>
    <t>23/05/2023, 3:27:25 pm</t>
  </si>
  <si>
    <t>23/05/2023, 3:27:26 pm</t>
  </si>
  <si>
    <t>23/05/2023, 3:27:27 pm</t>
  </si>
  <si>
    <t>23/05/2023, 3:27:28 pm</t>
  </si>
  <si>
    <t>23/05/2023, 3:27:29 pm</t>
  </si>
  <si>
    <t>23/05/2023, 3:27:30 pm</t>
  </si>
  <si>
    <t>23/05/2023, 3:27:31 pm</t>
  </si>
  <si>
    <t>23/05/2023, 3:27:32 pm</t>
  </si>
  <si>
    <t>23/05/2023, 3:27:33 pm</t>
  </si>
  <si>
    <t>23/05/2023, 3:27:34 pm</t>
  </si>
  <si>
    <t>23/05/2023, 3:27:35 pm</t>
  </si>
  <si>
    <t>23/05/2023, 3:27:36 pm</t>
  </si>
  <si>
    <t>23/05/2023, 3:27:37 pm</t>
  </si>
  <si>
    <t>23/05/2023, 3:27:38 pm</t>
  </si>
  <si>
    <t>23/05/2023, 3:27:39 pm</t>
  </si>
  <si>
    <t>23/05/2023, 3:27:40 pm</t>
  </si>
  <si>
    <t>23/05/2023, 3:27:41 pm</t>
  </si>
  <si>
    <t>23/05/2023, 3:27:42 pm</t>
  </si>
  <si>
    <t>23/05/2023, 3:27:43 pm</t>
  </si>
  <si>
    <t>23/05/2023, 3:27:44 pm</t>
  </si>
  <si>
    <t>23/05/2023, 3:27:45 pm</t>
  </si>
  <si>
    <t>23/05/2023, 3:27:46 pm</t>
  </si>
  <si>
    <t>23/05/2023, 3:27:47 pm</t>
  </si>
  <si>
    <t>23/05/2023, 3:27:48 pm</t>
  </si>
  <si>
    <t>23/05/2023, 3:27:49 pm</t>
  </si>
  <si>
    <t>23/05/2023, 3:27:50 pm</t>
  </si>
  <si>
    <t>23/05/2023, 3:27:51 pm</t>
  </si>
  <si>
    <t>23/05/2023, 3:27:52 pm</t>
  </si>
  <si>
    <t>23/05/2023, 3:27:53 pm</t>
  </si>
  <si>
    <t>23/05/2023, 3:27:54 pm</t>
  </si>
  <si>
    <t>23/05/2023, 3:27:55 pm</t>
  </si>
  <si>
    <t>23/05/2023, 3:27:56 pm</t>
  </si>
  <si>
    <t>23/05/2023, 3:27:57 pm</t>
  </si>
  <si>
    <t>23/05/2023, 3:27:58 pm</t>
  </si>
  <si>
    <t>23/05/2023, 3:27:59 pm</t>
  </si>
  <si>
    <t>23/05/2023, 3:28:00 pm</t>
  </si>
  <si>
    <t>23/05/2023, 3:28:01 pm</t>
  </si>
  <si>
    <t>23/05/2023, 3:28:02 pm</t>
  </si>
  <si>
    <t>23/05/2023, 3:28:03 pm</t>
  </si>
  <si>
    <t>23/05/2023, 3:28:04 pm</t>
  </si>
  <si>
    <t>23/05/2023, 3:28:05 pm</t>
  </si>
  <si>
    <t>23/05/2023, 3:28:06 pm</t>
  </si>
  <si>
    <t>23/05/2023, 3:28:07 pm</t>
  </si>
  <si>
    <t>23/05/2023, 3:28:08 pm</t>
  </si>
  <si>
    <t>23/05/2023, 3:28:09 pm</t>
  </si>
  <si>
    <t>23/05/2023, 3:28:10 pm</t>
  </si>
  <si>
    <t>23/05/2023, 3:28:11 pm</t>
  </si>
  <si>
    <t>23/05/2023, 3:28:12 pm</t>
  </si>
  <si>
    <t>23/05/2023, 3:28:13 pm</t>
  </si>
  <si>
    <t>23/05/2023, 3:28:14 pm</t>
  </si>
  <si>
    <t>23/05/2023, 3:28:15 pm</t>
  </si>
  <si>
    <t>23/05/2023, 3:28:16 pm</t>
  </si>
  <si>
    <t>23/05/2023, 3:28:17 pm</t>
  </si>
  <si>
    <t>23/05/2023, 3:28:18 pm</t>
  </si>
  <si>
    <t>23/05/2023, 3:28:19 pm</t>
  </si>
  <si>
    <t>23/05/2023, 3:28:20 pm</t>
  </si>
  <si>
    <t>23/05/2023, 3:28:21 pm</t>
  </si>
  <si>
    <t>23/05/2023, 3:28:22 pm</t>
  </si>
  <si>
    <t>23/05/2023, 3:28:23 pm</t>
  </si>
  <si>
    <t>23/05/2023, 3:28:24 pm</t>
  </si>
  <si>
    <t>23/05/2023, 3:28:25 pm</t>
  </si>
  <si>
    <t>23/05/2023, 3:28:26 pm</t>
  </si>
  <si>
    <t>23/05/2023, 3:28:27 pm</t>
  </si>
  <si>
    <t>23/05/2023, 3:28:28 pm</t>
  </si>
  <si>
    <t>23/05/2023, 3:28:29 pm</t>
  </si>
  <si>
    <t>23/05/2023, 3:28:30 pm</t>
  </si>
  <si>
    <t>23/05/2023, 3:28:31 pm</t>
  </si>
  <si>
    <t>23/05/2023, 3:28:32 pm</t>
  </si>
  <si>
    <t>23/05/2023, 3:28:33 pm</t>
  </si>
  <si>
    <t>23/05/2023, 3:28:34 pm</t>
  </si>
  <si>
    <t>23/05/2023, 3:28:35 pm</t>
  </si>
  <si>
    <t>23/05/2023, 3:28:36 pm</t>
  </si>
  <si>
    <t>23/05/2023, 3:28:37 pm</t>
  </si>
  <si>
    <t>23/05/2023, 3:28:39 pm</t>
  </si>
  <si>
    <t>23/05/2023, 3:28:40 pm</t>
  </si>
  <si>
    <t>23/05/2023, 3:28:41 pm</t>
  </si>
  <si>
    <t>23/05/2023, 3:28:42 pm</t>
  </si>
  <si>
    <t>23/05/2023, 3:28:43 pm</t>
  </si>
  <si>
    <t>23/05/2023, 3:28:44 pm</t>
  </si>
  <si>
    <t>23/05/2023, 3:28:45 pm</t>
  </si>
  <si>
    <t>23/05/2023, 3:28:46 pm</t>
  </si>
  <si>
    <t>23/05/2023, 3:28:47 pm</t>
  </si>
  <si>
    <t>23/05/2023, 3:28:48 pm</t>
  </si>
  <si>
    <t>23/05/2023, 3:28:49 pm</t>
  </si>
  <si>
    <t>23/05/2023, 3:28:50 pm</t>
  </si>
  <si>
    <t>23/05/2023, 3:28:51 pm</t>
  </si>
  <si>
    <t>23/05/2023, 3:28:52 pm</t>
  </si>
  <si>
    <t>23/05/2023, 3:28:53 pm</t>
  </si>
  <si>
    <t>23/05/2023, 3:28:54 pm</t>
  </si>
  <si>
    <t>23/05/2023, 3:28:55 pm</t>
  </si>
  <si>
    <t>23/05/2023, 3:28:56 pm</t>
  </si>
  <si>
    <t>23/05/2023, 3:28:57 pm</t>
  </si>
  <si>
    <t>23/05/2023, 3:28:58 pm</t>
  </si>
  <si>
    <t>23/05/2023, 3:28:59 pm</t>
  </si>
  <si>
    <t>23/05/2023, 3:29:00 pm</t>
  </si>
  <si>
    <t>23/05/2023, 3:29:01 pm</t>
  </si>
  <si>
    <t>23/05/2023, 3:29:02 pm</t>
  </si>
  <si>
    <t>23/05/2023, 3:29:03 pm</t>
  </si>
  <si>
    <t>23/05/2023, 3:29:04 pm</t>
  </si>
  <si>
    <t>23/05/2023, 3:29:05 pm</t>
  </si>
  <si>
    <t>23/05/2023, 3:29:06 pm</t>
  </si>
  <si>
    <t>23/05/2023, 3:29:07 pm</t>
  </si>
  <si>
    <t>23/05/2023, 3:29:08 pm</t>
  </si>
  <si>
    <t>23/05/2023, 3:29:09 pm</t>
  </si>
  <si>
    <t>23/05/2023, 3:29:10 pm</t>
  </si>
  <si>
    <t>23/05/2023, 3:29:11 pm</t>
  </si>
  <si>
    <t>23/05/2023, 3:29:12 pm</t>
  </si>
  <si>
    <t>23/05/2023, 3:29:13 pm</t>
  </si>
  <si>
    <t>23/05/2023, 3:29:14 pm</t>
  </si>
  <si>
    <t>23/05/2023, 3:29:15 pm</t>
  </si>
  <si>
    <t>23/05/2023, 3:29:16 pm</t>
  </si>
  <si>
    <t>23/05/2023, 3:29:17 pm</t>
  </si>
  <si>
    <t>23/05/2023, 3:29:18 pm</t>
  </si>
  <si>
    <t>23/05/2023, 3:29:19 pm</t>
  </si>
  <si>
    <t>23/05/2023, 3:29:20 pm</t>
  </si>
  <si>
    <t>23/05/2023, 3:29:21 pm</t>
  </si>
  <si>
    <t>23/05/2023, 3:29:22 pm</t>
  </si>
  <si>
    <t>23/05/2023, 3:29:23 pm</t>
  </si>
  <si>
    <t>23/05/2023, 3:29:24 pm</t>
  </si>
  <si>
    <t>23/05/2023, 3:29:25 pm</t>
  </si>
  <si>
    <t>23/05/2023, 3:29:26 pm</t>
  </si>
  <si>
    <t>23/05/2023, 3:29:27 pm</t>
  </si>
  <si>
    <t>23/05/2023, 3:29:28 pm</t>
  </si>
  <si>
    <t>23/05/2023, 3:29:29 pm</t>
  </si>
  <si>
    <t>23/05/2023, 3:29:30 pm</t>
  </si>
  <si>
    <t>23/05/2023, 3:29:31 pm</t>
  </si>
  <si>
    <t>23/05/2023, 3:29:32 pm</t>
  </si>
  <si>
    <t>23/05/2023, 3:29:33 pm</t>
  </si>
  <si>
    <t>23/05/2023, 3:29:34 pm</t>
  </si>
  <si>
    <t>23/05/2023, 3:29:35 pm</t>
  </si>
  <si>
    <t>23/05/2023, 3:29:36 pm</t>
  </si>
  <si>
    <t>23/05/2023, 3:29:37 pm</t>
  </si>
  <si>
    <t>23/05/2023, 3:29:38 pm</t>
  </si>
  <si>
    <t>23/05/2023, 3:29:39 pm</t>
  </si>
  <si>
    <t>23/05/2023, 3:29:40 pm</t>
  </si>
  <si>
    <t>23/05/2023, 3:29:41 pm</t>
  </si>
  <si>
    <t>23/05/2023, 3:29:42 pm</t>
  </si>
  <si>
    <t>23/05/2023, 3:29:43 pm</t>
  </si>
  <si>
    <t>23/05/2023, 3:29:44 pm</t>
  </si>
  <si>
    <t>23/05/2023, 3:29:45 pm</t>
  </si>
  <si>
    <t>23/05/2023, 3:29:46 pm</t>
  </si>
  <si>
    <t>23/05/2023, 3:29:47 pm</t>
  </si>
  <si>
    <t>23/05/2023, 3:29:48 pm</t>
  </si>
  <si>
    <t>23/05/2023, 3:29:49 pm</t>
  </si>
  <si>
    <t>23/05/2023, 3:29:50 pm</t>
  </si>
  <si>
    <t>23/05/2023, 3:29:51 pm</t>
  </si>
  <si>
    <t>23/05/2023, 3:29:52 pm</t>
  </si>
  <si>
    <t>23/05/2023, 3:29:53 pm</t>
  </si>
  <si>
    <t>23/05/2023, 3:29:54 pm</t>
  </si>
  <si>
    <t>23/05/2023, 3:29:55 pm</t>
  </si>
  <si>
    <t>23/05/2023, 3:29:56 pm</t>
  </si>
  <si>
    <t>23/05/2023, 3:29:57 pm</t>
  </si>
  <si>
    <t>23/05/2023, 3:29:58 pm</t>
  </si>
  <si>
    <t>23/05/2023, 3:29:59 pm</t>
  </si>
  <si>
    <t>23/05/2023, 3:30:00 pm</t>
  </si>
  <si>
    <t>23/05/2023, 3:30:01 pm</t>
  </si>
  <si>
    <t>23/05/2023, 3:30:02 pm</t>
  </si>
  <si>
    <t>23/05/2023, 3:30:03 pm</t>
  </si>
  <si>
    <t>23/05/2023, 3:30:04 pm</t>
  </si>
  <si>
    <t>23/05/2023, 3:30:05 pm</t>
  </si>
  <si>
    <t>23/05/2023, 3:30:06 pm</t>
  </si>
  <si>
    <t>23/05/2023, 3:30:07 pm</t>
  </si>
  <si>
    <t>23/05/2023, 3:30:08 pm</t>
  </si>
  <si>
    <t>23/05/2023, 3:30:09 pm</t>
  </si>
  <si>
    <t>23/05/2023, 3:30:10 pm</t>
  </si>
  <si>
    <t>23/05/2023, 3:30:11 pm</t>
  </si>
  <si>
    <t>23/05/2023, 3:30:12 pm</t>
  </si>
  <si>
    <t>23/05/2023, 3:30:13 pm</t>
  </si>
  <si>
    <t>23/05/2023, 3:30:14 pm</t>
  </si>
  <si>
    <t>23/05/2023, 3:30:15 pm</t>
  </si>
  <si>
    <t>23/05/2023, 3:30:16 pm</t>
  </si>
  <si>
    <t>23/05/2023, 3:30:17 pm</t>
  </si>
  <si>
    <t>23/05/2023, 3:30:18 pm</t>
  </si>
  <si>
    <t>23/05/2023, 3:30:19 pm</t>
  </si>
  <si>
    <t>23/05/2023, 3:30:20 pm</t>
  </si>
  <si>
    <t>23/05/2023, 3:30:21 pm</t>
  </si>
  <si>
    <t>23/05/2023, 3:30:22 pm</t>
  </si>
  <si>
    <t>23/05/2023, 3:30:23 pm</t>
  </si>
  <si>
    <t>23/05/2023, 3:30:24 pm</t>
  </si>
  <si>
    <t>23/05/2023, 3:30:25 pm</t>
  </si>
  <si>
    <t>23/05/2023, 3:30:26 pm</t>
  </si>
  <si>
    <t>23/05/2023, 3:30:27 pm</t>
  </si>
  <si>
    <t>23/05/2023, 3:30:28 pm</t>
  </si>
  <si>
    <t>23/05/2023, 3:30:29 pm</t>
  </si>
  <si>
    <t>23/05/2023, 3:30:30 pm</t>
  </si>
  <si>
    <t>23/05/2023, 3:30:31 pm</t>
  </si>
  <si>
    <t>23/05/2023, 3:30:32 pm</t>
  </si>
  <si>
    <t>23/05/2023, 3:30:33 pm</t>
  </si>
  <si>
    <t>23/05/2023, 3:30:34 pm</t>
  </si>
  <si>
    <t>23/05/2023, 3:30:35 pm</t>
  </si>
  <si>
    <t>23/05/2023, 3:30:36 pm</t>
  </si>
  <si>
    <t>23/05/2023, 3:30:37 pm</t>
  </si>
  <si>
    <t>23/05/2023, 3:30:38 pm</t>
  </si>
  <si>
    <t>23/05/2023, 3:30:39 pm</t>
  </si>
  <si>
    <t>23/05/2023, 3:30:40 pm</t>
  </si>
  <si>
    <t>23/05/2023, 3:30:41 pm</t>
  </si>
  <si>
    <t>23/05/2023, 3:30:42 pm</t>
  </si>
  <si>
    <t>23/05/2023, 3:30:44 pm</t>
  </si>
  <si>
    <t>23/05/2023, 3:30:45 pm</t>
  </si>
  <si>
    <t>23/05/2023, 3:30:46 pm</t>
  </si>
  <si>
    <t>23/05/2023, 3:30:47 pm</t>
  </si>
  <si>
    <t>23/05/2023, 3:30:48 pm</t>
  </si>
  <si>
    <t>23/05/2023, 3:30:49 pm</t>
  </si>
  <si>
    <t>23/05/2023, 3:30:50 pm</t>
  </si>
  <si>
    <t>23/05/2023, 3:30:51 pm</t>
  </si>
  <si>
    <t>23/05/2023, 3:30:52 pm</t>
  </si>
  <si>
    <t>23/05/2023, 3:30:53 pm</t>
  </si>
  <si>
    <t>23/05/2023, 3:30:54 pm</t>
  </si>
  <si>
    <t>23/05/2023, 3:30:55 pm</t>
  </si>
  <si>
    <t>23/05/2023, 3:30:56 pm</t>
  </si>
  <si>
    <t>23/05/2023, 3:30:57 pm</t>
  </si>
  <si>
    <t>23/05/2023, 3:30:58 pm</t>
  </si>
  <si>
    <t>23/05/2023, 3:30:59 pm</t>
  </si>
  <si>
    <t>23/05/2023, 3:31:00 pm</t>
  </si>
  <si>
    <t>23/05/2023, 3:31:01 pm</t>
  </si>
  <si>
    <t>23/05/2023, 3:31:02 pm</t>
  </si>
  <si>
    <t>23/05/2023, 3:31:03 pm</t>
  </si>
  <si>
    <t>23/05/2023, 3:31:04 pm</t>
  </si>
  <si>
    <t>23/05/2023, 3:31:05 pm</t>
  </si>
  <si>
    <t>23/05/2023, 3:31:06 pm</t>
  </si>
  <si>
    <t>23/05/2023, 3:31:07 pm</t>
  </si>
  <si>
    <t>23/05/2023, 3:31:08 pm</t>
  </si>
  <si>
    <t>23/05/2023, 3:31:09 pm</t>
  </si>
  <si>
    <t>23/05/2023, 3:31:10 pm</t>
  </si>
  <si>
    <t>23/05/2023, 3:31:11 pm</t>
  </si>
  <si>
    <t>23/05/2023, 3:31:12 pm</t>
  </si>
  <si>
    <t>23/05/2023, 3:31:13 pm</t>
  </si>
  <si>
    <t>23/05/2023, 3:31:14 pm</t>
  </si>
  <si>
    <t>23/05/2023, 3:31:15 pm</t>
  </si>
  <si>
    <t>23/05/2023, 3:31:16 pm</t>
  </si>
  <si>
    <t>23/05/2023, 3:31:17 pm</t>
  </si>
  <si>
    <t>23/05/2023, 3:31:18 pm</t>
  </si>
  <si>
    <t>23/05/2023, 3:31:19 pm</t>
  </si>
  <si>
    <t>23/05/2023, 3:31:20 pm</t>
  </si>
  <si>
    <t>23/05/2023, 3:31:21 pm</t>
  </si>
  <si>
    <t>23/05/2023, 3:31:22 pm</t>
  </si>
  <si>
    <t>23/05/2023, 3:31:23 pm</t>
  </si>
  <si>
    <t>23/05/2023, 3:31:24 pm</t>
  </si>
  <si>
    <t>23/05/2023, 3:31:25 pm</t>
  </si>
  <si>
    <t>23/05/2023, 3:31:26 pm</t>
  </si>
  <si>
    <t>23/05/2023, 3:31:27 pm</t>
  </si>
  <si>
    <t>23/05/2023, 3:31:28 pm</t>
  </si>
  <si>
    <t>23/05/2023, 3:31:29 pm</t>
  </si>
  <si>
    <t>23/05/2023, 3:31:30 pm</t>
  </si>
  <si>
    <t>23/05/2023, 3:31:31 pm</t>
  </si>
  <si>
    <t>23/05/2023, 3:31:32 pm</t>
  </si>
  <si>
    <t>23/05/2023, 3:31:33 pm</t>
  </si>
  <si>
    <t>23/05/2023, 3:31:34 pm</t>
  </si>
  <si>
    <t>23/05/2023, 3:31:35 pm</t>
  </si>
  <si>
    <t>23/05/2023, 3:31:36 pm</t>
  </si>
  <si>
    <t>23/05/2023, 3:31:37 pm</t>
  </si>
  <si>
    <t>23/05/2023, 3:31:38 pm</t>
  </si>
  <si>
    <t>23/05/2023, 3:31:39 pm</t>
  </si>
  <si>
    <t>23/05/2023, 3:31:40 pm</t>
  </si>
  <si>
    <t>23/05/2023, 3:31:41 pm</t>
  </si>
  <si>
    <t>23/05/2023, 3:31:42 pm</t>
  </si>
  <si>
    <t>23/05/2023, 3:31:43 pm</t>
  </si>
  <si>
    <t>23/05/2023, 3:31:44 pm</t>
  </si>
  <si>
    <t>23/05/2023, 3:31:45 pm</t>
  </si>
  <si>
    <t>23/05/2023, 3:31:46 pm</t>
  </si>
  <si>
    <t>23/05/2023, 3:31:47 pm</t>
  </si>
  <si>
    <t>23/05/2023, 3:31:48 pm</t>
  </si>
  <si>
    <t>23/05/2023, 3:31:49 pm</t>
  </si>
  <si>
    <t>23/05/2023, 3:31:50 pm</t>
  </si>
  <si>
    <t>23/05/2023, 3:31:51 pm</t>
  </si>
  <si>
    <t>23/05/2023, 3:31:52 pm</t>
  </si>
  <si>
    <t>23/05/2023, 3:31:53 pm</t>
  </si>
  <si>
    <t>23/05/2023, 3:31:54 pm</t>
  </si>
  <si>
    <t>23/05/2023, 3:31:55 pm</t>
  </si>
  <si>
    <t>23/05/2023, 3:31:56 pm</t>
  </si>
  <si>
    <t>23/05/2023, 3:31:57 pm</t>
  </si>
  <si>
    <t>23/05/2023, 3:31:58 pm</t>
  </si>
  <si>
    <t>23/05/2023, 3:31:59 pm</t>
  </si>
  <si>
    <t>23/05/2023, 3:32:00 pm</t>
  </si>
  <si>
    <t>23/05/2023, 3:32:01 pm</t>
  </si>
  <si>
    <t>23/05/2023, 3:32:02 pm</t>
  </si>
  <si>
    <t>23/05/2023, 3:32:03 pm</t>
  </si>
  <si>
    <t>23/05/2023, 3:32:04 pm</t>
  </si>
  <si>
    <t>23/05/2023, 3:32:05 pm</t>
  </si>
  <si>
    <t>23/05/2023, 3:32:06 pm</t>
  </si>
  <si>
    <t>23/05/2023, 3:32:07 pm</t>
  </si>
  <si>
    <t>23/05/2023, 3:32:08 pm</t>
  </si>
  <si>
    <t>23/05/2023, 3:32:09 pm</t>
  </si>
  <si>
    <t>23/05/2023, 3:32:10 pm</t>
  </si>
  <si>
    <t>23/05/2023, 3:32:11 pm</t>
  </si>
  <si>
    <t>23/05/2023, 3:32:12 pm</t>
  </si>
  <si>
    <t>23/05/2023, 3:32:13 pm</t>
  </si>
  <si>
    <t>23/05/2023, 3:32:14 pm</t>
  </si>
  <si>
    <t>23/05/2023, 3:32:15 pm</t>
  </si>
  <si>
    <t>23/05/2023, 3:32:16 pm</t>
  </si>
  <si>
    <t>23/05/2023, 3:32:17 pm</t>
  </si>
  <si>
    <t>23/05/2023, 3:32:18 pm</t>
  </si>
  <si>
    <t>23/05/2023, 3:32:19 pm</t>
  </si>
  <si>
    <t>23/05/2023, 3:32:20 pm</t>
  </si>
  <si>
    <t>23/05/2023, 3:32:21 pm</t>
  </si>
  <si>
    <t>23/05/2023, 3:32:22 pm</t>
  </si>
  <si>
    <t>23/05/2023, 3:32:23 pm</t>
  </si>
  <si>
    <t>23/05/2023, 3:32:24 pm</t>
  </si>
  <si>
    <t>23/05/2023, 3:32:25 pm</t>
  </si>
  <si>
    <t>23/05/2023, 3:32:26 pm</t>
  </si>
  <si>
    <t>23/05/2023, 3:32:27 pm</t>
  </si>
  <si>
    <t>23/05/2023, 3:32:28 pm</t>
  </si>
  <si>
    <t>23/05/2023, 3:32:29 pm</t>
  </si>
  <si>
    <t>23/05/2023, 3:32:31 pm</t>
  </si>
  <si>
    <t>23/05/2023, 3:32:32 pm</t>
  </si>
  <si>
    <t>23/05/2023, 3:32:33 pm</t>
  </si>
  <si>
    <t>23/05/2023, 3:32:34 pm</t>
  </si>
  <si>
    <t>23/05/2023, 3:32:35 pm</t>
  </si>
  <si>
    <t>23/05/2023, 3:32:36 pm</t>
  </si>
  <si>
    <t>23/05/2023, 3:32:37 pm</t>
  </si>
  <si>
    <t>23/05/2023, 3:32:38 pm</t>
  </si>
  <si>
    <t>23/05/2023, 3:32:39 pm</t>
  </si>
  <si>
    <t>23/05/2023, 3:32:40 pm</t>
  </si>
  <si>
    <t>23/05/2023, 3:32:41 pm</t>
  </si>
  <si>
    <t>23/05/2023, 3:32:42 pm</t>
  </si>
  <si>
    <t>23/05/2023, 3:32:43 pm</t>
  </si>
  <si>
    <t>23/05/2023, 3:32:44 pm</t>
  </si>
  <si>
    <t>23/05/2023, 3:32:45 pm</t>
  </si>
  <si>
    <t>23/05/2023, 3:32:46 pm</t>
  </si>
  <si>
    <t>23/05/2023, 3:32:47 pm</t>
  </si>
  <si>
    <t>23/05/2023, 3:32:48 pm</t>
  </si>
  <si>
    <t>23/05/2023, 3:32:49 pm</t>
  </si>
  <si>
    <t>23/05/2023, 3:32:50 pm</t>
  </si>
  <si>
    <t>23/05/2023, 3:32:51 pm</t>
  </si>
  <si>
    <t>23/05/2023, 3:32:52 pm</t>
  </si>
  <si>
    <t>23/05/2023, 3:32:53 pm</t>
  </si>
  <si>
    <t>23/05/2023, 3:32:54 pm</t>
  </si>
  <si>
    <t>23/05/2023, 3:32:55 pm</t>
  </si>
  <si>
    <t>23/05/2023, 3:32:56 pm</t>
  </si>
  <si>
    <t>23/05/2023, 3:32:57 pm</t>
  </si>
  <si>
    <t>23/05/2023, 3:32:58 pm</t>
  </si>
  <si>
    <t>23/05/2023, 3:32:59 pm</t>
  </si>
  <si>
    <t>23/05/2023, 3:33:00 pm</t>
  </si>
  <si>
    <t>23/05/2023, 3:33:01 pm</t>
  </si>
  <si>
    <t>23/05/2023, 3:33:02 pm</t>
  </si>
  <si>
    <t>23/05/2023, 3:33:03 pm</t>
  </si>
  <si>
    <t>23/05/2023, 3:33:04 pm</t>
  </si>
  <si>
    <t>23/05/2023, 3:33:05 pm</t>
  </si>
  <si>
    <t>23/05/2023, 3:33:06 pm</t>
  </si>
  <si>
    <t>23/05/2023, 3:33:07 pm</t>
  </si>
  <si>
    <t>23/05/2023, 3:33:08 pm</t>
  </si>
  <si>
    <t>23/05/2023, 3:33:09 pm</t>
  </si>
  <si>
    <t>23/05/2023, 3:33:10 pm</t>
  </si>
  <si>
    <t>23/05/2023, 3:33:11 pm</t>
  </si>
  <si>
    <t>23/05/2023, 3:33:12 pm</t>
  </si>
  <si>
    <t>23/05/2023, 3:33:13 pm</t>
  </si>
  <si>
    <t>23/05/2023, 3:33:14 pm</t>
  </si>
  <si>
    <t>23/05/2023, 3:33:15 pm</t>
  </si>
  <si>
    <t>23/05/2023, 3:33:16 pm</t>
  </si>
  <si>
    <t>23/05/2023, 3:33:17 pm</t>
  </si>
  <si>
    <t>23/05/2023, 3:33:18 pm</t>
  </si>
  <si>
    <t>23/05/2023, 3:33:19 pm</t>
  </si>
  <si>
    <t>23/05/2023, 3:33:20 pm</t>
  </si>
  <si>
    <t>23/05/2023, 3:33:21 pm</t>
  </si>
  <si>
    <t>23/05/2023, 3:33:22 pm</t>
  </si>
  <si>
    <t>23/05/2023, 3:33:23 pm</t>
  </si>
  <si>
    <t>23/05/2023, 3:33:24 pm</t>
  </si>
  <si>
    <t>23/05/2023, 3:33:25 pm</t>
  </si>
  <si>
    <t>23/05/2023, 3:33:26 pm</t>
  </si>
  <si>
    <t>23/05/2023, 3:33:27 pm</t>
  </si>
  <si>
    <t>23/05/2023, 3:33:28 pm</t>
  </si>
  <si>
    <t>23/05/2023, 3:33:29 pm</t>
  </si>
  <si>
    <t>23/05/2023, 3:33:30 pm</t>
  </si>
  <si>
    <t>23/05/2023, 3:33:31 pm</t>
  </si>
  <si>
    <t>23/05/2023, 3:33:32 pm</t>
  </si>
  <si>
    <t>23/05/2023, 3:33:33 pm</t>
  </si>
  <si>
    <t>23/05/2023, 3:33:34 pm</t>
  </si>
  <si>
    <t>23/05/2023, 3:33:35 pm</t>
  </si>
  <si>
    <t>23/05/2023, 3:33:36 pm</t>
  </si>
  <si>
    <t>23/05/2023, 3:33:37 pm</t>
  </si>
  <si>
    <t>23/05/2023, 3:33:38 pm</t>
  </si>
  <si>
    <t>23/05/2023, 3:33:39 pm</t>
  </si>
  <si>
    <t>23/05/2023, 3:33:40 pm</t>
  </si>
  <si>
    <t>23/05/2023, 3:33:41 pm</t>
  </si>
  <si>
    <t>23/05/2023, 3:33:42 pm</t>
  </si>
  <si>
    <t>23/05/2023, 3:33:43 pm</t>
  </si>
  <si>
    <t>23/05/2023, 3:33:44 pm</t>
  </si>
  <si>
    <t>23/05/2023, 3:33:45 pm</t>
  </si>
  <si>
    <t>23/05/2023, 3:33:46 pm</t>
  </si>
  <si>
    <t>23/05/2023, 3:33:47 pm</t>
  </si>
  <si>
    <t>23/05/2023, 3:33:48 pm</t>
  </si>
  <si>
    <t>23/05/2023, 3:33:49 pm</t>
  </si>
  <si>
    <t>23/05/2023, 3:33:50 pm</t>
  </si>
  <si>
    <t>23/05/2023, 3:33:51 pm</t>
  </si>
  <si>
    <t>23/05/2023, 3:33:52 pm</t>
  </si>
  <si>
    <t>23/05/2023, 3:33:53 pm</t>
  </si>
  <si>
    <t>23/05/2023, 3:33:54 pm</t>
  </si>
  <si>
    <t>23/05/2023, 3:33:55 pm</t>
  </si>
  <si>
    <t>23/05/2023, 3:33:56 pm</t>
  </si>
  <si>
    <t>23/05/2023, 3:33:57 pm</t>
  </si>
  <si>
    <t>23/05/2023, 3:33:58 pm</t>
  </si>
  <si>
    <t>23/05/2023, 3:33:59 pm</t>
  </si>
  <si>
    <t>23/05/2023, 3:34:00 pm</t>
  </si>
  <si>
    <t>23/05/2023, 3:34:01 pm</t>
  </si>
  <si>
    <t>23/05/2023, 3:34:02 pm</t>
  </si>
  <si>
    <t>23/05/2023, 3:34:03 pm</t>
  </si>
  <si>
    <t>23/05/2023, 3:34:04 pm</t>
  </si>
  <si>
    <t>23/05/2023, 3:34:05 pm</t>
  </si>
  <si>
    <t>23/05/2023, 3:34:06 pm</t>
  </si>
  <si>
    <t>23/05/2023, 3:34:07 pm</t>
  </si>
  <si>
    <t>23/05/2023, 3:34:08 pm</t>
  </si>
  <si>
    <t>23/05/2023, 3:34:09 pm</t>
  </si>
  <si>
    <t>23/05/2023, 3:34:10 pm</t>
  </si>
  <si>
    <t>23/05/2023, 3:34:11 pm</t>
  </si>
  <si>
    <t>23/05/2023, 3:34:12 pm</t>
  </si>
  <si>
    <t>23/05/2023, 3:34:13 pm</t>
  </si>
  <si>
    <t>23/05/2023, 3:34:14 pm</t>
  </si>
  <si>
    <t>23/05/2023, 3:34:15 pm</t>
  </si>
  <si>
    <t>23/05/2023, 3:34:16 pm</t>
  </si>
  <si>
    <t>23/05/2023, 3:34:17 pm</t>
  </si>
  <si>
    <t>23/05/2023, 3:34:18 pm</t>
  </si>
  <si>
    <t>23/05/2023, 3:34:19 pm</t>
  </si>
  <si>
    <t>23/05/2023, 3:34:20 pm</t>
  </si>
  <si>
    <t>23/05/2023, 3:34:21 pm</t>
  </si>
  <si>
    <t>23/05/2023, 3:34:22 pm</t>
  </si>
  <si>
    <t>23/05/2023, 3:34:23 pm</t>
  </si>
  <si>
    <t>23/05/2023, 3:34:24 pm</t>
  </si>
  <si>
    <t>23/05/2023, 3:34:25 pm</t>
  </si>
  <si>
    <t>23/05/2023, 3:34:26 pm</t>
  </si>
  <si>
    <t>23/05/2023, 3:34:27 pm</t>
  </si>
  <si>
    <t>23/05/2023, 3:34:28 pm</t>
  </si>
  <si>
    <t>23/05/2023, 3:34:29 pm</t>
  </si>
  <si>
    <t>23/05/2023, 3:34:30 pm</t>
  </si>
  <si>
    <t>23/05/2023, 3:34:31 pm</t>
  </si>
  <si>
    <t>23/05/2023, 3:34:32 pm</t>
  </si>
  <si>
    <t>23/05/2023, 3:34:33 pm</t>
  </si>
  <si>
    <t>23/05/2023, 3:34:34 pm</t>
  </si>
  <si>
    <t>23/05/2023, 3:34:35 pm</t>
  </si>
  <si>
    <t>23/05/2023, 3:34:37 pm</t>
  </si>
  <si>
    <t>23/05/2023, 3:34:38 pm</t>
  </si>
  <si>
    <t>23/05/2023, 3:34:39 pm</t>
  </si>
  <si>
    <t>23/05/2023, 3:34:40 pm</t>
  </si>
  <si>
    <t>23/05/2023, 3:34:41 pm</t>
  </si>
  <si>
    <t>23/05/2023, 3:34:42 pm</t>
  </si>
  <si>
    <t>23/05/2023, 3:34:43 pm</t>
  </si>
  <si>
    <t>23/05/2023, 3:34:44 pm</t>
  </si>
  <si>
    <t>23/05/2023, 3:34:45 pm</t>
  </si>
  <si>
    <t>23/05/2023, 3:34:46 pm</t>
  </si>
  <si>
    <t>23/05/2023, 3:34:47 pm</t>
  </si>
  <si>
    <t>23/05/2023, 3:34:48 pm</t>
  </si>
  <si>
    <t>23/05/2023, 3:34:49 pm</t>
  </si>
  <si>
    <t>23/05/2023, 3:34:50 pm</t>
  </si>
  <si>
    <t>23/05/2023, 3:34:51 pm</t>
  </si>
  <si>
    <t>23/05/2023, 3:34:52 pm</t>
  </si>
  <si>
    <t>23/05/2023, 3:34:53 pm</t>
  </si>
  <si>
    <t>23/05/2023, 3:34:54 pm</t>
  </si>
  <si>
    <t>23/05/2023, 3:34:55 pm</t>
  </si>
  <si>
    <t>23/05/2023, 3:34:56 pm</t>
  </si>
  <si>
    <t>23/05/2023, 3:34:57 pm</t>
  </si>
  <si>
    <t>23/05/2023, 3:34:58 pm</t>
  </si>
  <si>
    <t>23/05/2023, 3:34:59 pm</t>
  </si>
  <si>
    <t>23/05/2023, 3:35:00 pm</t>
  </si>
  <si>
    <t>23/05/2023, 3:35:01 pm</t>
  </si>
  <si>
    <t>23/05/2023, 3:35:02 pm</t>
  </si>
  <si>
    <t>23/05/2023, 3:35:03 pm</t>
  </si>
  <si>
    <t>23/05/2023, 3:35:04 pm</t>
  </si>
  <si>
    <t>23/05/2023, 3:35:05 pm</t>
  </si>
  <si>
    <t>23/05/2023, 3:35:06 pm</t>
  </si>
  <si>
    <t>23/05/2023, 3:35:07 pm</t>
  </si>
  <si>
    <t>23/05/2023, 3:35:08 pm</t>
  </si>
  <si>
    <t>23/05/2023, 3:35:09 pm</t>
  </si>
  <si>
    <t>23/05/2023, 3:35:10 pm</t>
  </si>
  <si>
    <t>23/05/2023, 3:35:11 pm</t>
  </si>
  <si>
    <t>23/05/2023, 3:35:12 pm</t>
  </si>
  <si>
    <t>23/05/2023, 3:35:13 pm</t>
  </si>
  <si>
    <t>23/05/2023, 3:35:14 pm</t>
  </si>
  <si>
    <t>23/05/2023, 3:35:15 pm</t>
  </si>
  <si>
    <t>23/05/2023, 3:35:16 pm</t>
  </si>
  <si>
    <t>23/05/2023, 3:35:17 pm</t>
  </si>
  <si>
    <t>23/05/2023, 3:35:18 pm</t>
  </si>
  <si>
    <t>23/05/2023, 3:35:19 pm</t>
  </si>
  <si>
    <t>23/05/2023, 3:35:20 pm</t>
  </si>
  <si>
    <t>23/05/2023, 3:35:21 pm</t>
  </si>
  <si>
    <t>23/05/2023, 3:35:22 pm</t>
  </si>
  <si>
    <t>23/05/2023, 3:35:23 pm</t>
  </si>
  <si>
    <t>23/05/2023, 3:35:24 pm</t>
  </si>
  <si>
    <t>23/05/2023, 3:35:25 pm</t>
  </si>
  <si>
    <t>23/05/2023, 3:35:26 pm</t>
  </si>
  <si>
    <t>23/05/2023, 3:35:27 pm</t>
  </si>
  <si>
    <t>23/05/2023, 3:35:28 pm</t>
  </si>
  <si>
    <t>23/05/2023, 3:35:29 pm</t>
  </si>
  <si>
    <t>23/05/2023, 3:35:30 pm</t>
  </si>
  <si>
    <t>23/05/2023, 3:35:31 pm</t>
  </si>
  <si>
    <t>23/05/2023, 3:35:32 pm</t>
  </si>
  <si>
    <t>23/05/2023, 3:35:33 pm</t>
  </si>
  <si>
    <t>23/05/2023, 3:35:34 pm</t>
  </si>
  <si>
    <t>23/05/2023, 3:35:35 pm</t>
  </si>
  <si>
    <t>23/05/2023, 3:35:36 pm</t>
  </si>
  <si>
    <t>23/05/2023, 3:35:37 pm</t>
  </si>
  <si>
    <t>23/05/2023, 3:35:38 pm</t>
  </si>
  <si>
    <t>23/05/2023, 3:35:39 pm</t>
  </si>
  <si>
    <t>23/05/2023, 3:35:40 pm</t>
  </si>
  <si>
    <t>23/05/2023, 3:35:41 pm</t>
  </si>
  <si>
    <t>23/05/2023, 3:35:42 pm</t>
  </si>
  <si>
    <t>23/05/2023, 3:35:43 pm</t>
  </si>
  <si>
    <t>23/05/2023, 3:35:44 pm</t>
  </si>
  <si>
    <t>23/05/2023, 3:35:45 pm</t>
  </si>
  <si>
    <t>23/05/2023, 3:35:46 pm</t>
  </si>
  <si>
    <t>23/05/2023, 3:35:47 pm</t>
  </si>
  <si>
    <t>23/05/2023, 3:35:48 pm</t>
  </si>
  <si>
    <t>23/05/2023, 3:35:49 pm</t>
  </si>
  <si>
    <t>23/05/2023, 3:35:50 pm</t>
  </si>
  <si>
    <t>23/05/2023, 3:35:51 pm</t>
  </si>
  <si>
    <t>23/05/2023, 3:35:52 pm</t>
  </si>
  <si>
    <t>23/05/2023, 3:35:56 pm</t>
  </si>
  <si>
    <t>23/05/2023, 3:35:57 pm</t>
  </si>
  <si>
    <t>23/05/2023, 3:35:58 pm</t>
  </si>
  <si>
    <t>23/05/2023, 3:35:59 pm</t>
  </si>
  <si>
    <t>23/05/2023, 3:36:00 pm</t>
  </si>
  <si>
    <t>23/05/2023, 3:36:01 pm</t>
  </si>
  <si>
    <t>23/05/2023, 3:36:02 pm</t>
  </si>
  <si>
    <t>23/05/2023, 3:36:03 pm</t>
  </si>
  <si>
    <t>23/05/2023, 3:36:04 pm</t>
  </si>
  <si>
    <t>23/05/2023, 3:36:05 pm</t>
  </si>
  <si>
    <t>23/05/2023, 3:36:06 pm</t>
  </si>
  <si>
    <t>23/05/2023, 3:36:07 pm</t>
  </si>
  <si>
    <t>23/05/2023, 3:36:08 pm</t>
  </si>
  <si>
    <t>23/05/2023, 3:36:09 pm</t>
  </si>
  <si>
    <t>23/05/2023, 3:36:10 pm</t>
  </si>
  <si>
    <t>23/05/2023, 3:36:11 pm</t>
  </si>
  <si>
    <t>23/05/2023, 3:36:12 pm</t>
  </si>
  <si>
    <t>23/05/2023, 3:36:13 pm</t>
  </si>
  <si>
    <t>23/05/2023, 3:36:14 pm</t>
  </si>
  <si>
    <t>23/05/2023, 3:36:15 pm</t>
  </si>
  <si>
    <t>23/05/2023, 3:36:16 pm</t>
  </si>
  <si>
    <t>23/05/2023, 3:36:17 pm</t>
  </si>
  <si>
    <t>23/05/2023, 3:36:18 pm</t>
  </si>
  <si>
    <t>23/05/2023, 3:36:19 pm</t>
  </si>
  <si>
    <t>23/05/2023, 3:36:20 pm</t>
  </si>
  <si>
    <t>23/05/2023, 3:36:21 pm</t>
  </si>
  <si>
    <t>23/05/2023, 3:36:22 pm</t>
  </si>
  <si>
    <t>23/05/2023, 3:36:23 pm</t>
  </si>
  <si>
    <t>23/05/2023, 3:36:24 pm</t>
  </si>
  <si>
    <t>23/05/2023, 3:36:25 pm</t>
  </si>
  <si>
    <t>23/05/2023, 3:36:26 pm</t>
  </si>
  <si>
    <t>23/05/2023, 3:36:27 pm</t>
  </si>
  <si>
    <t>23/05/2023, 3:36:28 pm</t>
  </si>
  <si>
    <t>23/05/2023, 3:36:29 pm</t>
  </si>
  <si>
    <t>23/05/2023, 3:36:30 pm</t>
  </si>
  <si>
    <t>23/05/2023, 3:36:31 pm</t>
  </si>
  <si>
    <t>23/05/2023, 3:36:32 pm</t>
  </si>
  <si>
    <t>23/05/2023, 3:36:33 pm</t>
  </si>
  <si>
    <t>23/05/2023, 3:36:34 pm</t>
  </si>
  <si>
    <t>23/05/2023, 3:36:35 pm</t>
  </si>
  <si>
    <t>23/05/2023, 3:36:36 pm</t>
  </si>
  <si>
    <t>23/05/2023, 3:36:37 pm</t>
  </si>
  <si>
    <t>23/05/2023, 3:36:38 pm</t>
  </si>
  <si>
    <t>23/05/2023, 3:36:39 pm</t>
  </si>
  <si>
    <t>23/05/2023, 3:36:40 pm</t>
  </si>
  <si>
    <t>23/05/2023, 3:36:41 pm</t>
  </si>
  <si>
    <t>23/05/2023, 3:36:42 pm</t>
  </si>
  <si>
    <t>23/05/2023, 3:36:43 pm</t>
  </si>
  <si>
    <t>23/05/2023, 3:36:44 pm</t>
  </si>
  <si>
    <t>23/05/2023, 3:36:45 pm</t>
  </si>
  <si>
    <t>23/05/2023, 3:36:46 pm</t>
  </si>
  <si>
    <t>23/05/2023, 3:36:47 pm</t>
  </si>
  <si>
    <t>23/05/2023, 3:36:48 pm</t>
  </si>
  <si>
    <t>23/05/2023, 3:36:50 pm</t>
  </si>
  <si>
    <t>23/05/2023, 3:36:51 pm</t>
  </si>
  <si>
    <t>23/05/2023, 3:36:52 pm</t>
  </si>
  <si>
    <t>23/05/2023, 3:36:53 pm</t>
  </si>
  <si>
    <t>23/05/2023, 3:36:54 pm</t>
  </si>
  <si>
    <t>23/05/2023, 3:36:55 pm</t>
  </si>
  <si>
    <t>23/05/2023, 3:36:56 pm</t>
  </si>
  <si>
    <t>23/05/2023, 3:36:57 pm</t>
  </si>
  <si>
    <t>23/05/2023, 3:36:58 pm</t>
  </si>
  <si>
    <t>23/05/2023, 3:36:59 pm</t>
  </si>
  <si>
    <t>23/05/2023, 3:37:00 pm</t>
  </si>
  <si>
    <t>23/05/2023, 3:37:01 pm</t>
  </si>
  <si>
    <t>23/05/2023, 3:37:02 pm</t>
  </si>
  <si>
    <t>23/05/2023, 3:37:03 pm</t>
  </si>
  <si>
    <t>23/05/2023, 3:37:04 pm</t>
  </si>
  <si>
    <t>23/05/2023, 3:37:05 pm</t>
  </si>
  <si>
    <t>23/05/2023, 3:37:06 pm</t>
  </si>
  <si>
    <t>23/05/2023, 3:37:07 pm</t>
  </si>
  <si>
    <t>23/05/2023, 3:37:08 pm</t>
  </si>
  <si>
    <t>23/05/2023, 3:37:09 pm</t>
  </si>
  <si>
    <t>23/05/2023, 3:37:10 pm</t>
  </si>
  <si>
    <t>23/05/2023, 3:37:11 pm</t>
  </si>
  <si>
    <t>23/05/2023, 3:37:12 pm</t>
  </si>
  <si>
    <t>23/05/2023, 3:37:13 pm</t>
  </si>
  <si>
    <t>23/05/2023, 3:37:14 pm</t>
  </si>
  <si>
    <t>23/05/2023, 3:37:15 pm</t>
  </si>
  <si>
    <t>23/05/2023, 3:37:16 pm</t>
  </si>
  <si>
    <t>23/05/2023, 3:37:17 pm</t>
  </si>
  <si>
    <t>23/05/2023, 3:37:18 pm</t>
  </si>
  <si>
    <t>23/05/2023, 3:37:21 pm</t>
  </si>
  <si>
    <t>23/05/2023, 3:37:22 pm</t>
  </si>
  <si>
    <t>23/05/2023, 3:37:23 pm</t>
  </si>
  <si>
    <t>23/05/2023, 3:37:24 pm</t>
  </si>
  <si>
    <t>23/05/2023, 3:37:25 pm</t>
  </si>
  <si>
    <t>23/05/2023, 3:37:26 pm</t>
  </si>
  <si>
    <t>23/05/2023, 3:37:27 pm</t>
  </si>
  <si>
    <t>23/05/2023, 3:37:28 pm</t>
  </si>
  <si>
    <t>23/05/2023, 3:37:29 pm</t>
  </si>
  <si>
    <t>23/05/2023, 3:37:30 pm</t>
  </si>
  <si>
    <t>23/05/2023, 3:37:31 pm</t>
  </si>
  <si>
    <t>23/05/2023, 3:37:32 pm</t>
  </si>
  <si>
    <t>23/05/2023, 3:37:33 pm</t>
  </si>
  <si>
    <t>23/05/2023, 3:37:34 pm</t>
  </si>
  <si>
    <t>23/05/2023, 3:37:35 pm</t>
  </si>
  <si>
    <t>23/05/2023, 3:37:36 pm</t>
  </si>
  <si>
    <t>23/05/2023, 3:37:37 pm</t>
  </si>
  <si>
    <t>23/05/2023, 3:37:38 pm</t>
  </si>
  <si>
    <t>23/05/2023, 3:37:39 pm</t>
  </si>
  <si>
    <t>23/05/2023, 3:37:40 pm</t>
  </si>
  <si>
    <t>23/05/2023, 3:37:41 pm</t>
  </si>
  <si>
    <t>23/05/2023, 3:37:42 pm</t>
  </si>
  <si>
    <t>23/05/2023, 3:37:43 pm</t>
  </si>
  <si>
    <t>23/05/2023, 3:37:44 pm</t>
  </si>
  <si>
    <t>23/05/2023, 3:37:45 pm</t>
  </si>
  <si>
    <t>23/05/2023, 3:37:47 pm</t>
  </si>
  <si>
    <t>23/05/2023, 3:37:48 pm</t>
  </si>
  <si>
    <t>23/05/2023, 3:37:49 pm</t>
  </si>
  <si>
    <t>23/05/2023, 3:37:50 pm</t>
  </si>
  <si>
    <t>23/05/2023, 3:37:51 pm</t>
  </si>
  <si>
    <t>23/05/2023, 3:37:52 pm</t>
  </si>
  <si>
    <t>23/05/2023, 3:37:53 pm</t>
  </si>
  <si>
    <t>23/05/2023, 3:37:54 pm</t>
  </si>
  <si>
    <t>23/05/2023, 3:37:55 pm</t>
  </si>
  <si>
    <t>23/05/2023, 3:37:56 pm</t>
  </si>
  <si>
    <t>23/05/2023, 3:37:57 pm</t>
  </si>
  <si>
    <t>23/05/2023, 3:37:58 pm</t>
  </si>
  <si>
    <t>23/05/2023, 3:37:59 pm</t>
  </si>
  <si>
    <t>23/05/2023, 3:38:00 pm</t>
  </si>
  <si>
    <t>23/05/2023, 3:38:01 pm</t>
  </si>
  <si>
    <t>23/05/2023, 3:38:02 pm</t>
  </si>
  <si>
    <t>23/05/2023, 3:38:03 pm</t>
  </si>
  <si>
    <t>23/05/2023, 3:38:04 pm</t>
  </si>
  <si>
    <t>23/05/2023, 3:38:05 pm</t>
  </si>
  <si>
    <t>23/05/2023, 3:38:06 pm</t>
  </si>
  <si>
    <t>23/05/2023, 3:38:07 pm</t>
  </si>
  <si>
    <t>23/05/2023, 3:38:08 pm</t>
  </si>
  <si>
    <t>23/05/2023, 3:38:09 pm</t>
  </si>
  <si>
    <t>23/05/2023, 3:38:10 pm</t>
  </si>
  <si>
    <t>23/05/2023, 3:38:11 pm</t>
  </si>
  <si>
    <t>23/05/2023, 3:38:12 pm</t>
  </si>
  <si>
    <t>23/05/2023, 3:38:13 pm</t>
  </si>
  <si>
    <t>23/05/2023, 3:38:14 pm</t>
  </si>
  <si>
    <t>23/05/2023, 3:38:15 pm</t>
  </si>
  <si>
    <t>23/05/2023, 3:38:16 pm</t>
  </si>
  <si>
    <t>23/05/2023, 3:38:17 pm</t>
  </si>
  <si>
    <t>23/05/2023, 3:38:18 pm</t>
  </si>
  <si>
    <t>23/05/2023, 3:38:19 pm</t>
  </si>
  <si>
    <t>23/05/2023, 3:38:20 pm</t>
  </si>
  <si>
    <t>23/05/2023, 3:38:23 pm</t>
  </si>
  <si>
    <t>23/05/2023, 3:38:24 pm</t>
  </si>
  <si>
    <t>23/05/2023, 3:38:25 pm</t>
  </si>
  <si>
    <t>23/05/2023, 3:38:26 pm</t>
  </si>
  <si>
    <t>23/05/2023, 3:38:27 pm</t>
  </si>
  <si>
    <t>23/05/2023, 3:38:28 pm</t>
  </si>
  <si>
    <t>23/05/2023, 3:38:29 pm</t>
  </si>
  <si>
    <t>23/05/2023, 3:38:30 pm</t>
  </si>
  <si>
    <t>23/05/2023, 3:38:31 pm</t>
  </si>
  <si>
    <t>23/05/2023, 3:38:32 pm</t>
  </si>
  <si>
    <t>23/05/2023, 3:38:33 pm</t>
  </si>
  <si>
    <t>23/05/2023, 3:38:34 pm</t>
  </si>
  <si>
    <t>23/05/2023, 3:38:35 pm</t>
  </si>
  <si>
    <t>23/05/2023, 3:38:36 pm</t>
  </si>
  <si>
    <t>23/05/2023, 3:38:37 pm</t>
  </si>
  <si>
    <t>23/05/2023, 3:38:38 pm</t>
  </si>
  <si>
    <t>23/05/2023, 3:38:39 pm</t>
  </si>
  <si>
    <t>23/05/2023, 3:38:40 pm</t>
  </si>
  <si>
    <t>23/05/2023, 3:38:41 pm</t>
  </si>
  <si>
    <t>23/05/2023, 3:38:42 pm</t>
  </si>
  <si>
    <t>23/05/2023, 3:38:43 pm</t>
  </si>
  <si>
    <t>23/05/2023, 3:38:44 pm</t>
  </si>
  <si>
    <t>23/05/2023, 3:38:45 pm</t>
  </si>
  <si>
    <t>23/05/2023, 3:38:46 pm</t>
  </si>
  <si>
    <t>23/05/2023, 3:38:47 pm</t>
  </si>
  <si>
    <t>23/05/2023, 3:38:48 pm</t>
  </si>
  <si>
    <t>23/05/2023, 3:38:49 pm</t>
  </si>
  <si>
    <t>23/05/2023, 3:38:50 pm</t>
  </si>
  <si>
    <t>23/05/2023, 3:38:51 pm</t>
  </si>
  <si>
    <t>23/05/2023, 3:38:52 pm</t>
  </si>
  <si>
    <t>23/05/2023, 3:38:55 pm</t>
  </si>
  <si>
    <t>23/05/2023, 3:38:56 pm</t>
  </si>
  <si>
    <t>23/05/2023, 3:38:57 pm</t>
  </si>
  <si>
    <t>23/05/2023, 3:38:58 pm</t>
  </si>
  <si>
    <t>23/05/2023, 3:38:59 pm</t>
  </si>
  <si>
    <t>23/05/2023, 3:39:00 pm</t>
  </si>
  <si>
    <t>23/05/2023, 3:39:01 pm</t>
  </si>
  <si>
    <t>23/05/2023, 3:39:02 pm</t>
  </si>
  <si>
    <t>23/05/2023, 3:39:03 pm</t>
  </si>
  <si>
    <t>23/05/2023, 3:39:04 pm</t>
  </si>
  <si>
    <t>23/05/2023, 3:39:05 pm</t>
  </si>
  <si>
    <t>23/05/2023, 3:39:06 pm</t>
  </si>
  <si>
    <t>23/05/2023, 3:39:07 pm</t>
  </si>
  <si>
    <t>23/05/2023, 3:39:08 pm</t>
  </si>
  <si>
    <t>23/05/2023, 3:39:09 pm</t>
  </si>
  <si>
    <t>23/05/2023, 3:39:12 pm</t>
  </si>
  <si>
    <t>23/05/2023, 3:39:13 pm</t>
  </si>
  <si>
    <t>23/05/2023, 3:39:14 pm</t>
  </si>
  <si>
    <t>23/05/2023, 3:39:15 pm</t>
  </si>
  <si>
    <t>23/05/2023, 3:39:16 pm</t>
  </si>
  <si>
    <t>23/05/2023, 3:39:17 pm</t>
  </si>
  <si>
    <t>23/05/2023, 3:39:18 pm</t>
  </si>
  <si>
    <t>23/05/2023, 3:39:19 pm</t>
  </si>
  <si>
    <t>23/05/2023, 3:39:20 pm</t>
  </si>
  <si>
    <t>23/05/2023, 3:39:21 pm</t>
  </si>
  <si>
    <t>23/05/2023, 3:39:22 pm</t>
  </si>
  <si>
    <t>23/05/2023, 3:39:23 pm</t>
  </si>
  <si>
    <t>23/05/2023, 3:39:24 pm</t>
  </si>
  <si>
    <t>23/05/2023, 3:39:25 pm</t>
  </si>
  <si>
    <t>23/05/2023, 3:39:26 pm</t>
  </si>
  <si>
    <t>23/05/2023, 3:39:27 pm</t>
  </si>
  <si>
    <t>23/05/2023, 3:39:28 pm</t>
  </si>
  <si>
    <t>23/05/2023, 3:39:29 pm</t>
  </si>
  <si>
    <t>23/05/2023, 3:39:30 pm</t>
  </si>
  <si>
    <t>23/05/2023, 3:39:31 pm</t>
  </si>
  <si>
    <t>23/05/2023, 3:39:32 pm</t>
  </si>
  <si>
    <t>23/05/2023, 3:39:33 pm</t>
  </si>
  <si>
    <t>23/05/2023, 3:39:34 pm</t>
  </si>
  <si>
    <t>23/05/2023, 3:39:35 pm</t>
  </si>
  <si>
    <t>23/05/2023, 3:39:36 pm</t>
  </si>
  <si>
    <t>23/05/2023, 3:39:37 pm</t>
  </si>
  <si>
    <t>23/05/2023, 3:39:38 pm</t>
  </si>
  <si>
    <t>23/05/2023, 3:39:39 pm</t>
  </si>
  <si>
    <t>23/05/2023, 3:39:40 pm</t>
  </si>
  <si>
    <t>23/05/2023, 3:39:41 pm</t>
  </si>
  <si>
    <t>23/05/2023, 3:39:42 pm</t>
  </si>
  <si>
    <t>23/05/2023, 3:39:43 pm</t>
  </si>
  <si>
    <t>23/05/2023, 3:39:44 pm</t>
  </si>
  <si>
    <t>23/05/2023, 3:39:45 pm</t>
  </si>
  <si>
    <t>23/05/2023, 3:39:46 pm</t>
  </si>
  <si>
    <t>23/05/2023, 3:39:47 pm</t>
  </si>
  <si>
    <t>23/05/2023, 3:39:48 pm</t>
  </si>
  <si>
    <t>23/05/2023, 3:39:49 pm</t>
  </si>
  <si>
    <t>23/05/2023, 3:39:50 pm</t>
  </si>
  <si>
    <t>23/05/2023, 3:39:51 pm</t>
  </si>
  <si>
    <t>23/05/2023, 3:39:52 pm</t>
  </si>
  <si>
    <t>23/05/2023, 3:39:53 pm</t>
  </si>
  <si>
    <t>23/05/2023, 3:39:54 pm</t>
  </si>
  <si>
    <t>23/05/2023, 3:39:55 pm</t>
  </si>
  <si>
    <t>23/05/2023, 3:39:56 pm</t>
  </si>
  <si>
    <t>23/05/2023, 3:39:57 pm</t>
  </si>
  <si>
    <t>23/05/2023, 3:39:58 pm</t>
  </si>
  <si>
    <t>23/05/2023, 3:39:59 pm</t>
  </si>
  <si>
    <t>23/05/2023, 3:40:00 pm</t>
  </si>
  <si>
    <t>23/05/2023, 3:40:01 pm</t>
  </si>
  <si>
    <t>23/05/2023, 3:40:02 pm</t>
  </si>
  <si>
    <t>23/05/2023, 3:40:03 pm</t>
  </si>
  <si>
    <t>23/05/2023, 3:40:04 pm</t>
  </si>
  <si>
    <t>23/05/2023, 3:40:05 pm</t>
  </si>
  <si>
    <t>23/05/2023, 3:40:06 pm</t>
  </si>
  <si>
    <t>23/05/2023, 3:40:07 pm</t>
  </si>
  <si>
    <t>23/05/2023, 3:40:08 pm</t>
  </si>
  <si>
    <t>23/05/2023, 3:40:09 pm</t>
  </si>
  <si>
    <t>23/05/2023, 3:40:10 pm</t>
  </si>
  <si>
    <t>23/05/2023, 3:40:11 pm</t>
  </si>
  <si>
    <t>23/05/2023, 3:40:12 pm</t>
  </si>
  <si>
    <t>23/05/2023, 3:40:13 pm</t>
  </si>
  <si>
    <t>23/05/2023, 3:40:14 pm</t>
  </si>
  <si>
    <t>23/05/2023, 3:40:15 pm</t>
  </si>
  <si>
    <t>23/05/2023, 3:40:16 pm</t>
  </si>
  <si>
    <t>23/05/2023, 3:40:17 pm</t>
  </si>
  <si>
    <t>23/05/2023, 3:40:18 pm</t>
  </si>
  <si>
    <t>23/05/2023, 3:40:19 pm</t>
  </si>
  <si>
    <t>23/05/2023, 3:40:20 pm</t>
  </si>
  <si>
    <t>23/05/2023, 3:40:21 pm</t>
  </si>
  <si>
    <t>23/05/2023, 3:40:24 pm</t>
  </si>
  <si>
    <t>23/05/2023, 3:40:25 pm</t>
  </si>
  <si>
    <t>23/05/2023, 3:40:26 pm</t>
  </si>
  <si>
    <t>23/05/2023, 3:40:27 pm</t>
  </si>
  <si>
    <t>23/05/2023, 3:40:28 pm</t>
  </si>
  <si>
    <t>23/05/2023, 3:40:29 pm</t>
  </si>
  <si>
    <t>23/05/2023, 3:40:30 pm</t>
  </si>
  <si>
    <t>23/05/2023, 3:40:31 pm</t>
  </si>
  <si>
    <t>23/05/2023, 3:40:32 pm</t>
  </si>
  <si>
    <t>23/05/2023, 3:40:33 pm</t>
  </si>
  <si>
    <t>23/05/2023, 3:40:34 pm</t>
  </si>
  <si>
    <t>23/05/2023, 3:40:35 pm</t>
  </si>
  <si>
    <t>23/05/2023, 3:40:36 pm</t>
  </si>
  <si>
    <t>23/05/2023, 3:40:37 pm</t>
  </si>
  <si>
    <t>23/05/2023, 3:40:38 pm</t>
  </si>
  <si>
    <t>23/05/2023, 3:40:39 pm</t>
  </si>
  <si>
    <t>23/05/2023, 3:40:40 pm</t>
  </si>
  <si>
    <t>23/05/2023, 3:40:41 pm</t>
  </si>
  <si>
    <t>23/05/2023, 3:40:42 pm</t>
  </si>
  <si>
    <t>23/05/2023, 3:40:43 pm</t>
  </si>
  <si>
    <t>23/05/2023, 3:40:44 pm</t>
  </si>
  <si>
    <t>23/05/2023, 3:40:45 pm</t>
  </si>
  <si>
    <t>23/05/2023, 3:40:46 pm</t>
  </si>
  <si>
    <t>23/05/2023, 3:40:47 pm</t>
  </si>
  <si>
    <t>23/05/2023, 3:40:48 pm</t>
  </si>
  <si>
    <t>23/05/2023, 3:40:49 pm</t>
  </si>
  <si>
    <t>23/05/2023, 3:40:50 pm</t>
  </si>
  <si>
    <t>23/05/2023, 3:40:51 pm</t>
  </si>
  <si>
    <t>23/05/2023, 3:40:52 pm</t>
  </si>
  <si>
    <t>23/05/2023, 3:40:53 pm</t>
  </si>
  <si>
    <t>23/05/2023, 3:40:54 pm</t>
  </si>
  <si>
    <t>23/05/2023, 3:40:55 pm</t>
  </si>
  <si>
    <t>23/05/2023, 3:40:56 pm</t>
  </si>
  <si>
    <t>23/05/2023, 3:40:57 pm</t>
  </si>
  <si>
    <t>23/05/2023, 3:40:58 pm</t>
  </si>
  <si>
    <t>23/05/2023, 3:40:59 pm</t>
  </si>
  <si>
    <t>23/05/2023, 3:41:00 pm</t>
  </si>
  <si>
    <t>23/05/2023, 3:41:01 pm</t>
  </si>
  <si>
    <t>23/05/2023, 3:41:02 pm</t>
  </si>
  <si>
    <t>23/05/2023, 3:41:03 pm</t>
  </si>
  <si>
    <t>23/05/2023, 3:41:04 pm</t>
  </si>
  <si>
    <t>23/05/2023, 3:41:05 pm</t>
  </si>
  <si>
    <t>23/05/2023, 3:41:06 pm</t>
  </si>
  <si>
    <t>23/05/2023, 3:41:07 pm</t>
  </si>
  <si>
    <t>23/05/2023, 3:41:08 pm</t>
  </si>
  <si>
    <t>23/05/2023, 3:41:09 pm</t>
  </si>
  <si>
    <t>23/05/2023, 3:41:10 pm</t>
  </si>
  <si>
    <t>23/05/2023, 3:41:11 pm</t>
  </si>
  <si>
    <t>23/05/2023, 3:41:12 pm</t>
  </si>
  <si>
    <t>23/05/2023, 3:41:13 pm</t>
  </si>
  <si>
    <t>23/05/2023, 3:41:14 pm</t>
  </si>
  <si>
    <t>23/05/2023, 3:41:15 pm</t>
  </si>
  <si>
    <t>23/05/2023, 3:41:16 pm</t>
  </si>
  <si>
    <t>23/05/2023, 3:41:17 pm</t>
  </si>
  <si>
    <t>23/05/2023, 3:41:18 pm</t>
  </si>
  <si>
    <t>23/05/2023, 3:41:19 pm</t>
  </si>
  <si>
    <t>23/05/2023, 3:41:20 pm</t>
  </si>
  <si>
    <t>23/05/2023, 3:41:21 pm</t>
  </si>
  <si>
    <t>23/05/2023, 3:41:28 pm</t>
  </si>
  <si>
    <t>23/05/2023, 3:41:29 pm</t>
  </si>
  <si>
    <t>23/05/2023, 3:41:30 pm</t>
  </si>
  <si>
    <t>23/05/2023, 3:41:31 pm</t>
  </si>
  <si>
    <t>23/05/2023, 3:41:32 pm</t>
  </si>
  <si>
    <t>23/05/2023, 3:41:33 pm</t>
  </si>
  <si>
    <t>23/05/2023, 3:41:34 pm</t>
  </si>
  <si>
    <t>23/05/2023, 3:41:36 pm</t>
  </si>
  <si>
    <t>23/05/2023, 3:41:37 pm</t>
  </si>
  <si>
    <t>23/05/2023, 3:41:38 pm</t>
  </si>
  <si>
    <t>23/05/2023, 3:41:39 pm</t>
  </si>
  <si>
    <t>23/05/2023, 3:41:40 pm</t>
  </si>
  <si>
    <t>23/05/2023, 3:41:41 pm</t>
  </si>
  <si>
    <t>23/05/2023, 3:41:42 pm</t>
  </si>
  <si>
    <t>23/05/2023, 3:41:43 pm</t>
  </si>
  <si>
    <t>23/05/2023, 3:41:44 pm</t>
  </si>
  <si>
    <t>23/05/2023, 3:41:47 pm</t>
  </si>
  <si>
    <t>23/05/2023, 3:41:48 pm</t>
  </si>
  <si>
    <t>23/05/2023, 3:41:49 pm</t>
  </si>
  <si>
    <t>23/05/2023, 3:41:50 pm</t>
  </si>
  <si>
    <t>23/05/2023, 3:41:51 pm</t>
  </si>
  <si>
    <t>23/05/2023, 3:41:52 pm</t>
  </si>
  <si>
    <t>23/05/2023, 3:41:53 pm</t>
  </si>
  <si>
    <t>23/05/2023, 3:41:54 pm</t>
  </si>
  <si>
    <t>23/05/2023, 3:41:55 pm</t>
  </si>
  <si>
    <t>23/05/2023, 3:41:56 pm</t>
  </si>
  <si>
    <t>23/05/2023, 3:41:57 pm</t>
  </si>
  <si>
    <t>23/05/2023, 3:41:58 pm</t>
  </si>
  <si>
    <t>23/05/2023, 3:41:59 pm</t>
  </si>
  <si>
    <t>23/05/2023, 3:42:00 pm</t>
  </si>
  <si>
    <t>23/05/2023, 3:42:01 pm</t>
  </si>
  <si>
    <t>23/05/2023, 3:42:02 pm</t>
  </si>
  <si>
    <t>23/05/2023, 3:42:03 pm</t>
  </si>
  <si>
    <t>23/05/2023, 3:42:04 pm</t>
  </si>
  <si>
    <t>23/05/2023, 3:42:05 pm</t>
  </si>
  <si>
    <t>23/05/2023, 3:42:06 pm</t>
  </si>
  <si>
    <t>23/05/2023, 3:42:07 pm</t>
  </si>
  <si>
    <t>23/05/2023, 3:42:08 pm</t>
  </si>
  <si>
    <t>23/05/2023, 3:42:09 pm</t>
  </si>
  <si>
    <t>23/05/2023, 3:42:10 pm</t>
  </si>
  <si>
    <t>23/05/2023, 3:42:11 pm</t>
  </si>
  <si>
    <t>23/05/2023, 3:42:12 pm</t>
  </si>
  <si>
    <t>23/05/2023, 3:42:13 pm</t>
  </si>
  <si>
    <t>23/05/2023, 3:42:14 pm</t>
  </si>
  <si>
    <t>23/05/2023, 3:42:15 pm</t>
  </si>
  <si>
    <t>23/05/2023, 3:42:16 pm</t>
  </si>
  <si>
    <t>23/05/2023, 3:42:17 pm</t>
  </si>
  <si>
    <t>23/05/2023, 3:42:18 pm</t>
  </si>
  <si>
    <t>23/05/2023, 3:42:19 pm</t>
  </si>
  <si>
    <t>23/05/2023, 3:42:20 pm</t>
  </si>
  <si>
    <t>23/05/2023, 3:42:21 pm</t>
  </si>
  <si>
    <t>23/05/2023, 3:42:22 pm</t>
  </si>
  <si>
    <t>23/05/2023, 3:42:23 pm</t>
  </si>
  <si>
    <t>23/05/2023, 3:42:24 pm</t>
  </si>
  <si>
    <t>23/05/2023, 3:42:25 pm</t>
  </si>
  <si>
    <t>23/05/2023, 3:42:26 pm</t>
  </si>
  <si>
    <t>23/05/2023, 3:42:27 pm</t>
  </si>
  <si>
    <t>23/05/2023, 3:42:28 pm</t>
  </si>
  <si>
    <t>23/05/2023, 3:42:29 pm</t>
  </si>
  <si>
    <t>23/05/2023, 3:42:30 pm</t>
  </si>
  <si>
    <t>23/05/2023, 3:42:31 pm</t>
  </si>
  <si>
    <t>23/05/2023, 3:42:32 pm</t>
  </si>
  <si>
    <t>23/05/2023, 3:42:33 pm</t>
  </si>
  <si>
    <t>23/05/2023, 3:42:34 pm</t>
  </si>
  <si>
    <t>23/05/2023, 3:42:35 pm</t>
  </si>
  <si>
    <t>23/05/2023, 3:42:36 pm</t>
  </si>
  <si>
    <t>23/05/2023, 3:42:37 pm</t>
  </si>
  <si>
    <t>23/05/2023, 3:42:38 pm</t>
  </si>
  <si>
    <t>23/05/2023, 3:42:39 pm</t>
  </si>
  <si>
    <t>23/05/2023, 3:42:40 pm</t>
  </si>
  <si>
    <t>23/05/2023, 3:42:41 pm</t>
  </si>
  <si>
    <t>23/05/2023, 3:42:42 pm</t>
  </si>
  <si>
    <t>23/05/2023, 3:42:43 pm</t>
  </si>
  <si>
    <t>23/05/2023, 3:42:44 pm</t>
  </si>
  <si>
    <t>23/05/2023, 3:42:45 pm</t>
  </si>
  <si>
    <t>23/05/2023, 3:42:46 pm</t>
  </si>
  <si>
    <t>23/05/2023, 3:42:49 pm</t>
  </si>
  <si>
    <t>23/05/2023, 3:42:50 pm</t>
  </si>
  <si>
    <t>23/05/2023, 3:42:51 pm</t>
  </si>
  <si>
    <t>23/05/2023, 3:42:52 pm</t>
  </si>
  <si>
    <t>23/05/2023, 3:42:53 pm</t>
  </si>
  <si>
    <t>23/05/2023, 3:42:54 pm</t>
  </si>
  <si>
    <t>23/05/2023, 3:42:55 pm</t>
  </si>
  <si>
    <t>23/05/2023, 3:42:56 pm</t>
  </si>
  <si>
    <t>23/05/2023, 3:42:57 pm</t>
  </si>
  <si>
    <t>23/05/2023, 3:42:58 pm</t>
  </si>
  <si>
    <t>23/05/2023, 3:42:59 pm</t>
  </si>
  <si>
    <t>23/05/2023, 3:43:00 pm</t>
  </si>
  <si>
    <t>23/05/2023, 3:43:01 pm</t>
  </si>
  <si>
    <t>23/05/2023, 3:43:02 pm</t>
  </si>
  <si>
    <t>23/05/2023, 3:43:03 pm</t>
  </si>
  <si>
    <t>23/05/2023, 3:43:04 pm</t>
  </si>
  <si>
    <t>23/05/2023, 3:43:05 pm</t>
  </si>
  <si>
    <t>23/05/2023, 3:43:06 pm</t>
  </si>
  <si>
    <t>23/05/2023, 3:43:07 pm</t>
  </si>
  <si>
    <t>23/05/2023, 3:43:08 pm</t>
  </si>
  <si>
    <t>23/05/2023, 3:43:09 pm</t>
  </si>
  <si>
    <t>23/05/2023, 3:43:10 pm</t>
  </si>
  <si>
    <t>23/05/2023, 3:43:11 pm</t>
  </si>
  <si>
    <t>23/05/2023, 3:43:12 pm</t>
  </si>
  <si>
    <t>23/05/2023, 3:43:13 pm</t>
  </si>
  <si>
    <t>23/05/2023, 3:43:14 pm</t>
  </si>
  <si>
    <t>23/05/2023, 3:43:15 pm</t>
  </si>
  <si>
    <t>23/05/2023, 3:43:16 pm</t>
  </si>
  <si>
    <t>23/05/2023, 3:43:17 pm</t>
  </si>
  <si>
    <t>23/05/2023, 3:43:18 pm</t>
  </si>
  <si>
    <t>23/05/2023, 3:43:19 pm</t>
  </si>
  <si>
    <t>23/05/2023, 3:43:20 pm</t>
  </si>
  <si>
    <t>23/05/2023, 3:43:21 pm</t>
  </si>
  <si>
    <t>23/05/2023, 3:43:22 pm</t>
  </si>
  <si>
    <t>23/05/2023, 3:43:23 pm</t>
  </si>
  <si>
    <t>23/05/2023, 3:43:24 pm</t>
  </si>
  <si>
    <t>23/05/2023, 3:43:25 pm</t>
  </si>
  <si>
    <t>23/05/2023, 3:43:26 pm</t>
  </si>
  <si>
    <t>23/05/2023, 3:43:27 pm</t>
  </si>
  <si>
    <t>23/05/2023, 3:43:28 pm</t>
  </si>
  <si>
    <t>23/05/2023, 3:43:29 pm</t>
  </si>
  <si>
    <t>23/05/2023, 3:43:30 pm</t>
  </si>
  <si>
    <t>23/05/2023, 3:43:31 pm</t>
  </si>
  <si>
    <t>23/05/2023, 3:43:32 pm</t>
  </si>
  <si>
    <t>23/05/2023, 3:43:33 pm</t>
  </si>
  <si>
    <t>23/05/2023, 3:43:36 pm</t>
  </si>
  <si>
    <t>23/05/2023, 3:43:37 pm</t>
  </si>
  <si>
    <t>23/05/2023, 3:43:39 pm</t>
  </si>
  <si>
    <t>23/05/2023, 3:43:40 pm</t>
  </si>
  <si>
    <t>23/05/2023, 3:43:41 pm</t>
  </si>
  <si>
    <t>23/05/2023, 3:43:42 pm</t>
  </si>
  <si>
    <t>23/05/2023, 3:43:43 pm</t>
  </si>
  <si>
    <t>23/05/2023, 3:43:44 pm</t>
  </si>
  <si>
    <t>23/05/2023, 3:43:45 pm</t>
  </si>
  <si>
    <t>23/05/2023, 3:43:48 pm</t>
  </si>
  <si>
    <t>23/05/2023, 3:43:49 pm</t>
  </si>
  <si>
    <t>23/05/2023, 3:43:50 pm</t>
  </si>
  <si>
    <t>23/05/2023, 3:43:54 pm</t>
  </si>
  <si>
    <t>23/05/2023, 3:43:55 pm</t>
  </si>
  <si>
    <t>23/05/2023, 3:43:56 pm</t>
  </si>
  <si>
    <t>23/05/2023, 3:43:57 pm</t>
  </si>
  <si>
    <t>23/05/2023, 3:43:58 pm</t>
  </si>
  <si>
    <t>23/05/2023, 3:43:59 pm</t>
  </si>
  <si>
    <t>23/05/2023, 3:44:00 pm</t>
  </si>
  <si>
    <t>23/05/2023, 3:44:01 pm</t>
  </si>
  <si>
    <t>23/05/2023, 3:44:02 pm</t>
  </si>
  <si>
    <t>23/05/2023, 3:44:03 pm</t>
  </si>
  <si>
    <t>23/05/2023, 3:44:04 pm</t>
  </si>
  <si>
    <t>23/05/2023, 3:44:05 pm</t>
  </si>
  <si>
    <t>23/05/2023, 3:44:06 pm</t>
  </si>
  <si>
    <t>23/05/2023, 3:44:07 pm</t>
  </si>
  <si>
    <t>23/05/2023, 3:44:08 pm</t>
  </si>
  <si>
    <t>23/05/2023, 3:44:09 pm</t>
  </si>
  <si>
    <t>23/05/2023, 3:44:10 pm</t>
  </si>
  <si>
    <t>23/05/2023, 3:44:11 pm</t>
  </si>
  <si>
    <t>23/05/2023, 3:44:12 pm</t>
  </si>
  <si>
    <t>23/05/2023, 3:44:13 pm</t>
  </si>
  <si>
    <t>23/05/2023, 3:44:14 pm</t>
  </si>
  <si>
    <t>23/05/2023, 3:44:15 pm</t>
  </si>
  <si>
    <t>23/05/2023, 3:44:16 pm</t>
  </si>
  <si>
    <t>23/05/2023, 3:44:17 pm</t>
  </si>
  <si>
    <t>23/05/2023, 3:44:18 pm</t>
  </si>
  <si>
    <t>23/05/2023, 3:44:19 pm</t>
  </si>
  <si>
    <t>23/05/2023, 3:44:20 pm</t>
  </si>
  <si>
    <t>23/05/2023, 3:44:21 pm</t>
  </si>
  <si>
    <t>23/05/2023, 3:44:22 pm</t>
  </si>
  <si>
    <t>23/05/2023, 3:44:23 pm</t>
  </si>
  <si>
    <t>23/05/2023, 3:44:24 pm</t>
  </si>
  <si>
    <t>23/05/2023, 3:44:25 pm</t>
  </si>
  <si>
    <t>23/05/2023, 3:44:26 pm</t>
  </si>
  <si>
    <t>23/05/2023, 3:44:27 pm</t>
  </si>
  <si>
    <t>23/05/2023, 3:44:28 pm</t>
  </si>
  <si>
    <t>23/05/2023, 3:44:29 pm</t>
  </si>
  <si>
    <t>23/05/2023, 3:44:30 pm</t>
  </si>
  <si>
    <t>23/05/2023, 3:44:31 pm</t>
  </si>
  <si>
    <t>23/05/2023, 3:44:32 pm</t>
  </si>
  <si>
    <t>23/05/2023, 3:44:33 pm</t>
  </si>
  <si>
    <t>23/05/2023, 3:44:34 pm</t>
  </si>
  <si>
    <t>23/05/2023, 3:44:35 pm</t>
  </si>
  <si>
    <t>23/05/2023, 3:44:36 pm</t>
  </si>
  <si>
    <t>23/05/2023, 3:44:37 pm</t>
  </si>
  <si>
    <t>23/05/2023, 3:44:38 pm</t>
  </si>
  <si>
    <t>23/05/2023, 3:44:39 pm</t>
  </si>
  <si>
    <t>23/05/2023, 3:44:40 pm</t>
  </si>
  <si>
    <t>23/05/2023, 3:44:41 pm</t>
  </si>
  <si>
    <t>23/05/2023, 3:44:42 pm</t>
  </si>
  <si>
    <t>23/05/2023, 3:44:43 pm</t>
  </si>
  <si>
    <t>23/05/2023, 3:44:44 pm</t>
  </si>
  <si>
    <t>23/05/2023, 3:44:45 pm</t>
  </si>
  <si>
    <t>23/05/2023, 3:44:46 pm</t>
  </si>
  <si>
    <t>23/05/2023, 3:44:47 pm</t>
  </si>
  <si>
    <t>23/05/2023, 3:44:48 pm</t>
  </si>
  <si>
    <t>23/05/2023, 3:44:49 pm</t>
  </si>
  <si>
    <t>23/05/2023, 3:44:50 pm</t>
  </si>
  <si>
    <t>23/05/2023, 3:44:51 pm</t>
  </si>
  <si>
    <t>23/05/2023, 3:44:52 pm</t>
  </si>
  <si>
    <t>23/05/2023, 3:44:53 pm</t>
  </si>
  <si>
    <t>23/05/2023, 3:44:54 pm</t>
  </si>
  <si>
    <t>23/05/2023, 3:44:55 pm</t>
  </si>
  <si>
    <t>23/05/2023, 3:44:56 pm</t>
  </si>
  <si>
    <t>23/05/2023, 3:44:57 pm</t>
  </si>
  <si>
    <t>23/05/2023, 3:44:58 pm</t>
  </si>
  <si>
    <t>23/05/2023, 3:44:59 pm</t>
  </si>
  <si>
    <t>23/05/2023, 3:45:00 pm</t>
  </si>
  <si>
    <t>23/05/2023, 3:45:01 pm</t>
  </si>
  <si>
    <t>23/05/2023, 3:45:02 pm</t>
  </si>
  <si>
    <t>23/05/2023, 3:45:03 pm</t>
  </si>
  <si>
    <t>23/05/2023, 3:45:04 pm</t>
  </si>
  <si>
    <t>23/05/2023, 3:45:07 pm</t>
  </si>
  <si>
    <t>23/05/2023, 3:45:08 pm</t>
  </si>
  <si>
    <t>23/05/2023, 3:45:09 pm</t>
  </si>
  <si>
    <t>23/05/2023, 3:45:10 pm</t>
  </si>
  <si>
    <t>23/05/2023, 3:45:11 pm</t>
  </si>
  <si>
    <t>23/05/2023, 3:45:12 pm</t>
  </si>
  <si>
    <t>23/05/2023, 3:45:13 pm</t>
  </si>
  <si>
    <t>23/05/2023, 3:45:14 pm</t>
  </si>
  <si>
    <t>23/05/2023, 3:45:15 pm</t>
  </si>
  <si>
    <t>23/05/2023, 3:45:16 pm</t>
  </si>
  <si>
    <t>23/05/2023, 3:45:17 pm</t>
  </si>
  <si>
    <t>23/05/2023, 3:45:18 pm</t>
  </si>
  <si>
    <t>23/05/2023, 3:45:19 pm</t>
  </si>
  <si>
    <t>23/05/2023, 3:45:20 pm</t>
  </si>
  <si>
    <t>23/05/2023, 3:45:21 pm</t>
  </si>
  <si>
    <t>23/05/2023, 3:45:22 pm</t>
  </si>
  <si>
    <t>23/05/2023, 3:45:23 pm</t>
  </si>
  <si>
    <t>23/05/2023, 3:45:24 pm</t>
  </si>
  <si>
    <t>23/05/2023, 3:45:25 pm</t>
  </si>
  <si>
    <t>23/05/2023, 3:45:29 pm</t>
  </si>
  <si>
    <t>23/05/2023, 3:45:30 pm</t>
  </si>
  <si>
    <t>23/05/2023, 3:45:31 pm</t>
  </si>
  <si>
    <t>23/05/2023, 3:45:32 pm</t>
  </si>
  <si>
    <t>23/05/2023, 3:45:33 pm</t>
  </si>
  <si>
    <t>23/05/2023, 3:45:34 pm</t>
  </si>
  <si>
    <t>23/05/2023, 3:45:35 pm</t>
  </si>
  <si>
    <t>23/05/2023, 3:45:36 pm</t>
  </si>
  <si>
    <t>23/05/2023, 3:45:37 pm</t>
  </si>
  <si>
    <t>23/05/2023, 3:45:38 pm</t>
  </si>
  <si>
    <t>23/05/2023, 3:45:39 pm</t>
  </si>
  <si>
    <t>23/05/2023, 3:45:40 pm</t>
  </si>
  <si>
    <t>23/05/2023, 3:45:41 pm</t>
  </si>
  <si>
    <t>23/05/2023, 3:45:42 pm</t>
  </si>
  <si>
    <t>23/05/2023, 3:45:43 pm</t>
  </si>
  <si>
    <t>23/05/2023, 3:45:44 pm</t>
  </si>
  <si>
    <t>23/05/2023, 3:45:45 pm</t>
  </si>
  <si>
    <t>23/05/2023, 3:45:46 pm</t>
  </si>
  <si>
    <t>23/05/2023, 3:45:47 pm</t>
  </si>
  <si>
    <t>23/05/2023, 3:45:48 pm</t>
  </si>
  <si>
    <t>23/05/2023, 3:45:49 pm</t>
  </si>
  <si>
    <t>23/05/2023, 3:45:50 pm</t>
  </si>
  <si>
    <t>23/05/2023, 3:45:51 pm</t>
  </si>
  <si>
    <t>23/05/2023, 3:45:52 pm</t>
  </si>
  <si>
    <t>23/05/2023, 3:45:53 pm</t>
  </si>
  <si>
    <t>23/05/2023, 3:45:54 pm</t>
  </si>
  <si>
    <t>23/05/2023, 3:45:55 pm</t>
  </si>
  <si>
    <t>23/05/2023, 3:45:56 pm</t>
  </si>
  <si>
    <t>23/05/2023, 3:45:57 pm</t>
  </si>
  <si>
    <t>23/05/2023, 3:45:58 pm</t>
  </si>
  <si>
    <t>23/05/2023, 3:45:59 pm</t>
  </si>
  <si>
    <t>23/05/2023, 3:46:00 pm</t>
  </si>
  <si>
    <t>23/05/2023, 3:46:01 pm</t>
  </si>
  <si>
    <t>23/05/2023, 3:46:02 pm</t>
  </si>
  <si>
    <t>23/05/2023, 3:46:03 pm</t>
  </si>
  <si>
    <t>23/05/2023, 3:46:04 pm</t>
  </si>
  <si>
    <t>23/05/2023, 3:46:05 pm</t>
  </si>
  <si>
    <t>23/05/2023, 3:46:06 pm</t>
  </si>
  <si>
    <t>23/05/2023, 3:46:07 pm</t>
  </si>
  <si>
    <t>23/05/2023, 3:46:08 pm</t>
  </si>
  <si>
    <t>23/05/2023, 3:46:09 pm</t>
  </si>
  <si>
    <t>23/05/2023, 3:46:10 pm</t>
  </si>
  <si>
    <t>23/05/2023, 3:46:11 pm</t>
  </si>
  <si>
    <t>23/05/2023, 3:46:12 pm</t>
  </si>
  <si>
    <t>23/05/2023, 3:46:13 pm</t>
  </si>
  <si>
    <t>23/05/2023, 3:46:14 pm</t>
  </si>
  <si>
    <t>23/05/2023, 3:46:15 pm</t>
  </si>
  <si>
    <t>23/05/2023, 3:46:16 pm</t>
  </si>
  <si>
    <t>23/05/2023, 3:46:17 pm</t>
  </si>
  <si>
    <t>23/05/2023, 3:46:18 pm</t>
  </si>
  <si>
    <t>23/05/2023, 3:46:19 pm</t>
  </si>
  <si>
    <t>23/05/2023, 3:46:20 pm</t>
  </si>
  <si>
    <t>23/05/2023, 3:46:21 pm</t>
  </si>
  <si>
    <t>23/05/2023, 3:46:22 pm</t>
  </si>
  <si>
    <t>23/05/2023, 3:46:23 pm</t>
  </si>
  <si>
    <t>23/05/2023, 3:46:24 pm</t>
  </si>
  <si>
    <t>23/05/2023, 3:46:25 pm</t>
  </si>
  <si>
    <t>23/05/2023, 3:46:26 pm</t>
  </si>
  <si>
    <t>23/05/2023, 3:46:27 pm</t>
  </si>
  <si>
    <t>23/05/2023, 3:46:28 pm</t>
  </si>
  <si>
    <t>23/05/2023, 3:46:29 pm</t>
  </si>
  <si>
    <t>23/05/2023, 3:46:30 pm</t>
  </si>
  <si>
    <t>23/05/2023, 3:46:31 pm</t>
  </si>
  <si>
    <t>23/05/2023, 3:46:32 pm</t>
  </si>
  <si>
    <t>23/05/2023, 3:46:33 pm</t>
  </si>
  <si>
    <t>23/05/2023, 3:46:34 pm</t>
  </si>
  <si>
    <t>23/05/2023, 3:46:35 pm</t>
  </si>
  <si>
    <t>23/05/2023, 3:46:36 pm</t>
  </si>
  <si>
    <t>23/05/2023, 3:46:37 pm</t>
  </si>
  <si>
    <t>23/05/2023, 3:46:38 pm</t>
  </si>
  <si>
    <t>23/05/2023, 3:46:39 pm</t>
  </si>
  <si>
    <t>23/05/2023, 3:46:40 pm</t>
  </si>
  <si>
    <t>23/05/2023, 3:46:41 pm</t>
  </si>
  <si>
    <t>23/05/2023, 3:46:42 pm</t>
  </si>
  <si>
    <t>23/05/2023, 3:46:43 pm</t>
  </si>
  <si>
    <t>23/05/2023, 3:46:44 pm</t>
  </si>
  <si>
    <t>23/05/2023, 3:46:45 pm</t>
  </si>
  <si>
    <t>23/05/2023, 3:46:46 pm</t>
  </si>
  <si>
    <t>23/05/2023, 3:46:47 pm</t>
  </si>
  <si>
    <t>23/05/2023, 3:46:48 pm</t>
  </si>
  <si>
    <t>23/05/2023, 3:46:49 pm</t>
  </si>
  <si>
    <t>23/05/2023, 3:46:50 pm</t>
  </si>
  <si>
    <t>23/05/2023, 3:46:51 pm</t>
  </si>
  <si>
    <t>23/05/2023, 3:46:52 pm</t>
  </si>
  <si>
    <t>23/05/2023, 3:46:53 pm</t>
  </si>
  <si>
    <t>23/05/2023, 3:46:54 pm</t>
  </si>
  <si>
    <t>23/05/2023, 3:46:55 pm</t>
  </si>
  <si>
    <t>23/05/2023, 3:46:56 pm</t>
  </si>
  <si>
    <t>23/05/2023, 3:46:57 pm</t>
  </si>
  <si>
    <t>23/05/2023, 3:46:58 pm</t>
  </si>
  <si>
    <t>23/05/2023, 3:46:59 pm</t>
  </si>
  <si>
    <t>23/05/2023, 3:47:00 pm</t>
  </si>
  <si>
    <t>23/05/2023, 3:47:01 pm</t>
  </si>
  <si>
    <t>23/05/2023, 3:47:02 pm</t>
  </si>
  <si>
    <t>23/05/2023, 3:47:03 pm</t>
  </si>
  <si>
    <t>23/05/2023, 3:47:04 pm</t>
  </si>
  <si>
    <t>23/05/2023, 3:47:05 pm</t>
  </si>
  <si>
    <t>23/05/2023, 3:47:06 pm</t>
  </si>
  <si>
    <t>23/05/2023, 3:47:07 pm</t>
  </si>
  <si>
    <t>23/05/2023, 3:47:08 pm</t>
  </si>
  <si>
    <t>23/05/2023, 3:47:09 pm</t>
  </si>
  <si>
    <t>23/05/2023, 3:47:10 pm</t>
  </si>
  <si>
    <t>23/05/2023, 3:47:11 pm</t>
  </si>
  <si>
    <t>23/05/2023, 3:47:12 pm</t>
  </si>
  <si>
    <t>23/05/2023, 3:47:13 pm</t>
  </si>
  <si>
    <t>23/05/2023, 3:47:14 pm</t>
  </si>
  <si>
    <t>23/05/2023, 3:47:15 pm</t>
  </si>
  <si>
    <t>23/05/2023, 3:47:16 pm</t>
  </si>
  <si>
    <t>23/05/2023, 3:47:17 pm</t>
  </si>
  <si>
    <t>23/05/2023, 3:47:18 pm</t>
  </si>
  <si>
    <t>23/05/2023, 3:47:19 pm</t>
  </si>
  <si>
    <t>23/05/2023, 3:47:20 pm</t>
  </si>
  <si>
    <t>23/05/2023, 3:47:21 pm</t>
  </si>
  <si>
    <t>23/05/2023, 3:47:22 pm</t>
  </si>
  <si>
    <t>23/05/2023, 3:47:23 pm</t>
  </si>
  <si>
    <t>23/05/2023, 3:47:24 pm</t>
  </si>
  <si>
    <t>23/05/2023, 3:47:25 pm</t>
  </si>
  <si>
    <t>23/05/2023, 3:47:26 pm</t>
  </si>
  <si>
    <t>23/05/2023, 3:47:27 pm</t>
  </si>
  <si>
    <t>23/05/2023, 3:47:28 pm</t>
  </si>
  <si>
    <t>23/05/2023, 3:47:29 pm</t>
  </si>
  <si>
    <t>23/05/2023, 3:47:30 pm</t>
  </si>
  <si>
    <t>23/05/2023, 3:47:31 pm</t>
  </si>
  <si>
    <t>23/05/2023, 3:47:32 pm</t>
  </si>
  <si>
    <t>23/05/2023, 3:47:34 pm</t>
  </si>
  <si>
    <t>23/05/2023, 3:47:35 pm</t>
  </si>
  <si>
    <t>23/05/2023, 3:47:36 pm</t>
  </si>
  <si>
    <t>23/05/2023, 3:47:37 pm</t>
  </si>
  <si>
    <t>23/05/2023, 3:47:38 pm</t>
  </si>
  <si>
    <t>23/05/2023, 3:47:39 pm</t>
  </si>
  <si>
    <t>23/05/2023, 3:47:40 pm</t>
  </si>
  <si>
    <t>23/05/2023, 3:47:41 pm</t>
  </si>
  <si>
    <t>23/05/2023, 3:47:42 pm</t>
  </si>
  <si>
    <t>23/05/2023, 3:47:43 pm</t>
  </si>
  <si>
    <t>23/05/2023, 3:47:44 pm</t>
  </si>
  <si>
    <t>23/05/2023, 3:47:45 pm</t>
  </si>
  <si>
    <t>23/05/2023, 3:47:46 pm</t>
  </si>
  <si>
    <t>23/05/2023, 3:47:47 pm</t>
  </si>
  <si>
    <t>23/05/2023, 3:47:48 pm</t>
  </si>
  <si>
    <t>23/05/2023, 3:47:49 pm</t>
  </si>
  <si>
    <t>23/05/2023, 3:47:50 pm</t>
  </si>
  <si>
    <t>23/05/2023, 3:47:51 pm</t>
  </si>
  <si>
    <t>23/05/2023, 3:47:52 pm</t>
  </si>
  <si>
    <t>23/05/2023, 3:47:53 pm</t>
  </si>
  <si>
    <t>23/05/2023, 3:47:54 pm</t>
  </si>
  <si>
    <t>23/05/2023, 3:47:55 pm</t>
  </si>
  <si>
    <t>23/05/2023, 3:47:56 pm</t>
  </si>
  <si>
    <t>23/05/2023, 3:47:57 pm</t>
  </si>
  <si>
    <t>23/05/2023, 3:47:58 pm</t>
  </si>
  <si>
    <t>23/05/2023, 3:47:59 pm</t>
  </si>
  <si>
    <t>23/05/2023, 3:48:00 pm</t>
  </si>
  <si>
    <t>23/05/2023, 3:48:01 pm</t>
  </si>
  <si>
    <t>23/05/2023, 3:48:02 pm</t>
  </si>
  <si>
    <t>23/05/2023, 3:48:03 pm</t>
  </si>
  <si>
    <t>23/05/2023, 3:48:04 pm</t>
  </si>
  <si>
    <t>23/05/2023, 3:48:05 pm</t>
  </si>
  <si>
    <t>23/05/2023, 3:48:06 pm</t>
  </si>
  <si>
    <t>23/05/2023, 3:48:07 pm</t>
  </si>
  <si>
    <t>23/05/2023, 3:48:08 pm</t>
  </si>
  <si>
    <t>23/05/2023, 3:48:09 pm</t>
  </si>
  <si>
    <t>23/05/2023, 3:48:10 pm</t>
  </si>
  <si>
    <t>23/05/2023, 3:48:11 pm</t>
  </si>
  <si>
    <t>23/05/2023, 3:48:12 pm</t>
  </si>
  <si>
    <t>23/05/2023, 3:48:13 pm</t>
  </si>
  <si>
    <t>23/05/2023, 3:48:14 pm</t>
  </si>
  <si>
    <t>23/05/2023, 3:48:15 pm</t>
  </si>
  <si>
    <t>23/05/2023, 3:48:16 pm</t>
  </si>
  <si>
    <t>23/05/2023, 3:48:17 pm</t>
  </si>
  <si>
    <t>23/05/2023, 3:48:18 pm</t>
  </si>
  <si>
    <t>23/05/2023, 3:48:19 pm</t>
  </si>
  <si>
    <t>23/05/2023, 3:48:20 pm</t>
  </si>
  <si>
    <t>23/05/2023, 3:48:23 pm</t>
  </si>
  <si>
    <t>23/05/2023, 3:48:24 pm</t>
  </si>
  <si>
    <t>23/05/2023, 3:48:25 pm</t>
  </si>
  <si>
    <t>23/05/2023, 3:48:26 pm</t>
  </si>
  <si>
    <t>23/05/2023, 3:48:27 pm</t>
  </si>
  <si>
    <t>23/05/2023, 3:48:28 pm</t>
  </si>
  <si>
    <t>23/05/2023, 3:48:29 pm</t>
  </si>
  <si>
    <t>23/05/2023, 3:48:30 pm</t>
  </si>
  <si>
    <t>23/05/2023, 3:48:31 pm</t>
  </si>
  <si>
    <t>23/05/2023, 3:48:35 pm</t>
  </si>
  <si>
    <t>23/05/2023, 3:48:36 pm</t>
  </si>
  <si>
    <t>23/05/2023, 3:48:37 pm</t>
  </si>
  <si>
    <t>23/05/2023, 3:48:38 pm</t>
  </si>
  <si>
    <t>23/05/2023, 3:48:39 pm</t>
  </si>
  <si>
    <t>23/05/2023, 3:48:40 pm</t>
  </si>
  <si>
    <t>23/05/2023, 3:48:41 pm</t>
  </si>
  <si>
    <t>23/05/2023, 3:48:42 pm</t>
  </si>
  <si>
    <t>23/05/2023, 3:48:43 pm</t>
  </si>
  <si>
    <t>23/05/2023, 3:48:44 pm</t>
  </si>
  <si>
    <t>23/05/2023, 3:48:45 pm</t>
  </si>
  <si>
    <t>23/05/2023, 3:48:46 pm</t>
  </si>
  <si>
    <t>23/05/2023, 3:48:47 pm</t>
  </si>
  <si>
    <t>23/05/2023, 3:48:48 pm</t>
  </si>
  <si>
    <t>23/05/2023, 3:48:49 pm</t>
  </si>
  <si>
    <t>23/05/2023, 3:48:50 pm</t>
  </si>
  <si>
    <t>23/05/2023, 3:48:51 pm</t>
  </si>
  <si>
    <t>23/05/2023, 3:48:52 pm</t>
  </si>
  <si>
    <t>23/05/2023, 3:48:53 pm</t>
  </si>
  <si>
    <t>23/05/2023, 3:48:54 pm</t>
  </si>
  <si>
    <t>23/05/2023, 3:48:58 pm</t>
  </si>
  <si>
    <t>23/05/2023, 3:48:59 pm</t>
  </si>
  <si>
    <t>23/05/2023, 3:49:00 pm</t>
  </si>
  <si>
    <t>23/05/2023, 3:49:01 pm</t>
  </si>
  <si>
    <t>23/05/2023, 3:49:02 pm</t>
  </si>
  <si>
    <t>23/05/2023, 3:49:03 pm</t>
  </si>
  <si>
    <t>23/05/2023, 3:49:04 pm</t>
  </si>
  <si>
    <t>23/05/2023, 3:49:05 pm</t>
  </si>
  <si>
    <t>23/05/2023, 3:49:06 pm</t>
  </si>
  <si>
    <t>23/05/2023, 3:49:10 pm</t>
  </si>
  <si>
    <t>23/05/2023, 3:49:11 pm</t>
  </si>
  <si>
    <t>23/05/2023, 3:49:12 pm</t>
  </si>
  <si>
    <t>23/05/2023, 3:49:13 pm</t>
  </si>
  <si>
    <t>23/05/2023, 3:49:14 pm</t>
  </si>
  <si>
    <t>23/05/2023, 3:49:15 pm</t>
  </si>
  <si>
    <t>23/05/2023, 3:49:16 pm</t>
  </si>
  <si>
    <t>23/05/2023, 3:49:17 pm</t>
  </si>
  <si>
    <t>23/05/2023, 3:49:18 pm</t>
  </si>
  <si>
    <t>23/05/2023, 3:49:19 pm</t>
  </si>
  <si>
    <t>23/05/2023, 3:49:20 pm</t>
  </si>
  <si>
    <t>23/05/2023, 3:49:21 pm</t>
  </si>
  <si>
    <t>23/05/2023, 3:49:22 pm</t>
  </si>
  <si>
    <t>23/05/2023, 3:49:23 pm</t>
  </si>
  <si>
    <t>23/05/2023, 3:49:24 pm</t>
  </si>
  <si>
    <t>23/05/2023, 3:49:25 pm</t>
  </si>
  <si>
    <t>23/05/2023, 3:49:26 pm</t>
  </si>
  <si>
    <t>23/05/2023, 3:49:27 pm</t>
  </si>
  <si>
    <t>23/05/2023, 3:49:28 pm</t>
  </si>
  <si>
    <t>23/05/2023, 3:49:29 pm</t>
  </si>
  <si>
    <t>23/05/2023, 3:49:30 pm</t>
  </si>
  <si>
    <t>23/05/2023, 3:49:31 pm</t>
  </si>
  <si>
    <t>23/05/2023, 3:49:32 pm</t>
  </si>
  <si>
    <t>23/05/2023, 3:49:33 pm</t>
  </si>
  <si>
    <t>23/05/2023, 3:49:34 pm</t>
  </si>
  <si>
    <t>23/05/2023, 3:49:35 pm</t>
  </si>
  <si>
    <t>23/05/2023, 3:49:36 pm</t>
  </si>
  <si>
    <t>23/05/2023, 3:49:37 pm</t>
  </si>
  <si>
    <t>23/05/2023, 3:49:38 pm</t>
  </si>
  <si>
    <t>23/05/2023, 3:49:39 pm</t>
  </si>
  <si>
    <t>23/05/2023, 3:49:40 pm</t>
  </si>
  <si>
    <t>23/05/2023, 3:49:41 pm</t>
  </si>
  <si>
    <t>23/05/2023, 3:49:42 pm</t>
  </si>
  <si>
    <t>23/05/2023, 3:49:43 pm</t>
  </si>
  <si>
    <t>23/05/2023, 3:49:44 pm</t>
  </si>
  <si>
    <t>23/05/2023, 3:49:45 pm</t>
  </si>
  <si>
    <t>23/05/2023, 3:49:46 pm</t>
  </si>
  <si>
    <t>23/05/2023, 3:49:47 pm</t>
  </si>
  <si>
    <t>23/05/2023, 3:49:48 pm</t>
  </si>
  <si>
    <t>23/05/2023, 3:49:49 pm</t>
  </si>
  <si>
    <t>23/05/2023, 3:49:50 pm</t>
  </si>
  <si>
    <t>23/05/2023, 3:49:51 pm</t>
  </si>
  <si>
    <t>23/05/2023, 3:49:52 pm</t>
  </si>
  <si>
    <t>23/05/2023, 3:49:53 pm</t>
  </si>
  <si>
    <t>23/05/2023, 3:49:54 pm</t>
  </si>
  <si>
    <t>23/05/2023, 3:49:55 pm</t>
  </si>
  <si>
    <t>23/05/2023, 3:49:56 pm</t>
  </si>
  <si>
    <t>23/05/2023, 3:49:57 pm</t>
  </si>
  <si>
    <t>23/05/2023, 3:49:58 pm</t>
  </si>
  <si>
    <t>23/05/2023, 3:49:59 pm</t>
  </si>
  <si>
    <t>23/05/2023, 3:50:00 pm</t>
  </si>
  <si>
    <t>23/05/2023, 3:50:01 pm</t>
  </si>
  <si>
    <t>23/05/2023, 3:50:02 pm</t>
  </si>
  <si>
    <t>23/05/2023, 3:50:03 pm</t>
  </si>
  <si>
    <t>23/05/2023, 3:50:04 pm</t>
  </si>
  <si>
    <t>23/05/2023, 3:50:05 pm</t>
  </si>
  <si>
    <t>23/05/2023, 3:50:06 pm</t>
  </si>
  <si>
    <t>23/05/2023, 3:50:07 pm</t>
  </si>
  <si>
    <t>23/05/2023, 3:50:08 pm</t>
  </si>
  <si>
    <t>23/05/2023, 3:50:09 pm</t>
  </si>
  <si>
    <t>23/05/2023, 3:50:10 pm</t>
  </si>
  <si>
    <t>23/05/2023, 3:50:11 pm</t>
  </si>
  <si>
    <t>23/05/2023, 3:50:12 pm</t>
  </si>
  <si>
    <t>23/05/2023, 3:50:13 pm</t>
  </si>
  <si>
    <t>23/05/2023, 3:50:14 pm</t>
  </si>
  <si>
    <t>23/05/2023, 3:50:15 pm</t>
  </si>
  <si>
    <t>23/05/2023, 3:50:16 pm</t>
  </si>
  <si>
    <t>23/05/2023, 3:50:17 pm</t>
  </si>
  <si>
    <t>23/05/2023, 3:50:18 pm</t>
  </si>
  <si>
    <t>23/05/2023, 3:50:19 pm</t>
  </si>
  <si>
    <t>23/05/2023, 3:50:20 pm</t>
  </si>
  <si>
    <t>23/05/2023, 3:50:21 pm</t>
  </si>
  <si>
    <t>23/05/2023, 3:50:22 pm</t>
  </si>
  <si>
    <t>23/05/2023, 3:50:23 pm</t>
  </si>
  <si>
    <t>23/05/2023, 3:50:24 pm</t>
  </si>
  <si>
    <t>23/05/2023, 3:50:25 pm</t>
  </si>
  <si>
    <t>23/05/2023, 3:50:26 pm</t>
  </si>
  <si>
    <t>23/05/2023, 3:50:27 pm</t>
  </si>
  <si>
    <t>23/05/2023, 3:50:28 pm</t>
  </si>
  <si>
    <t>23/05/2023, 3:50:29 pm</t>
  </si>
  <si>
    <t>23/05/2023, 3:50:30 pm</t>
  </si>
  <si>
    <t>23/05/2023, 3:50:31 pm</t>
  </si>
  <si>
    <t>23/05/2023, 3:50:32 pm</t>
  </si>
  <si>
    <t>23/05/2023, 3:50:33 pm</t>
  </si>
  <si>
    <t>23/05/2023, 3:50:34 pm</t>
  </si>
  <si>
    <t>23/05/2023, 3:50:35 pm</t>
  </si>
  <si>
    <t>23/05/2023, 3:50:36 pm</t>
  </si>
  <si>
    <t>23/05/2023, 3:50:37 pm</t>
  </si>
  <si>
    <t>23/05/2023, 3:50:39 pm</t>
  </si>
  <si>
    <t>23/05/2023, 3:50:40 pm</t>
  </si>
  <si>
    <t>23/05/2023, 3:50:42 pm</t>
  </si>
  <si>
    <t>23/05/2023, 3:50:43 pm</t>
  </si>
  <si>
    <t>23/05/2023, 3:50:44 pm</t>
  </si>
  <si>
    <t>23/05/2023, 3:50:45 pm</t>
  </si>
  <si>
    <t>23/05/2023, 3:50:46 pm</t>
  </si>
  <si>
    <t>23/05/2023, 3:50:47 pm</t>
  </si>
  <si>
    <t>23/05/2023, 3:50:48 pm</t>
  </si>
  <si>
    <t>23/05/2023, 3:50:49 pm</t>
  </si>
  <si>
    <t>23/05/2023, 3:50:50 pm</t>
  </si>
  <si>
    <t>23/05/2023, 3:50:51 pm</t>
  </si>
  <si>
    <t>23/05/2023, 3:50:52 pm</t>
  </si>
  <si>
    <t>23/05/2023, 3:50:53 pm</t>
  </si>
  <si>
    <t>23/05/2023, 3:50:54 pm</t>
  </si>
  <si>
    <t>23/05/2023, 3:50:55 pm</t>
  </si>
  <si>
    <t>23/05/2023, 3:50:56 pm</t>
  </si>
  <si>
    <t>23/05/2023, 3:50:57 pm</t>
  </si>
  <si>
    <t>23/05/2023, 3:50:58 pm</t>
  </si>
  <si>
    <t>23/05/2023, 3:50:59 pm</t>
  </si>
  <si>
    <t>23/05/2023, 3:51:00 pm</t>
  </si>
  <si>
    <t>23/05/2023, 3:51:01 pm</t>
  </si>
  <si>
    <t>23/05/2023, 3:51:02 pm</t>
  </si>
  <si>
    <t>23/05/2023, 3:51:03 pm</t>
  </si>
  <si>
    <t>23/05/2023, 3:51:04 pm</t>
  </si>
  <si>
    <t>23/05/2023, 3:51:05 pm</t>
  </si>
  <si>
    <t>23/05/2023, 3:51:06 pm</t>
  </si>
  <si>
    <t>23/05/2023, 3:51:07 pm</t>
  </si>
  <si>
    <t>23/05/2023, 3:51:08 pm</t>
  </si>
  <si>
    <t>23/05/2023, 3:51:09 pm</t>
  </si>
  <si>
    <t>23/05/2023, 3:51:10 pm</t>
  </si>
  <si>
    <t>23/05/2023, 3:51:11 pm</t>
  </si>
  <si>
    <t>23/05/2023, 3:51:12 pm</t>
  </si>
  <si>
    <t>23/05/2023, 3:51:13 pm</t>
  </si>
  <si>
    <t>23/05/2023, 3:51:14 pm</t>
  </si>
  <si>
    <t>23/05/2023, 3:51:15 pm</t>
  </si>
  <si>
    <t>23/05/2023, 3:51:16 pm</t>
  </si>
  <si>
    <t>23/05/2023, 3:51:17 pm</t>
  </si>
  <si>
    <t>23/05/2023, 3:51:18 pm</t>
  </si>
  <si>
    <t>23/05/2023, 3:51:19 pm</t>
  </si>
  <si>
    <t>23/05/2023, 3:51:20 pm</t>
  </si>
  <si>
    <t>23/05/2023, 3:51:21 pm</t>
  </si>
  <si>
    <t>23/05/2023, 3:51:22 pm</t>
  </si>
  <si>
    <t>23/05/2023, 3:51:23 pm</t>
  </si>
  <si>
    <t>23/05/2023, 3:51:24 pm</t>
  </si>
  <si>
    <t>23/05/2023, 3:51:25 pm</t>
  </si>
  <si>
    <t>23/05/2023, 3:51:26 pm</t>
  </si>
  <si>
    <t>23/05/2023, 3:51:27 pm</t>
  </si>
  <si>
    <t>23/05/2023, 3:51:28 pm</t>
  </si>
  <si>
    <t>23/05/2023, 3:51:29 pm</t>
  </si>
  <si>
    <t>23/05/2023, 3:51:30 pm</t>
  </si>
  <si>
    <t>23/05/2023, 3:51:31 pm</t>
  </si>
  <si>
    <t>23/05/2023, 3:51:32 pm</t>
  </si>
  <si>
    <t>23/05/2023, 3:51:33 pm</t>
  </si>
  <si>
    <t>23/05/2023, 3:51:34 pm</t>
  </si>
  <si>
    <t>23/05/2023, 3:51:35 pm</t>
  </si>
  <si>
    <t>23/05/2023, 3:51:36 pm</t>
  </si>
  <si>
    <t>23/05/2023, 3:51:37 pm</t>
  </si>
  <si>
    <t>23/05/2023, 3:51:38 pm</t>
  </si>
  <si>
    <t>23/05/2023, 3:51:39 pm</t>
  </si>
  <si>
    <t>23/05/2023, 3:51:40 pm</t>
  </si>
  <si>
    <t>23/05/2023, 3:51:41 pm</t>
  </si>
  <si>
    <t>23/05/2023, 3:51:42 pm</t>
  </si>
  <si>
    <t>23/05/2023, 3:51:43 pm</t>
  </si>
  <si>
    <t>23/05/2023, 3:51:44 pm</t>
  </si>
  <si>
    <t>23/05/2023, 3:51:45 pm</t>
  </si>
  <si>
    <t>23/05/2023, 3:51:46 pm</t>
  </si>
  <si>
    <t>23/05/2023, 3:51:50 pm</t>
  </si>
  <si>
    <t>23/05/2023, 3:51:51 pm</t>
  </si>
  <si>
    <t>23/05/2023, 3:51:52 pm</t>
  </si>
  <si>
    <t>23/05/2023, 3:51:53 pm</t>
  </si>
  <si>
    <t>23/05/2023, 3:51:54 pm</t>
  </si>
  <si>
    <t>23/05/2023, 3:51:55 pm</t>
  </si>
  <si>
    <t>23/05/2023, 3:51:56 pm</t>
  </si>
  <si>
    <t>23/05/2023, 3:51:57 pm</t>
  </si>
  <si>
    <t>23/05/2023, 3:51:58 pm</t>
  </si>
  <si>
    <t>23/05/2023, 3:51:59 pm</t>
  </si>
  <si>
    <t>23/05/2023, 3:52:00 pm</t>
  </si>
  <si>
    <t>23/05/2023, 3:52:01 pm</t>
  </si>
  <si>
    <t>23/05/2023, 3:52:02 pm</t>
  </si>
  <si>
    <t>23/05/2023, 3:52:03 pm</t>
  </si>
  <si>
    <t>23/05/2023, 3:52:04 pm</t>
  </si>
  <si>
    <t>23/05/2023, 3:52:05 pm</t>
  </si>
  <si>
    <t>23/05/2023, 3:52:06 pm</t>
  </si>
  <si>
    <t>23/05/2023, 3:52:07 pm</t>
  </si>
  <si>
    <t>23/05/2023, 3:52:08 pm</t>
  </si>
  <si>
    <t>23/05/2023, 3:52:09 pm</t>
  </si>
  <si>
    <t>23/05/2023, 3:52:10 pm</t>
  </si>
  <si>
    <t>23/05/2023, 3:52:11 pm</t>
  </si>
  <si>
    <t>23/05/2023, 3:52:12 pm</t>
  </si>
  <si>
    <t>23/05/2023, 3:52:13 pm</t>
  </si>
  <si>
    <t>23/05/2023, 3:52:14 pm</t>
  </si>
  <si>
    <t>23/05/2023, 3:52:15 pm</t>
  </si>
  <si>
    <t>23/05/2023, 3:52:16 pm</t>
  </si>
  <si>
    <t>23/05/2023, 3:52:17 pm</t>
  </si>
  <si>
    <t>23/05/2023, 3:52:18 pm</t>
  </si>
  <si>
    <t>23/05/2023, 3:52:19 pm</t>
  </si>
  <si>
    <t>23/05/2023, 3:52:20 pm</t>
  </si>
  <si>
    <t>23/05/2023, 3:52:21 pm</t>
  </si>
  <si>
    <t>23/05/2023, 3:52:22 pm</t>
  </si>
  <si>
    <t>23/05/2023, 3:52:23 pm</t>
  </si>
  <si>
    <t>23/05/2023, 3:52:24 pm</t>
  </si>
  <si>
    <t>23/05/2023, 3:52:25 pm</t>
  </si>
  <si>
    <t>23/05/2023, 3:52:26 pm</t>
  </si>
  <si>
    <t>23/05/2023, 3:52:27 pm</t>
  </si>
  <si>
    <t>23/05/2023, 3:52:28 pm</t>
  </si>
  <si>
    <t>23/05/2023, 3:52:29 pm</t>
  </si>
  <si>
    <t>23/05/2023, 3:52:30 pm</t>
  </si>
  <si>
    <t>23/05/2023, 3:52:31 pm</t>
  </si>
  <si>
    <t>23/05/2023, 3:52:32 pm</t>
  </si>
  <si>
    <t>23/05/2023, 3:52:33 pm</t>
  </si>
  <si>
    <t>23/05/2023, 3:52:34 pm</t>
  </si>
  <si>
    <t>23/05/2023, 3:52:35 pm</t>
  </si>
  <si>
    <t>23/05/2023, 3:52:36 pm</t>
  </si>
  <si>
    <t>23/05/2023, 3:52:37 pm</t>
  </si>
  <si>
    <t>23/05/2023, 3:52:38 pm</t>
  </si>
  <si>
    <t>23/05/2023, 3:52:39 pm</t>
  </si>
  <si>
    <t>23/05/2023, 3:52:40 pm</t>
  </si>
  <si>
    <t>23/05/2023, 3:52:41 pm</t>
  </si>
  <si>
    <t>23/05/2023, 3:52:42 pm</t>
  </si>
  <si>
    <t>23/05/2023, 3:52:43 pm</t>
  </si>
  <si>
    <t>23/05/2023, 3:52:44 pm</t>
  </si>
  <si>
    <t>23/05/2023, 3:52:45 pm</t>
  </si>
  <si>
    <t>23/05/2023, 3:52:46 pm</t>
  </si>
  <si>
    <t>23/05/2023, 3:52:47 pm</t>
  </si>
  <si>
    <t>23/05/2023, 3:52:48 pm</t>
  </si>
  <si>
    <t>23/05/2023, 3:52:49 pm</t>
  </si>
  <si>
    <t>23/05/2023, 3:52:50 pm</t>
  </si>
  <si>
    <t>23/05/2023, 3:52:51 pm</t>
  </si>
  <si>
    <t>23/05/2023, 3:52:52 pm</t>
  </si>
  <si>
    <t>23/05/2023, 3:52:53 pm</t>
  </si>
  <si>
    <t>23/05/2023, 3:52:54 pm</t>
  </si>
  <si>
    <t>23/05/2023, 3:52:55 pm</t>
  </si>
  <si>
    <t>23/05/2023, 3:52:56 pm</t>
  </si>
  <si>
    <t>23/05/2023, 3:52:57 pm</t>
  </si>
  <si>
    <t>23/05/2023, 3:52:58 pm</t>
  </si>
  <si>
    <t>23/05/2023, 3:52:59 pm</t>
  </si>
  <si>
    <t>23/05/2023, 3:53:00 pm</t>
  </si>
  <si>
    <t>23/05/2023, 3:53:01 pm</t>
  </si>
  <si>
    <t>23/05/2023, 3:53:02 pm</t>
  </si>
  <si>
    <t>23/05/2023, 3:53:03 pm</t>
  </si>
  <si>
    <t>23/05/2023, 3:53:04 pm</t>
  </si>
  <si>
    <t>23/05/2023, 3:53:05 pm</t>
  </si>
  <si>
    <t>23/05/2023, 3:53:06 pm</t>
  </si>
  <si>
    <t>23/05/2023, 3:53:07 pm</t>
  </si>
  <si>
    <t>23/05/2023, 3:53:08 pm</t>
  </si>
  <si>
    <t>23/05/2023, 3:53:09 pm</t>
  </si>
  <si>
    <t>23/05/2023, 3:53:10 pm</t>
  </si>
  <si>
    <t>23/05/2023, 3:53:11 pm</t>
  </si>
  <si>
    <t>23/05/2023, 3:53:12 pm</t>
  </si>
  <si>
    <t>23/05/2023, 3:53:13 pm</t>
  </si>
  <si>
    <t>23/05/2023, 3:53:14 pm</t>
  </si>
  <si>
    <t>23/05/2023, 3:53:15 pm</t>
  </si>
  <si>
    <t>23/05/2023, 3:53:16 pm</t>
  </si>
  <si>
    <t>23/05/2023, 3:53:17 pm</t>
  </si>
  <si>
    <t>23/05/2023, 3:53:18 pm</t>
  </si>
  <si>
    <t>23/05/2023, 3:53:19 pm</t>
  </si>
  <si>
    <t>23/05/2023, 3:53:20 pm</t>
  </si>
  <si>
    <t>23/05/2023, 3:53:21 pm</t>
  </si>
  <si>
    <t>23/05/2023, 3:53:22 pm</t>
  </si>
  <si>
    <t>23/05/2023, 3:53:23 pm</t>
  </si>
  <si>
    <t>23/05/2023, 3:53:24 pm</t>
  </si>
  <si>
    <t>23/05/2023, 3:53:25 pm</t>
  </si>
  <si>
    <t>23/05/2023, 3:53:26 pm</t>
  </si>
  <si>
    <t>23/05/2023, 3:53:27 pm</t>
  </si>
  <si>
    <t>23/05/2023, 3:53:28 pm</t>
  </si>
  <si>
    <t>23/05/2023, 3:53:29 pm</t>
  </si>
  <si>
    <t>23/05/2023, 3:53:30 pm</t>
  </si>
  <si>
    <t>23/05/2023, 3:53:31 pm</t>
  </si>
  <si>
    <t>23/05/2023, 3:53:33 pm</t>
  </si>
  <si>
    <t>23/05/2023, 3:53:34 pm</t>
  </si>
  <si>
    <t>23/05/2023, 3:53:35 pm</t>
  </si>
  <si>
    <t>23/05/2023, 3:53:36 pm</t>
  </si>
  <si>
    <t>23/05/2023, 3:53:37 pm</t>
  </si>
  <si>
    <t>23/05/2023, 3:53:38 pm</t>
  </si>
  <si>
    <t>23/05/2023, 3:53:39 pm</t>
  </si>
  <si>
    <t>23/05/2023, 3:53:40 pm</t>
  </si>
  <si>
    <t>23/05/2023, 3:53:41 pm</t>
  </si>
  <si>
    <t>23/05/2023, 3:53:42 pm</t>
  </si>
  <si>
    <t>23/05/2023, 3:53:46 pm</t>
  </si>
  <si>
    <t>23/05/2023, 3:53:47 pm</t>
  </si>
  <si>
    <t>23/05/2023, 3:53:48 pm</t>
  </si>
  <si>
    <t>23/05/2023, 3:53:49 pm</t>
  </si>
  <si>
    <t>23/05/2023, 3:53:50 pm</t>
  </si>
  <si>
    <t>23/05/2023, 3:53:51 pm</t>
  </si>
  <si>
    <t>23/05/2023, 3:53:52 pm</t>
  </si>
  <si>
    <t>23/05/2023, 3:53:53 pm</t>
  </si>
  <si>
    <t>23/05/2023, 3:53:54 pm</t>
  </si>
  <si>
    <t>23/05/2023, 3:53:55 pm</t>
  </si>
  <si>
    <t>23/05/2023, 3:53:56 pm</t>
  </si>
  <si>
    <t>23/05/2023, 3:53:57 pm</t>
  </si>
  <si>
    <t>23/05/2023, 3:53:58 pm</t>
  </si>
  <si>
    <t>23/05/2023, 3:53:59 pm</t>
  </si>
  <si>
    <t>23/05/2023, 3:54:00 pm</t>
  </si>
  <si>
    <t>23/05/2023, 3:54:01 pm</t>
  </si>
  <si>
    <t>23/05/2023, 3:54:02 pm</t>
  </si>
  <si>
    <t>23/05/2023, 3:54:03 pm</t>
  </si>
  <si>
    <t>23/05/2023, 3:54:04 pm</t>
  </si>
  <si>
    <t>23/05/2023, 3:54:05 pm</t>
  </si>
  <si>
    <t>23/05/2023, 3:54:06 pm</t>
  </si>
  <si>
    <t>23/05/2023, 3:54:07 pm</t>
  </si>
  <si>
    <t>23/05/2023, 3:54:08 pm</t>
  </si>
  <si>
    <t>23/05/2023, 3:54:09 pm</t>
  </si>
  <si>
    <t>23/05/2023, 3:54:10 pm</t>
  </si>
  <si>
    <t>23/05/2023, 3:54:11 pm</t>
  </si>
  <si>
    <t>23/05/2023, 3:54:12 pm</t>
  </si>
  <si>
    <t>23/05/2023, 3:54:13 pm</t>
  </si>
  <si>
    <t>23/05/2023, 3:54:14 pm</t>
  </si>
  <si>
    <t>23/05/2023, 3:54:15 pm</t>
  </si>
  <si>
    <t>23/05/2023, 3:54:16 pm</t>
  </si>
  <si>
    <t>23/05/2023, 3:54:17 pm</t>
  </si>
  <si>
    <t>23/05/2023, 3:54:18 pm</t>
  </si>
  <si>
    <t>23/05/2023, 3:54:19 pm</t>
  </si>
  <si>
    <t>23/05/2023, 3:54:20 pm</t>
  </si>
  <si>
    <t>23/05/2023, 3:54:21 pm</t>
  </si>
  <si>
    <t>23/05/2023, 3:54:22 pm</t>
  </si>
  <si>
    <t>23/05/2023, 3:54:23 pm</t>
  </si>
  <si>
    <t>23/05/2023, 3:54:24 pm</t>
  </si>
  <si>
    <t>23/05/2023, 3:54:25 pm</t>
  </si>
  <si>
    <t>23/05/2023, 3:54:26 pm</t>
  </si>
  <si>
    <t>23/05/2023, 3:54:27 pm</t>
  </si>
  <si>
    <t>23/05/2023, 3:54:28 pm</t>
  </si>
  <si>
    <t>23/05/2023, 3:54:29 pm</t>
  </si>
  <si>
    <t>23/05/2023, 3:54:30 pm</t>
  </si>
  <si>
    <t>23/05/2023, 3:54:31 pm</t>
  </si>
  <si>
    <t>23/05/2023, 3:54:32 pm</t>
  </si>
  <si>
    <t>23/05/2023, 3:54:33 pm</t>
  </si>
  <si>
    <t>23/05/2023, 3:54:34 pm</t>
  </si>
  <si>
    <t>23/05/2023, 3:54:35 pm</t>
  </si>
  <si>
    <t>23/05/2023, 3:54:36 pm</t>
  </si>
  <si>
    <t>23/05/2023, 3:54:37 pm</t>
  </si>
  <si>
    <t>23/05/2023, 3:54:38 pm</t>
  </si>
  <si>
    <t>23/05/2023, 3:54:39 pm</t>
  </si>
  <si>
    <t>23/05/2023, 3:54:40 pm</t>
  </si>
  <si>
    <t>23/05/2023, 3:54:41 pm</t>
  </si>
  <si>
    <t>23/05/2023, 3:54:42 pm</t>
  </si>
  <si>
    <t>23/05/2023, 3:54:43 pm</t>
  </si>
  <si>
    <t>23/05/2023, 3:54:44 pm</t>
  </si>
  <si>
    <t>23/05/2023, 3:54:45 pm</t>
  </si>
  <si>
    <t>23/05/2023, 3:54:46 pm</t>
  </si>
  <si>
    <t>23/05/2023, 3:54:47 pm</t>
  </si>
  <si>
    <t>23/05/2023, 3:54:48 pm</t>
  </si>
  <si>
    <t>23/05/2023, 3:54:49 pm</t>
  </si>
  <si>
    <t>23/05/2023, 3:54:50 pm</t>
  </si>
  <si>
    <t>23/05/2023, 3:54:51 pm</t>
  </si>
  <si>
    <t>23/05/2023, 3:54:52 pm</t>
  </si>
  <si>
    <t>23/05/2023, 3:54:53 pm</t>
  </si>
  <si>
    <t>23/05/2023, 3:54:54 pm</t>
  </si>
  <si>
    <t>23/05/2023, 3:54:55 pm</t>
  </si>
  <si>
    <t>23/05/2023, 3:54:56 pm</t>
  </si>
  <si>
    <t>23/05/2023, 3:54:58 pm</t>
  </si>
  <si>
    <t>23/05/2023, 3:54:59 pm</t>
  </si>
  <si>
    <t>23/05/2023, 3:55:00 pm</t>
  </si>
  <si>
    <t>23/05/2023, 3:55:01 pm</t>
  </si>
  <si>
    <t>23/05/2023, 3:55:02 pm</t>
  </si>
  <si>
    <t>23/05/2023, 3:55:03 pm</t>
  </si>
  <si>
    <t>23/05/2023, 3:55:04 pm</t>
  </si>
  <si>
    <t>23/05/2023, 3:55:05 pm</t>
  </si>
  <si>
    <t>23/05/2023, 3:55:06 pm</t>
  </si>
  <si>
    <t>23/05/2023, 3:55:07 pm</t>
  </si>
  <si>
    <t>23/05/2023, 3:55:08 pm</t>
  </si>
  <si>
    <t>23/05/2023, 3:55:09 pm</t>
  </si>
  <si>
    <t>23/05/2023, 3:55:10 pm</t>
  </si>
  <si>
    <t>23/05/2023, 3:55:11 pm</t>
  </si>
  <si>
    <t>23/05/2023, 3:55:12 pm</t>
  </si>
  <si>
    <t>23/05/2023, 3:55:13 pm</t>
  </si>
  <si>
    <t>23/05/2023, 3:55:14 pm</t>
  </si>
  <si>
    <t>23/05/2023, 3:55:15 pm</t>
  </si>
  <si>
    <t>23/05/2023, 3:55:16 pm</t>
  </si>
  <si>
    <t>23/05/2023, 3:55:17 pm</t>
  </si>
  <si>
    <t>23/05/2023, 3:55:18 pm</t>
  </si>
  <si>
    <t>23/05/2023, 3:55:19 pm</t>
  </si>
  <si>
    <t>23/05/2023, 3:55:20 pm</t>
  </si>
  <si>
    <t>23/05/2023, 3:55:21 pm</t>
  </si>
  <si>
    <t>23/05/2023, 3:55:22 pm</t>
  </si>
  <si>
    <t>23/05/2023, 3:55:23 pm</t>
  </si>
  <si>
    <t>23/05/2023, 3:55:24 pm</t>
  </si>
  <si>
    <t>23/05/2023, 3:55:25 pm</t>
  </si>
  <si>
    <t>23/05/2023, 3:55:26 pm</t>
  </si>
  <si>
    <t>23/05/2023, 3:55:27 pm</t>
  </si>
  <si>
    <t>23/05/2023, 3:55:28 pm</t>
  </si>
  <si>
    <t>23/05/2023, 3:55:29 pm</t>
  </si>
  <si>
    <t>23/05/2023, 3:55:30 pm</t>
  </si>
  <si>
    <t>23/05/2023, 3:55:31 pm</t>
  </si>
  <si>
    <t>23/05/2023, 3:55:32 pm</t>
  </si>
  <si>
    <t>23/05/2023, 3:55:33 pm</t>
  </si>
  <si>
    <t>23/05/2023, 3:55:34 pm</t>
  </si>
  <si>
    <t>23/05/2023, 3:55:35 pm</t>
  </si>
  <si>
    <t>23/05/2023, 3:55:36 pm</t>
  </si>
  <si>
    <t>23/05/2023, 3:55:37 pm</t>
  </si>
  <si>
    <t>23/05/2023, 3:55:38 pm</t>
  </si>
  <si>
    <t>23/05/2023, 3:55:39 pm</t>
  </si>
  <si>
    <t>23/05/2023, 3:55:40 pm</t>
  </si>
  <si>
    <t>23/05/2023, 3:55:41 pm</t>
  </si>
  <si>
    <t>23/05/2023, 3:55:42 pm</t>
  </si>
  <si>
    <t>23/05/2023, 3:55:43 pm</t>
  </si>
  <si>
    <t>23/05/2023, 3:55:44 pm</t>
  </si>
  <si>
    <t>23/05/2023, 3:55:45 pm</t>
  </si>
  <si>
    <t>23/05/2023, 3:55:46 pm</t>
  </si>
  <si>
    <t>23/05/2023, 3:55:47 pm</t>
  </si>
  <si>
    <t>23/05/2023, 3:55:48 pm</t>
  </si>
  <si>
    <t>23/05/2023, 3:55:49 pm</t>
  </si>
  <si>
    <t>23/05/2023, 3:55:50 pm</t>
  </si>
  <si>
    <t>23/05/2023, 3:55:51 pm</t>
  </si>
  <si>
    <t>23/05/2023, 3:55:52 pm</t>
  </si>
  <si>
    <t>23/05/2023, 3:55:53 pm</t>
  </si>
  <si>
    <t>23/05/2023, 3:55:54 pm</t>
  </si>
  <si>
    <t>23/05/2023, 3:55:55 pm</t>
  </si>
  <si>
    <t>23/05/2023, 3:55:56 pm</t>
  </si>
  <si>
    <t>23/05/2023, 3:55:57 pm</t>
  </si>
  <si>
    <t>23/05/2023, 3:55:58 pm</t>
  </si>
  <si>
    <t>23/05/2023, 3:55:59 pm</t>
  </si>
  <si>
    <t>23/05/2023, 3:56:00 pm</t>
  </si>
  <si>
    <t>23/05/2023, 3:56:01 pm</t>
  </si>
  <si>
    <t>23/05/2023, 3:56:02 pm</t>
  </si>
  <si>
    <t>23/05/2023, 3:56:03 pm</t>
  </si>
  <si>
    <t>23/05/2023, 3:56:04 pm</t>
  </si>
  <si>
    <t>23/05/2023, 3:56:05 pm</t>
  </si>
  <si>
    <t>23/05/2023, 3:56:06 pm</t>
  </si>
  <si>
    <t>23/05/2023, 3:56:07 pm</t>
  </si>
  <si>
    <t>23/05/2023, 3:56:08 pm</t>
  </si>
  <si>
    <t>23/05/2023, 3:56:09 pm</t>
  </si>
  <si>
    <t>23/05/2023, 3:56:10 pm</t>
  </si>
  <si>
    <t>23/05/2023, 3:56:11 pm</t>
  </si>
  <si>
    <t>23/05/2023, 3:56:12 pm</t>
  </si>
  <si>
    <t>23/05/2023, 3:56:13 pm</t>
  </si>
  <si>
    <t>23/05/2023, 3:56:14 pm</t>
  </si>
  <si>
    <t>23/05/2023, 3:56:15 pm</t>
  </si>
  <si>
    <t>23/05/2023, 3:56:16 pm</t>
  </si>
  <si>
    <t>23/05/2023, 3:56:17 pm</t>
  </si>
  <si>
    <t>23/05/2023, 3:56:18 pm</t>
  </si>
  <si>
    <t>23/05/2023, 3:56:19 pm</t>
  </si>
  <si>
    <t>23/05/2023, 3:56:20 pm</t>
  </si>
  <si>
    <t>23/05/2023, 3:56:21 pm</t>
  </si>
  <si>
    <t>23/05/2023, 3:56:22 pm</t>
  </si>
  <si>
    <t>23/05/2023, 3:56:23 pm</t>
  </si>
  <si>
    <t>23/05/2023, 3:56:24 pm</t>
  </si>
  <si>
    <t>23/05/2023, 3:56:25 pm</t>
  </si>
  <si>
    <t>23/05/2023, 3:56:26 pm</t>
  </si>
  <si>
    <t>23/05/2023, 3:56:27 pm</t>
  </si>
  <si>
    <t>23/05/2023, 3:56:28 pm</t>
  </si>
  <si>
    <t>23/05/2023, 3:56:29 pm</t>
  </si>
  <si>
    <t>23/05/2023, 3:56:30 pm</t>
  </si>
  <si>
    <t>23/05/2023, 3:56:31 pm</t>
  </si>
  <si>
    <t>23/05/2023, 3:56:32 pm</t>
  </si>
  <si>
    <t>23/05/2023, 3:56:33 pm</t>
  </si>
  <si>
    <t>23/05/2023, 3:56:34 pm</t>
  </si>
  <si>
    <t>23/05/2023, 3:56:35 pm</t>
  </si>
  <si>
    <t>23/05/2023, 3:56:36 pm</t>
  </si>
  <si>
    <t>23/05/2023, 3:56:37 pm</t>
  </si>
  <si>
    <t>23/05/2023, 3:56:38 pm</t>
  </si>
  <si>
    <t>23/05/2023, 3:56:39 pm</t>
  </si>
  <si>
    <t>23/05/2023, 3:56:40 pm</t>
  </si>
  <si>
    <t>23/05/2023, 3:56:41 pm</t>
  </si>
  <si>
    <t>23/05/2023, 3:56:42 pm</t>
  </si>
  <si>
    <t>23/05/2023, 3:56:43 pm</t>
  </si>
  <si>
    <t>23/05/2023, 3:56:44 pm</t>
  </si>
  <si>
    <t>23/05/2023, 3:56:45 pm</t>
  </si>
  <si>
    <t>23/05/2023, 3:56:46 pm</t>
  </si>
  <si>
    <t>23/05/2023, 3:56:47 pm</t>
  </si>
  <si>
    <t>23/05/2023, 3:56:48 pm</t>
  </si>
  <si>
    <t>23/05/2023, 3:56:49 pm</t>
  </si>
  <si>
    <t>23/05/2023, 3:56:50 pm</t>
  </si>
  <si>
    <t>23/05/2023, 3:56:51 pm</t>
  </si>
  <si>
    <t>23/05/2023, 3:56:52 pm</t>
  </si>
  <si>
    <t>23/05/2023, 3:56:53 pm</t>
  </si>
  <si>
    <t>23/05/2023, 3:56:54 pm</t>
  </si>
  <si>
    <t>23/05/2023, 3:56:55 pm</t>
  </si>
  <si>
    <t>23/05/2023, 3:56:56 pm</t>
  </si>
  <si>
    <t>23/05/2023, 3:56:57 pm</t>
  </si>
  <si>
    <t>23/05/2023, 3:56:58 pm</t>
  </si>
  <si>
    <t>23/05/2023, 3:56:59 pm</t>
  </si>
  <si>
    <t>23/05/2023, 3:57:00 pm</t>
  </si>
  <si>
    <t>23/05/2023, 3:57:01 pm</t>
  </si>
  <si>
    <t>23/05/2023, 3:57:02 pm</t>
  </si>
  <si>
    <t>23/05/2023, 3:57:03 pm</t>
  </si>
  <si>
    <t>23/05/2023, 3:57:04 pm</t>
  </si>
  <si>
    <t>23/05/2023, 3:57:05 pm</t>
  </si>
  <si>
    <t>23/05/2023, 3:57:06 pm</t>
  </si>
  <si>
    <t>23/05/2023, 3:57:07 pm</t>
  </si>
  <si>
    <t>23/05/2023, 3:57:09 pm</t>
  </si>
  <si>
    <t>23/05/2023, 3:57:10 pm</t>
  </si>
  <si>
    <t>23/05/2023, 3:57:11 pm</t>
  </si>
  <si>
    <t>23/05/2023, 3:57:12 pm</t>
  </si>
  <si>
    <t>23/05/2023, 3:57:13 pm</t>
  </si>
  <si>
    <t>23/05/2023, 3:57:14 pm</t>
  </si>
  <si>
    <t>23/05/2023, 3:57:15 pm</t>
  </si>
  <si>
    <t>23/05/2023, 3:57:16 pm</t>
  </si>
  <si>
    <t>23/05/2023, 3:57:17 pm</t>
  </si>
  <si>
    <t>23/05/2023, 3:57:18 pm</t>
  </si>
  <si>
    <t>23/05/2023, 3:57:19 pm</t>
  </si>
  <si>
    <t>23/05/2023, 3:57:20 pm</t>
  </si>
  <si>
    <t>23/05/2023, 3:57:21 pm</t>
  </si>
  <si>
    <t>23/05/2023, 3:57:22 pm</t>
  </si>
  <si>
    <t>23/05/2023, 3:57:23 pm</t>
  </si>
  <si>
    <t>23/05/2023, 3:57:24 pm</t>
  </si>
  <si>
    <t>23/05/2023, 3:57:25 pm</t>
  </si>
  <si>
    <t>23/05/2023, 3:57:26 pm</t>
  </si>
  <si>
    <t>23/05/2023, 3:57:27 pm</t>
  </si>
  <si>
    <t>23/05/2023, 3:57:28 pm</t>
  </si>
  <si>
    <t>23/05/2023, 3:57:29 pm</t>
  </si>
  <si>
    <t>23/05/2023, 3:57:30 pm</t>
  </si>
  <si>
    <t>23/05/2023, 3:57:31 pm</t>
  </si>
  <si>
    <t>23/05/2023, 3:57:32 pm</t>
  </si>
  <si>
    <t>23/05/2023, 3:57:33 pm</t>
  </si>
  <si>
    <t>23/05/2023, 3:57:34 pm</t>
  </si>
  <si>
    <t>23/05/2023, 3:57:35 pm</t>
  </si>
  <si>
    <t>23/05/2023, 3:57:36 pm</t>
  </si>
  <si>
    <t>23/05/2023, 3:57:37 pm</t>
  </si>
  <si>
    <t>23/05/2023, 3:57:38 pm</t>
  </si>
  <si>
    <t>23/05/2023, 3:57:39 pm</t>
  </si>
  <si>
    <t>23/05/2023, 3:57:40 pm</t>
  </si>
  <si>
    <t>23/05/2023, 3:57:41 pm</t>
  </si>
  <si>
    <t>23/05/2023, 3:57:42 pm</t>
  </si>
  <si>
    <t>23/05/2023, 3:57:43 pm</t>
  </si>
  <si>
    <t>23/05/2023, 3:57:44 pm</t>
  </si>
  <si>
    <t>23/05/2023, 3:57:45 pm</t>
  </si>
  <si>
    <t>23/05/2023, 3:57:47 pm</t>
  </si>
  <si>
    <t>23/05/2023, 3:57:48 pm</t>
  </si>
  <si>
    <t>23/05/2023, 3:57:49 pm</t>
  </si>
  <si>
    <t>23/05/2023, 3:57:50 pm</t>
  </si>
  <si>
    <t>23/05/2023, 3:57:51 pm</t>
  </si>
  <si>
    <t>23/05/2023, 3:57:52 pm</t>
  </si>
  <si>
    <t>23/05/2023, 3:57:53 pm</t>
  </si>
  <si>
    <t>23/05/2023, 3:57:54 pm</t>
  </si>
  <si>
    <t>23/05/2023, 3:57:55 pm</t>
  </si>
  <si>
    <t>23/05/2023, 3:57:56 pm</t>
  </si>
  <si>
    <t>23/05/2023, 3:57:57 pm</t>
  </si>
  <si>
    <t>23/05/2023, 3:57:58 pm</t>
  </si>
  <si>
    <t>23/05/2023, 3:57:59 pm</t>
  </si>
  <si>
    <t>23/05/2023, 3:58:03 pm</t>
  </si>
  <si>
    <t>23/05/2023, 3:58:04 pm</t>
  </si>
  <si>
    <t>23/05/2023, 3:58:05 pm</t>
  </si>
  <si>
    <t>23/05/2023, 3:58:06 pm</t>
  </si>
  <si>
    <t>23/05/2023, 3:58:07 pm</t>
  </si>
  <si>
    <t>23/05/2023, 3:58:08 pm</t>
  </si>
  <si>
    <t>23/05/2023, 3:58:09 pm</t>
  </si>
  <si>
    <t>23/05/2023, 3:58:10 pm</t>
  </si>
  <si>
    <t>23/05/2023, 3:58:11 pm</t>
  </si>
  <si>
    <t>23/05/2023, 3:58:15 pm</t>
  </si>
  <si>
    <t>23/05/2023, 3:58:16 pm</t>
  </si>
  <si>
    <t>23/05/2023, 3:58:17 pm</t>
  </si>
  <si>
    <t>23/05/2023, 3:58:18 pm</t>
  </si>
  <si>
    <t>23/05/2023, 3:58:19 pm</t>
  </si>
  <si>
    <t>23/05/2023, 3:58:20 pm</t>
  </si>
  <si>
    <t>23/05/2023, 3:58:21 pm</t>
  </si>
  <si>
    <t>23/05/2023, 3:58:22 pm</t>
  </si>
  <si>
    <t>23/05/2023, 3:58:23 pm</t>
  </si>
  <si>
    <t>23/05/2023, 3:58:24 pm</t>
  </si>
  <si>
    <t>23/05/2023, 3:58:25 pm</t>
  </si>
  <si>
    <t>23/05/2023, 3:58:26 pm</t>
  </si>
  <si>
    <t>23/05/2023, 3:58:27 pm</t>
  </si>
  <si>
    <t>23/05/2023, 3:58:28 pm</t>
  </si>
  <si>
    <t>23/05/2023, 3:58:29 pm</t>
  </si>
  <si>
    <t>23/05/2023, 3:58:30 pm</t>
  </si>
  <si>
    <t>23/05/2023, 3:58:31 pm</t>
  </si>
  <si>
    <t>23/05/2023, 3:58:32 pm</t>
  </si>
  <si>
    <t>23/05/2023, 3:58:33 pm</t>
  </si>
  <si>
    <t>23/05/2023, 3:58:34 pm</t>
  </si>
  <si>
    <t>23/05/2023, 3:58:35 pm</t>
  </si>
  <si>
    <t>23/05/2023, 3:58:36 pm</t>
  </si>
  <si>
    <t>23/05/2023, 3:58:37 pm</t>
  </si>
  <si>
    <t>23/05/2023, 3:58:38 pm</t>
  </si>
  <si>
    <t>23/05/2023, 3:58:39 pm</t>
  </si>
  <si>
    <t>23/05/2023, 3:58:40 pm</t>
  </si>
  <si>
    <t>23/05/2023, 3:58:41 pm</t>
  </si>
  <si>
    <t>23/05/2023, 3:58:42 pm</t>
  </si>
  <si>
    <t>23/05/2023, 3:58:43 pm</t>
  </si>
  <si>
    <t>23/05/2023, 3:58:44 pm</t>
  </si>
  <si>
    <t>23/05/2023, 3:58:45 pm</t>
  </si>
  <si>
    <t>23/05/2023, 3:58:46 pm</t>
  </si>
  <si>
    <t>23/05/2023, 3:58:47 pm</t>
  </si>
  <si>
    <t>23/05/2023, 3:58:48 pm</t>
  </si>
  <si>
    <t>23/05/2023, 3:58:49 pm</t>
  </si>
  <si>
    <t>23/05/2023, 3:58:50 pm</t>
  </si>
  <si>
    <t>23/05/2023, 3:58:51 pm</t>
  </si>
  <si>
    <t>23/05/2023, 3:58:52 pm</t>
  </si>
  <si>
    <t>23/05/2023, 3:58:53 pm</t>
  </si>
  <si>
    <t>23/05/2023, 3:58:54 pm</t>
  </si>
  <si>
    <t>23/05/2023, 3:58:55 pm</t>
  </si>
  <si>
    <t>23/05/2023, 3:58:56 pm</t>
  </si>
  <si>
    <t>23/05/2023, 3:58:57 pm</t>
  </si>
  <si>
    <t>23/05/2023, 3:58:58 pm</t>
  </si>
  <si>
    <t>23/05/2023, 3:58:59 pm</t>
  </si>
  <si>
    <t>23/05/2023, 3:59:00 pm</t>
  </si>
  <si>
    <t>23/05/2023, 3:59:01 pm</t>
  </si>
  <si>
    <t>23/05/2023, 3:59:02 pm</t>
  </si>
  <si>
    <t>23/05/2023, 3:59:03 pm</t>
  </si>
  <si>
    <t>23/05/2023, 3:59:04 pm</t>
  </si>
  <si>
    <t>23/05/2023, 3:59:05 pm</t>
  </si>
  <si>
    <t>23/05/2023, 3:59:06 pm</t>
  </si>
  <si>
    <t>23/05/2023, 3:59:07 pm</t>
  </si>
  <si>
    <t>23/05/2023, 3:59:08 pm</t>
  </si>
  <si>
    <t>23/05/2023, 3:59:09 pm</t>
  </si>
  <si>
    <t>23/05/2023, 3:59:10 pm</t>
  </si>
  <si>
    <t>23/05/2023, 3:59:11 pm</t>
  </si>
  <si>
    <t>23/05/2023, 3:59:12 pm</t>
  </si>
  <si>
    <t>23/05/2023, 3:59:13 pm</t>
  </si>
  <si>
    <t>23/05/2023, 3:59:14 pm</t>
  </si>
  <si>
    <t>23/05/2023, 3:59:15 pm</t>
  </si>
  <si>
    <t>23/05/2023, 3:59:16 pm</t>
  </si>
  <si>
    <t>23/05/2023, 3:59:17 pm</t>
  </si>
  <si>
    <t>23/05/2023, 3:59:19 pm</t>
  </si>
  <si>
    <t>23/05/2023, 3:59:20 pm</t>
  </si>
  <si>
    <t>23/05/2023, 3:59:21 pm</t>
  </si>
  <si>
    <t>23/05/2023, 3:59:22 pm</t>
  </si>
  <si>
    <t>23/05/2023, 3:59:23 pm</t>
  </si>
  <si>
    <t>23/05/2023, 3:59:24 pm</t>
  </si>
  <si>
    <t>23/05/2023, 3:59:25 pm</t>
  </si>
  <si>
    <t>23/05/2023, 3:59:26 pm</t>
  </si>
  <si>
    <t>23/05/2023, 3:59:27 pm</t>
  </si>
  <si>
    <t>23/05/2023, 3:59:28 pm</t>
  </si>
  <si>
    <t>23/05/2023, 3:59:29 pm</t>
  </si>
  <si>
    <t>23/05/2023, 3:59:30 pm</t>
  </si>
  <si>
    <t>23/05/2023, 3:59:31 pm</t>
  </si>
  <si>
    <t>23/05/2023, 3:59:32 pm</t>
  </si>
  <si>
    <t>23/05/2023, 3:59:33 pm</t>
  </si>
  <si>
    <t>23/05/2023, 3:59:34 pm</t>
  </si>
  <si>
    <t>23/05/2023, 3:59:35 pm</t>
  </si>
  <si>
    <t>23/05/2023, 3:59:36 pm</t>
  </si>
  <si>
    <t>23/05/2023, 3:59:37 pm</t>
  </si>
  <si>
    <t>23/05/2023, 3:59:38 pm</t>
  </si>
  <si>
    <t>23/05/2023, 3:59:39 pm</t>
  </si>
  <si>
    <t>23/05/2023, 3:59:40 pm</t>
  </si>
  <si>
    <t>23/05/2023, 3:59:41 pm</t>
  </si>
  <si>
    <t>23/05/2023, 3:59:42 pm</t>
  </si>
  <si>
    <t>23/05/2023, 3:59:43 pm</t>
  </si>
  <si>
    <t>23/05/2023, 3:59:44 pm</t>
  </si>
  <si>
    <t>23/05/2023, 3:59:45 pm</t>
  </si>
  <si>
    <t>23/05/2023, 3:59:46 pm</t>
  </si>
  <si>
    <t>23/05/2023, 3:59:47 pm</t>
  </si>
  <si>
    <t>23/05/2023, 3:59:48 pm</t>
  </si>
  <si>
    <t>23/05/2023, 3:59:49 pm</t>
  </si>
  <si>
    <t>23/05/2023, 3:59:50 pm</t>
  </si>
  <si>
    <t>23/05/2023, 3:59:51 pm</t>
  </si>
  <si>
    <t>23/05/2023, 3:59:52 pm</t>
  </si>
  <si>
    <t>23/05/2023, 3:59:53 pm</t>
  </si>
  <si>
    <t>23/05/2023, 3:59:54 pm</t>
  </si>
  <si>
    <t>23/05/2023, 3:59:55 pm</t>
  </si>
  <si>
    <t>23/05/2023, 3:59:56 pm</t>
  </si>
  <si>
    <t>23/05/2023, 3:59:57 pm</t>
  </si>
  <si>
    <t>23/05/2023, 3:59:58 pm</t>
  </si>
  <si>
    <t>23/05/2023, 3:59:59 pm</t>
  </si>
  <si>
    <t>23/05/2023, 4:00:00 pm</t>
  </si>
  <si>
    <t>23/05/2023, 4:00:01 pm</t>
  </si>
  <si>
    <t>23/05/2023, 4:00:02 pm</t>
  </si>
  <si>
    <t>23/05/2023, 4:00:03 pm</t>
  </si>
  <si>
    <t>23/05/2023, 4:00:04 pm</t>
  </si>
  <si>
    <t>23/05/2023, 4:00:05 pm</t>
  </si>
  <si>
    <t>23/05/2023, 4:00:06 pm</t>
  </si>
  <si>
    <t>23/05/2023, 4:00:07 pm</t>
  </si>
  <si>
    <t>23/05/2023, 4:00:08 pm</t>
  </si>
  <si>
    <t>23/05/2023, 4:00:09 pm</t>
  </si>
  <si>
    <t>23/05/2023, 4:00:10 pm</t>
  </si>
  <si>
    <t>23/05/2023, 4:00:11 pm</t>
  </si>
  <si>
    <t>23/05/2023, 4:00:12 pm</t>
  </si>
  <si>
    <t>23/05/2023, 4:00:13 pm</t>
  </si>
  <si>
    <t>23/05/2023, 4:00:14 pm</t>
  </si>
  <si>
    <t>23/05/2023, 4:00:15 pm</t>
  </si>
  <si>
    <t>23/05/2023, 4:00:16 pm</t>
  </si>
  <si>
    <t>23/05/2023, 4:00:17 pm</t>
  </si>
  <si>
    <t>23/05/2023, 4:00:18 pm</t>
  </si>
  <si>
    <t>23/05/2023, 4:00:19 pm</t>
  </si>
  <si>
    <t>23/05/2023, 4:00:20 pm</t>
  </si>
  <si>
    <t>23/05/2023, 4:00:21 pm</t>
  </si>
  <si>
    <t>23/05/2023, 4:00:22 pm</t>
  </si>
  <si>
    <t>23/05/2023, 4:00:23 pm</t>
  </si>
  <si>
    <t>23/05/2023, 4:00:24 pm</t>
  </si>
  <si>
    <t>23/05/2023, 4:00:25 pm</t>
  </si>
  <si>
    <t>23/05/2023, 4:00:26 pm</t>
  </si>
  <si>
    <t>23/05/2023, 4:00:27 pm</t>
  </si>
  <si>
    <t>23/05/2023, 4:00:28 pm</t>
  </si>
  <si>
    <t>23/05/2023, 4:00:29 pm</t>
  </si>
  <si>
    <t>23/05/2023, 4:00:30 pm</t>
  </si>
  <si>
    <t>23/05/2023, 4:00:31 pm</t>
  </si>
  <si>
    <t>23/05/2023, 4:00:32 pm</t>
  </si>
  <si>
    <t>23/05/2023, 4:00:33 pm</t>
  </si>
  <si>
    <t>23/05/2023, 4:00:34 pm</t>
  </si>
  <si>
    <t>23/05/2023, 4:00:35 pm</t>
  </si>
  <si>
    <t>23/05/2023, 4:00:36 pm</t>
  </si>
  <si>
    <t>23/05/2023, 4:00:37 pm</t>
  </si>
  <si>
    <t>23/05/2023, 4:00:38 pm</t>
  </si>
  <si>
    <t>23/05/2023, 4:00:39 pm</t>
  </si>
  <si>
    <t>23/05/2023, 4:00:40 pm</t>
  </si>
  <si>
    <t>23/05/2023, 4:00:41 pm</t>
  </si>
  <si>
    <t>23/05/2023, 4:00:42 pm</t>
  </si>
  <si>
    <t>23/05/2023, 4:00:43 pm</t>
  </si>
  <si>
    <t>23/05/2023, 4:00:44 pm</t>
  </si>
  <si>
    <t>23/05/2023, 4:00:45 pm</t>
  </si>
  <si>
    <t>23/05/2023, 4:00:46 pm</t>
  </si>
  <si>
    <t>23/05/2023, 4:00:47 pm</t>
  </si>
  <si>
    <t>23/05/2023, 4:00:48 pm</t>
  </si>
  <si>
    <t>23/05/2023, 4:00:49 pm</t>
  </si>
  <si>
    <t>23/05/2023, 4:00:50 pm</t>
  </si>
  <si>
    <t>23/05/2023, 4:00:51 pm</t>
  </si>
  <si>
    <t>23/05/2023, 4:00:52 pm</t>
  </si>
  <si>
    <t>23/05/2023, 4:00:53 pm</t>
  </si>
  <si>
    <t>23/05/2023, 4:00:54 pm</t>
  </si>
  <si>
    <t>23/05/2023, 4:00:55 pm</t>
  </si>
  <si>
    <t>23/05/2023, 4:00:56 pm</t>
  </si>
  <si>
    <t>23/05/2023, 4:00:57 pm</t>
  </si>
  <si>
    <t>23/05/2023, 4:00:58 pm</t>
  </si>
  <si>
    <t>23/05/2023, 4:00:59 pm</t>
  </si>
  <si>
    <t>23/05/2023, 4:01:00 pm</t>
  </si>
  <si>
    <t>23/05/2023, 4:01:01 pm</t>
  </si>
  <si>
    <t>23/05/2023, 4:01:02 pm</t>
  </si>
  <si>
    <t>23/05/2023, 4:01:03 pm</t>
  </si>
  <si>
    <t>23/05/2023, 4:01:04 pm</t>
  </si>
  <si>
    <t>23/05/2023, 4:01:05 pm</t>
  </si>
  <si>
    <t>23/05/2023, 4:01:06 pm</t>
  </si>
  <si>
    <t>23/05/2023, 4:01:07 pm</t>
  </si>
  <si>
    <t>23/05/2023, 4:01:08 pm</t>
  </si>
  <si>
    <t>23/05/2023, 4:01:09 pm</t>
  </si>
  <si>
    <t>23/05/2023, 4:01:10 pm</t>
  </si>
  <si>
    <t>23/05/2023, 4:01:11 pm</t>
  </si>
  <si>
    <t>23/05/2023, 4:01:12 pm</t>
  </si>
  <si>
    <t>23/05/2023, 4:01:13 pm</t>
  </si>
  <si>
    <t>23/05/2023, 4:01:14 pm</t>
  </si>
  <si>
    <t>23/05/2023, 4:01:15 pm</t>
  </si>
  <si>
    <t>23/05/2023, 4:01:16 pm</t>
  </si>
  <si>
    <t>23/05/2023, 4:01:17 pm</t>
  </si>
  <si>
    <t>23/05/2023, 4:01:18 pm</t>
  </si>
  <si>
    <t>23/05/2023, 4:01:19 pm</t>
  </si>
  <si>
    <t>23/05/2023, 4:01:20 pm</t>
  </si>
  <si>
    <t>23/05/2023, 4:01:22 pm</t>
  </si>
  <si>
    <t>23/05/2023, 4:01:23 pm</t>
  </si>
  <si>
    <t>23/05/2023, 4:01:24 pm</t>
  </si>
  <si>
    <t>23/05/2023, 4:01:25 pm</t>
  </si>
  <si>
    <t>23/05/2023, 4:01:26 pm</t>
  </si>
  <si>
    <t>23/05/2023, 4:01:27 pm</t>
  </si>
  <si>
    <t>23/05/2023, 4:01:28 pm</t>
  </si>
  <si>
    <t>23/05/2023, 4:01:29 pm</t>
  </si>
  <si>
    <t>23/05/2023, 4:01:30 pm</t>
  </si>
  <si>
    <t>23/05/2023, 4:01:31 pm</t>
  </si>
  <si>
    <t>23/05/2023, 4:01:32 pm</t>
  </si>
  <si>
    <t>23/05/2023, 4:01:33 pm</t>
  </si>
  <si>
    <t>23/05/2023, 4:01:34 pm</t>
  </si>
  <si>
    <t>23/05/2023, 4:01:35 pm</t>
  </si>
  <si>
    <t>23/05/2023, 4:01:36 pm</t>
  </si>
  <si>
    <t>23/05/2023, 4:01:37 pm</t>
  </si>
  <si>
    <t>23/05/2023, 4:01:38 pm</t>
  </si>
  <si>
    <t>23/05/2023, 4:01:39 pm</t>
  </si>
  <si>
    <t>23/05/2023, 4:01:40 pm</t>
  </si>
  <si>
    <t>23/05/2023, 4:01:41 pm</t>
  </si>
  <si>
    <t>23/05/2023, 4:01:42 pm</t>
  </si>
  <si>
    <t>23/05/2023, 4:01:43 pm</t>
  </si>
  <si>
    <t>23/05/2023, 4:01:44 pm</t>
  </si>
  <si>
    <t>23/05/2023, 4:01:45 pm</t>
  </si>
  <si>
    <t>23/05/2023, 4:01:46 pm</t>
  </si>
  <si>
    <t>23/05/2023, 4:01:47 pm</t>
  </si>
  <si>
    <t>23/05/2023, 4:01:48 pm</t>
  </si>
  <si>
    <t>23/05/2023, 4:01:49 pm</t>
  </si>
  <si>
    <t>23/05/2023, 4:01:50 pm</t>
  </si>
  <si>
    <t>23/05/2023, 4:01:51 pm</t>
  </si>
  <si>
    <t>23/05/2023, 4:01:52 pm</t>
  </si>
  <si>
    <t>23/05/2023, 4:01:53 pm</t>
  </si>
  <si>
    <t>23/05/2023, 4:01:54 pm</t>
  </si>
  <si>
    <t>23/05/2023, 4:01:55 pm</t>
  </si>
  <si>
    <t>23/05/2023, 4:01:56 pm</t>
  </si>
  <si>
    <t>23/05/2023, 4:01:57 pm</t>
  </si>
  <si>
    <t>23/05/2023, 4:01:58 pm</t>
  </si>
  <si>
    <t>23/05/2023, 4:01:59 pm</t>
  </si>
  <si>
    <t>23/05/2023, 4:02:00 pm</t>
  </si>
  <si>
    <t>23/05/2023, 4:02:01 pm</t>
  </si>
  <si>
    <t>23/05/2023, 4:02:02 pm</t>
  </si>
  <si>
    <t>23/05/2023, 4:02:03 pm</t>
  </si>
  <si>
    <t>23/05/2023, 4:02:04 pm</t>
  </si>
  <si>
    <t>23/05/2023, 4:02:05 pm</t>
  </si>
  <si>
    <t>23/05/2023, 4:02:06 pm</t>
  </si>
  <si>
    <t>23/05/2023, 4:02:07 pm</t>
  </si>
  <si>
    <t>23/05/2023, 4:02:08 pm</t>
  </si>
  <si>
    <t>23/05/2023, 4:02:09 pm</t>
  </si>
  <si>
    <t>23/05/2023, 4:02:10 pm</t>
  </si>
  <si>
    <t>23/05/2023, 4:02:11 pm</t>
  </si>
  <si>
    <t>23/05/2023, 4:02:12 pm</t>
  </si>
  <si>
    <t>23/05/2023, 4:02:13 pm</t>
  </si>
  <si>
    <t>23/05/2023, 4:02:14 pm</t>
  </si>
  <si>
    <t>23/05/2023, 4:02:15 pm</t>
  </si>
  <si>
    <t>23/05/2023, 4:02:16 pm</t>
  </si>
  <si>
    <t>23/05/2023, 4:02:17 pm</t>
  </si>
  <si>
    <t>23/05/2023, 4:02:18 pm</t>
  </si>
  <si>
    <t>23/05/2023, 4:02:19 pm</t>
  </si>
  <si>
    <t>23/05/2023, 4:02:20 pm</t>
  </si>
  <si>
    <t>23/05/2023, 4:02:21 pm</t>
  </si>
  <si>
    <t>23/05/2023, 4:02:22 pm</t>
  </si>
  <si>
    <t>23/05/2023, 4:02:23 pm</t>
  </si>
  <si>
    <t>23/05/2023, 4:02:24 pm</t>
  </si>
  <si>
    <t>23/05/2023, 4:02:25 pm</t>
  </si>
  <si>
    <t>23/05/2023, 4:02:26 pm</t>
  </si>
  <si>
    <t>23/05/2023, 4:02:27 pm</t>
  </si>
  <si>
    <t>23/05/2023, 4:02:28 pm</t>
  </si>
  <si>
    <t>23/05/2023, 4:02:29 pm</t>
  </si>
  <si>
    <t>23/05/2023, 4:02:30 pm</t>
  </si>
  <si>
    <t>23/05/2023, 4:02:31 pm</t>
  </si>
  <si>
    <t>23/05/2023, 4:02:32 pm</t>
  </si>
  <si>
    <t>23/05/2023, 4:02:33 pm</t>
  </si>
  <si>
    <t>23/05/2023, 4:02:34 pm</t>
  </si>
  <si>
    <t>23/05/2023, 4:02:35 pm</t>
  </si>
  <si>
    <t>23/05/2023, 4:02:36 pm</t>
  </si>
  <si>
    <t>23/05/2023, 4:02:37 pm</t>
  </si>
  <si>
    <t>23/05/2023, 4:02:38 pm</t>
  </si>
  <si>
    <t>23/05/2023, 4:02:39 pm</t>
  </si>
  <si>
    <t>23/05/2023, 4:02:40 pm</t>
  </si>
  <si>
    <t>23/05/2023, 4:02:41 pm</t>
  </si>
  <si>
    <t>23/05/2023, 4:02:42 pm</t>
  </si>
  <si>
    <t>23/05/2023, 4:02:43 pm</t>
  </si>
  <si>
    <t>23/05/2023, 4:02:44 pm</t>
  </si>
  <si>
    <t>23/05/2023, 4:02:45 pm</t>
  </si>
  <si>
    <t>23/05/2023, 4:02:46 pm</t>
  </si>
  <si>
    <t>23/05/2023, 4:02:47 pm</t>
  </si>
  <si>
    <t>23/05/2023, 4:02:48 pm</t>
  </si>
  <si>
    <t>23/05/2023, 4:02:49 pm</t>
  </si>
  <si>
    <t>23/05/2023, 4:02:50 pm</t>
  </si>
  <si>
    <t>23/05/2023, 4:02:51 pm</t>
  </si>
  <si>
    <t>23/05/2023, 4:02:52 pm</t>
  </si>
  <si>
    <t>23/05/2023, 4:02:53 pm</t>
  </si>
  <si>
    <t>23/05/2023, 4:02:54 pm</t>
  </si>
  <si>
    <t>23/05/2023, 4:02:55 pm</t>
  </si>
  <si>
    <t>23/05/2023, 4:02:56 pm</t>
  </si>
  <si>
    <t>23/05/2023, 4:02:57 pm</t>
  </si>
  <si>
    <t>23/05/2023, 4:02:58 pm</t>
  </si>
  <si>
    <t>23/05/2023, 4:02:59 pm</t>
  </si>
  <si>
    <t>23/05/2023, 4:03:00 pm</t>
  </si>
  <si>
    <t>23/05/2023, 4:03:01 pm</t>
  </si>
  <si>
    <t>23/05/2023, 4:03:02 pm</t>
  </si>
  <si>
    <t>23/05/2023, 4:03:03 pm</t>
  </si>
  <si>
    <t>23/05/2023, 4:03:04 pm</t>
  </si>
  <si>
    <t>23/05/2023, 4:03:05 pm</t>
  </si>
  <si>
    <t>23/05/2023, 4:03:06 pm</t>
  </si>
  <si>
    <t>23/05/2023, 4:03:07 pm</t>
  </si>
  <si>
    <t>23/05/2023, 4:03:08 pm</t>
  </si>
  <si>
    <t>23/05/2023, 4:03:09 pm</t>
  </si>
  <si>
    <t>23/05/2023, 4:03:10 pm</t>
  </si>
  <si>
    <t>23/05/2023, 4:03:11 pm</t>
  </si>
  <si>
    <t>23/05/2023, 4:03:12 pm</t>
  </si>
  <si>
    <t>23/05/2023, 4:03:13 pm</t>
  </si>
  <si>
    <t>23/05/2023, 4:03:14 pm</t>
  </si>
  <si>
    <t>23/05/2023, 4:03:15 pm</t>
  </si>
  <si>
    <t>23/05/2023, 4:03:16 pm</t>
  </si>
  <si>
    <t>23/05/2023, 4:03:17 pm</t>
  </si>
  <si>
    <t>23/05/2023, 4:03:18 pm</t>
  </si>
  <si>
    <t>23/05/2023, 4:03:19 pm</t>
  </si>
  <si>
    <t>23/05/2023, 4:03:20 pm</t>
  </si>
  <si>
    <t>23/05/2023, 4:03:21 pm</t>
  </si>
  <si>
    <t>23/05/2023, 4:03:22 pm</t>
  </si>
  <si>
    <t>23/05/2023, 4:03:23 pm</t>
  </si>
  <si>
    <t>23/05/2023, 4:03:25 pm</t>
  </si>
  <si>
    <t>23/05/2023, 4:03:26 pm</t>
  </si>
  <si>
    <t>23/05/2023, 4:03:27 pm</t>
  </si>
  <si>
    <t>23/05/2023, 4:03:28 pm</t>
  </si>
  <si>
    <t>23/05/2023, 4:03:29 pm</t>
  </si>
  <si>
    <t>23/05/2023, 4:03:30 pm</t>
  </si>
  <si>
    <t>23/05/2023, 4:03:31 pm</t>
  </si>
  <si>
    <t>23/05/2023, 4:03:32 pm</t>
  </si>
  <si>
    <t>23/05/2023, 4:03:33 pm</t>
  </si>
  <si>
    <t>23/05/2023, 4:03:34 pm</t>
  </si>
  <si>
    <t>23/05/2023, 4:03:35 pm</t>
  </si>
  <si>
    <t>23/05/2023, 4:03:36 pm</t>
  </si>
  <si>
    <t>23/05/2023, 4:03:37 pm</t>
  </si>
  <si>
    <t>23/05/2023, 4:03:38 pm</t>
  </si>
  <si>
    <t>23/05/2023, 4:03:39 pm</t>
  </si>
  <si>
    <t>23/05/2023, 4:03:40 pm</t>
  </si>
  <si>
    <t>23/05/2023, 4:03:41 pm</t>
  </si>
  <si>
    <t>23/05/2023, 4:03:42 pm</t>
  </si>
  <si>
    <t>23/05/2023, 4:03:43 pm</t>
  </si>
  <si>
    <t>23/05/2023, 4:03:44 pm</t>
  </si>
  <si>
    <t>23/05/2023, 4:03:45 pm</t>
  </si>
  <si>
    <t>23/05/2023, 4:03:46 pm</t>
  </si>
  <si>
    <t>23/05/2023, 4:03:47 pm</t>
  </si>
  <si>
    <t>23/05/2023, 4:03:48 pm</t>
  </si>
  <si>
    <t>23/05/2023, 4:03:49 pm</t>
  </si>
  <si>
    <t>23/05/2023, 4:03:50 pm</t>
  </si>
  <si>
    <t>23/05/2023, 4:03:51 pm</t>
  </si>
  <si>
    <t>23/05/2023, 4:03:52 pm</t>
  </si>
  <si>
    <t>23/05/2023, 4:03:53 pm</t>
  </si>
  <si>
    <t>23/05/2023, 4:03:54 pm</t>
  </si>
  <si>
    <t>23/05/2023, 4:03:55 pm</t>
  </si>
  <si>
    <t>23/05/2023, 4:03:56 pm</t>
  </si>
  <si>
    <t>23/05/2023, 4:03:57 pm</t>
  </si>
  <si>
    <t>23/05/2023, 4:03:58 pm</t>
  </si>
  <si>
    <t>23/05/2023, 4:03:59 pm</t>
  </si>
  <si>
    <t>23/05/2023, 4:04:00 pm</t>
  </si>
  <si>
    <t>23/05/2023, 4:04:01 pm</t>
  </si>
  <si>
    <t>23/05/2023, 4:04:02 pm</t>
  </si>
  <si>
    <t>23/05/2023, 4:04:03 pm</t>
  </si>
  <si>
    <t>23/05/2023, 4:04:04 pm</t>
  </si>
  <si>
    <t>23/05/2023, 4:04:05 pm</t>
  </si>
  <si>
    <t>23/05/2023, 4:04:06 pm</t>
  </si>
  <si>
    <t>23/05/2023, 4:04:07 pm</t>
  </si>
  <si>
    <t>23/05/2023, 4:04:08 pm</t>
  </si>
  <si>
    <t>23/05/2023, 4:04:09 pm</t>
  </si>
  <si>
    <t>23/05/2023, 4:04:10 pm</t>
  </si>
  <si>
    <t>23/05/2023, 4:04:11 pm</t>
  </si>
  <si>
    <t>23/05/2023, 4:04:12 pm</t>
  </si>
  <si>
    <t>23/05/2023, 4:04:13 pm</t>
  </si>
  <si>
    <t>23/05/2023, 4:04:14 pm</t>
  </si>
  <si>
    <t>23/05/2023, 4:04:15 pm</t>
  </si>
  <si>
    <t>23/05/2023, 4:04:16 pm</t>
  </si>
  <si>
    <t>23/05/2023, 4:04:17 pm</t>
  </si>
  <si>
    <t>23/05/2023, 4:04:18 pm</t>
  </si>
  <si>
    <t>23/05/2023, 4:04:19 pm</t>
  </si>
  <si>
    <t>23/05/2023, 4:04:20 pm</t>
  </si>
  <si>
    <t>23/05/2023, 4:04:21 pm</t>
  </si>
  <si>
    <t>23/05/2023, 4:04:22 pm</t>
  </si>
  <si>
    <t>23/05/2023, 4:04:23 pm</t>
  </si>
  <si>
    <t>23/05/2023, 4:04:24 pm</t>
  </si>
  <si>
    <t>23/05/2023, 4:04:25 pm</t>
  </si>
  <si>
    <t>23/05/2023, 4:04:26 pm</t>
  </si>
  <si>
    <t>23/05/2023, 4:04:27 pm</t>
  </si>
  <si>
    <t>23/05/2023, 4:04:28 pm</t>
  </si>
  <si>
    <t>23/05/2023, 4:04:29 pm</t>
  </si>
  <si>
    <t>23/05/2023, 4:04:30 pm</t>
  </si>
  <si>
    <t>23/05/2023, 4:04:31 pm</t>
  </si>
  <si>
    <t>23/05/2023, 4:04:32 pm</t>
  </si>
  <si>
    <t>23/05/2023, 4:04:33 pm</t>
  </si>
  <si>
    <t>23/05/2023, 4:04:34 pm</t>
  </si>
  <si>
    <t>23/05/2023, 4:04:35 pm</t>
  </si>
  <si>
    <t>23/05/2023, 4:04:36 pm</t>
  </si>
  <si>
    <t>23/05/2023, 4:04:37 pm</t>
  </si>
  <si>
    <t>23/05/2023, 4:04:38 pm</t>
  </si>
  <si>
    <t>23/05/2023, 4:04:39 pm</t>
  </si>
  <si>
    <t>23/05/2023, 4:04:40 pm</t>
  </si>
  <si>
    <t>23/05/2023, 4:04:41 pm</t>
  </si>
  <si>
    <t>23/05/2023, 4:04:42 pm</t>
  </si>
  <si>
    <t>23/05/2023, 4:04:43 pm</t>
  </si>
  <si>
    <t>23/05/2023, 4:04:44 pm</t>
  </si>
  <si>
    <t>23/05/2023, 4:04:45 pm</t>
  </si>
  <si>
    <t>23/05/2023, 4:04:46 pm</t>
  </si>
  <si>
    <t>23/05/2023, 4:04:47 pm</t>
  </si>
  <si>
    <t>23/05/2023, 4:04:48 pm</t>
  </si>
  <si>
    <t>23/05/2023, 4:04:49 pm</t>
  </si>
  <si>
    <t>23/05/2023, 4:04:50 pm</t>
  </si>
  <si>
    <t>23/05/2023, 4:04:51 pm</t>
  </si>
  <si>
    <t>23/05/2023, 4:04:52 pm</t>
  </si>
  <si>
    <t>23/05/2023, 4:04:53 pm</t>
  </si>
  <si>
    <t>23/05/2023, 4:04:54 pm</t>
  </si>
  <si>
    <t>23/05/2023, 4:04:55 pm</t>
  </si>
  <si>
    <t>23/05/2023, 4:04:56 pm</t>
  </si>
  <si>
    <t>23/05/2023, 4:04:57 pm</t>
  </si>
  <si>
    <t>23/05/2023, 4:04:58 pm</t>
  </si>
  <si>
    <t>23/05/2023, 4:05:02 pm</t>
  </si>
  <si>
    <t>23/05/2023, 4:05:03 pm</t>
  </si>
  <si>
    <t>23/05/2023, 4:05:04 pm</t>
  </si>
  <si>
    <t>23/05/2023, 4:05:05 pm</t>
  </si>
  <si>
    <t>23/05/2023, 4:05:06 pm</t>
  </si>
  <si>
    <t>23/05/2023, 4:05:07 pm</t>
  </si>
  <si>
    <t>23/05/2023, 4:05:08 pm</t>
  </si>
  <si>
    <t>23/05/2023, 4:05:09 pm</t>
  </si>
  <si>
    <t>23/05/2023, 4:05:10 pm</t>
  </si>
  <si>
    <t>23/05/2023, 4:05:11 pm</t>
  </si>
  <si>
    <t>23/05/2023, 4:05:12 pm</t>
  </si>
  <si>
    <t>23/05/2023, 4:05:13 pm</t>
  </si>
  <si>
    <t>23/05/2023, 4:05:15 pm</t>
  </si>
  <si>
    <t>23/05/2023, 4:05:16 pm</t>
  </si>
  <si>
    <t>23/05/2023, 4:05:17 pm</t>
  </si>
  <si>
    <t>23/05/2023, 4:05:18 pm</t>
  </si>
  <si>
    <t>23/05/2023, 4:05:19 pm</t>
  </si>
  <si>
    <t>23/05/2023, 4:05:20 pm</t>
  </si>
  <si>
    <t>23/05/2023, 4:05:21 pm</t>
  </si>
  <si>
    <t>23/05/2023, 4:05:22 pm</t>
  </si>
  <si>
    <t>23/05/2023, 4:05:23 pm</t>
  </si>
  <si>
    <t>23/05/2023, 4:05:24 pm</t>
  </si>
  <si>
    <t>23/05/2023, 4:05:25 pm</t>
  </si>
  <si>
    <t>23/05/2023, 4:05:26 pm</t>
  </si>
  <si>
    <t>23/05/2023, 4:05:27 pm</t>
  </si>
  <si>
    <t>23/05/2023, 4:05:28 pm</t>
  </si>
  <si>
    <t>23/05/2023, 4:05:29 pm</t>
  </si>
  <si>
    <t>23/05/2023, 4:05:30 pm</t>
  </si>
  <si>
    <t>23/05/2023, 4:05:31 pm</t>
  </si>
  <si>
    <t>23/05/2023, 4:05:32 pm</t>
  </si>
  <si>
    <t>23/05/2023, 4:05:33 pm</t>
  </si>
  <si>
    <t>23/05/2023, 4:05:34 pm</t>
  </si>
  <si>
    <t>23/05/2023, 4:05:35 pm</t>
  </si>
  <si>
    <t>23/05/2023, 4:05:36 pm</t>
  </si>
  <si>
    <t>23/05/2023, 4:05:37 pm</t>
  </si>
  <si>
    <t>23/05/2023, 4:05:38 pm</t>
  </si>
  <si>
    <t>23/05/2023, 4:05:39 pm</t>
  </si>
  <si>
    <t>23/05/2023, 4:05:40 pm</t>
  </si>
  <si>
    <t>23/05/2023, 4:05:41 pm</t>
  </si>
  <si>
    <t>23/05/2023, 4:05:42 pm</t>
  </si>
  <si>
    <t>23/05/2023, 4:05:43 pm</t>
  </si>
  <si>
    <t>23/05/2023, 4:05:44 pm</t>
  </si>
  <si>
    <t>23/05/2023, 4:05:45 pm</t>
  </si>
  <si>
    <t>23/05/2023, 4:05:48 pm</t>
  </si>
  <si>
    <t>23/05/2023, 4:05:49 pm</t>
  </si>
  <si>
    <t>23/05/2023, 4:05:50 pm</t>
  </si>
  <si>
    <t>23/05/2023, 4:05:51 pm</t>
  </si>
  <si>
    <t>23/05/2023, 4:05:52 pm</t>
  </si>
  <si>
    <t>23/05/2023, 4:05:53 pm</t>
  </si>
  <si>
    <t>23/05/2023, 4:05:54 pm</t>
  </si>
  <si>
    <t>23/05/2023, 4:05:55 pm</t>
  </si>
  <si>
    <t>23/05/2023, 4:05:56 pm</t>
  </si>
  <si>
    <t>23/05/2023, 4:05:57 pm</t>
  </si>
  <si>
    <t>23/05/2023, 4:05:58 pm</t>
  </si>
  <si>
    <t>23/05/2023, 4:05:59 pm</t>
  </si>
  <si>
    <t>23/05/2023, 4:06:00 pm</t>
  </si>
  <si>
    <t>23/05/2023, 4:06:01 pm</t>
  </si>
  <si>
    <t>23/05/2023, 4:06:02 pm</t>
  </si>
  <si>
    <t>23/05/2023, 4:06:03 pm</t>
  </si>
  <si>
    <t>23/05/2023, 4:06:04 pm</t>
  </si>
  <si>
    <t>23/05/2023, 4:06:05 pm</t>
  </si>
  <si>
    <t>23/05/2023, 4:06:06 pm</t>
  </si>
  <si>
    <t>23/05/2023, 4:06:07 pm</t>
  </si>
  <si>
    <t>23/05/2023, 4:06:08 pm</t>
  </si>
  <si>
    <t>23/05/2023, 4:06:09 pm</t>
  </si>
  <si>
    <t>23/05/2023, 4:06:10 pm</t>
  </si>
  <si>
    <t>23/05/2023, 4:06:11 pm</t>
  </si>
  <si>
    <t>23/05/2023, 4:06:12 pm</t>
  </si>
  <si>
    <t>23/05/2023, 4:06:13 pm</t>
  </si>
  <si>
    <t>23/05/2023, 4:06:14 pm</t>
  </si>
  <si>
    <t>23/05/2023, 4:06:16 pm</t>
  </si>
  <si>
    <t>23/05/2023, 4:06:17 pm</t>
  </si>
  <si>
    <t>23/05/2023, 4:06:18 pm</t>
  </si>
  <si>
    <t>23/05/2023, 4:06:19 pm</t>
  </si>
  <si>
    <t>23/05/2023, 4:06:20 pm</t>
  </si>
  <si>
    <t>23/05/2023, 4:06:21 pm</t>
  </si>
  <si>
    <t>23/05/2023, 4:06:22 pm</t>
  </si>
  <si>
    <t>23/05/2023, 4:06:23 pm</t>
  </si>
  <si>
    <t>23/05/2023, 4:06:24 pm</t>
  </si>
  <si>
    <t>23/05/2023, 4:06:25 pm</t>
  </si>
  <si>
    <t>23/05/2023, 4:06:26 pm</t>
  </si>
  <si>
    <t>23/05/2023, 4:06:27 pm</t>
  </si>
  <si>
    <t>23/05/2023, 4:06:28 pm</t>
  </si>
  <si>
    <t>23/05/2023, 4:06:29 pm</t>
  </si>
  <si>
    <t>23/05/2023, 4:06:30 pm</t>
  </si>
  <si>
    <t>23/05/2023, 4:06:31 pm</t>
  </si>
  <si>
    <t>23/05/2023, 4:06:32 pm</t>
  </si>
  <si>
    <t>23/05/2023, 4:06:33 pm</t>
  </si>
  <si>
    <t>23/05/2023, 4:06:34 pm</t>
  </si>
  <si>
    <t>23/05/2023, 4:06:35 pm</t>
  </si>
  <si>
    <t>23/05/2023, 4:06:36 pm</t>
  </si>
  <si>
    <t>23/05/2023, 4:06:37 pm</t>
  </si>
  <si>
    <t>23/05/2023, 4:06:38 pm</t>
  </si>
  <si>
    <t>23/05/2023, 4:06:39 pm</t>
  </si>
  <si>
    <t>23/05/2023, 4:06:40 pm</t>
  </si>
  <si>
    <t>23/05/2023, 4:06:41 pm</t>
  </si>
  <si>
    <t>23/05/2023, 4:06:42 pm</t>
  </si>
  <si>
    <t>23/05/2023, 4:06:43 pm</t>
  </si>
  <si>
    <t>23/05/2023, 4:06:44 pm</t>
  </si>
  <si>
    <t>23/05/2023, 4:06:45 pm</t>
  </si>
  <si>
    <t>23/05/2023, 4:06:46 pm</t>
  </si>
  <si>
    <t>23/05/2023, 4:06:47 pm</t>
  </si>
  <si>
    <t>23/05/2023, 4:06:48 pm</t>
  </si>
  <si>
    <t>23/05/2023, 4:06:49 pm</t>
  </si>
  <si>
    <t>23/05/2023, 4:06:50 pm</t>
  </si>
  <si>
    <t>23/05/2023, 4:06:51 pm</t>
  </si>
  <si>
    <t>23/05/2023, 4:06:52 pm</t>
  </si>
  <si>
    <t>23/05/2023, 4:06:53 pm</t>
  </si>
  <si>
    <t>23/05/2023, 4:06:54 pm</t>
  </si>
  <si>
    <t>23/05/2023, 4:06:55 pm</t>
  </si>
  <si>
    <t>23/05/2023, 4:06:56 pm</t>
  </si>
  <si>
    <t>23/05/2023, 4:06:57 pm</t>
  </si>
  <si>
    <t>23/05/2023, 4:06:58 pm</t>
  </si>
  <si>
    <t>23/05/2023, 4:06:59 pm</t>
  </si>
  <si>
    <t>23/05/2023, 4:07:00 pm</t>
  </si>
  <si>
    <t>23/05/2023, 4:07:01 pm</t>
  </si>
  <si>
    <t>23/05/2023, 4:07:02 pm</t>
  </si>
  <si>
    <t>23/05/2023, 4:07:03 pm</t>
  </si>
  <si>
    <t>23/05/2023, 4:07:04 pm</t>
  </si>
  <si>
    <t>23/05/2023, 4:07:05 pm</t>
  </si>
  <si>
    <t>23/05/2023, 4:07:06 pm</t>
  </si>
  <si>
    <t>23/05/2023, 4:07:07 pm</t>
  </si>
  <si>
    <t>23/05/2023, 4:07:08 pm</t>
  </si>
  <si>
    <t>23/05/2023, 4:07:09 pm</t>
  </si>
  <si>
    <t>23/05/2023, 4:07:10 pm</t>
  </si>
  <si>
    <t>23/05/2023, 4:07:11 pm</t>
  </si>
  <si>
    <t>23/05/2023, 4:07:12 pm</t>
  </si>
  <si>
    <t>23/05/2023, 4:07:13 pm</t>
  </si>
  <si>
    <t>23/05/2023, 4:07:14 pm</t>
  </si>
  <si>
    <t>23/05/2023, 4:07:15 pm</t>
  </si>
  <si>
    <t>23/05/2023, 4:07:16 pm</t>
  </si>
  <si>
    <t>23/05/2023, 4:07:17 pm</t>
  </si>
  <si>
    <t>23/05/2023, 4:07:18 pm</t>
  </si>
  <si>
    <t>23/05/2023, 4:07:19 pm</t>
  </si>
  <si>
    <t>23/05/2023, 4:07:20 pm</t>
  </si>
  <si>
    <t>23/05/2023, 4:07:21 pm</t>
  </si>
  <si>
    <t>23/05/2023, 4:07:22 pm</t>
  </si>
  <si>
    <t>23/05/2023, 4:07:23 pm</t>
  </si>
  <si>
    <t>23/05/2023, 4:07:24 pm</t>
  </si>
  <si>
    <t>23/05/2023, 4:07:25 pm</t>
  </si>
  <si>
    <t>23/05/2023, 4:07:26 pm</t>
  </si>
  <si>
    <t>23/05/2023, 4:07:27 pm</t>
  </si>
  <si>
    <t>23/05/2023, 4:07:28 pm</t>
  </si>
  <si>
    <t>23/05/2023, 4:07:29 pm</t>
  </si>
  <si>
    <t>23/05/2023, 4:07:30 pm</t>
  </si>
  <si>
    <t>23/05/2023, 4:07:31 pm</t>
  </si>
  <si>
    <t>23/05/2023, 4:07:32 pm</t>
  </si>
  <si>
    <t>23/05/2023, 4:07:33 pm</t>
  </si>
  <si>
    <t>23/05/2023, 4:07:34 pm</t>
  </si>
  <si>
    <t>23/05/2023, 4:07:35 pm</t>
  </si>
  <si>
    <t>23/05/2023, 4:07:36 pm</t>
  </si>
  <si>
    <t>23/05/2023, 4:07:37 pm</t>
  </si>
  <si>
    <t>23/05/2023, 4:07:38 pm</t>
  </si>
  <si>
    <t>23/05/2023, 4:07:39 pm</t>
  </si>
  <si>
    <t>23/05/2023, 4:07:40 pm</t>
  </si>
  <si>
    <t>23/05/2023, 4:07:41 pm</t>
  </si>
  <si>
    <t>23/05/2023, 4:07:42 pm</t>
  </si>
  <si>
    <t>23/05/2023, 4:07:43 pm</t>
  </si>
  <si>
    <t>23/05/2023, 4:07:44 pm</t>
  </si>
  <si>
    <t>23/05/2023, 4:07:45 pm</t>
  </si>
  <si>
    <t>23/05/2023, 4:07:46 pm</t>
  </si>
  <si>
    <t>23/05/2023, 4:07:47 pm</t>
  </si>
  <si>
    <t>23/05/2023, 4:07:48 pm</t>
  </si>
  <si>
    <t>23/05/2023, 4:07:49 pm</t>
  </si>
  <si>
    <t>23/05/2023, 4:07:50 pm</t>
  </si>
  <si>
    <t>23/05/2023, 4:07:51 pm</t>
  </si>
  <si>
    <t>23/05/2023, 4:07:52 pm</t>
  </si>
  <si>
    <t>23/05/2023, 4:07:53 pm</t>
  </si>
  <si>
    <t>23/05/2023, 4:07:54 pm</t>
  </si>
  <si>
    <t>23/05/2023, 4:07:55 pm</t>
  </si>
  <si>
    <t>23/05/2023, 4:07:56 pm</t>
  </si>
  <si>
    <t>23/05/2023, 4:07:57 pm</t>
  </si>
  <si>
    <t>23/05/2023, 4:07:58 pm</t>
  </si>
  <si>
    <t>23/05/2023, 4:07:59 pm</t>
  </si>
  <si>
    <t>23/05/2023, 4:08:00 pm</t>
  </si>
  <si>
    <t>23/05/2023, 4:08:01 pm</t>
  </si>
  <si>
    <t>23/05/2023, 4:08:02 pm</t>
  </si>
  <si>
    <t>23/05/2023, 4:08:03 pm</t>
  </si>
  <si>
    <t>23/05/2023, 4:08:04 pm</t>
  </si>
  <si>
    <t>23/05/2023, 4:08:05 pm</t>
  </si>
  <si>
    <t>23/05/2023, 4:08:06 pm</t>
  </si>
  <si>
    <t>23/05/2023, 4:08:07 pm</t>
  </si>
  <si>
    <t>23/05/2023, 4:08:08 pm</t>
  </si>
  <si>
    <t>23/05/2023, 4:08:09 pm</t>
  </si>
  <si>
    <t>23/05/2023, 4:08:10 pm</t>
  </si>
  <si>
    <t>23/05/2023, 4:08:11 pm</t>
  </si>
  <si>
    <t>23/05/2023, 4:08:12 pm</t>
  </si>
  <si>
    <t>23/05/2023, 4:08:13 pm</t>
  </si>
  <si>
    <t>23/05/2023, 4:08:14 pm</t>
  </si>
  <si>
    <t>23/05/2023, 4:08:15 pm</t>
  </si>
  <si>
    <t>23/05/2023, 4:08:16 pm</t>
  </si>
  <si>
    <t>23/05/2023, 4:08:17 pm</t>
  </si>
  <si>
    <t>23/05/2023, 4:08:18 pm</t>
  </si>
  <si>
    <t>23/05/2023, 4:08:19 pm</t>
  </si>
  <si>
    <t>23/05/2023, 4:08:20 pm</t>
  </si>
  <si>
    <t>23/05/2023, 4:08:21 pm</t>
  </si>
  <si>
    <t>23/05/2023, 4:08:22 pm</t>
  </si>
  <si>
    <t>23/05/2023, 4:08:23 pm</t>
  </si>
  <si>
    <t>23/05/2023, 4:08:24 pm</t>
  </si>
  <si>
    <t>23/05/2023, 4:08:25 pm</t>
  </si>
  <si>
    <t>23/05/2023, 4:08:26 pm</t>
  </si>
  <si>
    <t>23/05/2023, 4:08:27 pm</t>
  </si>
  <si>
    <t>23/05/2023, 4:08:28 pm</t>
  </si>
  <si>
    <t>23/05/2023, 4:08:30 pm</t>
  </si>
  <si>
    <t>23/05/2023, 4:08:31 pm</t>
  </si>
  <si>
    <t>23/05/2023, 4:08:32 pm</t>
  </si>
  <si>
    <t>23/05/2023, 4:08:33 pm</t>
  </si>
  <si>
    <t>23/05/2023, 4:08:34 pm</t>
  </si>
  <si>
    <t>23/05/2023, 4:08:35 pm</t>
  </si>
  <si>
    <t>23/05/2023, 4:08:36 pm</t>
  </si>
  <si>
    <t>23/05/2023, 4:08:37 pm</t>
  </si>
  <si>
    <t>23/05/2023, 4:08:38 pm</t>
  </si>
  <si>
    <t>23/05/2023, 4:08:39 pm</t>
  </si>
  <si>
    <t>23/05/2023, 4:08:40 pm</t>
  </si>
  <si>
    <t>23/05/2023, 4:08:41 pm</t>
  </si>
  <si>
    <t>23/05/2023, 4:08:42 pm</t>
  </si>
  <si>
    <t>23/05/2023, 4:08:43 pm</t>
  </si>
  <si>
    <t>23/05/2023, 4:08:44 pm</t>
  </si>
  <si>
    <t>23/05/2023, 4:08:45 pm</t>
  </si>
  <si>
    <t>23/05/2023, 4:08:46 pm</t>
  </si>
  <si>
    <t>23/05/2023, 4:08:47 pm</t>
  </si>
  <si>
    <t>23/05/2023, 4:08:48 pm</t>
  </si>
  <si>
    <t>23/05/2023, 4:08:49 pm</t>
  </si>
  <si>
    <t>23/05/2023, 4:08:50 pm</t>
  </si>
  <si>
    <t>23/05/2023, 4:08:51 pm</t>
  </si>
  <si>
    <t>23/05/2023, 4:08:52 pm</t>
  </si>
  <si>
    <t>23/05/2023, 4:08:53 pm</t>
  </si>
  <si>
    <t>23/05/2023, 4:08:54 pm</t>
  </si>
  <si>
    <t>23/05/2023, 4:08:55 pm</t>
  </si>
  <si>
    <t>23/05/2023, 4:08:56 pm</t>
  </si>
  <si>
    <t>23/05/2023, 4:08:57 pm</t>
  </si>
  <si>
    <t>23/05/2023, 4:08:58 pm</t>
  </si>
  <si>
    <t>23/05/2023, 4:08:59 pm</t>
  </si>
  <si>
    <t>23/05/2023, 4:09:00 pm</t>
  </si>
  <si>
    <t>23/05/2023, 4:09:01 pm</t>
  </si>
  <si>
    <t>23/05/2023, 4:09:02 pm</t>
  </si>
  <si>
    <t>23/05/2023, 4:09:03 pm</t>
  </si>
  <si>
    <t>23/05/2023, 4:09:04 pm</t>
  </si>
  <si>
    <t>23/05/2023, 4:09:05 pm</t>
  </si>
  <si>
    <t>23/05/2023, 4:09:06 pm</t>
  </si>
  <si>
    <t>23/05/2023, 4:09:07 pm</t>
  </si>
  <si>
    <t>23/05/2023, 4:09:08 pm</t>
  </si>
  <si>
    <t>23/05/2023, 4:09:09 pm</t>
  </si>
  <si>
    <t>23/05/2023, 4:09:10 pm</t>
  </si>
  <si>
    <t>23/05/2023, 4:09:11 pm</t>
  </si>
  <si>
    <t>23/05/2023, 4:09:12 pm</t>
  </si>
  <si>
    <t>23/05/2023, 4:09:13 pm</t>
  </si>
  <si>
    <t>23/05/2023, 4:09:14 pm</t>
  </si>
  <si>
    <t>23/05/2023, 4:09:15 pm</t>
  </si>
  <si>
    <t>23/05/2023, 4:09:16 pm</t>
  </si>
  <si>
    <t>23/05/2023, 4:09:17 pm</t>
  </si>
  <si>
    <t>23/05/2023, 4:09:18 pm</t>
  </si>
  <si>
    <t>23/05/2023, 4:09:19 pm</t>
  </si>
  <si>
    <t>23/05/2023, 4:09:20 pm</t>
  </si>
  <si>
    <t>23/05/2023, 4:09:21 pm</t>
  </si>
  <si>
    <t>23/05/2023, 4:09:22 pm</t>
  </si>
  <si>
    <t>23/05/2023, 4:09:23 pm</t>
  </si>
  <si>
    <t>23/05/2023, 4:09:24 pm</t>
  </si>
  <si>
    <t>23/05/2023, 4:09:25 pm</t>
  </si>
  <si>
    <t>23/05/2023, 4:09:26 pm</t>
  </si>
  <si>
    <t>23/05/2023, 4:09:27 pm</t>
  </si>
  <si>
    <t>23/05/2023, 4:09:28 pm</t>
  </si>
  <si>
    <t>23/05/2023, 4:09:29 pm</t>
  </si>
  <si>
    <t>23/05/2023, 4:09:30 pm</t>
  </si>
  <si>
    <t>23/05/2023, 4:09:31 pm</t>
  </si>
  <si>
    <t>23/05/2023, 4:09:32 pm</t>
  </si>
  <si>
    <t>23/05/2023, 4:09:33 pm</t>
  </si>
  <si>
    <t>23/05/2023, 4:09:34 pm</t>
  </si>
  <si>
    <t>23/05/2023, 4:09:35 pm</t>
  </si>
  <si>
    <t>23/05/2023, 4:09:36 pm</t>
  </si>
  <si>
    <t>23/05/2023, 4:09:37 pm</t>
  </si>
  <si>
    <t>23/05/2023, 4:09:38 pm</t>
  </si>
  <si>
    <t>23/05/2023, 4:09:39 pm</t>
  </si>
  <si>
    <t>23/05/2023, 4:09:40 pm</t>
  </si>
  <si>
    <t>23/05/2023, 4:09:41 pm</t>
  </si>
  <si>
    <t>23/05/2023, 4:09:42 pm</t>
  </si>
  <si>
    <t>23/05/2023, 4:09:43 pm</t>
  </si>
  <si>
    <t>23/05/2023, 4:09:44 pm</t>
  </si>
  <si>
    <t>23/05/2023, 4:09:45 pm</t>
  </si>
  <si>
    <t>23/05/2023, 4:09:46 pm</t>
  </si>
  <si>
    <t>23/05/2023, 4:09:47 pm</t>
  </si>
  <si>
    <t>23/05/2023, 4:09:48 pm</t>
  </si>
  <si>
    <t>23/05/2023, 4:09:49 pm</t>
  </si>
  <si>
    <t>23/05/2023, 4:09:50 pm</t>
  </si>
  <si>
    <t>23/05/2023, 4:09:51 pm</t>
  </si>
  <si>
    <t>23/05/2023, 4:09:52 pm</t>
  </si>
  <si>
    <t>23/05/2023, 4:09:53 pm</t>
  </si>
  <si>
    <t>23/05/2023, 4:09:57 pm</t>
  </si>
  <si>
    <t>23/05/2023, 4:09:58 pm</t>
  </si>
  <si>
    <t>23/05/2023, 4:09:59 pm</t>
  </si>
  <si>
    <t>23/05/2023, 4:10:00 pm</t>
  </si>
  <si>
    <t>23/05/2023, 4:10:01 pm</t>
  </si>
  <si>
    <t>23/05/2023, 4:10:02 pm</t>
  </si>
  <si>
    <t>23/05/2023, 4:10:03 pm</t>
  </si>
  <si>
    <t>23/05/2023, 4:10:04 pm</t>
  </si>
  <si>
    <t>23/05/2023, 4:10:05 pm</t>
  </si>
  <si>
    <t>23/05/2023, 4:10:06 pm</t>
  </si>
  <si>
    <t>23/05/2023, 4:10:07 pm</t>
  </si>
  <si>
    <t>23/05/2023, 4:10:08 pm</t>
  </si>
  <si>
    <t>23/05/2023, 4:10:09 pm</t>
  </si>
  <si>
    <t>23/05/2023, 4:10:10 pm</t>
  </si>
  <si>
    <t>23/05/2023, 4:10:11 pm</t>
  </si>
  <si>
    <t>23/05/2023, 4:10:12 pm</t>
  </si>
  <si>
    <t>23/05/2023, 4:10:13 pm</t>
  </si>
  <si>
    <t>23/05/2023, 4:10:14 pm</t>
  </si>
  <si>
    <t>23/05/2023, 4:10:15 pm</t>
  </si>
  <si>
    <t>23/05/2023, 4:10:16 pm</t>
  </si>
  <si>
    <t>23/05/2023, 4:10:17 pm</t>
  </si>
  <si>
    <t>23/05/2023, 4:10:18 pm</t>
  </si>
  <si>
    <t>23/05/2023, 4:10:19 pm</t>
  </si>
  <si>
    <t>23/05/2023, 4:10:20 pm</t>
  </si>
  <si>
    <t>23/05/2023, 4:10:21 pm</t>
  </si>
  <si>
    <t>23/05/2023, 4:10:22 pm</t>
  </si>
  <si>
    <t>23/05/2023, 4:10:23 pm</t>
  </si>
  <si>
    <t>23/05/2023, 4:10:24 pm</t>
  </si>
  <si>
    <t>23/05/2023, 4:10:27 pm</t>
  </si>
  <si>
    <t>23/05/2023, 4:10:28 pm</t>
  </si>
  <si>
    <t>23/05/2023, 4:10:29 pm</t>
  </si>
  <si>
    <t>23/05/2023, 4:10:30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</si>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</sst>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35744"/>
  <sheetFormatPr defaultRowHeight="20" outlineLevelRow="0" outlineLevelCol="0" x14ac:dyDescent="55" customHeight="1"/>
  <cols>
    <col min="1" max="1" width="12" customWidth="1"/>
    <col min="2" max="2" width="20" customWidth="1"/>
    <col min="3" max="6" width="15" customWidth="1"/>
    <col min="7" max="8" width="30" customWidth="1"/>
    <col min="9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1040</v>
      </c>
      <c r="D50" s="5">
        <v>1</v>
      </c>
      <c r="E50" s="5">
        <v>1040</v>
      </c>
      <c r="F50" s="5">
        <v>2069</v>
      </c>
      <c r="G50" s="5">
        <v>1028</v>
      </c>
      <c r="H50" s="5">
        <v>1027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1040</v>
      </c>
      <c r="D51" s="5">
        <v>1</v>
      </c>
      <c r="E51" s="5">
        <v>1042</v>
      </c>
      <c r="F51" s="5">
        <v>2071</v>
      </c>
      <c r="G51" s="5">
        <v>1029</v>
      </c>
      <c r="H51" s="5">
        <v>1028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1040</v>
      </c>
      <c r="D52" s="5">
        <v>1</v>
      </c>
      <c r="E52" s="5">
        <v>1042</v>
      </c>
      <c r="F52" s="5">
        <v>2071</v>
      </c>
      <c r="G52" s="5">
        <v>1029</v>
      </c>
      <c r="H52" s="5">
        <v>1028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1046</v>
      </c>
      <c r="D53" s="5">
        <v>1</v>
      </c>
      <c r="E53" s="5">
        <v>1048</v>
      </c>
      <c r="F53" s="5">
        <v>2087</v>
      </c>
      <c r="G53" s="5">
        <v>1037</v>
      </c>
      <c r="H53" s="5">
        <v>1035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1046</v>
      </c>
      <c r="D54" s="5">
        <v>1</v>
      </c>
      <c r="E54" s="5">
        <v>1048</v>
      </c>
      <c r="F54" s="5">
        <v>2087</v>
      </c>
      <c r="G54" s="5">
        <v>1037</v>
      </c>
      <c r="H54" s="5">
        <v>1035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1046</v>
      </c>
      <c r="D55" s="5">
        <v>1</v>
      </c>
      <c r="E55" s="5">
        <v>1048</v>
      </c>
      <c r="F55" s="5">
        <v>2087</v>
      </c>
      <c r="G55" s="5">
        <v>1037</v>
      </c>
      <c r="H55" s="5">
        <v>1035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1046</v>
      </c>
      <c r="D56" s="5">
        <v>1</v>
      </c>
      <c r="E56" s="5">
        <v>1048</v>
      </c>
      <c r="F56" s="5">
        <v>2087</v>
      </c>
      <c r="G56" s="5">
        <v>1037</v>
      </c>
      <c r="H56" s="5">
        <v>1035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1043</v>
      </c>
      <c r="D57" s="5">
        <v>1</v>
      </c>
      <c r="E57" s="5">
        <v>1044</v>
      </c>
      <c r="F57" s="5">
        <v>2071</v>
      </c>
      <c r="G57" s="5">
        <v>1029</v>
      </c>
      <c r="H57" s="5">
        <v>1027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1043</v>
      </c>
      <c r="D58" s="5">
        <v>1</v>
      </c>
      <c r="E58" s="5">
        <v>1044</v>
      </c>
      <c r="F58" s="5">
        <v>2071</v>
      </c>
      <c r="G58" s="5">
        <v>1029</v>
      </c>
      <c r="H58" s="5">
        <v>1027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1042</v>
      </c>
      <c r="D59" s="5">
        <v>1</v>
      </c>
      <c r="E59" s="5">
        <v>1043</v>
      </c>
      <c r="F59" s="5">
        <v>2070</v>
      </c>
      <c r="G59" s="5">
        <v>1029</v>
      </c>
      <c r="H59" s="5">
        <v>1027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1042</v>
      </c>
      <c r="D60" s="5">
        <v>1</v>
      </c>
      <c r="E60" s="5">
        <v>1043</v>
      </c>
      <c r="F60" s="5">
        <v>2070</v>
      </c>
      <c r="G60" s="5">
        <v>1029</v>
      </c>
      <c r="H60" s="5">
        <v>1027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1045</v>
      </c>
      <c r="D61" s="5">
        <v>1</v>
      </c>
      <c r="E61" s="5">
        <v>1046</v>
      </c>
      <c r="F61" s="5">
        <v>2083</v>
      </c>
      <c r="G61" s="5">
        <v>1034</v>
      </c>
      <c r="H61" s="5">
        <v>1032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1045</v>
      </c>
      <c r="D62" s="5">
        <v>1</v>
      </c>
      <c r="E62" s="5">
        <v>1046</v>
      </c>
      <c r="F62" s="5">
        <v>2083</v>
      </c>
      <c r="G62" s="5">
        <v>1034</v>
      </c>
      <c r="H62" s="5">
        <v>1032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1038</v>
      </c>
      <c r="D63" s="5">
        <v>1</v>
      </c>
      <c r="E63" s="5">
        <v>1040</v>
      </c>
      <c r="F63" s="5">
        <v>2064</v>
      </c>
      <c r="G63" s="5">
        <v>1026</v>
      </c>
      <c r="H63" s="5">
        <v>1025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1038</v>
      </c>
      <c r="D64" s="5">
        <v>1</v>
      </c>
      <c r="E64" s="5">
        <v>1040</v>
      </c>
      <c r="F64" s="5">
        <v>2064</v>
      </c>
      <c r="G64" s="5">
        <v>1026</v>
      </c>
      <c r="H64" s="5">
        <v>1025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1038</v>
      </c>
      <c r="D65" s="5">
        <v>1</v>
      </c>
      <c r="E65" s="5">
        <v>1040</v>
      </c>
      <c r="F65" s="5">
        <v>2064</v>
      </c>
      <c r="G65" s="5">
        <v>1026</v>
      </c>
      <c r="H65" s="5">
        <v>1025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1008</v>
      </c>
      <c r="D66" s="5">
        <v>1</v>
      </c>
      <c r="E66" s="5">
        <v>1012</v>
      </c>
      <c r="F66" s="5">
        <v>2000</v>
      </c>
      <c r="G66" s="5">
        <v>994</v>
      </c>
      <c r="H66" s="5">
        <v>993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1008</v>
      </c>
      <c r="D67" s="5">
        <v>1</v>
      </c>
      <c r="E67" s="5">
        <v>1010</v>
      </c>
      <c r="F67" s="5">
        <v>1992</v>
      </c>
      <c r="G67" s="5">
        <v>991</v>
      </c>
      <c r="H67" s="5">
        <v>990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1008</v>
      </c>
      <c r="D68" s="5">
        <v>1</v>
      </c>
      <c r="E68" s="5">
        <v>1010</v>
      </c>
      <c r="F68" s="5">
        <v>1992</v>
      </c>
      <c r="G68" s="5">
        <v>991</v>
      </c>
      <c r="H68" s="5">
        <v>990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999</v>
      </c>
      <c r="D69" s="5">
        <v>1</v>
      </c>
      <c r="E69" s="5">
        <v>1000</v>
      </c>
      <c r="F69" s="5">
        <v>1972</v>
      </c>
      <c r="G69" s="5">
        <v>981</v>
      </c>
      <c r="H69" s="5">
        <v>981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999</v>
      </c>
      <c r="D70" s="5">
        <v>1</v>
      </c>
      <c r="E70" s="5">
        <v>1000</v>
      </c>
      <c r="F70" s="5">
        <v>1972</v>
      </c>
      <c r="G70" s="5">
        <v>981</v>
      </c>
      <c r="H70" s="5">
        <v>981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996</v>
      </c>
      <c r="D71" s="5">
        <v>1</v>
      </c>
      <c r="E71" s="5">
        <v>998</v>
      </c>
      <c r="F71" s="5">
        <v>1989</v>
      </c>
      <c r="G71" s="5">
        <v>988</v>
      </c>
      <c r="H71" s="5">
        <v>986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996</v>
      </c>
      <c r="D72" s="5">
        <v>1</v>
      </c>
      <c r="E72" s="5">
        <v>998</v>
      </c>
      <c r="F72" s="5">
        <v>1989</v>
      </c>
      <c r="G72" s="5">
        <v>988</v>
      </c>
      <c r="H72" s="5">
        <v>986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996</v>
      </c>
      <c r="D73" s="5">
        <v>1</v>
      </c>
      <c r="E73" s="5">
        <v>998</v>
      </c>
      <c r="F73" s="5">
        <v>1989</v>
      </c>
      <c r="G73" s="5">
        <v>988</v>
      </c>
      <c r="H73" s="5">
        <v>986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1022</v>
      </c>
      <c r="D74" s="5">
        <v>1</v>
      </c>
      <c r="E74" s="5">
        <v>1024</v>
      </c>
      <c r="F74" s="5">
        <v>2002</v>
      </c>
      <c r="G74" s="5">
        <v>996</v>
      </c>
      <c r="H74" s="5">
        <v>995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1022</v>
      </c>
      <c r="D75" s="5">
        <v>1</v>
      </c>
      <c r="E75" s="5">
        <v>1024</v>
      </c>
      <c r="F75" s="5">
        <v>2002</v>
      </c>
      <c r="G75" s="5">
        <v>996</v>
      </c>
      <c r="H75" s="5">
        <v>995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1018</v>
      </c>
      <c r="D76" s="5">
        <v>1</v>
      </c>
      <c r="E76" s="5">
        <v>1020</v>
      </c>
      <c r="F76" s="5">
        <v>2026</v>
      </c>
      <c r="G76" s="5">
        <v>1005</v>
      </c>
      <c r="H76" s="5">
        <v>1003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1018</v>
      </c>
      <c r="D77" s="5">
        <v>1</v>
      </c>
      <c r="E77" s="5">
        <v>1020</v>
      </c>
      <c r="F77" s="5">
        <v>2026</v>
      </c>
      <c r="G77" s="5">
        <v>1005</v>
      </c>
      <c r="H77" s="5">
        <v>1003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1035</v>
      </c>
      <c r="D78" s="5">
        <v>1</v>
      </c>
      <c r="E78" s="5">
        <v>1036</v>
      </c>
      <c r="F78" s="5">
        <v>2056</v>
      </c>
      <c r="G78" s="5">
        <v>1022</v>
      </c>
      <c r="H78" s="5">
        <v>1021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1035</v>
      </c>
      <c r="D79" s="5">
        <v>1</v>
      </c>
      <c r="E79" s="5">
        <v>1036</v>
      </c>
      <c r="F79" s="5">
        <v>2056</v>
      </c>
      <c r="G79" s="5">
        <v>1022</v>
      </c>
      <c r="H79" s="5">
        <v>1021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1040</v>
      </c>
      <c r="D80" s="5">
        <v>1</v>
      </c>
      <c r="E80" s="5">
        <v>1042</v>
      </c>
      <c r="F80" s="5">
        <v>2067</v>
      </c>
      <c r="G80" s="5">
        <v>1028</v>
      </c>
      <c r="H80" s="5">
        <v>1026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1040</v>
      </c>
      <c r="D81" s="5">
        <v>1</v>
      </c>
      <c r="E81" s="5">
        <v>1042</v>
      </c>
      <c r="F81" s="5">
        <v>2067</v>
      </c>
      <c r="G81" s="5">
        <v>1028</v>
      </c>
      <c r="H81" s="5">
        <v>1026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1040</v>
      </c>
      <c r="D82" s="5">
        <v>1</v>
      </c>
      <c r="E82" s="5">
        <v>1042</v>
      </c>
      <c r="F82" s="5">
        <v>2067</v>
      </c>
      <c r="G82" s="5">
        <v>1028</v>
      </c>
      <c r="H82" s="5">
        <v>1026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1040</v>
      </c>
      <c r="D83" s="5">
        <v>1</v>
      </c>
      <c r="E83" s="5">
        <v>1042</v>
      </c>
      <c r="F83" s="5">
        <v>2067</v>
      </c>
      <c r="G83" s="5">
        <v>1028</v>
      </c>
      <c r="H83" s="5">
        <v>1026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1038</v>
      </c>
      <c r="D84" s="5">
        <v>1</v>
      </c>
      <c r="E84" s="5">
        <v>1040</v>
      </c>
      <c r="F84" s="5">
        <v>2066</v>
      </c>
      <c r="G84" s="5">
        <v>1027</v>
      </c>
      <c r="H84" s="5">
        <v>1026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1038</v>
      </c>
      <c r="D85" s="5">
        <v>1</v>
      </c>
      <c r="E85" s="5">
        <v>1040</v>
      </c>
      <c r="F85" s="5">
        <v>2066</v>
      </c>
      <c r="G85" s="5">
        <v>1027</v>
      </c>
      <c r="H85" s="5">
        <v>1026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1033</v>
      </c>
      <c r="D86" s="5">
        <v>1</v>
      </c>
      <c r="E86" s="5">
        <v>1034</v>
      </c>
      <c r="F86" s="5">
        <v>2054</v>
      </c>
      <c r="G86" s="5">
        <v>1021</v>
      </c>
      <c r="H86" s="5">
        <v>1019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1033</v>
      </c>
      <c r="D87" s="5">
        <v>1</v>
      </c>
      <c r="E87" s="5">
        <v>1034</v>
      </c>
      <c r="F87" s="5">
        <v>2054</v>
      </c>
      <c r="G87" s="5">
        <v>1021</v>
      </c>
      <c r="H87" s="5">
        <v>1019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1037</v>
      </c>
      <c r="D88" s="5">
        <v>1</v>
      </c>
      <c r="E88" s="5">
        <v>1037</v>
      </c>
      <c r="F88" s="5">
        <v>2054</v>
      </c>
      <c r="G88" s="5">
        <v>1021</v>
      </c>
      <c r="H88" s="5">
        <v>1019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1037</v>
      </c>
      <c r="D89" s="5">
        <v>1</v>
      </c>
      <c r="E89" s="5">
        <v>1037</v>
      </c>
      <c r="F89" s="5">
        <v>2054</v>
      </c>
      <c r="G89" s="5">
        <v>1021</v>
      </c>
      <c r="H89" s="5">
        <v>1019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1030</v>
      </c>
      <c r="D90" s="5">
        <v>1</v>
      </c>
      <c r="E90" s="5">
        <v>1031</v>
      </c>
      <c r="F90" s="5">
        <v>2046</v>
      </c>
      <c r="G90" s="5">
        <v>1017</v>
      </c>
      <c r="H90" s="5">
        <v>1015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103</v>
      </c>
      <c r="D91" s="5">
        <v>0.1</v>
      </c>
      <c r="E91" s="5">
        <v>103.1</v>
      </c>
      <c r="F91" s="5">
        <v>204.6</v>
      </c>
      <c r="G91" s="5">
        <v>101.7</v>
      </c>
      <c r="H91" s="5">
        <v>101.5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103</v>
      </c>
      <c r="D92" s="5">
        <v>0.1</v>
      </c>
      <c r="E92" s="5">
        <v>103.1</v>
      </c>
      <c r="F92" s="5">
        <v>204.6</v>
      </c>
      <c r="G92" s="5">
        <v>101.7</v>
      </c>
      <c r="H92" s="5">
        <v>101.5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102.7</v>
      </c>
      <c r="D93" s="5">
        <v>0.1</v>
      </c>
      <c r="E93" s="5">
        <v>102.8</v>
      </c>
      <c r="F93" s="5">
        <v>204.5</v>
      </c>
      <c r="G93" s="5">
        <v>101.6</v>
      </c>
      <c r="H93" s="5">
        <v>101.5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102.7</v>
      </c>
      <c r="D94" s="5">
        <v>0.1</v>
      </c>
      <c r="E94" s="5">
        <v>102.8</v>
      </c>
      <c r="F94" s="5">
        <v>204.5</v>
      </c>
      <c r="G94" s="5">
        <v>101.6</v>
      </c>
      <c r="H94" s="5">
        <v>101.5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102.9</v>
      </c>
      <c r="D95" s="5">
        <v>0.1</v>
      </c>
      <c r="E95" s="5">
        <v>103</v>
      </c>
      <c r="F95" s="5">
        <v>204.1</v>
      </c>
      <c r="G95" s="5">
        <v>101.2</v>
      </c>
      <c r="H95" s="5">
        <v>101.1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102.9</v>
      </c>
      <c r="D96" s="5">
        <v>0.1</v>
      </c>
      <c r="E96" s="5">
        <v>103</v>
      </c>
      <c r="F96" s="5">
        <v>204.1</v>
      </c>
      <c r="G96" s="5">
        <v>101.2</v>
      </c>
      <c r="H96" s="5">
        <v>101.1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102.8</v>
      </c>
      <c r="D97" s="5">
        <v>0.1</v>
      </c>
      <c r="E97" s="5">
        <v>102.9</v>
      </c>
      <c r="F97" s="5">
        <v>204.1</v>
      </c>
      <c r="G97" s="5">
        <v>101.5</v>
      </c>
      <c r="H97" s="5">
        <v>101.3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102.8</v>
      </c>
      <c r="D98" s="5">
        <v>0.1</v>
      </c>
      <c r="E98" s="5">
        <v>102.9</v>
      </c>
      <c r="F98" s="5">
        <v>204.1</v>
      </c>
      <c r="G98" s="5">
        <v>101.5</v>
      </c>
      <c r="H98" s="5">
        <v>101.3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103.1</v>
      </c>
      <c r="D99" s="5">
        <v>0.1</v>
      </c>
      <c r="E99" s="5">
        <v>103.3</v>
      </c>
      <c r="F99" s="5">
        <v>204.6</v>
      </c>
      <c r="G99" s="5">
        <v>101.7</v>
      </c>
      <c r="H99" s="5">
        <v>101.6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103.1</v>
      </c>
      <c r="D100" s="5">
        <v>0.1</v>
      </c>
      <c r="E100" s="5">
        <v>103.3</v>
      </c>
      <c r="F100" s="5">
        <v>204.6</v>
      </c>
      <c r="G100" s="5">
        <v>101.7</v>
      </c>
      <c r="H100" s="5">
        <v>101.6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103.1</v>
      </c>
      <c r="D101" s="5">
        <v>0.1</v>
      </c>
      <c r="E101" s="5">
        <v>103.3</v>
      </c>
      <c r="F101" s="5">
        <v>204.6</v>
      </c>
      <c r="G101" s="5">
        <v>101.7</v>
      </c>
      <c r="H101" s="5">
        <v>101.6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103.1</v>
      </c>
      <c r="D102" s="5">
        <v>0.1</v>
      </c>
      <c r="E102" s="5">
        <v>103.3</v>
      </c>
      <c r="F102" s="5">
        <v>204.6</v>
      </c>
      <c r="G102" s="5">
        <v>101.4</v>
      </c>
      <c r="H102" s="5">
        <v>101.2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102.6</v>
      </c>
      <c r="D103" s="5">
        <v>0.1</v>
      </c>
      <c r="E103" s="5">
        <v>102.7</v>
      </c>
      <c r="F103" s="5">
        <v>203.9</v>
      </c>
      <c r="G103" s="5">
        <v>101.4</v>
      </c>
      <c r="H103" s="5">
        <v>101.2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97.4</v>
      </c>
      <c r="D104" s="5">
        <v>0.1</v>
      </c>
      <c r="E104" s="5">
        <v>97.6</v>
      </c>
      <c r="F104" s="5">
        <v>200.9</v>
      </c>
      <c r="G104" s="5">
        <v>99.7</v>
      </c>
      <c r="H104" s="5">
        <v>99.3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98.2</v>
      </c>
      <c r="D105" s="5">
        <v>0.1</v>
      </c>
      <c r="E105" s="5">
        <v>98.3</v>
      </c>
      <c r="F105" s="5">
        <v>193.7</v>
      </c>
      <c r="G105" s="5">
        <v>96.3</v>
      </c>
      <c r="H105" s="5">
        <v>96.2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98.2</v>
      </c>
      <c r="D106" s="5">
        <v>0.1</v>
      </c>
      <c r="E106" s="5">
        <v>98.3</v>
      </c>
      <c r="F106" s="5">
        <v>193.7</v>
      </c>
      <c r="G106" s="5">
        <v>96.3</v>
      </c>
      <c r="H106" s="5">
        <v>96.2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96.7</v>
      </c>
      <c r="D107" s="5">
        <v>0.1</v>
      </c>
      <c r="E107" s="5">
        <v>96.8</v>
      </c>
      <c r="F107" s="5">
        <v>191.3</v>
      </c>
      <c r="G107" s="5">
        <v>94.5</v>
      </c>
      <c r="H107" s="5">
        <v>94.4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98.6</v>
      </c>
      <c r="D108" s="5">
        <v>0.1</v>
      </c>
      <c r="E108" s="5">
        <v>98.7</v>
      </c>
      <c r="F108" s="5">
        <v>198.2</v>
      </c>
      <c r="G108" s="5">
        <v>98.4</v>
      </c>
      <c r="H108" s="5">
        <v>98.1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98.6</v>
      </c>
      <c r="D109" s="5">
        <v>0.1</v>
      </c>
      <c r="E109" s="5">
        <v>98.7</v>
      </c>
      <c r="F109" s="5">
        <v>198.2</v>
      </c>
      <c r="G109" s="5">
        <v>98.4</v>
      </c>
      <c r="H109" s="5">
        <v>98.1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99.2</v>
      </c>
      <c r="D110" s="5">
        <v>0.1</v>
      </c>
      <c r="E110" s="5">
        <v>99.3</v>
      </c>
      <c r="F110" s="5">
        <v>197.2</v>
      </c>
      <c r="G110" s="5">
        <v>97.9</v>
      </c>
      <c r="H110" s="5">
        <v>97.8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99.2</v>
      </c>
      <c r="D111" s="5">
        <v>0.1</v>
      </c>
      <c r="E111" s="5">
        <v>99.3</v>
      </c>
      <c r="F111" s="5">
        <v>197.2</v>
      </c>
      <c r="G111" s="5">
        <v>97.9</v>
      </c>
      <c r="H111" s="5">
        <v>97.8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104.4</v>
      </c>
      <c r="D112" s="5">
        <v>0.1</v>
      </c>
      <c r="E112" s="5">
        <v>104.6</v>
      </c>
      <c r="F112" s="5">
        <v>207.2</v>
      </c>
      <c r="G112" s="5">
        <v>102.9</v>
      </c>
      <c r="H112" s="5">
        <v>102.8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104.4</v>
      </c>
      <c r="D113" s="5">
        <v>0.1</v>
      </c>
      <c r="E113" s="5">
        <v>104.6</v>
      </c>
      <c r="F113" s="5">
        <v>207.2</v>
      </c>
      <c r="G113" s="5">
        <v>102.9</v>
      </c>
      <c r="H113" s="5">
        <v>102.8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103.7</v>
      </c>
      <c r="D114" s="5">
        <v>0.1</v>
      </c>
      <c r="E114" s="5">
        <v>100.2</v>
      </c>
      <c r="F114" s="5">
        <v>199.7</v>
      </c>
      <c r="G114" s="5">
        <v>100.1</v>
      </c>
      <c r="H114" s="5">
        <v>102.3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103.7</v>
      </c>
      <c r="D115" s="5">
        <v>0.1</v>
      </c>
      <c r="E115" s="5">
        <v>103.8</v>
      </c>
      <c r="F115" s="5">
        <v>204.5</v>
      </c>
      <c r="G115" s="5">
        <v>101.6</v>
      </c>
      <c r="H115" s="5">
        <v>101.5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103.7</v>
      </c>
      <c r="D116" s="5">
        <v>0.1</v>
      </c>
      <c r="E116" s="5">
        <v>103.8</v>
      </c>
      <c r="F116" s="5">
        <v>204.5</v>
      </c>
      <c r="G116" s="5">
        <v>101.6</v>
      </c>
      <c r="H116" s="5">
        <v>101.5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102.3</v>
      </c>
      <c r="D117" s="5">
        <v>0.1</v>
      </c>
      <c r="E117" s="5">
        <v>102.4</v>
      </c>
      <c r="F117" s="5">
        <v>192.2</v>
      </c>
      <c r="G117" s="5">
        <v>95.5</v>
      </c>
      <c r="H117" s="5">
        <v>95.4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102.3</v>
      </c>
      <c r="D118" s="5">
        <v>0.1</v>
      </c>
      <c r="E118" s="5">
        <v>102.4</v>
      </c>
      <c r="F118" s="5">
        <v>192.2</v>
      </c>
      <c r="G118" s="5">
        <v>95.5</v>
      </c>
      <c r="H118" s="5">
        <v>95.4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100.9</v>
      </c>
      <c r="D119" s="5">
        <v>0.1</v>
      </c>
      <c r="E119" s="5">
        <v>101.1</v>
      </c>
      <c r="F119" s="5">
        <v>192.1</v>
      </c>
      <c r="G119" s="5">
        <v>95.4</v>
      </c>
      <c r="H119" s="5">
        <v>95.3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100.9</v>
      </c>
      <c r="D120" s="5">
        <v>0.1</v>
      </c>
      <c r="E120" s="5">
        <v>101.1</v>
      </c>
      <c r="F120" s="5">
        <v>192.1</v>
      </c>
      <c r="G120" s="5">
        <v>95.4</v>
      </c>
      <c r="H120" s="5">
        <v>95.3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101.5</v>
      </c>
      <c r="D121" s="5">
        <v>0.1</v>
      </c>
      <c r="E121" s="5">
        <v>101.7</v>
      </c>
      <c r="F121" s="5">
        <v>192.3</v>
      </c>
      <c r="G121" s="5">
        <v>95.5</v>
      </c>
      <c r="H121" s="5">
        <v>95.4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101.5</v>
      </c>
      <c r="D122" s="5">
        <v>0.1</v>
      </c>
      <c r="E122" s="5">
        <v>101.7</v>
      </c>
      <c r="F122" s="5">
        <v>192.3</v>
      </c>
      <c r="G122" s="5">
        <v>95.5</v>
      </c>
      <c r="H122" s="5">
        <v>95.4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98.9</v>
      </c>
      <c r="D123" s="5">
        <v>0.1</v>
      </c>
      <c r="E123" s="5">
        <v>99.1</v>
      </c>
      <c r="F123" s="5">
        <v>196.6</v>
      </c>
      <c r="G123" s="5">
        <v>97.6</v>
      </c>
      <c r="H123" s="5">
        <v>100.8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98.9</v>
      </c>
      <c r="D124" s="5">
        <v>0.1</v>
      </c>
      <c r="E124" s="5">
        <v>99.1</v>
      </c>
      <c r="F124" s="5">
        <v>196.6</v>
      </c>
      <c r="G124" s="5">
        <v>97.6</v>
      </c>
      <c r="H124" s="5">
        <v>100.8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103.8</v>
      </c>
      <c r="D125" s="5">
        <v>0.1</v>
      </c>
      <c r="E125" s="5">
        <v>104</v>
      </c>
      <c r="F125" s="5">
        <v>205.8</v>
      </c>
      <c r="G125" s="5">
        <v>102.3</v>
      </c>
      <c r="H125" s="5">
        <v>102.3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102.4</v>
      </c>
      <c r="D126" s="5">
        <v>0.1</v>
      </c>
      <c r="E126" s="5">
        <v>102.5</v>
      </c>
      <c r="F126" s="5">
        <v>203</v>
      </c>
      <c r="G126" s="5">
        <v>100.9</v>
      </c>
      <c r="H126" s="5">
        <v>100.8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102.4</v>
      </c>
      <c r="D127" s="5">
        <v>0.1</v>
      </c>
      <c r="E127" s="5">
        <v>102.5</v>
      </c>
      <c r="F127" s="5">
        <v>203</v>
      </c>
      <c r="G127" s="5">
        <v>100.9</v>
      </c>
      <c r="H127" s="5">
        <v>100.8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102.4</v>
      </c>
      <c r="D128" s="5">
        <v>0.1</v>
      </c>
      <c r="E128" s="5">
        <v>102.5</v>
      </c>
      <c r="F128" s="5">
        <v>202.4</v>
      </c>
      <c r="G128" s="5">
        <v>100.5</v>
      </c>
      <c r="H128" s="5">
        <v>100.3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102.4</v>
      </c>
      <c r="D129" s="5">
        <v>0.1</v>
      </c>
      <c r="E129" s="5">
        <v>102.5</v>
      </c>
      <c r="F129" s="5">
        <v>202.4</v>
      </c>
      <c r="G129" s="5">
        <v>100.5</v>
      </c>
      <c r="H129" s="5">
        <v>100.3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101.8</v>
      </c>
      <c r="D130" s="5">
        <v>0.1</v>
      </c>
      <c r="E130" s="5">
        <v>102</v>
      </c>
      <c r="F130" s="5">
        <v>202.9</v>
      </c>
      <c r="G130" s="5">
        <v>100.5</v>
      </c>
      <c r="H130" s="5">
        <v>100.4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101.8</v>
      </c>
      <c r="D131" s="5">
        <v>0.1</v>
      </c>
      <c r="E131" s="5">
        <v>102</v>
      </c>
      <c r="F131" s="5">
        <v>202.9</v>
      </c>
      <c r="G131" s="5">
        <v>100.5</v>
      </c>
      <c r="H131" s="5">
        <v>100.4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104.6</v>
      </c>
      <c r="D132" s="5">
        <v>0.1</v>
      </c>
      <c r="E132" s="5">
        <v>104.7</v>
      </c>
      <c r="F132" s="5">
        <v>206.3</v>
      </c>
      <c r="G132" s="5">
        <v>102.5</v>
      </c>
      <c r="H132" s="5">
        <v>102.4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99.8</v>
      </c>
      <c r="D133" s="5">
        <v>0.1</v>
      </c>
      <c r="E133" s="5">
        <v>99.9</v>
      </c>
      <c r="F133" s="5">
        <v>199.5</v>
      </c>
      <c r="G133" s="5">
        <v>99.2</v>
      </c>
      <c r="H133" s="5">
        <v>99.1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99.8</v>
      </c>
      <c r="D134" s="5">
        <v>0.1</v>
      </c>
      <c r="E134" s="5">
        <v>99.9</v>
      </c>
      <c r="F134" s="5">
        <v>199.5</v>
      </c>
      <c r="G134" s="5">
        <v>99.2</v>
      </c>
      <c r="H134" s="5">
        <v>99.1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100.2</v>
      </c>
      <c r="D135" s="5">
        <v>0.1</v>
      </c>
      <c r="E135" s="5">
        <v>100.3</v>
      </c>
      <c r="F135" s="5">
        <v>199.4</v>
      </c>
      <c r="G135" s="5">
        <v>99.1</v>
      </c>
      <c r="H135" s="5">
        <v>99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103.3</v>
      </c>
      <c r="D136" s="5">
        <v>0.1</v>
      </c>
      <c r="E136" s="5">
        <v>103.4</v>
      </c>
      <c r="F136" s="5">
        <v>205.6</v>
      </c>
      <c r="G136" s="5">
        <v>102.3</v>
      </c>
      <c r="H136" s="5">
        <v>102.1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103.3</v>
      </c>
      <c r="D137" s="5">
        <v>0.1</v>
      </c>
      <c r="E137" s="5">
        <v>103.4</v>
      </c>
      <c r="F137" s="5">
        <v>205.6</v>
      </c>
      <c r="G137" s="5">
        <v>102.3</v>
      </c>
      <c r="H137" s="5">
        <v>102.1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103.5</v>
      </c>
      <c r="D138" s="5">
        <v>0.1</v>
      </c>
      <c r="E138" s="5">
        <v>103.6</v>
      </c>
      <c r="F138" s="5">
        <v>206</v>
      </c>
      <c r="G138" s="5">
        <v>102.1</v>
      </c>
      <c r="H138" s="5">
        <v>102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103.5</v>
      </c>
      <c r="D139" s="5">
        <v>0.1</v>
      </c>
      <c r="E139" s="5">
        <v>103.6</v>
      </c>
      <c r="F139" s="5">
        <v>206</v>
      </c>
      <c r="G139" s="5">
        <v>102.1</v>
      </c>
      <c r="H139" s="5">
        <v>102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103.5</v>
      </c>
      <c r="D140" s="5">
        <v>0.1</v>
      </c>
      <c r="E140" s="5">
        <v>103.6</v>
      </c>
      <c r="F140" s="5">
        <v>206</v>
      </c>
      <c r="G140" s="5">
        <v>102.1</v>
      </c>
      <c r="H140" s="5">
        <v>102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104.9</v>
      </c>
      <c r="D141" s="5">
        <v>0.1</v>
      </c>
      <c r="E141" s="5">
        <v>105</v>
      </c>
      <c r="F141" s="5">
        <v>208.9</v>
      </c>
      <c r="G141" s="5">
        <v>103.7</v>
      </c>
      <c r="H141" s="5">
        <v>103.6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104.9</v>
      </c>
      <c r="D142" s="5">
        <v>0.1</v>
      </c>
      <c r="E142" s="5">
        <v>105</v>
      </c>
      <c r="F142" s="5">
        <v>208.9</v>
      </c>
      <c r="G142" s="5">
        <v>103.7</v>
      </c>
      <c r="H142" s="5">
        <v>103.6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104.6</v>
      </c>
      <c r="D143" s="5">
        <v>0.1</v>
      </c>
      <c r="E143" s="5">
        <v>104.8</v>
      </c>
      <c r="F143" s="5">
        <v>207.6</v>
      </c>
      <c r="G143" s="5">
        <v>103.1</v>
      </c>
      <c r="H143" s="5">
        <v>103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104.6</v>
      </c>
      <c r="D144" s="5">
        <v>0.1</v>
      </c>
      <c r="E144" s="5">
        <v>104.8</v>
      </c>
      <c r="F144" s="5">
        <v>207.6</v>
      </c>
      <c r="G144" s="5">
        <v>103.1</v>
      </c>
      <c r="H144" s="5">
        <v>103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104.6</v>
      </c>
      <c r="D145" s="5">
        <v>0.1</v>
      </c>
      <c r="E145" s="5">
        <v>104.8</v>
      </c>
      <c r="F145" s="5">
        <v>207.6</v>
      </c>
      <c r="G145" s="5">
        <v>103.1</v>
      </c>
      <c r="H145" s="5">
        <v>103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104.6</v>
      </c>
      <c r="D146" s="5">
        <v>0.1</v>
      </c>
      <c r="E146" s="5">
        <v>104.8</v>
      </c>
      <c r="F146" s="5">
        <v>207.6</v>
      </c>
      <c r="G146" s="5">
        <v>103.1</v>
      </c>
      <c r="H146" s="5">
        <v>103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105</v>
      </c>
      <c r="D147" s="5">
        <v>0.1</v>
      </c>
      <c r="E147" s="5">
        <v>105.1</v>
      </c>
      <c r="F147" s="5">
        <v>208.4</v>
      </c>
      <c r="G147" s="5">
        <v>103.5</v>
      </c>
      <c r="H147" s="5">
        <v>103.3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105</v>
      </c>
      <c r="D148" s="5">
        <v>0.1</v>
      </c>
      <c r="E148" s="5">
        <v>105.1</v>
      </c>
      <c r="F148" s="5">
        <v>208.4</v>
      </c>
      <c r="G148" s="5">
        <v>103.5</v>
      </c>
      <c r="H148" s="5">
        <v>103.3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105</v>
      </c>
      <c r="D149" s="5">
        <v>0.1</v>
      </c>
      <c r="E149" s="5">
        <v>105.2</v>
      </c>
      <c r="F149" s="5">
        <v>208.2</v>
      </c>
      <c r="G149" s="5">
        <v>103.4</v>
      </c>
      <c r="H149" s="5">
        <v>103.2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105</v>
      </c>
      <c r="D150" s="5">
        <v>0.1</v>
      </c>
      <c r="E150" s="5">
        <v>105.2</v>
      </c>
      <c r="F150" s="5">
        <v>208.2</v>
      </c>
      <c r="G150" s="5">
        <v>103.4</v>
      </c>
      <c r="H150" s="5">
        <v>103.2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105.1</v>
      </c>
      <c r="D151" s="5">
        <v>0.1</v>
      </c>
      <c r="E151" s="5">
        <v>105.3</v>
      </c>
      <c r="F151" s="5">
        <v>209.4</v>
      </c>
      <c r="G151" s="5">
        <v>104</v>
      </c>
      <c r="H151" s="5">
        <v>103.8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105.1</v>
      </c>
      <c r="D152" s="5">
        <v>0.1</v>
      </c>
      <c r="E152" s="5">
        <v>105.3</v>
      </c>
      <c r="F152" s="5">
        <v>209.4</v>
      </c>
      <c r="G152" s="5">
        <v>104</v>
      </c>
      <c r="H152" s="5">
        <v>103.8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105.1</v>
      </c>
      <c r="D153" s="5">
        <v>0.1</v>
      </c>
      <c r="E153" s="5">
        <v>105.3</v>
      </c>
      <c r="F153" s="5">
        <v>209.6</v>
      </c>
      <c r="G153" s="5">
        <v>104</v>
      </c>
      <c r="H153" s="5">
        <v>103.9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105.1</v>
      </c>
      <c r="D154" s="5">
        <v>0.1</v>
      </c>
      <c r="E154" s="5">
        <v>105.3</v>
      </c>
      <c r="F154" s="5">
        <v>209.6</v>
      </c>
      <c r="G154" s="5">
        <v>104</v>
      </c>
      <c r="H154" s="5">
        <v>103.9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105.1</v>
      </c>
      <c r="D155" s="5">
        <v>0.1</v>
      </c>
      <c r="E155" s="5">
        <v>105.3</v>
      </c>
      <c r="F155" s="5">
        <v>209.6</v>
      </c>
      <c r="G155" s="5">
        <v>104</v>
      </c>
      <c r="H155" s="5">
        <v>103.9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105.1</v>
      </c>
      <c r="D156" s="5">
        <v>0.1</v>
      </c>
      <c r="E156" s="5">
        <v>105.3</v>
      </c>
      <c r="F156" s="5">
        <v>209.6</v>
      </c>
      <c r="G156" s="5">
        <v>104</v>
      </c>
      <c r="H156" s="5">
        <v>103.9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105.6</v>
      </c>
      <c r="D157" s="5">
        <v>0.1</v>
      </c>
      <c r="E157" s="5">
        <v>105.8</v>
      </c>
      <c r="F157" s="5">
        <v>209.5</v>
      </c>
      <c r="G157" s="5">
        <v>104.1</v>
      </c>
      <c r="H157" s="5">
        <v>103.9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105.6</v>
      </c>
      <c r="D158" s="5">
        <v>0.1</v>
      </c>
      <c r="E158" s="5">
        <v>105.8</v>
      </c>
      <c r="F158" s="5">
        <v>209.5</v>
      </c>
      <c r="G158" s="5">
        <v>104.1</v>
      </c>
      <c r="H158" s="5">
        <v>103.9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105.8</v>
      </c>
      <c r="D159" s="5">
        <v>0.1</v>
      </c>
      <c r="E159" s="5">
        <v>105.9</v>
      </c>
      <c r="F159" s="5">
        <v>210.1</v>
      </c>
      <c r="G159" s="5">
        <v>104.3</v>
      </c>
      <c r="H159" s="5">
        <v>104.2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105.8</v>
      </c>
      <c r="D160" s="5">
        <v>0.1</v>
      </c>
      <c r="E160" s="5">
        <v>105.9</v>
      </c>
      <c r="F160" s="5">
        <v>210.1</v>
      </c>
      <c r="G160" s="5">
        <v>104.3</v>
      </c>
      <c r="H160" s="5">
        <v>104.2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105.9</v>
      </c>
      <c r="D161" s="5">
        <v>0.1</v>
      </c>
      <c r="E161" s="5">
        <v>106</v>
      </c>
      <c r="F161" s="5">
        <v>210.3</v>
      </c>
      <c r="G161" s="5">
        <v>104.4</v>
      </c>
      <c r="H161" s="5">
        <v>104.2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105.9</v>
      </c>
      <c r="D162" s="5">
        <v>0.1</v>
      </c>
      <c r="E162" s="5">
        <v>106</v>
      </c>
      <c r="F162" s="5">
        <v>210.3</v>
      </c>
      <c r="G162" s="5">
        <v>104.4</v>
      </c>
      <c r="H162" s="5">
        <v>104.2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106.1</v>
      </c>
      <c r="D163" s="5">
        <v>0.1</v>
      </c>
      <c r="E163" s="5">
        <v>106.2</v>
      </c>
      <c r="F163" s="5">
        <v>210.4</v>
      </c>
      <c r="G163" s="5">
        <v>104.5</v>
      </c>
      <c r="H163" s="5">
        <v>104.3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106.1</v>
      </c>
      <c r="D164" s="5">
        <v>0.1</v>
      </c>
      <c r="E164" s="5">
        <v>106.2</v>
      </c>
      <c r="F164" s="5">
        <v>210.4</v>
      </c>
      <c r="G164" s="5">
        <v>104.5</v>
      </c>
      <c r="H164" s="5">
        <v>104.3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106.1</v>
      </c>
      <c r="D165" s="5">
        <v>0.1</v>
      </c>
      <c r="E165" s="5">
        <v>106.2</v>
      </c>
      <c r="F165" s="5">
        <v>210.4</v>
      </c>
      <c r="G165" s="5">
        <v>104.5</v>
      </c>
      <c r="H165" s="5">
        <v>104.3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103.8</v>
      </c>
      <c r="D166" s="5">
        <v>0.1</v>
      </c>
      <c r="E166" s="5">
        <v>104.6</v>
      </c>
      <c r="F166" s="5">
        <v>207.7</v>
      </c>
      <c r="G166" s="5">
        <v>102.9</v>
      </c>
      <c r="H166" s="5">
        <v>102.7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103.8</v>
      </c>
      <c r="D167" s="5">
        <v>0.1</v>
      </c>
      <c r="E167" s="5">
        <v>104</v>
      </c>
      <c r="F167" s="5">
        <v>207.1</v>
      </c>
      <c r="G167" s="5">
        <v>102.9</v>
      </c>
      <c r="H167" s="5">
        <v>102.7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103.8</v>
      </c>
      <c r="D168" s="5">
        <v>0.1</v>
      </c>
      <c r="E168" s="5">
        <v>104</v>
      </c>
      <c r="F168" s="5">
        <v>207.1</v>
      </c>
      <c r="G168" s="5">
        <v>102.9</v>
      </c>
      <c r="H168" s="5">
        <v>102.7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103.8</v>
      </c>
      <c r="D169" s="5">
        <v>0.1</v>
      </c>
      <c r="E169" s="5">
        <v>104</v>
      </c>
      <c r="F169" s="5">
        <v>207.1</v>
      </c>
      <c r="G169" s="5">
        <v>102.9</v>
      </c>
      <c r="H169" s="5">
        <v>102.7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103.8</v>
      </c>
      <c r="D170" s="5">
        <v>0.1</v>
      </c>
      <c r="E170" s="5">
        <v>104</v>
      </c>
      <c r="F170" s="5">
        <v>207.1</v>
      </c>
      <c r="G170" s="5">
        <v>102.9</v>
      </c>
      <c r="H170" s="5">
        <v>102.7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103.8</v>
      </c>
      <c r="D171" s="5">
        <v>0.1</v>
      </c>
      <c r="E171" s="5">
        <v>104</v>
      </c>
      <c r="F171" s="5">
        <v>207.1</v>
      </c>
      <c r="G171" s="5">
        <v>102.9</v>
      </c>
      <c r="H171" s="5">
        <v>102.7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105.4</v>
      </c>
      <c r="D172" s="5">
        <v>0.1</v>
      </c>
      <c r="E172" s="5">
        <v>105.5</v>
      </c>
      <c r="F172" s="5">
        <v>209.5</v>
      </c>
      <c r="G172" s="5">
        <v>104.1</v>
      </c>
      <c r="H172" s="5">
        <v>104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105.4</v>
      </c>
      <c r="D173" s="5">
        <v>0.1</v>
      </c>
      <c r="E173" s="5">
        <v>105.5</v>
      </c>
      <c r="F173" s="5">
        <v>209.5</v>
      </c>
      <c r="G173" s="5">
        <v>104.1</v>
      </c>
      <c r="H173" s="5">
        <v>104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104.8</v>
      </c>
      <c r="D174" s="5">
        <v>0.1</v>
      </c>
      <c r="E174" s="5">
        <v>104.9</v>
      </c>
      <c r="F174" s="5">
        <v>208.2</v>
      </c>
      <c r="G174" s="5">
        <v>103.2</v>
      </c>
      <c r="H174" s="5">
        <v>103.1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104.8</v>
      </c>
      <c r="D175" s="5">
        <v>0.1</v>
      </c>
      <c r="E175" s="5">
        <v>104.9</v>
      </c>
      <c r="F175" s="5">
        <v>208.2</v>
      </c>
      <c r="G175" s="5">
        <v>103.2</v>
      </c>
      <c r="H175" s="5">
        <v>103.1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104.8</v>
      </c>
      <c r="D176" s="5">
        <v>0.1</v>
      </c>
      <c r="E176" s="5">
        <v>105</v>
      </c>
      <c r="F176" s="5">
        <v>208.4</v>
      </c>
      <c r="G176" s="5">
        <v>103.5</v>
      </c>
      <c r="H176" s="5">
        <v>103.4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104.8</v>
      </c>
      <c r="D177" s="5">
        <v>0.1</v>
      </c>
      <c r="E177" s="5">
        <v>105</v>
      </c>
      <c r="F177" s="5">
        <v>208.4</v>
      </c>
      <c r="G177" s="5">
        <v>103.5</v>
      </c>
      <c r="H177" s="5">
        <v>103.4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104.8</v>
      </c>
      <c r="D178" s="5">
        <v>0.1</v>
      </c>
      <c r="E178" s="5">
        <v>105</v>
      </c>
      <c r="F178" s="5">
        <v>208.4</v>
      </c>
      <c r="G178" s="5">
        <v>103.5</v>
      </c>
      <c r="H178" s="5">
        <v>103.4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104.8</v>
      </c>
      <c r="D179" s="5">
        <v>0.1</v>
      </c>
      <c r="E179" s="5">
        <v>105</v>
      </c>
      <c r="F179" s="5">
        <v>208.4</v>
      </c>
      <c r="G179" s="5">
        <v>103.5</v>
      </c>
      <c r="H179" s="5">
        <v>103.4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103.7</v>
      </c>
      <c r="D180" s="5">
        <v>0.1</v>
      </c>
      <c r="E180" s="5">
        <v>103.8</v>
      </c>
      <c r="F180" s="5">
        <v>206.1</v>
      </c>
      <c r="G180" s="5">
        <v>102.5</v>
      </c>
      <c r="H180" s="5">
        <v>102.4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103.7</v>
      </c>
      <c r="D181" s="5">
        <v>0.1</v>
      </c>
      <c r="E181" s="5">
        <v>103.8</v>
      </c>
      <c r="F181" s="5">
        <v>206.1</v>
      </c>
      <c r="G181" s="5">
        <v>102.5</v>
      </c>
      <c r="H181" s="5">
        <v>102.4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103.4</v>
      </c>
      <c r="D182" s="5">
        <v>0.1</v>
      </c>
      <c r="E182" s="5">
        <v>103.4</v>
      </c>
      <c r="F182" s="5">
        <v>205.5</v>
      </c>
      <c r="G182" s="5">
        <v>102.1</v>
      </c>
      <c r="H182" s="5">
        <v>102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103.4</v>
      </c>
      <c r="D183" s="5">
        <v>0.1</v>
      </c>
      <c r="E183" s="5">
        <v>103.4</v>
      </c>
      <c r="F183" s="5">
        <v>205.5</v>
      </c>
      <c r="G183" s="5">
        <v>102.1</v>
      </c>
      <c r="H183" s="5">
        <v>102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104</v>
      </c>
      <c r="D184" s="5">
        <v>0.1</v>
      </c>
      <c r="E184" s="5">
        <v>104.1</v>
      </c>
      <c r="F184" s="5">
        <v>206.2</v>
      </c>
      <c r="G184" s="5">
        <v>102.5</v>
      </c>
      <c r="H184" s="5">
        <v>102.4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104</v>
      </c>
      <c r="D185" s="5">
        <v>0.1</v>
      </c>
      <c r="E185" s="5">
        <v>104.1</v>
      </c>
      <c r="F185" s="5">
        <v>206.2</v>
      </c>
      <c r="G185" s="5">
        <v>102.5</v>
      </c>
      <c r="H185" s="5">
        <v>102.4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104.5</v>
      </c>
      <c r="D186" s="5">
        <v>0.1</v>
      </c>
      <c r="E186" s="5">
        <v>104.6</v>
      </c>
      <c r="F186" s="5">
        <v>207.8</v>
      </c>
      <c r="G186" s="5">
        <v>103.3</v>
      </c>
      <c r="H186" s="5">
        <v>103.1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104.5</v>
      </c>
      <c r="D187" s="5">
        <v>0.1</v>
      </c>
      <c r="E187" s="5">
        <v>104.6</v>
      </c>
      <c r="F187" s="5">
        <v>207.8</v>
      </c>
      <c r="G187" s="5">
        <v>103.3</v>
      </c>
      <c r="H187" s="5">
        <v>103.1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104.5</v>
      </c>
      <c r="D188" s="5">
        <v>0.1</v>
      </c>
      <c r="E188" s="5">
        <v>104.6</v>
      </c>
      <c r="F188" s="5">
        <v>207.8</v>
      </c>
      <c r="G188" s="5">
        <v>103.3</v>
      </c>
      <c r="H188" s="5">
        <v>103.1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104.5</v>
      </c>
      <c r="D189" s="5">
        <v>0.1</v>
      </c>
      <c r="E189" s="5">
        <v>104.6</v>
      </c>
      <c r="F189" s="5">
        <v>207.8</v>
      </c>
      <c r="G189" s="5">
        <v>103.3</v>
      </c>
      <c r="H189" s="5">
        <v>103.1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104.7</v>
      </c>
      <c r="D190" s="5">
        <v>0.1</v>
      </c>
      <c r="E190" s="5">
        <v>104.9</v>
      </c>
      <c r="F190" s="5">
        <v>207.8</v>
      </c>
      <c r="G190" s="5">
        <v>103.3</v>
      </c>
      <c r="H190" s="5">
        <v>103.1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104.7</v>
      </c>
      <c r="D191" s="5">
        <v>0.1</v>
      </c>
      <c r="E191" s="5">
        <v>104.9</v>
      </c>
      <c r="F191" s="5">
        <v>207.8</v>
      </c>
      <c r="G191" s="5">
        <v>103.3</v>
      </c>
      <c r="H191" s="5">
        <v>103.1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104.5</v>
      </c>
      <c r="D192" s="5">
        <v>0.1</v>
      </c>
      <c r="E192" s="5">
        <v>104.6</v>
      </c>
      <c r="F192" s="5">
        <v>207.7</v>
      </c>
      <c r="G192" s="5">
        <v>103.2</v>
      </c>
      <c r="H192" s="5">
        <v>103.1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104.5</v>
      </c>
      <c r="D193" s="5">
        <v>0.1</v>
      </c>
      <c r="E193" s="5">
        <v>104.6</v>
      </c>
      <c r="F193" s="5">
        <v>207.7</v>
      </c>
      <c r="G193" s="5">
        <v>103.2</v>
      </c>
      <c r="H193" s="5">
        <v>103.1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104.6</v>
      </c>
      <c r="D194" s="5">
        <v>0.1</v>
      </c>
      <c r="E194" s="5">
        <v>104.7</v>
      </c>
      <c r="F194" s="5">
        <v>207.6</v>
      </c>
      <c r="G194" s="5">
        <v>103.2</v>
      </c>
      <c r="H194" s="5">
        <v>103.1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104.6</v>
      </c>
      <c r="D195" s="5">
        <v>0.1</v>
      </c>
      <c r="E195" s="5">
        <v>104.7</v>
      </c>
      <c r="F195" s="5">
        <v>207.6</v>
      </c>
      <c r="G195" s="5">
        <v>103.2</v>
      </c>
      <c r="H195" s="5">
        <v>103.1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104.3</v>
      </c>
      <c r="D196" s="5">
        <v>0.1</v>
      </c>
      <c r="E196" s="5">
        <v>104.4</v>
      </c>
      <c r="F196" s="5">
        <v>207.9</v>
      </c>
      <c r="G196" s="5">
        <v>103.3</v>
      </c>
      <c r="H196" s="5">
        <v>103.1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104.3</v>
      </c>
      <c r="D197" s="5">
        <v>0.1</v>
      </c>
      <c r="E197" s="5">
        <v>104.4</v>
      </c>
      <c r="F197" s="5">
        <v>207.9</v>
      </c>
      <c r="G197" s="5">
        <v>103.3</v>
      </c>
      <c r="H197" s="5">
        <v>103.1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104.3</v>
      </c>
      <c r="D198" s="5">
        <v>0.1</v>
      </c>
      <c r="E198" s="5">
        <v>104.4</v>
      </c>
      <c r="F198" s="5">
        <v>207.9</v>
      </c>
      <c r="G198" s="5">
        <v>103.3</v>
      </c>
      <c r="H198" s="5">
        <v>103.1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104.3</v>
      </c>
      <c r="D199" s="5">
        <v>0.1</v>
      </c>
      <c r="E199" s="5">
        <v>104.4</v>
      </c>
      <c r="F199" s="5">
        <v>207.9</v>
      </c>
      <c r="G199" s="5">
        <v>103.3</v>
      </c>
      <c r="H199" s="5">
        <v>103.1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105.6</v>
      </c>
      <c r="D200" s="5">
        <v>0.1</v>
      </c>
      <c r="E200" s="5">
        <v>105.7</v>
      </c>
      <c r="F200" s="5">
        <v>210.3</v>
      </c>
      <c r="G200" s="5">
        <v>104.6</v>
      </c>
      <c r="H200" s="5">
        <v>104.4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105.6</v>
      </c>
      <c r="D201" s="5">
        <v>0.1</v>
      </c>
      <c r="E201" s="5">
        <v>105.7</v>
      </c>
      <c r="F201" s="5">
        <v>210.3</v>
      </c>
      <c r="G201" s="5">
        <v>104.6</v>
      </c>
      <c r="H201" s="5">
        <v>104.4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105.5</v>
      </c>
      <c r="D202" s="5">
        <v>0.1</v>
      </c>
      <c r="E202" s="5">
        <v>105.6</v>
      </c>
      <c r="F202" s="5">
        <v>210.1</v>
      </c>
      <c r="G202" s="5">
        <v>104.4</v>
      </c>
      <c r="H202" s="5">
        <v>104.3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105.5</v>
      </c>
      <c r="D203" s="5">
        <v>0.1</v>
      </c>
      <c r="E203" s="5">
        <v>105.6</v>
      </c>
      <c r="F203" s="5">
        <v>210.1</v>
      </c>
      <c r="G203" s="5">
        <v>104.4</v>
      </c>
      <c r="H203" s="5">
        <v>104.3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105.3</v>
      </c>
      <c r="D204" s="5">
        <v>0.1</v>
      </c>
      <c r="E204" s="5">
        <v>105.5</v>
      </c>
      <c r="F204" s="5">
        <v>209.5</v>
      </c>
      <c r="G204" s="5">
        <v>104.1</v>
      </c>
      <c r="H204" s="5">
        <v>104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105.3</v>
      </c>
      <c r="D205" s="5">
        <v>0.1</v>
      </c>
      <c r="E205" s="5">
        <v>105.5</v>
      </c>
      <c r="F205" s="5">
        <v>209.5</v>
      </c>
      <c r="G205" s="5">
        <v>104.1</v>
      </c>
      <c r="H205" s="5">
        <v>104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105.5</v>
      </c>
      <c r="D206" s="5">
        <v>0.1</v>
      </c>
      <c r="E206" s="5">
        <v>105.6</v>
      </c>
      <c r="F206" s="5">
        <v>209.8</v>
      </c>
      <c r="G206" s="5">
        <v>104.3</v>
      </c>
      <c r="H206" s="5">
        <v>104.1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105.5</v>
      </c>
      <c r="D207" s="5">
        <v>0.1</v>
      </c>
      <c r="E207" s="5">
        <v>105.6</v>
      </c>
      <c r="F207" s="5">
        <v>209.8</v>
      </c>
      <c r="G207" s="5">
        <v>104.3</v>
      </c>
      <c r="H207" s="5">
        <v>104.1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105.5</v>
      </c>
      <c r="D208" s="5">
        <v>0.1</v>
      </c>
      <c r="E208" s="5">
        <v>105.6</v>
      </c>
      <c r="F208" s="5">
        <v>209.8</v>
      </c>
      <c r="G208" s="5">
        <v>104.3</v>
      </c>
      <c r="H208" s="5">
        <v>104.1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105.5</v>
      </c>
      <c r="D209" s="5">
        <v>0.1</v>
      </c>
      <c r="E209" s="5">
        <v>105.6</v>
      </c>
      <c r="F209" s="5">
        <v>209.8</v>
      </c>
      <c r="G209" s="5">
        <v>104.3</v>
      </c>
      <c r="H209" s="5">
        <v>104.1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105.6</v>
      </c>
      <c r="D210" s="5">
        <v>0.1</v>
      </c>
      <c r="E210" s="5">
        <v>105.7</v>
      </c>
      <c r="F210" s="5">
        <v>209.6</v>
      </c>
      <c r="G210" s="5">
        <v>104</v>
      </c>
      <c r="H210" s="5">
        <v>103.8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105.6</v>
      </c>
      <c r="D211" s="5">
        <v>0.1</v>
      </c>
      <c r="E211" s="5">
        <v>105.7</v>
      </c>
      <c r="F211" s="5">
        <v>209.6</v>
      </c>
      <c r="G211" s="5">
        <v>104</v>
      </c>
      <c r="H211" s="5">
        <v>103.8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106.2</v>
      </c>
      <c r="D212" s="5">
        <v>0.1</v>
      </c>
      <c r="E212" s="5">
        <v>106.3</v>
      </c>
      <c r="F212" s="5">
        <v>210.7</v>
      </c>
      <c r="G212" s="5">
        <v>104.8</v>
      </c>
      <c r="H212" s="5">
        <v>104.6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106.2</v>
      </c>
      <c r="D213" s="5">
        <v>0.1</v>
      </c>
      <c r="E213" s="5">
        <v>106.3</v>
      </c>
      <c r="F213" s="5">
        <v>210.7</v>
      </c>
      <c r="G213" s="5">
        <v>104.8</v>
      </c>
      <c r="H213" s="5">
        <v>104.6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105.6</v>
      </c>
      <c r="D214" s="5">
        <v>0.1</v>
      </c>
      <c r="E214" s="5">
        <v>105.8</v>
      </c>
      <c r="F214" s="5">
        <v>209.3</v>
      </c>
      <c r="G214" s="5">
        <v>104.2</v>
      </c>
      <c r="H214" s="5">
        <v>104.1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105.6</v>
      </c>
      <c r="D215" s="5">
        <v>0.1</v>
      </c>
      <c r="E215" s="5">
        <v>105.8</v>
      </c>
      <c r="F215" s="5">
        <v>209.3</v>
      </c>
      <c r="G215" s="5">
        <v>104.2</v>
      </c>
      <c r="H215" s="5">
        <v>104.1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105</v>
      </c>
      <c r="D216" s="5">
        <v>0.1</v>
      </c>
      <c r="E216" s="5">
        <v>105.2</v>
      </c>
      <c r="F216" s="5">
        <v>209.2</v>
      </c>
      <c r="G216" s="5">
        <v>103.4</v>
      </c>
      <c r="H216" s="5">
        <v>103.1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105</v>
      </c>
      <c r="D217" s="5">
        <v>0.1</v>
      </c>
      <c r="E217" s="5">
        <v>105.2</v>
      </c>
      <c r="F217" s="5">
        <v>209.2</v>
      </c>
      <c r="G217" s="5">
        <v>103.4</v>
      </c>
      <c r="H217" s="5">
        <v>103.1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105</v>
      </c>
      <c r="D218" s="5">
        <v>0.1</v>
      </c>
      <c r="E218" s="5">
        <v>105.2</v>
      </c>
      <c r="F218" s="5">
        <v>209.2</v>
      </c>
      <c r="G218" s="5">
        <v>103.4</v>
      </c>
      <c r="H218" s="5">
        <v>103.1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105</v>
      </c>
      <c r="D219" s="5">
        <v>0.1</v>
      </c>
      <c r="E219" s="5">
        <v>105.2</v>
      </c>
      <c r="F219" s="5">
        <v>209.2</v>
      </c>
      <c r="G219" s="5">
        <v>103.4</v>
      </c>
      <c r="H219" s="5">
        <v>103.1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104.5</v>
      </c>
      <c r="D220" s="5">
        <v>0.1</v>
      </c>
      <c r="E220" s="5">
        <v>104.6</v>
      </c>
      <c r="F220" s="5">
        <v>209.4</v>
      </c>
      <c r="G220" s="5">
        <v>104</v>
      </c>
      <c r="H220" s="5">
        <v>103.9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104.5</v>
      </c>
      <c r="D221" s="5">
        <v>0.1</v>
      </c>
      <c r="E221" s="5">
        <v>104.6</v>
      </c>
      <c r="F221" s="5">
        <v>209.4</v>
      </c>
      <c r="G221" s="5">
        <v>104</v>
      </c>
      <c r="H221" s="5">
        <v>103.9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105.2</v>
      </c>
      <c r="D222" s="5">
        <v>0.1</v>
      </c>
      <c r="E222" s="5">
        <v>105.3</v>
      </c>
      <c r="F222" s="5">
        <v>210.4</v>
      </c>
      <c r="G222" s="5">
        <v>104.6</v>
      </c>
      <c r="H222" s="5">
        <v>104.4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105.2</v>
      </c>
      <c r="D223" s="5">
        <v>0.1</v>
      </c>
      <c r="E223" s="5">
        <v>105.3</v>
      </c>
      <c r="F223" s="5">
        <v>210.4</v>
      </c>
      <c r="G223" s="5">
        <v>104.6</v>
      </c>
      <c r="H223" s="5">
        <v>104.4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105.7</v>
      </c>
      <c r="D224" s="5">
        <v>0.1</v>
      </c>
      <c r="E224" s="5">
        <v>105.9</v>
      </c>
      <c r="F224" s="5">
        <v>209.8</v>
      </c>
      <c r="G224" s="5">
        <v>104.2</v>
      </c>
      <c r="H224" s="5">
        <v>104.1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105.7</v>
      </c>
      <c r="D225" s="5">
        <v>0.1</v>
      </c>
      <c r="E225" s="5">
        <v>105.9</v>
      </c>
      <c r="F225" s="5">
        <v>209.8</v>
      </c>
      <c r="G225" s="5">
        <v>104.2</v>
      </c>
      <c r="H225" s="5">
        <v>104.1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104.9</v>
      </c>
      <c r="D226" s="5">
        <v>0.1</v>
      </c>
      <c r="E226" s="5">
        <v>105</v>
      </c>
      <c r="F226" s="5">
        <v>209.3</v>
      </c>
      <c r="G226" s="5">
        <v>104</v>
      </c>
      <c r="H226" s="5">
        <v>103.9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104.9</v>
      </c>
      <c r="D227" s="5">
        <v>0.1</v>
      </c>
      <c r="E227" s="5">
        <v>105</v>
      </c>
      <c r="F227" s="5">
        <v>209.3</v>
      </c>
      <c r="G227" s="5">
        <v>104</v>
      </c>
      <c r="H227" s="5">
        <v>103.9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104.9</v>
      </c>
      <c r="D228" s="5">
        <v>0.1</v>
      </c>
      <c r="E228" s="5">
        <v>105</v>
      </c>
      <c r="F228" s="5">
        <v>209.3</v>
      </c>
      <c r="G228" s="5">
        <v>104</v>
      </c>
      <c r="H228" s="5">
        <v>103.9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104.9</v>
      </c>
      <c r="D229" s="5">
        <v>0.1</v>
      </c>
      <c r="E229" s="5">
        <v>105</v>
      </c>
      <c r="F229" s="5">
        <v>209.3</v>
      </c>
      <c r="G229" s="5">
        <v>104</v>
      </c>
      <c r="H229" s="5">
        <v>103.9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104.9</v>
      </c>
      <c r="D230" s="5">
        <v>0.1</v>
      </c>
      <c r="E230" s="5">
        <v>105</v>
      </c>
      <c r="F230" s="5">
        <v>208.8</v>
      </c>
      <c r="G230" s="5">
        <v>103.8</v>
      </c>
      <c r="H230" s="5">
        <v>103.6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104.9</v>
      </c>
      <c r="D231" s="5">
        <v>0.1</v>
      </c>
      <c r="E231" s="5">
        <v>105</v>
      </c>
      <c r="F231" s="5">
        <v>208.8</v>
      </c>
      <c r="G231" s="5">
        <v>103.8</v>
      </c>
      <c r="H231" s="5">
        <v>103.6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104.9</v>
      </c>
      <c r="D232" s="5">
        <v>0.1</v>
      </c>
      <c r="E232" s="5">
        <v>105</v>
      </c>
      <c r="F232" s="5">
        <v>208.8</v>
      </c>
      <c r="G232" s="5">
        <v>103.8</v>
      </c>
      <c r="H232" s="5">
        <v>103.6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104.9</v>
      </c>
      <c r="D233" s="5">
        <v>0.1</v>
      </c>
      <c r="E233" s="5">
        <v>105</v>
      </c>
      <c r="F233" s="5">
        <v>208.8</v>
      </c>
      <c r="G233" s="5">
        <v>103.8</v>
      </c>
      <c r="H233" s="5">
        <v>103.6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105.2</v>
      </c>
      <c r="D234" s="5">
        <v>0.1</v>
      </c>
      <c r="E234" s="5">
        <v>105.3</v>
      </c>
      <c r="F234" s="5">
        <v>209</v>
      </c>
      <c r="G234" s="5">
        <v>103.8</v>
      </c>
      <c r="H234" s="5">
        <v>103.7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105.2</v>
      </c>
      <c r="D235" s="5">
        <v>0.1</v>
      </c>
      <c r="E235" s="5">
        <v>105.3</v>
      </c>
      <c r="F235" s="5">
        <v>209</v>
      </c>
      <c r="G235" s="5">
        <v>103.8</v>
      </c>
      <c r="H235" s="5">
        <v>103.7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105.6</v>
      </c>
      <c r="D236" s="5">
        <v>0.1</v>
      </c>
      <c r="E236" s="5">
        <v>105.8</v>
      </c>
      <c r="F236" s="5">
        <v>209.9</v>
      </c>
      <c r="G236" s="5">
        <v>104.3</v>
      </c>
      <c r="H236" s="5">
        <v>104.1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105.6</v>
      </c>
      <c r="D237" s="5">
        <v>0.1</v>
      </c>
      <c r="E237" s="5">
        <v>105.8</v>
      </c>
      <c r="F237" s="5">
        <v>209.9</v>
      </c>
      <c r="G237" s="5">
        <v>104.3</v>
      </c>
      <c r="H237" s="5">
        <v>104.1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105.6</v>
      </c>
      <c r="D238" s="5">
        <v>0.1</v>
      </c>
      <c r="E238" s="5">
        <v>105.8</v>
      </c>
      <c r="F238" s="5">
        <v>209.9</v>
      </c>
      <c r="G238" s="5">
        <v>104.3</v>
      </c>
      <c r="H238" s="5">
        <v>104.1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105.6</v>
      </c>
      <c r="D239" s="5">
        <v>0.1</v>
      </c>
      <c r="E239" s="5">
        <v>105.8</v>
      </c>
      <c r="F239" s="5">
        <v>209.9</v>
      </c>
      <c r="G239" s="5">
        <v>104.3</v>
      </c>
      <c r="H239" s="5">
        <v>103.8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105</v>
      </c>
      <c r="D240" s="5">
        <v>0.1</v>
      </c>
      <c r="E240" s="5">
        <v>105.1</v>
      </c>
      <c r="F240" s="5">
        <v>209.1</v>
      </c>
      <c r="G240" s="5">
        <v>103.9</v>
      </c>
      <c r="H240" s="5">
        <v>103.8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105</v>
      </c>
      <c r="D241" s="5">
        <v>0.1</v>
      </c>
      <c r="E241" s="5">
        <v>105.1</v>
      </c>
      <c r="F241" s="5">
        <v>209.1</v>
      </c>
      <c r="G241" s="5">
        <v>103.9</v>
      </c>
      <c r="H241" s="5">
        <v>103.8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105</v>
      </c>
      <c r="D242" s="5">
        <v>0.1</v>
      </c>
      <c r="E242" s="5">
        <v>105.1</v>
      </c>
      <c r="F242" s="5">
        <v>209.1</v>
      </c>
      <c r="G242" s="5">
        <v>103.9</v>
      </c>
      <c r="H242" s="5">
        <v>103.7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105</v>
      </c>
      <c r="D243" s="5">
        <v>0.1</v>
      </c>
      <c r="E243" s="5">
        <v>105.1</v>
      </c>
      <c r="F243" s="5">
        <v>209.1</v>
      </c>
      <c r="G243" s="5">
        <v>103.9</v>
      </c>
      <c r="H243" s="5">
        <v>103.7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105</v>
      </c>
      <c r="D244" s="5">
        <v>0.1</v>
      </c>
      <c r="E244" s="5">
        <v>105.1</v>
      </c>
      <c r="F244" s="5">
        <v>208.3</v>
      </c>
      <c r="G244" s="5">
        <v>103.6</v>
      </c>
      <c r="H244" s="5">
        <v>103.6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105</v>
      </c>
      <c r="D245" s="5">
        <v>0.1</v>
      </c>
      <c r="E245" s="5">
        <v>105.1</v>
      </c>
      <c r="F245" s="5">
        <v>208.3</v>
      </c>
      <c r="G245" s="5">
        <v>103.6</v>
      </c>
      <c r="H245" s="5">
        <v>103.6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105.4</v>
      </c>
      <c r="D246" s="5">
        <v>0.1</v>
      </c>
      <c r="E246" s="5">
        <v>105.6</v>
      </c>
      <c r="F246" s="5">
        <v>209.4</v>
      </c>
      <c r="G246" s="5">
        <v>104</v>
      </c>
      <c r="H246" s="5">
        <v>103.9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105.4</v>
      </c>
      <c r="D247" s="5">
        <v>0.1</v>
      </c>
      <c r="E247" s="5">
        <v>105.6</v>
      </c>
      <c r="F247" s="5">
        <v>209.4</v>
      </c>
      <c r="G247" s="5">
        <v>104</v>
      </c>
      <c r="H247" s="5">
        <v>103.9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105.4</v>
      </c>
      <c r="D248" s="5">
        <v>0.1</v>
      </c>
      <c r="E248" s="5">
        <v>105.6</v>
      </c>
      <c r="F248" s="5">
        <v>209.4</v>
      </c>
      <c r="G248" s="5">
        <v>104</v>
      </c>
      <c r="H248" s="5">
        <v>103.9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104.7</v>
      </c>
      <c r="D249" s="5">
        <v>0.1</v>
      </c>
      <c r="E249" s="5">
        <v>104.9</v>
      </c>
      <c r="F249" s="5">
        <v>208.8</v>
      </c>
      <c r="G249" s="5">
        <v>103.7</v>
      </c>
      <c r="H249" s="5">
        <v>103.6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104.7</v>
      </c>
      <c r="D250" s="5">
        <v>0.1</v>
      </c>
      <c r="E250" s="5">
        <v>104.9</v>
      </c>
      <c r="F250" s="5">
        <v>208.8</v>
      </c>
      <c r="G250" s="5">
        <v>103.7</v>
      </c>
      <c r="H250" s="5">
        <v>103.6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104.6</v>
      </c>
      <c r="D251" s="5">
        <v>0.1</v>
      </c>
      <c r="E251" s="5">
        <v>104.7</v>
      </c>
      <c r="F251" s="5">
        <v>208</v>
      </c>
      <c r="G251" s="5">
        <v>103.3</v>
      </c>
      <c r="H251" s="5">
        <v>103.1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104.6</v>
      </c>
      <c r="D252" s="5">
        <v>0.1</v>
      </c>
      <c r="E252" s="5">
        <v>104.7</v>
      </c>
      <c r="F252" s="5">
        <v>208</v>
      </c>
      <c r="G252" s="5">
        <v>103.3</v>
      </c>
      <c r="H252" s="5">
        <v>103.1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105.9</v>
      </c>
      <c r="D253" s="5">
        <v>0.1</v>
      </c>
      <c r="E253" s="5">
        <v>106</v>
      </c>
      <c r="F253" s="5">
        <v>209.2</v>
      </c>
      <c r="G253" s="5">
        <v>103.3</v>
      </c>
      <c r="H253" s="5">
        <v>103.1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105.9</v>
      </c>
      <c r="D254" s="5">
        <v>0.1</v>
      </c>
      <c r="E254" s="5">
        <v>106</v>
      </c>
      <c r="F254" s="5">
        <v>209.2</v>
      </c>
      <c r="G254" s="5">
        <v>103.9</v>
      </c>
      <c r="H254" s="5">
        <v>103.7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105.3</v>
      </c>
      <c r="D255" s="5">
        <v>0.1</v>
      </c>
      <c r="E255" s="5">
        <v>106</v>
      </c>
      <c r="F255" s="5">
        <v>209.2</v>
      </c>
      <c r="G255" s="5">
        <v>103.9</v>
      </c>
      <c r="H255" s="5">
        <v>103.7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105.3</v>
      </c>
      <c r="D256" s="5">
        <v>0.1</v>
      </c>
      <c r="E256" s="5">
        <v>105.4</v>
      </c>
      <c r="F256" s="5">
        <v>208.9</v>
      </c>
      <c r="G256" s="5">
        <v>103.8</v>
      </c>
      <c r="H256" s="5">
        <v>103.7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105.3</v>
      </c>
      <c r="D257" s="5">
        <v>0.1</v>
      </c>
      <c r="E257" s="5">
        <v>105.4</v>
      </c>
      <c r="F257" s="5">
        <v>208.9</v>
      </c>
      <c r="G257" s="5">
        <v>103.8</v>
      </c>
      <c r="H257" s="5">
        <v>103.7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105.3</v>
      </c>
      <c r="D258" s="5">
        <v>0.1</v>
      </c>
      <c r="E258" s="5">
        <v>105.4</v>
      </c>
      <c r="F258" s="5">
        <v>208.9</v>
      </c>
      <c r="G258" s="5">
        <v>103.8</v>
      </c>
      <c r="H258" s="5">
        <v>103.7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105.3</v>
      </c>
      <c r="D259" s="5">
        <v>0.1</v>
      </c>
      <c r="E259" s="5">
        <v>105.4</v>
      </c>
      <c r="F259" s="5">
        <v>208.9</v>
      </c>
      <c r="G259" s="5">
        <v>103.8</v>
      </c>
      <c r="H259" s="5">
        <v>103.7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105.5</v>
      </c>
      <c r="D260" s="5">
        <v>0.1</v>
      </c>
      <c r="E260" s="5">
        <v>105.6</v>
      </c>
      <c r="F260" s="5">
        <v>210.1</v>
      </c>
      <c r="G260" s="5">
        <v>104.4</v>
      </c>
      <c r="H260" s="5">
        <v>104.2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105.5</v>
      </c>
      <c r="D261" s="5">
        <v>0.1</v>
      </c>
      <c r="E261" s="5">
        <v>105.6</v>
      </c>
      <c r="F261" s="5">
        <v>210.1</v>
      </c>
      <c r="G261" s="5">
        <v>104.4</v>
      </c>
      <c r="H261" s="5">
        <v>104.2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105.5</v>
      </c>
      <c r="D262" s="5">
        <v>0.1</v>
      </c>
      <c r="E262" s="5">
        <v>105.6</v>
      </c>
      <c r="F262" s="5">
        <v>210.1</v>
      </c>
      <c r="G262" s="5">
        <v>104.4</v>
      </c>
      <c r="H262" s="5">
        <v>104.2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105.5</v>
      </c>
      <c r="D263" s="5">
        <v>0.1</v>
      </c>
      <c r="E263" s="5">
        <v>105.6</v>
      </c>
      <c r="F263" s="5">
        <v>210.1</v>
      </c>
      <c r="G263" s="5">
        <v>104.4</v>
      </c>
      <c r="H263" s="5">
        <v>104.2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105.5</v>
      </c>
      <c r="D264" s="5">
        <v>0.1</v>
      </c>
      <c r="E264" s="5">
        <v>105.6</v>
      </c>
      <c r="F264" s="5">
        <v>210.1</v>
      </c>
      <c r="G264" s="5">
        <v>104.4</v>
      </c>
      <c r="H264" s="5">
        <v>104.2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105.5</v>
      </c>
      <c r="D265" s="5">
        <v>0.1</v>
      </c>
      <c r="E265" s="5">
        <v>105.6</v>
      </c>
      <c r="F265" s="5">
        <v>210.1</v>
      </c>
      <c r="G265" s="5">
        <v>104.4</v>
      </c>
      <c r="H265" s="5">
        <v>104.2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106</v>
      </c>
      <c r="D266" s="5">
        <v>0.1</v>
      </c>
      <c r="E266" s="5">
        <v>106.2</v>
      </c>
      <c r="F266" s="5">
        <v>210.4</v>
      </c>
      <c r="G266" s="5">
        <v>104.5</v>
      </c>
      <c r="H266" s="5">
        <v>104.4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106</v>
      </c>
      <c r="D267" s="5">
        <v>0.1</v>
      </c>
      <c r="E267" s="5">
        <v>106.2</v>
      </c>
      <c r="F267" s="5">
        <v>210.4</v>
      </c>
      <c r="G267" s="5">
        <v>104.5</v>
      </c>
      <c r="H267" s="5">
        <v>104.4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106</v>
      </c>
      <c r="D268" s="5">
        <v>0.1</v>
      </c>
      <c r="E268" s="5">
        <v>106.2</v>
      </c>
      <c r="F268" s="5">
        <v>210.4</v>
      </c>
      <c r="G268" s="5">
        <v>104.5</v>
      </c>
      <c r="H268" s="5">
        <v>104.4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106</v>
      </c>
      <c r="D269" s="5">
        <v>0.1</v>
      </c>
      <c r="E269" s="5">
        <v>106.2</v>
      </c>
      <c r="F269" s="5">
        <v>210.4</v>
      </c>
      <c r="G269" s="5">
        <v>104.5</v>
      </c>
      <c r="H269" s="5">
        <v>104.4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104.2</v>
      </c>
      <c r="D270" s="5">
        <v>0.1</v>
      </c>
      <c r="E270" s="5">
        <v>104.3</v>
      </c>
      <c r="F270" s="5">
        <v>207.2</v>
      </c>
      <c r="G270" s="5">
        <v>103</v>
      </c>
      <c r="H270" s="5">
        <v>103.2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104.2</v>
      </c>
      <c r="D271" s="5">
        <v>0.1</v>
      </c>
      <c r="E271" s="5">
        <v>104.3</v>
      </c>
      <c r="F271" s="5">
        <v>207.2</v>
      </c>
      <c r="G271" s="5">
        <v>103</v>
      </c>
      <c r="H271" s="5">
        <v>103.2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104.7</v>
      </c>
      <c r="D272" s="5">
        <v>0.1</v>
      </c>
      <c r="E272" s="5">
        <v>104.9</v>
      </c>
      <c r="F272" s="5">
        <v>208.1</v>
      </c>
      <c r="G272" s="5">
        <v>103.4</v>
      </c>
      <c r="H272" s="5">
        <v>103.3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104.7</v>
      </c>
      <c r="D273" s="5">
        <v>0.1</v>
      </c>
      <c r="E273" s="5">
        <v>104.9</v>
      </c>
      <c r="F273" s="5">
        <v>208.1</v>
      </c>
      <c r="G273" s="5">
        <v>103.4</v>
      </c>
      <c r="H273" s="5">
        <v>103.3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104.7</v>
      </c>
      <c r="D274" s="5">
        <v>0.1</v>
      </c>
      <c r="E274" s="5">
        <v>104.9</v>
      </c>
      <c r="F274" s="5">
        <v>207.9</v>
      </c>
      <c r="G274" s="5">
        <v>103.3</v>
      </c>
      <c r="H274" s="5">
        <v>103.2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104.7</v>
      </c>
      <c r="D275" s="5">
        <v>0.1</v>
      </c>
      <c r="E275" s="5">
        <v>104.9</v>
      </c>
      <c r="F275" s="5">
        <v>207.9</v>
      </c>
      <c r="G275" s="5">
        <v>103.3</v>
      </c>
      <c r="H275" s="5">
        <v>103.2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106.1</v>
      </c>
      <c r="D276" s="5">
        <v>0.1</v>
      </c>
      <c r="E276" s="5">
        <v>106.2</v>
      </c>
      <c r="F276" s="5">
        <v>210.7</v>
      </c>
      <c r="G276" s="5">
        <v>104.6</v>
      </c>
      <c r="H276" s="5">
        <v>104.5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106.1</v>
      </c>
      <c r="D277" s="5">
        <v>0.1</v>
      </c>
      <c r="E277" s="5">
        <v>106.2</v>
      </c>
      <c r="F277" s="5">
        <v>210.7</v>
      </c>
      <c r="G277" s="5">
        <v>104.6</v>
      </c>
      <c r="H277" s="5">
        <v>104.5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106.1</v>
      </c>
      <c r="D278" s="5">
        <v>0.1</v>
      </c>
      <c r="E278" s="5">
        <v>106.2</v>
      </c>
      <c r="F278" s="5">
        <v>210.7</v>
      </c>
      <c r="G278" s="5">
        <v>104.6</v>
      </c>
      <c r="H278" s="5">
        <v>104.5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105.8</v>
      </c>
      <c r="D279" s="5">
        <v>0.1</v>
      </c>
      <c r="E279" s="5">
        <v>105.9</v>
      </c>
      <c r="F279" s="5">
        <v>209.5</v>
      </c>
      <c r="G279" s="5">
        <v>104.1</v>
      </c>
      <c r="H279" s="5">
        <v>104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105.8</v>
      </c>
      <c r="D280" s="5">
        <v>0.1</v>
      </c>
      <c r="E280" s="5">
        <v>105.9</v>
      </c>
      <c r="F280" s="5">
        <v>209.5</v>
      </c>
      <c r="G280" s="5">
        <v>104.1</v>
      </c>
      <c r="H280" s="5">
        <v>104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105</v>
      </c>
      <c r="D281" s="5">
        <v>0.1</v>
      </c>
      <c r="E281" s="5">
        <v>105.2</v>
      </c>
      <c r="F281" s="5">
        <v>208.7</v>
      </c>
      <c r="G281" s="5">
        <v>103.7</v>
      </c>
      <c r="H281" s="5">
        <v>103.6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105</v>
      </c>
      <c r="D282" s="5">
        <v>0.1</v>
      </c>
      <c r="E282" s="5">
        <v>105.2</v>
      </c>
      <c r="F282" s="5">
        <v>208.7</v>
      </c>
      <c r="G282" s="5">
        <v>103.7</v>
      </c>
      <c r="H282" s="5">
        <v>103.6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105.7</v>
      </c>
      <c r="D283" s="5">
        <v>0.1</v>
      </c>
      <c r="E283" s="5">
        <v>105.9</v>
      </c>
      <c r="F283" s="5">
        <v>210.3</v>
      </c>
      <c r="G283" s="5">
        <v>104.5</v>
      </c>
      <c r="H283" s="5">
        <v>104.4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105.7</v>
      </c>
      <c r="D284" s="5">
        <v>0.1</v>
      </c>
      <c r="E284" s="5">
        <v>105.9</v>
      </c>
      <c r="F284" s="5">
        <v>210.3</v>
      </c>
      <c r="G284" s="5">
        <v>104.5</v>
      </c>
      <c r="H284" s="5">
        <v>104.4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105.8</v>
      </c>
      <c r="D285" s="5">
        <v>0.1</v>
      </c>
      <c r="E285" s="5">
        <v>105.9</v>
      </c>
      <c r="F285" s="5">
        <v>210.3</v>
      </c>
      <c r="G285" s="5">
        <v>104.5</v>
      </c>
      <c r="H285" s="5">
        <v>104.3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105.8</v>
      </c>
      <c r="D286" s="5">
        <v>0.1</v>
      </c>
      <c r="E286" s="5">
        <v>105.9</v>
      </c>
      <c r="F286" s="5">
        <v>210.3</v>
      </c>
      <c r="G286" s="5">
        <v>104.5</v>
      </c>
      <c r="H286" s="5">
        <v>104.3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105.8</v>
      </c>
      <c r="D287" s="5">
        <v>0.1</v>
      </c>
      <c r="E287" s="5">
        <v>105.9</v>
      </c>
      <c r="F287" s="5">
        <v>210.3</v>
      </c>
      <c r="G287" s="5">
        <v>104.5</v>
      </c>
      <c r="H287" s="5">
        <v>104.3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105.8</v>
      </c>
      <c r="D288" s="5">
        <v>0.1</v>
      </c>
      <c r="E288" s="5">
        <v>105.9</v>
      </c>
      <c r="F288" s="5">
        <v>210.3</v>
      </c>
      <c r="G288" s="5">
        <v>104.5</v>
      </c>
      <c r="H288" s="5">
        <v>104.3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105.7</v>
      </c>
      <c r="D289" s="5">
        <v>0.1</v>
      </c>
      <c r="E289" s="5">
        <v>105.9</v>
      </c>
      <c r="F289" s="5">
        <v>209.9</v>
      </c>
      <c r="G289" s="5">
        <v>103.9</v>
      </c>
      <c r="H289" s="5">
        <v>103.6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105.7</v>
      </c>
      <c r="D290" s="5">
        <v>0.1</v>
      </c>
      <c r="E290" s="5">
        <v>105.9</v>
      </c>
      <c r="F290" s="5">
        <v>209.9</v>
      </c>
      <c r="G290" s="5">
        <v>103.9</v>
      </c>
      <c r="H290" s="5">
        <v>103.6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105</v>
      </c>
      <c r="D291" s="5">
        <v>0.1</v>
      </c>
      <c r="E291" s="5">
        <v>105.1</v>
      </c>
      <c r="F291" s="5">
        <v>209</v>
      </c>
      <c r="G291" s="5">
        <v>103.8</v>
      </c>
      <c r="H291" s="5">
        <v>103.7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105</v>
      </c>
      <c r="D292" s="5">
        <v>0.1</v>
      </c>
      <c r="E292" s="5">
        <v>105.1</v>
      </c>
      <c r="F292" s="5">
        <v>209</v>
      </c>
      <c r="G292" s="5">
        <v>103.8</v>
      </c>
      <c r="H292" s="5">
        <v>103.7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105.6</v>
      </c>
      <c r="D293" s="5">
        <v>0.1</v>
      </c>
      <c r="E293" s="5">
        <v>105.8</v>
      </c>
      <c r="F293" s="5">
        <v>210.3</v>
      </c>
      <c r="G293" s="5">
        <v>104.5</v>
      </c>
      <c r="H293" s="5">
        <v>104.4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105.6</v>
      </c>
      <c r="D294" s="5">
        <v>0.1</v>
      </c>
      <c r="E294" s="5">
        <v>105.8</v>
      </c>
      <c r="F294" s="5">
        <v>210.3</v>
      </c>
      <c r="G294" s="5">
        <v>104.5</v>
      </c>
      <c r="H294" s="5">
        <v>104.4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104.9</v>
      </c>
      <c r="D295" s="5">
        <v>0.1</v>
      </c>
      <c r="E295" s="5">
        <v>105</v>
      </c>
      <c r="F295" s="5">
        <v>209</v>
      </c>
      <c r="G295" s="5">
        <v>103.8</v>
      </c>
      <c r="H295" s="5">
        <v>103.6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104.9</v>
      </c>
      <c r="D296" s="5">
        <v>0.1</v>
      </c>
      <c r="E296" s="5">
        <v>105</v>
      </c>
      <c r="F296" s="5">
        <v>209</v>
      </c>
      <c r="G296" s="5">
        <v>103.8</v>
      </c>
      <c r="H296" s="5">
        <v>103.6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104.9</v>
      </c>
      <c r="D297" s="5">
        <v>0.1</v>
      </c>
      <c r="E297" s="5">
        <v>105</v>
      </c>
      <c r="F297" s="5">
        <v>209</v>
      </c>
      <c r="G297" s="5">
        <v>103.8</v>
      </c>
      <c r="H297" s="5">
        <v>103.6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104.9</v>
      </c>
      <c r="D298" s="5">
        <v>0.1</v>
      </c>
      <c r="E298" s="5">
        <v>105</v>
      </c>
      <c r="F298" s="5">
        <v>209</v>
      </c>
      <c r="G298" s="5">
        <v>103.8</v>
      </c>
      <c r="H298" s="5">
        <v>103.6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105.8</v>
      </c>
      <c r="D299" s="5">
        <v>0.1</v>
      </c>
      <c r="E299" s="5">
        <v>105.9</v>
      </c>
      <c r="F299" s="5">
        <v>210.4</v>
      </c>
      <c r="G299" s="5">
        <v>104.5</v>
      </c>
      <c r="H299" s="5">
        <v>104.4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105.8</v>
      </c>
      <c r="D300" s="5">
        <v>0.1</v>
      </c>
      <c r="E300" s="5">
        <v>105.9</v>
      </c>
      <c r="F300" s="5">
        <v>210.4</v>
      </c>
      <c r="G300" s="5">
        <v>104.5</v>
      </c>
      <c r="H300" s="5">
        <v>104.4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105.8</v>
      </c>
      <c r="D301" s="5">
        <v>0.1</v>
      </c>
      <c r="E301" s="5">
        <v>105.9</v>
      </c>
      <c r="F301" s="5">
        <v>210.4</v>
      </c>
      <c r="G301" s="5">
        <v>104.5</v>
      </c>
      <c r="H301" s="5">
        <v>104.4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105.8</v>
      </c>
      <c r="D302" s="5">
        <v>0.1</v>
      </c>
      <c r="E302" s="5">
        <v>105.9</v>
      </c>
      <c r="F302" s="5">
        <v>210.4</v>
      </c>
      <c r="G302" s="5">
        <v>104.5</v>
      </c>
      <c r="H302" s="5">
        <v>104.4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105.7</v>
      </c>
      <c r="D303" s="5">
        <v>0.1</v>
      </c>
      <c r="E303" s="5">
        <v>105.9</v>
      </c>
      <c r="F303" s="5">
        <v>210.7</v>
      </c>
      <c r="G303" s="5">
        <v>104.7</v>
      </c>
      <c r="H303" s="5">
        <v>104.5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105.7</v>
      </c>
      <c r="D304" s="5">
        <v>0.1</v>
      </c>
      <c r="E304" s="5">
        <v>105.9</v>
      </c>
      <c r="F304" s="5">
        <v>210.7</v>
      </c>
      <c r="G304" s="5">
        <v>104.7</v>
      </c>
      <c r="H304" s="5">
        <v>104.5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105.7</v>
      </c>
      <c r="D305" s="5">
        <v>0.1</v>
      </c>
      <c r="E305" s="5">
        <v>106.2</v>
      </c>
      <c r="F305" s="5">
        <v>210.6</v>
      </c>
      <c r="G305" s="5">
        <v>104.6</v>
      </c>
      <c r="H305" s="5">
        <v>104.5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106</v>
      </c>
      <c r="D306" s="5">
        <v>0.1</v>
      </c>
      <c r="E306" s="5">
        <v>106.2</v>
      </c>
      <c r="F306" s="5">
        <v>210.6</v>
      </c>
      <c r="G306" s="5">
        <v>104.6</v>
      </c>
      <c r="H306" s="5">
        <v>104.5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106</v>
      </c>
      <c r="D307" s="5">
        <v>0.1</v>
      </c>
      <c r="E307" s="5">
        <v>106.2</v>
      </c>
      <c r="F307" s="5">
        <v>210.6</v>
      </c>
      <c r="G307" s="5">
        <v>104.6</v>
      </c>
      <c r="H307" s="5">
        <v>104.5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106</v>
      </c>
      <c r="D308" s="5">
        <v>0.1</v>
      </c>
      <c r="E308" s="5">
        <v>106.2</v>
      </c>
      <c r="F308" s="5">
        <v>210.6</v>
      </c>
      <c r="G308" s="5">
        <v>104.6</v>
      </c>
      <c r="H308" s="5">
        <v>104.5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105.8</v>
      </c>
      <c r="D309" s="5">
        <v>0.1</v>
      </c>
      <c r="E309" s="5">
        <v>105.9</v>
      </c>
      <c r="F309" s="5">
        <v>210.9</v>
      </c>
      <c r="G309" s="5">
        <v>104.7</v>
      </c>
      <c r="H309" s="5">
        <v>104.6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105.8</v>
      </c>
      <c r="D310" s="5">
        <v>0.1</v>
      </c>
      <c r="E310" s="5">
        <v>105.9</v>
      </c>
      <c r="F310" s="5">
        <v>210.9</v>
      </c>
      <c r="G310" s="5">
        <v>104.7</v>
      </c>
      <c r="H310" s="5">
        <v>104.6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106</v>
      </c>
      <c r="D311" s="5">
        <v>0.1</v>
      </c>
      <c r="E311" s="5">
        <v>106.2</v>
      </c>
      <c r="F311" s="5">
        <v>211.2</v>
      </c>
      <c r="G311" s="5">
        <v>105</v>
      </c>
      <c r="H311" s="5">
        <v>104.9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106</v>
      </c>
      <c r="D312" s="5">
        <v>0.1</v>
      </c>
      <c r="E312" s="5">
        <v>106.2</v>
      </c>
      <c r="F312" s="5">
        <v>211.2</v>
      </c>
      <c r="G312" s="5">
        <v>105</v>
      </c>
      <c r="H312" s="5">
        <v>104.9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106.4</v>
      </c>
      <c r="D313" s="5">
        <v>0.1</v>
      </c>
      <c r="E313" s="5">
        <v>106.6</v>
      </c>
      <c r="F313" s="5">
        <v>211.6</v>
      </c>
      <c r="G313" s="5">
        <v>105.1</v>
      </c>
      <c r="H313" s="5">
        <v>105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106.4</v>
      </c>
      <c r="D314" s="5">
        <v>0.1</v>
      </c>
      <c r="E314" s="5">
        <v>106.6</v>
      </c>
      <c r="F314" s="5">
        <v>211.6</v>
      </c>
      <c r="G314" s="5">
        <v>105.1</v>
      </c>
      <c r="H314" s="5">
        <v>105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106.8</v>
      </c>
      <c r="D315" s="5">
        <v>0.1</v>
      </c>
      <c r="E315" s="5">
        <v>106.9</v>
      </c>
      <c r="F315" s="5">
        <v>211.9</v>
      </c>
      <c r="G315" s="5">
        <v>105.3</v>
      </c>
      <c r="H315" s="5">
        <v>105.1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106.8</v>
      </c>
      <c r="D316" s="5">
        <v>0.1</v>
      </c>
      <c r="E316" s="5">
        <v>106.9</v>
      </c>
      <c r="F316" s="5">
        <v>211.9</v>
      </c>
      <c r="G316" s="5">
        <v>105.3</v>
      </c>
      <c r="H316" s="5">
        <v>105.1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106.8</v>
      </c>
      <c r="D317" s="5">
        <v>0.1</v>
      </c>
      <c r="E317" s="5">
        <v>106.9</v>
      </c>
      <c r="F317" s="5">
        <v>211.9</v>
      </c>
      <c r="G317" s="5">
        <v>105.3</v>
      </c>
      <c r="H317" s="5">
        <v>105.1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106.8</v>
      </c>
      <c r="D318" s="5">
        <v>0.1</v>
      </c>
      <c r="E318" s="5">
        <v>106.9</v>
      </c>
      <c r="F318" s="5">
        <v>211.9</v>
      </c>
      <c r="G318" s="5">
        <v>105.3</v>
      </c>
      <c r="H318" s="5">
        <v>105.1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106.4</v>
      </c>
      <c r="D319" s="5">
        <v>0.1</v>
      </c>
      <c r="E319" s="5">
        <v>106.6</v>
      </c>
      <c r="F319" s="5">
        <v>211.7</v>
      </c>
      <c r="G319" s="5">
        <v>105.2</v>
      </c>
      <c r="H319" s="5">
        <v>105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106.4</v>
      </c>
      <c r="D320" s="5">
        <v>0.1</v>
      </c>
      <c r="E320" s="5">
        <v>106.6</v>
      </c>
      <c r="F320" s="5">
        <v>211.7</v>
      </c>
      <c r="G320" s="5">
        <v>105.2</v>
      </c>
      <c r="H320" s="5">
        <v>105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106.6</v>
      </c>
      <c r="D321" s="5">
        <v>0.1</v>
      </c>
      <c r="E321" s="5">
        <v>106.8</v>
      </c>
      <c r="F321" s="5">
        <v>211.8</v>
      </c>
      <c r="G321" s="5">
        <v>105.3</v>
      </c>
      <c r="H321" s="5">
        <v>105.1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106.6</v>
      </c>
      <c r="D322" s="5">
        <v>0.1</v>
      </c>
      <c r="E322" s="5">
        <v>106.8</v>
      </c>
      <c r="F322" s="5">
        <v>211.8</v>
      </c>
      <c r="G322" s="5">
        <v>105.3</v>
      </c>
      <c r="H322" s="5">
        <v>105.1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106.2</v>
      </c>
      <c r="D323" s="5">
        <v>0.1</v>
      </c>
      <c r="E323" s="5">
        <v>106.4</v>
      </c>
      <c r="F323" s="5">
        <v>211.4</v>
      </c>
      <c r="G323" s="5">
        <v>105.1</v>
      </c>
      <c r="H323" s="5">
        <v>104.9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106.2</v>
      </c>
      <c r="D324" s="5">
        <v>0.1</v>
      </c>
      <c r="E324" s="5">
        <v>106.4</v>
      </c>
      <c r="F324" s="5">
        <v>211.4</v>
      </c>
      <c r="G324" s="5">
        <v>105.1</v>
      </c>
      <c r="H324" s="5">
        <v>104.9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106.3</v>
      </c>
      <c r="D325" s="5">
        <v>0.1</v>
      </c>
      <c r="E325" s="5">
        <v>106.5</v>
      </c>
      <c r="F325" s="5">
        <v>211.9</v>
      </c>
      <c r="G325" s="5">
        <v>105.3</v>
      </c>
      <c r="H325" s="5">
        <v>105.2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106.3</v>
      </c>
      <c r="D326" s="5">
        <v>0.1</v>
      </c>
      <c r="E326" s="5">
        <v>106.5</v>
      </c>
      <c r="F326" s="5">
        <v>211.9</v>
      </c>
      <c r="G326" s="5">
        <v>105.3</v>
      </c>
      <c r="H326" s="5">
        <v>105.2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106.3</v>
      </c>
      <c r="D327" s="5">
        <v>0.1</v>
      </c>
      <c r="E327" s="5">
        <v>106.5</v>
      </c>
      <c r="F327" s="5">
        <v>211.9</v>
      </c>
      <c r="G327" s="5">
        <v>105.3</v>
      </c>
      <c r="H327" s="5">
        <v>105.2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106.3</v>
      </c>
      <c r="D328" s="5">
        <v>0.1</v>
      </c>
      <c r="E328" s="5">
        <v>106.5</v>
      </c>
      <c r="F328" s="5">
        <v>211.9</v>
      </c>
      <c r="G328" s="5">
        <v>105.3</v>
      </c>
      <c r="H328" s="5">
        <v>105.2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106.9</v>
      </c>
      <c r="D329" s="5">
        <v>0.1</v>
      </c>
      <c r="E329" s="5">
        <v>107.1</v>
      </c>
      <c r="F329" s="5">
        <v>213.2</v>
      </c>
      <c r="G329" s="5">
        <v>105.9</v>
      </c>
      <c r="H329" s="5">
        <v>105.8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106.9</v>
      </c>
      <c r="D330" s="5">
        <v>0.1</v>
      </c>
      <c r="E330" s="5">
        <v>107.1</v>
      </c>
      <c r="F330" s="5">
        <v>213.2</v>
      </c>
      <c r="G330" s="5">
        <v>105.9</v>
      </c>
      <c r="H330" s="5">
        <v>105.8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107.2</v>
      </c>
      <c r="D331" s="5">
        <v>0.1</v>
      </c>
      <c r="E331" s="5">
        <v>107.4</v>
      </c>
      <c r="F331" s="5">
        <v>212.3</v>
      </c>
      <c r="G331" s="5">
        <v>105.4</v>
      </c>
      <c r="H331" s="5">
        <v>105.2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107.2</v>
      </c>
      <c r="D332" s="5">
        <v>0.1</v>
      </c>
      <c r="E332" s="5">
        <v>107.4</v>
      </c>
      <c r="F332" s="5">
        <v>212.3</v>
      </c>
      <c r="G332" s="5">
        <v>105.4</v>
      </c>
      <c r="H332" s="5">
        <v>105.2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106.8</v>
      </c>
      <c r="D333" s="5">
        <v>0.1</v>
      </c>
      <c r="E333" s="5">
        <v>106.9</v>
      </c>
      <c r="F333" s="5">
        <v>212.5</v>
      </c>
      <c r="G333" s="5">
        <v>105.6</v>
      </c>
      <c r="H333" s="5">
        <v>105.5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106.8</v>
      </c>
      <c r="D334" s="5">
        <v>0.1</v>
      </c>
      <c r="E334" s="5">
        <v>106.9</v>
      </c>
      <c r="F334" s="5">
        <v>212.5</v>
      </c>
      <c r="G334" s="5">
        <v>105.6</v>
      </c>
      <c r="H334" s="5">
        <v>105.5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106.6</v>
      </c>
      <c r="D335" s="5">
        <v>0.1</v>
      </c>
      <c r="E335" s="5">
        <v>106.8</v>
      </c>
      <c r="F335" s="5">
        <v>211.5</v>
      </c>
      <c r="G335" s="5">
        <v>105</v>
      </c>
      <c r="H335" s="5">
        <v>104.9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106.6</v>
      </c>
      <c r="D336" s="5">
        <v>0.1</v>
      </c>
      <c r="E336" s="5">
        <v>106.8</v>
      </c>
      <c r="F336" s="5">
        <v>211.5</v>
      </c>
      <c r="G336" s="5">
        <v>105</v>
      </c>
      <c r="H336" s="5">
        <v>104.9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106.6</v>
      </c>
      <c r="D337" s="5">
        <v>0.1</v>
      </c>
      <c r="E337" s="5">
        <v>106.8</v>
      </c>
      <c r="F337" s="5">
        <v>211.5</v>
      </c>
      <c r="G337" s="5">
        <v>105</v>
      </c>
      <c r="H337" s="5">
        <v>104.9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106.6</v>
      </c>
      <c r="D338" s="5">
        <v>0.1</v>
      </c>
      <c r="E338" s="5">
        <v>106.8</v>
      </c>
      <c r="F338" s="5">
        <v>211.5</v>
      </c>
      <c r="G338" s="5">
        <v>105</v>
      </c>
      <c r="H338" s="5">
        <v>104.9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107.6</v>
      </c>
      <c r="D339" s="5">
        <v>0.1</v>
      </c>
      <c r="E339" s="5">
        <v>107.8</v>
      </c>
      <c r="F339" s="5">
        <v>213.3</v>
      </c>
      <c r="G339" s="5">
        <v>106</v>
      </c>
      <c r="H339" s="5">
        <v>105.9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107.6</v>
      </c>
      <c r="D340" s="5">
        <v>0.1</v>
      </c>
      <c r="E340" s="5">
        <v>107.8</v>
      </c>
      <c r="F340" s="5">
        <v>213.3</v>
      </c>
      <c r="G340" s="5">
        <v>106</v>
      </c>
      <c r="H340" s="5">
        <v>105.9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106.9</v>
      </c>
      <c r="D341" s="5">
        <v>0.1</v>
      </c>
      <c r="E341" s="5">
        <v>107</v>
      </c>
      <c r="F341" s="5">
        <v>212.6</v>
      </c>
      <c r="G341" s="5">
        <v>105.7</v>
      </c>
      <c r="H341" s="5">
        <v>105.5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106.9</v>
      </c>
      <c r="D342" s="5">
        <v>0.1</v>
      </c>
      <c r="E342" s="5">
        <v>107</v>
      </c>
      <c r="F342" s="5">
        <v>212.6</v>
      </c>
      <c r="G342" s="5">
        <v>105.7</v>
      </c>
      <c r="H342" s="5">
        <v>105.5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107.5</v>
      </c>
      <c r="D343" s="5">
        <v>0.1</v>
      </c>
      <c r="E343" s="5">
        <v>107.7</v>
      </c>
      <c r="F343" s="5">
        <v>213.7</v>
      </c>
      <c r="G343" s="5">
        <v>105.9</v>
      </c>
      <c r="H343" s="5">
        <v>105.8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107.5</v>
      </c>
      <c r="D344" s="5">
        <v>0.1</v>
      </c>
      <c r="E344" s="5">
        <v>107.7</v>
      </c>
      <c r="F344" s="5">
        <v>213.7</v>
      </c>
      <c r="G344" s="5">
        <v>105.9</v>
      </c>
      <c r="H344" s="5">
        <v>105.8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106.9</v>
      </c>
      <c r="D345" s="5">
        <v>0.1</v>
      </c>
      <c r="E345" s="5">
        <v>107.1</v>
      </c>
      <c r="F345" s="5">
        <v>213.3</v>
      </c>
      <c r="G345" s="5">
        <v>106</v>
      </c>
      <c r="H345" s="5">
        <v>105.8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106.9</v>
      </c>
      <c r="D346" s="5">
        <v>0.1</v>
      </c>
      <c r="E346" s="5">
        <v>107.1</v>
      </c>
      <c r="F346" s="5">
        <v>213.3</v>
      </c>
      <c r="G346" s="5">
        <v>106</v>
      </c>
      <c r="H346" s="5">
        <v>105.8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106.9</v>
      </c>
      <c r="D347" s="5">
        <v>0.1</v>
      </c>
      <c r="E347" s="5">
        <v>107.1</v>
      </c>
      <c r="F347" s="5">
        <v>213.3</v>
      </c>
      <c r="G347" s="5">
        <v>106</v>
      </c>
      <c r="H347" s="5">
        <v>105.8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106.9</v>
      </c>
      <c r="D348" s="5">
        <v>0.1</v>
      </c>
      <c r="E348" s="5">
        <v>107.1</v>
      </c>
      <c r="F348" s="5">
        <v>213.3</v>
      </c>
      <c r="G348" s="5">
        <v>106</v>
      </c>
      <c r="H348" s="5">
        <v>105.8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107.8</v>
      </c>
      <c r="D349" s="5">
        <v>0.1</v>
      </c>
      <c r="E349" s="5">
        <v>107.9</v>
      </c>
      <c r="F349" s="5">
        <v>214.5</v>
      </c>
      <c r="G349" s="5">
        <v>106.6</v>
      </c>
      <c r="H349" s="5">
        <v>106.5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107.8</v>
      </c>
      <c r="D350" s="5">
        <v>0.1</v>
      </c>
      <c r="E350" s="5">
        <v>107.9</v>
      </c>
      <c r="F350" s="5">
        <v>214.5</v>
      </c>
      <c r="G350" s="5">
        <v>106.6</v>
      </c>
      <c r="H350" s="5">
        <v>106.5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106</v>
      </c>
      <c r="D351" s="5">
        <v>0.1</v>
      </c>
      <c r="E351" s="5">
        <v>106.2</v>
      </c>
      <c r="F351" s="5">
        <v>211.2</v>
      </c>
      <c r="G351" s="5">
        <v>104.9</v>
      </c>
      <c r="H351" s="5">
        <v>104.8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106</v>
      </c>
      <c r="D352" s="5">
        <v>0.1</v>
      </c>
      <c r="E352" s="5">
        <v>106.2</v>
      </c>
      <c r="F352" s="5">
        <v>211.2</v>
      </c>
      <c r="G352" s="5">
        <v>104.9</v>
      </c>
      <c r="H352" s="5">
        <v>104.8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106.9</v>
      </c>
      <c r="D353" s="5">
        <v>0.1</v>
      </c>
      <c r="E353" s="5">
        <v>107</v>
      </c>
      <c r="F353" s="5">
        <v>212.6</v>
      </c>
      <c r="G353" s="5">
        <v>105.6</v>
      </c>
      <c r="H353" s="5">
        <v>105.5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106.9</v>
      </c>
      <c r="D354" s="5">
        <v>0.1</v>
      </c>
      <c r="E354" s="5">
        <v>107</v>
      </c>
      <c r="F354" s="5">
        <v>212.6</v>
      </c>
      <c r="G354" s="5">
        <v>105.6</v>
      </c>
      <c r="H354" s="5">
        <v>105.5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98.9</v>
      </c>
      <c r="D355" s="5">
        <v>0.1</v>
      </c>
      <c r="E355" s="5">
        <v>99.1</v>
      </c>
      <c r="F355" s="5">
        <v>202.6</v>
      </c>
      <c r="G355" s="5">
        <v>101</v>
      </c>
      <c r="H355" s="5">
        <v>101.1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98.9</v>
      </c>
      <c r="D356" s="5">
        <v>0.1</v>
      </c>
      <c r="E356" s="5">
        <v>99.1</v>
      </c>
      <c r="F356" s="5">
        <v>202.6</v>
      </c>
      <c r="G356" s="5">
        <v>101</v>
      </c>
      <c r="H356" s="5">
        <v>101.1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98.9</v>
      </c>
      <c r="D357" s="5">
        <v>0.1</v>
      </c>
      <c r="E357" s="5">
        <v>99.1</v>
      </c>
      <c r="F357" s="5">
        <v>202.6</v>
      </c>
      <c r="G357" s="5">
        <v>101</v>
      </c>
      <c r="H357" s="5">
        <v>101.1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98.9</v>
      </c>
      <c r="D358" s="5">
        <v>0.1</v>
      </c>
      <c r="E358" s="5">
        <v>99.1</v>
      </c>
      <c r="F358" s="5">
        <v>202.6</v>
      </c>
      <c r="G358" s="5">
        <v>101</v>
      </c>
      <c r="H358" s="5">
        <v>101.1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107.7</v>
      </c>
      <c r="D359" s="5">
        <v>0.1</v>
      </c>
      <c r="E359" s="5">
        <v>107.8</v>
      </c>
      <c r="F359" s="5">
        <v>213</v>
      </c>
      <c r="G359" s="5">
        <v>105.9</v>
      </c>
      <c r="H359" s="5">
        <v>105.7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107.7</v>
      </c>
      <c r="D360" s="5">
        <v>0.1</v>
      </c>
      <c r="E360" s="5">
        <v>107.8</v>
      </c>
      <c r="F360" s="5">
        <v>213</v>
      </c>
      <c r="G360" s="5">
        <v>105.9</v>
      </c>
      <c r="H360" s="5">
        <v>105.7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107.2</v>
      </c>
      <c r="D361" s="5">
        <v>0.1</v>
      </c>
      <c r="E361" s="5">
        <v>107.4</v>
      </c>
      <c r="F361" s="5">
        <v>213.4</v>
      </c>
      <c r="G361" s="5">
        <v>106</v>
      </c>
      <c r="H361" s="5">
        <v>105.9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107.2</v>
      </c>
      <c r="D362" s="5">
        <v>0.1</v>
      </c>
      <c r="E362" s="5">
        <v>107.4</v>
      </c>
      <c r="F362" s="5">
        <v>213.4</v>
      </c>
      <c r="G362" s="5">
        <v>106</v>
      </c>
      <c r="H362" s="5">
        <v>105.9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106.7</v>
      </c>
      <c r="D363" s="5">
        <v>0.1</v>
      </c>
      <c r="E363" s="5">
        <v>106.9</v>
      </c>
      <c r="F363" s="5">
        <v>212.3</v>
      </c>
      <c r="G363" s="5">
        <v>105.5</v>
      </c>
      <c r="H363" s="5">
        <v>105.3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106.7</v>
      </c>
      <c r="D364" s="5">
        <v>0.1</v>
      </c>
      <c r="E364" s="5">
        <v>106.9</v>
      </c>
      <c r="F364" s="5">
        <v>212.3</v>
      </c>
      <c r="G364" s="5">
        <v>105.5</v>
      </c>
      <c r="H364" s="5">
        <v>105.3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107.4</v>
      </c>
      <c r="D365" s="5">
        <v>0.1</v>
      </c>
      <c r="E365" s="5">
        <v>107.5</v>
      </c>
      <c r="F365" s="5">
        <v>213.1</v>
      </c>
      <c r="G365" s="5">
        <v>105.9</v>
      </c>
      <c r="H365" s="5">
        <v>105.9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107.4</v>
      </c>
      <c r="D366" s="5">
        <v>0.1</v>
      </c>
      <c r="E366" s="5">
        <v>107.5</v>
      </c>
      <c r="F366" s="5">
        <v>213.1</v>
      </c>
      <c r="G366" s="5">
        <v>105.9</v>
      </c>
      <c r="H366" s="5">
        <v>105.9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107.4</v>
      </c>
      <c r="D367" s="5">
        <v>0.1</v>
      </c>
      <c r="E367" s="5">
        <v>107.5</v>
      </c>
      <c r="F367" s="5">
        <v>213.1</v>
      </c>
      <c r="G367" s="5">
        <v>105.9</v>
      </c>
      <c r="H367" s="5">
        <v>105.9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107.4</v>
      </c>
      <c r="D368" s="5">
        <v>0.1</v>
      </c>
      <c r="E368" s="5">
        <v>107.5</v>
      </c>
      <c r="F368" s="5">
        <v>213.1</v>
      </c>
      <c r="G368" s="5">
        <v>105.9</v>
      </c>
      <c r="H368" s="5">
        <v>105.9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107.2</v>
      </c>
      <c r="D369" s="5">
        <v>0.1</v>
      </c>
      <c r="E369" s="5">
        <v>107.3</v>
      </c>
      <c r="F369" s="5">
        <v>213</v>
      </c>
      <c r="G369" s="5">
        <v>105.9</v>
      </c>
      <c r="H369" s="5">
        <v>105.8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107.2</v>
      </c>
      <c r="D370" s="5">
        <v>0.1</v>
      </c>
      <c r="E370" s="5">
        <v>107.3</v>
      </c>
      <c r="F370" s="5">
        <v>213</v>
      </c>
      <c r="G370" s="5">
        <v>105.9</v>
      </c>
      <c r="H370" s="5">
        <v>105.8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107.4</v>
      </c>
      <c r="D371" s="5">
        <v>0.1</v>
      </c>
      <c r="E371" s="5">
        <v>107.5</v>
      </c>
      <c r="F371" s="5">
        <v>214</v>
      </c>
      <c r="G371" s="5">
        <v>106.3</v>
      </c>
      <c r="H371" s="5">
        <v>106.2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107.4</v>
      </c>
      <c r="D372" s="5">
        <v>0.1</v>
      </c>
      <c r="E372" s="5">
        <v>107.5</v>
      </c>
      <c r="F372" s="5">
        <v>214</v>
      </c>
      <c r="G372" s="5">
        <v>106.3</v>
      </c>
      <c r="H372" s="5">
        <v>106.2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107.2</v>
      </c>
      <c r="D373" s="5">
        <v>0.1</v>
      </c>
      <c r="E373" s="5">
        <v>107.2</v>
      </c>
      <c r="F373" s="5">
        <v>213.4</v>
      </c>
      <c r="G373" s="5">
        <v>106.1</v>
      </c>
      <c r="H373" s="5">
        <v>106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107.2</v>
      </c>
      <c r="D374" s="5">
        <v>0.1</v>
      </c>
      <c r="E374" s="5">
        <v>107.2</v>
      </c>
      <c r="F374" s="5">
        <v>213.4</v>
      </c>
      <c r="G374" s="5">
        <v>106.1</v>
      </c>
      <c r="H374" s="5">
        <v>106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107.7</v>
      </c>
      <c r="D375" s="5">
        <v>0.1</v>
      </c>
      <c r="E375" s="5">
        <v>107.8</v>
      </c>
      <c r="F375" s="5">
        <v>213.6</v>
      </c>
      <c r="G375" s="5">
        <v>106.1</v>
      </c>
      <c r="H375" s="5">
        <v>106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107.7</v>
      </c>
      <c r="D376" s="5">
        <v>0.1</v>
      </c>
      <c r="E376" s="5">
        <v>107.8</v>
      </c>
      <c r="F376" s="5">
        <v>213.6</v>
      </c>
      <c r="G376" s="5">
        <v>106.1</v>
      </c>
      <c r="H376" s="5">
        <v>106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107.7</v>
      </c>
      <c r="D377" s="5">
        <v>0.1</v>
      </c>
      <c r="E377" s="5">
        <v>107.8</v>
      </c>
      <c r="F377" s="5">
        <v>213.6</v>
      </c>
      <c r="G377" s="5">
        <v>106.1</v>
      </c>
      <c r="H377" s="5">
        <v>106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106.4</v>
      </c>
      <c r="D378" s="5">
        <v>0.1</v>
      </c>
      <c r="E378" s="5">
        <v>106.6</v>
      </c>
      <c r="F378" s="5">
        <v>212.5</v>
      </c>
      <c r="G378" s="5">
        <v>105.6</v>
      </c>
      <c r="H378" s="5">
        <v>105.5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106.4</v>
      </c>
      <c r="D379" s="5">
        <v>0.1</v>
      </c>
      <c r="E379" s="5">
        <v>106.6</v>
      </c>
      <c r="F379" s="5">
        <v>212.5</v>
      </c>
      <c r="G379" s="5">
        <v>105.6</v>
      </c>
      <c r="H379" s="5">
        <v>105.5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106.1</v>
      </c>
      <c r="D380" s="5">
        <v>0.1</v>
      </c>
      <c r="E380" s="5">
        <v>106.2</v>
      </c>
      <c r="F380" s="5">
        <v>211.9</v>
      </c>
      <c r="G380" s="5">
        <v>105.3</v>
      </c>
      <c r="H380" s="5">
        <v>105.1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106.1</v>
      </c>
      <c r="D381" s="5">
        <v>0.1</v>
      </c>
      <c r="E381" s="5">
        <v>106.2</v>
      </c>
      <c r="F381" s="5">
        <v>211.9</v>
      </c>
      <c r="G381" s="5">
        <v>105.3</v>
      </c>
      <c r="H381" s="5">
        <v>105.1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106.5</v>
      </c>
      <c r="D382" s="5">
        <v>0.1</v>
      </c>
      <c r="E382" s="5">
        <v>106.6</v>
      </c>
      <c r="F382" s="5">
        <v>212.3</v>
      </c>
      <c r="G382" s="5">
        <v>105.6</v>
      </c>
      <c r="H382" s="5">
        <v>105.5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106.5</v>
      </c>
      <c r="D383" s="5">
        <v>0.1</v>
      </c>
      <c r="E383" s="5">
        <v>106.6</v>
      </c>
      <c r="F383" s="5">
        <v>212.3</v>
      </c>
      <c r="G383" s="5">
        <v>105.6</v>
      </c>
      <c r="H383" s="5">
        <v>105.5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106.2</v>
      </c>
      <c r="D384" s="5">
        <v>0.1</v>
      </c>
      <c r="E384" s="5">
        <v>106.4</v>
      </c>
      <c r="F384" s="5">
        <v>211.5</v>
      </c>
      <c r="G384" s="5">
        <v>105.1</v>
      </c>
      <c r="H384" s="5">
        <v>104.9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106.2</v>
      </c>
      <c r="D385" s="5">
        <v>0.1</v>
      </c>
      <c r="E385" s="5">
        <v>106.4</v>
      </c>
      <c r="F385" s="5">
        <v>211.5</v>
      </c>
      <c r="G385" s="5">
        <v>105.1</v>
      </c>
      <c r="H385" s="5">
        <v>104.9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106.2</v>
      </c>
      <c r="D386" s="5">
        <v>0.1</v>
      </c>
      <c r="E386" s="5">
        <v>106.4</v>
      </c>
      <c r="F386" s="5">
        <v>211.5</v>
      </c>
      <c r="G386" s="5">
        <v>105.1</v>
      </c>
      <c r="H386" s="5">
        <v>104.9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106.2</v>
      </c>
      <c r="D387" s="5">
        <v>0.1</v>
      </c>
      <c r="E387" s="5">
        <v>106.4</v>
      </c>
      <c r="F387" s="5">
        <v>211.5</v>
      </c>
      <c r="G387" s="5">
        <v>105.1</v>
      </c>
      <c r="H387" s="5">
        <v>104.9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106.9</v>
      </c>
      <c r="D388" s="5">
        <v>0.1</v>
      </c>
      <c r="E388" s="5">
        <v>107.1</v>
      </c>
      <c r="F388" s="5">
        <v>212.3</v>
      </c>
      <c r="G388" s="5">
        <v>105.1</v>
      </c>
      <c r="H388" s="5">
        <v>104.9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106.9</v>
      </c>
      <c r="D389" s="5">
        <v>0.1</v>
      </c>
      <c r="E389" s="5">
        <v>107.1</v>
      </c>
      <c r="F389" s="5">
        <v>212.3</v>
      </c>
      <c r="G389" s="5">
        <v>105.5</v>
      </c>
      <c r="H389" s="5">
        <v>105.4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106.6</v>
      </c>
      <c r="D390" s="5">
        <v>0.1</v>
      </c>
      <c r="E390" s="5">
        <v>106.8</v>
      </c>
      <c r="F390" s="5">
        <v>211.8</v>
      </c>
      <c r="G390" s="5">
        <v>105.5</v>
      </c>
      <c r="H390" s="5">
        <v>105.4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106.6</v>
      </c>
      <c r="D391" s="5">
        <v>0.1</v>
      </c>
      <c r="E391" s="5">
        <v>106.8</v>
      </c>
      <c r="F391" s="5">
        <v>211.8</v>
      </c>
      <c r="G391" s="5">
        <v>105.3</v>
      </c>
      <c r="H391" s="5">
        <v>105.1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106.7</v>
      </c>
      <c r="D392" s="5">
        <v>0.1</v>
      </c>
      <c r="E392" s="5">
        <v>106.8</v>
      </c>
      <c r="F392" s="5">
        <v>211.8</v>
      </c>
      <c r="G392" s="5">
        <v>105.3</v>
      </c>
      <c r="H392" s="5">
        <v>105.1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106.7</v>
      </c>
      <c r="D393" s="5">
        <v>0.1</v>
      </c>
      <c r="E393" s="5">
        <v>106.9</v>
      </c>
      <c r="F393" s="5">
        <v>211.9</v>
      </c>
      <c r="G393" s="5">
        <v>105.3</v>
      </c>
      <c r="H393" s="5">
        <v>105.1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106.7</v>
      </c>
      <c r="D394" s="5">
        <v>0.1</v>
      </c>
      <c r="E394" s="5">
        <v>106.9</v>
      </c>
      <c r="F394" s="5">
        <v>211.9</v>
      </c>
      <c r="G394" s="5">
        <v>105.3</v>
      </c>
      <c r="H394" s="5">
        <v>105.1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106.9</v>
      </c>
      <c r="D395" s="5">
        <v>0.1</v>
      </c>
      <c r="E395" s="5">
        <v>107</v>
      </c>
      <c r="F395" s="5">
        <v>212</v>
      </c>
      <c r="G395" s="5">
        <v>105.4</v>
      </c>
      <c r="H395" s="5">
        <v>105.2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106.9</v>
      </c>
      <c r="D396" s="5">
        <v>0.1</v>
      </c>
      <c r="E396" s="5">
        <v>107</v>
      </c>
      <c r="F396" s="5">
        <v>212</v>
      </c>
      <c r="G396" s="5">
        <v>105.4</v>
      </c>
      <c r="H396" s="5">
        <v>105.2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106.9</v>
      </c>
      <c r="D397" s="5">
        <v>0.1</v>
      </c>
      <c r="E397" s="5">
        <v>107</v>
      </c>
      <c r="F397" s="5">
        <v>212</v>
      </c>
      <c r="G397" s="5">
        <v>105.4</v>
      </c>
      <c r="H397" s="5">
        <v>105.2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106.9</v>
      </c>
      <c r="D398" s="5">
        <v>0.1</v>
      </c>
      <c r="E398" s="5">
        <v>107</v>
      </c>
      <c r="F398" s="5">
        <v>212.2</v>
      </c>
      <c r="G398" s="5">
        <v>105.5</v>
      </c>
      <c r="H398" s="5">
        <v>105.3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106.5</v>
      </c>
      <c r="D399" s="5">
        <v>0.1</v>
      </c>
      <c r="E399" s="5">
        <v>106.6</v>
      </c>
      <c r="F399" s="5">
        <v>212.2</v>
      </c>
      <c r="G399" s="5">
        <v>105.5</v>
      </c>
      <c r="H399" s="5">
        <v>105.3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106.5</v>
      </c>
      <c r="D400" s="5">
        <v>0.1</v>
      </c>
      <c r="E400" s="5">
        <v>106.6</v>
      </c>
      <c r="F400" s="5">
        <v>209.9</v>
      </c>
      <c r="G400" s="5">
        <v>104.3</v>
      </c>
      <c r="H400" s="5">
        <v>104.2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105.5</v>
      </c>
      <c r="D401" s="5">
        <v>0.1</v>
      </c>
      <c r="E401" s="5">
        <v>105.6</v>
      </c>
      <c r="F401" s="5">
        <v>209.9</v>
      </c>
      <c r="G401" s="5">
        <v>104.3</v>
      </c>
      <c r="H401" s="5">
        <v>104.2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105.5</v>
      </c>
      <c r="D402" s="5">
        <v>0.1</v>
      </c>
      <c r="E402" s="5">
        <v>105.6</v>
      </c>
      <c r="F402" s="5">
        <v>209.9</v>
      </c>
      <c r="G402" s="5">
        <v>104.4</v>
      </c>
      <c r="H402" s="5">
        <v>104.4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105.4</v>
      </c>
      <c r="D403" s="5">
        <v>0.1</v>
      </c>
      <c r="E403" s="5">
        <v>105.6</v>
      </c>
      <c r="F403" s="5">
        <v>210.1</v>
      </c>
      <c r="G403" s="5">
        <v>104.4</v>
      </c>
      <c r="H403" s="5">
        <v>104.4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105.4</v>
      </c>
      <c r="D404" s="5">
        <v>0.1</v>
      </c>
      <c r="E404" s="5">
        <v>105.6</v>
      </c>
      <c r="F404" s="5">
        <v>209.3</v>
      </c>
      <c r="G404" s="5">
        <v>104.1</v>
      </c>
      <c r="H404" s="5">
        <v>104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105</v>
      </c>
      <c r="D405" s="5">
        <v>0.1</v>
      </c>
      <c r="E405" s="5">
        <v>105.1</v>
      </c>
      <c r="F405" s="5">
        <v>209.3</v>
      </c>
      <c r="G405" s="5">
        <v>104.1</v>
      </c>
      <c r="H405" s="5">
        <v>104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105</v>
      </c>
      <c r="D406" s="5">
        <v>0.1</v>
      </c>
      <c r="E406" s="5">
        <v>105.1</v>
      </c>
      <c r="F406" s="5">
        <v>209.3</v>
      </c>
      <c r="G406" s="5">
        <v>104.1</v>
      </c>
      <c r="H406" s="5">
        <v>104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105</v>
      </c>
      <c r="D407" s="5">
        <v>0.1</v>
      </c>
      <c r="E407" s="5">
        <v>105.1</v>
      </c>
      <c r="F407" s="5">
        <v>209.3</v>
      </c>
      <c r="G407" s="5">
        <v>104.1</v>
      </c>
      <c r="H407" s="5">
        <v>104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104.6</v>
      </c>
      <c r="D408" s="5">
        <v>0.1</v>
      </c>
      <c r="E408" s="5">
        <v>104.8</v>
      </c>
      <c r="F408" s="5">
        <v>208.7</v>
      </c>
      <c r="G408" s="5">
        <v>103.7</v>
      </c>
      <c r="H408" s="5">
        <v>103.6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104.6</v>
      </c>
      <c r="D409" s="5">
        <v>0.1</v>
      </c>
      <c r="E409" s="5">
        <v>104.8</v>
      </c>
      <c r="F409" s="5">
        <v>208.7</v>
      </c>
      <c r="G409" s="5">
        <v>103.7</v>
      </c>
      <c r="H409" s="5">
        <v>103.6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105.2</v>
      </c>
      <c r="D410" s="5">
        <v>0.1</v>
      </c>
      <c r="E410" s="5">
        <v>105.3</v>
      </c>
      <c r="F410" s="5">
        <v>208.9</v>
      </c>
      <c r="G410" s="5">
        <v>103.9</v>
      </c>
      <c r="H410" s="5">
        <v>103.8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105.2</v>
      </c>
      <c r="D411" s="5">
        <v>0.1</v>
      </c>
      <c r="E411" s="5">
        <v>105.3</v>
      </c>
      <c r="F411" s="5">
        <v>208.9</v>
      </c>
      <c r="G411" s="5">
        <v>103.9</v>
      </c>
      <c r="H411" s="5">
        <v>103.8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105.5</v>
      </c>
      <c r="D412" s="5">
        <v>0.1</v>
      </c>
      <c r="E412" s="5">
        <v>105.6</v>
      </c>
      <c r="F412" s="5">
        <v>210.1</v>
      </c>
      <c r="G412" s="5">
        <v>104.4</v>
      </c>
      <c r="H412" s="5">
        <v>104.3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105.5</v>
      </c>
      <c r="D413" s="5">
        <v>0.1</v>
      </c>
      <c r="E413" s="5">
        <v>105.6</v>
      </c>
      <c r="F413" s="5">
        <v>210.1</v>
      </c>
      <c r="G413" s="5">
        <v>104.4</v>
      </c>
      <c r="H413" s="5">
        <v>104.3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105.3</v>
      </c>
      <c r="D414" s="5">
        <v>0.1</v>
      </c>
      <c r="E414" s="5">
        <v>105.3</v>
      </c>
      <c r="F414" s="5">
        <v>209</v>
      </c>
      <c r="G414" s="5">
        <v>103.9</v>
      </c>
      <c r="H414" s="5">
        <v>103.8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105.3</v>
      </c>
      <c r="D415" s="5">
        <v>0.1</v>
      </c>
      <c r="E415" s="5">
        <v>105.3</v>
      </c>
      <c r="F415" s="5">
        <v>209</v>
      </c>
      <c r="G415" s="5">
        <v>103.9</v>
      </c>
      <c r="H415" s="5">
        <v>103.8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105.3</v>
      </c>
      <c r="D416" s="5">
        <v>0.1</v>
      </c>
      <c r="E416" s="5">
        <v>105.3</v>
      </c>
      <c r="F416" s="5">
        <v>209</v>
      </c>
      <c r="G416" s="5">
        <v>103.9</v>
      </c>
      <c r="H416" s="5">
        <v>103.8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105.3</v>
      </c>
      <c r="D417" s="5">
        <v>0.1</v>
      </c>
      <c r="E417" s="5">
        <v>105.3</v>
      </c>
      <c r="F417" s="5">
        <v>209</v>
      </c>
      <c r="G417" s="5">
        <v>103.9</v>
      </c>
      <c r="H417" s="5">
        <v>103.8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106</v>
      </c>
      <c r="D418" s="5">
        <v>0.1</v>
      </c>
      <c r="E418" s="5">
        <v>106.2</v>
      </c>
      <c r="F418" s="5">
        <v>211.1</v>
      </c>
      <c r="G418" s="5">
        <v>104.9</v>
      </c>
      <c r="H418" s="5">
        <v>104.8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106</v>
      </c>
      <c r="D419" s="5">
        <v>0.1</v>
      </c>
      <c r="E419" s="5">
        <v>106.2</v>
      </c>
      <c r="F419" s="5">
        <v>211.1</v>
      </c>
      <c r="G419" s="5">
        <v>104.9</v>
      </c>
      <c r="H419" s="5">
        <v>104.8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106.4</v>
      </c>
      <c r="D420" s="5">
        <v>0.1</v>
      </c>
      <c r="E420" s="5">
        <v>106.6</v>
      </c>
      <c r="F420" s="5">
        <v>211.1</v>
      </c>
      <c r="G420" s="5">
        <v>104.9</v>
      </c>
      <c r="H420" s="5">
        <v>104.8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106.4</v>
      </c>
      <c r="D421" s="5">
        <v>0.1</v>
      </c>
      <c r="E421" s="5">
        <v>106.6</v>
      </c>
      <c r="F421" s="5">
        <v>211.1</v>
      </c>
      <c r="G421" s="5">
        <v>104.9</v>
      </c>
      <c r="H421" s="5">
        <v>104.8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106.3</v>
      </c>
      <c r="D422" s="5">
        <v>0.1</v>
      </c>
      <c r="E422" s="5">
        <v>106.5</v>
      </c>
      <c r="F422" s="5">
        <v>211</v>
      </c>
      <c r="G422" s="5">
        <v>104.8</v>
      </c>
      <c r="H422" s="5">
        <v>104.7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106.3</v>
      </c>
      <c r="D423" s="5">
        <v>0.1</v>
      </c>
      <c r="E423" s="5">
        <v>106.5</v>
      </c>
      <c r="F423" s="5">
        <v>211</v>
      </c>
      <c r="G423" s="5">
        <v>104.8</v>
      </c>
      <c r="H423" s="5">
        <v>104.7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105.9</v>
      </c>
      <c r="D424" s="5">
        <v>0.1</v>
      </c>
      <c r="E424" s="5">
        <v>106.1</v>
      </c>
      <c r="F424" s="5">
        <v>210.6</v>
      </c>
      <c r="G424" s="5">
        <v>104.7</v>
      </c>
      <c r="H424" s="5">
        <v>104.6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105.9</v>
      </c>
      <c r="D425" s="5">
        <v>0.1</v>
      </c>
      <c r="E425" s="5">
        <v>106.1</v>
      </c>
      <c r="F425" s="5">
        <v>210.6</v>
      </c>
      <c r="G425" s="5">
        <v>104.7</v>
      </c>
      <c r="H425" s="5">
        <v>104.6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105.9</v>
      </c>
      <c r="D426" s="5">
        <v>0.1</v>
      </c>
      <c r="E426" s="5">
        <v>106.1</v>
      </c>
      <c r="F426" s="5">
        <v>210.6</v>
      </c>
      <c r="G426" s="5">
        <v>104.7</v>
      </c>
      <c r="H426" s="5">
        <v>104.6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105.9</v>
      </c>
      <c r="D427" s="5">
        <v>0.1</v>
      </c>
      <c r="E427" s="5">
        <v>106.1</v>
      </c>
      <c r="F427" s="5">
        <v>210.6</v>
      </c>
      <c r="G427" s="5">
        <v>104.7</v>
      </c>
      <c r="H427" s="5">
        <v>104.6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105.9</v>
      </c>
      <c r="D428" s="5">
        <v>0.1</v>
      </c>
      <c r="E428" s="5">
        <v>106.1</v>
      </c>
      <c r="F428" s="5">
        <v>210.6</v>
      </c>
      <c r="G428" s="5">
        <v>104.7</v>
      </c>
      <c r="H428" s="5">
        <v>104.6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105.9</v>
      </c>
      <c r="D429" s="5">
        <v>0.1</v>
      </c>
      <c r="E429" s="5">
        <v>106.1</v>
      </c>
      <c r="F429" s="5">
        <v>210.6</v>
      </c>
      <c r="G429" s="5">
        <v>104.7</v>
      </c>
      <c r="H429" s="5">
        <v>104.6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105.6</v>
      </c>
      <c r="D430" s="5">
        <v>0.1</v>
      </c>
      <c r="E430" s="5">
        <v>105.6</v>
      </c>
      <c r="F430" s="5">
        <v>210.4</v>
      </c>
      <c r="G430" s="5">
        <v>104.5</v>
      </c>
      <c r="H430" s="5">
        <v>104.4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105.6</v>
      </c>
      <c r="D431" s="5">
        <v>0.1</v>
      </c>
      <c r="E431" s="5">
        <v>105.6</v>
      </c>
      <c r="F431" s="5">
        <v>210.4</v>
      </c>
      <c r="G431" s="5">
        <v>104.5</v>
      </c>
      <c r="H431" s="5">
        <v>104.4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105.6</v>
      </c>
      <c r="D432" s="5">
        <v>0.1</v>
      </c>
      <c r="E432" s="5">
        <v>105.7</v>
      </c>
      <c r="F432" s="5">
        <v>209.9</v>
      </c>
      <c r="G432" s="5">
        <v>104.3</v>
      </c>
      <c r="H432" s="5">
        <v>104.2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105.6</v>
      </c>
      <c r="D433" s="5">
        <v>0.1</v>
      </c>
      <c r="E433" s="5">
        <v>105.7</v>
      </c>
      <c r="F433" s="5">
        <v>209.9</v>
      </c>
      <c r="G433" s="5">
        <v>104.3</v>
      </c>
      <c r="H433" s="5">
        <v>104.2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105.6</v>
      </c>
      <c r="D434" s="5">
        <v>0.1</v>
      </c>
      <c r="E434" s="5">
        <v>105.7</v>
      </c>
      <c r="F434" s="5">
        <v>209.4</v>
      </c>
      <c r="G434" s="5">
        <v>104</v>
      </c>
      <c r="H434" s="5">
        <v>103.9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105.6</v>
      </c>
      <c r="D435" s="5">
        <v>0.1</v>
      </c>
      <c r="E435" s="5">
        <v>105.7</v>
      </c>
      <c r="F435" s="5">
        <v>209.4</v>
      </c>
      <c r="G435" s="5">
        <v>104</v>
      </c>
      <c r="H435" s="5">
        <v>103.9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105.6</v>
      </c>
      <c r="D436" s="5">
        <v>0.1</v>
      </c>
      <c r="E436" s="5">
        <v>105.7</v>
      </c>
      <c r="F436" s="5">
        <v>209.4</v>
      </c>
      <c r="G436" s="5">
        <v>104</v>
      </c>
      <c r="H436" s="5">
        <v>103.9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105.6</v>
      </c>
      <c r="D437" s="5">
        <v>0.1</v>
      </c>
      <c r="E437" s="5">
        <v>105.7</v>
      </c>
      <c r="F437" s="5">
        <v>209.4</v>
      </c>
      <c r="G437" s="5">
        <v>104</v>
      </c>
      <c r="H437" s="5">
        <v>103.9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104.7</v>
      </c>
      <c r="D438" s="5">
        <v>0.1</v>
      </c>
      <c r="E438" s="5">
        <v>104.9</v>
      </c>
      <c r="F438" s="5">
        <v>209.5</v>
      </c>
      <c r="G438" s="5">
        <v>104.1</v>
      </c>
      <c r="H438" s="5">
        <v>104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104.7</v>
      </c>
      <c r="D439" s="5">
        <v>0.1</v>
      </c>
      <c r="E439" s="5">
        <v>104.9</v>
      </c>
      <c r="F439" s="5">
        <v>209.5</v>
      </c>
      <c r="G439" s="5">
        <v>104.1</v>
      </c>
      <c r="H439" s="5">
        <v>104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105.4</v>
      </c>
      <c r="D440" s="5">
        <v>0.1</v>
      </c>
      <c r="E440" s="5">
        <v>105.6</v>
      </c>
      <c r="F440" s="5">
        <v>208.8</v>
      </c>
      <c r="G440" s="5">
        <v>103.1</v>
      </c>
      <c r="H440" s="5">
        <v>102.6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105.4</v>
      </c>
      <c r="D441" s="5">
        <v>0.1</v>
      </c>
      <c r="E441" s="5">
        <v>105.6</v>
      </c>
      <c r="F441" s="5">
        <v>208.8</v>
      </c>
      <c r="G441" s="5">
        <v>103.1</v>
      </c>
      <c r="H441" s="5">
        <v>102.6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104.5</v>
      </c>
      <c r="D442" s="5">
        <v>0.1</v>
      </c>
      <c r="E442" s="5">
        <v>104.6</v>
      </c>
      <c r="F442" s="5">
        <v>208.3</v>
      </c>
      <c r="G442" s="5">
        <v>103.6</v>
      </c>
      <c r="H442" s="5">
        <v>103.3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104.5</v>
      </c>
      <c r="D443" s="5">
        <v>0.1</v>
      </c>
      <c r="E443" s="5">
        <v>104.6</v>
      </c>
      <c r="F443" s="5">
        <v>208.3</v>
      </c>
      <c r="G443" s="5">
        <v>103.6</v>
      </c>
      <c r="H443" s="5">
        <v>103.3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104.3</v>
      </c>
      <c r="D444" s="5">
        <v>0.1</v>
      </c>
      <c r="E444" s="5">
        <v>104.5</v>
      </c>
      <c r="F444" s="5">
        <v>208</v>
      </c>
      <c r="G444" s="5">
        <v>103.4</v>
      </c>
      <c r="H444" s="5">
        <v>103.2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104.3</v>
      </c>
      <c r="D445" s="5">
        <v>0.1</v>
      </c>
      <c r="E445" s="5">
        <v>104.5</v>
      </c>
      <c r="F445" s="5">
        <v>208</v>
      </c>
      <c r="G445" s="5">
        <v>103.4</v>
      </c>
      <c r="H445" s="5">
        <v>103.2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104.3</v>
      </c>
      <c r="D446" s="5">
        <v>0.1</v>
      </c>
      <c r="E446" s="5">
        <v>104.5</v>
      </c>
      <c r="F446" s="5">
        <v>208</v>
      </c>
      <c r="G446" s="5">
        <v>103.4</v>
      </c>
      <c r="H446" s="5">
        <v>103.2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104.3</v>
      </c>
      <c r="D447" s="5">
        <v>0.1</v>
      </c>
      <c r="E447" s="5">
        <v>104.5</v>
      </c>
      <c r="F447" s="5">
        <v>208</v>
      </c>
      <c r="G447" s="5">
        <v>103.4</v>
      </c>
      <c r="H447" s="5">
        <v>103.2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104.7</v>
      </c>
      <c r="D448" s="5">
        <v>0.1</v>
      </c>
      <c r="E448" s="5">
        <v>104.9</v>
      </c>
      <c r="F448" s="5">
        <v>208.7</v>
      </c>
      <c r="G448" s="5">
        <v>103.7</v>
      </c>
      <c r="H448" s="5">
        <v>103.6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104.7</v>
      </c>
      <c r="D449" s="5">
        <v>0.1</v>
      </c>
      <c r="E449" s="5">
        <v>104.9</v>
      </c>
      <c r="F449" s="5">
        <v>208.7</v>
      </c>
      <c r="G449" s="5">
        <v>103.7</v>
      </c>
      <c r="H449" s="5">
        <v>103.6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105.9</v>
      </c>
      <c r="D450" s="5">
        <v>0.1</v>
      </c>
      <c r="E450" s="5">
        <v>106</v>
      </c>
      <c r="F450" s="5">
        <v>209.7</v>
      </c>
      <c r="G450" s="5">
        <v>104.2</v>
      </c>
      <c r="H450" s="5">
        <v>104.1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105.9</v>
      </c>
      <c r="D451" s="5">
        <v>0.1</v>
      </c>
      <c r="E451" s="5">
        <v>106</v>
      </c>
      <c r="F451" s="5">
        <v>209.7</v>
      </c>
      <c r="G451" s="5">
        <v>104.2</v>
      </c>
      <c r="H451" s="5">
        <v>104.1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105</v>
      </c>
      <c r="D452" s="5">
        <v>0.1</v>
      </c>
      <c r="E452" s="5">
        <v>105.1</v>
      </c>
      <c r="F452" s="5">
        <v>207.4</v>
      </c>
      <c r="G452" s="5">
        <v>103.1</v>
      </c>
      <c r="H452" s="5">
        <v>103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105</v>
      </c>
      <c r="D453" s="5">
        <v>0.1</v>
      </c>
      <c r="E453" s="5">
        <v>105.1</v>
      </c>
      <c r="F453" s="5">
        <v>207.4</v>
      </c>
      <c r="G453" s="5">
        <v>103.1</v>
      </c>
      <c r="H453" s="5">
        <v>103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104.3</v>
      </c>
      <c r="D454" s="5">
        <v>0.1</v>
      </c>
      <c r="E454" s="5">
        <v>104.4</v>
      </c>
      <c r="F454" s="5">
        <v>206.1</v>
      </c>
      <c r="G454" s="5">
        <v>102.4</v>
      </c>
      <c r="H454" s="5">
        <v>102.3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104.3</v>
      </c>
      <c r="D455" s="5">
        <v>0.1</v>
      </c>
      <c r="E455" s="5">
        <v>104.4</v>
      </c>
      <c r="F455" s="5">
        <v>206.1</v>
      </c>
      <c r="G455" s="5">
        <v>102.4</v>
      </c>
      <c r="H455" s="5">
        <v>102.3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104.3</v>
      </c>
      <c r="D456" s="5">
        <v>0.1</v>
      </c>
      <c r="E456" s="5">
        <v>104.4</v>
      </c>
      <c r="F456" s="5">
        <v>206.1</v>
      </c>
      <c r="G456" s="5">
        <v>102.4</v>
      </c>
      <c r="H456" s="5">
        <v>102.3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104.3</v>
      </c>
      <c r="D457" s="5">
        <v>0.1</v>
      </c>
      <c r="E457" s="5">
        <v>104.4</v>
      </c>
      <c r="F457" s="5">
        <v>206.1</v>
      </c>
      <c r="G457" s="5">
        <v>102.4</v>
      </c>
      <c r="H457" s="5">
        <v>102.3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103</v>
      </c>
      <c r="D458" s="5">
        <v>0.1</v>
      </c>
      <c r="E458" s="5">
        <v>103.1</v>
      </c>
      <c r="F458" s="5">
        <v>205.3</v>
      </c>
      <c r="G458" s="5">
        <v>102.1</v>
      </c>
      <c r="H458" s="5">
        <v>101.9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103</v>
      </c>
      <c r="D459" s="5">
        <v>0.1</v>
      </c>
      <c r="E459" s="5">
        <v>103.1</v>
      </c>
      <c r="F459" s="5">
        <v>205.3</v>
      </c>
      <c r="G459" s="5">
        <v>102.1</v>
      </c>
      <c r="H459" s="5">
        <v>101.9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102.9</v>
      </c>
      <c r="D460" s="5">
        <v>0.1</v>
      </c>
      <c r="E460" s="5">
        <v>103.1</v>
      </c>
      <c r="F460" s="5">
        <v>205</v>
      </c>
      <c r="G460" s="5">
        <v>101.9</v>
      </c>
      <c r="H460" s="5">
        <v>101.6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102.9</v>
      </c>
      <c r="D461" s="5">
        <v>0.1</v>
      </c>
      <c r="E461" s="5">
        <v>103.1</v>
      </c>
      <c r="F461" s="5">
        <v>205</v>
      </c>
      <c r="G461" s="5">
        <v>101.9</v>
      </c>
      <c r="H461" s="5">
        <v>101.6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104.3</v>
      </c>
      <c r="D462" s="5">
        <v>0.1</v>
      </c>
      <c r="E462" s="5">
        <v>104.5</v>
      </c>
      <c r="F462" s="5">
        <v>207.6</v>
      </c>
      <c r="G462" s="5">
        <v>103.2</v>
      </c>
      <c r="H462" s="5">
        <v>103.1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104.3</v>
      </c>
      <c r="D463" s="5">
        <v>0.1</v>
      </c>
      <c r="E463" s="5">
        <v>104.5</v>
      </c>
      <c r="F463" s="5">
        <v>207.6</v>
      </c>
      <c r="G463" s="5">
        <v>103.2</v>
      </c>
      <c r="H463" s="5">
        <v>103.1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104.2</v>
      </c>
      <c r="D464" s="5">
        <v>0.1</v>
      </c>
      <c r="E464" s="5">
        <v>104.3</v>
      </c>
      <c r="F464" s="5">
        <v>206.7</v>
      </c>
      <c r="G464" s="5">
        <v>102.7</v>
      </c>
      <c r="H464" s="5">
        <v>102.6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104.2</v>
      </c>
      <c r="D465" s="5">
        <v>0.1</v>
      </c>
      <c r="E465" s="5">
        <v>104.3</v>
      </c>
      <c r="F465" s="5">
        <v>206.7</v>
      </c>
      <c r="G465" s="5">
        <v>102.7</v>
      </c>
      <c r="H465" s="5">
        <v>102.6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104.2</v>
      </c>
      <c r="D466" s="5">
        <v>0.1</v>
      </c>
      <c r="E466" s="5">
        <v>104.3</v>
      </c>
      <c r="F466" s="5">
        <v>206.7</v>
      </c>
      <c r="G466" s="5">
        <v>102.7</v>
      </c>
      <c r="H466" s="5">
        <v>102.6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104.2</v>
      </c>
      <c r="D467" s="5">
        <v>0.1</v>
      </c>
      <c r="E467" s="5">
        <v>104.3</v>
      </c>
      <c r="F467" s="5">
        <v>206.7</v>
      </c>
      <c r="G467" s="5">
        <v>102.7</v>
      </c>
      <c r="H467" s="5">
        <v>102.6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103.8</v>
      </c>
      <c r="D468" s="5">
        <v>0.1</v>
      </c>
      <c r="E468" s="5">
        <v>104</v>
      </c>
      <c r="F468" s="5">
        <v>206.7</v>
      </c>
      <c r="G468" s="5">
        <v>102.7</v>
      </c>
      <c r="H468" s="5">
        <v>102.6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103.8</v>
      </c>
      <c r="D469" s="5">
        <v>0.1</v>
      </c>
      <c r="E469" s="5">
        <v>104</v>
      </c>
      <c r="F469" s="5">
        <v>206.7</v>
      </c>
      <c r="G469" s="5">
        <v>102.7</v>
      </c>
      <c r="H469" s="5">
        <v>102.6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104.3</v>
      </c>
      <c r="D470" s="5">
        <v>0.1</v>
      </c>
      <c r="E470" s="5">
        <v>104.4</v>
      </c>
      <c r="F470" s="5">
        <v>207.5</v>
      </c>
      <c r="G470" s="5">
        <v>103.1</v>
      </c>
      <c r="H470" s="5">
        <v>103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104.3</v>
      </c>
      <c r="D471" s="5">
        <v>0.1</v>
      </c>
      <c r="E471" s="5">
        <v>104.4</v>
      </c>
      <c r="F471" s="5">
        <v>207.5</v>
      </c>
      <c r="G471" s="5">
        <v>103.1</v>
      </c>
      <c r="H471" s="5">
        <v>103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104.6</v>
      </c>
      <c r="D472" s="5">
        <v>0.1</v>
      </c>
      <c r="E472" s="5">
        <v>104.8</v>
      </c>
      <c r="F472" s="5">
        <v>207.4</v>
      </c>
      <c r="G472" s="5">
        <v>103</v>
      </c>
      <c r="H472" s="5">
        <v>102.9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104.6</v>
      </c>
      <c r="D473" s="5">
        <v>0.1</v>
      </c>
      <c r="E473" s="5">
        <v>104.8</v>
      </c>
      <c r="F473" s="5">
        <v>207.4</v>
      </c>
      <c r="G473" s="5">
        <v>103</v>
      </c>
      <c r="H473" s="5">
        <v>102.9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104.3</v>
      </c>
      <c r="D474" s="5">
        <v>0.1</v>
      </c>
      <c r="E474" s="5">
        <v>104.4</v>
      </c>
      <c r="F474" s="5">
        <v>207.7</v>
      </c>
      <c r="G474" s="5">
        <v>103.1</v>
      </c>
      <c r="H474" s="5">
        <v>102.9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104.3</v>
      </c>
      <c r="D475" s="5">
        <v>0.1</v>
      </c>
      <c r="E475" s="5">
        <v>104.4</v>
      </c>
      <c r="F475" s="5">
        <v>207.7</v>
      </c>
      <c r="G475" s="5">
        <v>103.1</v>
      </c>
      <c r="H475" s="5">
        <v>102.9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104.3</v>
      </c>
      <c r="D476" s="5">
        <v>0.1</v>
      </c>
      <c r="E476" s="5">
        <v>104.4</v>
      </c>
      <c r="F476" s="5">
        <v>207.7</v>
      </c>
      <c r="G476" s="5">
        <v>103.1</v>
      </c>
      <c r="H476" s="5">
        <v>102.9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103.6</v>
      </c>
      <c r="D477" s="5">
        <v>0.1</v>
      </c>
      <c r="E477" s="5">
        <v>103.7</v>
      </c>
      <c r="F477" s="5">
        <v>207.7</v>
      </c>
      <c r="G477" s="5">
        <v>103.1</v>
      </c>
      <c r="H477" s="5">
        <v>102.9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103.6</v>
      </c>
      <c r="D478" s="5">
        <v>0.1</v>
      </c>
      <c r="E478" s="5">
        <v>103.7</v>
      </c>
      <c r="F478" s="5">
        <v>205.2</v>
      </c>
      <c r="G478" s="5">
        <v>102</v>
      </c>
      <c r="H478" s="5">
        <v>101.8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103.3</v>
      </c>
      <c r="D479" s="5">
        <v>0.1</v>
      </c>
      <c r="E479" s="5">
        <v>103.7</v>
      </c>
      <c r="F479" s="5">
        <v>205.2</v>
      </c>
      <c r="G479" s="5">
        <v>102</v>
      </c>
      <c r="H479" s="5">
        <v>101.8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103.3</v>
      </c>
      <c r="D480" s="5">
        <v>0.1</v>
      </c>
      <c r="E480" s="5">
        <v>103.4</v>
      </c>
      <c r="F480" s="5">
        <v>205.5</v>
      </c>
      <c r="G480" s="5">
        <v>102.1</v>
      </c>
      <c r="H480" s="5">
        <v>102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103.3</v>
      </c>
      <c r="D481" s="5">
        <v>0.1</v>
      </c>
      <c r="E481" s="5">
        <v>103.4</v>
      </c>
      <c r="F481" s="5">
        <v>205.5</v>
      </c>
      <c r="G481" s="5">
        <v>102.1</v>
      </c>
      <c r="H481" s="5">
        <v>102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102.5</v>
      </c>
      <c r="D482" s="5">
        <v>0.1</v>
      </c>
      <c r="E482" s="5">
        <v>102.7</v>
      </c>
      <c r="F482" s="5">
        <v>204.1</v>
      </c>
      <c r="G482" s="5">
        <v>101.4</v>
      </c>
      <c r="H482" s="5">
        <v>101.3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102.5</v>
      </c>
      <c r="D483" s="5">
        <v>0.1</v>
      </c>
      <c r="E483" s="5">
        <v>102.7</v>
      </c>
      <c r="F483" s="5">
        <v>204.1</v>
      </c>
      <c r="G483" s="5">
        <v>101.4</v>
      </c>
      <c r="H483" s="5">
        <v>101.3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104.6</v>
      </c>
      <c r="D484" s="5">
        <v>0.1</v>
      </c>
      <c r="E484" s="5">
        <v>104.7</v>
      </c>
      <c r="F484" s="5">
        <v>207.6</v>
      </c>
      <c r="G484" s="5">
        <v>103.1</v>
      </c>
      <c r="H484" s="5">
        <v>103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104.6</v>
      </c>
      <c r="D485" s="5">
        <v>0.1</v>
      </c>
      <c r="E485" s="5">
        <v>104.7</v>
      </c>
      <c r="F485" s="5">
        <v>207.6</v>
      </c>
      <c r="G485" s="5">
        <v>103.1</v>
      </c>
      <c r="H485" s="5">
        <v>103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104.6</v>
      </c>
      <c r="D486" s="5">
        <v>0.1</v>
      </c>
      <c r="E486" s="5">
        <v>104.7</v>
      </c>
      <c r="F486" s="5">
        <v>207.6</v>
      </c>
      <c r="G486" s="5">
        <v>103.1</v>
      </c>
      <c r="H486" s="5">
        <v>103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104.6</v>
      </c>
      <c r="D487" s="5">
        <v>0.1</v>
      </c>
      <c r="E487" s="5">
        <v>104.7</v>
      </c>
      <c r="F487" s="5">
        <v>207.6</v>
      </c>
      <c r="G487" s="5">
        <v>103.1</v>
      </c>
      <c r="H487" s="5">
        <v>103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105.7</v>
      </c>
      <c r="D488" s="5">
        <v>0.1</v>
      </c>
      <c r="E488" s="5">
        <v>105.8</v>
      </c>
      <c r="F488" s="5">
        <v>209</v>
      </c>
      <c r="G488" s="5">
        <v>103.8</v>
      </c>
      <c r="H488" s="5">
        <v>103.7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105.7</v>
      </c>
      <c r="D489" s="5">
        <v>0.1</v>
      </c>
      <c r="E489" s="5">
        <v>105.8</v>
      </c>
      <c r="F489" s="5">
        <v>209</v>
      </c>
      <c r="G489" s="5">
        <v>103.8</v>
      </c>
      <c r="H489" s="5">
        <v>103.7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105</v>
      </c>
      <c r="D490" s="5">
        <v>0.1</v>
      </c>
      <c r="E490" s="5">
        <v>105.3</v>
      </c>
      <c r="F490" s="5">
        <v>208.5</v>
      </c>
      <c r="G490" s="5">
        <v>103.6</v>
      </c>
      <c r="H490" s="5">
        <v>103.4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105</v>
      </c>
      <c r="D491" s="5">
        <v>0.1</v>
      </c>
      <c r="E491" s="5">
        <v>105.3</v>
      </c>
      <c r="F491" s="5">
        <v>208.5</v>
      </c>
      <c r="G491" s="5">
        <v>103.6</v>
      </c>
      <c r="H491" s="5">
        <v>103.4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105</v>
      </c>
      <c r="D492" s="5">
        <v>0.1</v>
      </c>
      <c r="E492" s="5">
        <v>105.2</v>
      </c>
      <c r="F492" s="5">
        <v>208.7</v>
      </c>
      <c r="G492" s="5">
        <v>103.7</v>
      </c>
      <c r="H492" s="5">
        <v>103.6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105</v>
      </c>
      <c r="D493" s="5">
        <v>0.1</v>
      </c>
      <c r="E493" s="5">
        <v>105.2</v>
      </c>
      <c r="F493" s="5">
        <v>208.7</v>
      </c>
      <c r="G493" s="5">
        <v>103.7</v>
      </c>
      <c r="H493" s="5">
        <v>103.6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105.7</v>
      </c>
      <c r="D494" s="5">
        <v>0.1</v>
      </c>
      <c r="E494" s="5">
        <v>105.8</v>
      </c>
      <c r="F494" s="5">
        <v>209.9</v>
      </c>
      <c r="G494" s="5">
        <v>104.2</v>
      </c>
      <c r="H494" s="5">
        <v>103.7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105.7</v>
      </c>
      <c r="D495" s="5">
        <v>0.1</v>
      </c>
      <c r="E495" s="5">
        <v>105.8</v>
      </c>
      <c r="F495" s="5">
        <v>209.9</v>
      </c>
      <c r="G495" s="5">
        <v>104.2</v>
      </c>
      <c r="H495" s="5">
        <v>103.7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105.7</v>
      </c>
      <c r="D496" s="5">
        <v>0.1</v>
      </c>
      <c r="E496" s="5">
        <v>105.8</v>
      </c>
      <c r="F496" s="5">
        <v>209.9</v>
      </c>
      <c r="G496" s="5">
        <v>104.2</v>
      </c>
      <c r="H496" s="5">
        <v>103.7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105.7</v>
      </c>
      <c r="D497" s="5">
        <v>0.1</v>
      </c>
      <c r="E497" s="5">
        <v>105.8</v>
      </c>
      <c r="F497" s="5">
        <v>209.9</v>
      </c>
      <c r="G497" s="5">
        <v>104.2</v>
      </c>
      <c r="H497" s="5">
        <v>103.7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105.1</v>
      </c>
      <c r="D498" s="5">
        <v>0.1</v>
      </c>
      <c r="E498" s="5">
        <v>105.3</v>
      </c>
      <c r="F498" s="5">
        <v>206.4</v>
      </c>
      <c r="G498" s="5">
        <v>102.6</v>
      </c>
      <c r="H498" s="5">
        <v>102.5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105.1</v>
      </c>
      <c r="D499" s="5">
        <v>0.1</v>
      </c>
      <c r="E499" s="5">
        <v>105.3</v>
      </c>
      <c r="F499" s="5">
        <v>206.4</v>
      </c>
      <c r="G499" s="5">
        <v>102.6</v>
      </c>
      <c r="H499" s="5">
        <v>102.5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103.1</v>
      </c>
      <c r="D500" s="5">
        <v>0.1</v>
      </c>
      <c r="E500" s="5">
        <v>103.2</v>
      </c>
      <c r="F500" s="5">
        <v>204.2</v>
      </c>
      <c r="G500" s="5">
        <v>101.5</v>
      </c>
      <c r="H500" s="5">
        <v>101.3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103.1</v>
      </c>
      <c r="D501" s="5">
        <v>0.1</v>
      </c>
      <c r="E501" s="5">
        <v>103.2</v>
      </c>
      <c r="F501" s="5">
        <v>204.2</v>
      </c>
      <c r="G501" s="5">
        <v>101.5</v>
      </c>
      <c r="H501" s="5">
        <v>101.3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104.4</v>
      </c>
      <c r="D502" s="5">
        <v>0.1</v>
      </c>
      <c r="E502" s="5">
        <v>104.6</v>
      </c>
      <c r="F502" s="5">
        <v>207.9</v>
      </c>
      <c r="G502" s="5">
        <v>103.3</v>
      </c>
      <c r="H502" s="5">
        <v>103.2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104.4</v>
      </c>
      <c r="D503" s="5">
        <v>0.1</v>
      </c>
      <c r="E503" s="5">
        <v>104.6</v>
      </c>
      <c r="F503" s="5">
        <v>207.9</v>
      </c>
      <c r="G503" s="5">
        <v>103.3</v>
      </c>
      <c r="H503" s="5">
        <v>103.2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103.7</v>
      </c>
      <c r="D504" s="5">
        <v>0.1</v>
      </c>
      <c r="E504" s="5">
        <v>103.9</v>
      </c>
      <c r="F504" s="5">
        <v>205.8</v>
      </c>
      <c r="G504" s="5">
        <v>102.3</v>
      </c>
      <c r="H504" s="5">
        <v>102.1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103.7</v>
      </c>
      <c r="D505" s="5">
        <v>0.1</v>
      </c>
      <c r="E505" s="5">
        <v>103.9</v>
      </c>
      <c r="F505" s="5">
        <v>205.8</v>
      </c>
      <c r="G505" s="5">
        <v>102.3</v>
      </c>
      <c r="H505" s="5">
        <v>102.1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103.7</v>
      </c>
      <c r="D506" s="5">
        <v>0.1</v>
      </c>
      <c r="E506" s="5">
        <v>103.9</v>
      </c>
      <c r="F506" s="5">
        <v>205.8</v>
      </c>
      <c r="G506" s="5">
        <v>102.3</v>
      </c>
      <c r="H506" s="5">
        <v>102.1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103.7</v>
      </c>
      <c r="D507" s="5">
        <v>0.1</v>
      </c>
      <c r="E507" s="5">
        <v>103.9</v>
      </c>
      <c r="F507" s="5">
        <v>206.4</v>
      </c>
      <c r="G507" s="5">
        <v>102.5</v>
      </c>
      <c r="H507" s="5">
        <v>102.4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104.1</v>
      </c>
      <c r="D508" s="5">
        <v>0.1</v>
      </c>
      <c r="E508" s="5">
        <v>104.3</v>
      </c>
      <c r="F508" s="5">
        <v>206.4</v>
      </c>
      <c r="G508" s="5">
        <v>102.5</v>
      </c>
      <c r="H508" s="5">
        <v>102.4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104.1</v>
      </c>
      <c r="D509" s="5">
        <v>0.1</v>
      </c>
      <c r="E509" s="5">
        <v>104.3</v>
      </c>
      <c r="F509" s="5">
        <v>209.9</v>
      </c>
      <c r="G509" s="5">
        <v>104.3</v>
      </c>
      <c r="H509" s="5">
        <v>104.1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105.6</v>
      </c>
      <c r="D510" s="5">
        <v>0.1</v>
      </c>
      <c r="E510" s="5">
        <v>105.8</v>
      </c>
      <c r="F510" s="5">
        <v>209.9</v>
      </c>
      <c r="G510" s="5">
        <v>104.3</v>
      </c>
      <c r="H510" s="5">
        <v>104.1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105.6</v>
      </c>
      <c r="D511" s="5">
        <v>0.1</v>
      </c>
      <c r="E511" s="5">
        <v>105.8</v>
      </c>
      <c r="F511" s="5">
        <v>209</v>
      </c>
      <c r="G511" s="5">
        <v>103.8</v>
      </c>
      <c r="H511" s="5">
        <v>103.7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105</v>
      </c>
      <c r="D512" s="5">
        <v>0.1</v>
      </c>
      <c r="E512" s="5">
        <v>105.2</v>
      </c>
      <c r="F512" s="5">
        <v>209</v>
      </c>
      <c r="G512" s="5">
        <v>103.8</v>
      </c>
      <c r="H512" s="5">
        <v>103.7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105</v>
      </c>
      <c r="D513" s="5">
        <v>0.1</v>
      </c>
      <c r="E513" s="5">
        <v>105.2</v>
      </c>
      <c r="F513" s="5">
        <v>209.1</v>
      </c>
      <c r="G513" s="5">
        <v>103.8</v>
      </c>
      <c r="H513" s="5">
        <v>103.4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105</v>
      </c>
      <c r="D514" s="5">
        <v>0.1</v>
      </c>
      <c r="E514" s="5">
        <v>105.2</v>
      </c>
      <c r="F514" s="5">
        <v>209.1</v>
      </c>
      <c r="G514" s="5">
        <v>103.8</v>
      </c>
      <c r="H514" s="5">
        <v>103.4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105</v>
      </c>
      <c r="D515" s="5">
        <v>0.1</v>
      </c>
      <c r="E515" s="5">
        <v>105.2</v>
      </c>
      <c r="F515" s="5">
        <v>209.1</v>
      </c>
      <c r="G515" s="5">
        <v>103.8</v>
      </c>
      <c r="H515" s="5">
        <v>103.4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105</v>
      </c>
      <c r="D516" s="5">
        <v>0.1</v>
      </c>
      <c r="E516" s="5">
        <v>105.2</v>
      </c>
      <c r="F516" s="5">
        <v>209.1</v>
      </c>
      <c r="G516" s="5">
        <v>103.8</v>
      </c>
      <c r="H516" s="5">
        <v>103.4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105.6</v>
      </c>
      <c r="D517" s="5">
        <v>0.1</v>
      </c>
      <c r="E517" s="5">
        <v>105.7</v>
      </c>
      <c r="F517" s="5">
        <v>209.6</v>
      </c>
      <c r="G517" s="5">
        <v>104.1</v>
      </c>
      <c r="H517" s="5">
        <v>104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105.6</v>
      </c>
      <c r="D518" s="5">
        <v>0.1</v>
      </c>
      <c r="E518" s="5">
        <v>105.7</v>
      </c>
      <c r="F518" s="5">
        <v>209.6</v>
      </c>
      <c r="G518" s="5">
        <v>104.1</v>
      </c>
      <c r="H518" s="5">
        <v>104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105.6</v>
      </c>
      <c r="D519" s="5">
        <v>0.1</v>
      </c>
      <c r="E519" s="5">
        <v>105.8</v>
      </c>
      <c r="F519" s="5">
        <v>209.2</v>
      </c>
      <c r="G519" s="5">
        <v>104</v>
      </c>
      <c r="H519" s="5">
        <v>103.8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105.6</v>
      </c>
      <c r="D520" s="5">
        <v>0.1</v>
      </c>
      <c r="E520" s="5">
        <v>105.8</v>
      </c>
      <c r="F520" s="5">
        <v>209.2</v>
      </c>
      <c r="G520" s="5">
        <v>104</v>
      </c>
      <c r="H520" s="5">
        <v>103.8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105.6</v>
      </c>
      <c r="D521" s="5">
        <v>0.1</v>
      </c>
      <c r="E521" s="5">
        <v>105.7</v>
      </c>
      <c r="F521" s="5">
        <v>209.7</v>
      </c>
      <c r="G521" s="5">
        <v>104.2</v>
      </c>
      <c r="H521" s="5">
        <v>104.1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105.6</v>
      </c>
      <c r="D522" s="5">
        <v>0.1</v>
      </c>
      <c r="E522" s="5">
        <v>105.7</v>
      </c>
      <c r="F522" s="5">
        <v>209.7</v>
      </c>
      <c r="G522" s="5">
        <v>104.2</v>
      </c>
      <c r="H522" s="5">
        <v>104.1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105.2</v>
      </c>
      <c r="D523" s="5">
        <v>0.1</v>
      </c>
      <c r="E523" s="5">
        <v>105.3</v>
      </c>
      <c r="F523" s="5">
        <v>208.2</v>
      </c>
      <c r="G523" s="5">
        <v>103.5</v>
      </c>
      <c r="H523" s="5">
        <v>103.4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105.2</v>
      </c>
      <c r="D524" s="5">
        <v>0.1</v>
      </c>
      <c r="E524" s="5">
        <v>105.3</v>
      </c>
      <c r="F524" s="5">
        <v>208.2</v>
      </c>
      <c r="G524" s="5">
        <v>103.5</v>
      </c>
      <c r="H524" s="5">
        <v>103.4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105.2</v>
      </c>
      <c r="D525" s="5">
        <v>0.1</v>
      </c>
      <c r="E525" s="5">
        <v>105.3</v>
      </c>
      <c r="F525" s="5">
        <v>208.2</v>
      </c>
      <c r="G525" s="5">
        <v>103.5</v>
      </c>
      <c r="H525" s="5">
        <v>103.4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105.2</v>
      </c>
      <c r="D526" s="5">
        <v>0.1</v>
      </c>
      <c r="E526" s="5">
        <v>105.3</v>
      </c>
      <c r="F526" s="5">
        <v>208.2</v>
      </c>
      <c r="G526" s="5">
        <v>103.5</v>
      </c>
      <c r="H526" s="5">
        <v>103.4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105.9</v>
      </c>
      <c r="D527" s="5">
        <v>0.1</v>
      </c>
      <c r="E527" s="5">
        <v>106</v>
      </c>
      <c r="F527" s="5">
        <v>209</v>
      </c>
      <c r="G527" s="5">
        <v>103.9</v>
      </c>
      <c r="H527" s="5">
        <v>103.8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105.9</v>
      </c>
      <c r="D528" s="5">
        <v>0.1</v>
      </c>
      <c r="E528" s="5">
        <v>106</v>
      </c>
      <c r="F528" s="5">
        <v>209</v>
      </c>
      <c r="G528" s="5">
        <v>103.9</v>
      </c>
      <c r="H528" s="5">
        <v>103.8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105</v>
      </c>
      <c r="D529" s="5">
        <v>0.1</v>
      </c>
      <c r="E529" s="5">
        <v>105.1</v>
      </c>
      <c r="F529" s="5">
        <v>209</v>
      </c>
      <c r="G529" s="5">
        <v>103.9</v>
      </c>
      <c r="H529" s="5">
        <v>103.8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105</v>
      </c>
      <c r="D530" s="5">
        <v>0.1</v>
      </c>
      <c r="E530" s="5">
        <v>105.1</v>
      </c>
      <c r="F530" s="5">
        <v>208</v>
      </c>
      <c r="G530" s="5">
        <v>103.4</v>
      </c>
      <c r="H530" s="5">
        <v>103.2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104.6</v>
      </c>
      <c r="D531" s="5">
        <v>0.1</v>
      </c>
      <c r="E531" s="5">
        <v>105.1</v>
      </c>
      <c r="F531" s="5">
        <v>208</v>
      </c>
      <c r="G531" s="5">
        <v>103.4</v>
      </c>
      <c r="H531" s="5">
        <v>103.2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104.6</v>
      </c>
      <c r="D532" s="5">
        <v>0.1</v>
      </c>
      <c r="E532" s="5">
        <v>104.8</v>
      </c>
      <c r="F532" s="5">
        <v>207.6</v>
      </c>
      <c r="G532" s="5">
        <v>103.2</v>
      </c>
      <c r="H532" s="5">
        <v>103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104.6</v>
      </c>
      <c r="D533" s="5">
        <v>0.1</v>
      </c>
      <c r="E533" s="5">
        <v>104.8</v>
      </c>
      <c r="F533" s="5">
        <v>207.6</v>
      </c>
      <c r="G533" s="5">
        <v>103.2</v>
      </c>
      <c r="H533" s="5">
        <v>103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104.6</v>
      </c>
      <c r="D534" s="5">
        <v>0.1</v>
      </c>
      <c r="E534" s="5">
        <v>104.8</v>
      </c>
      <c r="F534" s="5">
        <v>208</v>
      </c>
      <c r="G534" s="5">
        <v>103.5</v>
      </c>
      <c r="H534" s="5">
        <v>103.6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104.6</v>
      </c>
      <c r="D535" s="5">
        <v>0.1</v>
      </c>
      <c r="E535" s="5">
        <v>104.8</v>
      </c>
      <c r="F535" s="5">
        <v>208</v>
      </c>
      <c r="G535" s="5">
        <v>103.5</v>
      </c>
      <c r="H535" s="5">
        <v>103.6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104.6</v>
      </c>
      <c r="D536" s="5">
        <v>0.1</v>
      </c>
      <c r="E536" s="5">
        <v>104.8</v>
      </c>
      <c r="F536" s="5">
        <v>208</v>
      </c>
      <c r="G536" s="5">
        <v>103.5</v>
      </c>
      <c r="H536" s="5">
        <v>103.6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104</v>
      </c>
      <c r="D537" s="5">
        <v>0.1</v>
      </c>
      <c r="E537" s="5">
        <v>104.2</v>
      </c>
      <c r="F537" s="5">
        <v>207.3</v>
      </c>
      <c r="G537" s="5">
        <v>103</v>
      </c>
      <c r="H537" s="5">
        <v>102.8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104</v>
      </c>
      <c r="D538" s="5">
        <v>0.1</v>
      </c>
      <c r="E538" s="5">
        <v>104.2</v>
      </c>
      <c r="F538" s="5">
        <v>207.3</v>
      </c>
      <c r="G538" s="5">
        <v>103</v>
      </c>
      <c r="H538" s="5">
        <v>102.8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104.3</v>
      </c>
      <c r="D539" s="5">
        <v>0.1</v>
      </c>
      <c r="E539" s="5">
        <v>104.5</v>
      </c>
      <c r="F539" s="5">
        <v>207.5</v>
      </c>
      <c r="G539" s="5">
        <v>103.1</v>
      </c>
      <c r="H539" s="5">
        <v>103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104.3</v>
      </c>
      <c r="D540" s="5">
        <v>0.1</v>
      </c>
      <c r="E540" s="5">
        <v>104.5</v>
      </c>
      <c r="F540" s="5">
        <v>207.5</v>
      </c>
      <c r="G540" s="5">
        <v>103.1</v>
      </c>
      <c r="H540" s="5">
        <v>103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104.6</v>
      </c>
      <c r="D541" s="5">
        <v>0.1</v>
      </c>
      <c r="E541" s="5">
        <v>104.8</v>
      </c>
      <c r="F541" s="5">
        <v>207.5</v>
      </c>
      <c r="G541" s="5">
        <v>103.1</v>
      </c>
      <c r="H541" s="5">
        <v>102.9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104.6</v>
      </c>
      <c r="D542" s="5">
        <v>0.1</v>
      </c>
      <c r="E542" s="5">
        <v>104.8</v>
      </c>
      <c r="F542" s="5">
        <v>207.5</v>
      </c>
      <c r="G542" s="5">
        <v>103.1</v>
      </c>
      <c r="H542" s="5">
        <v>102.9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104.7</v>
      </c>
      <c r="D543" s="5">
        <v>0.1</v>
      </c>
      <c r="E543" s="5">
        <v>104.8</v>
      </c>
      <c r="F543" s="5">
        <v>207.8</v>
      </c>
      <c r="G543" s="5">
        <v>103.3</v>
      </c>
      <c r="H543" s="5">
        <v>103.1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104.7</v>
      </c>
      <c r="D544" s="5">
        <v>0.1</v>
      </c>
      <c r="E544" s="5">
        <v>104.8</v>
      </c>
      <c r="F544" s="5">
        <v>207.8</v>
      </c>
      <c r="G544" s="5">
        <v>103.3</v>
      </c>
      <c r="H544" s="5">
        <v>103.1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104.7</v>
      </c>
      <c r="D545" s="5">
        <v>0.1</v>
      </c>
      <c r="E545" s="5">
        <v>104.8</v>
      </c>
      <c r="F545" s="5">
        <v>207.8</v>
      </c>
      <c r="G545" s="5">
        <v>103.3</v>
      </c>
      <c r="H545" s="5">
        <v>103.1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104.7</v>
      </c>
      <c r="D546" s="5">
        <v>0.1</v>
      </c>
      <c r="E546" s="5">
        <v>104.8</v>
      </c>
      <c r="F546" s="5">
        <v>207.8</v>
      </c>
      <c r="G546" s="5">
        <v>103.3</v>
      </c>
      <c r="H546" s="5">
        <v>103.1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103.1</v>
      </c>
      <c r="D547" s="5">
        <v>0.1</v>
      </c>
      <c r="E547" s="5">
        <v>103.3</v>
      </c>
      <c r="F547" s="5">
        <v>202.6</v>
      </c>
      <c r="G547" s="5">
        <v>100.6</v>
      </c>
      <c r="H547" s="5">
        <v>100.5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103.1</v>
      </c>
      <c r="D548" s="5">
        <v>0.1</v>
      </c>
      <c r="E548" s="5">
        <v>103.3</v>
      </c>
      <c r="F548" s="5">
        <v>202.6</v>
      </c>
      <c r="G548" s="5">
        <v>100.6</v>
      </c>
      <c r="H548" s="5">
        <v>100.5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102.4</v>
      </c>
      <c r="D549" s="5">
        <v>0.1</v>
      </c>
      <c r="E549" s="5">
        <v>102.6</v>
      </c>
      <c r="F549" s="5">
        <v>202.6</v>
      </c>
      <c r="G549" s="5">
        <v>100.6</v>
      </c>
      <c r="H549" s="5">
        <v>100.3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102.4</v>
      </c>
      <c r="D550" s="5">
        <v>0.1</v>
      </c>
      <c r="E550" s="5">
        <v>102.6</v>
      </c>
      <c r="F550" s="5">
        <v>202.6</v>
      </c>
      <c r="G550" s="5">
        <v>100.6</v>
      </c>
      <c r="H550" s="5">
        <v>100.3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103.1</v>
      </c>
      <c r="D551" s="5">
        <v>0.1</v>
      </c>
      <c r="E551" s="5">
        <v>103.2</v>
      </c>
      <c r="F551" s="5">
        <v>202.9</v>
      </c>
      <c r="G551" s="5">
        <v>100.8</v>
      </c>
      <c r="H551" s="5">
        <v>100.7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103.1</v>
      </c>
      <c r="D552" s="5">
        <v>0.1</v>
      </c>
      <c r="E552" s="5">
        <v>103.2</v>
      </c>
      <c r="F552" s="5">
        <v>202.9</v>
      </c>
      <c r="G552" s="5">
        <v>100.8</v>
      </c>
      <c r="H552" s="5">
        <v>100.7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102.3</v>
      </c>
      <c r="D553" s="5">
        <v>0.1</v>
      </c>
      <c r="E553" s="5">
        <v>102.4</v>
      </c>
      <c r="F553" s="5">
        <v>203.2</v>
      </c>
      <c r="G553" s="5">
        <v>101.1</v>
      </c>
      <c r="H553" s="5">
        <v>101.2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102.3</v>
      </c>
      <c r="D554" s="5">
        <v>0.1</v>
      </c>
      <c r="E554" s="5">
        <v>102.4</v>
      </c>
      <c r="F554" s="5">
        <v>203.2</v>
      </c>
      <c r="G554" s="5">
        <v>101.1</v>
      </c>
      <c r="H554" s="5">
        <v>101.2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102.3</v>
      </c>
      <c r="D555" s="5">
        <v>0.1</v>
      </c>
      <c r="E555" s="5">
        <v>102.4</v>
      </c>
      <c r="F555" s="5">
        <v>203.2</v>
      </c>
      <c r="G555" s="5">
        <v>101.1</v>
      </c>
      <c r="H555" s="5">
        <v>101.2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102.3</v>
      </c>
      <c r="D556" s="5">
        <v>0.1</v>
      </c>
      <c r="E556" s="5">
        <v>102.4</v>
      </c>
      <c r="F556" s="5">
        <v>203.2</v>
      </c>
      <c r="G556" s="5">
        <v>101.1</v>
      </c>
      <c r="H556" s="5">
        <v>101.2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102.1</v>
      </c>
      <c r="D557" s="5">
        <v>0.1</v>
      </c>
      <c r="E557" s="5">
        <v>102.3</v>
      </c>
      <c r="F557" s="5">
        <v>203.7</v>
      </c>
      <c r="G557" s="5">
        <v>101.2</v>
      </c>
      <c r="H557" s="5">
        <v>101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102.1</v>
      </c>
      <c r="D558" s="5">
        <v>0.1</v>
      </c>
      <c r="E558" s="5">
        <v>102.3</v>
      </c>
      <c r="F558" s="5">
        <v>203.7</v>
      </c>
      <c r="G558" s="5">
        <v>101.2</v>
      </c>
      <c r="H558" s="5">
        <v>101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102.5</v>
      </c>
      <c r="D559" s="5">
        <v>0.1</v>
      </c>
      <c r="E559" s="5">
        <v>102.7</v>
      </c>
      <c r="F559" s="5">
        <v>203.6</v>
      </c>
      <c r="G559" s="5">
        <v>101.1</v>
      </c>
      <c r="H559" s="5">
        <v>100.9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102.5</v>
      </c>
      <c r="D560" s="5">
        <v>0.1</v>
      </c>
      <c r="E560" s="5">
        <v>102.7</v>
      </c>
      <c r="F560" s="5">
        <v>203.6</v>
      </c>
      <c r="G560" s="5">
        <v>101.1</v>
      </c>
      <c r="H560" s="5">
        <v>100.9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102.9</v>
      </c>
      <c r="D561" s="5">
        <v>0.1</v>
      </c>
      <c r="E561" s="5">
        <v>103.1</v>
      </c>
      <c r="F561" s="5">
        <v>204.3</v>
      </c>
      <c r="G561" s="5">
        <v>101.5</v>
      </c>
      <c r="H561" s="5">
        <v>101.4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102.9</v>
      </c>
      <c r="D562" s="5">
        <v>0.1</v>
      </c>
      <c r="E562" s="5">
        <v>103.1</v>
      </c>
      <c r="F562" s="5">
        <v>204.3</v>
      </c>
      <c r="G562" s="5">
        <v>101.5</v>
      </c>
      <c r="H562" s="5">
        <v>101.4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102.9</v>
      </c>
      <c r="D563" s="5">
        <v>0.1</v>
      </c>
      <c r="E563" s="5">
        <v>103</v>
      </c>
      <c r="F563" s="5">
        <v>205.6</v>
      </c>
      <c r="G563" s="5">
        <v>102.1</v>
      </c>
      <c r="H563" s="5">
        <v>102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102.9</v>
      </c>
      <c r="D564" s="5">
        <v>0.1</v>
      </c>
      <c r="E564" s="5">
        <v>103</v>
      </c>
      <c r="F564" s="5">
        <v>205.6</v>
      </c>
      <c r="G564" s="5">
        <v>102.1</v>
      </c>
      <c r="H564" s="5">
        <v>102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102.9</v>
      </c>
      <c r="D565" s="5">
        <v>0.1</v>
      </c>
      <c r="E565" s="5">
        <v>103</v>
      </c>
      <c r="F565" s="5">
        <v>205.6</v>
      </c>
      <c r="G565" s="5">
        <v>102.1</v>
      </c>
      <c r="H565" s="5">
        <v>102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102.9</v>
      </c>
      <c r="D566" s="5">
        <v>0.1</v>
      </c>
      <c r="E566" s="5">
        <v>103</v>
      </c>
      <c r="F566" s="5">
        <v>205.6</v>
      </c>
      <c r="G566" s="5">
        <v>102.1</v>
      </c>
      <c r="H566" s="5">
        <v>102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103</v>
      </c>
      <c r="D567" s="5">
        <v>0.1</v>
      </c>
      <c r="E567" s="5">
        <v>103.1</v>
      </c>
      <c r="F567" s="5">
        <v>204.5</v>
      </c>
      <c r="G567" s="5">
        <v>102.1</v>
      </c>
      <c r="H567" s="5">
        <v>101.9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103</v>
      </c>
      <c r="D568" s="5">
        <v>0.1</v>
      </c>
      <c r="E568" s="5">
        <v>103.1</v>
      </c>
      <c r="F568" s="5">
        <v>204.5</v>
      </c>
      <c r="G568" s="5">
        <v>102.1</v>
      </c>
      <c r="H568" s="5">
        <v>101.9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102.3</v>
      </c>
      <c r="D569" s="5">
        <v>0.1</v>
      </c>
      <c r="E569" s="5">
        <v>102.4</v>
      </c>
      <c r="F569" s="5">
        <v>204.8</v>
      </c>
      <c r="G569" s="5">
        <v>101.7</v>
      </c>
      <c r="H569" s="5">
        <v>101.5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102.3</v>
      </c>
      <c r="D570" s="5">
        <v>0.1</v>
      </c>
      <c r="E570" s="5">
        <v>102.4</v>
      </c>
      <c r="F570" s="5">
        <v>204.8</v>
      </c>
      <c r="G570" s="5">
        <v>101.7</v>
      </c>
      <c r="H570" s="5">
        <v>101.5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103</v>
      </c>
      <c r="D571" s="5">
        <v>0.1</v>
      </c>
      <c r="E571" s="5">
        <v>103.1</v>
      </c>
      <c r="F571" s="5">
        <v>205.3</v>
      </c>
      <c r="G571" s="5">
        <v>101.7</v>
      </c>
      <c r="H571" s="5">
        <v>101.4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103</v>
      </c>
      <c r="D572" s="5">
        <v>0.1</v>
      </c>
      <c r="E572" s="5">
        <v>103.1</v>
      </c>
      <c r="F572" s="5">
        <v>205.3</v>
      </c>
      <c r="G572" s="5">
        <v>101.7</v>
      </c>
      <c r="H572" s="5">
        <v>101.4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103</v>
      </c>
      <c r="D573" s="5">
        <v>0.1</v>
      </c>
      <c r="E573" s="5">
        <v>103.1</v>
      </c>
      <c r="F573" s="5">
        <v>205.2</v>
      </c>
      <c r="G573" s="5">
        <v>101.9</v>
      </c>
      <c r="H573" s="5">
        <v>101.8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103</v>
      </c>
      <c r="D574" s="5">
        <v>0.1</v>
      </c>
      <c r="E574" s="5">
        <v>103.1</v>
      </c>
      <c r="F574" s="5">
        <v>205.2</v>
      </c>
      <c r="G574" s="5">
        <v>101.9</v>
      </c>
      <c r="H574" s="5">
        <v>101.8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103</v>
      </c>
      <c r="D575" s="5">
        <v>0.1</v>
      </c>
      <c r="E575" s="5">
        <v>103.1</v>
      </c>
      <c r="F575" s="5">
        <v>205.2</v>
      </c>
      <c r="G575" s="5">
        <v>101.9</v>
      </c>
      <c r="H575" s="5">
        <v>101.8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103</v>
      </c>
      <c r="D576" s="5">
        <v>0.1</v>
      </c>
      <c r="E576" s="5">
        <v>103.1</v>
      </c>
      <c r="F576" s="5">
        <v>205.2</v>
      </c>
      <c r="G576" s="5">
        <v>101.9</v>
      </c>
      <c r="H576" s="5">
        <v>101.8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104</v>
      </c>
      <c r="D577" s="5">
        <v>0.1</v>
      </c>
      <c r="E577" s="5">
        <v>104.1</v>
      </c>
      <c r="F577" s="5">
        <v>206.5</v>
      </c>
      <c r="G577" s="5">
        <v>102.6</v>
      </c>
      <c r="H577" s="5">
        <v>102.4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104</v>
      </c>
      <c r="D578" s="5">
        <v>0.1</v>
      </c>
      <c r="E578" s="5">
        <v>104.1</v>
      </c>
      <c r="F578" s="5">
        <v>206.5</v>
      </c>
      <c r="G578" s="5">
        <v>102.6</v>
      </c>
      <c r="H578" s="5">
        <v>102.4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103</v>
      </c>
      <c r="D579" s="5">
        <v>0.1</v>
      </c>
      <c r="E579" s="5">
        <v>103.1</v>
      </c>
      <c r="F579" s="5">
        <v>204.6</v>
      </c>
      <c r="G579" s="5">
        <v>101.6</v>
      </c>
      <c r="H579" s="5">
        <v>101.5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103</v>
      </c>
      <c r="D580" s="5">
        <v>0.1</v>
      </c>
      <c r="E580" s="5">
        <v>103.1</v>
      </c>
      <c r="F580" s="5">
        <v>204.6</v>
      </c>
      <c r="G580" s="5">
        <v>101.6</v>
      </c>
      <c r="H580" s="5">
        <v>101.5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103.1</v>
      </c>
      <c r="D581" s="5">
        <v>0.1</v>
      </c>
      <c r="E581" s="5">
        <v>103.3</v>
      </c>
      <c r="F581" s="5">
        <v>205.5</v>
      </c>
      <c r="G581" s="5">
        <v>102.1</v>
      </c>
      <c r="H581" s="5">
        <v>101.9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103.1</v>
      </c>
      <c r="D582" s="5">
        <v>0.1</v>
      </c>
      <c r="E582" s="5">
        <v>103.3</v>
      </c>
      <c r="F582" s="5">
        <v>205.5</v>
      </c>
      <c r="G582" s="5">
        <v>102.1</v>
      </c>
      <c r="H582" s="5">
        <v>101.9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104</v>
      </c>
      <c r="D583" s="5">
        <v>0.1</v>
      </c>
      <c r="E583" s="5">
        <v>104.2</v>
      </c>
      <c r="F583" s="5">
        <v>206.1</v>
      </c>
      <c r="G583" s="5">
        <v>102.4</v>
      </c>
      <c r="H583" s="5">
        <v>102.3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104</v>
      </c>
      <c r="D584" s="5">
        <v>0.1</v>
      </c>
      <c r="E584" s="5">
        <v>104.2</v>
      </c>
      <c r="F584" s="5">
        <v>206.1</v>
      </c>
      <c r="G584" s="5">
        <v>102.4</v>
      </c>
      <c r="H584" s="5">
        <v>102.3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104</v>
      </c>
      <c r="D585" s="5">
        <v>0.1</v>
      </c>
      <c r="E585" s="5">
        <v>104.2</v>
      </c>
      <c r="F585" s="5">
        <v>206.1</v>
      </c>
      <c r="G585" s="5">
        <v>102.4</v>
      </c>
      <c r="H585" s="5">
        <v>102.3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104</v>
      </c>
      <c r="D586" s="5">
        <v>0.1</v>
      </c>
      <c r="E586" s="5">
        <v>104.2</v>
      </c>
      <c r="F586" s="5">
        <v>206.1</v>
      </c>
      <c r="G586" s="5">
        <v>102.4</v>
      </c>
      <c r="H586" s="5">
        <v>102.3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103.7</v>
      </c>
      <c r="D587" s="5">
        <v>0.1</v>
      </c>
      <c r="E587" s="5">
        <v>103.9</v>
      </c>
      <c r="F587" s="5">
        <v>207.2</v>
      </c>
      <c r="G587" s="5">
        <v>103</v>
      </c>
      <c r="H587" s="5">
        <v>102.9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103.7</v>
      </c>
      <c r="D588" s="5">
        <v>0.1</v>
      </c>
      <c r="E588" s="5">
        <v>103.9</v>
      </c>
      <c r="F588" s="5">
        <v>207.2</v>
      </c>
      <c r="G588" s="5">
        <v>103</v>
      </c>
      <c r="H588" s="5">
        <v>102.9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103.6</v>
      </c>
      <c r="D589" s="5">
        <v>0.1</v>
      </c>
      <c r="E589" s="5">
        <v>103.7</v>
      </c>
      <c r="F589" s="5">
        <v>204.9</v>
      </c>
      <c r="G589" s="5">
        <v>101.8</v>
      </c>
      <c r="H589" s="5">
        <v>101.6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103.6</v>
      </c>
      <c r="D590" s="5">
        <v>0.1</v>
      </c>
      <c r="E590" s="5">
        <v>103.7</v>
      </c>
      <c r="F590" s="5">
        <v>204.9</v>
      </c>
      <c r="G590" s="5">
        <v>101.8</v>
      </c>
      <c r="H590" s="5">
        <v>101.6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104</v>
      </c>
      <c r="D591" s="5">
        <v>0.1</v>
      </c>
      <c r="E591" s="5">
        <v>104.1</v>
      </c>
      <c r="F591" s="5">
        <v>207.4</v>
      </c>
      <c r="G591" s="5">
        <v>103</v>
      </c>
      <c r="H591" s="5">
        <v>102.8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104</v>
      </c>
      <c r="D592" s="5">
        <v>0.1</v>
      </c>
      <c r="E592" s="5">
        <v>104.1</v>
      </c>
      <c r="F592" s="5">
        <v>207.4</v>
      </c>
      <c r="G592" s="5">
        <v>103</v>
      </c>
      <c r="H592" s="5">
        <v>102.8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103.7</v>
      </c>
      <c r="D593" s="5">
        <v>0.1</v>
      </c>
      <c r="E593" s="5">
        <v>103.9</v>
      </c>
      <c r="F593" s="5">
        <v>206.7</v>
      </c>
      <c r="G593" s="5">
        <v>102.7</v>
      </c>
      <c r="H593" s="5">
        <v>102.5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103.7</v>
      </c>
      <c r="D594" s="5">
        <v>0.1</v>
      </c>
      <c r="E594" s="5">
        <v>103.9</v>
      </c>
      <c r="F594" s="5">
        <v>206.7</v>
      </c>
      <c r="G594" s="5">
        <v>102.7</v>
      </c>
      <c r="H594" s="5">
        <v>102.5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103.7</v>
      </c>
      <c r="D595" s="5">
        <v>0.1</v>
      </c>
      <c r="E595" s="5">
        <v>103.9</v>
      </c>
      <c r="F595" s="5">
        <v>206.7</v>
      </c>
      <c r="G595" s="5">
        <v>102.7</v>
      </c>
      <c r="H595" s="5">
        <v>102.5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103.7</v>
      </c>
      <c r="D596" s="5">
        <v>0.1</v>
      </c>
      <c r="E596" s="5">
        <v>103.9</v>
      </c>
      <c r="F596" s="5">
        <v>206.7</v>
      </c>
      <c r="G596" s="5">
        <v>102.7</v>
      </c>
      <c r="H596" s="5">
        <v>102.5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103.8</v>
      </c>
      <c r="D597" s="5">
        <v>0.1</v>
      </c>
      <c r="E597" s="5">
        <v>103.9</v>
      </c>
      <c r="F597" s="5">
        <v>206</v>
      </c>
      <c r="G597" s="5">
        <v>102.3</v>
      </c>
      <c r="H597" s="5">
        <v>102.2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103.8</v>
      </c>
      <c r="D598" s="5">
        <v>0.1</v>
      </c>
      <c r="E598" s="5">
        <v>103.9</v>
      </c>
      <c r="F598" s="5">
        <v>206</v>
      </c>
      <c r="G598" s="5">
        <v>102.3</v>
      </c>
      <c r="H598" s="5">
        <v>102.2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104</v>
      </c>
      <c r="D599" s="5">
        <v>0.1</v>
      </c>
      <c r="E599" s="5">
        <v>104.1</v>
      </c>
      <c r="F599" s="5">
        <v>205.8</v>
      </c>
      <c r="G599" s="5">
        <v>102.3</v>
      </c>
      <c r="H599" s="5">
        <v>102.2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104</v>
      </c>
      <c r="D600" s="5">
        <v>0.1</v>
      </c>
      <c r="E600" s="5">
        <v>104.1</v>
      </c>
      <c r="F600" s="5">
        <v>205.8</v>
      </c>
      <c r="G600" s="5">
        <v>102.3</v>
      </c>
      <c r="H600" s="5">
        <v>102.2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104</v>
      </c>
      <c r="D601" s="5">
        <v>0.1</v>
      </c>
      <c r="E601" s="5">
        <v>104.2</v>
      </c>
      <c r="F601" s="5">
        <v>207.1</v>
      </c>
      <c r="G601" s="5">
        <v>102.9</v>
      </c>
      <c r="H601" s="5">
        <v>102.7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104</v>
      </c>
      <c r="D602" s="5">
        <v>0.1</v>
      </c>
      <c r="E602" s="5">
        <v>104.2</v>
      </c>
      <c r="F602" s="5">
        <v>207.1</v>
      </c>
      <c r="G602" s="5">
        <v>102.9</v>
      </c>
      <c r="H602" s="5">
        <v>102.7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104.1</v>
      </c>
      <c r="D603" s="5">
        <v>0.1</v>
      </c>
      <c r="E603" s="5">
        <v>104.3</v>
      </c>
      <c r="F603" s="5">
        <v>206.7</v>
      </c>
      <c r="G603" s="5">
        <v>102.6</v>
      </c>
      <c r="H603" s="5">
        <v>102.5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104.1</v>
      </c>
      <c r="D604" s="5">
        <v>0.1</v>
      </c>
      <c r="E604" s="5">
        <v>104.3</v>
      </c>
      <c r="F604" s="5">
        <v>206.7</v>
      </c>
      <c r="G604" s="5">
        <v>102.6</v>
      </c>
      <c r="H604" s="5">
        <v>102.5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104.1</v>
      </c>
      <c r="D605" s="5">
        <v>0.1</v>
      </c>
      <c r="E605" s="5">
        <v>104.3</v>
      </c>
      <c r="F605" s="5">
        <v>206.7</v>
      </c>
      <c r="G605" s="5">
        <v>102.6</v>
      </c>
      <c r="H605" s="5">
        <v>102.5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103.7</v>
      </c>
      <c r="D606" s="5">
        <v>0.1</v>
      </c>
      <c r="E606" s="5">
        <v>104.3</v>
      </c>
      <c r="F606" s="5">
        <v>206.7</v>
      </c>
      <c r="G606" s="5">
        <v>102.6</v>
      </c>
      <c r="H606" s="5">
        <v>102.5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103.7</v>
      </c>
      <c r="D607" s="5">
        <v>0.1</v>
      </c>
      <c r="E607" s="5">
        <v>103.8</v>
      </c>
      <c r="F607" s="5">
        <v>206.2</v>
      </c>
      <c r="G607" s="5">
        <v>102.4</v>
      </c>
      <c r="H607" s="5">
        <v>102.2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103.7</v>
      </c>
      <c r="D608" s="5">
        <v>0.1</v>
      </c>
      <c r="E608" s="5">
        <v>103.8</v>
      </c>
      <c r="F608" s="5">
        <v>206.2</v>
      </c>
      <c r="G608" s="5">
        <v>102.4</v>
      </c>
      <c r="H608" s="5">
        <v>102.2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103.8</v>
      </c>
      <c r="D609" s="5">
        <v>0.1</v>
      </c>
      <c r="E609" s="5">
        <v>104</v>
      </c>
      <c r="F609" s="5">
        <v>206.5</v>
      </c>
      <c r="G609" s="5">
        <v>102.6</v>
      </c>
      <c r="H609" s="5">
        <v>102.5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103.8</v>
      </c>
      <c r="D610" s="5">
        <v>0.1</v>
      </c>
      <c r="E610" s="5">
        <v>104</v>
      </c>
      <c r="F610" s="5">
        <v>206.5</v>
      </c>
      <c r="G610" s="5">
        <v>102.6</v>
      </c>
      <c r="H610" s="5">
        <v>102.5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104</v>
      </c>
      <c r="D611" s="5">
        <v>0.1</v>
      </c>
      <c r="E611" s="5">
        <v>104.2</v>
      </c>
      <c r="F611" s="5">
        <v>207</v>
      </c>
      <c r="G611" s="5">
        <v>102.8</v>
      </c>
      <c r="H611" s="5">
        <v>102.7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104</v>
      </c>
      <c r="D612" s="5">
        <v>0.1</v>
      </c>
      <c r="E612" s="5">
        <v>104.2</v>
      </c>
      <c r="F612" s="5">
        <v>207</v>
      </c>
      <c r="G612" s="5">
        <v>102.8</v>
      </c>
      <c r="H612" s="5">
        <v>102.7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104.1</v>
      </c>
      <c r="D613" s="5">
        <v>0.1</v>
      </c>
      <c r="E613" s="5">
        <v>104.3</v>
      </c>
      <c r="F613" s="5">
        <v>206.3</v>
      </c>
      <c r="G613" s="5">
        <v>102.5</v>
      </c>
      <c r="H613" s="5">
        <v>102.4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104.1</v>
      </c>
      <c r="D614" s="5">
        <v>0.1</v>
      </c>
      <c r="E614" s="5">
        <v>104.3</v>
      </c>
      <c r="F614" s="5">
        <v>206.3</v>
      </c>
      <c r="G614" s="5">
        <v>102.5</v>
      </c>
      <c r="H614" s="5">
        <v>102.4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104.1</v>
      </c>
      <c r="D615" s="5">
        <v>0.1</v>
      </c>
      <c r="E615" s="5">
        <v>104.3</v>
      </c>
      <c r="F615" s="5">
        <v>206.3</v>
      </c>
      <c r="G615" s="5">
        <v>102.5</v>
      </c>
      <c r="H615" s="5">
        <v>102.4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104.1</v>
      </c>
      <c r="D616" s="5">
        <v>0.1</v>
      </c>
      <c r="E616" s="5">
        <v>104.3</v>
      </c>
      <c r="F616" s="5">
        <v>206.3</v>
      </c>
      <c r="G616" s="5">
        <v>102.5</v>
      </c>
      <c r="H616" s="5">
        <v>102.4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104.1</v>
      </c>
      <c r="D617" s="5">
        <v>0.1</v>
      </c>
      <c r="E617" s="5">
        <v>104.3</v>
      </c>
      <c r="F617" s="5">
        <v>206.4</v>
      </c>
      <c r="G617" s="5">
        <v>102.5</v>
      </c>
      <c r="H617" s="5">
        <v>102.4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104.1</v>
      </c>
      <c r="D618" s="5">
        <v>0.1</v>
      </c>
      <c r="E618" s="5">
        <v>104.3</v>
      </c>
      <c r="F618" s="5">
        <v>206.4</v>
      </c>
      <c r="G618" s="5">
        <v>102.5</v>
      </c>
      <c r="H618" s="5">
        <v>102.4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104.1</v>
      </c>
      <c r="D619" s="5">
        <v>0.1</v>
      </c>
      <c r="E619" s="5">
        <v>104.3</v>
      </c>
      <c r="F619" s="5">
        <v>206.4</v>
      </c>
      <c r="G619" s="5">
        <v>102.5</v>
      </c>
      <c r="H619" s="5">
        <v>102.4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104.1</v>
      </c>
      <c r="D620" s="5">
        <v>0.1</v>
      </c>
      <c r="E620" s="5">
        <v>104.3</v>
      </c>
      <c r="F620" s="5">
        <v>206.4</v>
      </c>
      <c r="G620" s="5">
        <v>102.5</v>
      </c>
      <c r="H620" s="5">
        <v>102.4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104.9</v>
      </c>
      <c r="D621" s="5">
        <v>0.1</v>
      </c>
      <c r="E621" s="5">
        <v>105</v>
      </c>
      <c r="F621" s="5">
        <v>207.8</v>
      </c>
      <c r="G621" s="5">
        <v>103.2</v>
      </c>
      <c r="H621" s="5">
        <v>103.1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104.9</v>
      </c>
      <c r="D622" s="5">
        <v>0.1</v>
      </c>
      <c r="E622" s="5">
        <v>105</v>
      </c>
      <c r="F622" s="5">
        <v>207.8</v>
      </c>
      <c r="G622" s="5">
        <v>103.2</v>
      </c>
      <c r="H622" s="5">
        <v>103.1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104.9</v>
      </c>
      <c r="D623" s="5">
        <v>0.1</v>
      </c>
      <c r="E623" s="5">
        <v>105</v>
      </c>
      <c r="F623" s="5">
        <v>207.8</v>
      </c>
      <c r="G623" s="5">
        <v>103.2</v>
      </c>
      <c r="H623" s="5">
        <v>103.1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104.9</v>
      </c>
      <c r="D624" s="5">
        <v>0.1</v>
      </c>
      <c r="E624" s="5">
        <v>105</v>
      </c>
      <c r="F624" s="5">
        <v>207.8</v>
      </c>
      <c r="G624" s="5">
        <v>103.2</v>
      </c>
      <c r="H624" s="5">
        <v>103.1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104.9</v>
      </c>
      <c r="D625" s="5">
        <v>0.1</v>
      </c>
      <c r="E625" s="5">
        <v>105</v>
      </c>
      <c r="F625" s="5">
        <v>207.8</v>
      </c>
      <c r="G625" s="5">
        <v>103.2</v>
      </c>
      <c r="H625" s="5">
        <v>103.1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104.9</v>
      </c>
      <c r="D626" s="5">
        <v>0.1</v>
      </c>
      <c r="E626" s="5">
        <v>105</v>
      </c>
      <c r="F626" s="5">
        <v>207.8</v>
      </c>
      <c r="G626" s="5">
        <v>103.2</v>
      </c>
      <c r="H626" s="5">
        <v>103.1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103.8</v>
      </c>
      <c r="D627" s="5">
        <v>0.1</v>
      </c>
      <c r="E627" s="5">
        <v>103.9</v>
      </c>
      <c r="F627" s="5">
        <v>206.4</v>
      </c>
      <c r="G627" s="5">
        <v>102.5</v>
      </c>
      <c r="H627" s="5">
        <v>102.4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103.8</v>
      </c>
      <c r="D628" s="5">
        <v>0.1</v>
      </c>
      <c r="E628" s="5">
        <v>103.9</v>
      </c>
      <c r="F628" s="5">
        <v>206.4</v>
      </c>
      <c r="G628" s="5">
        <v>102.5</v>
      </c>
      <c r="H628" s="5">
        <v>102.4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103.4</v>
      </c>
      <c r="D629" s="5">
        <v>0.1</v>
      </c>
      <c r="E629" s="5">
        <v>103.5</v>
      </c>
      <c r="F629" s="5">
        <v>205.7</v>
      </c>
      <c r="G629" s="5">
        <v>102.1</v>
      </c>
      <c r="H629" s="5">
        <v>102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103.4</v>
      </c>
      <c r="D630" s="5">
        <v>0.1</v>
      </c>
      <c r="E630" s="5">
        <v>103.5</v>
      </c>
      <c r="F630" s="5">
        <v>205.7</v>
      </c>
      <c r="G630" s="5">
        <v>102.1</v>
      </c>
      <c r="H630" s="5">
        <v>102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104.1</v>
      </c>
      <c r="D631" s="5">
        <v>0.1</v>
      </c>
      <c r="E631" s="5">
        <v>104.2</v>
      </c>
      <c r="F631" s="5">
        <v>206.2</v>
      </c>
      <c r="G631" s="5">
        <v>102.5</v>
      </c>
      <c r="H631" s="5">
        <v>102.3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104.1</v>
      </c>
      <c r="D632" s="5">
        <v>0.1</v>
      </c>
      <c r="E632" s="5">
        <v>104.2</v>
      </c>
      <c r="F632" s="5">
        <v>206.2</v>
      </c>
      <c r="G632" s="5">
        <v>102.5</v>
      </c>
      <c r="H632" s="5">
        <v>102.3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104.1</v>
      </c>
      <c r="D633" s="5">
        <v>0.1</v>
      </c>
      <c r="E633" s="5">
        <v>104.3</v>
      </c>
      <c r="F633" s="5">
        <v>206.7</v>
      </c>
      <c r="G633" s="5">
        <v>102.7</v>
      </c>
      <c r="H633" s="5">
        <v>102.5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104.1</v>
      </c>
      <c r="D634" s="5">
        <v>0.1</v>
      </c>
      <c r="E634" s="5">
        <v>104.3</v>
      </c>
      <c r="F634" s="5">
        <v>206.7</v>
      </c>
      <c r="G634" s="5">
        <v>102.7</v>
      </c>
      <c r="H634" s="5">
        <v>102.5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104.1</v>
      </c>
      <c r="D635" s="5">
        <v>0.1</v>
      </c>
      <c r="E635" s="5">
        <v>104.3</v>
      </c>
      <c r="F635" s="5">
        <v>206.7</v>
      </c>
      <c r="G635" s="5">
        <v>102.7</v>
      </c>
      <c r="H635" s="5">
        <v>102.5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104.1</v>
      </c>
      <c r="D636" s="5">
        <v>0.1</v>
      </c>
      <c r="E636" s="5">
        <v>104</v>
      </c>
      <c r="F636" s="5">
        <v>206.3</v>
      </c>
      <c r="G636" s="5">
        <v>102.5</v>
      </c>
      <c r="H636" s="5">
        <v>102.4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103.8</v>
      </c>
      <c r="D637" s="5">
        <v>0.1</v>
      </c>
      <c r="E637" s="5">
        <v>104</v>
      </c>
      <c r="F637" s="5">
        <v>206.3</v>
      </c>
      <c r="G637" s="5">
        <v>102.5</v>
      </c>
      <c r="H637" s="5">
        <v>102.4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103.8</v>
      </c>
      <c r="D638" s="5">
        <v>0.1</v>
      </c>
      <c r="E638" s="5">
        <v>104.9</v>
      </c>
      <c r="F638" s="5">
        <v>206.5</v>
      </c>
      <c r="G638" s="5">
        <v>102.6</v>
      </c>
      <c r="H638" s="5">
        <v>102.5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104.7</v>
      </c>
      <c r="D639" s="5">
        <v>0.1</v>
      </c>
      <c r="E639" s="5">
        <v>104.9</v>
      </c>
      <c r="F639" s="5">
        <v>206.5</v>
      </c>
      <c r="G639" s="5">
        <v>102.6</v>
      </c>
      <c r="H639" s="5">
        <v>102.5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104.7</v>
      </c>
      <c r="D640" s="5">
        <v>0.1</v>
      </c>
      <c r="E640" s="5">
        <v>104.2</v>
      </c>
      <c r="F640" s="5">
        <v>207.9</v>
      </c>
      <c r="G640" s="5">
        <v>103.3</v>
      </c>
      <c r="H640" s="5">
        <v>103.2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104</v>
      </c>
      <c r="D641" s="5">
        <v>0.1</v>
      </c>
      <c r="E641" s="5">
        <v>104.2</v>
      </c>
      <c r="F641" s="5">
        <v>207.9</v>
      </c>
      <c r="G641" s="5">
        <v>103.3</v>
      </c>
      <c r="H641" s="5">
        <v>103.2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104</v>
      </c>
      <c r="D642" s="5">
        <v>0.1</v>
      </c>
      <c r="E642" s="5">
        <v>104.2</v>
      </c>
      <c r="F642" s="5">
        <v>207.4</v>
      </c>
      <c r="G642" s="5">
        <v>103</v>
      </c>
      <c r="H642" s="5">
        <v>102.9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104.5</v>
      </c>
      <c r="D643" s="5">
        <v>0.1</v>
      </c>
      <c r="E643" s="5">
        <v>104.6</v>
      </c>
      <c r="F643" s="5">
        <v>207.4</v>
      </c>
      <c r="G643" s="5">
        <v>103</v>
      </c>
      <c r="H643" s="5">
        <v>102.9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104.5</v>
      </c>
      <c r="D644" s="5">
        <v>0.1</v>
      </c>
      <c r="E644" s="5">
        <v>104.6</v>
      </c>
      <c r="F644" s="5">
        <v>207.4</v>
      </c>
      <c r="G644" s="5">
        <v>103</v>
      </c>
      <c r="H644" s="5">
        <v>102.9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104.5</v>
      </c>
      <c r="D645" s="5">
        <v>0.1</v>
      </c>
      <c r="E645" s="5">
        <v>104.6</v>
      </c>
      <c r="F645" s="5">
        <v>207.4</v>
      </c>
      <c r="G645" s="5">
        <v>103</v>
      </c>
      <c r="H645" s="5">
        <v>102.9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104.3</v>
      </c>
      <c r="D646" s="5">
        <v>0.1</v>
      </c>
      <c r="E646" s="5">
        <v>104.5</v>
      </c>
      <c r="F646" s="5">
        <v>207.3</v>
      </c>
      <c r="G646" s="5">
        <v>103</v>
      </c>
      <c r="H646" s="5">
        <v>102.9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104.3</v>
      </c>
      <c r="D647" s="5">
        <v>0.1</v>
      </c>
      <c r="E647" s="5">
        <v>104.5</v>
      </c>
      <c r="F647" s="5">
        <v>207.3</v>
      </c>
      <c r="G647" s="5">
        <v>103</v>
      </c>
      <c r="H647" s="5">
        <v>102.9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104.3</v>
      </c>
      <c r="D648" s="5">
        <v>0.1</v>
      </c>
      <c r="E648" s="5">
        <v>104.4</v>
      </c>
      <c r="F648" s="5">
        <v>207.2</v>
      </c>
      <c r="G648" s="5">
        <v>103</v>
      </c>
      <c r="H648" s="5">
        <v>102.9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104.3</v>
      </c>
      <c r="D649" s="5">
        <v>0.1</v>
      </c>
      <c r="E649" s="5">
        <v>104.4</v>
      </c>
      <c r="F649" s="5">
        <v>207.2</v>
      </c>
      <c r="G649" s="5">
        <v>103</v>
      </c>
      <c r="H649" s="5">
        <v>102.9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104.6</v>
      </c>
      <c r="D650" s="5">
        <v>0.1</v>
      </c>
      <c r="E650" s="5">
        <v>104.6</v>
      </c>
      <c r="F650" s="5">
        <v>207.5</v>
      </c>
      <c r="G650" s="5">
        <v>103.1</v>
      </c>
      <c r="H650" s="5">
        <v>103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104.6</v>
      </c>
      <c r="D651" s="5">
        <v>0.1</v>
      </c>
      <c r="E651" s="5">
        <v>104.6</v>
      </c>
      <c r="F651" s="5">
        <v>207.5</v>
      </c>
      <c r="G651" s="5">
        <v>103.1</v>
      </c>
      <c r="H651" s="5">
        <v>103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105.2</v>
      </c>
      <c r="D652" s="5">
        <v>0.1</v>
      </c>
      <c r="E652" s="5">
        <v>105.3</v>
      </c>
      <c r="F652" s="5">
        <v>208.8</v>
      </c>
      <c r="G652" s="5">
        <v>103.8</v>
      </c>
      <c r="H652" s="5">
        <v>103.7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105.2</v>
      </c>
      <c r="D653" s="5">
        <v>0.1</v>
      </c>
      <c r="E653" s="5">
        <v>105.3</v>
      </c>
      <c r="F653" s="5">
        <v>208.8</v>
      </c>
      <c r="G653" s="5">
        <v>103.8</v>
      </c>
      <c r="H653" s="5">
        <v>103.7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105.2</v>
      </c>
      <c r="D654" s="5">
        <v>0.1</v>
      </c>
      <c r="E654" s="5">
        <v>105.3</v>
      </c>
      <c r="F654" s="5">
        <v>208.8</v>
      </c>
      <c r="G654" s="5">
        <v>103.8</v>
      </c>
      <c r="H654" s="5">
        <v>103.7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105.2</v>
      </c>
      <c r="D655" s="5">
        <v>0.1</v>
      </c>
      <c r="E655" s="5">
        <v>105.3</v>
      </c>
      <c r="F655" s="5">
        <v>208.8</v>
      </c>
      <c r="G655" s="5">
        <v>103.8</v>
      </c>
      <c r="H655" s="5">
        <v>103.7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104</v>
      </c>
      <c r="D656" s="5">
        <v>0.1</v>
      </c>
      <c r="E656" s="5">
        <v>104.2</v>
      </c>
      <c r="F656" s="5">
        <v>208.8</v>
      </c>
      <c r="G656" s="5">
        <v>103.8</v>
      </c>
      <c r="H656" s="5">
        <v>103.7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104</v>
      </c>
      <c r="D657" s="5">
        <v>0.1</v>
      </c>
      <c r="E657" s="5">
        <v>104.2</v>
      </c>
      <c r="F657" s="5">
        <v>206.9</v>
      </c>
      <c r="G657" s="5">
        <v>102.9</v>
      </c>
      <c r="H657" s="5">
        <v>102.8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104</v>
      </c>
      <c r="D658" s="5">
        <v>0.1</v>
      </c>
      <c r="E658" s="5">
        <v>104.2</v>
      </c>
      <c r="F658" s="5">
        <v>206.9</v>
      </c>
      <c r="G658" s="5">
        <v>102.9</v>
      </c>
      <c r="H658" s="5">
        <v>102.8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104</v>
      </c>
      <c r="D659" s="5">
        <v>0.1</v>
      </c>
      <c r="E659" s="5">
        <v>104.2</v>
      </c>
      <c r="F659" s="5">
        <v>203.8</v>
      </c>
      <c r="G659" s="5">
        <v>101.5</v>
      </c>
      <c r="H659" s="5">
        <v>101.5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104</v>
      </c>
      <c r="D660" s="5">
        <v>0.1</v>
      </c>
      <c r="E660" s="5">
        <v>104.2</v>
      </c>
      <c r="F660" s="5">
        <v>203.8</v>
      </c>
      <c r="G660" s="5">
        <v>101.5</v>
      </c>
      <c r="H660" s="5">
        <v>101.5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100.2</v>
      </c>
      <c r="D661" s="5">
        <v>0.1</v>
      </c>
      <c r="E661" s="5">
        <v>100.3</v>
      </c>
      <c r="F661" s="5">
        <v>202.4</v>
      </c>
      <c r="G661" s="5">
        <v>100.3</v>
      </c>
      <c r="H661" s="5">
        <v>99.9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100.2</v>
      </c>
      <c r="D662" s="5">
        <v>0.1</v>
      </c>
      <c r="E662" s="5">
        <v>100.3</v>
      </c>
      <c r="F662" s="5">
        <v>202.4</v>
      </c>
      <c r="G662" s="5">
        <v>100.3</v>
      </c>
      <c r="H662" s="5">
        <v>99.9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96.3</v>
      </c>
      <c r="D663" s="5">
        <v>0.1</v>
      </c>
      <c r="E663" s="5">
        <v>96.4</v>
      </c>
      <c r="F663" s="5">
        <v>205.6</v>
      </c>
      <c r="G663" s="5">
        <v>102</v>
      </c>
      <c r="H663" s="5">
        <v>101.5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96.3</v>
      </c>
      <c r="D664" s="5">
        <v>0.1</v>
      </c>
      <c r="E664" s="5">
        <v>96.4</v>
      </c>
      <c r="F664" s="5">
        <v>205.6</v>
      </c>
      <c r="G664" s="5">
        <v>102</v>
      </c>
      <c r="H664" s="5">
        <v>101.5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96.3</v>
      </c>
      <c r="D665" s="5">
        <v>0.1</v>
      </c>
      <c r="E665" s="5">
        <v>96.4</v>
      </c>
      <c r="F665" s="5">
        <v>205.6</v>
      </c>
      <c r="G665" s="5">
        <v>102</v>
      </c>
      <c r="H665" s="5">
        <v>101.5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101</v>
      </c>
      <c r="D666" s="5">
        <v>0.1</v>
      </c>
      <c r="E666" s="5">
        <v>101.1</v>
      </c>
      <c r="F666" s="5">
        <v>195.6</v>
      </c>
      <c r="G666" s="5">
        <v>97.4</v>
      </c>
      <c r="H666" s="5">
        <v>97.5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101</v>
      </c>
      <c r="D667" s="5">
        <v>0.1</v>
      </c>
      <c r="E667" s="5">
        <v>101.1</v>
      </c>
      <c r="F667" s="5">
        <v>195.6</v>
      </c>
      <c r="G667" s="5">
        <v>97.4</v>
      </c>
      <c r="H667" s="5">
        <v>97.5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100.3</v>
      </c>
      <c r="D668" s="5">
        <v>0.1</v>
      </c>
      <c r="E668" s="5">
        <v>100.5</v>
      </c>
      <c r="F668" s="5">
        <v>206.3</v>
      </c>
      <c r="G668" s="5">
        <v>102.5</v>
      </c>
      <c r="H668" s="5">
        <v>102.2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100.3</v>
      </c>
      <c r="D669" s="5">
        <v>0.1</v>
      </c>
      <c r="E669" s="5">
        <v>100.5</v>
      </c>
      <c r="F669" s="5">
        <v>206.3</v>
      </c>
      <c r="G669" s="5">
        <v>102.5</v>
      </c>
      <c r="H669" s="5">
        <v>102.2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103.6</v>
      </c>
      <c r="D670" s="5">
        <v>0.1</v>
      </c>
      <c r="E670" s="5">
        <v>103.7</v>
      </c>
      <c r="F670" s="5">
        <v>204.4</v>
      </c>
      <c r="G670" s="5">
        <v>101.7</v>
      </c>
      <c r="H670" s="5">
        <v>101.7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103.6</v>
      </c>
      <c r="D671" s="5">
        <v>0.1</v>
      </c>
      <c r="E671" s="5">
        <v>103.7</v>
      </c>
      <c r="F671" s="5">
        <v>204.4</v>
      </c>
      <c r="G671" s="5">
        <v>101.7</v>
      </c>
      <c r="H671" s="5">
        <v>101.7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103.7</v>
      </c>
      <c r="D672" s="5">
        <v>0.1</v>
      </c>
      <c r="E672" s="5">
        <v>103.9</v>
      </c>
      <c r="F672" s="5">
        <v>205.7</v>
      </c>
      <c r="G672" s="5">
        <v>102.2</v>
      </c>
      <c r="H672" s="5">
        <v>102.1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103.7</v>
      </c>
      <c r="D673" s="5">
        <v>0.1</v>
      </c>
      <c r="E673" s="5">
        <v>103.9</v>
      </c>
      <c r="F673" s="5">
        <v>205.7</v>
      </c>
      <c r="G673" s="5">
        <v>102.2</v>
      </c>
      <c r="H673" s="5">
        <v>102.1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103.7</v>
      </c>
      <c r="D674" s="5">
        <v>0.1</v>
      </c>
      <c r="E674" s="5">
        <v>103.9</v>
      </c>
      <c r="F674" s="5">
        <v>205.7</v>
      </c>
      <c r="G674" s="5">
        <v>102.2</v>
      </c>
      <c r="H674" s="5">
        <v>102.1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103.7</v>
      </c>
      <c r="D675" s="5">
        <v>0.1</v>
      </c>
      <c r="E675" s="5">
        <v>103.9</v>
      </c>
      <c r="F675" s="5">
        <v>205.7</v>
      </c>
      <c r="G675" s="5">
        <v>102.2</v>
      </c>
      <c r="H675" s="5">
        <v>102.1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105.3</v>
      </c>
      <c r="D676" s="5">
        <v>0.1</v>
      </c>
      <c r="E676" s="5">
        <v>105.4</v>
      </c>
      <c r="F676" s="5">
        <v>207.8</v>
      </c>
      <c r="G676" s="5">
        <v>103.3</v>
      </c>
      <c r="H676" s="5">
        <v>103.1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105.3</v>
      </c>
      <c r="D677" s="5">
        <v>0.1</v>
      </c>
      <c r="E677" s="5">
        <v>105.4</v>
      </c>
      <c r="F677" s="5">
        <v>207.8</v>
      </c>
      <c r="G677" s="5">
        <v>103.3</v>
      </c>
      <c r="H677" s="5">
        <v>103.1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104.6</v>
      </c>
      <c r="D678" s="5">
        <v>0.1</v>
      </c>
      <c r="E678" s="5">
        <v>104.8</v>
      </c>
      <c r="F678" s="5">
        <v>210</v>
      </c>
      <c r="G678" s="5">
        <v>104.3</v>
      </c>
      <c r="H678" s="5">
        <v>104.2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104.6</v>
      </c>
      <c r="D679" s="5">
        <v>0.1</v>
      </c>
      <c r="E679" s="5">
        <v>104.8</v>
      </c>
      <c r="F679" s="5">
        <v>210</v>
      </c>
      <c r="G679" s="5">
        <v>104.3</v>
      </c>
      <c r="H679" s="5">
        <v>104.2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104</v>
      </c>
      <c r="D680" s="5">
        <v>0.1</v>
      </c>
      <c r="E680" s="5">
        <v>104.1</v>
      </c>
      <c r="F680" s="5">
        <v>208.6</v>
      </c>
      <c r="G680" s="5">
        <v>103.7</v>
      </c>
      <c r="H680" s="5">
        <v>103.5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104</v>
      </c>
      <c r="D681" s="5">
        <v>0.1</v>
      </c>
      <c r="E681" s="5">
        <v>104.1</v>
      </c>
      <c r="F681" s="5">
        <v>208.6</v>
      </c>
      <c r="G681" s="5">
        <v>103.7</v>
      </c>
      <c r="H681" s="5">
        <v>103.5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104.6</v>
      </c>
      <c r="D682" s="5">
        <v>0.1</v>
      </c>
      <c r="E682" s="5">
        <v>104.8</v>
      </c>
      <c r="F682" s="5">
        <v>208.7</v>
      </c>
      <c r="G682" s="5">
        <v>103.7</v>
      </c>
      <c r="H682" s="5">
        <v>103.6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104.6</v>
      </c>
      <c r="D683" s="5">
        <v>0.1</v>
      </c>
      <c r="E683" s="5">
        <v>104.8</v>
      </c>
      <c r="F683" s="5">
        <v>208.7</v>
      </c>
      <c r="G683" s="5">
        <v>103.7</v>
      </c>
      <c r="H683" s="5">
        <v>103.6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104.6</v>
      </c>
      <c r="D684" s="5">
        <v>0.1</v>
      </c>
      <c r="E684" s="5">
        <v>104.8</v>
      </c>
      <c r="F684" s="5">
        <v>208.7</v>
      </c>
      <c r="G684" s="5">
        <v>103.7</v>
      </c>
      <c r="H684" s="5">
        <v>103.6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104.6</v>
      </c>
      <c r="D685" s="5">
        <v>0.1</v>
      </c>
      <c r="E685" s="5">
        <v>104.8</v>
      </c>
      <c r="F685" s="5">
        <v>208.7</v>
      </c>
      <c r="G685" s="5">
        <v>103.7</v>
      </c>
      <c r="H685" s="5">
        <v>103.6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106.3</v>
      </c>
      <c r="D686" s="5">
        <v>0.1</v>
      </c>
      <c r="E686" s="5">
        <v>106.5</v>
      </c>
      <c r="F686" s="5">
        <v>211.4</v>
      </c>
      <c r="G686" s="5">
        <v>105.3</v>
      </c>
      <c r="H686" s="5">
        <v>105.2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106.3</v>
      </c>
      <c r="D687" s="5">
        <v>0.1</v>
      </c>
      <c r="E687" s="5">
        <v>106.5</v>
      </c>
      <c r="F687" s="5">
        <v>211.4</v>
      </c>
      <c r="G687" s="5">
        <v>105.3</v>
      </c>
      <c r="H687" s="5">
        <v>105.2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104.7</v>
      </c>
      <c r="D688" s="5">
        <v>0.1</v>
      </c>
      <c r="E688" s="5">
        <v>104.9</v>
      </c>
      <c r="F688" s="5">
        <v>208.5</v>
      </c>
      <c r="G688" s="5">
        <v>103.6</v>
      </c>
      <c r="H688" s="5">
        <v>103.5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104.7</v>
      </c>
      <c r="D689" s="5">
        <v>0.1</v>
      </c>
      <c r="E689" s="5">
        <v>104.9</v>
      </c>
      <c r="F689" s="5">
        <v>208.5</v>
      </c>
      <c r="G689" s="5">
        <v>103.6</v>
      </c>
      <c r="H689" s="5">
        <v>103.5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97.9</v>
      </c>
      <c r="D690" s="5">
        <v>0.1</v>
      </c>
      <c r="E690" s="5">
        <v>98</v>
      </c>
      <c r="F690" s="5">
        <v>205.5</v>
      </c>
      <c r="G690" s="5">
        <v>102</v>
      </c>
      <c r="H690" s="5">
        <v>101.6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97.9</v>
      </c>
      <c r="D691" s="5">
        <v>0.1</v>
      </c>
      <c r="E691" s="5">
        <v>98</v>
      </c>
      <c r="F691" s="5">
        <v>205.5</v>
      </c>
      <c r="G691" s="5">
        <v>102</v>
      </c>
      <c r="H691" s="5">
        <v>101.6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104</v>
      </c>
      <c r="D692" s="5">
        <v>0.1</v>
      </c>
      <c r="E692" s="5">
        <v>104.2</v>
      </c>
      <c r="F692" s="5">
        <v>202</v>
      </c>
      <c r="G692" s="5">
        <v>100.6</v>
      </c>
      <c r="H692" s="5">
        <v>100.7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104</v>
      </c>
      <c r="D693" s="5">
        <v>0.1</v>
      </c>
      <c r="E693" s="5">
        <v>104.2</v>
      </c>
      <c r="F693" s="5">
        <v>202</v>
      </c>
      <c r="G693" s="5">
        <v>100.6</v>
      </c>
      <c r="H693" s="5">
        <v>100.7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104</v>
      </c>
      <c r="D694" s="5">
        <v>0.1</v>
      </c>
      <c r="E694" s="5">
        <v>104.2</v>
      </c>
      <c r="F694" s="5">
        <v>202</v>
      </c>
      <c r="G694" s="5">
        <v>100.6</v>
      </c>
      <c r="H694" s="5">
        <v>100.7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104</v>
      </c>
      <c r="D695" s="5">
        <v>0.1</v>
      </c>
      <c r="E695" s="5">
        <v>104.2</v>
      </c>
      <c r="F695" s="5">
        <v>202</v>
      </c>
      <c r="G695" s="5">
        <v>100.6</v>
      </c>
      <c r="H695" s="5">
        <v>100.7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105.4</v>
      </c>
      <c r="D696" s="5">
        <v>0.1</v>
      </c>
      <c r="E696" s="5">
        <v>105.5</v>
      </c>
      <c r="F696" s="5">
        <v>203.4</v>
      </c>
      <c r="G696" s="5">
        <v>101.3</v>
      </c>
      <c r="H696" s="5">
        <v>101.4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105.4</v>
      </c>
      <c r="D697" s="5">
        <v>0.1</v>
      </c>
      <c r="E697" s="5">
        <v>105.5</v>
      </c>
      <c r="F697" s="5">
        <v>203.4</v>
      </c>
      <c r="G697" s="5">
        <v>101.3</v>
      </c>
      <c r="H697" s="5">
        <v>101.4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104.6</v>
      </c>
      <c r="D698" s="5">
        <v>0.1</v>
      </c>
      <c r="E698" s="5">
        <v>104.8</v>
      </c>
      <c r="F698" s="5">
        <v>205.5</v>
      </c>
      <c r="G698" s="5">
        <v>102.3</v>
      </c>
      <c r="H698" s="5">
        <v>102.3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104.6</v>
      </c>
      <c r="D699" s="5">
        <v>0.1</v>
      </c>
      <c r="E699" s="5">
        <v>104.8</v>
      </c>
      <c r="F699" s="5">
        <v>205.5</v>
      </c>
      <c r="G699" s="5">
        <v>102.3</v>
      </c>
      <c r="H699" s="5">
        <v>102.3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103.7</v>
      </c>
      <c r="D700" s="5">
        <v>0.1</v>
      </c>
      <c r="E700" s="5">
        <v>103.9</v>
      </c>
      <c r="F700" s="5">
        <v>205.8</v>
      </c>
      <c r="G700" s="5">
        <v>102.3</v>
      </c>
      <c r="H700" s="5">
        <v>102.1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103.7</v>
      </c>
      <c r="D701" s="5">
        <v>0.1</v>
      </c>
      <c r="E701" s="5">
        <v>103.9</v>
      </c>
      <c r="F701" s="5">
        <v>205.8</v>
      </c>
      <c r="G701" s="5">
        <v>102.3</v>
      </c>
      <c r="H701" s="5">
        <v>102.1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105.3</v>
      </c>
      <c r="D702" s="5">
        <v>0.1</v>
      </c>
      <c r="E702" s="5">
        <v>105.5</v>
      </c>
      <c r="F702" s="5">
        <v>208.2</v>
      </c>
      <c r="G702" s="5">
        <v>103.6</v>
      </c>
      <c r="H702" s="5">
        <v>103.6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105.3</v>
      </c>
      <c r="D703" s="5">
        <v>0.1</v>
      </c>
      <c r="E703" s="5">
        <v>105.5</v>
      </c>
      <c r="F703" s="5">
        <v>208.2</v>
      </c>
      <c r="G703" s="5">
        <v>103.6</v>
      </c>
      <c r="H703" s="5">
        <v>103.6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105.3</v>
      </c>
      <c r="D704" s="5">
        <v>0.1</v>
      </c>
      <c r="E704" s="5">
        <v>105.5</v>
      </c>
      <c r="F704" s="5">
        <v>208.2</v>
      </c>
      <c r="G704" s="5">
        <v>103.6</v>
      </c>
      <c r="H704" s="5">
        <v>103.6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105.3</v>
      </c>
      <c r="D705" s="5">
        <v>0.1</v>
      </c>
      <c r="E705" s="5">
        <v>105.5</v>
      </c>
      <c r="F705" s="5">
        <v>208.2</v>
      </c>
      <c r="G705" s="5">
        <v>103.6</v>
      </c>
      <c r="H705" s="5">
        <v>103.6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104.9</v>
      </c>
      <c r="D706" s="5">
        <v>0.1</v>
      </c>
      <c r="E706" s="5">
        <v>105</v>
      </c>
      <c r="F706" s="5">
        <v>208.9</v>
      </c>
      <c r="G706" s="5">
        <v>103.9</v>
      </c>
      <c r="H706" s="5">
        <v>103.7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104.9</v>
      </c>
      <c r="D707" s="5">
        <v>0.1</v>
      </c>
      <c r="E707" s="5">
        <v>105</v>
      </c>
      <c r="F707" s="5">
        <v>208.9</v>
      </c>
      <c r="G707" s="5">
        <v>103.9</v>
      </c>
      <c r="H707" s="5">
        <v>103.7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103.1</v>
      </c>
      <c r="D708" s="5">
        <v>0.1</v>
      </c>
      <c r="E708" s="5">
        <v>103.1</v>
      </c>
      <c r="F708" s="5">
        <v>206.1</v>
      </c>
      <c r="G708" s="5">
        <v>102.4</v>
      </c>
      <c r="H708" s="5">
        <v>102.2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103.1</v>
      </c>
      <c r="D709" s="5">
        <v>0.1</v>
      </c>
      <c r="E709" s="5">
        <v>103.1</v>
      </c>
      <c r="F709" s="5">
        <v>206.1</v>
      </c>
      <c r="G709" s="5">
        <v>102.4</v>
      </c>
      <c r="H709" s="5">
        <v>102.2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104</v>
      </c>
      <c r="D710" s="5">
        <v>0.1</v>
      </c>
      <c r="E710" s="5">
        <v>104.2</v>
      </c>
      <c r="F710" s="5">
        <v>206.6</v>
      </c>
      <c r="G710" s="5">
        <v>102.7</v>
      </c>
      <c r="H710" s="5">
        <v>102.6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104</v>
      </c>
      <c r="D711" s="5">
        <v>0.1</v>
      </c>
      <c r="E711" s="5">
        <v>104.2</v>
      </c>
      <c r="F711" s="5">
        <v>206.6</v>
      </c>
      <c r="G711" s="5">
        <v>102.7</v>
      </c>
      <c r="H711" s="5">
        <v>102.6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103.7</v>
      </c>
      <c r="D712" s="5">
        <v>0.1</v>
      </c>
      <c r="E712" s="5">
        <v>103.9</v>
      </c>
      <c r="F712" s="5">
        <v>206.8</v>
      </c>
      <c r="G712" s="5">
        <v>102.8</v>
      </c>
      <c r="H712" s="5">
        <v>102.6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103.7</v>
      </c>
      <c r="D713" s="5">
        <v>0.1</v>
      </c>
      <c r="E713" s="5">
        <v>103.9</v>
      </c>
      <c r="F713" s="5">
        <v>206.8</v>
      </c>
      <c r="G713" s="5">
        <v>102.8</v>
      </c>
      <c r="H713" s="5">
        <v>102.6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103.7</v>
      </c>
      <c r="D714" s="5">
        <v>0.1</v>
      </c>
      <c r="E714" s="5">
        <v>103.9</v>
      </c>
      <c r="F714" s="5">
        <v>206.8</v>
      </c>
      <c r="G714" s="5">
        <v>102.8</v>
      </c>
      <c r="H714" s="5">
        <v>102.6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103.7</v>
      </c>
      <c r="D715" s="5">
        <v>0.1</v>
      </c>
      <c r="E715" s="5">
        <v>103.9</v>
      </c>
      <c r="F715" s="5">
        <v>206.8</v>
      </c>
      <c r="G715" s="5">
        <v>102.8</v>
      </c>
      <c r="H715" s="5">
        <v>102.6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104</v>
      </c>
      <c r="D716" s="5">
        <v>0.1</v>
      </c>
      <c r="E716" s="5">
        <v>104.2</v>
      </c>
      <c r="F716" s="5">
        <v>206.4</v>
      </c>
      <c r="G716" s="5">
        <v>102.5</v>
      </c>
      <c r="H716" s="5">
        <v>102.4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104</v>
      </c>
      <c r="D717" s="5">
        <v>0.1</v>
      </c>
      <c r="E717" s="5">
        <v>104.2</v>
      </c>
      <c r="F717" s="5">
        <v>206.4</v>
      </c>
      <c r="G717" s="5">
        <v>102.5</v>
      </c>
      <c r="H717" s="5">
        <v>102.4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103.4</v>
      </c>
      <c r="D718" s="5">
        <v>0.1</v>
      </c>
      <c r="E718" s="5">
        <v>103.5</v>
      </c>
      <c r="F718" s="5">
        <v>205.7</v>
      </c>
      <c r="G718" s="5">
        <v>102.2</v>
      </c>
      <c r="H718" s="5">
        <v>102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103.4</v>
      </c>
      <c r="D719" s="5">
        <v>0.1</v>
      </c>
      <c r="E719" s="5">
        <v>103.5</v>
      </c>
      <c r="F719" s="5">
        <v>205.7</v>
      </c>
      <c r="G719" s="5">
        <v>102.2</v>
      </c>
      <c r="H719" s="5">
        <v>102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96</v>
      </c>
      <c r="D720" s="5">
        <v>0.1</v>
      </c>
      <c r="E720" s="5">
        <v>96.1</v>
      </c>
      <c r="F720" s="5">
        <v>193.3</v>
      </c>
      <c r="G720" s="5">
        <v>96.4</v>
      </c>
      <c r="H720" s="5">
        <v>97.1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96</v>
      </c>
      <c r="D721" s="5">
        <v>0.1</v>
      </c>
      <c r="E721" s="5">
        <v>96.1</v>
      </c>
      <c r="F721" s="5">
        <v>193.3</v>
      </c>
      <c r="G721" s="5">
        <v>96.4</v>
      </c>
      <c r="H721" s="5">
        <v>97.1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95.4</v>
      </c>
      <c r="D722" s="5">
        <v>0.1</v>
      </c>
      <c r="E722" s="5">
        <v>95.6</v>
      </c>
      <c r="F722" s="5">
        <v>191</v>
      </c>
      <c r="G722" s="5">
        <v>95.1</v>
      </c>
      <c r="H722" s="5">
        <v>96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95.4</v>
      </c>
      <c r="D723" s="5">
        <v>0.1</v>
      </c>
      <c r="E723" s="5">
        <v>95.6</v>
      </c>
      <c r="F723" s="5">
        <v>191</v>
      </c>
      <c r="G723" s="5">
        <v>95.1</v>
      </c>
      <c r="H723" s="5">
        <v>96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95.4</v>
      </c>
      <c r="D724" s="5">
        <v>0.1</v>
      </c>
      <c r="E724" s="5">
        <v>95.6</v>
      </c>
      <c r="F724" s="5">
        <v>191</v>
      </c>
      <c r="G724" s="5">
        <v>95.1</v>
      </c>
      <c r="H724" s="5">
        <v>96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95.4</v>
      </c>
      <c r="D725" s="5">
        <v>0.1</v>
      </c>
      <c r="E725" s="5">
        <v>95.6</v>
      </c>
      <c r="F725" s="5">
        <v>191</v>
      </c>
      <c r="G725" s="5">
        <v>95.1</v>
      </c>
      <c r="H725" s="5">
        <v>96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102.5</v>
      </c>
      <c r="D726" s="5">
        <v>0.1</v>
      </c>
      <c r="E726" s="5">
        <v>102.7</v>
      </c>
      <c r="F726" s="5">
        <v>203.6</v>
      </c>
      <c r="G726" s="5">
        <v>101.2</v>
      </c>
      <c r="H726" s="5">
        <v>101.1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102.5</v>
      </c>
      <c r="D727" s="5">
        <v>0.1</v>
      </c>
      <c r="E727" s="5">
        <v>102.7</v>
      </c>
      <c r="F727" s="5">
        <v>203.6</v>
      </c>
      <c r="G727" s="5">
        <v>101.2</v>
      </c>
      <c r="H727" s="5">
        <v>101.1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101.5</v>
      </c>
      <c r="D728" s="5">
        <v>0.1</v>
      </c>
      <c r="E728" s="5">
        <v>101.7</v>
      </c>
      <c r="F728" s="5">
        <v>201.4</v>
      </c>
      <c r="G728" s="5">
        <v>100.1</v>
      </c>
      <c r="H728" s="5">
        <v>100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101.5</v>
      </c>
      <c r="D729" s="5">
        <v>0.1</v>
      </c>
      <c r="E729" s="5">
        <v>101.7</v>
      </c>
      <c r="F729" s="5">
        <v>201.4</v>
      </c>
      <c r="G729" s="5">
        <v>100.1</v>
      </c>
      <c r="H729" s="5">
        <v>100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102.6</v>
      </c>
      <c r="D730" s="5">
        <v>0.1</v>
      </c>
      <c r="E730" s="5">
        <v>102.7</v>
      </c>
      <c r="F730" s="5">
        <v>204.2</v>
      </c>
      <c r="G730" s="5">
        <v>101.5</v>
      </c>
      <c r="H730" s="5">
        <v>101.3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102.6</v>
      </c>
      <c r="D731" s="5">
        <v>0.1</v>
      </c>
      <c r="E731" s="5">
        <v>102.7</v>
      </c>
      <c r="F731" s="5">
        <v>204.2</v>
      </c>
      <c r="G731" s="5">
        <v>101.5</v>
      </c>
      <c r="H731" s="5">
        <v>101.3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103.7</v>
      </c>
      <c r="D732" s="5">
        <v>0.1</v>
      </c>
      <c r="E732" s="5">
        <v>103.8</v>
      </c>
      <c r="F732" s="5">
        <v>205.7</v>
      </c>
      <c r="G732" s="5">
        <v>102.2</v>
      </c>
      <c r="H732" s="5">
        <v>102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103.7</v>
      </c>
      <c r="D733" s="5">
        <v>0.1</v>
      </c>
      <c r="E733" s="5">
        <v>103.8</v>
      </c>
      <c r="F733" s="5">
        <v>205.7</v>
      </c>
      <c r="G733" s="5">
        <v>102.2</v>
      </c>
      <c r="H733" s="5">
        <v>102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103.7</v>
      </c>
      <c r="D734" s="5">
        <v>0.1</v>
      </c>
      <c r="E734" s="5">
        <v>103.8</v>
      </c>
      <c r="F734" s="5">
        <v>205.7</v>
      </c>
      <c r="G734" s="5">
        <v>102.2</v>
      </c>
      <c r="H734" s="5">
        <v>102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103.7</v>
      </c>
      <c r="D735" s="5">
        <v>0.1</v>
      </c>
      <c r="E735" s="5">
        <v>103.8</v>
      </c>
      <c r="F735" s="5">
        <v>205.7</v>
      </c>
      <c r="G735" s="5">
        <v>97.4</v>
      </c>
      <c r="H735" s="5">
        <v>97.1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104.3</v>
      </c>
      <c r="D736" s="5">
        <v>0.1</v>
      </c>
      <c r="E736" s="5">
        <v>104.4</v>
      </c>
      <c r="F736" s="5">
        <v>196.2</v>
      </c>
      <c r="G736" s="5">
        <v>97.4</v>
      </c>
      <c r="H736" s="5">
        <v>97.1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104.3</v>
      </c>
      <c r="D737" s="5">
        <v>0.1</v>
      </c>
      <c r="E737" s="5">
        <v>104.4</v>
      </c>
      <c r="F737" s="5">
        <v>196.2</v>
      </c>
      <c r="G737" s="5">
        <v>97.4</v>
      </c>
      <c r="H737" s="5">
        <v>97.1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100.5</v>
      </c>
      <c r="D738" s="5">
        <v>0.1</v>
      </c>
      <c r="E738" s="5">
        <v>100.6</v>
      </c>
      <c r="F738" s="5">
        <v>205.2</v>
      </c>
      <c r="G738" s="5">
        <v>102.1</v>
      </c>
      <c r="H738" s="5">
        <v>102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100.5</v>
      </c>
      <c r="D739" s="5">
        <v>0.1</v>
      </c>
      <c r="E739" s="5">
        <v>100.6</v>
      </c>
      <c r="F739" s="5">
        <v>205.2</v>
      </c>
      <c r="G739" s="5">
        <v>102.1</v>
      </c>
      <c r="H739" s="5">
        <v>102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104.7</v>
      </c>
      <c r="D740" s="5">
        <v>0.1</v>
      </c>
      <c r="E740" s="5">
        <v>104.9</v>
      </c>
      <c r="F740" s="5">
        <v>206.5</v>
      </c>
      <c r="G740" s="5">
        <v>102.6</v>
      </c>
      <c r="H740" s="5">
        <v>102.4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104.7</v>
      </c>
      <c r="D741" s="5">
        <v>0.1</v>
      </c>
      <c r="E741" s="5">
        <v>104.9</v>
      </c>
      <c r="F741" s="5">
        <v>206.5</v>
      </c>
      <c r="G741" s="5">
        <v>102.6</v>
      </c>
      <c r="H741" s="5">
        <v>102.4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103.7</v>
      </c>
      <c r="D742" s="5">
        <v>0.1</v>
      </c>
      <c r="E742" s="5">
        <v>103.9</v>
      </c>
      <c r="F742" s="5">
        <v>206.1</v>
      </c>
      <c r="G742" s="5">
        <v>102.4</v>
      </c>
      <c r="H742" s="5">
        <v>102.3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103.7</v>
      </c>
      <c r="D743" s="5">
        <v>0.1</v>
      </c>
      <c r="E743" s="5">
        <v>103.9</v>
      </c>
      <c r="F743" s="5">
        <v>206.1</v>
      </c>
      <c r="G743" s="5">
        <v>102.4</v>
      </c>
      <c r="H743" s="5">
        <v>102.3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103.7</v>
      </c>
      <c r="D744" s="5">
        <v>0.1</v>
      </c>
      <c r="E744" s="5">
        <v>103.9</v>
      </c>
      <c r="F744" s="5">
        <v>206.1</v>
      </c>
      <c r="G744" s="5">
        <v>102.4</v>
      </c>
      <c r="H744" s="5">
        <v>102.3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103.7</v>
      </c>
      <c r="D745" s="5">
        <v>0.1</v>
      </c>
      <c r="E745" s="5">
        <v>103.9</v>
      </c>
      <c r="F745" s="5">
        <v>206.1</v>
      </c>
      <c r="G745" s="5">
        <v>102.4</v>
      </c>
      <c r="H745" s="5">
        <v>102.3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103.4</v>
      </c>
      <c r="D746" s="5">
        <v>0.1</v>
      </c>
      <c r="E746" s="5">
        <v>103.6</v>
      </c>
      <c r="F746" s="5">
        <v>205.8</v>
      </c>
      <c r="G746" s="5">
        <v>102.3</v>
      </c>
      <c r="H746" s="5">
        <v>102.1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103.4</v>
      </c>
      <c r="D747" s="5">
        <v>0.1</v>
      </c>
      <c r="E747" s="5">
        <v>103.6</v>
      </c>
      <c r="F747" s="5">
        <v>205.8</v>
      </c>
      <c r="G747" s="5">
        <v>102.3</v>
      </c>
      <c r="H747" s="5">
        <v>102.1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103.4</v>
      </c>
      <c r="D748" s="5">
        <v>0.1</v>
      </c>
      <c r="E748" s="5">
        <v>103.6</v>
      </c>
      <c r="F748" s="5">
        <v>205.8</v>
      </c>
      <c r="G748" s="5">
        <v>102.3</v>
      </c>
      <c r="H748" s="5">
        <v>102.1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103.4</v>
      </c>
      <c r="D749" s="5">
        <v>0.1</v>
      </c>
      <c r="E749" s="5">
        <v>103.6</v>
      </c>
      <c r="F749" s="5">
        <v>205.8</v>
      </c>
      <c r="G749" s="5">
        <v>102.3</v>
      </c>
      <c r="H749" s="5">
        <v>102.1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105</v>
      </c>
      <c r="D750" s="5">
        <v>0.1</v>
      </c>
      <c r="E750" s="5">
        <v>105.1</v>
      </c>
      <c r="F750" s="5">
        <v>209.3</v>
      </c>
      <c r="G750" s="5">
        <v>104</v>
      </c>
      <c r="H750" s="5">
        <v>103.8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105</v>
      </c>
      <c r="D751" s="5">
        <v>0.1</v>
      </c>
      <c r="E751" s="5">
        <v>105.1</v>
      </c>
      <c r="F751" s="5">
        <v>209.3</v>
      </c>
      <c r="G751" s="5">
        <v>104</v>
      </c>
      <c r="H751" s="5">
        <v>103.8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104.8</v>
      </c>
      <c r="D752" s="5">
        <v>0.1</v>
      </c>
      <c r="E752" s="5">
        <v>105</v>
      </c>
      <c r="F752" s="5">
        <v>208.7</v>
      </c>
      <c r="G752" s="5">
        <v>103.7</v>
      </c>
      <c r="H752" s="5">
        <v>103.6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104.8</v>
      </c>
      <c r="D753" s="5">
        <v>0.1</v>
      </c>
      <c r="E753" s="5">
        <v>105</v>
      </c>
      <c r="F753" s="5">
        <v>208.7</v>
      </c>
      <c r="G753" s="5">
        <v>103.7</v>
      </c>
      <c r="H753" s="5">
        <v>103.6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104.8</v>
      </c>
      <c r="D754" s="5">
        <v>0.1</v>
      </c>
      <c r="E754" s="5">
        <v>105</v>
      </c>
      <c r="F754" s="5">
        <v>208.7</v>
      </c>
      <c r="G754" s="5">
        <v>103.7</v>
      </c>
      <c r="H754" s="5">
        <v>103.6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104.8</v>
      </c>
      <c r="D755" s="5">
        <v>0.1</v>
      </c>
      <c r="E755" s="5">
        <v>105</v>
      </c>
      <c r="F755" s="5">
        <v>208.7</v>
      </c>
      <c r="G755" s="5">
        <v>103.7</v>
      </c>
      <c r="H755" s="5">
        <v>103.6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104.2</v>
      </c>
      <c r="D756" s="5">
        <v>0.1</v>
      </c>
      <c r="E756" s="5">
        <v>104.3</v>
      </c>
      <c r="F756" s="5">
        <v>207</v>
      </c>
      <c r="G756" s="5">
        <v>102.9</v>
      </c>
      <c r="H756" s="5">
        <v>102.7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104.2</v>
      </c>
      <c r="D757" s="5">
        <v>0.1</v>
      </c>
      <c r="E757" s="5">
        <v>104.3</v>
      </c>
      <c r="F757" s="5">
        <v>207</v>
      </c>
      <c r="G757" s="5">
        <v>102.9</v>
      </c>
      <c r="H757" s="5">
        <v>102.7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104.6</v>
      </c>
      <c r="D758" s="5">
        <v>0.1</v>
      </c>
      <c r="E758" s="5">
        <v>104.7</v>
      </c>
      <c r="F758" s="5">
        <v>207.3</v>
      </c>
      <c r="G758" s="5">
        <v>103</v>
      </c>
      <c r="H758" s="5">
        <v>103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104.6</v>
      </c>
      <c r="D759" s="5">
        <v>0.1</v>
      </c>
      <c r="E759" s="5">
        <v>104.7</v>
      </c>
      <c r="F759" s="5">
        <v>207.3</v>
      </c>
      <c r="G759" s="5">
        <v>103</v>
      </c>
      <c r="H759" s="5">
        <v>103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103.7</v>
      </c>
      <c r="D760" s="5">
        <v>0.1</v>
      </c>
      <c r="E760" s="5">
        <v>103.8</v>
      </c>
      <c r="F760" s="5">
        <v>204.4</v>
      </c>
      <c r="G760" s="5">
        <v>101.7</v>
      </c>
      <c r="H760" s="5">
        <v>101.7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103.7</v>
      </c>
      <c r="D761" s="5">
        <v>0.1</v>
      </c>
      <c r="E761" s="5">
        <v>103.8</v>
      </c>
      <c r="F761" s="5">
        <v>204.4</v>
      </c>
      <c r="G761" s="5">
        <v>101.7</v>
      </c>
      <c r="H761" s="5">
        <v>101.7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104</v>
      </c>
      <c r="D762" s="5">
        <v>0.1</v>
      </c>
      <c r="E762" s="5">
        <v>104.2</v>
      </c>
      <c r="F762" s="5">
        <v>206.5</v>
      </c>
      <c r="G762" s="5">
        <v>102.6</v>
      </c>
      <c r="H762" s="5">
        <v>102.4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104</v>
      </c>
      <c r="D763" s="5">
        <v>0.1</v>
      </c>
      <c r="E763" s="5">
        <v>104.2</v>
      </c>
      <c r="F763" s="5">
        <v>206.5</v>
      </c>
      <c r="G763" s="5">
        <v>102.6</v>
      </c>
      <c r="H763" s="5">
        <v>102.4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104</v>
      </c>
      <c r="D764" s="5">
        <v>0.1</v>
      </c>
      <c r="E764" s="5">
        <v>104.2</v>
      </c>
      <c r="F764" s="5">
        <v>206.5</v>
      </c>
      <c r="G764" s="5">
        <v>102.6</v>
      </c>
      <c r="H764" s="5">
        <v>102.4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103.1</v>
      </c>
      <c r="D765" s="5">
        <v>0.1</v>
      </c>
      <c r="E765" s="5">
        <v>103.2</v>
      </c>
      <c r="F765" s="5">
        <v>206.7</v>
      </c>
      <c r="G765" s="5">
        <v>102.7</v>
      </c>
      <c r="H765" s="5">
        <v>102.5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103.1</v>
      </c>
      <c r="D766" s="5">
        <v>0.1</v>
      </c>
      <c r="E766" s="5">
        <v>103.2</v>
      </c>
      <c r="F766" s="5">
        <v>206.7</v>
      </c>
      <c r="G766" s="5">
        <v>102.7</v>
      </c>
      <c r="H766" s="5">
        <v>102.5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103.4</v>
      </c>
      <c r="D767" s="5">
        <v>0.1</v>
      </c>
      <c r="E767" s="5">
        <v>103.5</v>
      </c>
      <c r="F767" s="5">
        <v>204.2</v>
      </c>
      <c r="G767" s="5">
        <v>101.5</v>
      </c>
      <c r="H767" s="5">
        <v>101.4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103.4</v>
      </c>
      <c r="D768" s="5">
        <v>0.1</v>
      </c>
      <c r="E768" s="5">
        <v>103.5</v>
      </c>
      <c r="F768" s="5">
        <v>204.2</v>
      </c>
      <c r="G768" s="5">
        <v>101.5</v>
      </c>
      <c r="H768" s="5">
        <v>101.4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103.7</v>
      </c>
      <c r="D769" s="5">
        <v>0.1</v>
      </c>
      <c r="E769" s="5">
        <v>103.9</v>
      </c>
      <c r="F769" s="5">
        <v>205.4</v>
      </c>
      <c r="G769" s="5">
        <v>102.1</v>
      </c>
      <c r="H769" s="5">
        <v>101.9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103.7</v>
      </c>
      <c r="D770" s="5">
        <v>0.1</v>
      </c>
      <c r="E770" s="5">
        <v>103.9</v>
      </c>
      <c r="F770" s="5">
        <v>205.4</v>
      </c>
      <c r="G770" s="5">
        <v>102.1</v>
      </c>
      <c r="H770" s="5">
        <v>101.9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103.1</v>
      </c>
      <c r="D771" s="5">
        <v>0.1</v>
      </c>
      <c r="E771" s="5">
        <v>103.3</v>
      </c>
      <c r="F771" s="5">
        <v>205.6</v>
      </c>
      <c r="G771" s="5">
        <v>102.2</v>
      </c>
      <c r="H771" s="5">
        <v>102.1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103.1</v>
      </c>
      <c r="D772" s="5">
        <v>0.1</v>
      </c>
      <c r="E772" s="5">
        <v>103.3</v>
      </c>
      <c r="F772" s="5">
        <v>205.6</v>
      </c>
      <c r="G772" s="5">
        <v>102.2</v>
      </c>
      <c r="H772" s="5">
        <v>102.1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103.1</v>
      </c>
      <c r="D773" s="5">
        <v>0.1</v>
      </c>
      <c r="E773" s="5">
        <v>103.3</v>
      </c>
      <c r="F773" s="5">
        <v>205.6</v>
      </c>
      <c r="G773" s="5">
        <v>102.2</v>
      </c>
      <c r="H773" s="5">
        <v>102.1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103.1</v>
      </c>
      <c r="D774" s="5">
        <v>0.1</v>
      </c>
      <c r="E774" s="5">
        <v>103.3</v>
      </c>
      <c r="F774" s="5">
        <v>205.6</v>
      </c>
      <c r="G774" s="5">
        <v>102.2</v>
      </c>
      <c r="H774" s="5">
        <v>102.1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104.1</v>
      </c>
      <c r="D775" s="5">
        <v>0.1</v>
      </c>
      <c r="E775" s="5">
        <v>104.3</v>
      </c>
      <c r="F775" s="5">
        <v>205.6</v>
      </c>
      <c r="G775" s="5">
        <v>102.2</v>
      </c>
      <c r="H775" s="5">
        <v>102.1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104.1</v>
      </c>
      <c r="D776" s="5">
        <v>0.1</v>
      </c>
      <c r="E776" s="5">
        <v>104.3</v>
      </c>
      <c r="F776" s="5">
        <v>207.3</v>
      </c>
      <c r="G776" s="5">
        <v>103</v>
      </c>
      <c r="H776" s="5">
        <v>102.9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103.9</v>
      </c>
      <c r="D777" s="5">
        <v>0.1</v>
      </c>
      <c r="E777" s="5">
        <v>104.3</v>
      </c>
      <c r="F777" s="5">
        <v>207.3</v>
      </c>
      <c r="G777" s="5">
        <v>103</v>
      </c>
      <c r="H777" s="5">
        <v>102.9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103.9</v>
      </c>
      <c r="D778" s="5">
        <v>0.1</v>
      </c>
      <c r="E778" s="5">
        <v>104</v>
      </c>
      <c r="F778" s="5">
        <v>206.3</v>
      </c>
      <c r="G778" s="5">
        <v>102.6</v>
      </c>
      <c r="H778" s="5">
        <v>102.5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103.9</v>
      </c>
      <c r="D779" s="5">
        <v>0.1</v>
      </c>
      <c r="E779" s="5">
        <v>104</v>
      </c>
      <c r="F779" s="5">
        <v>206.3</v>
      </c>
      <c r="G779" s="5">
        <v>102.6</v>
      </c>
      <c r="H779" s="5">
        <v>102.5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103.4</v>
      </c>
      <c r="D780" s="5">
        <v>0.1</v>
      </c>
      <c r="E780" s="5">
        <v>103.5</v>
      </c>
      <c r="F780" s="5">
        <v>206.7</v>
      </c>
      <c r="G780" s="5">
        <v>102.6</v>
      </c>
      <c r="H780" s="5">
        <v>102.3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103.4</v>
      </c>
      <c r="D781" s="5">
        <v>0.1</v>
      </c>
      <c r="E781" s="5">
        <v>103.5</v>
      </c>
      <c r="F781" s="5">
        <v>206.7</v>
      </c>
      <c r="G781" s="5">
        <v>102.6</v>
      </c>
      <c r="H781" s="5">
        <v>102.3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104.9</v>
      </c>
      <c r="D782" s="5">
        <v>0.1</v>
      </c>
      <c r="E782" s="5">
        <v>105</v>
      </c>
      <c r="F782" s="5">
        <v>207.2</v>
      </c>
      <c r="G782" s="5">
        <v>103</v>
      </c>
      <c r="H782" s="5">
        <v>102.9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104.9</v>
      </c>
      <c r="D783" s="5">
        <v>0.1</v>
      </c>
      <c r="E783" s="5">
        <v>105</v>
      </c>
      <c r="F783" s="5">
        <v>207.2</v>
      </c>
      <c r="G783" s="5">
        <v>103</v>
      </c>
      <c r="H783" s="5">
        <v>102.9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104.9</v>
      </c>
      <c r="D784" s="5">
        <v>0.1</v>
      </c>
      <c r="E784" s="5">
        <v>105</v>
      </c>
      <c r="F784" s="5">
        <v>207.2</v>
      </c>
      <c r="G784" s="5">
        <v>103</v>
      </c>
      <c r="H784" s="5">
        <v>102.9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104.9</v>
      </c>
      <c r="D785" s="5">
        <v>0.1</v>
      </c>
      <c r="E785" s="5">
        <v>105</v>
      </c>
      <c r="F785" s="5">
        <v>207.2</v>
      </c>
      <c r="G785" s="5">
        <v>103.8</v>
      </c>
      <c r="H785" s="5">
        <v>103.6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103.7</v>
      </c>
      <c r="D786" s="5">
        <v>0.1</v>
      </c>
      <c r="E786" s="5">
        <v>103.9</v>
      </c>
      <c r="F786" s="5">
        <v>208.9</v>
      </c>
      <c r="G786" s="5">
        <v>103.8</v>
      </c>
      <c r="H786" s="5">
        <v>103.6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103.7</v>
      </c>
      <c r="D787" s="5">
        <v>0.1</v>
      </c>
      <c r="E787" s="5">
        <v>103.9</v>
      </c>
      <c r="F787" s="5">
        <v>208.9</v>
      </c>
      <c r="G787" s="5">
        <v>103.8</v>
      </c>
      <c r="H787" s="5">
        <v>103.6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101.7</v>
      </c>
      <c r="D788" s="5">
        <v>0.1</v>
      </c>
      <c r="E788" s="5">
        <v>101.8</v>
      </c>
      <c r="F788" s="5">
        <v>206.7</v>
      </c>
      <c r="G788" s="5">
        <v>102.6</v>
      </c>
      <c r="H788" s="5">
        <v>102.4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101.7</v>
      </c>
      <c r="D789" s="5">
        <v>0.1</v>
      </c>
      <c r="E789" s="5">
        <v>101.8</v>
      </c>
      <c r="F789" s="5">
        <v>206.7</v>
      </c>
      <c r="G789" s="5">
        <v>102.6</v>
      </c>
      <c r="H789" s="5">
        <v>102.4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100.1</v>
      </c>
      <c r="D790" s="5">
        <v>0.1</v>
      </c>
      <c r="E790" s="5">
        <v>100.2</v>
      </c>
      <c r="F790" s="5">
        <v>192.7</v>
      </c>
      <c r="G790" s="5">
        <v>96.1</v>
      </c>
      <c r="H790" s="5">
        <v>96.2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100.1</v>
      </c>
      <c r="D791" s="5">
        <v>0.1</v>
      </c>
      <c r="E791" s="5">
        <v>100.2</v>
      </c>
      <c r="F791" s="5">
        <v>192.7</v>
      </c>
      <c r="G791" s="5">
        <v>96.1</v>
      </c>
      <c r="H791" s="5">
        <v>96.2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100.3</v>
      </c>
      <c r="D792" s="5">
        <v>0.1</v>
      </c>
      <c r="E792" s="5">
        <v>100.5</v>
      </c>
      <c r="F792" s="5">
        <v>197.2</v>
      </c>
      <c r="G792" s="5">
        <v>98.2</v>
      </c>
      <c r="H792" s="5">
        <v>98.2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100.3</v>
      </c>
      <c r="D793" s="5">
        <v>0.1</v>
      </c>
      <c r="E793" s="5">
        <v>100.5</v>
      </c>
      <c r="F793" s="5">
        <v>197.2</v>
      </c>
      <c r="G793" s="5">
        <v>98.2</v>
      </c>
      <c r="H793" s="5">
        <v>98.2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100.3</v>
      </c>
      <c r="D794" s="5">
        <v>0.1</v>
      </c>
      <c r="E794" s="5">
        <v>100.5</v>
      </c>
      <c r="F794" s="5">
        <v>197.2</v>
      </c>
      <c r="G794" s="5">
        <v>98.2</v>
      </c>
      <c r="H794" s="5">
        <v>98.2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100.6</v>
      </c>
      <c r="D795" s="5">
        <v>0.1</v>
      </c>
      <c r="E795" s="5">
        <v>100.8</v>
      </c>
      <c r="F795" s="5">
        <v>194.4</v>
      </c>
      <c r="G795" s="5">
        <v>96.9</v>
      </c>
      <c r="H795" s="5">
        <v>97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100.6</v>
      </c>
      <c r="D796" s="5">
        <v>0.1</v>
      </c>
      <c r="E796" s="5">
        <v>100.8</v>
      </c>
      <c r="F796" s="5">
        <v>194.4</v>
      </c>
      <c r="G796" s="5">
        <v>96.9</v>
      </c>
      <c r="H796" s="5">
        <v>97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103.1</v>
      </c>
      <c r="D797" s="5">
        <v>0.1</v>
      </c>
      <c r="E797" s="5">
        <v>103.3</v>
      </c>
      <c r="F797" s="5">
        <v>205.4</v>
      </c>
      <c r="G797" s="5">
        <v>102.1</v>
      </c>
      <c r="H797" s="5">
        <v>101.9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103.1</v>
      </c>
      <c r="D798" s="5">
        <v>0.1</v>
      </c>
      <c r="E798" s="5">
        <v>103.3</v>
      </c>
      <c r="F798" s="5">
        <v>205.4</v>
      </c>
      <c r="G798" s="5">
        <v>102.1</v>
      </c>
      <c r="H798" s="5">
        <v>101.9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102.7</v>
      </c>
      <c r="D799" s="5">
        <v>0.1</v>
      </c>
      <c r="E799" s="5">
        <v>102.8</v>
      </c>
      <c r="F799" s="5">
        <v>203.8</v>
      </c>
      <c r="G799" s="5">
        <v>101.3</v>
      </c>
      <c r="H799" s="5">
        <v>101.1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102.7</v>
      </c>
      <c r="D800" s="5">
        <v>0.1</v>
      </c>
      <c r="E800" s="5">
        <v>102.8</v>
      </c>
      <c r="F800" s="5">
        <v>203.8</v>
      </c>
      <c r="G800" s="5">
        <v>101.3</v>
      </c>
      <c r="H800" s="5">
        <v>101.1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103.4</v>
      </c>
      <c r="D801" s="5">
        <v>0.1</v>
      </c>
      <c r="E801" s="5">
        <v>103.5</v>
      </c>
      <c r="F801" s="5">
        <v>204.9</v>
      </c>
      <c r="G801" s="5">
        <v>101.9</v>
      </c>
      <c r="H801" s="5">
        <v>101.8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103.4</v>
      </c>
      <c r="D802" s="5">
        <v>0.1</v>
      </c>
      <c r="E802" s="5">
        <v>103.5</v>
      </c>
      <c r="F802" s="5">
        <v>204.9</v>
      </c>
      <c r="G802" s="5">
        <v>101.9</v>
      </c>
      <c r="H802" s="5">
        <v>101.8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103.4</v>
      </c>
      <c r="D803" s="5">
        <v>0.1</v>
      </c>
      <c r="E803" s="5">
        <v>103.5</v>
      </c>
      <c r="F803" s="5">
        <v>204.9</v>
      </c>
      <c r="G803" s="5">
        <v>101.9</v>
      </c>
      <c r="H803" s="5">
        <v>101.8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103.4</v>
      </c>
      <c r="D804" s="5">
        <v>0.1</v>
      </c>
      <c r="E804" s="5">
        <v>103.5</v>
      </c>
      <c r="F804" s="5">
        <v>204.9</v>
      </c>
      <c r="G804" s="5">
        <v>101.9</v>
      </c>
      <c r="H804" s="5">
        <v>101.8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103.7</v>
      </c>
      <c r="D805" s="5">
        <v>0.1</v>
      </c>
      <c r="E805" s="5">
        <v>103.8</v>
      </c>
      <c r="F805" s="5">
        <v>205.9</v>
      </c>
      <c r="G805" s="5">
        <v>102.3</v>
      </c>
      <c r="H805" s="5">
        <v>102.1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103.7</v>
      </c>
      <c r="D806" s="5">
        <v>0.1</v>
      </c>
      <c r="E806" s="5">
        <v>103.8</v>
      </c>
      <c r="F806" s="5">
        <v>205.9</v>
      </c>
      <c r="G806" s="5">
        <v>102.3</v>
      </c>
      <c r="H806" s="5">
        <v>102.1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102.7</v>
      </c>
      <c r="D807" s="5">
        <v>0.1</v>
      </c>
      <c r="E807" s="5">
        <v>102.9</v>
      </c>
      <c r="F807" s="5">
        <v>205.5</v>
      </c>
      <c r="G807" s="5">
        <v>102.1</v>
      </c>
      <c r="H807" s="5">
        <v>102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102.7</v>
      </c>
      <c r="D808" s="5">
        <v>0.1</v>
      </c>
      <c r="E808" s="5">
        <v>102.9</v>
      </c>
      <c r="F808" s="5">
        <v>205.5</v>
      </c>
      <c r="G808" s="5">
        <v>102.1</v>
      </c>
      <c r="H808" s="5">
        <v>102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103.7</v>
      </c>
      <c r="D809" s="5">
        <v>0.1</v>
      </c>
      <c r="E809" s="5">
        <v>103.8</v>
      </c>
      <c r="F809" s="5">
        <v>205.9</v>
      </c>
      <c r="G809" s="5">
        <v>102.4</v>
      </c>
      <c r="H809" s="5">
        <v>102.2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103.7</v>
      </c>
      <c r="D810" s="5">
        <v>0.1</v>
      </c>
      <c r="E810" s="5">
        <v>103.8</v>
      </c>
      <c r="F810" s="5">
        <v>205.9</v>
      </c>
      <c r="G810" s="5">
        <v>102.4</v>
      </c>
      <c r="H810" s="5">
        <v>102.2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103.7</v>
      </c>
      <c r="D811" s="5">
        <v>0.1</v>
      </c>
      <c r="E811" s="5">
        <v>103.9</v>
      </c>
      <c r="F811" s="5">
        <v>206</v>
      </c>
      <c r="G811" s="5">
        <v>102.4</v>
      </c>
      <c r="H811" s="5">
        <v>102.2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103.7</v>
      </c>
      <c r="D812" s="5">
        <v>0.1</v>
      </c>
      <c r="E812" s="5">
        <v>103.9</v>
      </c>
      <c r="F812" s="5">
        <v>206</v>
      </c>
      <c r="G812" s="5">
        <v>102.4</v>
      </c>
      <c r="H812" s="5">
        <v>102.2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103.7</v>
      </c>
      <c r="D813" s="5">
        <v>0.1</v>
      </c>
      <c r="E813" s="5">
        <v>103.9</v>
      </c>
      <c r="F813" s="5">
        <v>206</v>
      </c>
      <c r="G813" s="5">
        <v>102.4</v>
      </c>
      <c r="H813" s="5">
        <v>102.2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103.7</v>
      </c>
      <c r="D814" s="5">
        <v>0.1</v>
      </c>
      <c r="E814" s="5">
        <v>103.9</v>
      </c>
      <c r="F814" s="5">
        <v>206</v>
      </c>
      <c r="G814" s="5">
        <v>102.4</v>
      </c>
      <c r="H814" s="5">
        <v>102.2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102.2</v>
      </c>
      <c r="D815" s="5">
        <v>0.1</v>
      </c>
      <c r="E815" s="5">
        <v>102.4</v>
      </c>
      <c r="F815" s="5">
        <v>196.7</v>
      </c>
      <c r="G815" s="5">
        <v>98</v>
      </c>
      <c r="H815" s="5">
        <v>98.2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102.2</v>
      </c>
      <c r="D816" s="5">
        <v>0.1</v>
      </c>
      <c r="E816" s="5">
        <v>102.4</v>
      </c>
      <c r="F816" s="5">
        <v>196.7</v>
      </c>
      <c r="G816" s="5">
        <v>98</v>
      </c>
      <c r="H816" s="5">
        <v>98.2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103.4</v>
      </c>
      <c r="D817" s="5">
        <v>0.1</v>
      </c>
      <c r="E817" s="5">
        <v>103.6</v>
      </c>
      <c r="F817" s="5">
        <v>206.2</v>
      </c>
      <c r="G817" s="5">
        <v>102.5</v>
      </c>
      <c r="H817" s="5">
        <v>102.3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103.4</v>
      </c>
      <c r="D818" s="5">
        <v>0.1</v>
      </c>
      <c r="E818" s="5">
        <v>103.6</v>
      </c>
      <c r="F818" s="5">
        <v>206.2</v>
      </c>
      <c r="G818" s="5">
        <v>102.5</v>
      </c>
      <c r="H818" s="5">
        <v>102.3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103.5</v>
      </c>
      <c r="D819" s="5">
        <v>0.1</v>
      </c>
      <c r="E819" s="5">
        <v>103.7</v>
      </c>
      <c r="F819" s="5">
        <v>205.8</v>
      </c>
      <c r="G819" s="5">
        <v>102.3</v>
      </c>
      <c r="H819" s="5">
        <v>102.2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103.5</v>
      </c>
      <c r="D820" s="5">
        <v>0.1</v>
      </c>
      <c r="E820" s="5">
        <v>103.7</v>
      </c>
      <c r="F820" s="5">
        <v>205.8</v>
      </c>
      <c r="G820" s="5">
        <v>102.3</v>
      </c>
      <c r="H820" s="5">
        <v>102.2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104</v>
      </c>
      <c r="D821" s="5">
        <v>0.1</v>
      </c>
      <c r="E821" s="5">
        <v>104.2</v>
      </c>
      <c r="F821" s="5">
        <v>206.8</v>
      </c>
      <c r="G821" s="5">
        <v>102.8</v>
      </c>
      <c r="H821" s="5">
        <v>102.6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104</v>
      </c>
      <c r="D822" s="5">
        <v>0.1</v>
      </c>
      <c r="E822" s="5">
        <v>104.2</v>
      </c>
      <c r="F822" s="5">
        <v>206.8</v>
      </c>
      <c r="G822" s="5">
        <v>102.8</v>
      </c>
      <c r="H822" s="5">
        <v>102.6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104</v>
      </c>
      <c r="D823" s="5">
        <v>0.1</v>
      </c>
      <c r="E823" s="5">
        <v>104.2</v>
      </c>
      <c r="F823" s="5">
        <v>206.8</v>
      </c>
      <c r="G823" s="5">
        <v>102.8</v>
      </c>
      <c r="H823" s="5">
        <v>102.6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104</v>
      </c>
      <c r="D824" s="5">
        <v>0.1</v>
      </c>
      <c r="E824" s="5">
        <v>104.2</v>
      </c>
      <c r="F824" s="5">
        <v>206.8</v>
      </c>
      <c r="G824" s="5">
        <v>102.8</v>
      </c>
      <c r="H824" s="5">
        <v>102.6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102.8</v>
      </c>
      <c r="D825" s="5">
        <v>0.1</v>
      </c>
      <c r="E825" s="5">
        <v>103</v>
      </c>
      <c r="F825" s="5">
        <v>205.3</v>
      </c>
      <c r="G825" s="5">
        <v>101.9</v>
      </c>
      <c r="H825" s="5">
        <v>101.8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102.8</v>
      </c>
      <c r="D826" s="5">
        <v>0.1</v>
      </c>
      <c r="E826" s="5">
        <v>103</v>
      </c>
      <c r="F826" s="5">
        <v>205.3</v>
      </c>
      <c r="G826" s="5">
        <v>101.9</v>
      </c>
      <c r="H826" s="5">
        <v>101.8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103.2</v>
      </c>
      <c r="D827" s="5">
        <v>0.1</v>
      </c>
      <c r="E827" s="5">
        <v>103.4</v>
      </c>
      <c r="F827" s="5">
        <v>205.9</v>
      </c>
      <c r="G827" s="5">
        <v>102.3</v>
      </c>
      <c r="H827" s="5">
        <v>102.1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103.2</v>
      </c>
      <c r="D828" s="5">
        <v>0.1</v>
      </c>
      <c r="E828" s="5">
        <v>103.4</v>
      </c>
      <c r="F828" s="5">
        <v>205.9</v>
      </c>
      <c r="G828" s="5">
        <v>102.3</v>
      </c>
      <c r="H828" s="5">
        <v>102.1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103.6</v>
      </c>
      <c r="D829" s="5">
        <v>0.1</v>
      </c>
      <c r="E829" s="5">
        <v>103.7</v>
      </c>
      <c r="F829" s="5">
        <v>204.6</v>
      </c>
      <c r="G829" s="5">
        <v>101.7</v>
      </c>
      <c r="H829" s="5">
        <v>101.5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103.6</v>
      </c>
      <c r="D830" s="5">
        <v>0.1</v>
      </c>
      <c r="E830" s="5">
        <v>103.7</v>
      </c>
      <c r="F830" s="5">
        <v>204.6</v>
      </c>
      <c r="G830" s="5">
        <v>101.7</v>
      </c>
      <c r="H830" s="5">
        <v>101.5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102.5</v>
      </c>
      <c r="D831" s="5">
        <v>0.1</v>
      </c>
      <c r="E831" s="5">
        <v>102.7</v>
      </c>
      <c r="F831" s="5">
        <v>205.9</v>
      </c>
      <c r="G831" s="5">
        <v>102.3</v>
      </c>
      <c r="H831" s="5">
        <v>102.1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102.5</v>
      </c>
      <c r="D832" s="5">
        <v>0.1</v>
      </c>
      <c r="E832" s="5">
        <v>102.7</v>
      </c>
      <c r="F832" s="5">
        <v>205.9</v>
      </c>
      <c r="G832" s="5">
        <v>102.3</v>
      </c>
      <c r="H832" s="5">
        <v>102.1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102.5</v>
      </c>
      <c r="D833" s="5">
        <v>0.1</v>
      </c>
      <c r="E833" s="5">
        <v>102.7</v>
      </c>
      <c r="F833" s="5">
        <v>205.9</v>
      </c>
      <c r="G833" s="5">
        <v>102.3</v>
      </c>
      <c r="H833" s="5">
        <v>102.1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102.5</v>
      </c>
      <c r="D834" s="5">
        <v>0.1</v>
      </c>
      <c r="E834" s="5">
        <v>102.7</v>
      </c>
      <c r="F834" s="5">
        <v>205.9</v>
      </c>
      <c r="G834" s="5">
        <v>102.3</v>
      </c>
      <c r="H834" s="5">
        <v>102.1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103.5</v>
      </c>
      <c r="D835" s="5">
        <v>0.1</v>
      </c>
      <c r="E835" s="5">
        <v>103.7</v>
      </c>
      <c r="F835" s="5">
        <v>205.5</v>
      </c>
      <c r="G835" s="5">
        <v>102.1</v>
      </c>
      <c r="H835" s="5">
        <v>102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103.5</v>
      </c>
      <c r="D836" s="5">
        <v>0.1</v>
      </c>
      <c r="E836" s="5">
        <v>103.7</v>
      </c>
      <c r="F836" s="5">
        <v>205.5</v>
      </c>
      <c r="G836" s="5">
        <v>102.1</v>
      </c>
      <c r="H836" s="5">
        <v>102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104.5</v>
      </c>
      <c r="D837" s="5">
        <v>0.1</v>
      </c>
      <c r="E837" s="5">
        <v>104.6</v>
      </c>
      <c r="F837" s="5">
        <v>207.1</v>
      </c>
      <c r="G837" s="5">
        <v>103</v>
      </c>
      <c r="H837" s="5">
        <v>102.8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104.5</v>
      </c>
      <c r="D838" s="5">
        <v>0.1</v>
      </c>
      <c r="E838" s="5">
        <v>104.6</v>
      </c>
      <c r="F838" s="5">
        <v>207.1</v>
      </c>
      <c r="G838" s="5">
        <v>103</v>
      </c>
      <c r="H838" s="5">
        <v>102.8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98.3</v>
      </c>
      <c r="D839" s="5">
        <v>0.1</v>
      </c>
      <c r="E839" s="5">
        <v>98.4</v>
      </c>
      <c r="F839" s="5">
        <v>205.5</v>
      </c>
      <c r="G839" s="5">
        <v>101.8</v>
      </c>
      <c r="H839" s="5">
        <v>101.3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98.3</v>
      </c>
      <c r="D840" s="5">
        <v>0.1</v>
      </c>
      <c r="E840" s="5">
        <v>98.4</v>
      </c>
      <c r="F840" s="5">
        <v>205.5</v>
      </c>
      <c r="G840" s="5">
        <v>101.8</v>
      </c>
      <c r="H840" s="5">
        <v>101.3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104.8</v>
      </c>
      <c r="D841" s="5">
        <v>0.1</v>
      </c>
      <c r="E841" s="5">
        <v>105</v>
      </c>
      <c r="F841" s="5">
        <v>207.4</v>
      </c>
      <c r="G841" s="5">
        <v>103.1</v>
      </c>
      <c r="H841" s="5">
        <v>103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104.8</v>
      </c>
      <c r="D842" s="5">
        <v>0.1</v>
      </c>
      <c r="E842" s="5">
        <v>105</v>
      </c>
      <c r="F842" s="5">
        <v>207.4</v>
      </c>
      <c r="G842" s="5">
        <v>103.1</v>
      </c>
      <c r="H842" s="5">
        <v>103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104.8</v>
      </c>
      <c r="D843" s="5">
        <v>0.1</v>
      </c>
      <c r="E843" s="5">
        <v>105</v>
      </c>
      <c r="F843" s="5">
        <v>207.4</v>
      </c>
      <c r="G843" s="5">
        <v>103.1</v>
      </c>
      <c r="H843" s="5">
        <v>103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104.8</v>
      </c>
      <c r="D844" s="5">
        <v>0.1</v>
      </c>
      <c r="E844" s="5">
        <v>105</v>
      </c>
      <c r="F844" s="5">
        <v>207.4</v>
      </c>
      <c r="G844" s="5">
        <v>103.1</v>
      </c>
      <c r="H844" s="5">
        <v>103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105.7</v>
      </c>
      <c r="D845" s="5">
        <v>0.1</v>
      </c>
      <c r="E845" s="5">
        <v>105.9</v>
      </c>
      <c r="F845" s="5">
        <v>211</v>
      </c>
      <c r="G845" s="5">
        <v>104.9</v>
      </c>
      <c r="H845" s="5">
        <v>104.9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105.7</v>
      </c>
      <c r="D846" s="5">
        <v>0.1</v>
      </c>
      <c r="E846" s="5">
        <v>105.9</v>
      </c>
      <c r="F846" s="5">
        <v>211</v>
      </c>
      <c r="G846" s="5">
        <v>104.9</v>
      </c>
      <c r="H846" s="5">
        <v>104.9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104.8</v>
      </c>
      <c r="D847" s="5">
        <v>0.1</v>
      </c>
      <c r="E847" s="5">
        <v>105</v>
      </c>
      <c r="F847" s="5">
        <v>206.5</v>
      </c>
      <c r="G847" s="5">
        <v>102.7</v>
      </c>
      <c r="H847" s="5">
        <v>102.5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104.8</v>
      </c>
      <c r="D848" s="5">
        <v>0.1</v>
      </c>
      <c r="E848" s="5">
        <v>105</v>
      </c>
      <c r="F848" s="5">
        <v>206.5</v>
      </c>
      <c r="G848" s="5">
        <v>102.7</v>
      </c>
      <c r="H848" s="5">
        <v>102.5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105.5</v>
      </c>
      <c r="D849" s="5">
        <v>0.1</v>
      </c>
      <c r="E849" s="5">
        <v>105.6</v>
      </c>
      <c r="F849" s="5">
        <v>210.4</v>
      </c>
      <c r="G849" s="5">
        <v>104.6</v>
      </c>
      <c r="H849" s="5">
        <v>102.8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105.5</v>
      </c>
      <c r="D850" s="5">
        <v>0.1</v>
      </c>
      <c r="E850" s="5">
        <v>105.6</v>
      </c>
      <c r="F850" s="5">
        <v>210.4</v>
      </c>
      <c r="G850" s="5">
        <v>104.6</v>
      </c>
      <c r="H850" s="5">
        <v>102.8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102.7</v>
      </c>
      <c r="D851" s="5">
        <v>0.1</v>
      </c>
      <c r="E851" s="5">
        <v>102.9</v>
      </c>
      <c r="F851" s="5">
        <v>209.3</v>
      </c>
      <c r="G851" s="5">
        <v>104.1</v>
      </c>
      <c r="H851" s="5">
        <v>103.7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102.7</v>
      </c>
      <c r="D852" s="5">
        <v>0.1</v>
      </c>
      <c r="E852" s="5">
        <v>102.9</v>
      </c>
      <c r="F852" s="5">
        <v>209.3</v>
      </c>
      <c r="G852" s="5">
        <v>104.1</v>
      </c>
      <c r="H852" s="5">
        <v>103.7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102.7</v>
      </c>
      <c r="D853" s="5">
        <v>0.1</v>
      </c>
      <c r="E853" s="5">
        <v>102.9</v>
      </c>
      <c r="F853" s="5">
        <v>209.3</v>
      </c>
      <c r="G853" s="5">
        <v>104.1</v>
      </c>
      <c r="H853" s="5">
        <v>103.7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102.7</v>
      </c>
      <c r="D854" s="5">
        <v>0.1</v>
      </c>
      <c r="E854" s="5">
        <v>102.9</v>
      </c>
      <c r="F854" s="5">
        <v>209.3</v>
      </c>
      <c r="G854" s="5">
        <v>104.1</v>
      </c>
      <c r="H854" s="5">
        <v>103.7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104.3</v>
      </c>
      <c r="D855" s="5">
        <v>0.1</v>
      </c>
      <c r="E855" s="5">
        <v>104.5</v>
      </c>
      <c r="F855" s="5">
        <v>207.1</v>
      </c>
      <c r="G855" s="5">
        <v>102.9</v>
      </c>
      <c r="H855" s="5">
        <v>102.8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104.3</v>
      </c>
      <c r="D856" s="5">
        <v>0.1</v>
      </c>
      <c r="E856" s="5">
        <v>104.5</v>
      </c>
      <c r="F856" s="5">
        <v>207.1</v>
      </c>
      <c r="G856" s="5">
        <v>102.9</v>
      </c>
      <c r="H856" s="5">
        <v>102.8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94.2</v>
      </c>
      <c r="D857" s="5">
        <v>0.1</v>
      </c>
      <c r="E857" s="5">
        <v>94.4</v>
      </c>
      <c r="F857" s="5">
        <v>194</v>
      </c>
      <c r="G857" s="5">
        <v>96.1</v>
      </c>
      <c r="H857" s="5">
        <v>95.6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94.2</v>
      </c>
      <c r="D858" s="5">
        <v>0.1</v>
      </c>
      <c r="E858" s="5">
        <v>94.4</v>
      </c>
      <c r="F858" s="5">
        <v>194</v>
      </c>
      <c r="G858" s="5">
        <v>96.1</v>
      </c>
      <c r="H858" s="5">
        <v>95.6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99.2</v>
      </c>
      <c r="D859" s="5">
        <v>0.1</v>
      </c>
      <c r="E859" s="5">
        <v>99.3</v>
      </c>
      <c r="F859" s="5">
        <v>197.3</v>
      </c>
      <c r="G859" s="5">
        <v>98.1</v>
      </c>
      <c r="H859" s="5">
        <v>97.9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99.2</v>
      </c>
      <c r="D860" s="5">
        <v>0.1</v>
      </c>
      <c r="E860" s="5">
        <v>99.3</v>
      </c>
      <c r="F860" s="5">
        <v>197.3</v>
      </c>
      <c r="G860" s="5">
        <v>98.1</v>
      </c>
      <c r="H860" s="5">
        <v>97.9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99.9</v>
      </c>
      <c r="D861" s="5">
        <v>0.1</v>
      </c>
      <c r="E861" s="5">
        <v>99.9</v>
      </c>
      <c r="F861" s="5">
        <v>197.2</v>
      </c>
      <c r="G861" s="5">
        <v>98</v>
      </c>
      <c r="H861" s="5">
        <v>97.9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99.9</v>
      </c>
      <c r="D862" s="5">
        <v>0.1</v>
      </c>
      <c r="E862" s="5">
        <v>99.9</v>
      </c>
      <c r="F862" s="5">
        <v>197.2</v>
      </c>
      <c r="G862" s="5">
        <v>98</v>
      </c>
      <c r="H862" s="5">
        <v>97.9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99.9</v>
      </c>
      <c r="D863" s="5">
        <v>0.1</v>
      </c>
      <c r="E863" s="5">
        <v>99.9</v>
      </c>
      <c r="F863" s="5">
        <v>197.2</v>
      </c>
      <c r="G863" s="5">
        <v>98</v>
      </c>
      <c r="H863" s="5">
        <v>97.9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99.9</v>
      </c>
      <c r="D864" s="5">
        <v>0.1</v>
      </c>
      <c r="E864" s="5">
        <v>103.5</v>
      </c>
      <c r="F864" s="5">
        <v>197.2</v>
      </c>
      <c r="G864" s="5">
        <v>98</v>
      </c>
      <c r="H864" s="5">
        <v>97.9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103.4</v>
      </c>
      <c r="D865" s="5">
        <v>0.1</v>
      </c>
      <c r="E865" s="5">
        <v>103.5</v>
      </c>
      <c r="F865" s="5">
        <v>205.6</v>
      </c>
      <c r="G865" s="5">
        <v>102.2</v>
      </c>
      <c r="H865" s="5">
        <v>102.1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103.4</v>
      </c>
      <c r="D866" s="5">
        <v>0.1</v>
      </c>
      <c r="E866" s="5">
        <v>103.5</v>
      </c>
      <c r="F866" s="5">
        <v>205.6</v>
      </c>
      <c r="G866" s="5">
        <v>102.2</v>
      </c>
      <c r="H866" s="5">
        <v>102.1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103.5</v>
      </c>
      <c r="D867" s="5">
        <v>0.1</v>
      </c>
      <c r="E867" s="5">
        <v>103.6</v>
      </c>
      <c r="F867" s="5">
        <v>207.5</v>
      </c>
      <c r="G867" s="5">
        <v>103.2</v>
      </c>
      <c r="H867" s="5">
        <v>103.1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103.5</v>
      </c>
      <c r="D868" s="5">
        <v>0.1</v>
      </c>
      <c r="E868" s="5">
        <v>103.6</v>
      </c>
      <c r="F868" s="5">
        <v>207.5</v>
      </c>
      <c r="G868" s="5">
        <v>103.2</v>
      </c>
      <c r="H868" s="5">
        <v>103.1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104.9</v>
      </c>
      <c r="D869" s="5">
        <v>0.1</v>
      </c>
      <c r="E869" s="5">
        <v>105</v>
      </c>
      <c r="F869" s="5">
        <v>208.8</v>
      </c>
      <c r="G869" s="5">
        <v>103.8</v>
      </c>
      <c r="H869" s="5">
        <v>103.7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104.9</v>
      </c>
      <c r="D870" s="5">
        <v>0.1</v>
      </c>
      <c r="E870" s="5">
        <v>105</v>
      </c>
      <c r="F870" s="5">
        <v>208.8</v>
      </c>
      <c r="G870" s="5">
        <v>103.8</v>
      </c>
      <c r="H870" s="5">
        <v>103.7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104.5</v>
      </c>
      <c r="D871" s="5">
        <v>0.1</v>
      </c>
      <c r="E871" s="5">
        <v>104.6</v>
      </c>
      <c r="F871" s="5">
        <v>207.1</v>
      </c>
      <c r="G871" s="5">
        <v>102.9</v>
      </c>
      <c r="H871" s="5">
        <v>102.7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104.5</v>
      </c>
      <c r="D872" s="5">
        <v>0.1</v>
      </c>
      <c r="E872" s="5">
        <v>104.6</v>
      </c>
      <c r="F872" s="5">
        <v>207.1</v>
      </c>
      <c r="G872" s="5">
        <v>102.9</v>
      </c>
      <c r="H872" s="5">
        <v>102.7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104.5</v>
      </c>
      <c r="D873" s="5">
        <v>0.1</v>
      </c>
      <c r="E873" s="5">
        <v>104.6</v>
      </c>
      <c r="F873" s="5">
        <v>207.1</v>
      </c>
      <c r="G873" s="5">
        <v>102.9</v>
      </c>
      <c r="H873" s="5">
        <v>102.7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104.5</v>
      </c>
      <c r="D874" s="5">
        <v>0.1</v>
      </c>
      <c r="E874" s="5">
        <v>104.6</v>
      </c>
      <c r="F874" s="5">
        <v>207.1</v>
      </c>
      <c r="G874" s="5">
        <v>102.9</v>
      </c>
      <c r="H874" s="5">
        <v>102.7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105</v>
      </c>
      <c r="D875" s="5">
        <v>0.1</v>
      </c>
      <c r="E875" s="5">
        <v>105.1</v>
      </c>
      <c r="F875" s="5">
        <v>208.7</v>
      </c>
      <c r="G875" s="5">
        <v>103.7</v>
      </c>
      <c r="H875" s="5">
        <v>103.5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105</v>
      </c>
      <c r="D876" s="5">
        <v>0.1</v>
      </c>
      <c r="E876" s="5">
        <v>105.1</v>
      </c>
      <c r="F876" s="5">
        <v>208.7</v>
      </c>
      <c r="G876" s="5">
        <v>103.7</v>
      </c>
      <c r="H876" s="5">
        <v>103.5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105.3</v>
      </c>
      <c r="D877" s="5">
        <v>0.1</v>
      </c>
      <c r="E877" s="5">
        <v>105.5</v>
      </c>
      <c r="F877" s="5">
        <v>208.9</v>
      </c>
      <c r="G877" s="5">
        <v>103.7</v>
      </c>
      <c r="H877" s="5">
        <v>103.6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105.3</v>
      </c>
      <c r="D878" s="5">
        <v>0.1</v>
      </c>
      <c r="E878" s="5">
        <v>105.5</v>
      </c>
      <c r="F878" s="5">
        <v>208.9</v>
      </c>
      <c r="G878" s="5">
        <v>103.7</v>
      </c>
      <c r="H878" s="5">
        <v>103.6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105.1</v>
      </c>
      <c r="D879" s="5">
        <v>0.1</v>
      </c>
      <c r="E879" s="5">
        <v>105.3</v>
      </c>
      <c r="F879" s="5">
        <v>208.2</v>
      </c>
      <c r="G879" s="5">
        <v>103.4</v>
      </c>
      <c r="H879" s="5">
        <v>103.2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105.1</v>
      </c>
      <c r="D880" s="5">
        <v>0.1</v>
      </c>
      <c r="E880" s="5">
        <v>105.3</v>
      </c>
      <c r="F880" s="5">
        <v>208.2</v>
      </c>
      <c r="G880" s="5">
        <v>103.4</v>
      </c>
      <c r="H880" s="5">
        <v>103.2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105.5</v>
      </c>
      <c r="D881" s="5">
        <v>0.1</v>
      </c>
      <c r="E881" s="5">
        <v>105.6</v>
      </c>
      <c r="F881" s="5">
        <v>209.1</v>
      </c>
      <c r="G881" s="5">
        <v>103.8</v>
      </c>
      <c r="H881" s="5">
        <v>103.7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105.5</v>
      </c>
      <c r="D882" s="5">
        <v>0.1</v>
      </c>
      <c r="E882" s="5">
        <v>105.6</v>
      </c>
      <c r="F882" s="5">
        <v>209.1</v>
      </c>
      <c r="G882" s="5">
        <v>103.8</v>
      </c>
      <c r="H882" s="5">
        <v>103.7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105.5</v>
      </c>
      <c r="D883" s="5">
        <v>0.1</v>
      </c>
      <c r="E883" s="5">
        <v>105.6</v>
      </c>
      <c r="F883" s="5">
        <v>209.1</v>
      </c>
      <c r="G883" s="5">
        <v>103.8</v>
      </c>
      <c r="H883" s="5">
        <v>103.7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105.5</v>
      </c>
      <c r="D884" s="5">
        <v>0.1</v>
      </c>
      <c r="E884" s="5">
        <v>105.6</v>
      </c>
      <c r="F884" s="5">
        <v>209.1</v>
      </c>
      <c r="G884" s="5">
        <v>103.8</v>
      </c>
      <c r="H884" s="5">
        <v>103.7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104.9</v>
      </c>
      <c r="D885" s="5">
        <v>0.1</v>
      </c>
      <c r="E885" s="5">
        <v>105</v>
      </c>
      <c r="F885" s="5">
        <v>208.9</v>
      </c>
      <c r="G885" s="5">
        <v>103.8</v>
      </c>
      <c r="H885" s="5">
        <v>103.6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104.9</v>
      </c>
      <c r="D886" s="5">
        <v>0.1</v>
      </c>
      <c r="E886" s="5">
        <v>105</v>
      </c>
      <c r="F886" s="5">
        <v>208.9</v>
      </c>
      <c r="G886" s="5">
        <v>103.8</v>
      </c>
      <c r="H886" s="5">
        <v>103.6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105.8</v>
      </c>
      <c r="D887" s="5">
        <v>0.1</v>
      </c>
      <c r="E887" s="5">
        <v>105.9</v>
      </c>
      <c r="F887" s="5">
        <v>209.2</v>
      </c>
      <c r="G887" s="5">
        <v>104</v>
      </c>
      <c r="H887" s="5">
        <v>103.9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105.8</v>
      </c>
      <c r="D888" s="5">
        <v>0.1</v>
      </c>
      <c r="E888" s="5">
        <v>105.9</v>
      </c>
      <c r="F888" s="5">
        <v>209.2</v>
      </c>
      <c r="G888" s="5">
        <v>104</v>
      </c>
      <c r="H888" s="5">
        <v>103.9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105.2</v>
      </c>
      <c r="D889" s="5">
        <v>0.1</v>
      </c>
      <c r="E889" s="5">
        <v>105.3</v>
      </c>
      <c r="F889" s="5">
        <v>208.8</v>
      </c>
      <c r="G889" s="5">
        <v>103.7</v>
      </c>
      <c r="H889" s="5">
        <v>103.6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105.2</v>
      </c>
      <c r="D890" s="5">
        <v>0.1</v>
      </c>
      <c r="E890" s="5">
        <v>105.3</v>
      </c>
      <c r="F890" s="5">
        <v>208.8</v>
      </c>
      <c r="G890" s="5">
        <v>103.7</v>
      </c>
      <c r="H890" s="5">
        <v>103.6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105.1</v>
      </c>
      <c r="D891" s="5">
        <v>0.1</v>
      </c>
      <c r="E891" s="5">
        <v>105.3</v>
      </c>
      <c r="F891" s="5">
        <v>209.6</v>
      </c>
      <c r="G891" s="5">
        <v>104.1</v>
      </c>
      <c r="H891" s="5">
        <v>104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105.1</v>
      </c>
      <c r="D892" s="5">
        <v>0.1</v>
      </c>
      <c r="E892" s="5">
        <v>105.3</v>
      </c>
      <c r="F892" s="5">
        <v>209.6</v>
      </c>
      <c r="G892" s="5">
        <v>104.1</v>
      </c>
      <c r="H892" s="5">
        <v>104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105.1</v>
      </c>
      <c r="D893" s="5">
        <v>0.1</v>
      </c>
      <c r="E893" s="5">
        <v>105.3</v>
      </c>
      <c r="F893" s="5">
        <v>209.6</v>
      </c>
      <c r="G893" s="5">
        <v>104.1</v>
      </c>
      <c r="H893" s="5">
        <v>104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105.1</v>
      </c>
      <c r="D894" s="5">
        <v>0.1</v>
      </c>
      <c r="E894" s="5">
        <v>105.3</v>
      </c>
      <c r="F894" s="5">
        <v>209.6</v>
      </c>
      <c r="G894" s="5">
        <v>104.1</v>
      </c>
      <c r="H894" s="5">
        <v>103.9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105.4</v>
      </c>
      <c r="D895" s="5">
        <v>0.1</v>
      </c>
      <c r="E895" s="5">
        <v>105.6</v>
      </c>
      <c r="F895" s="5">
        <v>209.5</v>
      </c>
      <c r="G895" s="5">
        <v>104.1</v>
      </c>
      <c r="H895" s="5">
        <v>103.9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105.4</v>
      </c>
      <c r="D896" s="5">
        <v>0.1</v>
      </c>
      <c r="E896" s="5">
        <v>105.6</v>
      </c>
      <c r="F896" s="5">
        <v>209.5</v>
      </c>
      <c r="G896" s="5">
        <v>104.1</v>
      </c>
      <c r="H896" s="5">
        <v>103.4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102.8</v>
      </c>
      <c r="D897" s="5">
        <v>0.1</v>
      </c>
      <c r="E897" s="5">
        <v>103</v>
      </c>
      <c r="F897" s="5">
        <v>208.3</v>
      </c>
      <c r="G897" s="5">
        <v>103.5</v>
      </c>
      <c r="H897" s="5">
        <v>103.4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102.8</v>
      </c>
      <c r="D898" s="5">
        <v>0.1</v>
      </c>
      <c r="E898" s="5">
        <v>103</v>
      </c>
      <c r="F898" s="5">
        <v>208.3</v>
      </c>
      <c r="G898" s="5">
        <v>103.5</v>
      </c>
      <c r="H898" s="5">
        <v>103.4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105.1</v>
      </c>
      <c r="D899" s="5">
        <v>0.1</v>
      </c>
      <c r="E899" s="5">
        <v>105.3</v>
      </c>
      <c r="F899" s="5">
        <v>208.9</v>
      </c>
      <c r="G899" s="5">
        <v>103.8</v>
      </c>
      <c r="H899" s="5">
        <v>103.6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105.1</v>
      </c>
      <c r="D900" s="5">
        <v>0.1</v>
      </c>
      <c r="E900" s="5">
        <v>105.3</v>
      </c>
      <c r="F900" s="5">
        <v>208.9</v>
      </c>
      <c r="G900" s="5">
        <v>103.8</v>
      </c>
      <c r="H900" s="5">
        <v>103.6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105.3</v>
      </c>
      <c r="D901" s="5">
        <v>0.1</v>
      </c>
      <c r="E901" s="5">
        <v>105.5</v>
      </c>
      <c r="F901" s="5">
        <v>209.1</v>
      </c>
      <c r="G901" s="5">
        <v>103.9</v>
      </c>
      <c r="H901" s="5">
        <v>103.7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105.3</v>
      </c>
      <c r="D902" s="5">
        <v>0.1</v>
      </c>
      <c r="E902" s="5">
        <v>105.5</v>
      </c>
      <c r="F902" s="5">
        <v>209.1</v>
      </c>
      <c r="G902" s="5">
        <v>103.9</v>
      </c>
      <c r="H902" s="5">
        <v>103.7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105.3</v>
      </c>
      <c r="D903" s="5">
        <v>0.1</v>
      </c>
      <c r="E903" s="5">
        <v>105.5</v>
      </c>
      <c r="F903" s="5">
        <v>209.1</v>
      </c>
      <c r="G903" s="5">
        <v>103.9</v>
      </c>
      <c r="H903" s="5">
        <v>103.7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105.1</v>
      </c>
      <c r="D904" s="5">
        <v>0.1</v>
      </c>
      <c r="E904" s="5">
        <v>105.3</v>
      </c>
      <c r="F904" s="5">
        <v>208.4</v>
      </c>
      <c r="G904" s="5">
        <v>103.5</v>
      </c>
      <c r="H904" s="5">
        <v>103.4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105.1</v>
      </c>
      <c r="D905" s="5">
        <v>0.1</v>
      </c>
      <c r="E905" s="5">
        <v>105.3</v>
      </c>
      <c r="F905" s="5">
        <v>208.4</v>
      </c>
      <c r="G905" s="5">
        <v>103.5</v>
      </c>
      <c r="H905" s="5">
        <v>103.4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105</v>
      </c>
      <c r="D906" s="5">
        <v>0.1</v>
      </c>
      <c r="E906" s="5">
        <v>105.1</v>
      </c>
      <c r="F906" s="5">
        <v>208.2</v>
      </c>
      <c r="G906" s="5">
        <v>103.5</v>
      </c>
      <c r="H906" s="5">
        <v>103.4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105</v>
      </c>
      <c r="D907" s="5">
        <v>0.1</v>
      </c>
      <c r="E907" s="5">
        <v>105.1</v>
      </c>
      <c r="F907" s="5">
        <v>208.2</v>
      </c>
      <c r="G907" s="5">
        <v>103.5</v>
      </c>
      <c r="H907" s="5">
        <v>103.4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105.5</v>
      </c>
      <c r="D908" s="5">
        <v>0.1</v>
      </c>
      <c r="E908" s="5">
        <v>105.6</v>
      </c>
      <c r="F908" s="5">
        <v>209.6</v>
      </c>
      <c r="G908" s="5">
        <v>104.2</v>
      </c>
      <c r="H908" s="5">
        <v>104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105.5</v>
      </c>
      <c r="D909" s="5">
        <v>0.1</v>
      </c>
      <c r="E909" s="5">
        <v>105.6</v>
      </c>
      <c r="F909" s="5">
        <v>209.6</v>
      </c>
      <c r="G909" s="5">
        <v>104.2</v>
      </c>
      <c r="H909" s="5">
        <v>104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106.2</v>
      </c>
      <c r="D910" s="5">
        <v>0.1</v>
      </c>
      <c r="E910" s="5">
        <v>106.4</v>
      </c>
      <c r="F910" s="5">
        <v>209.3</v>
      </c>
      <c r="G910" s="5">
        <v>104</v>
      </c>
      <c r="H910" s="5">
        <v>103.9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106.2</v>
      </c>
      <c r="D911" s="5">
        <v>0.1</v>
      </c>
      <c r="E911" s="5">
        <v>106.4</v>
      </c>
      <c r="F911" s="5">
        <v>209.3</v>
      </c>
      <c r="G911" s="5">
        <v>104</v>
      </c>
      <c r="H911" s="5">
        <v>103.9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106.2</v>
      </c>
      <c r="D912" s="5">
        <v>0.1</v>
      </c>
      <c r="E912" s="5">
        <v>106.4</v>
      </c>
      <c r="F912" s="5">
        <v>209.3</v>
      </c>
      <c r="G912" s="5">
        <v>104</v>
      </c>
      <c r="H912" s="5">
        <v>103.9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106.2</v>
      </c>
      <c r="D913" s="5">
        <v>0.1</v>
      </c>
      <c r="E913" s="5">
        <v>106.4</v>
      </c>
      <c r="F913" s="5">
        <v>209.3</v>
      </c>
      <c r="G913" s="5">
        <v>104</v>
      </c>
      <c r="H913" s="5">
        <v>103.9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104.3</v>
      </c>
      <c r="D914" s="5">
        <v>0.1</v>
      </c>
      <c r="E914" s="5">
        <v>104.4</v>
      </c>
      <c r="F914" s="5">
        <v>207.2</v>
      </c>
      <c r="G914" s="5">
        <v>102.9</v>
      </c>
      <c r="H914" s="5">
        <v>102.7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104.3</v>
      </c>
      <c r="D915" s="5">
        <v>0.1</v>
      </c>
      <c r="E915" s="5">
        <v>104.4</v>
      </c>
      <c r="F915" s="5">
        <v>207.2</v>
      </c>
      <c r="G915" s="5">
        <v>102.9</v>
      </c>
      <c r="H915" s="5">
        <v>102.7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104.3</v>
      </c>
      <c r="D916" s="5">
        <v>0.1</v>
      </c>
      <c r="E916" s="5">
        <v>104.4</v>
      </c>
      <c r="F916" s="5">
        <v>206.3</v>
      </c>
      <c r="G916" s="5">
        <v>102.4</v>
      </c>
      <c r="H916" s="5">
        <v>102.7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104.3</v>
      </c>
      <c r="D917" s="5">
        <v>0.1</v>
      </c>
      <c r="E917" s="5">
        <v>104.4</v>
      </c>
      <c r="F917" s="5">
        <v>206.3</v>
      </c>
      <c r="G917" s="5">
        <v>102.4</v>
      </c>
      <c r="H917" s="5">
        <v>102.2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105.7</v>
      </c>
      <c r="D918" s="5">
        <v>0.1</v>
      </c>
      <c r="E918" s="5">
        <v>104.4</v>
      </c>
      <c r="F918" s="5">
        <v>206.3</v>
      </c>
      <c r="G918" s="5">
        <v>102.4</v>
      </c>
      <c r="H918" s="5">
        <v>102.2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105.7</v>
      </c>
      <c r="D919" s="5">
        <v>0.1</v>
      </c>
      <c r="E919" s="5">
        <v>105.9</v>
      </c>
      <c r="F919" s="5">
        <v>209.5</v>
      </c>
      <c r="G919" s="5">
        <v>104.1</v>
      </c>
      <c r="H919" s="5">
        <v>103.9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105.7</v>
      </c>
      <c r="D920" s="5">
        <v>0.1</v>
      </c>
      <c r="E920" s="5">
        <v>105.9</v>
      </c>
      <c r="F920" s="5">
        <v>209.5</v>
      </c>
      <c r="G920" s="5">
        <v>104.1</v>
      </c>
      <c r="H920" s="5">
        <v>103.9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105.8</v>
      </c>
      <c r="D921" s="5">
        <v>0.1</v>
      </c>
      <c r="E921" s="5">
        <v>105.9</v>
      </c>
      <c r="F921" s="5">
        <v>207.7</v>
      </c>
      <c r="G921" s="5">
        <v>103.2</v>
      </c>
      <c r="H921" s="5">
        <v>103.1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105.8</v>
      </c>
      <c r="D922" s="5">
        <v>0.1</v>
      </c>
      <c r="E922" s="5">
        <v>105.9</v>
      </c>
      <c r="F922" s="5">
        <v>207.7</v>
      </c>
      <c r="G922" s="5">
        <v>103.2</v>
      </c>
      <c r="H922" s="5">
        <v>103.1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105.8</v>
      </c>
      <c r="D923" s="5">
        <v>0.1</v>
      </c>
      <c r="E923" s="5">
        <v>105.9</v>
      </c>
      <c r="F923" s="5">
        <v>207.7</v>
      </c>
      <c r="G923" s="5">
        <v>103.2</v>
      </c>
      <c r="H923" s="5">
        <v>103.1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104.6</v>
      </c>
      <c r="D924" s="5">
        <v>0.1</v>
      </c>
      <c r="E924" s="5">
        <v>104.7</v>
      </c>
      <c r="F924" s="5">
        <v>207.9</v>
      </c>
      <c r="G924" s="5">
        <v>103.3</v>
      </c>
      <c r="H924" s="5">
        <v>103.1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104.6</v>
      </c>
      <c r="D925" s="5">
        <v>0.1</v>
      </c>
      <c r="E925" s="5">
        <v>104.7</v>
      </c>
      <c r="F925" s="5">
        <v>207.9</v>
      </c>
      <c r="G925" s="5">
        <v>103.3</v>
      </c>
      <c r="H925" s="5">
        <v>103.1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104</v>
      </c>
      <c r="D926" s="5">
        <v>0.1</v>
      </c>
      <c r="E926" s="5">
        <v>104.1</v>
      </c>
      <c r="F926" s="5">
        <v>206.9</v>
      </c>
      <c r="G926" s="5">
        <v>102.8</v>
      </c>
      <c r="H926" s="5">
        <v>102.6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104</v>
      </c>
      <c r="D927" s="5">
        <v>0.1</v>
      </c>
      <c r="E927" s="5">
        <v>104.1</v>
      </c>
      <c r="F927" s="5">
        <v>206.9</v>
      </c>
      <c r="G927" s="5">
        <v>102.8</v>
      </c>
      <c r="H927" s="5">
        <v>102.6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104</v>
      </c>
      <c r="D928" s="5">
        <v>0.1</v>
      </c>
      <c r="E928" s="5">
        <v>104.1</v>
      </c>
      <c r="F928" s="5">
        <v>207.6</v>
      </c>
      <c r="G928" s="5">
        <v>103.1</v>
      </c>
      <c r="H928" s="5">
        <v>103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104.6</v>
      </c>
      <c r="D929" s="5">
        <v>0.1</v>
      </c>
      <c r="E929" s="5">
        <v>104.8</v>
      </c>
      <c r="F929" s="5">
        <v>207.6</v>
      </c>
      <c r="G929" s="5">
        <v>103.1</v>
      </c>
      <c r="H929" s="5">
        <v>103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104.6</v>
      </c>
      <c r="D930" s="5">
        <v>0.1</v>
      </c>
      <c r="E930" s="5">
        <v>104.8</v>
      </c>
      <c r="F930" s="5">
        <v>207.6</v>
      </c>
      <c r="G930" s="5">
        <v>103.1</v>
      </c>
      <c r="H930" s="5">
        <v>103.7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105.4</v>
      </c>
      <c r="D931" s="5">
        <v>0.1</v>
      </c>
      <c r="E931" s="5">
        <v>105.6</v>
      </c>
      <c r="F931" s="5">
        <v>208.9</v>
      </c>
      <c r="G931" s="5">
        <v>103.8</v>
      </c>
      <c r="H931" s="5">
        <v>103.7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105.4</v>
      </c>
      <c r="D932" s="5">
        <v>0.1</v>
      </c>
      <c r="E932" s="5">
        <v>105.6</v>
      </c>
      <c r="F932" s="5">
        <v>208.9</v>
      </c>
      <c r="G932" s="5">
        <v>103.8</v>
      </c>
      <c r="H932" s="5">
        <v>103.7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105.4</v>
      </c>
      <c r="D933" s="5">
        <v>0.1</v>
      </c>
      <c r="E933" s="5">
        <v>105.6</v>
      </c>
      <c r="F933" s="5">
        <v>208.9</v>
      </c>
      <c r="G933" s="5">
        <v>103.8</v>
      </c>
      <c r="H933" s="5">
        <v>103.7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105.2</v>
      </c>
      <c r="D934" s="5">
        <v>0.1</v>
      </c>
      <c r="E934" s="5">
        <v>105.3</v>
      </c>
      <c r="F934" s="5">
        <v>208.4</v>
      </c>
      <c r="G934" s="5">
        <v>103.5</v>
      </c>
      <c r="H934" s="5">
        <v>103.4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105.2</v>
      </c>
      <c r="D935" s="5">
        <v>0.1</v>
      </c>
      <c r="E935" s="5">
        <v>105.3</v>
      </c>
      <c r="F935" s="5">
        <v>208.4</v>
      </c>
      <c r="G935" s="5">
        <v>103.5</v>
      </c>
      <c r="H935" s="5">
        <v>103.4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105.6</v>
      </c>
      <c r="D936" s="5">
        <v>0.1</v>
      </c>
      <c r="E936" s="5">
        <v>105.8</v>
      </c>
      <c r="F936" s="5">
        <v>210.9</v>
      </c>
      <c r="G936" s="5">
        <v>104.8</v>
      </c>
      <c r="H936" s="5">
        <v>104.6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105.6</v>
      </c>
      <c r="D937" s="5">
        <v>0.1</v>
      </c>
      <c r="E937" s="5">
        <v>105.8</v>
      </c>
      <c r="F937" s="5">
        <v>210.9</v>
      </c>
      <c r="G937" s="5">
        <v>104.8</v>
      </c>
      <c r="H937" s="5">
        <v>104.6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105.9</v>
      </c>
      <c r="D938" s="5">
        <v>0.1</v>
      </c>
      <c r="E938" s="5">
        <v>106</v>
      </c>
      <c r="F938" s="5">
        <v>209</v>
      </c>
      <c r="G938" s="5">
        <v>103.8</v>
      </c>
      <c r="H938" s="5">
        <v>103.7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105.9</v>
      </c>
      <c r="D939" s="5">
        <v>0.1</v>
      </c>
      <c r="E939" s="5">
        <v>106</v>
      </c>
      <c r="F939" s="5">
        <v>209</v>
      </c>
      <c r="G939" s="5">
        <v>103.8</v>
      </c>
      <c r="H939" s="5">
        <v>103.7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105.4</v>
      </c>
      <c r="D940" s="5">
        <v>0.1</v>
      </c>
      <c r="E940" s="5">
        <v>105.6</v>
      </c>
      <c r="F940" s="5">
        <v>209.6</v>
      </c>
      <c r="G940" s="5">
        <v>104.2</v>
      </c>
      <c r="H940" s="5">
        <v>104.1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105.4</v>
      </c>
      <c r="D941" s="5">
        <v>0.1</v>
      </c>
      <c r="E941" s="5">
        <v>105.6</v>
      </c>
      <c r="F941" s="5">
        <v>209.6</v>
      </c>
      <c r="G941" s="5">
        <v>104.2</v>
      </c>
      <c r="H941" s="5">
        <v>104.1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105.4</v>
      </c>
      <c r="D942" s="5">
        <v>0.1</v>
      </c>
      <c r="E942" s="5">
        <v>105.6</v>
      </c>
      <c r="F942" s="5">
        <v>209.6</v>
      </c>
      <c r="G942" s="5">
        <v>104.2</v>
      </c>
      <c r="H942" s="5">
        <v>104.1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105.4</v>
      </c>
      <c r="D943" s="5">
        <v>0.1</v>
      </c>
      <c r="E943" s="5">
        <v>105.6</v>
      </c>
      <c r="F943" s="5">
        <v>209.6</v>
      </c>
      <c r="G943" s="5">
        <v>104.2</v>
      </c>
      <c r="H943" s="5">
        <v>104.1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105.1</v>
      </c>
      <c r="D944" s="5">
        <v>0.1</v>
      </c>
      <c r="E944" s="5">
        <v>105.3</v>
      </c>
      <c r="F944" s="5">
        <v>209.3</v>
      </c>
      <c r="G944" s="5">
        <v>104</v>
      </c>
      <c r="H944" s="5">
        <v>103.9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105.1</v>
      </c>
      <c r="D945" s="5">
        <v>0.1</v>
      </c>
      <c r="E945" s="5">
        <v>105.3</v>
      </c>
      <c r="F945" s="5">
        <v>209.3</v>
      </c>
      <c r="G945" s="5">
        <v>104</v>
      </c>
      <c r="H945" s="5">
        <v>103.9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105.4</v>
      </c>
      <c r="D946" s="5">
        <v>0.1</v>
      </c>
      <c r="E946" s="5">
        <v>105.6</v>
      </c>
      <c r="F946" s="5">
        <v>210.5</v>
      </c>
      <c r="G946" s="5">
        <v>104.6</v>
      </c>
      <c r="H946" s="5">
        <v>104.4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105.4</v>
      </c>
      <c r="D947" s="5">
        <v>0.1</v>
      </c>
      <c r="E947" s="5">
        <v>105.6</v>
      </c>
      <c r="F947" s="5">
        <v>210.5</v>
      </c>
      <c r="G947" s="5">
        <v>104.6</v>
      </c>
      <c r="H947" s="5">
        <v>104.4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105.8</v>
      </c>
      <c r="D948" s="5">
        <v>0.1</v>
      </c>
      <c r="E948" s="5">
        <v>105.9</v>
      </c>
      <c r="F948" s="5">
        <v>211.1</v>
      </c>
      <c r="G948" s="5">
        <v>104.8</v>
      </c>
      <c r="H948" s="5">
        <v>104.7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105.8</v>
      </c>
      <c r="D949" s="5">
        <v>0.1</v>
      </c>
      <c r="E949" s="5">
        <v>105.9</v>
      </c>
      <c r="F949" s="5">
        <v>211.1</v>
      </c>
      <c r="G949" s="5">
        <v>104.8</v>
      </c>
      <c r="H949" s="5">
        <v>104.7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106</v>
      </c>
      <c r="D950" s="5">
        <v>0.1</v>
      </c>
      <c r="E950" s="5">
        <v>106.2</v>
      </c>
      <c r="F950" s="5">
        <v>211.8</v>
      </c>
      <c r="G950" s="5">
        <v>105.2</v>
      </c>
      <c r="H950" s="5">
        <v>105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106</v>
      </c>
      <c r="D951" s="5">
        <v>0.1</v>
      </c>
      <c r="E951" s="5">
        <v>106.2</v>
      </c>
      <c r="F951" s="5">
        <v>211.8</v>
      </c>
      <c r="G951" s="5">
        <v>105.2</v>
      </c>
      <c r="H951" s="5">
        <v>105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106</v>
      </c>
      <c r="D952" s="5">
        <v>0.1</v>
      </c>
      <c r="E952" s="5">
        <v>106.2</v>
      </c>
      <c r="F952" s="5">
        <v>211.8</v>
      </c>
      <c r="G952" s="5">
        <v>105.2</v>
      </c>
      <c r="H952" s="5">
        <v>105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106</v>
      </c>
      <c r="D953" s="5">
        <v>0.1</v>
      </c>
      <c r="E953" s="5">
        <v>106.2</v>
      </c>
      <c r="F953" s="5">
        <v>211.8</v>
      </c>
      <c r="G953" s="5">
        <v>105.2</v>
      </c>
      <c r="H953" s="5">
        <v>105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106</v>
      </c>
      <c r="D954" s="5">
        <v>0.1</v>
      </c>
      <c r="E954" s="5">
        <v>106.2</v>
      </c>
      <c r="F954" s="5">
        <v>210.7</v>
      </c>
      <c r="G954" s="5">
        <v>104.6</v>
      </c>
      <c r="H954" s="5">
        <v>104.5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106</v>
      </c>
      <c r="D955" s="5">
        <v>0.1</v>
      </c>
      <c r="E955" s="5">
        <v>106.2</v>
      </c>
      <c r="F955" s="5">
        <v>210.7</v>
      </c>
      <c r="G955" s="5">
        <v>104.6</v>
      </c>
      <c r="H955" s="5">
        <v>104.5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105.1</v>
      </c>
      <c r="D956" s="5">
        <v>0.1</v>
      </c>
      <c r="E956" s="5">
        <v>105.3</v>
      </c>
      <c r="F956" s="5">
        <v>210</v>
      </c>
      <c r="G956" s="5">
        <v>104.3</v>
      </c>
      <c r="H956" s="5">
        <v>104.1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105.1</v>
      </c>
      <c r="D957" s="5">
        <v>0.1</v>
      </c>
      <c r="E957" s="5">
        <v>105.3</v>
      </c>
      <c r="F957" s="5">
        <v>210</v>
      </c>
      <c r="G957" s="5">
        <v>104.3</v>
      </c>
      <c r="H957" s="5">
        <v>104.1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105.2</v>
      </c>
      <c r="D958" s="5">
        <v>0.1</v>
      </c>
      <c r="E958" s="5">
        <v>105.3</v>
      </c>
      <c r="F958" s="5">
        <v>209.4</v>
      </c>
      <c r="G958" s="5">
        <v>104</v>
      </c>
      <c r="H958" s="5">
        <v>103.8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105.2</v>
      </c>
      <c r="D959" s="5">
        <v>0.1</v>
      </c>
      <c r="E959" s="5">
        <v>105.3</v>
      </c>
      <c r="F959" s="5">
        <v>209.4</v>
      </c>
      <c r="G959" s="5">
        <v>104</v>
      </c>
      <c r="H959" s="5">
        <v>103.8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105.5</v>
      </c>
      <c r="D960" s="5">
        <v>0.1</v>
      </c>
      <c r="E960" s="5">
        <v>105.6</v>
      </c>
      <c r="F960" s="5">
        <v>209.4</v>
      </c>
      <c r="G960" s="5">
        <v>104</v>
      </c>
      <c r="H960" s="5">
        <v>103.9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105.5</v>
      </c>
      <c r="D961" s="5">
        <v>0.1</v>
      </c>
      <c r="E961" s="5">
        <v>105.6</v>
      </c>
      <c r="F961" s="5">
        <v>209.4</v>
      </c>
      <c r="G961" s="5">
        <v>104</v>
      </c>
      <c r="H961" s="5">
        <v>103.9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105.5</v>
      </c>
      <c r="D962" s="5">
        <v>0.1</v>
      </c>
      <c r="E962" s="5">
        <v>105.6</v>
      </c>
      <c r="F962" s="5">
        <v>209.4</v>
      </c>
      <c r="G962" s="5">
        <v>104</v>
      </c>
      <c r="H962" s="5">
        <v>103.9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105.5</v>
      </c>
      <c r="D963" s="5">
        <v>0.1</v>
      </c>
      <c r="E963" s="5">
        <v>105.6</v>
      </c>
      <c r="F963" s="5">
        <v>209.4</v>
      </c>
      <c r="G963" s="5">
        <v>104</v>
      </c>
      <c r="H963" s="5">
        <v>103.9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104.6</v>
      </c>
      <c r="D964" s="5">
        <v>0.1</v>
      </c>
      <c r="E964" s="5">
        <v>104.6</v>
      </c>
      <c r="F964" s="5">
        <v>207.8</v>
      </c>
      <c r="G964" s="5">
        <v>103.2</v>
      </c>
      <c r="H964" s="5">
        <v>103.1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104.6</v>
      </c>
      <c r="D965" s="5">
        <v>0.1</v>
      </c>
      <c r="E965" s="5">
        <v>104.6</v>
      </c>
      <c r="F965" s="5">
        <v>207.8</v>
      </c>
      <c r="G965" s="5">
        <v>103.2</v>
      </c>
      <c r="H965" s="5">
        <v>103.1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105.3</v>
      </c>
      <c r="D966" s="5">
        <v>0.1</v>
      </c>
      <c r="E966" s="5">
        <v>105.4</v>
      </c>
      <c r="F966" s="5">
        <v>208.9</v>
      </c>
      <c r="G966" s="5">
        <v>103.8</v>
      </c>
      <c r="H966" s="5">
        <v>103.6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105.3</v>
      </c>
      <c r="D967" s="5">
        <v>0.1</v>
      </c>
      <c r="E967" s="5">
        <v>105.4</v>
      </c>
      <c r="F967" s="5">
        <v>208.9</v>
      </c>
      <c r="G967" s="5">
        <v>103.8</v>
      </c>
      <c r="H967" s="5">
        <v>103.6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104.9</v>
      </c>
      <c r="D968" s="5">
        <v>0.1</v>
      </c>
      <c r="E968" s="5">
        <v>105</v>
      </c>
      <c r="F968" s="5">
        <v>208.3</v>
      </c>
      <c r="G968" s="5">
        <v>103.5</v>
      </c>
      <c r="H968" s="5">
        <v>103.3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104.9</v>
      </c>
      <c r="D969" s="5">
        <v>0.1</v>
      </c>
      <c r="E969" s="5">
        <v>105</v>
      </c>
      <c r="F969" s="5">
        <v>208.3</v>
      </c>
      <c r="G969" s="5">
        <v>103.5</v>
      </c>
      <c r="H969" s="5">
        <v>103.3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104.3</v>
      </c>
      <c r="D970" s="5">
        <v>0.1</v>
      </c>
      <c r="E970" s="5">
        <v>104.5</v>
      </c>
      <c r="F970" s="5">
        <v>207.2</v>
      </c>
      <c r="G970" s="5">
        <v>102.9</v>
      </c>
      <c r="H970" s="5">
        <v>102.8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104.3</v>
      </c>
      <c r="D971" s="5">
        <v>0.1</v>
      </c>
      <c r="E971" s="5">
        <v>104.5</v>
      </c>
      <c r="F971" s="5">
        <v>207.2</v>
      </c>
      <c r="G971" s="5">
        <v>102.9</v>
      </c>
      <c r="H971" s="5">
        <v>102.8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104.3</v>
      </c>
      <c r="D972" s="5">
        <v>0.1</v>
      </c>
      <c r="E972" s="5">
        <v>104.5</v>
      </c>
      <c r="F972" s="5">
        <v>207.2</v>
      </c>
      <c r="G972" s="5">
        <v>102.9</v>
      </c>
      <c r="H972" s="5">
        <v>102.8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104.3</v>
      </c>
      <c r="D973" s="5">
        <v>0.1</v>
      </c>
      <c r="E973" s="5">
        <v>104.5</v>
      </c>
      <c r="F973" s="5">
        <v>207.2</v>
      </c>
      <c r="G973" s="5">
        <v>102.9</v>
      </c>
      <c r="H973" s="5">
        <v>102.8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104</v>
      </c>
      <c r="D974" s="5">
        <v>0.1</v>
      </c>
      <c r="E974" s="5">
        <v>104.1</v>
      </c>
      <c r="F974" s="5">
        <v>206.8</v>
      </c>
      <c r="G974" s="5">
        <v>102.6</v>
      </c>
      <c r="H974" s="5">
        <v>102.5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104</v>
      </c>
      <c r="D975" s="5">
        <v>0.1</v>
      </c>
      <c r="E975" s="5">
        <v>104.1</v>
      </c>
      <c r="F975" s="5">
        <v>206.8</v>
      </c>
      <c r="G975" s="5">
        <v>102.6</v>
      </c>
      <c r="H975" s="5">
        <v>102.5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105</v>
      </c>
      <c r="D976" s="5">
        <v>0.1</v>
      </c>
      <c r="E976" s="5">
        <v>105.1</v>
      </c>
      <c r="F976" s="5">
        <v>208.5</v>
      </c>
      <c r="G976" s="5">
        <v>103.6</v>
      </c>
      <c r="H976" s="5">
        <v>103.4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105</v>
      </c>
      <c r="D977" s="5">
        <v>0.1</v>
      </c>
      <c r="E977" s="5">
        <v>105.1</v>
      </c>
      <c r="F977" s="5">
        <v>208.5</v>
      </c>
      <c r="G977" s="5">
        <v>103.6</v>
      </c>
      <c r="H977" s="5">
        <v>103.4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104.4</v>
      </c>
      <c r="D978" s="5">
        <v>0.1</v>
      </c>
      <c r="E978" s="5">
        <v>104.6</v>
      </c>
      <c r="F978" s="5">
        <v>208.5</v>
      </c>
      <c r="G978" s="5">
        <v>103.5</v>
      </c>
      <c r="H978" s="5">
        <v>103.4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104.4</v>
      </c>
      <c r="D979" s="5">
        <v>0.1</v>
      </c>
      <c r="E979" s="5">
        <v>104.6</v>
      </c>
      <c r="F979" s="5">
        <v>208.5</v>
      </c>
      <c r="G979" s="5">
        <v>103.5</v>
      </c>
      <c r="H979" s="5">
        <v>103.4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105</v>
      </c>
      <c r="D980" s="5">
        <v>0.1</v>
      </c>
      <c r="E980" s="5">
        <v>105.1</v>
      </c>
      <c r="F980" s="5">
        <v>207.4</v>
      </c>
      <c r="G980" s="5">
        <v>103</v>
      </c>
      <c r="H980" s="5">
        <v>102.7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105</v>
      </c>
      <c r="D981" s="5">
        <v>0.1</v>
      </c>
      <c r="E981" s="5">
        <v>105.1</v>
      </c>
      <c r="F981" s="5">
        <v>207.4</v>
      </c>
      <c r="G981" s="5">
        <v>103</v>
      </c>
      <c r="H981" s="5">
        <v>102.7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105</v>
      </c>
      <c r="D982" s="5">
        <v>0.1</v>
      </c>
      <c r="E982" s="5">
        <v>105.1</v>
      </c>
      <c r="F982" s="5">
        <v>207.4</v>
      </c>
      <c r="G982" s="5">
        <v>103</v>
      </c>
      <c r="H982" s="5">
        <v>102.7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105</v>
      </c>
      <c r="D983" s="5">
        <v>0.1</v>
      </c>
      <c r="E983" s="5">
        <v>105.1</v>
      </c>
      <c r="F983" s="5">
        <v>207.4</v>
      </c>
      <c r="G983" s="5">
        <v>103</v>
      </c>
      <c r="H983" s="5">
        <v>102.7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104</v>
      </c>
      <c r="D984" s="5">
        <v>0.1</v>
      </c>
      <c r="E984" s="5">
        <v>104.2</v>
      </c>
      <c r="F984" s="5">
        <v>207.6</v>
      </c>
      <c r="G984" s="5">
        <v>103.1</v>
      </c>
      <c r="H984" s="5">
        <v>103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104</v>
      </c>
      <c r="D985" s="5">
        <v>0.1</v>
      </c>
      <c r="E985" s="5">
        <v>104.2</v>
      </c>
      <c r="F985" s="5">
        <v>207.6</v>
      </c>
      <c r="G985" s="5">
        <v>103.1</v>
      </c>
      <c r="H985" s="5">
        <v>103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105.1</v>
      </c>
      <c r="D986" s="5">
        <v>0.1</v>
      </c>
      <c r="E986" s="5">
        <v>105.3</v>
      </c>
      <c r="F986" s="5">
        <v>209</v>
      </c>
      <c r="G986" s="5">
        <v>103.8</v>
      </c>
      <c r="H986" s="5">
        <v>103.7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105.1</v>
      </c>
      <c r="D987" s="5">
        <v>0.1</v>
      </c>
      <c r="E987" s="5">
        <v>105.3</v>
      </c>
      <c r="F987" s="5">
        <v>209</v>
      </c>
      <c r="G987" s="5">
        <v>103.8</v>
      </c>
      <c r="H987" s="5">
        <v>103.7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104.7</v>
      </c>
      <c r="D988" s="5">
        <v>0.1</v>
      </c>
      <c r="E988" s="5">
        <v>104.9</v>
      </c>
      <c r="F988" s="5">
        <v>208.1</v>
      </c>
      <c r="G988" s="5">
        <v>103.4</v>
      </c>
      <c r="H988" s="5">
        <v>103.2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104.7</v>
      </c>
      <c r="D989" s="5">
        <v>0.1</v>
      </c>
      <c r="E989" s="5">
        <v>104.9</v>
      </c>
      <c r="F989" s="5">
        <v>208.1</v>
      </c>
      <c r="G989" s="5">
        <v>103.4</v>
      </c>
      <c r="H989" s="5">
        <v>103.2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104.3</v>
      </c>
      <c r="D990" s="5">
        <v>0.1</v>
      </c>
      <c r="E990" s="5">
        <v>104.4</v>
      </c>
      <c r="F990" s="5">
        <v>207.2</v>
      </c>
      <c r="G990" s="5">
        <v>103</v>
      </c>
      <c r="H990" s="5">
        <v>102.8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104.3</v>
      </c>
      <c r="D991" s="5">
        <v>0.1</v>
      </c>
      <c r="E991" s="5">
        <v>104.4</v>
      </c>
      <c r="F991" s="5">
        <v>207.2</v>
      </c>
      <c r="G991" s="5">
        <v>103</v>
      </c>
      <c r="H991" s="5">
        <v>102.8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104.3</v>
      </c>
      <c r="D992" s="5">
        <v>0.1</v>
      </c>
      <c r="E992" s="5">
        <v>104.4</v>
      </c>
      <c r="F992" s="5">
        <v>207.2</v>
      </c>
      <c r="G992" s="5">
        <v>103</v>
      </c>
      <c r="H992" s="5">
        <v>102.8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104.3</v>
      </c>
      <c r="D993" s="5">
        <v>0.1</v>
      </c>
      <c r="E993" s="5">
        <v>104.4</v>
      </c>
      <c r="F993" s="5">
        <v>207.2</v>
      </c>
      <c r="G993" s="5">
        <v>103</v>
      </c>
      <c r="H993" s="5">
        <v>102.8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104.8</v>
      </c>
      <c r="D994" s="5">
        <v>0.1</v>
      </c>
      <c r="E994" s="5">
        <v>105</v>
      </c>
      <c r="F994" s="5">
        <v>209.6</v>
      </c>
      <c r="G994" s="5">
        <v>104.1</v>
      </c>
      <c r="H994" s="5">
        <v>104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104.8</v>
      </c>
      <c r="D995" s="5">
        <v>0.1</v>
      </c>
      <c r="E995" s="5">
        <v>105</v>
      </c>
      <c r="F995" s="5">
        <v>209.6</v>
      </c>
      <c r="G995" s="5">
        <v>104.1</v>
      </c>
      <c r="H995" s="5">
        <v>104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105.1</v>
      </c>
      <c r="D996" s="5">
        <v>0.1</v>
      </c>
      <c r="E996" s="5">
        <v>105.3</v>
      </c>
      <c r="F996" s="5">
        <v>208.8</v>
      </c>
      <c r="G996" s="5">
        <v>103.7</v>
      </c>
      <c r="H996" s="5">
        <v>103.6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105.1</v>
      </c>
      <c r="D997" s="5">
        <v>0.1</v>
      </c>
      <c r="E997" s="5">
        <v>105.3</v>
      </c>
      <c r="F997" s="5">
        <v>208.8</v>
      </c>
      <c r="G997" s="5">
        <v>103.7</v>
      </c>
      <c r="H997" s="5">
        <v>103.6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105.6</v>
      </c>
      <c r="D998" s="5">
        <v>0.1</v>
      </c>
      <c r="E998" s="5">
        <v>105.7</v>
      </c>
      <c r="F998" s="5">
        <v>210.2</v>
      </c>
      <c r="G998" s="5">
        <v>104.4</v>
      </c>
      <c r="H998" s="5">
        <v>104.2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105.6</v>
      </c>
      <c r="D999" s="5">
        <v>0.1</v>
      </c>
      <c r="E999" s="5">
        <v>105.7</v>
      </c>
      <c r="F999" s="5">
        <v>210.2</v>
      </c>
      <c r="G999" s="5">
        <v>104.4</v>
      </c>
      <c r="H999" s="5">
        <v>104.2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105.5</v>
      </c>
      <c r="D1000" s="5">
        <v>0.1</v>
      </c>
      <c r="E1000" s="5">
        <v>105.6</v>
      </c>
      <c r="F1000" s="5">
        <v>210.1</v>
      </c>
      <c r="G1000" s="5">
        <v>104.4</v>
      </c>
      <c r="H1000" s="5">
        <v>104.2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105.5</v>
      </c>
      <c r="D1001" s="5">
        <v>0.1</v>
      </c>
      <c r="E1001" s="5">
        <v>105.6</v>
      </c>
      <c r="F1001" s="5">
        <v>210.1</v>
      </c>
      <c r="G1001" s="5">
        <v>104.4</v>
      </c>
      <c r="H1001" s="5">
        <v>104.2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105.5</v>
      </c>
      <c r="D1002" s="5">
        <v>0.1</v>
      </c>
      <c r="E1002" s="5">
        <v>105.6</v>
      </c>
      <c r="F1002" s="5">
        <v>210.1</v>
      </c>
      <c r="G1002" s="5">
        <v>104.4</v>
      </c>
      <c r="H1002" s="5">
        <v>104.2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105.6</v>
      </c>
      <c r="D1003" s="5">
        <v>0.1</v>
      </c>
      <c r="E1003" s="5">
        <v>105.8</v>
      </c>
      <c r="F1003" s="5">
        <v>207.6</v>
      </c>
      <c r="G1003" s="5">
        <v>103.1</v>
      </c>
      <c r="H1003" s="5">
        <v>104.2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105.6</v>
      </c>
      <c r="D1004" s="5">
        <v>0.1</v>
      </c>
      <c r="E1004" s="5">
        <v>105.8</v>
      </c>
      <c r="F1004" s="5">
        <v>207.6</v>
      </c>
      <c r="G1004" s="5">
        <v>103.1</v>
      </c>
      <c r="H1004" s="5">
        <v>103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105.7</v>
      </c>
      <c r="D1005" s="5">
        <v>0.1</v>
      </c>
      <c r="E1005" s="5">
        <v>105.9</v>
      </c>
      <c r="F1005" s="5">
        <v>209.3</v>
      </c>
      <c r="G1005" s="5">
        <v>103.1</v>
      </c>
      <c r="H1005" s="5">
        <v>103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105.7</v>
      </c>
      <c r="D1006" s="5">
        <v>0.1</v>
      </c>
      <c r="E1006" s="5">
        <v>105.9</v>
      </c>
      <c r="F1006" s="5">
        <v>209.3</v>
      </c>
      <c r="G1006" s="5">
        <v>103.9</v>
      </c>
      <c r="H1006" s="5">
        <v>103.8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105.7</v>
      </c>
      <c r="D1007" s="5">
        <v>0.1</v>
      </c>
      <c r="E1007" s="5">
        <v>105.9</v>
      </c>
      <c r="F1007" s="5">
        <v>209.3</v>
      </c>
      <c r="G1007" s="5">
        <v>103.9</v>
      </c>
      <c r="H1007" s="5">
        <v>103.8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105.7</v>
      </c>
      <c r="D1008" s="5">
        <v>0.1</v>
      </c>
      <c r="E1008" s="5">
        <v>105.9</v>
      </c>
      <c r="F1008" s="5">
        <v>208.8</v>
      </c>
      <c r="G1008" s="5">
        <v>103.7</v>
      </c>
      <c r="H1008" s="5">
        <v>103.6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105.7</v>
      </c>
      <c r="D1009" s="5">
        <v>0.1</v>
      </c>
      <c r="E1009" s="5">
        <v>105.9</v>
      </c>
      <c r="F1009" s="5">
        <v>208.8</v>
      </c>
      <c r="G1009" s="5">
        <v>103.7</v>
      </c>
      <c r="H1009" s="5">
        <v>103.6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106</v>
      </c>
      <c r="D1010" s="5">
        <v>0.1</v>
      </c>
      <c r="E1010" s="5">
        <v>106.2</v>
      </c>
      <c r="F1010" s="5">
        <v>210.6</v>
      </c>
      <c r="G1010" s="5">
        <v>104.6</v>
      </c>
      <c r="H1010" s="5">
        <v>104.5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107.2</v>
      </c>
      <c r="D1011" s="5">
        <v>0.1</v>
      </c>
      <c r="E1011" s="5">
        <v>107.4</v>
      </c>
      <c r="F1011" s="5">
        <v>214</v>
      </c>
      <c r="G1011" s="5">
        <v>106.3</v>
      </c>
      <c r="H1011" s="5">
        <v>106.2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106.9</v>
      </c>
      <c r="D1012" s="5">
        <v>0.1</v>
      </c>
      <c r="E1012" s="5">
        <v>106.6</v>
      </c>
      <c r="F1012" s="5">
        <v>211.6</v>
      </c>
      <c r="G1012" s="5">
        <v>105.1</v>
      </c>
      <c r="H1012" s="5">
        <v>104.6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106.8</v>
      </c>
      <c r="D1013" s="5">
        <v>0.1</v>
      </c>
      <c r="E1013" s="5">
        <v>106.9</v>
      </c>
      <c r="F1013" s="5">
        <v>212.6</v>
      </c>
      <c r="G1013" s="5">
        <v>105.5</v>
      </c>
      <c r="H1013" s="5">
        <v>105.4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106.2</v>
      </c>
      <c r="D1014" s="5">
        <v>0.1</v>
      </c>
      <c r="E1014" s="5">
        <v>106.3</v>
      </c>
      <c r="F1014" s="5">
        <v>211.3</v>
      </c>
      <c r="G1014" s="5">
        <v>104.9</v>
      </c>
      <c r="H1014" s="5">
        <v>104.7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106.2</v>
      </c>
      <c r="D1015" s="5">
        <v>0.1</v>
      </c>
      <c r="E1015" s="5">
        <v>106.3</v>
      </c>
      <c r="F1015" s="5">
        <v>211.3</v>
      </c>
      <c r="G1015" s="5">
        <v>104.9</v>
      </c>
      <c r="H1015" s="5">
        <v>104.7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100</v>
      </c>
      <c r="D1016" s="5">
        <v>0.1</v>
      </c>
      <c r="E1016" s="5">
        <v>100.2</v>
      </c>
      <c r="F1016" s="5">
        <v>199.6</v>
      </c>
      <c r="G1016" s="5">
        <v>99.1</v>
      </c>
      <c r="H1016" s="5">
        <v>99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100</v>
      </c>
      <c r="D1017" s="5">
        <v>0.1</v>
      </c>
      <c r="E1017" s="5">
        <v>100.2</v>
      </c>
      <c r="F1017" s="5">
        <v>199.6</v>
      </c>
      <c r="G1017" s="5">
        <v>99.1</v>
      </c>
      <c r="H1017" s="5">
        <v>99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103</v>
      </c>
      <c r="D1018" s="5">
        <v>0.1</v>
      </c>
      <c r="E1018" s="5">
        <v>103.1</v>
      </c>
      <c r="F1018" s="5">
        <v>201</v>
      </c>
      <c r="G1018" s="5">
        <v>99.9</v>
      </c>
      <c r="H1018" s="5">
        <v>99.8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103</v>
      </c>
      <c r="D1019" s="5">
        <v>0.1</v>
      </c>
      <c r="E1019" s="5">
        <v>103.1</v>
      </c>
      <c r="F1019" s="5">
        <v>201</v>
      </c>
      <c r="G1019" s="5">
        <v>99.9</v>
      </c>
      <c r="H1019" s="5">
        <v>99.8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99.6</v>
      </c>
      <c r="D1020" s="5">
        <v>0.1</v>
      </c>
      <c r="E1020" s="5">
        <v>99.8</v>
      </c>
      <c r="F1020" s="5">
        <v>198.3</v>
      </c>
      <c r="G1020" s="5">
        <v>98.5</v>
      </c>
      <c r="H1020" s="5">
        <v>98.3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99.6</v>
      </c>
      <c r="D1021" s="5">
        <v>0.1</v>
      </c>
      <c r="E1021" s="5">
        <v>99.8</v>
      </c>
      <c r="F1021" s="5">
        <v>198.3</v>
      </c>
      <c r="G1021" s="5">
        <v>98.5</v>
      </c>
      <c r="H1021" s="5">
        <v>98.3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99.6</v>
      </c>
      <c r="D1022" s="5">
        <v>0.1</v>
      </c>
      <c r="E1022" s="5">
        <v>99.8</v>
      </c>
      <c r="F1022" s="5">
        <v>198.3</v>
      </c>
      <c r="G1022" s="5">
        <v>98.5</v>
      </c>
      <c r="H1022" s="5">
        <v>98.3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99.6</v>
      </c>
      <c r="D1023" s="5">
        <v>0.1</v>
      </c>
      <c r="E1023" s="5">
        <v>99.8</v>
      </c>
      <c r="F1023" s="5">
        <v>198.3</v>
      </c>
      <c r="G1023" s="5">
        <v>98.5</v>
      </c>
      <c r="H1023" s="5">
        <v>98.3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99.9</v>
      </c>
      <c r="D1024" s="5">
        <v>0.1</v>
      </c>
      <c r="E1024" s="5">
        <v>100</v>
      </c>
      <c r="F1024" s="5">
        <v>201.1</v>
      </c>
      <c r="G1024" s="5">
        <v>99.8</v>
      </c>
      <c r="H1024" s="5">
        <v>99.6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99.9</v>
      </c>
      <c r="D1025" s="5">
        <v>0.1</v>
      </c>
      <c r="E1025" s="5">
        <v>100</v>
      </c>
      <c r="F1025" s="5">
        <v>201.1</v>
      </c>
      <c r="G1025" s="5">
        <v>99.8</v>
      </c>
      <c r="H1025" s="5">
        <v>99.6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104</v>
      </c>
      <c r="D1026" s="5">
        <v>0.1</v>
      </c>
      <c r="E1026" s="5">
        <v>104.2</v>
      </c>
      <c r="F1026" s="5">
        <v>203</v>
      </c>
      <c r="G1026" s="5">
        <v>100.7</v>
      </c>
      <c r="H1026" s="5">
        <v>100.4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104</v>
      </c>
      <c r="D1027" s="5">
        <v>0.1</v>
      </c>
      <c r="E1027" s="5">
        <v>104.2</v>
      </c>
      <c r="F1027" s="5">
        <v>203</v>
      </c>
      <c r="G1027" s="5">
        <v>100.7</v>
      </c>
      <c r="H1027" s="5">
        <v>100.4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102</v>
      </c>
      <c r="D1028" s="5">
        <v>0.1</v>
      </c>
      <c r="E1028" s="5">
        <v>102.1</v>
      </c>
      <c r="F1028" s="5">
        <v>209.9</v>
      </c>
      <c r="G1028" s="5">
        <v>104.2</v>
      </c>
      <c r="H1028" s="5">
        <v>104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102</v>
      </c>
      <c r="D1029" s="5">
        <v>0.1</v>
      </c>
      <c r="E1029" s="5">
        <v>102.1</v>
      </c>
      <c r="F1029" s="5">
        <v>209.9</v>
      </c>
      <c r="G1029" s="5">
        <v>104.2</v>
      </c>
      <c r="H1029" s="5">
        <v>104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99.5</v>
      </c>
      <c r="D1030" s="5">
        <v>0.1</v>
      </c>
      <c r="E1030" s="5">
        <v>99.6</v>
      </c>
      <c r="F1030" s="5">
        <v>201.8</v>
      </c>
      <c r="G1030" s="5">
        <v>104</v>
      </c>
      <c r="H1030" s="5">
        <v>103.7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99.5</v>
      </c>
      <c r="D1031" s="5">
        <v>0.1</v>
      </c>
      <c r="E1031" s="5">
        <v>99.6</v>
      </c>
      <c r="F1031" s="5">
        <v>201.8</v>
      </c>
      <c r="G1031" s="5">
        <v>104</v>
      </c>
      <c r="H1031" s="5">
        <v>103.7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99.5</v>
      </c>
      <c r="D1032" s="5">
        <v>0.1</v>
      </c>
      <c r="E1032" s="5">
        <v>99.6</v>
      </c>
      <c r="F1032" s="5">
        <v>201.8</v>
      </c>
      <c r="G1032" s="5">
        <v>104</v>
      </c>
      <c r="H1032" s="5">
        <v>103.7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99.5</v>
      </c>
      <c r="D1033" s="5">
        <v>0.1</v>
      </c>
      <c r="E1033" s="5">
        <v>99.6</v>
      </c>
      <c r="F1033" s="5">
        <v>201.8</v>
      </c>
      <c r="G1033" s="5">
        <v>104</v>
      </c>
      <c r="H1033" s="5">
        <v>103.7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99.1</v>
      </c>
      <c r="D1034" s="5">
        <v>0.1</v>
      </c>
      <c r="E1034" s="5">
        <v>99.2</v>
      </c>
      <c r="F1034" s="5">
        <v>197.9</v>
      </c>
      <c r="G1034" s="5">
        <v>98.3</v>
      </c>
      <c r="H1034" s="5">
        <v>98.1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100.6</v>
      </c>
      <c r="D1035" s="5">
        <v>0.1</v>
      </c>
      <c r="E1035" s="5">
        <v>100.8</v>
      </c>
      <c r="F1035" s="5">
        <v>200.7</v>
      </c>
      <c r="G1035" s="5">
        <v>99.6</v>
      </c>
      <c r="H1035" s="5">
        <v>99.5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100.6</v>
      </c>
      <c r="D1036" s="5">
        <v>0.1</v>
      </c>
      <c r="E1036" s="5">
        <v>100.8</v>
      </c>
      <c r="F1036" s="5">
        <v>200.7</v>
      </c>
      <c r="G1036" s="5">
        <v>99.6</v>
      </c>
      <c r="H1036" s="5">
        <v>99.5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104.7</v>
      </c>
      <c r="D1037" s="5">
        <v>0.1</v>
      </c>
      <c r="E1037" s="5">
        <v>104.9</v>
      </c>
      <c r="F1037" s="5">
        <v>209.1</v>
      </c>
      <c r="G1037" s="5">
        <v>103.8</v>
      </c>
      <c r="H1037" s="5">
        <v>103.7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104.7</v>
      </c>
      <c r="D1038" s="5">
        <v>0.1</v>
      </c>
      <c r="E1038" s="5">
        <v>104.9</v>
      </c>
      <c r="F1038" s="5">
        <v>209.1</v>
      </c>
      <c r="G1038" s="5">
        <v>103.8</v>
      </c>
      <c r="H1038" s="5">
        <v>103.7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104.9</v>
      </c>
      <c r="D1039" s="5">
        <v>0.1</v>
      </c>
      <c r="E1039" s="5">
        <v>105</v>
      </c>
      <c r="F1039" s="5">
        <v>209.6</v>
      </c>
      <c r="G1039" s="5">
        <v>104.1</v>
      </c>
      <c r="H1039" s="5">
        <v>103.9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104.9</v>
      </c>
      <c r="D1040" s="5">
        <v>0.1</v>
      </c>
      <c r="E1040" s="5">
        <v>105</v>
      </c>
      <c r="F1040" s="5">
        <v>209.6</v>
      </c>
      <c r="G1040" s="5">
        <v>104.1</v>
      </c>
      <c r="H1040" s="5">
        <v>103.9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105.3</v>
      </c>
      <c r="D1041" s="5">
        <v>0.1</v>
      </c>
      <c r="E1041" s="5">
        <v>105.5</v>
      </c>
      <c r="F1041" s="5">
        <v>210</v>
      </c>
      <c r="G1041" s="5">
        <v>104.3</v>
      </c>
      <c r="H1041" s="5">
        <v>104.1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97.6</v>
      </c>
      <c r="D1042" s="5">
        <v>0.1</v>
      </c>
      <c r="E1042" s="5">
        <v>97.7</v>
      </c>
      <c r="F1042" s="5">
        <v>193</v>
      </c>
      <c r="G1042" s="5">
        <v>96</v>
      </c>
      <c r="H1042" s="5">
        <v>95.9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97.6</v>
      </c>
      <c r="D1043" s="5">
        <v>0.1</v>
      </c>
      <c r="E1043" s="5">
        <v>97.7</v>
      </c>
      <c r="F1043" s="5">
        <v>193</v>
      </c>
      <c r="G1043" s="5">
        <v>96</v>
      </c>
      <c r="H1043" s="5">
        <v>95.9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99.3</v>
      </c>
      <c r="D1044" s="5">
        <v>0.1</v>
      </c>
      <c r="E1044" s="5">
        <v>99.5</v>
      </c>
      <c r="F1044" s="5">
        <v>197.5</v>
      </c>
      <c r="G1044" s="5">
        <v>98.1</v>
      </c>
      <c r="H1044" s="5">
        <v>98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99.3</v>
      </c>
      <c r="D1045" s="5">
        <v>0.1</v>
      </c>
      <c r="E1045" s="5">
        <v>99.5</v>
      </c>
      <c r="F1045" s="5">
        <v>197.5</v>
      </c>
      <c r="G1045" s="5">
        <v>98.1</v>
      </c>
      <c r="H1045" s="5">
        <v>98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99.3</v>
      </c>
      <c r="D1046" s="5">
        <v>0.1</v>
      </c>
      <c r="E1046" s="5">
        <v>99.5</v>
      </c>
      <c r="F1046" s="5">
        <v>197.5</v>
      </c>
      <c r="G1046" s="5">
        <v>98.1</v>
      </c>
      <c r="H1046" s="5">
        <v>98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99.3</v>
      </c>
      <c r="D1047" s="5">
        <v>0.1</v>
      </c>
      <c r="E1047" s="5">
        <v>99.5</v>
      </c>
      <c r="F1047" s="5">
        <v>197.5</v>
      </c>
      <c r="G1047" s="5">
        <v>98.1</v>
      </c>
      <c r="H1047" s="5">
        <v>98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97</v>
      </c>
      <c r="D1048" s="5">
        <v>0.1</v>
      </c>
      <c r="E1048" s="5">
        <v>97.1</v>
      </c>
      <c r="F1048" s="5">
        <v>187.4</v>
      </c>
      <c r="G1048" s="5">
        <v>93.8</v>
      </c>
      <c r="H1048" s="5">
        <v>94.3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97</v>
      </c>
      <c r="D1049" s="5">
        <v>0.1</v>
      </c>
      <c r="E1049" s="5">
        <v>97.1</v>
      </c>
      <c r="F1049" s="5">
        <v>187.4</v>
      </c>
      <c r="G1049" s="5">
        <v>93.8</v>
      </c>
      <c r="H1049" s="5">
        <v>94.3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100</v>
      </c>
      <c r="D1050" s="5">
        <v>0.1</v>
      </c>
      <c r="E1050" s="5">
        <v>100.1</v>
      </c>
      <c r="F1050" s="5">
        <v>198.7</v>
      </c>
      <c r="G1050" s="5">
        <v>98.9</v>
      </c>
      <c r="H1050" s="5">
        <v>98.9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98.9</v>
      </c>
      <c r="D1051" s="5">
        <v>0.1</v>
      </c>
      <c r="E1051" s="5">
        <v>99.1</v>
      </c>
      <c r="F1051" s="5">
        <v>196.5</v>
      </c>
      <c r="G1051" s="5">
        <v>97.7</v>
      </c>
      <c r="H1051" s="5">
        <v>97.6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98.9</v>
      </c>
      <c r="D1052" s="5">
        <v>0.1</v>
      </c>
      <c r="E1052" s="5">
        <v>99.1</v>
      </c>
      <c r="F1052" s="5">
        <v>196.5</v>
      </c>
      <c r="G1052" s="5">
        <v>97.7</v>
      </c>
      <c r="H1052" s="5">
        <v>97.6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93.8</v>
      </c>
      <c r="D1053" s="5">
        <v>0.1</v>
      </c>
      <c r="E1053" s="5">
        <v>93.9</v>
      </c>
      <c r="F1053" s="5">
        <v>187.5</v>
      </c>
      <c r="G1053" s="5">
        <v>93.1</v>
      </c>
      <c r="H1053" s="5">
        <v>92.9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93.8</v>
      </c>
      <c r="D1054" s="5">
        <v>0.1</v>
      </c>
      <c r="E1054" s="5">
        <v>93.9</v>
      </c>
      <c r="F1054" s="5">
        <v>187.5</v>
      </c>
      <c r="G1054" s="5">
        <v>93.1</v>
      </c>
      <c r="H1054" s="5">
        <v>92.9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93.8</v>
      </c>
      <c r="D1055" s="5">
        <v>0.1</v>
      </c>
      <c r="E1055" s="5">
        <v>93.9</v>
      </c>
      <c r="F1055" s="5">
        <v>187.5</v>
      </c>
      <c r="G1055" s="5">
        <v>93.1</v>
      </c>
      <c r="H1055" s="5">
        <v>92.9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93.8</v>
      </c>
      <c r="D1056" s="5">
        <v>0.1</v>
      </c>
      <c r="E1056" s="5">
        <v>93.9</v>
      </c>
      <c r="F1056" s="5">
        <v>187.5</v>
      </c>
      <c r="G1056" s="5">
        <v>93.1</v>
      </c>
      <c r="H1056" s="5">
        <v>92.9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95.5</v>
      </c>
      <c r="D1057" s="5">
        <v>0.1</v>
      </c>
      <c r="E1057" s="5">
        <v>95.7</v>
      </c>
      <c r="F1057" s="5">
        <v>188.7</v>
      </c>
      <c r="G1057" s="5">
        <v>93.7</v>
      </c>
      <c r="H1057" s="5">
        <v>93.6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95.5</v>
      </c>
      <c r="D1058" s="5">
        <v>0.1</v>
      </c>
      <c r="E1058" s="5">
        <v>95.7</v>
      </c>
      <c r="F1058" s="5">
        <v>188.7</v>
      </c>
      <c r="G1058" s="5">
        <v>93.7</v>
      </c>
      <c r="H1058" s="5">
        <v>93.6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93.5</v>
      </c>
      <c r="D1059" s="5">
        <v>0.1</v>
      </c>
      <c r="E1059" s="5">
        <v>93.6</v>
      </c>
      <c r="F1059" s="5">
        <v>187.4</v>
      </c>
      <c r="G1059" s="5">
        <v>92.9</v>
      </c>
      <c r="H1059" s="5">
        <v>93.2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101.2</v>
      </c>
      <c r="D1060" s="5">
        <v>0.1</v>
      </c>
      <c r="E1060" s="5">
        <v>93.6</v>
      </c>
      <c r="F1060" s="5">
        <v>187.4</v>
      </c>
      <c r="G1060" s="5">
        <v>92.9</v>
      </c>
      <c r="H1060" s="5">
        <v>93.2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101.2</v>
      </c>
      <c r="D1061" s="5">
        <v>0.1</v>
      </c>
      <c r="E1061" s="5">
        <v>101.4</v>
      </c>
      <c r="F1061" s="5">
        <v>202</v>
      </c>
      <c r="G1061" s="5">
        <v>100.3</v>
      </c>
      <c r="H1061" s="5">
        <v>100.1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101.2</v>
      </c>
      <c r="D1062" s="5">
        <v>0.1</v>
      </c>
      <c r="E1062" s="5">
        <v>101.4</v>
      </c>
      <c r="F1062" s="5">
        <v>202</v>
      </c>
      <c r="G1062" s="5">
        <v>100.3</v>
      </c>
      <c r="H1062" s="5">
        <v>100.1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99.4</v>
      </c>
      <c r="D1063" s="5">
        <v>0.1</v>
      </c>
      <c r="E1063" s="5">
        <v>99.5</v>
      </c>
      <c r="F1063" s="5">
        <v>198.9</v>
      </c>
      <c r="G1063" s="5">
        <v>98.8</v>
      </c>
      <c r="H1063" s="5">
        <v>98.6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99.4</v>
      </c>
      <c r="D1064" s="5">
        <v>0.1</v>
      </c>
      <c r="E1064" s="5">
        <v>99.5</v>
      </c>
      <c r="F1064" s="5">
        <v>198.9</v>
      </c>
      <c r="G1064" s="5">
        <v>98.8</v>
      </c>
      <c r="H1064" s="5">
        <v>98.6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99.4</v>
      </c>
      <c r="D1065" s="5">
        <v>0.1</v>
      </c>
      <c r="E1065" s="5">
        <v>99.5</v>
      </c>
      <c r="F1065" s="5">
        <v>198.9</v>
      </c>
      <c r="G1065" s="5">
        <v>98.8</v>
      </c>
      <c r="H1065" s="5">
        <v>98.6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99.4</v>
      </c>
      <c r="D1066" s="5">
        <v>0.1</v>
      </c>
      <c r="E1066" s="5">
        <v>99.5</v>
      </c>
      <c r="F1066" s="5">
        <v>198.9</v>
      </c>
      <c r="G1066" s="5">
        <v>98.8</v>
      </c>
      <c r="H1066" s="5">
        <v>98.6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94.6</v>
      </c>
      <c r="D1067" s="5">
        <v>0.1</v>
      </c>
      <c r="E1067" s="5">
        <v>94.8</v>
      </c>
      <c r="F1067" s="5">
        <v>193.5</v>
      </c>
      <c r="G1067" s="5">
        <v>95.5</v>
      </c>
      <c r="H1067" s="5">
        <v>94.8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94.6</v>
      </c>
      <c r="D1068" s="5">
        <v>0.1</v>
      </c>
      <c r="E1068" s="5">
        <v>94.8</v>
      </c>
      <c r="F1068" s="5">
        <v>193.5</v>
      </c>
      <c r="G1068" s="5">
        <v>95.5</v>
      </c>
      <c r="H1068" s="5">
        <v>94.8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93.5</v>
      </c>
      <c r="D1069" s="5">
        <v>0.1</v>
      </c>
      <c r="E1069" s="5">
        <v>93.5</v>
      </c>
      <c r="F1069" s="5">
        <v>185.5</v>
      </c>
      <c r="G1069" s="5">
        <v>92.1</v>
      </c>
      <c r="H1069" s="5">
        <v>92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93.5</v>
      </c>
      <c r="D1070" s="5">
        <v>0.1</v>
      </c>
      <c r="E1070" s="5">
        <v>93.5</v>
      </c>
      <c r="F1070" s="5">
        <v>185.5</v>
      </c>
      <c r="G1070" s="5">
        <v>92.1</v>
      </c>
      <c r="H1070" s="5">
        <v>92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94.2</v>
      </c>
      <c r="D1071" s="5">
        <v>0.1</v>
      </c>
      <c r="E1071" s="5">
        <v>94.4</v>
      </c>
      <c r="F1071" s="5">
        <v>186</v>
      </c>
      <c r="G1071" s="5">
        <v>92.5</v>
      </c>
      <c r="H1071" s="5">
        <v>92.5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94.2</v>
      </c>
      <c r="D1072" s="5">
        <v>0.1</v>
      </c>
      <c r="E1072" s="5">
        <v>94.4</v>
      </c>
      <c r="F1072" s="5">
        <v>186</v>
      </c>
      <c r="G1072" s="5">
        <v>92.5</v>
      </c>
      <c r="H1072" s="5">
        <v>92.5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93.1</v>
      </c>
      <c r="D1073" s="5">
        <v>0.1</v>
      </c>
      <c r="E1073" s="5">
        <v>93.2</v>
      </c>
      <c r="F1073" s="5">
        <v>185.8</v>
      </c>
      <c r="G1073" s="5">
        <v>92.3</v>
      </c>
      <c r="H1073" s="5">
        <v>92.1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93.1</v>
      </c>
      <c r="D1074" s="5">
        <v>0.1</v>
      </c>
      <c r="E1074" s="5">
        <v>93.2</v>
      </c>
      <c r="F1074" s="5">
        <v>185.8</v>
      </c>
      <c r="G1074" s="5">
        <v>92.3</v>
      </c>
      <c r="H1074" s="5">
        <v>92.1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93.1</v>
      </c>
      <c r="D1075" s="5">
        <v>0.1</v>
      </c>
      <c r="E1075" s="5">
        <v>93.2</v>
      </c>
      <c r="F1075" s="5">
        <v>185.8</v>
      </c>
      <c r="G1075" s="5">
        <v>92.3</v>
      </c>
      <c r="H1075" s="5">
        <v>92.1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100.2</v>
      </c>
      <c r="D1076" s="5">
        <v>0.1</v>
      </c>
      <c r="E1076" s="5">
        <v>100.4</v>
      </c>
      <c r="F1076" s="5">
        <v>196.9</v>
      </c>
      <c r="G1076" s="5">
        <v>98</v>
      </c>
      <c r="H1076" s="5">
        <v>98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99.9</v>
      </c>
      <c r="D1077" s="5">
        <v>0.1</v>
      </c>
      <c r="E1077" s="5">
        <v>100</v>
      </c>
      <c r="F1077" s="5">
        <v>199.4</v>
      </c>
      <c r="G1077" s="5">
        <v>99.1</v>
      </c>
      <c r="H1077" s="5">
        <v>99.1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99.9</v>
      </c>
      <c r="D1078" s="5">
        <v>0.1</v>
      </c>
      <c r="E1078" s="5">
        <v>100</v>
      </c>
      <c r="F1078" s="5">
        <v>199.4</v>
      </c>
      <c r="G1078" s="5">
        <v>99.1</v>
      </c>
      <c r="H1078" s="5">
        <v>99.1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100.3</v>
      </c>
      <c r="D1079" s="5">
        <v>0.1</v>
      </c>
      <c r="E1079" s="5">
        <v>100.5</v>
      </c>
      <c r="F1079" s="5">
        <v>199.5</v>
      </c>
      <c r="G1079" s="5">
        <v>99.2</v>
      </c>
      <c r="H1079" s="5">
        <v>99.1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100.3</v>
      </c>
      <c r="D1080" s="5">
        <v>0.1</v>
      </c>
      <c r="E1080" s="5">
        <v>100.5</v>
      </c>
      <c r="F1080" s="5">
        <v>199.5</v>
      </c>
      <c r="G1080" s="5">
        <v>99.2</v>
      </c>
      <c r="H1080" s="5">
        <v>99.1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100.3</v>
      </c>
      <c r="D1081" s="5">
        <v>0.1</v>
      </c>
      <c r="E1081" s="5">
        <v>100.5</v>
      </c>
      <c r="F1081" s="5">
        <v>199.5</v>
      </c>
      <c r="G1081" s="5">
        <v>99.2</v>
      </c>
      <c r="H1081" s="5">
        <v>99.1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100.3</v>
      </c>
      <c r="D1082" s="5">
        <v>0.1</v>
      </c>
      <c r="E1082" s="5">
        <v>100.5</v>
      </c>
      <c r="F1082" s="5">
        <v>199.5</v>
      </c>
      <c r="G1082" s="5">
        <v>99.2</v>
      </c>
      <c r="H1082" s="5">
        <v>99.1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93</v>
      </c>
      <c r="D1083" s="5">
        <v>0.1</v>
      </c>
      <c r="E1083" s="5">
        <v>93.2</v>
      </c>
      <c r="F1083" s="5">
        <v>185.9</v>
      </c>
      <c r="G1083" s="5">
        <v>92.2</v>
      </c>
      <c r="H1083" s="5">
        <v>92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93</v>
      </c>
      <c r="D1084" s="5">
        <v>0.1</v>
      </c>
      <c r="E1084" s="5">
        <v>93.2</v>
      </c>
      <c r="F1084" s="5">
        <v>185.9</v>
      </c>
      <c r="G1084" s="5">
        <v>92.2</v>
      </c>
      <c r="H1084" s="5">
        <v>92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93</v>
      </c>
      <c r="D1085" s="5">
        <v>0.1</v>
      </c>
      <c r="E1085" s="5">
        <v>93.2</v>
      </c>
      <c r="F1085" s="5">
        <v>185.1</v>
      </c>
      <c r="G1085" s="5">
        <v>91.9</v>
      </c>
      <c r="H1085" s="5">
        <v>91.7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93</v>
      </c>
      <c r="D1086" s="5">
        <v>0.1</v>
      </c>
      <c r="E1086" s="5">
        <v>93.2</v>
      </c>
      <c r="F1086" s="5">
        <v>185.1</v>
      </c>
      <c r="G1086" s="5">
        <v>91.9</v>
      </c>
      <c r="H1086" s="5">
        <v>91.7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96.1</v>
      </c>
      <c r="D1087" s="5">
        <v>0.1</v>
      </c>
      <c r="E1087" s="5">
        <v>96.3</v>
      </c>
      <c r="F1087" s="5">
        <v>186.8</v>
      </c>
      <c r="G1087" s="5">
        <v>93.3</v>
      </c>
      <c r="H1087" s="5">
        <v>93.8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96.1</v>
      </c>
      <c r="D1088" s="5">
        <v>0.1</v>
      </c>
      <c r="E1088" s="5">
        <v>96.3</v>
      </c>
      <c r="F1088" s="5">
        <v>186.8</v>
      </c>
      <c r="G1088" s="5">
        <v>93.3</v>
      </c>
      <c r="H1088" s="5">
        <v>93.8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100.9</v>
      </c>
      <c r="D1089" s="5">
        <v>0.1</v>
      </c>
      <c r="E1089" s="5">
        <v>101</v>
      </c>
      <c r="F1089" s="5">
        <v>200.1</v>
      </c>
      <c r="G1089" s="5">
        <v>99.5</v>
      </c>
      <c r="H1089" s="5">
        <v>99.4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100.9</v>
      </c>
      <c r="D1090" s="5">
        <v>0.1</v>
      </c>
      <c r="E1090" s="5">
        <v>101</v>
      </c>
      <c r="F1090" s="5">
        <v>200.1</v>
      </c>
      <c r="G1090" s="5">
        <v>99.5</v>
      </c>
      <c r="H1090" s="5">
        <v>99.4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100.9</v>
      </c>
      <c r="D1091" s="5">
        <v>0.1</v>
      </c>
      <c r="E1091" s="5">
        <v>101</v>
      </c>
      <c r="F1091" s="5">
        <v>200.1</v>
      </c>
      <c r="G1091" s="5">
        <v>99.5</v>
      </c>
      <c r="H1091" s="5">
        <v>99.4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100.9</v>
      </c>
      <c r="D1092" s="5">
        <v>0.1</v>
      </c>
      <c r="E1092" s="5">
        <v>101</v>
      </c>
      <c r="F1092" s="5">
        <v>200.1</v>
      </c>
      <c r="G1092" s="5">
        <v>99.5</v>
      </c>
      <c r="H1092" s="5">
        <v>99.4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100.6</v>
      </c>
      <c r="D1093" s="5">
        <v>0.1</v>
      </c>
      <c r="E1093" s="5">
        <v>100.8</v>
      </c>
      <c r="F1093" s="5">
        <v>200.1</v>
      </c>
      <c r="G1093" s="5">
        <v>99.3</v>
      </c>
      <c r="H1093" s="5">
        <v>99.2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100.6</v>
      </c>
      <c r="D1094" s="5">
        <v>0.1</v>
      </c>
      <c r="E1094" s="5">
        <v>100.8</v>
      </c>
      <c r="F1094" s="5">
        <v>200.1</v>
      </c>
      <c r="G1094" s="5">
        <v>99.3</v>
      </c>
      <c r="H1094" s="5">
        <v>99.2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100.8</v>
      </c>
      <c r="D1095" s="5">
        <v>0.1</v>
      </c>
      <c r="E1095" s="5">
        <v>100.9</v>
      </c>
      <c r="F1095" s="5">
        <v>200.4</v>
      </c>
      <c r="G1095" s="5">
        <v>99.7</v>
      </c>
      <c r="H1095" s="5">
        <v>99.5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100.8</v>
      </c>
      <c r="D1096" s="5">
        <v>0.1</v>
      </c>
      <c r="E1096" s="5">
        <v>100.9</v>
      </c>
      <c r="F1096" s="5">
        <v>200.4</v>
      </c>
      <c r="G1096" s="5">
        <v>99.7</v>
      </c>
      <c r="H1096" s="5">
        <v>99.5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99.1</v>
      </c>
      <c r="D1097" s="5">
        <v>0.1</v>
      </c>
      <c r="E1097" s="5">
        <v>99.2</v>
      </c>
      <c r="F1097" s="5">
        <v>197.9</v>
      </c>
      <c r="G1097" s="5">
        <v>95.7</v>
      </c>
      <c r="H1097" s="5">
        <v>93.8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99.1</v>
      </c>
      <c r="D1098" s="5">
        <v>0.1</v>
      </c>
      <c r="E1098" s="5">
        <v>99.2</v>
      </c>
      <c r="F1098" s="5">
        <v>197.9</v>
      </c>
      <c r="G1098" s="5">
        <v>95.7</v>
      </c>
      <c r="H1098" s="5">
        <v>93.8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100.8</v>
      </c>
      <c r="D1099" s="5">
        <v>0.1</v>
      </c>
      <c r="E1099" s="5">
        <v>100.9</v>
      </c>
      <c r="F1099" s="5">
        <v>199.1</v>
      </c>
      <c r="G1099" s="5">
        <v>98.6</v>
      </c>
      <c r="H1099" s="5">
        <v>98.2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100.8</v>
      </c>
      <c r="D1100" s="5">
        <v>0.1</v>
      </c>
      <c r="E1100" s="5">
        <v>100.9</v>
      </c>
      <c r="F1100" s="5">
        <v>199.1</v>
      </c>
      <c r="G1100" s="5">
        <v>98.6</v>
      </c>
      <c r="H1100" s="5">
        <v>98.2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100.8</v>
      </c>
      <c r="D1101" s="5">
        <v>0.1</v>
      </c>
      <c r="E1101" s="5">
        <v>100.9</v>
      </c>
      <c r="F1101" s="5">
        <v>199.1</v>
      </c>
      <c r="G1101" s="5">
        <v>98.6</v>
      </c>
      <c r="H1101" s="5">
        <v>98.2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100.8</v>
      </c>
      <c r="D1102" s="5">
        <v>0.1</v>
      </c>
      <c r="E1102" s="5">
        <v>100.9</v>
      </c>
      <c r="F1102" s="5">
        <v>199.1</v>
      </c>
      <c r="G1102" s="5">
        <v>98.6</v>
      </c>
      <c r="H1102" s="5">
        <v>98.2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101.1</v>
      </c>
      <c r="D1103" s="5">
        <v>0.1</v>
      </c>
      <c r="E1103" s="5">
        <v>101.2</v>
      </c>
      <c r="F1103" s="5">
        <v>200.7</v>
      </c>
      <c r="G1103" s="5">
        <v>99.8</v>
      </c>
      <c r="H1103" s="5">
        <v>99.6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101.1</v>
      </c>
      <c r="D1104" s="5">
        <v>0.1</v>
      </c>
      <c r="E1104" s="5">
        <v>101.2</v>
      </c>
      <c r="F1104" s="5">
        <v>200.7</v>
      </c>
      <c r="G1104" s="5">
        <v>99.8</v>
      </c>
      <c r="H1104" s="5">
        <v>99.6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95.2</v>
      </c>
      <c r="D1105" s="5">
        <v>0.1</v>
      </c>
      <c r="E1105" s="5">
        <v>95.4</v>
      </c>
      <c r="F1105" s="5">
        <v>189.1</v>
      </c>
      <c r="G1105" s="5">
        <v>93.9</v>
      </c>
      <c r="H1105" s="5">
        <v>93.8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95.2</v>
      </c>
      <c r="D1106" s="5">
        <v>0.1</v>
      </c>
      <c r="E1106" s="5">
        <v>95.4</v>
      </c>
      <c r="F1106" s="5">
        <v>189.1</v>
      </c>
      <c r="G1106" s="5">
        <v>93.9</v>
      </c>
      <c r="H1106" s="5">
        <v>93.8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94.5</v>
      </c>
      <c r="D1107" s="5">
        <v>0.1</v>
      </c>
      <c r="E1107" s="5">
        <v>94.5</v>
      </c>
      <c r="F1107" s="5">
        <v>188.7</v>
      </c>
      <c r="G1107" s="5">
        <v>93.9</v>
      </c>
      <c r="H1107" s="5">
        <v>94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94.5</v>
      </c>
      <c r="D1108" s="5">
        <v>0.1</v>
      </c>
      <c r="E1108" s="5">
        <v>94.5</v>
      </c>
      <c r="F1108" s="5">
        <v>188.7</v>
      </c>
      <c r="G1108" s="5">
        <v>93.9</v>
      </c>
      <c r="H1108" s="5">
        <v>94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101</v>
      </c>
      <c r="D1109" s="5">
        <v>0.1</v>
      </c>
      <c r="E1109" s="5">
        <v>101.1</v>
      </c>
      <c r="F1109" s="5">
        <v>201.1</v>
      </c>
      <c r="G1109" s="5">
        <v>99.9</v>
      </c>
      <c r="H1109" s="5">
        <v>99.8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101</v>
      </c>
      <c r="D1110" s="5">
        <v>0.1</v>
      </c>
      <c r="E1110" s="5">
        <v>101.1</v>
      </c>
      <c r="F1110" s="5">
        <v>201.1</v>
      </c>
      <c r="G1110" s="5">
        <v>99.9</v>
      </c>
      <c r="H1110" s="5">
        <v>99.8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102.4</v>
      </c>
      <c r="D1111" s="5">
        <v>0.1</v>
      </c>
      <c r="E1111" s="5">
        <v>101.1</v>
      </c>
      <c r="F1111" s="5">
        <v>201.1</v>
      </c>
      <c r="G1111" s="5">
        <v>99.9</v>
      </c>
      <c r="H1111" s="5">
        <v>99.8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102.4</v>
      </c>
      <c r="D1112" s="5">
        <v>0.1</v>
      </c>
      <c r="E1112" s="5">
        <v>102.5</v>
      </c>
      <c r="F1112" s="5">
        <v>202.7</v>
      </c>
      <c r="G1112" s="5">
        <v>100.7</v>
      </c>
      <c r="H1112" s="5">
        <v>100.7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102.4</v>
      </c>
      <c r="D1113" s="5">
        <v>0.1</v>
      </c>
      <c r="E1113" s="5">
        <v>102.5</v>
      </c>
      <c r="F1113" s="5">
        <v>202.7</v>
      </c>
      <c r="G1113" s="5">
        <v>100.7</v>
      </c>
      <c r="H1113" s="5">
        <v>100.7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101.9</v>
      </c>
      <c r="D1114" s="5">
        <v>0.1</v>
      </c>
      <c r="E1114" s="5">
        <v>102</v>
      </c>
      <c r="F1114" s="5">
        <v>201.6</v>
      </c>
      <c r="G1114" s="5">
        <v>100.1</v>
      </c>
      <c r="H1114" s="5">
        <v>99.9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101.9</v>
      </c>
      <c r="D1115" s="5">
        <v>0.1</v>
      </c>
      <c r="E1115" s="5">
        <v>102</v>
      </c>
      <c r="F1115" s="5">
        <v>201.6</v>
      </c>
      <c r="G1115" s="5">
        <v>100.1</v>
      </c>
      <c r="H1115" s="5">
        <v>99.9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98</v>
      </c>
      <c r="D1116" s="5">
        <v>0.1</v>
      </c>
      <c r="E1116" s="5">
        <v>98.1</v>
      </c>
      <c r="F1116" s="5">
        <v>193.6</v>
      </c>
      <c r="G1116" s="5">
        <v>96.4</v>
      </c>
      <c r="H1116" s="5">
        <v>95.5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98</v>
      </c>
      <c r="D1117" s="5">
        <v>0.1</v>
      </c>
      <c r="E1117" s="5">
        <v>98.1</v>
      </c>
      <c r="F1117" s="5">
        <v>193.6</v>
      </c>
      <c r="G1117" s="5">
        <v>96.4</v>
      </c>
      <c r="H1117" s="5">
        <v>95.5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100.2</v>
      </c>
      <c r="D1118" s="5">
        <v>0.1</v>
      </c>
      <c r="E1118" s="5">
        <v>100.3</v>
      </c>
      <c r="F1118" s="5">
        <v>199.8</v>
      </c>
      <c r="G1118" s="5">
        <v>99.1</v>
      </c>
      <c r="H1118" s="5">
        <v>98.6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100.2</v>
      </c>
      <c r="D1119" s="5">
        <v>0.1</v>
      </c>
      <c r="E1119" s="5">
        <v>100.3</v>
      </c>
      <c r="F1119" s="5">
        <v>199.8</v>
      </c>
      <c r="G1119" s="5">
        <v>99.1</v>
      </c>
      <c r="H1119" s="5">
        <v>98.6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100.2</v>
      </c>
      <c r="D1120" s="5">
        <v>0.1</v>
      </c>
      <c r="E1120" s="5">
        <v>100.3</v>
      </c>
      <c r="F1120" s="5">
        <v>199.8</v>
      </c>
      <c r="G1120" s="5">
        <v>99.1</v>
      </c>
      <c r="H1120" s="5">
        <v>98.6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100.2</v>
      </c>
      <c r="D1121" s="5">
        <v>0.1</v>
      </c>
      <c r="E1121" s="5">
        <v>96</v>
      </c>
      <c r="F1121" s="5">
        <v>191.6</v>
      </c>
      <c r="G1121" s="5">
        <v>95.1</v>
      </c>
      <c r="H1121" s="5">
        <v>95.1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95.9</v>
      </c>
      <c r="D1122" s="5">
        <v>0.1</v>
      </c>
      <c r="E1122" s="5">
        <v>96</v>
      </c>
      <c r="F1122" s="5">
        <v>191.6</v>
      </c>
      <c r="G1122" s="5">
        <v>95.1</v>
      </c>
      <c r="H1122" s="5">
        <v>95.1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95.9</v>
      </c>
      <c r="D1123" s="5">
        <v>0.1</v>
      </c>
      <c r="E1123" s="5">
        <v>96</v>
      </c>
      <c r="F1123" s="5">
        <v>189.2</v>
      </c>
      <c r="G1123" s="5">
        <v>94.2</v>
      </c>
      <c r="H1123" s="5">
        <v>95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95</v>
      </c>
      <c r="D1124" s="5">
        <v>0.1</v>
      </c>
      <c r="E1124" s="5">
        <v>95.1</v>
      </c>
      <c r="F1124" s="5">
        <v>189.2</v>
      </c>
      <c r="G1124" s="5">
        <v>94.2</v>
      </c>
      <c r="H1124" s="5">
        <v>95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95</v>
      </c>
      <c r="D1125" s="5">
        <v>0.1</v>
      </c>
      <c r="E1125" s="5">
        <v>95.1</v>
      </c>
      <c r="F1125" s="5">
        <v>189.2</v>
      </c>
      <c r="G1125" s="5">
        <v>94.2</v>
      </c>
      <c r="H1125" s="5">
        <v>94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94.5</v>
      </c>
      <c r="D1126" s="5">
        <v>0.1</v>
      </c>
      <c r="E1126" s="5">
        <v>94.5</v>
      </c>
      <c r="F1126" s="5">
        <v>189.8</v>
      </c>
      <c r="G1126" s="5">
        <v>94.2</v>
      </c>
      <c r="H1126" s="5">
        <v>94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94.5</v>
      </c>
      <c r="D1127" s="5">
        <v>0.1</v>
      </c>
      <c r="E1127" s="5">
        <v>94.5</v>
      </c>
      <c r="F1127" s="5">
        <v>189.8</v>
      </c>
      <c r="G1127" s="5">
        <v>94.2</v>
      </c>
      <c r="H1127" s="5">
        <v>94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94.7</v>
      </c>
      <c r="D1128" s="5">
        <v>0.1</v>
      </c>
      <c r="E1128" s="5">
        <v>94.8</v>
      </c>
      <c r="F1128" s="5">
        <v>188.3</v>
      </c>
      <c r="G1128" s="5">
        <v>93.5</v>
      </c>
      <c r="H1128" s="5">
        <v>93.8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94.7</v>
      </c>
      <c r="D1129" s="5">
        <v>0.1</v>
      </c>
      <c r="E1129" s="5">
        <v>94.8</v>
      </c>
      <c r="F1129" s="5">
        <v>188.3</v>
      </c>
      <c r="G1129" s="5">
        <v>93.5</v>
      </c>
      <c r="H1129" s="5">
        <v>93.8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94.7</v>
      </c>
      <c r="D1130" s="5">
        <v>0.1</v>
      </c>
      <c r="E1130" s="5">
        <v>94.8</v>
      </c>
      <c r="F1130" s="5">
        <v>188.3</v>
      </c>
      <c r="G1130" s="5">
        <v>93.5</v>
      </c>
      <c r="H1130" s="5">
        <v>93.8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97.3</v>
      </c>
      <c r="D1131" s="5">
        <v>0.1</v>
      </c>
      <c r="E1131" s="5">
        <v>97.3</v>
      </c>
      <c r="F1131" s="5">
        <v>193.7</v>
      </c>
      <c r="G1131" s="5">
        <v>96.2</v>
      </c>
      <c r="H1131" s="5">
        <v>96.2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97.3</v>
      </c>
      <c r="D1132" s="5">
        <v>0.1</v>
      </c>
      <c r="E1132" s="5">
        <v>97.3</v>
      </c>
      <c r="F1132" s="5">
        <v>193.7</v>
      </c>
      <c r="G1132" s="5">
        <v>96.2</v>
      </c>
      <c r="H1132" s="5">
        <v>96.2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96.1</v>
      </c>
      <c r="D1133" s="5">
        <v>0.1</v>
      </c>
      <c r="E1133" s="5">
        <v>96.3</v>
      </c>
      <c r="F1133" s="5">
        <v>190.8</v>
      </c>
      <c r="G1133" s="5">
        <v>94.7</v>
      </c>
      <c r="H1133" s="5">
        <v>94.5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96.1</v>
      </c>
      <c r="D1134" s="5">
        <v>0.1</v>
      </c>
      <c r="E1134" s="5">
        <v>96.3</v>
      </c>
      <c r="F1134" s="5">
        <v>190.8</v>
      </c>
      <c r="G1134" s="5">
        <v>94.7</v>
      </c>
      <c r="H1134" s="5">
        <v>94.5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95.7</v>
      </c>
      <c r="D1135" s="5">
        <v>0.1</v>
      </c>
      <c r="E1135" s="5">
        <v>95.9</v>
      </c>
      <c r="F1135" s="5">
        <v>191.8</v>
      </c>
      <c r="G1135" s="5">
        <v>95.2</v>
      </c>
      <c r="H1135" s="5">
        <v>94.9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95.7</v>
      </c>
      <c r="D1136" s="5">
        <v>0.1</v>
      </c>
      <c r="E1136" s="5">
        <v>95.9</v>
      </c>
      <c r="F1136" s="5">
        <v>191.8</v>
      </c>
      <c r="G1136" s="5">
        <v>95.2</v>
      </c>
      <c r="H1136" s="5">
        <v>94.9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95.7</v>
      </c>
      <c r="D1137" s="5">
        <v>0.1</v>
      </c>
      <c r="E1137" s="5">
        <v>95.7</v>
      </c>
      <c r="F1137" s="5">
        <v>189.6</v>
      </c>
      <c r="G1137" s="5">
        <v>94.5</v>
      </c>
      <c r="H1137" s="5">
        <v>94.6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95.7</v>
      </c>
      <c r="D1138" s="5">
        <v>0.1</v>
      </c>
      <c r="E1138" s="5">
        <v>95.7</v>
      </c>
      <c r="F1138" s="5">
        <v>189.6</v>
      </c>
      <c r="G1138" s="5">
        <v>94.5</v>
      </c>
      <c r="H1138" s="5">
        <v>94.6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95.7</v>
      </c>
      <c r="D1139" s="5">
        <v>0.1</v>
      </c>
      <c r="E1139" s="5">
        <v>95.7</v>
      </c>
      <c r="F1139" s="5">
        <v>189.6</v>
      </c>
      <c r="G1139" s="5">
        <v>94.5</v>
      </c>
      <c r="H1139" s="5">
        <v>94.6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95.7</v>
      </c>
      <c r="D1140" s="5">
        <v>0.1</v>
      </c>
      <c r="E1140" s="5">
        <v>95.7</v>
      </c>
      <c r="F1140" s="5">
        <v>189.6</v>
      </c>
      <c r="G1140" s="5">
        <v>94.5</v>
      </c>
      <c r="H1140" s="5">
        <v>94.6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99.5</v>
      </c>
      <c r="D1141" s="5">
        <v>0.1</v>
      </c>
      <c r="E1141" s="5">
        <v>99.7</v>
      </c>
      <c r="F1141" s="5">
        <v>192.8</v>
      </c>
      <c r="G1141" s="5">
        <v>95.7</v>
      </c>
      <c r="H1141" s="5">
        <v>95.5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99.5</v>
      </c>
      <c r="D1142" s="5">
        <v>0.1</v>
      </c>
      <c r="E1142" s="5">
        <v>99.7</v>
      </c>
      <c r="F1142" s="5">
        <v>192.8</v>
      </c>
      <c r="G1142" s="5">
        <v>95.7</v>
      </c>
      <c r="H1142" s="5">
        <v>95.5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94.3</v>
      </c>
      <c r="D1143" s="5">
        <v>0.1</v>
      </c>
      <c r="E1143" s="5">
        <v>94.5</v>
      </c>
      <c r="F1143" s="5">
        <v>187.6</v>
      </c>
      <c r="G1143" s="5">
        <v>93.3</v>
      </c>
      <c r="H1143" s="5">
        <v>93.1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94.3</v>
      </c>
      <c r="D1144" s="5">
        <v>0.1</v>
      </c>
      <c r="E1144" s="5">
        <v>94.5</v>
      </c>
      <c r="F1144" s="5">
        <v>187.6</v>
      </c>
      <c r="G1144" s="5">
        <v>93.3</v>
      </c>
      <c r="H1144" s="5">
        <v>93.1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95.4</v>
      </c>
      <c r="D1145" s="5">
        <v>0.1</v>
      </c>
      <c r="E1145" s="5">
        <v>95.5</v>
      </c>
      <c r="F1145" s="5">
        <v>189.9</v>
      </c>
      <c r="G1145" s="5">
        <v>94.3</v>
      </c>
      <c r="H1145" s="5">
        <v>94.2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95.4</v>
      </c>
      <c r="D1146" s="5">
        <v>0.1</v>
      </c>
      <c r="E1146" s="5">
        <v>95.5</v>
      </c>
      <c r="F1146" s="5">
        <v>189.9</v>
      </c>
      <c r="G1146" s="5">
        <v>94.3</v>
      </c>
      <c r="H1146" s="5">
        <v>94.2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97.8</v>
      </c>
      <c r="D1147" s="5">
        <v>0.1</v>
      </c>
      <c r="E1147" s="5">
        <v>97.9</v>
      </c>
      <c r="F1147" s="5">
        <v>190.6</v>
      </c>
      <c r="G1147" s="5">
        <v>95</v>
      </c>
      <c r="H1147" s="5">
        <v>95.1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97.8</v>
      </c>
      <c r="D1148" s="5">
        <v>0.1</v>
      </c>
      <c r="E1148" s="5">
        <v>97.9</v>
      </c>
      <c r="F1148" s="5">
        <v>190.6</v>
      </c>
      <c r="G1148" s="5">
        <v>95</v>
      </c>
      <c r="H1148" s="5">
        <v>95.1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97.8</v>
      </c>
      <c r="D1149" s="5">
        <v>0.1</v>
      </c>
      <c r="E1149" s="5">
        <v>97.9</v>
      </c>
      <c r="F1149" s="5">
        <v>190.6</v>
      </c>
      <c r="G1149" s="5">
        <v>95</v>
      </c>
      <c r="H1149" s="5">
        <v>95.1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97.8</v>
      </c>
      <c r="D1150" s="5">
        <v>0.1</v>
      </c>
      <c r="E1150" s="5">
        <v>97.9</v>
      </c>
      <c r="F1150" s="5">
        <v>190.6</v>
      </c>
      <c r="G1150" s="5">
        <v>95</v>
      </c>
      <c r="H1150" s="5">
        <v>95.1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101.8</v>
      </c>
      <c r="D1151" s="5">
        <v>0.1</v>
      </c>
      <c r="E1151" s="5">
        <v>102</v>
      </c>
      <c r="F1151" s="5">
        <v>202.3</v>
      </c>
      <c r="G1151" s="5">
        <v>100.5</v>
      </c>
      <c r="H1151" s="5">
        <v>100.3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101.8</v>
      </c>
      <c r="D1152" s="5">
        <v>0.1</v>
      </c>
      <c r="E1152" s="5">
        <v>102</v>
      </c>
      <c r="F1152" s="5">
        <v>202.3</v>
      </c>
      <c r="G1152" s="5">
        <v>100.5</v>
      </c>
      <c r="H1152" s="5">
        <v>100.3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102.1</v>
      </c>
      <c r="D1153" s="5">
        <v>0.1</v>
      </c>
      <c r="E1153" s="5">
        <v>102.2</v>
      </c>
      <c r="F1153" s="5">
        <v>203</v>
      </c>
      <c r="G1153" s="5">
        <v>100.8</v>
      </c>
      <c r="H1153" s="5">
        <v>100.7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102.1</v>
      </c>
      <c r="D1154" s="5">
        <v>0.1</v>
      </c>
      <c r="E1154" s="5">
        <v>102.2</v>
      </c>
      <c r="F1154" s="5">
        <v>203</v>
      </c>
      <c r="G1154" s="5">
        <v>100.8</v>
      </c>
      <c r="H1154" s="5">
        <v>100.7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101.4</v>
      </c>
      <c r="D1155" s="5">
        <v>0.1</v>
      </c>
      <c r="E1155" s="5">
        <v>101.5</v>
      </c>
      <c r="F1155" s="5">
        <v>202.3</v>
      </c>
      <c r="G1155" s="5">
        <v>100.4</v>
      </c>
      <c r="H1155" s="5">
        <v>100.3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101.4</v>
      </c>
      <c r="D1156" s="5">
        <v>0.1</v>
      </c>
      <c r="E1156" s="5">
        <v>101.5</v>
      </c>
      <c r="F1156" s="5">
        <v>202.3</v>
      </c>
      <c r="G1156" s="5">
        <v>100.4</v>
      </c>
      <c r="H1156" s="5">
        <v>100.3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101.1</v>
      </c>
      <c r="D1157" s="5">
        <v>0.1</v>
      </c>
      <c r="E1157" s="5">
        <v>101.3</v>
      </c>
      <c r="F1157" s="5">
        <v>201.1</v>
      </c>
      <c r="G1157" s="5">
        <v>99.9</v>
      </c>
      <c r="H1157" s="5">
        <v>99.8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101.1</v>
      </c>
      <c r="D1158" s="5">
        <v>0.1</v>
      </c>
      <c r="E1158" s="5">
        <v>101.3</v>
      </c>
      <c r="F1158" s="5">
        <v>201.1</v>
      </c>
      <c r="G1158" s="5">
        <v>99.9</v>
      </c>
      <c r="H1158" s="5">
        <v>99.8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101.1</v>
      </c>
      <c r="D1159" s="5">
        <v>0.1</v>
      </c>
      <c r="E1159" s="5">
        <v>101.3</v>
      </c>
      <c r="F1159" s="5">
        <v>201.1</v>
      </c>
      <c r="G1159" s="5">
        <v>99.9</v>
      </c>
      <c r="H1159" s="5">
        <v>99.8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101.1</v>
      </c>
      <c r="D1160" s="5">
        <v>0.1</v>
      </c>
      <c r="E1160" s="5">
        <v>101.3</v>
      </c>
      <c r="F1160" s="5">
        <v>201.1</v>
      </c>
      <c r="G1160" s="5">
        <v>99.9</v>
      </c>
      <c r="H1160" s="5">
        <v>99.8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101.8</v>
      </c>
      <c r="D1161" s="5">
        <v>0.1</v>
      </c>
      <c r="E1161" s="5">
        <v>102</v>
      </c>
      <c r="F1161" s="5">
        <v>202.1</v>
      </c>
      <c r="G1161" s="5">
        <v>100.5</v>
      </c>
      <c r="H1161" s="5">
        <v>100.3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101.8</v>
      </c>
      <c r="D1162" s="5">
        <v>0.1</v>
      </c>
      <c r="E1162" s="5">
        <v>102</v>
      </c>
      <c r="F1162" s="5">
        <v>202.1</v>
      </c>
      <c r="G1162" s="5">
        <v>100.5</v>
      </c>
      <c r="H1162" s="5">
        <v>100.3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101.5</v>
      </c>
      <c r="D1163" s="5">
        <v>0.1</v>
      </c>
      <c r="E1163" s="5">
        <v>101.6</v>
      </c>
      <c r="F1163" s="5">
        <v>201.7</v>
      </c>
      <c r="G1163" s="5">
        <v>100.2</v>
      </c>
      <c r="H1163" s="5">
        <v>100.1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101.5</v>
      </c>
      <c r="D1164" s="5">
        <v>0.1</v>
      </c>
      <c r="E1164" s="5">
        <v>101.6</v>
      </c>
      <c r="F1164" s="5">
        <v>201.7</v>
      </c>
      <c r="G1164" s="5">
        <v>100.2</v>
      </c>
      <c r="H1164" s="5">
        <v>100.1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101.1</v>
      </c>
      <c r="D1165" s="5">
        <v>0.1</v>
      </c>
      <c r="E1165" s="5">
        <v>101.2</v>
      </c>
      <c r="F1165" s="5">
        <v>201.6</v>
      </c>
      <c r="G1165" s="5">
        <v>100.2</v>
      </c>
      <c r="H1165" s="5">
        <v>100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101.1</v>
      </c>
      <c r="D1166" s="5">
        <v>0.1</v>
      </c>
      <c r="E1166" s="5">
        <v>101.2</v>
      </c>
      <c r="F1166" s="5">
        <v>201.6</v>
      </c>
      <c r="G1166" s="5">
        <v>100.2</v>
      </c>
      <c r="H1166" s="5">
        <v>100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101.1</v>
      </c>
      <c r="D1167" s="5">
        <v>0.1</v>
      </c>
      <c r="E1167" s="5">
        <v>101.2</v>
      </c>
      <c r="F1167" s="5">
        <v>200.9</v>
      </c>
      <c r="G1167" s="5">
        <v>99.8</v>
      </c>
      <c r="H1167" s="5">
        <v>99.7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101.1</v>
      </c>
      <c r="D1168" s="5">
        <v>0.1</v>
      </c>
      <c r="E1168" s="5">
        <v>101.2</v>
      </c>
      <c r="F1168" s="5">
        <v>200.9</v>
      </c>
      <c r="G1168" s="5">
        <v>99.8</v>
      </c>
      <c r="H1168" s="5">
        <v>99.7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101.1</v>
      </c>
      <c r="D1169" s="5">
        <v>0.1</v>
      </c>
      <c r="E1169" s="5">
        <v>101.2</v>
      </c>
      <c r="F1169" s="5">
        <v>200.9</v>
      </c>
      <c r="G1169" s="5">
        <v>99.8</v>
      </c>
      <c r="H1169" s="5">
        <v>99.7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101.1</v>
      </c>
      <c r="D1170" s="5">
        <v>0.1</v>
      </c>
      <c r="E1170" s="5">
        <v>101.2</v>
      </c>
      <c r="F1170" s="5">
        <v>200.9</v>
      </c>
      <c r="G1170" s="5">
        <v>99.8</v>
      </c>
      <c r="H1170" s="5">
        <v>99.7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100</v>
      </c>
      <c r="D1171" s="5">
        <v>0.1</v>
      </c>
      <c r="E1171" s="5">
        <v>100.2</v>
      </c>
      <c r="F1171" s="5">
        <v>198.9</v>
      </c>
      <c r="G1171" s="5">
        <v>98.8</v>
      </c>
      <c r="H1171" s="5">
        <v>98.7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100</v>
      </c>
      <c r="D1172" s="5">
        <v>0.1</v>
      </c>
      <c r="E1172" s="5">
        <v>100.2</v>
      </c>
      <c r="F1172" s="5">
        <v>198.9</v>
      </c>
      <c r="G1172" s="5">
        <v>98.8</v>
      </c>
      <c r="H1172" s="5">
        <v>98.7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100.4</v>
      </c>
      <c r="D1173" s="5">
        <v>0.1</v>
      </c>
      <c r="E1173" s="5">
        <v>100.5</v>
      </c>
      <c r="F1173" s="5">
        <v>199.6</v>
      </c>
      <c r="G1173" s="5">
        <v>99.2</v>
      </c>
      <c r="H1173" s="5">
        <v>99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100.4</v>
      </c>
      <c r="D1174" s="5">
        <v>0.1</v>
      </c>
      <c r="E1174" s="5">
        <v>100.5</v>
      </c>
      <c r="F1174" s="5">
        <v>199.6</v>
      </c>
      <c r="G1174" s="5">
        <v>99.2</v>
      </c>
      <c r="H1174" s="5">
        <v>99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101.2</v>
      </c>
      <c r="D1175" s="5">
        <v>0.1</v>
      </c>
      <c r="E1175" s="5">
        <v>101.4</v>
      </c>
      <c r="F1175" s="5">
        <v>200.3</v>
      </c>
      <c r="G1175" s="5">
        <v>99.6</v>
      </c>
      <c r="H1175" s="5">
        <v>99.5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101.2</v>
      </c>
      <c r="D1176" s="5">
        <v>0.1</v>
      </c>
      <c r="E1176" s="5">
        <v>101.4</v>
      </c>
      <c r="F1176" s="5">
        <v>200.3</v>
      </c>
      <c r="G1176" s="5">
        <v>99.6</v>
      </c>
      <c r="H1176" s="5">
        <v>99.5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100.3</v>
      </c>
      <c r="D1177" s="5">
        <v>0.1</v>
      </c>
      <c r="E1177" s="5">
        <v>100.5</v>
      </c>
      <c r="F1177" s="5">
        <v>199.3</v>
      </c>
      <c r="G1177" s="5">
        <v>99</v>
      </c>
      <c r="H1177" s="5">
        <v>98.9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100.3</v>
      </c>
      <c r="D1178" s="5">
        <v>0.1</v>
      </c>
      <c r="E1178" s="5">
        <v>100.5</v>
      </c>
      <c r="F1178" s="5">
        <v>199.3</v>
      </c>
      <c r="G1178" s="5">
        <v>99</v>
      </c>
      <c r="H1178" s="5">
        <v>98.9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100.3</v>
      </c>
      <c r="D1179" s="5">
        <v>0.1</v>
      </c>
      <c r="E1179" s="5">
        <v>100.5</v>
      </c>
      <c r="F1179" s="5">
        <v>199.3</v>
      </c>
      <c r="G1179" s="5">
        <v>99</v>
      </c>
      <c r="H1179" s="5">
        <v>98.9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100.3</v>
      </c>
      <c r="D1180" s="5">
        <v>0.1</v>
      </c>
      <c r="E1180" s="5">
        <v>100.5</v>
      </c>
      <c r="F1180" s="5">
        <v>199.3</v>
      </c>
      <c r="G1180" s="5">
        <v>99</v>
      </c>
      <c r="H1180" s="5">
        <v>98.9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100.7</v>
      </c>
      <c r="D1181" s="5">
        <v>0.1</v>
      </c>
      <c r="E1181" s="5">
        <v>100.8</v>
      </c>
      <c r="F1181" s="5">
        <v>200.1</v>
      </c>
      <c r="G1181" s="5">
        <v>99.4</v>
      </c>
      <c r="H1181" s="5">
        <v>99.3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100.7</v>
      </c>
      <c r="D1182" s="5">
        <v>0.1</v>
      </c>
      <c r="E1182" s="5">
        <v>100.8</v>
      </c>
      <c r="F1182" s="5">
        <v>200.1</v>
      </c>
      <c r="G1182" s="5">
        <v>99.4</v>
      </c>
      <c r="H1182" s="5">
        <v>99.3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100.7</v>
      </c>
      <c r="D1183" s="5">
        <v>0.1</v>
      </c>
      <c r="E1183" s="5">
        <v>100.8</v>
      </c>
      <c r="F1183" s="5">
        <v>200</v>
      </c>
      <c r="G1183" s="5">
        <v>99.4</v>
      </c>
      <c r="H1183" s="5">
        <v>99.2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100.7</v>
      </c>
      <c r="D1184" s="5">
        <v>0.1</v>
      </c>
      <c r="E1184" s="5">
        <v>100.8</v>
      </c>
      <c r="F1184" s="5">
        <v>200</v>
      </c>
      <c r="G1184" s="5">
        <v>99.4</v>
      </c>
      <c r="H1184" s="5">
        <v>99.2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101.2</v>
      </c>
      <c r="D1185" s="5">
        <v>0.1</v>
      </c>
      <c r="E1185" s="5">
        <v>101.3</v>
      </c>
      <c r="F1185" s="5">
        <v>200.1</v>
      </c>
      <c r="G1185" s="5">
        <v>99.5</v>
      </c>
      <c r="H1185" s="5">
        <v>99.6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101.2</v>
      </c>
      <c r="D1186" s="5">
        <v>0.1</v>
      </c>
      <c r="E1186" s="5">
        <v>101.3</v>
      </c>
      <c r="F1186" s="5">
        <v>200.1</v>
      </c>
      <c r="G1186" s="5">
        <v>99.5</v>
      </c>
      <c r="H1186" s="5">
        <v>99.6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100.8</v>
      </c>
      <c r="D1187" s="5">
        <v>0.1</v>
      </c>
      <c r="E1187" s="5">
        <v>100.9</v>
      </c>
      <c r="F1187" s="5">
        <v>200.4</v>
      </c>
      <c r="G1187" s="5">
        <v>99.5</v>
      </c>
      <c r="H1187" s="5">
        <v>99.4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100.8</v>
      </c>
      <c r="D1188" s="5">
        <v>0.1</v>
      </c>
      <c r="E1188" s="5">
        <v>100.9</v>
      </c>
      <c r="F1188" s="5">
        <v>200.4</v>
      </c>
      <c r="G1188" s="5">
        <v>99.5</v>
      </c>
      <c r="H1188" s="5">
        <v>99.4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100.8</v>
      </c>
      <c r="D1189" s="5">
        <v>0.1</v>
      </c>
      <c r="E1189" s="5">
        <v>100.9</v>
      </c>
      <c r="F1189" s="5">
        <v>200.4</v>
      </c>
      <c r="G1189" s="5">
        <v>99.5</v>
      </c>
      <c r="H1189" s="5">
        <v>99.4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100.8</v>
      </c>
      <c r="D1190" s="5">
        <v>0.1</v>
      </c>
      <c r="E1190" s="5">
        <v>100.9</v>
      </c>
      <c r="F1190" s="5">
        <v>200.4</v>
      </c>
      <c r="G1190" s="5">
        <v>99.5</v>
      </c>
      <c r="H1190" s="5">
        <v>99.4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101</v>
      </c>
      <c r="D1191" s="5">
        <v>0.1</v>
      </c>
      <c r="E1191" s="5">
        <v>101.1</v>
      </c>
      <c r="F1191" s="5">
        <v>200.3</v>
      </c>
      <c r="G1191" s="5">
        <v>99.6</v>
      </c>
      <c r="H1191" s="5">
        <v>99.5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101</v>
      </c>
      <c r="D1192" s="5">
        <v>0.1</v>
      </c>
      <c r="E1192" s="5">
        <v>101.1</v>
      </c>
      <c r="F1192" s="5">
        <v>200.3</v>
      </c>
      <c r="G1192" s="5">
        <v>99.6</v>
      </c>
      <c r="H1192" s="5">
        <v>99.5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100.8</v>
      </c>
      <c r="D1193" s="5">
        <v>0.1</v>
      </c>
      <c r="E1193" s="5">
        <v>100.8</v>
      </c>
      <c r="F1193" s="5">
        <v>200.2</v>
      </c>
      <c r="G1193" s="5">
        <v>99.5</v>
      </c>
      <c r="H1193" s="5">
        <v>99.4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100.8</v>
      </c>
      <c r="D1194" s="5">
        <v>0.1</v>
      </c>
      <c r="E1194" s="5">
        <v>100.8</v>
      </c>
      <c r="F1194" s="5">
        <v>200.2</v>
      </c>
      <c r="G1194" s="5">
        <v>99.5</v>
      </c>
      <c r="H1194" s="5">
        <v>99.4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101.6</v>
      </c>
      <c r="D1195" s="5">
        <v>0.1</v>
      </c>
      <c r="E1195" s="5">
        <v>101.8</v>
      </c>
      <c r="F1195" s="5">
        <v>201</v>
      </c>
      <c r="G1195" s="5">
        <v>100</v>
      </c>
      <c r="H1195" s="5">
        <v>99.9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101.6</v>
      </c>
      <c r="D1196" s="5">
        <v>0.1</v>
      </c>
      <c r="E1196" s="5">
        <v>101.8</v>
      </c>
      <c r="F1196" s="5">
        <v>201</v>
      </c>
      <c r="G1196" s="5">
        <v>100</v>
      </c>
      <c r="H1196" s="5">
        <v>99.9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101.6</v>
      </c>
      <c r="D1197" s="5">
        <v>0.1</v>
      </c>
      <c r="E1197" s="5">
        <v>101.8</v>
      </c>
      <c r="F1197" s="5">
        <v>201.4</v>
      </c>
      <c r="G1197" s="5">
        <v>100.1</v>
      </c>
      <c r="H1197" s="5">
        <v>100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101.6</v>
      </c>
      <c r="D1198" s="5">
        <v>0.1</v>
      </c>
      <c r="E1198" s="5">
        <v>101.8</v>
      </c>
      <c r="F1198" s="5">
        <v>201.4</v>
      </c>
      <c r="G1198" s="5">
        <v>100.1</v>
      </c>
      <c r="H1198" s="5">
        <v>100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101.6</v>
      </c>
      <c r="D1199" s="5">
        <v>0.1</v>
      </c>
      <c r="E1199" s="5">
        <v>101.8</v>
      </c>
      <c r="F1199" s="5">
        <v>201.4</v>
      </c>
      <c r="G1199" s="5">
        <v>100.1</v>
      </c>
      <c r="H1199" s="5">
        <v>100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101.6</v>
      </c>
      <c r="D1200" s="5">
        <v>0.1</v>
      </c>
      <c r="E1200" s="5">
        <v>101.8</v>
      </c>
      <c r="F1200" s="5">
        <v>201.4</v>
      </c>
      <c r="G1200" s="5">
        <v>100.1</v>
      </c>
      <c r="H1200" s="5">
        <v>100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100.7</v>
      </c>
      <c r="D1201" s="5">
        <v>0.1</v>
      </c>
      <c r="E1201" s="5">
        <v>100.8</v>
      </c>
      <c r="F1201" s="5">
        <v>201.1</v>
      </c>
      <c r="G1201" s="5">
        <v>99.9</v>
      </c>
      <c r="H1201" s="5">
        <v>99.7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100.7</v>
      </c>
      <c r="D1202" s="5">
        <v>0.1</v>
      </c>
      <c r="E1202" s="5">
        <v>100.8</v>
      </c>
      <c r="F1202" s="5">
        <v>201.1</v>
      </c>
      <c r="G1202" s="5">
        <v>99.9</v>
      </c>
      <c r="H1202" s="5">
        <v>99.7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101.1</v>
      </c>
      <c r="D1203" s="5">
        <v>0.1</v>
      </c>
      <c r="E1203" s="5">
        <v>101.2</v>
      </c>
      <c r="F1203" s="5">
        <v>201.1</v>
      </c>
      <c r="G1203" s="5">
        <v>99.9</v>
      </c>
      <c r="H1203" s="5">
        <v>99.8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101.1</v>
      </c>
      <c r="D1204" s="5">
        <v>0.1</v>
      </c>
      <c r="E1204" s="5">
        <v>101.2</v>
      </c>
      <c r="F1204" s="5">
        <v>201.1</v>
      </c>
      <c r="G1204" s="5">
        <v>99.9</v>
      </c>
      <c r="H1204" s="5">
        <v>99.8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100.1</v>
      </c>
      <c r="D1205" s="5">
        <v>0.1</v>
      </c>
      <c r="E1205" s="5">
        <v>100.2</v>
      </c>
      <c r="F1205" s="5">
        <v>199.5</v>
      </c>
      <c r="G1205" s="5">
        <v>99.1</v>
      </c>
      <c r="H1205" s="5">
        <v>98.9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100.1</v>
      </c>
      <c r="D1206" s="5">
        <v>0.1</v>
      </c>
      <c r="E1206" s="5">
        <v>100.2</v>
      </c>
      <c r="F1206" s="5">
        <v>199.5</v>
      </c>
      <c r="G1206" s="5">
        <v>99.1</v>
      </c>
      <c r="H1206" s="5">
        <v>98.9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101</v>
      </c>
      <c r="D1207" s="5">
        <v>0.1</v>
      </c>
      <c r="E1207" s="5">
        <v>101.1</v>
      </c>
      <c r="F1207" s="5">
        <v>200.4</v>
      </c>
      <c r="G1207" s="5">
        <v>99.6</v>
      </c>
      <c r="H1207" s="5">
        <v>99.4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101</v>
      </c>
      <c r="D1208" s="5">
        <v>0.1</v>
      </c>
      <c r="E1208" s="5">
        <v>101.1</v>
      </c>
      <c r="F1208" s="5">
        <v>200.4</v>
      </c>
      <c r="G1208" s="5">
        <v>99.6</v>
      </c>
      <c r="H1208" s="5">
        <v>99.4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101</v>
      </c>
      <c r="D1209" s="5">
        <v>0.1</v>
      </c>
      <c r="E1209" s="5">
        <v>101.1</v>
      </c>
      <c r="F1209" s="5">
        <v>200.4</v>
      </c>
      <c r="G1209" s="5">
        <v>99.6</v>
      </c>
      <c r="H1209" s="5">
        <v>99.4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101</v>
      </c>
      <c r="D1210" s="5">
        <v>0.1</v>
      </c>
      <c r="E1210" s="5">
        <v>101.1</v>
      </c>
      <c r="F1210" s="5">
        <v>200.4</v>
      </c>
      <c r="G1210" s="5">
        <v>99.6</v>
      </c>
      <c r="H1210" s="5">
        <v>99.4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100.2</v>
      </c>
      <c r="D1211" s="5">
        <v>0.1</v>
      </c>
      <c r="E1211" s="5">
        <v>100.3</v>
      </c>
      <c r="F1211" s="5">
        <v>199.5</v>
      </c>
      <c r="G1211" s="5">
        <v>99.1</v>
      </c>
      <c r="H1211" s="5">
        <v>99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100.2</v>
      </c>
      <c r="D1212" s="5">
        <v>0.1</v>
      </c>
      <c r="E1212" s="5">
        <v>100.3</v>
      </c>
      <c r="F1212" s="5">
        <v>199.5</v>
      </c>
      <c r="G1212" s="5">
        <v>99.1</v>
      </c>
      <c r="H1212" s="5">
        <v>99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100.8</v>
      </c>
      <c r="D1213" s="5">
        <v>0.1</v>
      </c>
      <c r="E1213" s="5">
        <v>101</v>
      </c>
      <c r="F1213" s="5">
        <v>200.5</v>
      </c>
      <c r="G1213" s="5">
        <v>99.6</v>
      </c>
      <c r="H1213" s="5">
        <v>99.5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100.8</v>
      </c>
      <c r="D1214" s="5">
        <v>0.1</v>
      </c>
      <c r="E1214" s="5">
        <v>101</v>
      </c>
      <c r="F1214" s="5">
        <v>200.5</v>
      </c>
      <c r="G1214" s="5">
        <v>99.6</v>
      </c>
      <c r="H1214" s="5">
        <v>99.5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100.1</v>
      </c>
      <c r="D1215" s="5">
        <v>0.1</v>
      </c>
      <c r="E1215" s="5">
        <v>100.2</v>
      </c>
      <c r="F1215" s="5">
        <v>199.3</v>
      </c>
      <c r="G1215" s="5">
        <v>99</v>
      </c>
      <c r="H1215" s="5">
        <v>98.8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100.1</v>
      </c>
      <c r="D1216" s="5">
        <v>0.1</v>
      </c>
      <c r="E1216" s="5">
        <v>100.2</v>
      </c>
      <c r="F1216" s="5">
        <v>199.3</v>
      </c>
      <c r="G1216" s="5">
        <v>99</v>
      </c>
      <c r="H1216" s="5">
        <v>98.8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100.5</v>
      </c>
      <c r="D1217" s="5">
        <v>0.1</v>
      </c>
      <c r="E1217" s="5">
        <v>100.5</v>
      </c>
      <c r="F1217" s="5">
        <v>199.5</v>
      </c>
      <c r="G1217" s="5">
        <v>99.1</v>
      </c>
      <c r="H1217" s="5">
        <v>99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100.5</v>
      </c>
      <c r="D1218" s="5">
        <v>0.1</v>
      </c>
      <c r="E1218" s="5">
        <v>100.5</v>
      </c>
      <c r="F1218" s="5">
        <v>199.5</v>
      </c>
      <c r="G1218" s="5">
        <v>99.1</v>
      </c>
      <c r="H1218" s="5">
        <v>99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100.5</v>
      </c>
      <c r="D1219" s="5">
        <v>0.1</v>
      </c>
      <c r="E1219" s="5">
        <v>100.5</v>
      </c>
      <c r="F1219" s="5">
        <v>199.5</v>
      </c>
      <c r="G1219" s="5">
        <v>99.1</v>
      </c>
      <c r="H1219" s="5">
        <v>99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100.5</v>
      </c>
      <c r="D1220" s="5">
        <v>0.1</v>
      </c>
      <c r="E1220" s="5">
        <v>100.5</v>
      </c>
      <c r="F1220" s="5">
        <v>198.5</v>
      </c>
      <c r="G1220" s="5">
        <v>98.6</v>
      </c>
      <c r="H1220" s="5">
        <v>98.4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99.9</v>
      </c>
      <c r="D1221" s="5">
        <v>0.1</v>
      </c>
      <c r="E1221" s="5">
        <v>100</v>
      </c>
      <c r="F1221" s="5">
        <v>198.5</v>
      </c>
      <c r="G1221" s="5">
        <v>98.6</v>
      </c>
      <c r="H1221" s="5">
        <v>98.4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99.9</v>
      </c>
      <c r="D1222" s="5">
        <v>0.1</v>
      </c>
      <c r="E1222" s="5">
        <v>100</v>
      </c>
      <c r="F1222" s="5">
        <v>198.5</v>
      </c>
      <c r="G1222" s="5">
        <v>98.6</v>
      </c>
      <c r="H1222" s="5">
        <v>98.4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99.9</v>
      </c>
      <c r="D1223" s="5">
        <v>0.1</v>
      </c>
      <c r="E1223" s="5">
        <v>100</v>
      </c>
      <c r="F1223" s="5">
        <v>198.5</v>
      </c>
      <c r="G1223" s="5">
        <v>98.6</v>
      </c>
      <c r="H1223" s="5">
        <v>98.4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99.9</v>
      </c>
      <c r="D1224" s="5">
        <v>0.1</v>
      </c>
      <c r="E1224" s="5">
        <v>100</v>
      </c>
      <c r="F1224" s="5">
        <v>198.5</v>
      </c>
      <c r="G1224" s="5">
        <v>99.2</v>
      </c>
      <c r="H1224" s="5">
        <v>99.1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100.1</v>
      </c>
      <c r="D1225" s="5">
        <v>0.1</v>
      </c>
      <c r="E1225" s="5">
        <v>100.2</v>
      </c>
      <c r="F1225" s="5">
        <v>199.3</v>
      </c>
      <c r="G1225" s="5">
        <v>99.2</v>
      </c>
      <c r="H1225" s="5">
        <v>99.1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100.1</v>
      </c>
      <c r="D1226" s="5">
        <v>0.1</v>
      </c>
      <c r="E1226" s="5">
        <v>100.2</v>
      </c>
      <c r="F1226" s="5">
        <v>199.3</v>
      </c>
      <c r="G1226" s="5">
        <v>98.7</v>
      </c>
      <c r="H1226" s="5">
        <v>98.4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99.9</v>
      </c>
      <c r="D1227" s="5">
        <v>0.1</v>
      </c>
      <c r="E1227" s="5">
        <v>100</v>
      </c>
      <c r="F1227" s="5">
        <v>199.1</v>
      </c>
      <c r="G1227" s="5">
        <v>98.7</v>
      </c>
      <c r="H1227" s="5">
        <v>98.4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99.9</v>
      </c>
      <c r="D1228" s="5">
        <v>0.1</v>
      </c>
      <c r="E1228" s="5">
        <v>100</v>
      </c>
      <c r="F1228" s="5">
        <v>199.1</v>
      </c>
      <c r="G1228" s="5">
        <v>98.7</v>
      </c>
      <c r="H1228" s="5">
        <v>98.4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99.9</v>
      </c>
      <c r="D1229" s="5">
        <v>0.1</v>
      </c>
      <c r="E1229" s="5">
        <v>100</v>
      </c>
      <c r="F1229" s="5">
        <v>199.1</v>
      </c>
      <c r="G1229" s="5">
        <v>98.7</v>
      </c>
      <c r="H1229" s="5">
        <v>98.4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99.7</v>
      </c>
      <c r="D1230" s="5">
        <v>0.1</v>
      </c>
      <c r="E1230" s="5">
        <v>99.8</v>
      </c>
      <c r="F1230" s="5">
        <v>197.9</v>
      </c>
      <c r="G1230" s="5">
        <v>98.3</v>
      </c>
      <c r="H1230" s="5">
        <v>98.1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99.7</v>
      </c>
      <c r="D1231" s="5">
        <v>0.1</v>
      </c>
      <c r="E1231" s="5">
        <v>99.8</v>
      </c>
      <c r="F1231" s="5">
        <v>197.9</v>
      </c>
      <c r="G1231" s="5">
        <v>98.3</v>
      </c>
      <c r="H1231" s="5">
        <v>98.1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99.5</v>
      </c>
      <c r="D1232" s="5">
        <v>0.1</v>
      </c>
      <c r="E1232" s="5">
        <v>99.6</v>
      </c>
      <c r="F1232" s="5">
        <v>197.7</v>
      </c>
      <c r="G1232" s="5">
        <v>98.2</v>
      </c>
      <c r="H1232" s="5">
        <v>98.1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99.5</v>
      </c>
      <c r="D1233" s="5">
        <v>0.1</v>
      </c>
      <c r="E1233" s="5">
        <v>99.6</v>
      </c>
      <c r="F1233" s="5">
        <v>197.7</v>
      </c>
      <c r="G1233" s="5">
        <v>98.2</v>
      </c>
      <c r="H1233" s="5">
        <v>98.1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99.5</v>
      </c>
      <c r="D1234" s="5">
        <v>0.1</v>
      </c>
      <c r="E1234" s="5">
        <v>99.7</v>
      </c>
      <c r="F1234" s="5">
        <v>197.7</v>
      </c>
      <c r="G1234" s="5">
        <v>98.2</v>
      </c>
      <c r="H1234" s="5">
        <v>98.1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99.5</v>
      </c>
      <c r="D1235" s="5">
        <v>0.1</v>
      </c>
      <c r="E1235" s="5">
        <v>99.7</v>
      </c>
      <c r="F1235" s="5">
        <v>198.6</v>
      </c>
      <c r="G1235" s="5">
        <v>98.6</v>
      </c>
      <c r="H1235" s="5">
        <v>98.4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100.7</v>
      </c>
      <c r="D1236" s="5">
        <v>0.1</v>
      </c>
      <c r="E1236" s="5">
        <v>99.7</v>
      </c>
      <c r="F1236" s="5">
        <v>198.6</v>
      </c>
      <c r="G1236" s="5">
        <v>98.6</v>
      </c>
      <c r="H1236" s="5">
        <v>98.4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100.7</v>
      </c>
      <c r="D1237" s="5">
        <v>0.1</v>
      </c>
      <c r="E1237" s="5">
        <v>100.8</v>
      </c>
      <c r="F1237" s="5">
        <v>200.2</v>
      </c>
      <c r="G1237" s="5">
        <v>99.5</v>
      </c>
      <c r="H1237" s="5">
        <v>99.4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100.7</v>
      </c>
      <c r="D1238" s="5">
        <v>0.1</v>
      </c>
      <c r="E1238" s="5">
        <v>100.8</v>
      </c>
      <c r="F1238" s="5">
        <v>200.2</v>
      </c>
      <c r="G1238" s="5">
        <v>99.5</v>
      </c>
      <c r="H1238" s="5">
        <v>99.4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100.7</v>
      </c>
      <c r="D1239" s="5">
        <v>0.1</v>
      </c>
      <c r="E1239" s="5">
        <v>100.8</v>
      </c>
      <c r="F1239" s="5">
        <v>200.2</v>
      </c>
      <c r="G1239" s="5">
        <v>99.5</v>
      </c>
      <c r="H1239" s="5">
        <v>99.4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100.7</v>
      </c>
      <c r="D1240" s="5">
        <v>0.1</v>
      </c>
      <c r="E1240" s="5">
        <v>100.8</v>
      </c>
      <c r="F1240" s="5">
        <v>200.2</v>
      </c>
      <c r="G1240" s="5">
        <v>99.5</v>
      </c>
      <c r="H1240" s="5">
        <v>99.4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100.8</v>
      </c>
      <c r="D1241" s="5">
        <v>0.1</v>
      </c>
      <c r="E1241" s="5">
        <v>101</v>
      </c>
      <c r="F1241" s="5">
        <v>200.9</v>
      </c>
      <c r="G1241" s="5">
        <v>99.8</v>
      </c>
      <c r="H1241" s="5">
        <v>99.7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100.8</v>
      </c>
      <c r="D1242" s="5">
        <v>0.1</v>
      </c>
      <c r="E1242" s="5">
        <v>101</v>
      </c>
      <c r="F1242" s="5">
        <v>200.9</v>
      </c>
      <c r="G1242" s="5">
        <v>99.8</v>
      </c>
      <c r="H1242" s="5">
        <v>99.7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99.9</v>
      </c>
      <c r="D1243" s="5">
        <v>0.1</v>
      </c>
      <c r="E1243" s="5">
        <v>100.1</v>
      </c>
      <c r="F1243" s="5">
        <v>198.1</v>
      </c>
      <c r="G1243" s="5">
        <v>98.4</v>
      </c>
      <c r="H1243" s="5">
        <v>98.3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99.9</v>
      </c>
      <c r="D1244" s="5">
        <v>0.1</v>
      </c>
      <c r="E1244" s="5">
        <v>100.1</v>
      </c>
      <c r="F1244" s="5">
        <v>198.1</v>
      </c>
      <c r="G1244" s="5">
        <v>98.4</v>
      </c>
      <c r="H1244" s="5">
        <v>98.3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99.6</v>
      </c>
      <c r="D1245" s="5">
        <v>0.1</v>
      </c>
      <c r="E1245" s="5">
        <v>99.8</v>
      </c>
      <c r="F1245" s="5">
        <v>198.5</v>
      </c>
      <c r="G1245" s="5">
        <v>98.6</v>
      </c>
      <c r="H1245" s="5">
        <v>98.6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99.6</v>
      </c>
      <c r="D1246" s="5">
        <v>0.1</v>
      </c>
      <c r="E1246" s="5">
        <v>99.8</v>
      </c>
      <c r="F1246" s="5">
        <v>198.5</v>
      </c>
      <c r="G1246" s="5">
        <v>98.6</v>
      </c>
      <c r="H1246" s="5">
        <v>98.6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99.9</v>
      </c>
      <c r="D1247" s="5">
        <v>0.1</v>
      </c>
      <c r="E1247" s="5">
        <v>100</v>
      </c>
      <c r="F1247" s="5">
        <v>198.7</v>
      </c>
      <c r="G1247" s="5">
        <v>98.6</v>
      </c>
      <c r="H1247" s="5">
        <v>98.5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99.9</v>
      </c>
      <c r="D1248" s="5">
        <v>0.1</v>
      </c>
      <c r="E1248" s="5">
        <v>100</v>
      </c>
      <c r="F1248" s="5">
        <v>198.7</v>
      </c>
      <c r="G1248" s="5">
        <v>98.6</v>
      </c>
      <c r="H1248" s="5">
        <v>98.5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99.9</v>
      </c>
      <c r="D1249" s="5">
        <v>0.1</v>
      </c>
      <c r="E1249" s="5">
        <v>100</v>
      </c>
      <c r="F1249" s="5">
        <v>198.7</v>
      </c>
      <c r="G1249" s="5">
        <v>98.6</v>
      </c>
      <c r="H1249" s="5">
        <v>98.5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100.3</v>
      </c>
      <c r="D1250" s="5">
        <v>0.1</v>
      </c>
      <c r="E1250" s="5">
        <v>100.5</v>
      </c>
      <c r="F1250" s="5">
        <v>199.7</v>
      </c>
      <c r="G1250" s="5">
        <v>99.2</v>
      </c>
      <c r="H1250" s="5">
        <v>99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100.3</v>
      </c>
      <c r="D1251" s="5">
        <v>0.1</v>
      </c>
      <c r="E1251" s="5">
        <v>100.5</v>
      </c>
      <c r="F1251" s="5">
        <v>199.7</v>
      </c>
      <c r="G1251" s="5">
        <v>99.2</v>
      </c>
      <c r="H1251" s="5">
        <v>99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100.3</v>
      </c>
      <c r="D1252" s="5">
        <v>0.1</v>
      </c>
      <c r="E1252" s="5">
        <v>100.5</v>
      </c>
      <c r="F1252" s="5">
        <v>199.7</v>
      </c>
      <c r="G1252" s="5">
        <v>99.2</v>
      </c>
      <c r="H1252" s="5">
        <v>99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100.3</v>
      </c>
      <c r="D1253" s="5">
        <v>0.1</v>
      </c>
      <c r="E1253" s="5">
        <v>100.5</v>
      </c>
      <c r="F1253" s="5">
        <v>199.7</v>
      </c>
      <c r="G1253" s="5">
        <v>99.2</v>
      </c>
      <c r="H1253" s="5">
        <v>99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100.5</v>
      </c>
      <c r="D1254" s="5">
        <v>0.1</v>
      </c>
      <c r="E1254" s="5">
        <v>100.7</v>
      </c>
      <c r="F1254" s="5">
        <v>199.8</v>
      </c>
      <c r="G1254" s="5">
        <v>99.2</v>
      </c>
      <c r="H1254" s="5">
        <v>98.9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100.5</v>
      </c>
      <c r="D1255" s="5">
        <v>0.1</v>
      </c>
      <c r="E1255" s="5">
        <v>100.7</v>
      </c>
      <c r="F1255" s="5">
        <v>199.8</v>
      </c>
      <c r="G1255" s="5">
        <v>99.2</v>
      </c>
      <c r="H1255" s="5">
        <v>98.9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100.5</v>
      </c>
      <c r="D1256" s="5">
        <v>0.1</v>
      </c>
      <c r="E1256" s="5">
        <v>100.7</v>
      </c>
      <c r="F1256" s="5">
        <v>199.9</v>
      </c>
      <c r="G1256" s="5">
        <v>99.3</v>
      </c>
      <c r="H1256" s="5">
        <v>99.1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100.5</v>
      </c>
      <c r="D1257" s="5">
        <v>0.1</v>
      </c>
      <c r="E1257" s="5">
        <v>100.7</v>
      </c>
      <c r="F1257" s="5">
        <v>199.9</v>
      </c>
      <c r="G1257" s="5">
        <v>99.3</v>
      </c>
      <c r="H1257" s="5">
        <v>99.1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100.5</v>
      </c>
      <c r="D1258" s="5">
        <v>0.1</v>
      </c>
      <c r="E1258" s="5">
        <v>100.7</v>
      </c>
      <c r="F1258" s="5">
        <v>199.9</v>
      </c>
      <c r="G1258" s="5">
        <v>99.3</v>
      </c>
      <c r="H1258" s="5">
        <v>99.1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100.5</v>
      </c>
      <c r="D1259" s="5">
        <v>0.1</v>
      </c>
      <c r="E1259" s="5">
        <v>100.7</v>
      </c>
      <c r="F1259" s="5">
        <v>199.9</v>
      </c>
      <c r="G1259" s="5">
        <v>99.3</v>
      </c>
      <c r="H1259" s="5">
        <v>99.1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99.9</v>
      </c>
      <c r="D1260" s="5">
        <v>0.1</v>
      </c>
      <c r="E1260" s="5">
        <v>100</v>
      </c>
      <c r="F1260" s="5">
        <v>198.9</v>
      </c>
      <c r="G1260" s="5">
        <v>98.8</v>
      </c>
      <c r="H1260" s="5">
        <v>98.8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99.9</v>
      </c>
      <c r="D1261" s="5">
        <v>0.1</v>
      </c>
      <c r="E1261" s="5">
        <v>100</v>
      </c>
      <c r="F1261" s="5">
        <v>198.9</v>
      </c>
      <c r="G1261" s="5">
        <v>98.8</v>
      </c>
      <c r="H1261" s="5">
        <v>98.8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98.6</v>
      </c>
      <c r="D1262" s="5">
        <v>0.1</v>
      </c>
      <c r="E1262" s="5">
        <v>98.8</v>
      </c>
      <c r="F1262" s="5">
        <v>197.1</v>
      </c>
      <c r="G1262" s="5">
        <v>97.8</v>
      </c>
      <c r="H1262" s="5">
        <v>97.7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98.6</v>
      </c>
      <c r="D1263" s="5">
        <v>0.1</v>
      </c>
      <c r="E1263" s="5">
        <v>98.8</v>
      </c>
      <c r="F1263" s="5">
        <v>197.1</v>
      </c>
      <c r="G1263" s="5">
        <v>97.8</v>
      </c>
      <c r="H1263" s="5">
        <v>97.7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100</v>
      </c>
      <c r="D1264" s="5">
        <v>0.1</v>
      </c>
      <c r="E1264" s="5">
        <v>100.1</v>
      </c>
      <c r="F1264" s="5">
        <v>198.5</v>
      </c>
      <c r="G1264" s="5">
        <v>98.6</v>
      </c>
      <c r="H1264" s="5">
        <v>98.5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100</v>
      </c>
      <c r="D1265" s="5">
        <v>0.1</v>
      </c>
      <c r="E1265" s="5">
        <v>100.1</v>
      </c>
      <c r="F1265" s="5">
        <v>198.5</v>
      </c>
      <c r="G1265" s="5">
        <v>98.6</v>
      </c>
      <c r="H1265" s="5">
        <v>98.5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100.7</v>
      </c>
      <c r="D1266" s="5">
        <v>0.1</v>
      </c>
      <c r="E1266" s="5">
        <v>100.8</v>
      </c>
      <c r="F1266" s="5">
        <v>199.3</v>
      </c>
      <c r="G1266" s="5">
        <v>99.1</v>
      </c>
      <c r="H1266" s="5">
        <v>99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100.7</v>
      </c>
      <c r="D1267" s="5">
        <v>0.1</v>
      </c>
      <c r="E1267" s="5">
        <v>100.8</v>
      </c>
      <c r="F1267" s="5">
        <v>199.3</v>
      </c>
      <c r="G1267" s="5">
        <v>99.1</v>
      </c>
      <c r="H1267" s="5">
        <v>99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100.7</v>
      </c>
      <c r="D1268" s="5">
        <v>0.1</v>
      </c>
      <c r="E1268" s="5">
        <v>100.8</v>
      </c>
      <c r="F1268" s="5">
        <v>199.3</v>
      </c>
      <c r="G1268" s="5">
        <v>99.1</v>
      </c>
      <c r="H1268" s="5">
        <v>99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100.7</v>
      </c>
      <c r="D1269" s="5">
        <v>0.1</v>
      </c>
      <c r="E1269" s="5">
        <v>100.8</v>
      </c>
      <c r="F1269" s="5">
        <v>199.3</v>
      </c>
      <c r="G1269" s="5">
        <v>99.1</v>
      </c>
      <c r="H1269" s="5">
        <v>99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100.2</v>
      </c>
      <c r="D1270" s="5">
        <v>0.1</v>
      </c>
      <c r="E1270" s="5">
        <v>100.3</v>
      </c>
      <c r="F1270" s="5">
        <v>198.1</v>
      </c>
      <c r="G1270" s="5">
        <v>98.5</v>
      </c>
      <c r="H1270" s="5">
        <v>98.4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100.2</v>
      </c>
      <c r="D1271" s="5">
        <v>0.1</v>
      </c>
      <c r="E1271" s="5">
        <v>100.3</v>
      </c>
      <c r="F1271" s="5">
        <v>198.1</v>
      </c>
      <c r="G1271" s="5">
        <v>98.5</v>
      </c>
      <c r="H1271" s="5">
        <v>98.4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100.2</v>
      </c>
      <c r="D1272" s="5">
        <v>0.1</v>
      </c>
      <c r="E1272" s="5">
        <v>100.2</v>
      </c>
      <c r="F1272" s="5">
        <v>196.9</v>
      </c>
      <c r="G1272" s="5">
        <v>97.8</v>
      </c>
      <c r="H1272" s="5">
        <v>97.7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100.2</v>
      </c>
      <c r="D1273" s="5">
        <v>0.1</v>
      </c>
      <c r="E1273" s="5">
        <v>100.2</v>
      </c>
      <c r="F1273" s="5">
        <v>196.9</v>
      </c>
      <c r="G1273" s="5">
        <v>97.8</v>
      </c>
      <c r="H1273" s="5">
        <v>97.7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99.9</v>
      </c>
      <c r="D1274" s="5">
        <v>0.1</v>
      </c>
      <c r="E1274" s="5">
        <v>100</v>
      </c>
      <c r="F1274" s="5">
        <v>198.7</v>
      </c>
      <c r="G1274" s="5">
        <v>98.6</v>
      </c>
      <c r="H1274" s="5">
        <v>98.4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99.9</v>
      </c>
      <c r="D1275" s="5">
        <v>0.1</v>
      </c>
      <c r="E1275" s="5">
        <v>100</v>
      </c>
      <c r="F1275" s="5">
        <v>198.7</v>
      </c>
      <c r="G1275" s="5">
        <v>98.6</v>
      </c>
      <c r="H1275" s="5">
        <v>98.4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100.2</v>
      </c>
      <c r="D1276" s="5">
        <v>0.1</v>
      </c>
      <c r="E1276" s="5">
        <v>100</v>
      </c>
      <c r="F1276" s="5">
        <v>199</v>
      </c>
      <c r="G1276" s="5">
        <v>98.9</v>
      </c>
      <c r="H1276" s="5">
        <v>98.7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100.2</v>
      </c>
      <c r="D1277" s="5">
        <v>0.1</v>
      </c>
      <c r="E1277" s="5">
        <v>100.3</v>
      </c>
      <c r="F1277" s="5">
        <v>199</v>
      </c>
      <c r="G1277" s="5">
        <v>98.9</v>
      </c>
      <c r="H1277" s="5">
        <v>98.7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100.2</v>
      </c>
      <c r="D1278" s="5">
        <v>0.1</v>
      </c>
      <c r="E1278" s="5">
        <v>100.3</v>
      </c>
      <c r="F1278" s="5">
        <v>199</v>
      </c>
      <c r="G1278" s="5">
        <v>98.9</v>
      </c>
      <c r="H1278" s="5">
        <v>98.7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100.2</v>
      </c>
      <c r="D1279" s="5">
        <v>0.1</v>
      </c>
      <c r="E1279" s="5">
        <v>100.3</v>
      </c>
      <c r="F1279" s="5">
        <v>199</v>
      </c>
      <c r="G1279" s="5">
        <v>98.9</v>
      </c>
      <c r="H1279" s="5">
        <v>98.7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100.2</v>
      </c>
      <c r="D1280" s="5">
        <v>0.1</v>
      </c>
      <c r="E1280" s="5">
        <v>100.3</v>
      </c>
      <c r="F1280" s="5">
        <v>199.2</v>
      </c>
      <c r="G1280" s="5">
        <v>99</v>
      </c>
      <c r="H1280" s="5">
        <v>98.9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100.2</v>
      </c>
      <c r="D1281" s="5">
        <v>0.1</v>
      </c>
      <c r="E1281" s="5">
        <v>100.3</v>
      </c>
      <c r="F1281" s="5">
        <v>199.2</v>
      </c>
      <c r="G1281" s="5">
        <v>99</v>
      </c>
      <c r="H1281" s="5">
        <v>98.9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100.6</v>
      </c>
      <c r="D1282" s="5">
        <v>0.1</v>
      </c>
      <c r="E1282" s="5">
        <v>100.8</v>
      </c>
      <c r="F1282" s="5">
        <v>199.7</v>
      </c>
      <c r="G1282" s="5">
        <v>99.2</v>
      </c>
      <c r="H1282" s="5">
        <v>99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100.6</v>
      </c>
      <c r="D1283" s="5">
        <v>0.1</v>
      </c>
      <c r="E1283" s="5">
        <v>100.8</v>
      </c>
      <c r="F1283" s="5">
        <v>199.7</v>
      </c>
      <c r="G1283" s="5">
        <v>99.2</v>
      </c>
      <c r="H1283" s="5">
        <v>99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100.5</v>
      </c>
      <c r="D1284" s="5">
        <v>0.1</v>
      </c>
      <c r="E1284" s="5">
        <v>100.7</v>
      </c>
      <c r="F1284" s="5">
        <v>199.1</v>
      </c>
      <c r="G1284" s="5">
        <v>99</v>
      </c>
      <c r="H1284" s="5">
        <v>98.9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100.5</v>
      </c>
      <c r="D1285" s="5">
        <v>0.1</v>
      </c>
      <c r="E1285" s="5">
        <v>100.7</v>
      </c>
      <c r="F1285" s="5">
        <v>199.1</v>
      </c>
      <c r="G1285" s="5">
        <v>99</v>
      </c>
      <c r="H1285" s="5">
        <v>98.9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99.8</v>
      </c>
      <c r="D1286" s="5">
        <v>0.1</v>
      </c>
      <c r="E1286" s="5">
        <v>99.9</v>
      </c>
      <c r="F1286" s="5">
        <v>198.6</v>
      </c>
      <c r="G1286" s="5">
        <v>98.6</v>
      </c>
      <c r="H1286" s="5">
        <v>98.4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99.8</v>
      </c>
      <c r="D1287" s="5">
        <v>0.1</v>
      </c>
      <c r="E1287" s="5">
        <v>99.9</v>
      </c>
      <c r="F1287" s="5">
        <v>198.6</v>
      </c>
      <c r="G1287" s="5">
        <v>98.6</v>
      </c>
      <c r="H1287" s="5">
        <v>98.4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99.8</v>
      </c>
      <c r="D1288" s="5">
        <v>0.1</v>
      </c>
      <c r="E1288" s="5">
        <v>99.9</v>
      </c>
      <c r="F1288" s="5">
        <v>198.6</v>
      </c>
      <c r="G1288" s="5">
        <v>98.6</v>
      </c>
      <c r="H1288" s="5">
        <v>98.4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99.8</v>
      </c>
      <c r="D1289" s="5">
        <v>0.1</v>
      </c>
      <c r="E1289" s="5">
        <v>99.9</v>
      </c>
      <c r="F1289" s="5">
        <v>198.6</v>
      </c>
      <c r="G1289" s="5">
        <v>98.6</v>
      </c>
      <c r="H1289" s="5">
        <v>98.4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99.8</v>
      </c>
      <c r="D1290" s="5">
        <v>0.1</v>
      </c>
      <c r="E1290" s="5">
        <v>99.9</v>
      </c>
      <c r="F1290" s="5">
        <v>198.6</v>
      </c>
      <c r="G1290" s="5">
        <v>98.6</v>
      </c>
      <c r="H1290" s="5">
        <v>98.4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99.8</v>
      </c>
      <c r="D1291" s="5">
        <v>0.1</v>
      </c>
      <c r="E1291" s="5">
        <v>99.9</v>
      </c>
      <c r="F1291" s="5">
        <v>198.6</v>
      </c>
      <c r="G1291" s="5">
        <v>98.6</v>
      </c>
      <c r="H1291" s="5">
        <v>98.4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100.1</v>
      </c>
      <c r="D1292" s="5">
        <v>0.1</v>
      </c>
      <c r="E1292" s="5">
        <v>100.2</v>
      </c>
      <c r="F1292" s="5">
        <v>198.6</v>
      </c>
      <c r="G1292" s="5">
        <v>98.7</v>
      </c>
      <c r="H1292" s="5">
        <v>98.6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100.1</v>
      </c>
      <c r="D1293" s="5">
        <v>0.1</v>
      </c>
      <c r="E1293" s="5">
        <v>100.2</v>
      </c>
      <c r="F1293" s="5">
        <v>198.6</v>
      </c>
      <c r="G1293" s="5">
        <v>98.7</v>
      </c>
      <c r="H1293" s="5">
        <v>98.6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100.2</v>
      </c>
      <c r="D1294" s="5">
        <v>0.1</v>
      </c>
      <c r="E1294" s="5">
        <v>100.4</v>
      </c>
      <c r="F1294" s="5">
        <v>198.8</v>
      </c>
      <c r="G1294" s="5">
        <v>98.7</v>
      </c>
      <c r="H1294" s="5">
        <v>98.6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100.2</v>
      </c>
      <c r="D1295" s="5">
        <v>0.1</v>
      </c>
      <c r="E1295" s="5">
        <v>100.4</v>
      </c>
      <c r="F1295" s="5">
        <v>198.8</v>
      </c>
      <c r="G1295" s="5">
        <v>98.7</v>
      </c>
      <c r="H1295" s="5">
        <v>98.6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100</v>
      </c>
      <c r="D1296" s="5">
        <v>0.1</v>
      </c>
      <c r="E1296" s="5">
        <v>100.2</v>
      </c>
      <c r="F1296" s="5">
        <v>199.5</v>
      </c>
      <c r="G1296" s="5">
        <v>99.1</v>
      </c>
      <c r="H1296" s="5">
        <v>98.9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100</v>
      </c>
      <c r="D1297" s="5">
        <v>0.1</v>
      </c>
      <c r="E1297" s="5">
        <v>100.2</v>
      </c>
      <c r="F1297" s="5">
        <v>199.5</v>
      </c>
      <c r="G1297" s="5">
        <v>99.1</v>
      </c>
      <c r="H1297" s="5">
        <v>98.9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100</v>
      </c>
      <c r="D1298" s="5">
        <v>0.1</v>
      </c>
      <c r="E1298" s="5">
        <v>100.2</v>
      </c>
      <c r="F1298" s="5">
        <v>199.5</v>
      </c>
      <c r="G1298" s="5">
        <v>99.1</v>
      </c>
      <c r="H1298" s="5">
        <v>98.9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100</v>
      </c>
      <c r="D1299" s="5">
        <v>0.1</v>
      </c>
      <c r="E1299" s="5">
        <v>100.2</v>
      </c>
      <c r="F1299" s="5">
        <v>199.5</v>
      </c>
      <c r="G1299" s="5">
        <v>99.1</v>
      </c>
      <c r="H1299" s="5">
        <v>98.9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100.8</v>
      </c>
      <c r="D1300" s="5">
        <v>0.1</v>
      </c>
      <c r="E1300" s="5">
        <v>101</v>
      </c>
      <c r="F1300" s="5">
        <v>200.7</v>
      </c>
      <c r="G1300" s="5">
        <v>99.7</v>
      </c>
      <c r="H1300" s="5">
        <v>99.6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100.8</v>
      </c>
      <c r="D1301" s="5">
        <v>0.1</v>
      </c>
      <c r="E1301" s="5">
        <v>101</v>
      </c>
      <c r="F1301" s="5">
        <v>200.7</v>
      </c>
      <c r="G1301" s="5">
        <v>99.7</v>
      </c>
      <c r="H1301" s="5">
        <v>99.6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100.6</v>
      </c>
      <c r="D1302" s="5">
        <v>0.1</v>
      </c>
      <c r="E1302" s="5">
        <v>100.8</v>
      </c>
      <c r="F1302" s="5">
        <v>200.6</v>
      </c>
      <c r="G1302" s="5">
        <v>99.6</v>
      </c>
      <c r="H1302" s="5">
        <v>99.5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100.6</v>
      </c>
      <c r="D1303" s="5">
        <v>0.1</v>
      </c>
      <c r="E1303" s="5">
        <v>100.8</v>
      </c>
      <c r="F1303" s="5">
        <v>200.6</v>
      </c>
      <c r="G1303" s="5">
        <v>99.6</v>
      </c>
      <c r="H1303" s="5">
        <v>99.5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100.3</v>
      </c>
      <c r="D1304" s="5">
        <v>0.1</v>
      </c>
      <c r="E1304" s="5">
        <v>100.5</v>
      </c>
      <c r="F1304" s="5">
        <v>199.9</v>
      </c>
      <c r="G1304" s="5">
        <v>99.3</v>
      </c>
      <c r="H1304" s="5">
        <v>99.2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100.3</v>
      </c>
      <c r="D1305" s="5">
        <v>0.1</v>
      </c>
      <c r="E1305" s="5">
        <v>100.5</v>
      </c>
      <c r="F1305" s="5">
        <v>199.9</v>
      </c>
      <c r="G1305" s="5">
        <v>99.3</v>
      </c>
      <c r="H1305" s="5">
        <v>99.2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100.3</v>
      </c>
      <c r="D1306" s="5">
        <v>0.1</v>
      </c>
      <c r="E1306" s="5">
        <v>100.5</v>
      </c>
      <c r="F1306" s="5">
        <v>200</v>
      </c>
      <c r="G1306" s="5">
        <v>99.3</v>
      </c>
      <c r="H1306" s="5">
        <v>99.2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100.3</v>
      </c>
      <c r="D1307" s="5">
        <v>0.1</v>
      </c>
      <c r="E1307" s="5">
        <v>100.5</v>
      </c>
      <c r="F1307" s="5">
        <v>200</v>
      </c>
      <c r="G1307" s="5">
        <v>99.3</v>
      </c>
      <c r="H1307" s="5">
        <v>99.2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100.3</v>
      </c>
      <c r="D1308" s="5">
        <v>0.1</v>
      </c>
      <c r="E1308" s="5">
        <v>100.5</v>
      </c>
      <c r="F1308" s="5">
        <v>200</v>
      </c>
      <c r="G1308" s="5">
        <v>99.3</v>
      </c>
      <c r="H1308" s="5">
        <v>99.2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100.3</v>
      </c>
      <c r="D1309" s="5">
        <v>0.1</v>
      </c>
      <c r="E1309" s="5">
        <v>100.5</v>
      </c>
      <c r="F1309" s="5">
        <v>200</v>
      </c>
      <c r="G1309" s="5">
        <v>99.3</v>
      </c>
      <c r="H1309" s="5">
        <v>99.2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105.5</v>
      </c>
      <c r="D1310" s="5">
        <v>0.1</v>
      </c>
      <c r="E1310" s="5">
        <v>105.6</v>
      </c>
      <c r="F1310" s="5">
        <v>209.7</v>
      </c>
      <c r="G1310" s="5">
        <v>104.2</v>
      </c>
      <c r="H1310" s="5">
        <v>104.1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105.5</v>
      </c>
      <c r="D1311" s="5">
        <v>0.1</v>
      </c>
      <c r="E1311" s="5">
        <v>105.6</v>
      </c>
      <c r="F1311" s="5">
        <v>209.7</v>
      </c>
      <c r="G1311" s="5">
        <v>104.2</v>
      </c>
      <c r="H1311" s="5">
        <v>104.1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105</v>
      </c>
      <c r="D1312" s="5">
        <v>0.1</v>
      </c>
      <c r="E1312" s="5">
        <v>105.2</v>
      </c>
      <c r="F1312" s="5">
        <v>210</v>
      </c>
      <c r="G1312" s="5">
        <v>104.3</v>
      </c>
      <c r="H1312" s="5">
        <v>104.1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105</v>
      </c>
      <c r="D1313" s="5">
        <v>0.1</v>
      </c>
      <c r="E1313" s="5">
        <v>105.2</v>
      </c>
      <c r="F1313" s="5">
        <v>210</v>
      </c>
      <c r="G1313" s="5">
        <v>104.3</v>
      </c>
      <c r="H1313" s="5">
        <v>104.1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105.3</v>
      </c>
      <c r="D1314" s="5">
        <v>0.1</v>
      </c>
      <c r="E1314" s="5">
        <v>105.4</v>
      </c>
      <c r="F1314" s="5">
        <v>210.4</v>
      </c>
      <c r="G1314" s="5">
        <v>104.5</v>
      </c>
      <c r="H1314" s="5">
        <v>104.3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105.3</v>
      </c>
      <c r="D1315" s="5">
        <v>0.1</v>
      </c>
      <c r="E1315" s="5">
        <v>105.4</v>
      </c>
      <c r="F1315" s="5">
        <v>210.4</v>
      </c>
      <c r="G1315" s="5">
        <v>104.5</v>
      </c>
      <c r="H1315" s="5">
        <v>104.3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105.6</v>
      </c>
      <c r="D1316" s="5">
        <v>0.1</v>
      </c>
      <c r="E1316" s="5">
        <v>105.8</v>
      </c>
      <c r="F1316" s="5">
        <v>210.4</v>
      </c>
      <c r="G1316" s="5">
        <v>104.6</v>
      </c>
      <c r="H1316" s="5">
        <v>104.4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105.6</v>
      </c>
      <c r="D1317" s="5">
        <v>0.1</v>
      </c>
      <c r="E1317" s="5">
        <v>105.8</v>
      </c>
      <c r="F1317" s="5">
        <v>210.4</v>
      </c>
      <c r="G1317" s="5">
        <v>104.6</v>
      </c>
      <c r="H1317" s="5">
        <v>104.4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105.6</v>
      </c>
      <c r="D1318" s="5">
        <v>0.1</v>
      </c>
      <c r="E1318" s="5">
        <v>105.8</v>
      </c>
      <c r="F1318" s="5">
        <v>210.4</v>
      </c>
      <c r="G1318" s="5">
        <v>104.6</v>
      </c>
      <c r="H1318" s="5">
        <v>104.4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105.6</v>
      </c>
      <c r="D1319" s="5">
        <v>0.1</v>
      </c>
      <c r="E1319" s="5">
        <v>105.8</v>
      </c>
      <c r="F1319" s="5">
        <v>210.4</v>
      </c>
      <c r="G1319" s="5">
        <v>104.6</v>
      </c>
      <c r="H1319" s="5">
        <v>104.4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105.7</v>
      </c>
      <c r="D1320" s="5">
        <v>0.1</v>
      </c>
      <c r="E1320" s="5">
        <v>105.9</v>
      </c>
      <c r="F1320" s="5">
        <v>209.8</v>
      </c>
      <c r="G1320" s="5">
        <v>104.2</v>
      </c>
      <c r="H1320" s="5">
        <v>104.1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105.7</v>
      </c>
      <c r="D1321" s="5">
        <v>0.1</v>
      </c>
      <c r="E1321" s="5">
        <v>105.9</v>
      </c>
      <c r="F1321" s="5">
        <v>209.8</v>
      </c>
      <c r="G1321" s="5">
        <v>104.2</v>
      </c>
      <c r="H1321" s="5">
        <v>104.1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105.1</v>
      </c>
      <c r="D1322" s="5">
        <v>0.1</v>
      </c>
      <c r="E1322" s="5">
        <v>105.3</v>
      </c>
      <c r="F1322" s="5">
        <v>208.8</v>
      </c>
      <c r="G1322" s="5">
        <v>103.7</v>
      </c>
      <c r="H1322" s="5">
        <v>103.6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105.1</v>
      </c>
      <c r="D1323" s="5">
        <v>0.1</v>
      </c>
      <c r="E1323" s="5">
        <v>105.3</v>
      </c>
      <c r="F1323" s="5">
        <v>208.8</v>
      </c>
      <c r="G1323" s="5">
        <v>103.7</v>
      </c>
      <c r="H1323" s="5">
        <v>103.6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105.8</v>
      </c>
      <c r="D1324" s="5">
        <v>0.1</v>
      </c>
      <c r="E1324" s="5">
        <v>105.9</v>
      </c>
      <c r="F1324" s="5">
        <v>210</v>
      </c>
      <c r="G1324" s="5">
        <v>104.4</v>
      </c>
      <c r="H1324" s="5">
        <v>104.3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105.8</v>
      </c>
      <c r="D1325" s="5">
        <v>0.1</v>
      </c>
      <c r="E1325" s="5">
        <v>105.9</v>
      </c>
      <c r="F1325" s="5">
        <v>210</v>
      </c>
      <c r="G1325" s="5">
        <v>104.4</v>
      </c>
      <c r="H1325" s="5">
        <v>104.3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105.6</v>
      </c>
      <c r="D1326" s="5">
        <v>0.1</v>
      </c>
      <c r="E1326" s="5">
        <v>105.7</v>
      </c>
      <c r="F1326" s="5">
        <v>209.9</v>
      </c>
      <c r="G1326" s="5">
        <v>104.2</v>
      </c>
      <c r="H1326" s="5">
        <v>104.1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105.6</v>
      </c>
      <c r="D1327" s="5">
        <v>0.1</v>
      </c>
      <c r="E1327" s="5">
        <v>105.7</v>
      </c>
      <c r="F1327" s="5">
        <v>209.9</v>
      </c>
      <c r="G1327" s="5">
        <v>104.2</v>
      </c>
      <c r="H1327" s="5">
        <v>104.1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105.6</v>
      </c>
      <c r="D1328" s="5">
        <v>0.1</v>
      </c>
      <c r="E1328" s="5">
        <v>105.7</v>
      </c>
      <c r="F1328" s="5">
        <v>209.9</v>
      </c>
      <c r="G1328" s="5">
        <v>104.2</v>
      </c>
      <c r="H1328" s="5">
        <v>104.1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105.6</v>
      </c>
      <c r="D1329" s="5">
        <v>0.1</v>
      </c>
      <c r="E1329" s="5">
        <v>105.7</v>
      </c>
      <c r="F1329" s="5">
        <v>209.9</v>
      </c>
      <c r="G1329" s="5">
        <v>104.2</v>
      </c>
      <c r="H1329" s="5">
        <v>104.1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106.1</v>
      </c>
      <c r="D1330" s="5">
        <v>0.1</v>
      </c>
      <c r="E1330" s="5">
        <v>106.2</v>
      </c>
      <c r="F1330" s="5">
        <v>210.4</v>
      </c>
      <c r="G1330" s="5">
        <v>104.5</v>
      </c>
      <c r="H1330" s="5">
        <v>104.3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106.1</v>
      </c>
      <c r="D1331" s="5">
        <v>0.1</v>
      </c>
      <c r="E1331" s="5">
        <v>106.2</v>
      </c>
      <c r="F1331" s="5">
        <v>210.4</v>
      </c>
      <c r="G1331" s="5">
        <v>104.5</v>
      </c>
      <c r="H1331" s="5">
        <v>104.3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106.1</v>
      </c>
      <c r="D1332" s="5">
        <v>0.1</v>
      </c>
      <c r="E1332" s="5">
        <v>106.2</v>
      </c>
      <c r="F1332" s="5">
        <v>211</v>
      </c>
      <c r="G1332" s="5">
        <v>104.8</v>
      </c>
      <c r="H1332" s="5">
        <v>104.6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106.1</v>
      </c>
      <c r="D1333" s="5">
        <v>0.1</v>
      </c>
      <c r="E1333" s="5">
        <v>106.2</v>
      </c>
      <c r="F1333" s="5">
        <v>211</v>
      </c>
      <c r="G1333" s="5">
        <v>104.8</v>
      </c>
      <c r="H1333" s="5">
        <v>104.6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106.1</v>
      </c>
      <c r="D1334" s="5">
        <v>0.1</v>
      </c>
      <c r="E1334" s="5">
        <v>106.2</v>
      </c>
      <c r="F1334" s="5">
        <v>209.7</v>
      </c>
      <c r="G1334" s="5">
        <v>104.2</v>
      </c>
      <c r="H1334" s="5">
        <v>104.1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106.1</v>
      </c>
      <c r="D1335" s="5">
        <v>0.1</v>
      </c>
      <c r="E1335" s="5">
        <v>106.2</v>
      </c>
      <c r="F1335" s="5">
        <v>209.7</v>
      </c>
      <c r="G1335" s="5">
        <v>104.2</v>
      </c>
      <c r="H1335" s="5">
        <v>104.1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106.2</v>
      </c>
      <c r="D1336" s="5">
        <v>0.1</v>
      </c>
      <c r="E1336" s="5">
        <v>106.3</v>
      </c>
      <c r="F1336" s="5">
        <v>209.8</v>
      </c>
      <c r="G1336" s="5">
        <v>104.3</v>
      </c>
      <c r="H1336" s="5">
        <v>104.2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106.2</v>
      </c>
      <c r="D1337" s="5">
        <v>0.1</v>
      </c>
      <c r="E1337" s="5">
        <v>106.3</v>
      </c>
      <c r="F1337" s="5">
        <v>209.8</v>
      </c>
      <c r="G1337" s="5">
        <v>104.3</v>
      </c>
      <c r="H1337" s="5">
        <v>104.2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106.2</v>
      </c>
      <c r="D1338" s="5">
        <v>0.1</v>
      </c>
      <c r="E1338" s="5">
        <v>106.3</v>
      </c>
      <c r="F1338" s="5">
        <v>209.8</v>
      </c>
      <c r="G1338" s="5">
        <v>104.3</v>
      </c>
      <c r="H1338" s="5">
        <v>104.2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106.2</v>
      </c>
      <c r="D1339" s="5">
        <v>0.1</v>
      </c>
      <c r="E1339" s="5">
        <v>106.3</v>
      </c>
      <c r="F1339" s="5">
        <v>209.8</v>
      </c>
      <c r="G1339" s="5">
        <v>104.3</v>
      </c>
      <c r="H1339" s="5">
        <v>104.2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106.2</v>
      </c>
      <c r="D1340" s="5">
        <v>0.1</v>
      </c>
      <c r="E1340" s="5">
        <v>106.4</v>
      </c>
      <c r="F1340" s="5">
        <v>210.9</v>
      </c>
      <c r="G1340" s="5">
        <v>104.7</v>
      </c>
      <c r="H1340" s="5">
        <v>104.5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106.2</v>
      </c>
      <c r="D1341" s="5">
        <v>0.1</v>
      </c>
      <c r="E1341" s="5">
        <v>106.4</v>
      </c>
      <c r="F1341" s="5">
        <v>210.9</v>
      </c>
      <c r="G1341" s="5">
        <v>104.7</v>
      </c>
      <c r="H1341" s="5">
        <v>104.5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105.7</v>
      </c>
      <c r="D1342" s="5">
        <v>0.1</v>
      </c>
      <c r="E1342" s="5">
        <v>105.9</v>
      </c>
      <c r="F1342" s="5">
        <v>210.5</v>
      </c>
      <c r="G1342" s="5">
        <v>104.5</v>
      </c>
      <c r="H1342" s="5">
        <v>104.4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105.7</v>
      </c>
      <c r="D1343" s="5">
        <v>0.1</v>
      </c>
      <c r="E1343" s="5">
        <v>105.9</v>
      </c>
      <c r="F1343" s="5">
        <v>210.5</v>
      </c>
      <c r="G1343" s="5">
        <v>104.5</v>
      </c>
      <c r="H1343" s="5">
        <v>104.4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106.2</v>
      </c>
      <c r="D1344" s="5">
        <v>0.1</v>
      </c>
      <c r="E1344" s="5">
        <v>106.3</v>
      </c>
      <c r="F1344" s="5">
        <v>210.8</v>
      </c>
      <c r="G1344" s="5">
        <v>104.7</v>
      </c>
      <c r="H1344" s="5">
        <v>104.6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106.2</v>
      </c>
      <c r="D1345" s="5">
        <v>0.1</v>
      </c>
      <c r="E1345" s="5">
        <v>106.3</v>
      </c>
      <c r="F1345" s="5">
        <v>210.8</v>
      </c>
      <c r="G1345" s="5">
        <v>104.7</v>
      </c>
      <c r="H1345" s="5">
        <v>104.6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105.6</v>
      </c>
      <c r="D1346" s="5">
        <v>0.1</v>
      </c>
      <c r="E1346" s="5">
        <v>105.7</v>
      </c>
      <c r="F1346" s="5">
        <v>210</v>
      </c>
      <c r="G1346" s="5">
        <v>104.3</v>
      </c>
      <c r="H1346" s="5">
        <v>104.1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105.6</v>
      </c>
      <c r="D1347" s="5">
        <v>0.1</v>
      </c>
      <c r="E1347" s="5">
        <v>105.7</v>
      </c>
      <c r="F1347" s="5">
        <v>210</v>
      </c>
      <c r="G1347" s="5">
        <v>104.3</v>
      </c>
      <c r="H1347" s="5">
        <v>104.1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105.6</v>
      </c>
      <c r="D1348" s="5">
        <v>0.1</v>
      </c>
      <c r="E1348" s="5">
        <v>105.7</v>
      </c>
      <c r="F1348" s="5">
        <v>210</v>
      </c>
      <c r="G1348" s="5">
        <v>104.3</v>
      </c>
      <c r="H1348" s="5">
        <v>104.1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106.2</v>
      </c>
      <c r="D1349" s="5">
        <v>0.1</v>
      </c>
      <c r="E1349" s="5">
        <v>106.3</v>
      </c>
      <c r="F1349" s="5">
        <v>211</v>
      </c>
      <c r="G1349" s="5">
        <v>104.9</v>
      </c>
      <c r="H1349" s="5">
        <v>104.8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106.2</v>
      </c>
      <c r="D1350" s="5">
        <v>0.1</v>
      </c>
      <c r="E1350" s="5">
        <v>106.3</v>
      </c>
      <c r="F1350" s="5">
        <v>211</v>
      </c>
      <c r="G1350" s="5">
        <v>104.9</v>
      </c>
      <c r="H1350" s="5">
        <v>104.8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106.6</v>
      </c>
      <c r="D1351" s="5">
        <v>0.1</v>
      </c>
      <c r="E1351" s="5">
        <v>106.8</v>
      </c>
      <c r="F1351" s="5">
        <v>211.9</v>
      </c>
      <c r="G1351" s="5">
        <v>105.3</v>
      </c>
      <c r="H1351" s="5">
        <v>105.2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106.6</v>
      </c>
      <c r="D1352" s="5">
        <v>0.1</v>
      </c>
      <c r="E1352" s="5">
        <v>106.8</v>
      </c>
      <c r="F1352" s="5">
        <v>211.9</v>
      </c>
      <c r="G1352" s="5">
        <v>105.3</v>
      </c>
      <c r="H1352" s="5">
        <v>105.2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106.4</v>
      </c>
      <c r="D1353" s="5">
        <v>0.1</v>
      </c>
      <c r="E1353" s="5">
        <v>106.6</v>
      </c>
      <c r="F1353" s="5">
        <v>211.7</v>
      </c>
      <c r="G1353" s="5">
        <v>105.2</v>
      </c>
      <c r="H1353" s="5">
        <v>105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106.4</v>
      </c>
      <c r="D1354" s="5">
        <v>0.1</v>
      </c>
      <c r="E1354" s="5">
        <v>106.6</v>
      </c>
      <c r="F1354" s="5">
        <v>211.7</v>
      </c>
      <c r="G1354" s="5">
        <v>105.2</v>
      </c>
      <c r="H1354" s="5">
        <v>105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106.4</v>
      </c>
      <c r="D1355" s="5">
        <v>0.1</v>
      </c>
      <c r="E1355" s="5">
        <v>106.6</v>
      </c>
      <c r="F1355" s="5">
        <v>211.7</v>
      </c>
      <c r="G1355" s="5">
        <v>105.2</v>
      </c>
      <c r="H1355" s="5">
        <v>105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106.4</v>
      </c>
      <c r="D1356" s="5">
        <v>0.1</v>
      </c>
      <c r="E1356" s="5">
        <v>106.6</v>
      </c>
      <c r="F1356" s="5">
        <v>211.7</v>
      </c>
      <c r="G1356" s="5">
        <v>105.2</v>
      </c>
      <c r="H1356" s="5">
        <v>105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106</v>
      </c>
      <c r="D1357" s="5">
        <v>0.1</v>
      </c>
      <c r="E1357" s="5">
        <v>106.2</v>
      </c>
      <c r="F1357" s="5">
        <v>210.7</v>
      </c>
      <c r="G1357" s="5">
        <v>104.7</v>
      </c>
      <c r="H1357" s="5">
        <v>104.6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106</v>
      </c>
      <c r="D1358" s="5">
        <v>0.1</v>
      </c>
      <c r="E1358" s="5">
        <v>106.2</v>
      </c>
      <c r="F1358" s="5">
        <v>210.7</v>
      </c>
      <c r="G1358" s="5">
        <v>104.7</v>
      </c>
      <c r="H1358" s="5">
        <v>104.6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106.2</v>
      </c>
      <c r="D1359" s="5">
        <v>0.1</v>
      </c>
      <c r="E1359" s="5">
        <v>106.4</v>
      </c>
      <c r="F1359" s="5">
        <v>210.8</v>
      </c>
      <c r="G1359" s="5">
        <v>104.7</v>
      </c>
      <c r="H1359" s="5">
        <v>104.6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106.2</v>
      </c>
      <c r="D1360" s="5">
        <v>0.1</v>
      </c>
      <c r="E1360" s="5">
        <v>106.4</v>
      </c>
      <c r="F1360" s="5">
        <v>210.8</v>
      </c>
      <c r="G1360" s="5">
        <v>104.7</v>
      </c>
      <c r="H1360" s="5">
        <v>104.6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106.9</v>
      </c>
      <c r="D1361" s="5">
        <v>0.1</v>
      </c>
      <c r="E1361" s="5">
        <v>107</v>
      </c>
      <c r="F1361" s="5">
        <v>212</v>
      </c>
      <c r="G1361" s="5">
        <v>105.3</v>
      </c>
      <c r="H1361" s="5">
        <v>105.2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106.9</v>
      </c>
      <c r="D1362" s="5">
        <v>0.1</v>
      </c>
      <c r="E1362" s="5">
        <v>107</v>
      </c>
      <c r="F1362" s="5">
        <v>212</v>
      </c>
      <c r="G1362" s="5">
        <v>105.3</v>
      </c>
      <c r="H1362" s="5">
        <v>105.2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106.9</v>
      </c>
      <c r="D1363" s="5">
        <v>0.1</v>
      </c>
      <c r="E1363" s="5">
        <v>107</v>
      </c>
      <c r="F1363" s="5">
        <v>212.1</v>
      </c>
      <c r="G1363" s="5">
        <v>105.3</v>
      </c>
      <c r="H1363" s="5">
        <v>105.1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106.9</v>
      </c>
      <c r="D1364" s="5">
        <v>0.1</v>
      </c>
      <c r="E1364" s="5">
        <v>107</v>
      </c>
      <c r="F1364" s="5">
        <v>212.1</v>
      </c>
      <c r="G1364" s="5">
        <v>105.3</v>
      </c>
      <c r="H1364" s="5">
        <v>105.1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106.9</v>
      </c>
      <c r="D1365" s="5">
        <v>0.1</v>
      </c>
      <c r="E1365" s="5">
        <v>107</v>
      </c>
      <c r="F1365" s="5">
        <v>212.1</v>
      </c>
      <c r="G1365" s="5">
        <v>105.3</v>
      </c>
      <c r="H1365" s="5">
        <v>105.1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106.9</v>
      </c>
      <c r="D1366" s="5">
        <v>0.1</v>
      </c>
      <c r="E1366" s="5">
        <v>107</v>
      </c>
      <c r="F1366" s="5">
        <v>212.1</v>
      </c>
      <c r="G1366" s="5">
        <v>105.3</v>
      </c>
      <c r="H1366" s="5">
        <v>105.1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106.1</v>
      </c>
      <c r="D1367" s="5">
        <v>0.1</v>
      </c>
      <c r="E1367" s="5">
        <v>106.2</v>
      </c>
      <c r="F1367" s="5">
        <v>211.8</v>
      </c>
      <c r="G1367" s="5">
        <v>105.2</v>
      </c>
      <c r="H1367" s="5">
        <v>105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106.1</v>
      </c>
      <c r="D1368" s="5">
        <v>0.1</v>
      </c>
      <c r="E1368" s="5">
        <v>106.2</v>
      </c>
      <c r="F1368" s="5">
        <v>211.8</v>
      </c>
      <c r="G1368" s="5">
        <v>105.2</v>
      </c>
      <c r="H1368" s="5">
        <v>105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106.1</v>
      </c>
      <c r="D1369" s="5">
        <v>0.1</v>
      </c>
      <c r="E1369" s="5">
        <v>106.2</v>
      </c>
      <c r="F1369" s="5">
        <v>211.5</v>
      </c>
      <c r="G1369" s="5">
        <v>105</v>
      </c>
      <c r="H1369" s="5">
        <v>104.8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106.1</v>
      </c>
      <c r="D1370" s="5">
        <v>0.1</v>
      </c>
      <c r="E1370" s="5">
        <v>106.2</v>
      </c>
      <c r="F1370" s="5">
        <v>211.5</v>
      </c>
      <c r="G1370" s="5">
        <v>105</v>
      </c>
      <c r="H1370" s="5">
        <v>104.8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106.6</v>
      </c>
      <c r="D1371" s="5">
        <v>0.1</v>
      </c>
      <c r="E1371" s="5">
        <v>106.7</v>
      </c>
      <c r="F1371" s="5">
        <v>212.1</v>
      </c>
      <c r="G1371" s="5">
        <v>105.5</v>
      </c>
      <c r="H1371" s="5">
        <v>105.3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106.6</v>
      </c>
      <c r="D1372" s="5">
        <v>0.1</v>
      </c>
      <c r="E1372" s="5">
        <v>106.7</v>
      </c>
      <c r="F1372" s="5">
        <v>212.1</v>
      </c>
      <c r="G1372" s="5">
        <v>105.5</v>
      </c>
      <c r="H1372" s="5">
        <v>105.3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106</v>
      </c>
      <c r="D1373" s="5">
        <v>0.1</v>
      </c>
      <c r="E1373" s="5">
        <v>106.2</v>
      </c>
      <c r="F1373" s="5">
        <v>211</v>
      </c>
      <c r="G1373" s="5">
        <v>104.8</v>
      </c>
      <c r="H1373" s="5">
        <v>104.7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106</v>
      </c>
      <c r="D1374" s="5">
        <v>0.1</v>
      </c>
      <c r="E1374" s="5">
        <v>106.2</v>
      </c>
      <c r="F1374" s="5">
        <v>211</v>
      </c>
      <c r="G1374" s="5">
        <v>104.8</v>
      </c>
      <c r="H1374" s="5">
        <v>104.7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106</v>
      </c>
      <c r="D1375" s="5">
        <v>0.1</v>
      </c>
      <c r="E1375" s="5">
        <v>106.2</v>
      </c>
      <c r="F1375" s="5">
        <v>211</v>
      </c>
      <c r="G1375" s="5">
        <v>104.8</v>
      </c>
      <c r="H1375" s="5">
        <v>104.7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106</v>
      </c>
      <c r="D1376" s="5">
        <v>0.1</v>
      </c>
      <c r="E1376" s="5">
        <v>106.2</v>
      </c>
      <c r="F1376" s="5">
        <v>211</v>
      </c>
      <c r="G1376" s="5">
        <v>104.8</v>
      </c>
      <c r="H1376" s="5">
        <v>104.7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107.2</v>
      </c>
      <c r="D1377" s="5">
        <v>0.1</v>
      </c>
      <c r="E1377" s="5">
        <v>107.4</v>
      </c>
      <c r="F1377" s="5">
        <v>211.9</v>
      </c>
      <c r="G1377" s="5">
        <v>105.3</v>
      </c>
      <c r="H1377" s="5">
        <v>105.2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107.2</v>
      </c>
      <c r="D1378" s="5">
        <v>0.1</v>
      </c>
      <c r="E1378" s="5">
        <v>107.4</v>
      </c>
      <c r="F1378" s="5">
        <v>211.9</v>
      </c>
      <c r="G1378" s="5">
        <v>105.3</v>
      </c>
      <c r="H1378" s="5">
        <v>105.2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106.4</v>
      </c>
      <c r="D1379" s="5">
        <v>0.1</v>
      </c>
      <c r="E1379" s="5">
        <v>106.6</v>
      </c>
      <c r="F1379" s="5">
        <v>211.7</v>
      </c>
      <c r="G1379" s="5">
        <v>105.1</v>
      </c>
      <c r="H1379" s="5">
        <v>104.9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106.8</v>
      </c>
      <c r="D1380" s="5">
        <v>0.1</v>
      </c>
      <c r="E1380" s="5">
        <v>106.9</v>
      </c>
      <c r="F1380" s="5">
        <v>212.3</v>
      </c>
      <c r="G1380" s="5">
        <v>105.4</v>
      </c>
      <c r="H1380" s="5">
        <v>105.5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105.9</v>
      </c>
      <c r="D1381" s="5">
        <v>0.1</v>
      </c>
      <c r="E1381" s="5">
        <v>106.1</v>
      </c>
      <c r="F1381" s="5">
        <v>210.7</v>
      </c>
      <c r="G1381" s="5">
        <v>105</v>
      </c>
      <c r="H1381" s="5">
        <v>105.1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105.9</v>
      </c>
      <c r="D1382" s="5">
        <v>0.1</v>
      </c>
      <c r="E1382" s="5">
        <v>106.1</v>
      </c>
      <c r="F1382" s="5">
        <v>210.7</v>
      </c>
      <c r="G1382" s="5">
        <v>105</v>
      </c>
      <c r="H1382" s="5">
        <v>105.1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105.9</v>
      </c>
      <c r="D1383" s="5">
        <v>0.1</v>
      </c>
      <c r="E1383" s="5">
        <v>106.1</v>
      </c>
      <c r="F1383" s="5">
        <v>210.7</v>
      </c>
      <c r="G1383" s="5">
        <v>105</v>
      </c>
      <c r="H1383" s="5">
        <v>105.1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105.9</v>
      </c>
      <c r="D1384" s="5">
        <v>0.1</v>
      </c>
      <c r="E1384" s="5">
        <v>106.1</v>
      </c>
      <c r="F1384" s="5">
        <v>210.7</v>
      </c>
      <c r="G1384" s="5">
        <v>105</v>
      </c>
      <c r="H1384" s="5">
        <v>105.1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106.1</v>
      </c>
      <c r="D1385" s="5">
        <v>0.1</v>
      </c>
      <c r="E1385" s="5">
        <v>106.2</v>
      </c>
      <c r="F1385" s="5">
        <v>210.7</v>
      </c>
      <c r="G1385" s="5">
        <v>104.6</v>
      </c>
      <c r="H1385" s="5">
        <v>104.4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106.1</v>
      </c>
      <c r="D1386" s="5">
        <v>0.1</v>
      </c>
      <c r="E1386" s="5">
        <v>106.2</v>
      </c>
      <c r="F1386" s="5">
        <v>210.7</v>
      </c>
      <c r="G1386" s="5">
        <v>104.6</v>
      </c>
      <c r="H1386" s="5">
        <v>104.4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106</v>
      </c>
      <c r="D1387" s="5">
        <v>0.1</v>
      </c>
      <c r="E1387" s="5">
        <v>106.2</v>
      </c>
      <c r="F1387" s="5">
        <v>210.5</v>
      </c>
      <c r="G1387" s="5">
        <v>104.6</v>
      </c>
      <c r="H1387" s="5">
        <v>104.6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106</v>
      </c>
      <c r="D1388" s="5">
        <v>0.1</v>
      </c>
      <c r="E1388" s="5">
        <v>106.2</v>
      </c>
      <c r="F1388" s="5">
        <v>210.5</v>
      </c>
      <c r="G1388" s="5">
        <v>104.6</v>
      </c>
      <c r="H1388" s="5">
        <v>104.6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106.4</v>
      </c>
      <c r="D1389" s="5">
        <v>0.1</v>
      </c>
      <c r="E1389" s="5">
        <v>106.6</v>
      </c>
      <c r="F1389" s="5">
        <v>211.2</v>
      </c>
      <c r="G1389" s="5">
        <v>105</v>
      </c>
      <c r="H1389" s="5">
        <v>104.8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106.4</v>
      </c>
      <c r="D1390" s="5">
        <v>0.1</v>
      </c>
      <c r="E1390" s="5">
        <v>106.6</v>
      </c>
      <c r="F1390" s="5">
        <v>211.2</v>
      </c>
      <c r="G1390" s="5">
        <v>105</v>
      </c>
      <c r="H1390" s="5">
        <v>104.8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106.2</v>
      </c>
      <c r="D1391" s="5">
        <v>0.1</v>
      </c>
      <c r="E1391" s="5">
        <v>106.3</v>
      </c>
      <c r="F1391" s="5">
        <v>210.1</v>
      </c>
      <c r="G1391" s="5">
        <v>104.4</v>
      </c>
      <c r="H1391" s="5">
        <v>104.3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106.2</v>
      </c>
      <c r="D1392" s="5">
        <v>0.1</v>
      </c>
      <c r="E1392" s="5">
        <v>106.3</v>
      </c>
      <c r="F1392" s="5">
        <v>210.1</v>
      </c>
      <c r="G1392" s="5">
        <v>104.4</v>
      </c>
      <c r="H1392" s="5">
        <v>104.3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106.2</v>
      </c>
      <c r="D1393" s="5">
        <v>0.1</v>
      </c>
      <c r="E1393" s="5">
        <v>106.3</v>
      </c>
      <c r="F1393" s="5">
        <v>210.1</v>
      </c>
      <c r="G1393" s="5">
        <v>104.4</v>
      </c>
      <c r="H1393" s="5">
        <v>104.3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106.2</v>
      </c>
      <c r="D1394" s="5">
        <v>0.1</v>
      </c>
      <c r="E1394" s="5">
        <v>106.3</v>
      </c>
      <c r="F1394" s="5">
        <v>210.1</v>
      </c>
      <c r="G1394" s="5">
        <v>104.4</v>
      </c>
      <c r="H1394" s="5">
        <v>104.3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106.1</v>
      </c>
      <c r="D1395" s="5">
        <v>0.1</v>
      </c>
      <c r="E1395" s="5">
        <v>106.2</v>
      </c>
      <c r="F1395" s="5">
        <v>211.1</v>
      </c>
      <c r="G1395" s="5">
        <v>104.9</v>
      </c>
      <c r="H1395" s="5">
        <v>104.8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106.1</v>
      </c>
      <c r="D1396" s="5">
        <v>0.1</v>
      </c>
      <c r="E1396" s="5">
        <v>106.2</v>
      </c>
      <c r="F1396" s="5">
        <v>211.1</v>
      </c>
      <c r="G1396" s="5">
        <v>104.9</v>
      </c>
      <c r="H1396" s="5">
        <v>104.8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105.5</v>
      </c>
      <c r="D1397" s="5">
        <v>0.1</v>
      </c>
      <c r="E1397" s="5">
        <v>105.6</v>
      </c>
      <c r="F1397" s="5">
        <v>210.2</v>
      </c>
      <c r="G1397" s="5">
        <v>104.4</v>
      </c>
      <c r="H1397" s="5">
        <v>104.2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105.5</v>
      </c>
      <c r="D1398" s="5">
        <v>0.1</v>
      </c>
      <c r="E1398" s="5">
        <v>105.6</v>
      </c>
      <c r="F1398" s="5">
        <v>210.2</v>
      </c>
      <c r="G1398" s="5">
        <v>104.4</v>
      </c>
      <c r="H1398" s="5">
        <v>104.2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106.2</v>
      </c>
      <c r="D1399" s="5">
        <v>0.1</v>
      </c>
      <c r="E1399" s="5">
        <v>106.4</v>
      </c>
      <c r="F1399" s="5">
        <v>210.8</v>
      </c>
      <c r="G1399" s="5">
        <v>104.7</v>
      </c>
      <c r="H1399" s="5">
        <v>104.6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106.2</v>
      </c>
      <c r="D1400" s="5">
        <v>0.1</v>
      </c>
      <c r="E1400" s="5">
        <v>106.4</v>
      </c>
      <c r="F1400" s="5">
        <v>210.8</v>
      </c>
      <c r="G1400" s="5">
        <v>104.7</v>
      </c>
      <c r="H1400" s="5">
        <v>104.6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106.2</v>
      </c>
      <c r="D1401" s="5">
        <v>0.1</v>
      </c>
      <c r="E1401" s="5">
        <v>106.3</v>
      </c>
      <c r="F1401" s="5">
        <v>211.1</v>
      </c>
      <c r="G1401" s="5">
        <v>104.7</v>
      </c>
      <c r="H1401" s="5">
        <v>104.6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106.2</v>
      </c>
      <c r="D1402" s="5">
        <v>0.1</v>
      </c>
      <c r="E1402" s="5">
        <v>106.3</v>
      </c>
      <c r="F1402" s="5">
        <v>211.1</v>
      </c>
      <c r="G1402" s="5">
        <v>104.7</v>
      </c>
      <c r="H1402" s="5">
        <v>104.6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106.2</v>
      </c>
      <c r="D1403" s="5">
        <v>0.1</v>
      </c>
      <c r="E1403" s="5">
        <v>106.3</v>
      </c>
      <c r="F1403" s="5">
        <v>211.1</v>
      </c>
      <c r="G1403" s="5">
        <v>104.7</v>
      </c>
      <c r="H1403" s="5">
        <v>104.6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106.6</v>
      </c>
      <c r="D1404" s="5">
        <v>0.1</v>
      </c>
      <c r="E1404" s="5">
        <v>106.8</v>
      </c>
      <c r="F1404" s="5">
        <v>211.8</v>
      </c>
      <c r="G1404" s="5">
        <v>105.3</v>
      </c>
      <c r="H1404" s="5">
        <v>105.2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105.4</v>
      </c>
      <c r="D1405" s="5">
        <v>0.1</v>
      </c>
      <c r="E1405" s="5">
        <v>104.7</v>
      </c>
      <c r="F1405" s="5">
        <v>208</v>
      </c>
      <c r="G1405" s="5">
        <v>103.4</v>
      </c>
      <c r="H1405" s="5">
        <v>103.3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105.4</v>
      </c>
      <c r="D1406" s="5">
        <v>0.1</v>
      </c>
      <c r="E1406" s="5">
        <v>105.6</v>
      </c>
      <c r="F1406" s="5">
        <v>209.3</v>
      </c>
      <c r="G1406" s="5">
        <v>104</v>
      </c>
      <c r="H1406" s="5">
        <v>103.8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105.4</v>
      </c>
      <c r="D1407" s="5">
        <v>0.1</v>
      </c>
      <c r="E1407" s="5">
        <v>105.6</v>
      </c>
      <c r="F1407" s="5">
        <v>209.3</v>
      </c>
      <c r="G1407" s="5">
        <v>104</v>
      </c>
      <c r="H1407" s="5">
        <v>103.8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104.5</v>
      </c>
      <c r="D1408" s="5">
        <v>0.1</v>
      </c>
      <c r="E1408" s="5">
        <v>104.6</v>
      </c>
      <c r="F1408" s="5">
        <v>208.1</v>
      </c>
      <c r="G1408" s="5">
        <v>103.4</v>
      </c>
      <c r="H1408" s="5">
        <v>103.2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104.5</v>
      </c>
      <c r="D1409" s="5">
        <v>0.1</v>
      </c>
      <c r="E1409" s="5">
        <v>104.6</v>
      </c>
      <c r="F1409" s="5">
        <v>208.1</v>
      </c>
      <c r="G1409" s="5">
        <v>103.4</v>
      </c>
      <c r="H1409" s="5">
        <v>103.2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104.5</v>
      </c>
      <c r="D1410" s="5">
        <v>0.1</v>
      </c>
      <c r="E1410" s="5">
        <v>104.6</v>
      </c>
      <c r="F1410" s="5">
        <v>208.5</v>
      </c>
      <c r="G1410" s="5">
        <v>103.6</v>
      </c>
      <c r="H1410" s="5">
        <v>103.4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104.5</v>
      </c>
      <c r="D1411" s="5">
        <v>0.1</v>
      </c>
      <c r="E1411" s="5">
        <v>104.6</v>
      </c>
      <c r="F1411" s="5">
        <v>208.5</v>
      </c>
      <c r="G1411" s="5">
        <v>103.6</v>
      </c>
      <c r="H1411" s="5">
        <v>103.4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104.5</v>
      </c>
      <c r="D1412" s="5">
        <v>0.1</v>
      </c>
      <c r="E1412" s="5">
        <v>104.6</v>
      </c>
      <c r="F1412" s="5">
        <v>208.5</v>
      </c>
      <c r="G1412" s="5">
        <v>103.6</v>
      </c>
      <c r="H1412" s="5">
        <v>103.4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104.5</v>
      </c>
      <c r="D1413" s="5">
        <v>0.1</v>
      </c>
      <c r="E1413" s="5">
        <v>104.6</v>
      </c>
      <c r="F1413" s="5">
        <v>208.5</v>
      </c>
      <c r="G1413" s="5">
        <v>103.6</v>
      </c>
      <c r="H1413" s="5">
        <v>103.4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104.6</v>
      </c>
      <c r="D1414" s="5">
        <v>0.1</v>
      </c>
      <c r="E1414" s="5">
        <v>104.8</v>
      </c>
      <c r="F1414" s="5">
        <v>208.3</v>
      </c>
      <c r="G1414" s="5">
        <v>103.1</v>
      </c>
      <c r="H1414" s="5">
        <v>102.7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104.6</v>
      </c>
      <c r="D1415" s="5">
        <v>0.1</v>
      </c>
      <c r="E1415" s="5">
        <v>104.8</v>
      </c>
      <c r="F1415" s="5">
        <v>208.3</v>
      </c>
      <c r="G1415" s="5">
        <v>103.1</v>
      </c>
      <c r="H1415" s="5">
        <v>102.7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105.2</v>
      </c>
      <c r="D1416" s="5">
        <v>0.1</v>
      </c>
      <c r="E1416" s="5">
        <v>105.3</v>
      </c>
      <c r="F1416" s="5">
        <v>209</v>
      </c>
      <c r="G1416" s="5">
        <v>103.7</v>
      </c>
      <c r="H1416" s="5">
        <v>103.5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105.2</v>
      </c>
      <c r="D1417" s="5">
        <v>0.1</v>
      </c>
      <c r="E1417" s="5">
        <v>105.3</v>
      </c>
      <c r="F1417" s="5">
        <v>209</v>
      </c>
      <c r="G1417" s="5">
        <v>103.7</v>
      </c>
      <c r="H1417" s="5">
        <v>103.5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104.5</v>
      </c>
      <c r="D1418" s="5">
        <v>0.1</v>
      </c>
      <c r="E1418" s="5">
        <v>104.6</v>
      </c>
      <c r="F1418" s="5">
        <v>207.5</v>
      </c>
      <c r="G1418" s="5">
        <v>103.2</v>
      </c>
      <c r="H1418" s="5">
        <v>103.1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104.5</v>
      </c>
      <c r="D1419" s="5">
        <v>0.1</v>
      </c>
      <c r="E1419" s="5">
        <v>104.6</v>
      </c>
      <c r="F1419" s="5">
        <v>207.5</v>
      </c>
      <c r="G1419" s="5">
        <v>103.2</v>
      </c>
      <c r="H1419" s="5">
        <v>103.1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104</v>
      </c>
      <c r="D1420" s="5">
        <v>0.1</v>
      </c>
      <c r="E1420" s="5">
        <v>104.1</v>
      </c>
      <c r="F1420" s="5">
        <v>206.7</v>
      </c>
      <c r="G1420" s="5">
        <v>102.7</v>
      </c>
      <c r="H1420" s="5">
        <v>102.7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104</v>
      </c>
      <c r="D1421" s="5">
        <v>0.1</v>
      </c>
      <c r="E1421" s="5">
        <v>104.1</v>
      </c>
      <c r="F1421" s="5">
        <v>206.7</v>
      </c>
      <c r="G1421" s="5">
        <v>102.7</v>
      </c>
      <c r="H1421" s="5">
        <v>102.7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106</v>
      </c>
      <c r="D1422" s="5">
        <v>0.1</v>
      </c>
      <c r="E1422" s="5">
        <v>106.1</v>
      </c>
      <c r="F1422" s="5">
        <v>210.9</v>
      </c>
      <c r="G1422" s="5">
        <v>104.9</v>
      </c>
      <c r="H1422" s="5">
        <v>104.7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106</v>
      </c>
      <c r="D1423" s="5">
        <v>0.1</v>
      </c>
      <c r="E1423" s="5">
        <v>106.1</v>
      </c>
      <c r="F1423" s="5">
        <v>210.9</v>
      </c>
      <c r="G1423" s="5">
        <v>104.9</v>
      </c>
      <c r="H1423" s="5">
        <v>104.7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105.8</v>
      </c>
      <c r="D1424" s="5">
        <v>0.1</v>
      </c>
      <c r="E1424" s="5">
        <v>105.9</v>
      </c>
      <c r="F1424" s="5">
        <v>210.9</v>
      </c>
      <c r="G1424" s="5">
        <v>104.8</v>
      </c>
      <c r="H1424" s="5">
        <v>104.1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105.8</v>
      </c>
      <c r="D1425" s="5">
        <v>0.1</v>
      </c>
      <c r="E1425" s="5">
        <v>105.9</v>
      </c>
      <c r="F1425" s="5">
        <v>210.9</v>
      </c>
      <c r="G1425" s="5">
        <v>104.8</v>
      </c>
      <c r="H1425" s="5">
        <v>104.1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106.1</v>
      </c>
      <c r="D1426" s="5">
        <v>0.1</v>
      </c>
      <c r="E1426" s="5">
        <v>106.2</v>
      </c>
      <c r="F1426" s="5">
        <v>211.3</v>
      </c>
      <c r="G1426" s="5">
        <v>105</v>
      </c>
      <c r="H1426" s="5">
        <v>104.9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106.1</v>
      </c>
      <c r="D1427" s="5">
        <v>0.1</v>
      </c>
      <c r="E1427" s="5">
        <v>106.2</v>
      </c>
      <c r="F1427" s="5">
        <v>211.3</v>
      </c>
      <c r="G1427" s="5">
        <v>105</v>
      </c>
      <c r="H1427" s="5">
        <v>104.9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105.1</v>
      </c>
      <c r="D1428" s="5">
        <v>0.1</v>
      </c>
      <c r="E1428" s="5">
        <v>105.3</v>
      </c>
      <c r="F1428" s="5">
        <v>208.3</v>
      </c>
      <c r="G1428" s="5">
        <v>103.6</v>
      </c>
      <c r="H1428" s="5">
        <v>103.5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105.1</v>
      </c>
      <c r="D1429" s="5">
        <v>0.1</v>
      </c>
      <c r="E1429" s="5">
        <v>105.3</v>
      </c>
      <c r="F1429" s="5">
        <v>208.3</v>
      </c>
      <c r="G1429" s="5">
        <v>103.6</v>
      </c>
      <c r="H1429" s="5">
        <v>103.5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105.1</v>
      </c>
      <c r="D1430" s="5">
        <v>0.1</v>
      </c>
      <c r="E1430" s="5">
        <v>105.3</v>
      </c>
      <c r="F1430" s="5">
        <v>208.3</v>
      </c>
      <c r="G1430" s="5">
        <v>103.6</v>
      </c>
      <c r="H1430" s="5">
        <v>103.5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105.1</v>
      </c>
      <c r="D1431" s="5">
        <v>0.1</v>
      </c>
      <c r="E1431" s="5">
        <v>106.5</v>
      </c>
      <c r="F1431" s="5">
        <v>211.3</v>
      </c>
      <c r="G1431" s="5">
        <v>105</v>
      </c>
      <c r="H1431" s="5">
        <v>104.9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105.7</v>
      </c>
      <c r="D1432" s="5">
        <v>0.1</v>
      </c>
      <c r="E1432" s="5">
        <v>105.9</v>
      </c>
      <c r="F1432" s="5">
        <v>210.6</v>
      </c>
      <c r="G1432" s="5">
        <v>104.7</v>
      </c>
      <c r="H1432" s="5">
        <v>104.5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105.7</v>
      </c>
      <c r="D1433" s="5">
        <v>0.1</v>
      </c>
      <c r="E1433" s="5">
        <v>105.9</v>
      </c>
      <c r="F1433" s="5">
        <v>210.6</v>
      </c>
      <c r="G1433" s="5">
        <v>104.7</v>
      </c>
      <c r="H1433" s="5">
        <v>104.5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105.7</v>
      </c>
      <c r="D1434" s="5">
        <v>0.1</v>
      </c>
      <c r="E1434" s="5">
        <v>105.9</v>
      </c>
      <c r="F1434" s="5">
        <v>210.6</v>
      </c>
      <c r="G1434" s="5">
        <v>104.7</v>
      </c>
      <c r="H1434" s="5">
        <v>104.5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105.7</v>
      </c>
      <c r="D1435" s="5">
        <v>0.1</v>
      </c>
      <c r="E1435" s="5">
        <v>105.9</v>
      </c>
      <c r="F1435" s="5">
        <v>210.6</v>
      </c>
      <c r="G1435" s="5">
        <v>104.7</v>
      </c>
      <c r="H1435" s="5">
        <v>104.5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104.9</v>
      </c>
      <c r="D1436" s="5">
        <v>0.1</v>
      </c>
      <c r="E1436" s="5">
        <v>105</v>
      </c>
      <c r="F1436" s="5">
        <v>208.3</v>
      </c>
      <c r="G1436" s="5">
        <v>103.5</v>
      </c>
      <c r="H1436" s="5">
        <v>103.4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104.9</v>
      </c>
      <c r="D1437" s="5">
        <v>0.1</v>
      </c>
      <c r="E1437" s="5">
        <v>105</v>
      </c>
      <c r="F1437" s="5">
        <v>208.3</v>
      </c>
      <c r="G1437" s="5">
        <v>103.5</v>
      </c>
      <c r="H1437" s="5">
        <v>103.4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104.6</v>
      </c>
      <c r="D1438" s="5">
        <v>0.1</v>
      </c>
      <c r="E1438" s="5">
        <v>104.8</v>
      </c>
      <c r="F1438" s="5">
        <v>208.4</v>
      </c>
      <c r="G1438" s="5">
        <v>103.6</v>
      </c>
      <c r="H1438" s="5">
        <v>103.4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104.6</v>
      </c>
      <c r="D1439" s="5">
        <v>0.1</v>
      </c>
      <c r="E1439" s="5">
        <v>104.8</v>
      </c>
      <c r="F1439" s="5">
        <v>208.4</v>
      </c>
      <c r="G1439" s="5">
        <v>103.6</v>
      </c>
      <c r="H1439" s="5">
        <v>103.4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105.1</v>
      </c>
      <c r="D1440" s="5">
        <v>0.1</v>
      </c>
      <c r="E1440" s="5">
        <v>105.3</v>
      </c>
      <c r="F1440" s="5">
        <v>208.6</v>
      </c>
      <c r="G1440" s="5">
        <v>103.6</v>
      </c>
      <c r="H1440" s="5">
        <v>103.4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105.1</v>
      </c>
      <c r="D1441" s="5">
        <v>0.1</v>
      </c>
      <c r="E1441" s="5">
        <v>105.3</v>
      </c>
      <c r="F1441" s="5">
        <v>208.6</v>
      </c>
      <c r="G1441" s="5">
        <v>103.6</v>
      </c>
      <c r="H1441" s="5">
        <v>103.4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104.5</v>
      </c>
      <c r="D1442" s="5">
        <v>0.1</v>
      </c>
      <c r="E1442" s="5">
        <v>104.6</v>
      </c>
      <c r="F1442" s="5">
        <v>207.8</v>
      </c>
      <c r="G1442" s="5">
        <v>103.3</v>
      </c>
      <c r="H1442" s="5">
        <v>103.2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104.5</v>
      </c>
      <c r="D1443" s="5">
        <v>0.1</v>
      </c>
      <c r="E1443" s="5">
        <v>104.6</v>
      </c>
      <c r="F1443" s="5">
        <v>207.8</v>
      </c>
      <c r="G1443" s="5">
        <v>103.3</v>
      </c>
      <c r="H1443" s="5">
        <v>103.2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104.5</v>
      </c>
      <c r="D1444" s="5">
        <v>0.1</v>
      </c>
      <c r="E1444" s="5">
        <v>104.6</v>
      </c>
      <c r="F1444" s="5">
        <v>207.8</v>
      </c>
      <c r="G1444" s="5">
        <v>103.3</v>
      </c>
      <c r="H1444" s="5">
        <v>103.2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104.5</v>
      </c>
      <c r="D1445" s="5">
        <v>0.1</v>
      </c>
      <c r="E1445" s="5">
        <v>104.6</v>
      </c>
      <c r="F1445" s="5">
        <v>207.8</v>
      </c>
      <c r="G1445" s="5">
        <v>103.3</v>
      </c>
      <c r="H1445" s="5">
        <v>103.2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103.1</v>
      </c>
      <c r="D1446" s="5">
        <v>0.1</v>
      </c>
      <c r="E1446" s="5">
        <v>103.3</v>
      </c>
      <c r="F1446" s="5">
        <v>205.5</v>
      </c>
      <c r="G1446" s="5">
        <v>102.2</v>
      </c>
      <c r="H1446" s="5">
        <v>102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103.1</v>
      </c>
      <c r="D1447" s="5">
        <v>0.1</v>
      </c>
      <c r="E1447" s="5">
        <v>103.3</v>
      </c>
      <c r="F1447" s="5">
        <v>205.5</v>
      </c>
      <c r="G1447" s="5">
        <v>102.2</v>
      </c>
      <c r="H1447" s="5">
        <v>102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105</v>
      </c>
      <c r="D1448" s="5">
        <v>0.1</v>
      </c>
      <c r="E1448" s="5">
        <v>105.1</v>
      </c>
      <c r="F1448" s="5">
        <v>208.2</v>
      </c>
      <c r="G1448" s="5">
        <v>103.5</v>
      </c>
      <c r="H1448" s="5">
        <v>103.4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105</v>
      </c>
      <c r="D1449" s="5">
        <v>0.1</v>
      </c>
      <c r="E1449" s="5">
        <v>105.1</v>
      </c>
      <c r="F1449" s="5">
        <v>208.2</v>
      </c>
      <c r="G1449" s="5">
        <v>103.5</v>
      </c>
      <c r="H1449" s="5">
        <v>103.4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105.2</v>
      </c>
      <c r="D1450" s="5">
        <v>0.1</v>
      </c>
      <c r="E1450" s="5">
        <v>105.3</v>
      </c>
      <c r="F1450" s="5">
        <v>208.5</v>
      </c>
      <c r="G1450" s="5">
        <v>103.8</v>
      </c>
      <c r="H1450" s="5">
        <v>103.8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105.2</v>
      </c>
      <c r="D1451" s="5">
        <v>0.1</v>
      </c>
      <c r="E1451" s="5">
        <v>105.3</v>
      </c>
      <c r="F1451" s="5">
        <v>208.5</v>
      </c>
      <c r="G1451" s="5">
        <v>103.8</v>
      </c>
      <c r="H1451" s="5">
        <v>103.8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105.4</v>
      </c>
      <c r="D1452" s="5">
        <v>0.1</v>
      </c>
      <c r="E1452" s="5">
        <v>105.6</v>
      </c>
      <c r="F1452" s="5">
        <v>209.7</v>
      </c>
      <c r="G1452" s="5">
        <v>104.2</v>
      </c>
      <c r="H1452" s="5">
        <v>103.9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105.4</v>
      </c>
      <c r="D1453" s="5">
        <v>0.1</v>
      </c>
      <c r="E1453" s="5">
        <v>105.6</v>
      </c>
      <c r="F1453" s="5">
        <v>209.7</v>
      </c>
      <c r="G1453" s="5">
        <v>104.2</v>
      </c>
      <c r="H1453" s="5">
        <v>103.9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105.4</v>
      </c>
      <c r="D1454" s="5">
        <v>0.1</v>
      </c>
      <c r="E1454" s="5">
        <v>105.6</v>
      </c>
      <c r="F1454" s="5">
        <v>209.7</v>
      </c>
      <c r="G1454" s="5">
        <v>104.2</v>
      </c>
      <c r="H1454" s="5">
        <v>103.9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105.4</v>
      </c>
      <c r="D1455" s="5">
        <v>0.1</v>
      </c>
      <c r="E1455" s="5">
        <v>105.6</v>
      </c>
      <c r="F1455" s="5">
        <v>209.7</v>
      </c>
      <c r="G1455" s="5">
        <v>104.2</v>
      </c>
      <c r="H1455" s="5">
        <v>103.9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105.6</v>
      </c>
      <c r="D1456" s="5">
        <v>0.1</v>
      </c>
      <c r="E1456" s="5">
        <v>105.7</v>
      </c>
      <c r="F1456" s="5">
        <v>209.4</v>
      </c>
      <c r="G1456" s="5">
        <v>104.1</v>
      </c>
      <c r="H1456" s="5">
        <v>104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105.6</v>
      </c>
      <c r="D1457" s="5">
        <v>0.1</v>
      </c>
      <c r="E1457" s="5">
        <v>105.7</v>
      </c>
      <c r="F1457" s="5">
        <v>209.4</v>
      </c>
      <c r="G1457" s="5">
        <v>104.1</v>
      </c>
      <c r="H1457" s="5">
        <v>104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105.2</v>
      </c>
      <c r="D1458" s="5">
        <v>0.1</v>
      </c>
      <c r="E1458" s="5">
        <v>105.3</v>
      </c>
      <c r="F1458" s="5">
        <v>209.3</v>
      </c>
      <c r="G1458" s="5">
        <v>104</v>
      </c>
      <c r="H1458" s="5">
        <v>103.9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105.2</v>
      </c>
      <c r="D1459" s="5">
        <v>0.1</v>
      </c>
      <c r="E1459" s="5">
        <v>105.3</v>
      </c>
      <c r="F1459" s="5">
        <v>209.3</v>
      </c>
      <c r="G1459" s="5">
        <v>104</v>
      </c>
      <c r="H1459" s="5">
        <v>103.9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105.9</v>
      </c>
      <c r="D1460" s="5">
        <v>0.1</v>
      </c>
      <c r="E1460" s="5">
        <v>106</v>
      </c>
      <c r="F1460" s="5">
        <v>209.3</v>
      </c>
      <c r="G1460" s="5">
        <v>104</v>
      </c>
      <c r="H1460" s="5">
        <v>103.8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105.9</v>
      </c>
      <c r="D1461" s="5">
        <v>0.1</v>
      </c>
      <c r="E1461" s="5">
        <v>106</v>
      </c>
      <c r="F1461" s="5">
        <v>209.3</v>
      </c>
      <c r="G1461" s="5">
        <v>104</v>
      </c>
      <c r="H1461" s="5">
        <v>103.8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105</v>
      </c>
      <c r="D1462" s="5">
        <v>0.1</v>
      </c>
      <c r="E1462" s="5">
        <v>105.2</v>
      </c>
      <c r="F1462" s="5">
        <v>209.3</v>
      </c>
      <c r="G1462" s="5">
        <v>104.1</v>
      </c>
      <c r="H1462" s="5">
        <v>104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105</v>
      </c>
      <c r="D1463" s="5">
        <v>0.1</v>
      </c>
      <c r="E1463" s="5">
        <v>105.2</v>
      </c>
      <c r="F1463" s="5">
        <v>209.3</v>
      </c>
      <c r="G1463" s="5">
        <v>104.1</v>
      </c>
      <c r="H1463" s="5">
        <v>104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105</v>
      </c>
      <c r="D1464" s="5">
        <v>0.1</v>
      </c>
      <c r="E1464" s="5">
        <v>105.2</v>
      </c>
      <c r="F1464" s="5">
        <v>209.3</v>
      </c>
      <c r="G1464" s="5">
        <v>104.1</v>
      </c>
      <c r="H1464" s="5">
        <v>104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104.8</v>
      </c>
      <c r="D1465" s="5">
        <v>0.1</v>
      </c>
      <c r="E1465" s="5">
        <v>105</v>
      </c>
      <c r="F1465" s="5">
        <v>208.5</v>
      </c>
      <c r="G1465" s="5">
        <v>103.6</v>
      </c>
      <c r="H1465" s="5">
        <v>103.4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104.8</v>
      </c>
      <c r="D1466" s="5">
        <v>0.1</v>
      </c>
      <c r="E1466" s="5">
        <v>105</v>
      </c>
      <c r="F1466" s="5">
        <v>208.5</v>
      </c>
      <c r="G1466" s="5">
        <v>103.6</v>
      </c>
      <c r="H1466" s="5">
        <v>103.4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104.8</v>
      </c>
      <c r="D1467" s="5">
        <v>0.1</v>
      </c>
      <c r="E1467" s="5">
        <v>105</v>
      </c>
      <c r="F1467" s="5">
        <v>208.6</v>
      </c>
      <c r="G1467" s="5">
        <v>103.6</v>
      </c>
      <c r="H1467" s="5">
        <v>103.4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104.8</v>
      </c>
      <c r="D1468" s="5">
        <v>0.1</v>
      </c>
      <c r="E1468" s="5">
        <v>105</v>
      </c>
      <c r="F1468" s="5">
        <v>208.6</v>
      </c>
      <c r="G1468" s="5">
        <v>103.6</v>
      </c>
      <c r="H1468" s="5">
        <v>103.5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104.9</v>
      </c>
      <c r="D1469" s="5">
        <v>0.1</v>
      </c>
      <c r="E1469" s="5">
        <v>105</v>
      </c>
      <c r="F1469" s="5">
        <v>208.6</v>
      </c>
      <c r="G1469" s="5">
        <v>103.6</v>
      </c>
      <c r="H1469" s="5">
        <v>103.5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104.9</v>
      </c>
      <c r="D1470" s="5">
        <v>0.1</v>
      </c>
      <c r="E1470" s="5">
        <v>105</v>
      </c>
      <c r="F1470" s="5">
        <v>208.4</v>
      </c>
      <c r="G1470" s="5">
        <v>103.5</v>
      </c>
      <c r="H1470" s="5">
        <v>103.4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104.9</v>
      </c>
      <c r="D1471" s="5">
        <v>0.1</v>
      </c>
      <c r="E1471" s="5">
        <v>105</v>
      </c>
      <c r="F1471" s="5">
        <v>208.4</v>
      </c>
      <c r="G1471" s="5">
        <v>103.5</v>
      </c>
      <c r="H1471" s="5">
        <v>103.4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104.6</v>
      </c>
      <c r="D1472" s="5">
        <v>0.1</v>
      </c>
      <c r="E1472" s="5">
        <v>104.8</v>
      </c>
      <c r="F1472" s="5">
        <v>208</v>
      </c>
      <c r="G1472" s="5">
        <v>103.3</v>
      </c>
      <c r="H1472" s="5">
        <v>103.2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104.6</v>
      </c>
      <c r="D1473" s="5">
        <v>0.1</v>
      </c>
      <c r="E1473" s="5">
        <v>104.8</v>
      </c>
      <c r="F1473" s="5">
        <v>208</v>
      </c>
      <c r="G1473" s="5">
        <v>103.3</v>
      </c>
      <c r="H1473" s="5">
        <v>103.2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104.6</v>
      </c>
      <c r="D1474" s="5">
        <v>0.1</v>
      </c>
      <c r="E1474" s="5">
        <v>104.8</v>
      </c>
      <c r="F1474" s="5">
        <v>208</v>
      </c>
      <c r="G1474" s="5">
        <v>103.3</v>
      </c>
      <c r="H1474" s="5">
        <v>103.2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104.6</v>
      </c>
      <c r="D1475" s="5">
        <v>0.1</v>
      </c>
      <c r="E1475" s="5">
        <v>104.8</v>
      </c>
      <c r="F1475" s="5">
        <v>208</v>
      </c>
      <c r="G1475" s="5">
        <v>103.3</v>
      </c>
      <c r="H1475" s="5">
        <v>103.2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103.7</v>
      </c>
      <c r="D1476" s="5">
        <v>0.1</v>
      </c>
      <c r="E1476" s="5">
        <v>103.8</v>
      </c>
      <c r="F1476" s="5">
        <v>206</v>
      </c>
      <c r="G1476" s="5">
        <v>102.4</v>
      </c>
      <c r="H1476" s="5">
        <v>102.2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103.7</v>
      </c>
      <c r="D1477" s="5">
        <v>0.1</v>
      </c>
      <c r="E1477" s="5">
        <v>103.8</v>
      </c>
      <c r="F1477" s="5">
        <v>206</v>
      </c>
      <c r="G1477" s="5">
        <v>102.4</v>
      </c>
      <c r="H1477" s="5">
        <v>102.2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101.3</v>
      </c>
      <c r="D1478" s="5">
        <v>0.1</v>
      </c>
      <c r="E1478" s="5">
        <v>101.5</v>
      </c>
      <c r="F1478" s="5">
        <v>202.6</v>
      </c>
      <c r="G1478" s="5">
        <v>100.7</v>
      </c>
      <c r="H1478" s="5">
        <v>100.5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101.3</v>
      </c>
      <c r="D1479" s="5">
        <v>0.1</v>
      </c>
      <c r="E1479" s="5">
        <v>101.5</v>
      </c>
      <c r="F1479" s="5">
        <v>202.6</v>
      </c>
      <c r="G1479" s="5">
        <v>100.7</v>
      </c>
      <c r="H1479" s="5">
        <v>100.5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101.4</v>
      </c>
      <c r="D1480" s="5">
        <v>0.1</v>
      </c>
      <c r="E1480" s="5">
        <v>101.5</v>
      </c>
      <c r="F1480" s="5">
        <v>201.9</v>
      </c>
      <c r="G1480" s="5">
        <v>100.3</v>
      </c>
      <c r="H1480" s="5">
        <v>100.2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101.4</v>
      </c>
      <c r="D1481" s="5">
        <v>0.1</v>
      </c>
      <c r="E1481" s="5">
        <v>101.5</v>
      </c>
      <c r="F1481" s="5">
        <v>201.9</v>
      </c>
      <c r="G1481" s="5">
        <v>100.3</v>
      </c>
      <c r="H1481" s="5">
        <v>100.2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101.7</v>
      </c>
      <c r="D1482" s="5">
        <v>0.1</v>
      </c>
      <c r="E1482" s="5">
        <v>101.8</v>
      </c>
      <c r="F1482" s="5">
        <v>203</v>
      </c>
      <c r="G1482" s="5">
        <v>100.9</v>
      </c>
      <c r="H1482" s="5">
        <v>100.7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101.7</v>
      </c>
      <c r="D1483" s="5">
        <v>0.1</v>
      </c>
      <c r="E1483" s="5">
        <v>101.8</v>
      </c>
      <c r="F1483" s="5">
        <v>203</v>
      </c>
      <c r="G1483" s="5">
        <v>100.9</v>
      </c>
      <c r="H1483" s="5">
        <v>100.7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101.7</v>
      </c>
      <c r="D1484" s="5">
        <v>0.1</v>
      </c>
      <c r="E1484" s="5">
        <v>101.8</v>
      </c>
      <c r="F1484" s="5">
        <v>203</v>
      </c>
      <c r="G1484" s="5">
        <v>100.9</v>
      </c>
      <c r="H1484" s="5">
        <v>100.7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101.7</v>
      </c>
      <c r="D1485" s="5">
        <v>0.1</v>
      </c>
      <c r="E1485" s="5">
        <v>101.8</v>
      </c>
      <c r="F1485" s="5">
        <v>203</v>
      </c>
      <c r="G1485" s="5">
        <v>100.9</v>
      </c>
      <c r="H1485" s="5">
        <v>100.7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101</v>
      </c>
      <c r="D1486" s="5">
        <v>0.1</v>
      </c>
      <c r="E1486" s="5">
        <v>101.1</v>
      </c>
      <c r="F1486" s="5">
        <v>201.2</v>
      </c>
      <c r="G1486" s="5">
        <v>100.1</v>
      </c>
      <c r="H1486" s="5">
        <v>99.9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101</v>
      </c>
      <c r="D1487" s="5">
        <v>0.1</v>
      </c>
      <c r="E1487" s="5">
        <v>101.1</v>
      </c>
      <c r="F1487" s="5">
        <v>201.2</v>
      </c>
      <c r="G1487" s="5">
        <v>100.1</v>
      </c>
      <c r="H1487" s="5">
        <v>99.9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103.4</v>
      </c>
      <c r="D1488" s="5">
        <v>0.1</v>
      </c>
      <c r="E1488" s="5">
        <v>103.6</v>
      </c>
      <c r="F1488" s="5">
        <v>205.4</v>
      </c>
      <c r="G1488" s="5">
        <v>102.1</v>
      </c>
      <c r="H1488" s="5">
        <v>101.9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103.4</v>
      </c>
      <c r="D1489" s="5">
        <v>0.1</v>
      </c>
      <c r="E1489" s="5">
        <v>103.6</v>
      </c>
      <c r="F1489" s="5">
        <v>205.4</v>
      </c>
      <c r="G1489" s="5">
        <v>102.1</v>
      </c>
      <c r="H1489" s="5">
        <v>101.9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102.5</v>
      </c>
      <c r="D1490" s="5">
        <v>0.1</v>
      </c>
      <c r="E1490" s="5">
        <v>102.7</v>
      </c>
      <c r="F1490" s="5">
        <v>204.1</v>
      </c>
      <c r="G1490" s="5">
        <v>101.6</v>
      </c>
      <c r="H1490" s="5">
        <v>101.2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102.5</v>
      </c>
      <c r="D1491" s="5">
        <v>0.1</v>
      </c>
      <c r="E1491" s="5">
        <v>102.7</v>
      </c>
      <c r="F1491" s="5">
        <v>204.1</v>
      </c>
      <c r="G1491" s="5">
        <v>101.6</v>
      </c>
      <c r="H1491" s="5">
        <v>101.2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105.2</v>
      </c>
      <c r="D1492" s="5">
        <v>0.1</v>
      </c>
      <c r="E1492" s="5">
        <v>105.3</v>
      </c>
      <c r="F1492" s="5">
        <v>208.1</v>
      </c>
      <c r="G1492" s="5">
        <v>103.5</v>
      </c>
      <c r="H1492" s="5">
        <v>103.4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105.2</v>
      </c>
      <c r="D1493" s="5">
        <v>0.1</v>
      </c>
      <c r="E1493" s="5">
        <v>105.3</v>
      </c>
      <c r="F1493" s="5">
        <v>208.1</v>
      </c>
      <c r="G1493" s="5">
        <v>103.5</v>
      </c>
      <c r="H1493" s="5">
        <v>103.4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105.2</v>
      </c>
      <c r="D1494" s="5">
        <v>0.1</v>
      </c>
      <c r="E1494" s="5">
        <v>105.3</v>
      </c>
      <c r="F1494" s="5">
        <v>208.1</v>
      </c>
      <c r="G1494" s="5">
        <v>103.5</v>
      </c>
      <c r="H1494" s="5">
        <v>103.4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105.4</v>
      </c>
      <c r="D1495" s="5">
        <v>0.1</v>
      </c>
      <c r="E1495" s="5">
        <v>105.6</v>
      </c>
      <c r="F1495" s="5">
        <v>209.4</v>
      </c>
      <c r="G1495" s="5">
        <v>104</v>
      </c>
      <c r="H1495" s="5">
        <v>103.9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105.4</v>
      </c>
      <c r="D1496" s="5">
        <v>0.1</v>
      </c>
      <c r="E1496" s="5">
        <v>105.6</v>
      </c>
      <c r="F1496" s="5">
        <v>209.4</v>
      </c>
      <c r="G1496" s="5">
        <v>104</v>
      </c>
      <c r="H1496" s="5">
        <v>103.9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105</v>
      </c>
      <c r="D1497" s="5">
        <v>0.1</v>
      </c>
      <c r="E1497" s="5">
        <v>105.1</v>
      </c>
      <c r="F1497" s="5">
        <v>208.1</v>
      </c>
      <c r="G1497" s="5">
        <v>103.5</v>
      </c>
      <c r="H1497" s="5">
        <v>103.3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105</v>
      </c>
      <c r="D1498" s="5">
        <v>0.1</v>
      </c>
      <c r="E1498" s="5">
        <v>105.1</v>
      </c>
      <c r="F1498" s="5">
        <v>208.1</v>
      </c>
      <c r="G1498" s="5">
        <v>103.5</v>
      </c>
      <c r="H1498" s="5">
        <v>103.3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105.3</v>
      </c>
      <c r="D1499" s="5">
        <v>0.1</v>
      </c>
      <c r="E1499" s="5">
        <v>105.4</v>
      </c>
      <c r="F1499" s="5">
        <v>208.8</v>
      </c>
      <c r="G1499" s="5">
        <v>103.8</v>
      </c>
      <c r="H1499" s="5">
        <v>103.6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105.3</v>
      </c>
      <c r="D1500" s="5">
        <v>0.1</v>
      </c>
      <c r="E1500" s="5">
        <v>105.4</v>
      </c>
      <c r="F1500" s="5">
        <v>208.8</v>
      </c>
      <c r="G1500" s="5">
        <v>103.8</v>
      </c>
      <c r="H1500" s="5">
        <v>103.6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104.5</v>
      </c>
      <c r="D1501" s="5">
        <v>0.1</v>
      </c>
      <c r="E1501" s="5">
        <v>104.6</v>
      </c>
      <c r="F1501" s="5">
        <v>207.7</v>
      </c>
      <c r="G1501" s="5">
        <v>103.2</v>
      </c>
      <c r="H1501" s="5">
        <v>103.1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104.5</v>
      </c>
      <c r="D1502" s="5">
        <v>0.1</v>
      </c>
      <c r="E1502" s="5">
        <v>104.6</v>
      </c>
      <c r="F1502" s="5">
        <v>207.7</v>
      </c>
      <c r="G1502" s="5">
        <v>103.2</v>
      </c>
      <c r="H1502" s="5">
        <v>103.1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104.5</v>
      </c>
      <c r="D1503" s="5">
        <v>0.1</v>
      </c>
      <c r="E1503" s="5">
        <v>104.6</v>
      </c>
      <c r="F1503" s="5">
        <v>207.7</v>
      </c>
      <c r="G1503" s="5">
        <v>103.2</v>
      </c>
      <c r="H1503" s="5">
        <v>103.1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104.5</v>
      </c>
      <c r="D1504" s="5">
        <v>0.1</v>
      </c>
      <c r="E1504" s="5">
        <v>104.6</v>
      </c>
      <c r="F1504" s="5">
        <v>207.7</v>
      </c>
      <c r="G1504" s="5">
        <v>103.2</v>
      </c>
      <c r="H1504" s="5">
        <v>103.1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104.7</v>
      </c>
      <c r="D1505" s="5">
        <v>0.1</v>
      </c>
      <c r="E1505" s="5">
        <v>104.8</v>
      </c>
      <c r="F1505" s="5">
        <v>208.7</v>
      </c>
      <c r="G1505" s="5">
        <v>103.8</v>
      </c>
      <c r="H1505" s="5">
        <v>103.8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104.7</v>
      </c>
      <c r="D1506" s="5">
        <v>0.1</v>
      </c>
      <c r="E1506" s="5">
        <v>104.8</v>
      </c>
      <c r="F1506" s="5">
        <v>208.7</v>
      </c>
      <c r="G1506" s="5">
        <v>103.8</v>
      </c>
      <c r="H1506" s="5">
        <v>103.8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105.1</v>
      </c>
      <c r="D1507" s="5">
        <v>0.1</v>
      </c>
      <c r="E1507" s="5">
        <v>105.3</v>
      </c>
      <c r="F1507" s="5">
        <v>209.2</v>
      </c>
      <c r="G1507" s="5">
        <v>104</v>
      </c>
      <c r="H1507" s="5">
        <v>103.8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105.1</v>
      </c>
      <c r="D1508" s="5">
        <v>0.1</v>
      </c>
      <c r="E1508" s="5">
        <v>105.3</v>
      </c>
      <c r="F1508" s="5">
        <v>209.2</v>
      </c>
      <c r="G1508" s="5">
        <v>104</v>
      </c>
      <c r="H1508" s="5">
        <v>103.8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105.3</v>
      </c>
      <c r="D1509" s="5">
        <v>0.1</v>
      </c>
      <c r="E1509" s="5">
        <v>105.4</v>
      </c>
      <c r="F1509" s="5">
        <v>208.9</v>
      </c>
      <c r="G1509" s="5">
        <v>103.8</v>
      </c>
      <c r="H1509" s="5">
        <v>103.7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105.3</v>
      </c>
      <c r="D1510" s="5">
        <v>0.1</v>
      </c>
      <c r="E1510" s="5">
        <v>105.4</v>
      </c>
      <c r="F1510" s="5">
        <v>208.9</v>
      </c>
      <c r="G1510" s="5">
        <v>103.8</v>
      </c>
      <c r="H1510" s="5">
        <v>103.7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104</v>
      </c>
      <c r="D1511" s="5">
        <v>0.1</v>
      </c>
      <c r="E1511" s="5">
        <v>104.2</v>
      </c>
      <c r="F1511" s="5">
        <v>203.9</v>
      </c>
      <c r="G1511" s="5">
        <v>100.5</v>
      </c>
      <c r="H1511" s="5">
        <v>99.7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104</v>
      </c>
      <c r="D1512" s="5">
        <v>0.1</v>
      </c>
      <c r="E1512" s="5">
        <v>104.2</v>
      </c>
      <c r="F1512" s="5">
        <v>203.9</v>
      </c>
      <c r="G1512" s="5">
        <v>100.5</v>
      </c>
      <c r="H1512" s="5">
        <v>99.7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104</v>
      </c>
      <c r="D1513" s="5">
        <v>0.1</v>
      </c>
      <c r="E1513" s="5">
        <v>104.2</v>
      </c>
      <c r="F1513" s="5">
        <v>203.9</v>
      </c>
      <c r="G1513" s="5">
        <v>100.5</v>
      </c>
      <c r="H1513" s="5">
        <v>99.7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104</v>
      </c>
      <c r="D1514" s="5">
        <v>0.1</v>
      </c>
      <c r="E1514" s="5">
        <v>104.2</v>
      </c>
      <c r="F1514" s="5">
        <v>203.9</v>
      </c>
      <c r="G1514" s="5">
        <v>100.5</v>
      </c>
      <c r="H1514" s="5">
        <v>99.7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101.8</v>
      </c>
      <c r="D1515" s="5">
        <v>0.1</v>
      </c>
      <c r="E1515" s="5">
        <v>101.8</v>
      </c>
      <c r="F1515" s="5">
        <v>201.9</v>
      </c>
      <c r="G1515" s="5">
        <v>100.4</v>
      </c>
      <c r="H1515" s="5">
        <v>100.2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101.8</v>
      </c>
      <c r="D1516" s="5">
        <v>0.1</v>
      </c>
      <c r="E1516" s="5">
        <v>101.8</v>
      </c>
      <c r="F1516" s="5">
        <v>201.9</v>
      </c>
      <c r="G1516" s="5">
        <v>100.4</v>
      </c>
      <c r="H1516" s="5">
        <v>100.2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101.1</v>
      </c>
      <c r="D1517" s="5">
        <v>0.1</v>
      </c>
      <c r="E1517" s="5">
        <v>101.2</v>
      </c>
      <c r="F1517" s="5">
        <v>201.8</v>
      </c>
      <c r="G1517" s="5">
        <v>100.2</v>
      </c>
      <c r="H1517" s="5">
        <v>100.1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101.1</v>
      </c>
      <c r="D1518" s="5">
        <v>0.1</v>
      </c>
      <c r="E1518" s="5">
        <v>101.2</v>
      </c>
      <c r="F1518" s="5">
        <v>201.8</v>
      </c>
      <c r="G1518" s="5">
        <v>100.2</v>
      </c>
      <c r="H1518" s="5">
        <v>100.1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101.7</v>
      </c>
      <c r="D1519" s="5">
        <v>0.1</v>
      </c>
      <c r="E1519" s="5">
        <v>101.2</v>
      </c>
      <c r="F1519" s="5">
        <v>202.2</v>
      </c>
      <c r="G1519" s="5">
        <v>100.5</v>
      </c>
      <c r="H1519" s="5">
        <v>100.3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101.7</v>
      </c>
      <c r="D1520" s="5">
        <v>0.1</v>
      </c>
      <c r="E1520" s="5">
        <v>101.8</v>
      </c>
      <c r="F1520" s="5">
        <v>202.2</v>
      </c>
      <c r="G1520" s="5">
        <v>100.5</v>
      </c>
      <c r="H1520" s="5">
        <v>100.3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101.7</v>
      </c>
      <c r="D1521" s="5">
        <v>0.1</v>
      </c>
      <c r="E1521" s="5">
        <v>101.8</v>
      </c>
      <c r="F1521" s="5">
        <v>202.2</v>
      </c>
      <c r="G1521" s="5">
        <v>100.5</v>
      </c>
      <c r="H1521" s="5">
        <v>100.3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101.7</v>
      </c>
      <c r="D1522" s="5">
        <v>0.1</v>
      </c>
      <c r="E1522" s="5">
        <v>101.8</v>
      </c>
      <c r="F1522" s="5">
        <v>202.2</v>
      </c>
      <c r="G1522" s="5">
        <v>100.5</v>
      </c>
      <c r="H1522" s="5">
        <v>100.3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101.7</v>
      </c>
      <c r="D1523" s="5">
        <v>0.1</v>
      </c>
      <c r="E1523" s="5">
        <v>101.8</v>
      </c>
      <c r="F1523" s="5">
        <v>202.2</v>
      </c>
      <c r="G1523" s="5">
        <v>100.5</v>
      </c>
      <c r="H1523" s="5">
        <v>100.3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101.7</v>
      </c>
      <c r="D1524" s="5">
        <v>0.1</v>
      </c>
      <c r="E1524" s="5">
        <v>101.8</v>
      </c>
      <c r="F1524" s="5">
        <v>202.2</v>
      </c>
      <c r="G1524" s="5">
        <v>100.5</v>
      </c>
      <c r="H1524" s="5">
        <v>100.3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102.3</v>
      </c>
      <c r="D1525" s="5">
        <v>0.1</v>
      </c>
      <c r="E1525" s="5">
        <v>102.4</v>
      </c>
      <c r="F1525" s="5">
        <v>203.7</v>
      </c>
      <c r="G1525" s="5">
        <v>101.5</v>
      </c>
      <c r="H1525" s="5">
        <v>101.6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102.3</v>
      </c>
      <c r="D1526" s="5">
        <v>0.1</v>
      </c>
      <c r="E1526" s="5">
        <v>102.4</v>
      </c>
      <c r="F1526" s="5">
        <v>203.7</v>
      </c>
      <c r="G1526" s="5">
        <v>101.5</v>
      </c>
      <c r="H1526" s="5">
        <v>101.6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105.2</v>
      </c>
      <c r="D1527" s="5">
        <v>0.1</v>
      </c>
      <c r="E1527" s="5">
        <v>105.3</v>
      </c>
      <c r="F1527" s="5">
        <v>209.3</v>
      </c>
      <c r="G1527" s="5">
        <v>104</v>
      </c>
      <c r="H1527" s="5">
        <v>103.9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105.2</v>
      </c>
      <c r="D1528" s="5">
        <v>0.1</v>
      </c>
      <c r="E1528" s="5">
        <v>105.3</v>
      </c>
      <c r="F1528" s="5">
        <v>209.3</v>
      </c>
      <c r="G1528" s="5">
        <v>104</v>
      </c>
      <c r="H1528" s="5">
        <v>103.9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105</v>
      </c>
      <c r="D1529" s="5">
        <v>0.1</v>
      </c>
      <c r="E1529" s="5">
        <v>105.2</v>
      </c>
      <c r="F1529" s="5">
        <v>209.6</v>
      </c>
      <c r="G1529" s="5">
        <v>104.2</v>
      </c>
      <c r="H1529" s="5">
        <v>104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105</v>
      </c>
      <c r="D1530" s="5">
        <v>0.1</v>
      </c>
      <c r="E1530" s="5">
        <v>105.2</v>
      </c>
      <c r="F1530" s="5">
        <v>209.6</v>
      </c>
      <c r="G1530" s="5">
        <v>104.2</v>
      </c>
      <c r="H1530" s="5">
        <v>104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105.6</v>
      </c>
      <c r="D1531" s="5">
        <v>0.1</v>
      </c>
      <c r="E1531" s="5">
        <v>105.8</v>
      </c>
      <c r="F1531" s="5">
        <v>210.2</v>
      </c>
      <c r="G1531" s="5">
        <v>104.5</v>
      </c>
      <c r="H1531" s="5">
        <v>104.4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105.6</v>
      </c>
      <c r="D1532" s="5">
        <v>0.1</v>
      </c>
      <c r="E1532" s="5">
        <v>105.8</v>
      </c>
      <c r="F1532" s="5">
        <v>210.2</v>
      </c>
      <c r="G1532" s="5">
        <v>104.5</v>
      </c>
      <c r="H1532" s="5">
        <v>104.4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105.6</v>
      </c>
      <c r="D1533" s="5">
        <v>0.1</v>
      </c>
      <c r="E1533" s="5">
        <v>105.8</v>
      </c>
      <c r="F1533" s="5">
        <v>210.2</v>
      </c>
      <c r="G1533" s="5">
        <v>104.5</v>
      </c>
      <c r="H1533" s="5">
        <v>104.4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105.6</v>
      </c>
      <c r="D1534" s="5">
        <v>0.1</v>
      </c>
      <c r="E1534" s="5">
        <v>105.8</v>
      </c>
      <c r="F1534" s="5">
        <v>210.2</v>
      </c>
      <c r="G1534" s="5">
        <v>104.5</v>
      </c>
      <c r="H1534" s="5">
        <v>104.4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105.3</v>
      </c>
      <c r="D1535" s="5">
        <v>0.1</v>
      </c>
      <c r="E1535" s="5">
        <v>105.5</v>
      </c>
      <c r="F1535" s="5">
        <v>210</v>
      </c>
      <c r="G1535" s="5">
        <v>104.4</v>
      </c>
      <c r="H1535" s="5">
        <v>104.2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105.3</v>
      </c>
      <c r="D1536" s="5">
        <v>0.1</v>
      </c>
      <c r="E1536" s="5">
        <v>105.5</v>
      </c>
      <c r="F1536" s="5">
        <v>210</v>
      </c>
      <c r="G1536" s="5">
        <v>104.4</v>
      </c>
      <c r="H1536" s="5">
        <v>104.2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105.3</v>
      </c>
      <c r="D1537" s="5">
        <v>0.1</v>
      </c>
      <c r="E1537" s="5">
        <v>105.5</v>
      </c>
      <c r="F1537" s="5">
        <v>210</v>
      </c>
      <c r="G1537" s="5">
        <v>104.4</v>
      </c>
      <c r="H1537" s="5">
        <v>104.2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105.3</v>
      </c>
      <c r="D1538" s="5">
        <v>0.1</v>
      </c>
      <c r="E1538" s="5">
        <v>105.5</v>
      </c>
      <c r="F1538" s="5">
        <v>210</v>
      </c>
      <c r="G1538" s="5">
        <v>104.4</v>
      </c>
      <c r="H1538" s="5">
        <v>104.2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105.6</v>
      </c>
      <c r="D1539" s="5">
        <v>0.1</v>
      </c>
      <c r="E1539" s="5">
        <v>105.8</v>
      </c>
      <c r="F1539" s="5">
        <v>211.1</v>
      </c>
      <c r="G1539" s="5">
        <v>104.9</v>
      </c>
      <c r="H1539" s="5">
        <v>104.7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105.6</v>
      </c>
      <c r="D1540" s="5">
        <v>0.1</v>
      </c>
      <c r="E1540" s="5">
        <v>105.8</v>
      </c>
      <c r="F1540" s="5">
        <v>211.1</v>
      </c>
      <c r="G1540" s="5">
        <v>104.9</v>
      </c>
      <c r="H1540" s="5">
        <v>104.7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106.2</v>
      </c>
      <c r="D1541" s="5">
        <v>0.1</v>
      </c>
      <c r="E1541" s="5">
        <v>106.4</v>
      </c>
      <c r="F1541" s="5">
        <v>210.7</v>
      </c>
      <c r="G1541" s="5">
        <v>104.7</v>
      </c>
      <c r="H1541" s="5">
        <v>104.6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106.2</v>
      </c>
      <c r="D1542" s="5">
        <v>0.1</v>
      </c>
      <c r="E1542" s="5">
        <v>106.4</v>
      </c>
      <c r="F1542" s="5">
        <v>210.7</v>
      </c>
      <c r="G1542" s="5">
        <v>104.7</v>
      </c>
      <c r="H1542" s="5">
        <v>104.6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106.2</v>
      </c>
      <c r="D1543" s="5">
        <v>0.1</v>
      </c>
      <c r="E1543" s="5">
        <v>106.4</v>
      </c>
      <c r="F1543" s="5">
        <v>210.7</v>
      </c>
      <c r="G1543" s="5">
        <v>104.7</v>
      </c>
      <c r="H1543" s="5">
        <v>104.6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106.2</v>
      </c>
      <c r="D1544" s="5">
        <v>0.1</v>
      </c>
      <c r="E1544" s="5">
        <v>106.4</v>
      </c>
      <c r="F1544" s="5">
        <v>210.7</v>
      </c>
      <c r="G1544" s="5">
        <v>104.7</v>
      </c>
      <c r="H1544" s="5">
        <v>104.6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106.4</v>
      </c>
      <c r="D1545" s="5">
        <v>0.1</v>
      </c>
      <c r="E1545" s="5">
        <v>106.6</v>
      </c>
      <c r="F1545" s="5">
        <v>212.1</v>
      </c>
      <c r="G1545" s="5">
        <v>105.4</v>
      </c>
      <c r="H1545" s="5">
        <v>105.3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106.4</v>
      </c>
      <c r="D1546" s="5">
        <v>0.1</v>
      </c>
      <c r="E1546" s="5">
        <v>106.6</v>
      </c>
      <c r="F1546" s="5">
        <v>212.1</v>
      </c>
      <c r="G1546" s="5">
        <v>105.4</v>
      </c>
      <c r="H1546" s="5">
        <v>105.3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105.6</v>
      </c>
      <c r="D1547" s="5">
        <v>0.1</v>
      </c>
      <c r="E1547" s="5">
        <v>105.8</v>
      </c>
      <c r="F1547" s="5">
        <v>211.7</v>
      </c>
      <c r="G1547" s="5">
        <v>105.3</v>
      </c>
      <c r="H1547" s="5">
        <v>105.2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105.6</v>
      </c>
      <c r="D1548" s="5">
        <v>0.1</v>
      </c>
      <c r="E1548" s="5">
        <v>105.8</v>
      </c>
      <c r="F1548" s="5">
        <v>211.7</v>
      </c>
      <c r="G1548" s="5">
        <v>105.3</v>
      </c>
      <c r="H1548" s="5">
        <v>105.2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106.2</v>
      </c>
      <c r="D1549" s="5">
        <v>0.1</v>
      </c>
      <c r="E1549" s="5">
        <v>106.3</v>
      </c>
      <c r="F1549" s="5">
        <v>211.6</v>
      </c>
      <c r="G1549" s="5">
        <v>105.2</v>
      </c>
      <c r="H1549" s="5">
        <v>105.1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106.2</v>
      </c>
      <c r="D1550" s="5">
        <v>0.1</v>
      </c>
      <c r="E1550" s="5">
        <v>106.3</v>
      </c>
      <c r="F1550" s="5">
        <v>211.6</v>
      </c>
      <c r="G1550" s="5">
        <v>105.2</v>
      </c>
      <c r="H1550" s="5">
        <v>105.1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106.9</v>
      </c>
      <c r="D1551" s="5">
        <v>0.1</v>
      </c>
      <c r="E1551" s="5">
        <v>107.1</v>
      </c>
      <c r="F1551" s="5">
        <v>212.4</v>
      </c>
      <c r="G1551" s="5">
        <v>105.5</v>
      </c>
      <c r="H1551" s="5">
        <v>105.3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106.9</v>
      </c>
      <c r="D1552" s="5">
        <v>0.1</v>
      </c>
      <c r="E1552" s="5">
        <v>107.1</v>
      </c>
      <c r="F1552" s="5">
        <v>212.4</v>
      </c>
      <c r="G1552" s="5">
        <v>105.5</v>
      </c>
      <c r="H1552" s="5">
        <v>105.3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106.9</v>
      </c>
      <c r="D1553" s="5">
        <v>0.1</v>
      </c>
      <c r="E1553" s="5">
        <v>107.1</v>
      </c>
      <c r="F1553" s="5">
        <v>212.4</v>
      </c>
      <c r="G1553" s="5">
        <v>105.5</v>
      </c>
      <c r="H1553" s="5">
        <v>105.3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106.9</v>
      </c>
      <c r="D1554" s="5">
        <v>0.1</v>
      </c>
      <c r="E1554" s="5">
        <v>107.1</v>
      </c>
      <c r="F1554" s="5">
        <v>212.4</v>
      </c>
      <c r="G1554" s="5">
        <v>105.5</v>
      </c>
      <c r="H1554" s="5">
        <v>105.3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106.6</v>
      </c>
      <c r="D1555" s="5">
        <v>0.1</v>
      </c>
      <c r="E1555" s="5">
        <v>106.8</v>
      </c>
      <c r="F1555" s="5">
        <v>212.8</v>
      </c>
      <c r="G1555" s="5">
        <v>105.7</v>
      </c>
      <c r="H1555" s="5">
        <v>105.6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106.6</v>
      </c>
      <c r="D1556" s="5">
        <v>0.1</v>
      </c>
      <c r="E1556" s="5">
        <v>106.8</v>
      </c>
      <c r="F1556" s="5">
        <v>212.8</v>
      </c>
      <c r="G1556" s="5">
        <v>105.7</v>
      </c>
      <c r="H1556" s="5">
        <v>105.6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106.3</v>
      </c>
      <c r="D1557" s="5">
        <v>0.1</v>
      </c>
      <c r="E1557" s="5">
        <v>106.5</v>
      </c>
      <c r="F1557" s="5">
        <v>211.1</v>
      </c>
      <c r="G1557" s="5">
        <v>104.9</v>
      </c>
      <c r="H1557" s="5">
        <v>104.8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106.3</v>
      </c>
      <c r="D1558" s="5">
        <v>0.1</v>
      </c>
      <c r="E1558" s="5">
        <v>106.5</v>
      </c>
      <c r="F1558" s="5">
        <v>211.1</v>
      </c>
      <c r="G1558" s="5">
        <v>104.9</v>
      </c>
      <c r="H1558" s="5">
        <v>104.8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107.2</v>
      </c>
      <c r="D1559" s="5">
        <v>0.1</v>
      </c>
      <c r="E1559" s="5">
        <v>107.3</v>
      </c>
      <c r="F1559" s="5">
        <v>212.9</v>
      </c>
      <c r="G1559" s="5">
        <v>105.9</v>
      </c>
      <c r="H1559" s="5">
        <v>105.7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107.2</v>
      </c>
      <c r="D1560" s="5">
        <v>0.1</v>
      </c>
      <c r="E1560" s="5">
        <v>107.3</v>
      </c>
      <c r="F1560" s="5">
        <v>212.9</v>
      </c>
      <c r="G1560" s="5">
        <v>105.9</v>
      </c>
      <c r="H1560" s="5">
        <v>105.7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107</v>
      </c>
      <c r="D1561" s="5">
        <v>0.1</v>
      </c>
      <c r="E1561" s="5">
        <v>107.2</v>
      </c>
      <c r="F1561" s="5">
        <v>212.3</v>
      </c>
      <c r="G1561" s="5">
        <v>105.6</v>
      </c>
      <c r="H1561" s="5">
        <v>105.5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107</v>
      </c>
      <c r="D1562" s="5">
        <v>0.1</v>
      </c>
      <c r="E1562" s="5">
        <v>107.2</v>
      </c>
      <c r="F1562" s="5">
        <v>212.3</v>
      </c>
      <c r="G1562" s="5">
        <v>105.6</v>
      </c>
      <c r="H1562" s="5">
        <v>105.5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107</v>
      </c>
      <c r="D1563" s="5">
        <v>0.1</v>
      </c>
      <c r="E1563" s="5">
        <v>107.2</v>
      </c>
      <c r="F1563" s="5">
        <v>212.3</v>
      </c>
      <c r="G1563" s="5">
        <v>105.6</v>
      </c>
      <c r="H1563" s="5">
        <v>105.5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107</v>
      </c>
      <c r="D1564" s="5">
        <v>0.1</v>
      </c>
      <c r="E1564" s="5">
        <v>107.2</v>
      </c>
      <c r="F1564" s="5">
        <v>212.3</v>
      </c>
      <c r="G1564" s="5">
        <v>105.6</v>
      </c>
      <c r="H1564" s="5">
        <v>105.5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106.4</v>
      </c>
      <c r="D1565" s="5">
        <v>0.1</v>
      </c>
      <c r="E1565" s="5">
        <v>106.6</v>
      </c>
      <c r="F1565" s="5">
        <v>211.8</v>
      </c>
      <c r="G1565" s="5">
        <v>105.2</v>
      </c>
      <c r="H1565" s="5">
        <v>105.1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106.4</v>
      </c>
      <c r="D1566" s="5">
        <v>0.1</v>
      </c>
      <c r="E1566" s="5">
        <v>106.6</v>
      </c>
      <c r="F1566" s="5">
        <v>211.8</v>
      </c>
      <c r="G1566" s="5">
        <v>105.2</v>
      </c>
      <c r="H1566" s="5">
        <v>105.1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106.7</v>
      </c>
      <c r="D1567" s="5">
        <v>0.1</v>
      </c>
      <c r="E1567" s="5">
        <v>106.9</v>
      </c>
      <c r="F1567" s="5">
        <v>212.4</v>
      </c>
      <c r="G1567" s="5">
        <v>105.6</v>
      </c>
      <c r="H1567" s="5">
        <v>105.4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106.7</v>
      </c>
      <c r="D1568" s="5">
        <v>0.1</v>
      </c>
      <c r="E1568" s="5">
        <v>106.9</v>
      </c>
      <c r="F1568" s="5">
        <v>212.4</v>
      </c>
      <c r="G1568" s="5">
        <v>105.6</v>
      </c>
      <c r="H1568" s="5">
        <v>105.4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107</v>
      </c>
      <c r="D1569" s="5">
        <v>0.1</v>
      </c>
      <c r="E1569" s="5">
        <v>107.2</v>
      </c>
      <c r="F1569" s="5">
        <v>212.8</v>
      </c>
      <c r="G1569" s="5">
        <v>105.8</v>
      </c>
      <c r="H1569" s="5">
        <v>105.6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107</v>
      </c>
      <c r="D1570" s="5">
        <v>0.1</v>
      </c>
      <c r="E1570" s="5">
        <v>107.2</v>
      </c>
      <c r="F1570" s="5">
        <v>212.8</v>
      </c>
      <c r="G1570" s="5">
        <v>105.8</v>
      </c>
      <c r="H1570" s="5">
        <v>105.6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106.6</v>
      </c>
      <c r="D1571" s="5">
        <v>0.1</v>
      </c>
      <c r="E1571" s="5">
        <v>106.8</v>
      </c>
      <c r="F1571" s="5">
        <v>212.1</v>
      </c>
      <c r="G1571" s="5">
        <v>105.4</v>
      </c>
      <c r="H1571" s="5">
        <v>105.2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106.6</v>
      </c>
      <c r="D1572" s="5">
        <v>0.1</v>
      </c>
      <c r="E1572" s="5">
        <v>106.8</v>
      </c>
      <c r="F1572" s="5">
        <v>212.1</v>
      </c>
      <c r="G1572" s="5">
        <v>105.4</v>
      </c>
      <c r="H1572" s="5">
        <v>105.2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106.6</v>
      </c>
      <c r="D1573" s="5">
        <v>0.1</v>
      </c>
      <c r="E1573" s="5">
        <v>106.8</v>
      </c>
      <c r="F1573" s="5">
        <v>212.1</v>
      </c>
      <c r="G1573" s="5">
        <v>105.4</v>
      </c>
      <c r="H1573" s="5">
        <v>105.2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106.6</v>
      </c>
      <c r="D1574" s="5">
        <v>0.1</v>
      </c>
      <c r="E1574" s="5">
        <v>106.8</v>
      </c>
      <c r="F1574" s="5">
        <v>212.1</v>
      </c>
      <c r="G1574" s="5">
        <v>105.4</v>
      </c>
      <c r="H1574" s="5">
        <v>105.2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106.2</v>
      </c>
      <c r="D1575" s="5">
        <v>0.1</v>
      </c>
      <c r="E1575" s="5">
        <v>106.3</v>
      </c>
      <c r="F1575" s="5">
        <v>211.4</v>
      </c>
      <c r="G1575" s="5">
        <v>105</v>
      </c>
      <c r="H1575" s="5">
        <v>104.9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106.2</v>
      </c>
      <c r="D1576" s="5">
        <v>0.1</v>
      </c>
      <c r="E1576" s="5">
        <v>106.3</v>
      </c>
      <c r="F1576" s="5">
        <v>211.4</v>
      </c>
      <c r="G1576" s="5">
        <v>105</v>
      </c>
      <c r="H1576" s="5">
        <v>104.9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106.1</v>
      </c>
      <c r="D1577" s="5">
        <v>0.1</v>
      </c>
      <c r="E1577" s="5">
        <v>106.2</v>
      </c>
      <c r="F1577" s="5">
        <v>211.5</v>
      </c>
      <c r="G1577" s="5">
        <v>105.1</v>
      </c>
      <c r="H1577" s="5">
        <v>105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106.1</v>
      </c>
      <c r="D1578" s="5">
        <v>0.1</v>
      </c>
      <c r="E1578" s="5">
        <v>106.2</v>
      </c>
      <c r="F1578" s="5">
        <v>211.5</v>
      </c>
      <c r="G1578" s="5">
        <v>105.1</v>
      </c>
      <c r="H1578" s="5">
        <v>105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106</v>
      </c>
      <c r="D1579" s="5">
        <v>0.1</v>
      </c>
      <c r="E1579" s="5">
        <v>106.2</v>
      </c>
      <c r="F1579" s="5">
        <v>211.2</v>
      </c>
      <c r="G1579" s="5">
        <v>104.9</v>
      </c>
      <c r="H1579" s="5">
        <v>104.7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106</v>
      </c>
      <c r="D1580" s="5">
        <v>0.1</v>
      </c>
      <c r="E1580" s="5">
        <v>106.2</v>
      </c>
      <c r="F1580" s="5">
        <v>211.2</v>
      </c>
      <c r="G1580" s="5">
        <v>104.9</v>
      </c>
      <c r="H1580" s="5">
        <v>104.7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105.1</v>
      </c>
      <c r="D1581" s="5">
        <v>0.1</v>
      </c>
      <c r="E1581" s="5">
        <v>105.3</v>
      </c>
      <c r="F1581" s="5">
        <v>209.4</v>
      </c>
      <c r="G1581" s="5">
        <v>104.2</v>
      </c>
      <c r="H1581" s="5">
        <v>104.2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105.1</v>
      </c>
      <c r="D1582" s="5">
        <v>0.1</v>
      </c>
      <c r="E1582" s="5">
        <v>105.3</v>
      </c>
      <c r="F1582" s="5">
        <v>209.4</v>
      </c>
      <c r="G1582" s="5">
        <v>104.2</v>
      </c>
      <c r="H1582" s="5">
        <v>104.2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105.1</v>
      </c>
      <c r="D1583" s="5">
        <v>0.1</v>
      </c>
      <c r="E1583" s="5">
        <v>105.3</v>
      </c>
      <c r="F1583" s="5">
        <v>209.4</v>
      </c>
      <c r="G1583" s="5">
        <v>104.2</v>
      </c>
      <c r="H1583" s="5">
        <v>104.2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105.1</v>
      </c>
      <c r="D1584" s="5">
        <v>0.1</v>
      </c>
      <c r="E1584" s="5">
        <v>105.3</v>
      </c>
      <c r="F1584" s="5">
        <v>209.4</v>
      </c>
      <c r="G1584" s="5">
        <v>104.2</v>
      </c>
      <c r="H1584" s="5">
        <v>104.2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105.6</v>
      </c>
      <c r="D1585" s="5">
        <v>0.1</v>
      </c>
      <c r="E1585" s="5">
        <v>105.8</v>
      </c>
      <c r="F1585" s="5">
        <v>210.1</v>
      </c>
      <c r="G1585" s="5">
        <v>104.4</v>
      </c>
      <c r="H1585" s="5">
        <v>104.2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105.6</v>
      </c>
      <c r="D1586" s="5">
        <v>0.1</v>
      </c>
      <c r="E1586" s="5">
        <v>105.8</v>
      </c>
      <c r="F1586" s="5">
        <v>210.1</v>
      </c>
      <c r="G1586" s="5">
        <v>104.4</v>
      </c>
      <c r="H1586" s="5">
        <v>104.2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104.4</v>
      </c>
      <c r="D1587" s="5">
        <v>0.1</v>
      </c>
      <c r="E1587" s="5">
        <v>104.6</v>
      </c>
      <c r="F1587" s="5">
        <v>207.8</v>
      </c>
      <c r="G1587" s="5">
        <v>103.3</v>
      </c>
      <c r="H1587" s="5">
        <v>103.1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104.4</v>
      </c>
      <c r="D1588" s="5">
        <v>0.1</v>
      </c>
      <c r="E1588" s="5">
        <v>104.6</v>
      </c>
      <c r="F1588" s="5">
        <v>207.8</v>
      </c>
      <c r="G1588" s="5">
        <v>103.3</v>
      </c>
      <c r="H1588" s="5">
        <v>103.1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104.6</v>
      </c>
      <c r="D1589" s="5">
        <v>0.1</v>
      </c>
      <c r="E1589" s="5">
        <v>104.7</v>
      </c>
      <c r="F1589" s="5">
        <v>208.5</v>
      </c>
      <c r="G1589" s="5">
        <v>103.6</v>
      </c>
      <c r="H1589" s="5">
        <v>103.4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104.6</v>
      </c>
      <c r="D1590" s="5">
        <v>0.1</v>
      </c>
      <c r="E1590" s="5">
        <v>104.7</v>
      </c>
      <c r="F1590" s="5">
        <v>208.5</v>
      </c>
      <c r="G1590" s="5">
        <v>103.6</v>
      </c>
      <c r="H1590" s="5">
        <v>103.4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104.3</v>
      </c>
      <c r="D1591" s="5">
        <v>0.1</v>
      </c>
      <c r="E1591" s="5">
        <v>104.4</v>
      </c>
      <c r="F1591" s="5">
        <v>207.6</v>
      </c>
      <c r="G1591" s="5">
        <v>103.2</v>
      </c>
      <c r="H1591" s="5">
        <v>103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104.3</v>
      </c>
      <c r="D1592" s="5">
        <v>0.1</v>
      </c>
      <c r="E1592" s="5">
        <v>104.4</v>
      </c>
      <c r="F1592" s="5">
        <v>207.6</v>
      </c>
      <c r="G1592" s="5">
        <v>103.2</v>
      </c>
      <c r="H1592" s="5">
        <v>103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104.3</v>
      </c>
      <c r="D1593" s="5">
        <v>0.1</v>
      </c>
      <c r="E1593" s="5">
        <v>104.4</v>
      </c>
      <c r="F1593" s="5">
        <v>207.6</v>
      </c>
      <c r="G1593" s="5">
        <v>103.2</v>
      </c>
      <c r="H1593" s="5">
        <v>103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104.3</v>
      </c>
      <c r="D1594" s="5">
        <v>0.1</v>
      </c>
      <c r="E1594" s="5">
        <v>104.4</v>
      </c>
      <c r="F1594" s="5">
        <v>207.6</v>
      </c>
      <c r="G1594" s="5">
        <v>103.2</v>
      </c>
      <c r="H1594" s="5">
        <v>103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104.3</v>
      </c>
      <c r="D1595" s="5">
        <v>0.1</v>
      </c>
      <c r="E1595" s="5">
        <v>104.4</v>
      </c>
      <c r="F1595" s="5">
        <v>207.9</v>
      </c>
      <c r="G1595" s="5">
        <v>103.3</v>
      </c>
      <c r="H1595" s="5">
        <v>103.2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104.3</v>
      </c>
      <c r="D1596" s="5">
        <v>0.1</v>
      </c>
      <c r="E1596" s="5">
        <v>104.4</v>
      </c>
      <c r="F1596" s="5">
        <v>207.9</v>
      </c>
      <c r="G1596" s="5">
        <v>103.3</v>
      </c>
      <c r="H1596" s="5">
        <v>103.2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104.1</v>
      </c>
      <c r="D1597" s="5">
        <v>0.1</v>
      </c>
      <c r="E1597" s="5">
        <v>104.3</v>
      </c>
      <c r="F1597" s="5">
        <v>207.3</v>
      </c>
      <c r="G1597" s="5">
        <v>103</v>
      </c>
      <c r="H1597" s="5">
        <v>102.9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104.1</v>
      </c>
      <c r="D1598" s="5">
        <v>0.1</v>
      </c>
      <c r="E1598" s="5">
        <v>104.3</v>
      </c>
      <c r="F1598" s="5">
        <v>207.3</v>
      </c>
      <c r="G1598" s="5">
        <v>103</v>
      </c>
      <c r="H1598" s="5">
        <v>102.9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105</v>
      </c>
      <c r="D1599" s="5">
        <v>0.1</v>
      </c>
      <c r="E1599" s="5">
        <v>105.1</v>
      </c>
      <c r="F1599" s="5">
        <v>208</v>
      </c>
      <c r="G1599" s="5">
        <v>103.4</v>
      </c>
      <c r="H1599" s="5">
        <v>103.2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105</v>
      </c>
      <c r="D1600" s="5">
        <v>0.1</v>
      </c>
      <c r="E1600" s="5">
        <v>105.1</v>
      </c>
      <c r="F1600" s="5">
        <v>208</v>
      </c>
      <c r="G1600" s="5">
        <v>103.4</v>
      </c>
      <c r="H1600" s="5">
        <v>103.2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105.3</v>
      </c>
      <c r="D1601" s="5">
        <v>0.1</v>
      </c>
      <c r="E1601" s="5">
        <v>105.5</v>
      </c>
      <c r="F1601" s="5">
        <v>208.5</v>
      </c>
      <c r="G1601" s="5">
        <v>103.6</v>
      </c>
      <c r="H1601" s="5">
        <v>103.5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105.3</v>
      </c>
      <c r="D1602" s="5">
        <v>0.1</v>
      </c>
      <c r="E1602" s="5">
        <v>105.5</v>
      </c>
      <c r="F1602" s="5">
        <v>208.5</v>
      </c>
      <c r="G1602" s="5">
        <v>103.6</v>
      </c>
      <c r="H1602" s="5">
        <v>103.5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105.3</v>
      </c>
      <c r="D1603" s="5">
        <v>0.1</v>
      </c>
      <c r="E1603" s="5">
        <v>105.5</v>
      </c>
      <c r="F1603" s="5">
        <v>208.5</v>
      </c>
      <c r="G1603" s="5">
        <v>103.6</v>
      </c>
      <c r="H1603" s="5">
        <v>103.5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105.3</v>
      </c>
      <c r="D1604" s="5">
        <v>0.1</v>
      </c>
      <c r="E1604" s="5">
        <v>105.5</v>
      </c>
      <c r="F1604" s="5">
        <v>208.5</v>
      </c>
      <c r="G1604" s="5">
        <v>103.6</v>
      </c>
      <c r="H1604" s="5">
        <v>103.5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105.3</v>
      </c>
      <c r="D1605" s="5">
        <v>0.1</v>
      </c>
      <c r="E1605" s="5">
        <v>105.4</v>
      </c>
      <c r="F1605" s="5">
        <v>209.3</v>
      </c>
      <c r="G1605" s="5">
        <v>104</v>
      </c>
      <c r="H1605" s="5">
        <v>103.9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105.3</v>
      </c>
      <c r="D1606" s="5">
        <v>0.1</v>
      </c>
      <c r="E1606" s="5">
        <v>105.4</v>
      </c>
      <c r="F1606" s="5">
        <v>209.3</v>
      </c>
      <c r="G1606" s="5">
        <v>104</v>
      </c>
      <c r="H1606" s="5">
        <v>103.9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105.6</v>
      </c>
      <c r="D1607" s="5">
        <v>0.1</v>
      </c>
      <c r="E1607" s="5">
        <v>105.7</v>
      </c>
      <c r="F1607" s="5">
        <v>209.8</v>
      </c>
      <c r="G1607" s="5">
        <v>104.2</v>
      </c>
      <c r="H1607" s="5">
        <v>104.1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105.6</v>
      </c>
      <c r="D1608" s="5">
        <v>0.1</v>
      </c>
      <c r="E1608" s="5">
        <v>105.7</v>
      </c>
      <c r="F1608" s="5">
        <v>209.8</v>
      </c>
      <c r="G1608" s="5">
        <v>104.2</v>
      </c>
      <c r="H1608" s="5">
        <v>104.1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105.8</v>
      </c>
      <c r="D1609" s="5">
        <v>0.1</v>
      </c>
      <c r="E1609" s="5">
        <v>105.9</v>
      </c>
      <c r="F1609" s="5">
        <v>210.2</v>
      </c>
      <c r="G1609" s="5">
        <v>104.5</v>
      </c>
      <c r="H1609" s="5">
        <v>104.3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105.8</v>
      </c>
      <c r="D1610" s="5">
        <v>0.1</v>
      </c>
      <c r="E1610" s="5">
        <v>105.9</v>
      </c>
      <c r="F1610" s="5">
        <v>210.2</v>
      </c>
      <c r="G1610" s="5">
        <v>104.5</v>
      </c>
      <c r="H1610" s="5">
        <v>104.3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105.1</v>
      </c>
      <c r="D1611" s="5">
        <v>0.1</v>
      </c>
      <c r="E1611" s="5">
        <v>105.3</v>
      </c>
      <c r="F1611" s="5">
        <v>208.9</v>
      </c>
      <c r="G1611" s="5">
        <v>103.8</v>
      </c>
      <c r="H1611" s="5">
        <v>103.7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105.1</v>
      </c>
      <c r="D1612" s="5">
        <v>0.1</v>
      </c>
      <c r="E1612" s="5">
        <v>105.3</v>
      </c>
      <c r="F1612" s="5">
        <v>208.9</v>
      </c>
      <c r="G1612" s="5">
        <v>103.8</v>
      </c>
      <c r="H1612" s="5">
        <v>103.7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105.1</v>
      </c>
      <c r="D1613" s="5">
        <v>0.1</v>
      </c>
      <c r="E1613" s="5">
        <v>105.3</v>
      </c>
      <c r="F1613" s="5">
        <v>208.9</v>
      </c>
      <c r="G1613" s="5">
        <v>103.8</v>
      </c>
      <c r="H1613" s="5">
        <v>103.7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105.1</v>
      </c>
      <c r="D1614" s="5">
        <v>0.1</v>
      </c>
      <c r="E1614" s="5">
        <v>105.3</v>
      </c>
      <c r="F1614" s="5">
        <v>208.9</v>
      </c>
      <c r="G1614" s="5">
        <v>103.8</v>
      </c>
      <c r="H1614" s="5">
        <v>103.7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106</v>
      </c>
      <c r="D1615" s="5">
        <v>0.1</v>
      </c>
      <c r="E1615" s="5">
        <v>106.2</v>
      </c>
      <c r="F1615" s="5">
        <v>211.1</v>
      </c>
      <c r="G1615" s="5">
        <v>104.9</v>
      </c>
      <c r="H1615" s="5">
        <v>104.7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106</v>
      </c>
      <c r="D1616" s="5">
        <v>0.1</v>
      </c>
      <c r="E1616" s="5">
        <v>106.2</v>
      </c>
      <c r="F1616" s="5">
        <v>211.1</v>
      </c>
      <c r="G1616" s="5">
        <v>104.9</v>
      </c>
      <c r="H1616" s="5">
        <v>104.7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106.5</v>
      </c>
      <c r="D1617" s="5">
        <v>0.1</v>
      </c>
      <c r="E1617" s="5">
        <v>106.6</v>
      </c>
      <c r="F1617" s="5">
        <v>212.2</v>
      </c>
      <c r="G1617" s="5">
        <v>105.4</v>
      </c>
      <c r="H1617" s="5">
        <v>105.3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106.5</v>
      </c>
      <c r="D1618" s="5">
        <v>0.1</v>
      </c>
      <c r="E1618" s="5">
        <v>106.6</v>
      </c>
      <c r="F1618" s="5">
        <v>212.2</v>
      </c>
      <c r="G1618" s="5">
        <v>105.4</v>
      </c>
      <c r="H1618" s="5">
        <v>105.3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106.2</v>
      </c>
      <c r="D1619" s="5">
        <v>0.1</v>
      </c>
      <c r="E1619" s="5">
        <v>106.4</v>
      </c>
      <c r="F1619" s="5">
        <v>212.1</v>
      </c>
      <c r="G1619" s="5">
        <v>105.6</v>
      </c>
      <c r="H1619" s="5">
        <v>105.4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106.2</v>
      </c>
      <c r="D1620" s="5">
        <v>0.1</v>
      </c>
      <c r="E1620" s="5">
        <v>106.4</v>
      </c>
      <c r="F1620" s="5">
        <v>212.1</v>
      </c>
      <c r="G1620" s="5">
        <v>105.6</v>
      </c>
      <c r="H1620" s="5">
        <v>105.4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106</v>
      </c>
      <c r="D1621" s="5">
        <v>0.1</v>
      </c>
      <c r="E1621" s="5">
        <v>106.2</v>
      </c>
      <c r="F1621" s="5">
        <v>211.5</v>
      </c>
      <c r="G1621" s="5">
        <v>105.2</v>
      </c>
      <c r="H1621" s="5">
        <v>105.1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106</v>
      </c>
      <c r="D1622" s="5">
        <v>0.1</v>
      </c>
      <c r="E1622" s="5">
        <v>106.2</v>
      </c>
      <c r="F1622" s="5">
        <v>211.5</v>
      </c>
      <c r="G1622" s="5">
        <v>105.2</v>
      </c>
      <c r="H1622" s="5">
        <v>105.1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106</v>
      </c>
      <c r="D1623" s="5">
        <v>0.1</v>
      </c>
      <c r="E1623" s="5">
        <v>106.2</v>
      </c>
      <c r="F1623" s="5">
        <v>211.5</v>
      </c>
      <c r="G1623" s="5">
        <v>105.2</v>
      </c>
      <c r="H1623" s="5">
        <v>105.1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106</v>
      </c>
      <c r="D1624" s="5">
        <v>0.1</v>
      </c>
      <c r="E1624" s="5">
        <v>106.2</v>
      </c>
      <c r="F1624" s="5">
        <v>211.5</v>
      </c>
      <c r="G1624" s="5">
        <v>105.2</v>
      </c>
      <c r="H1624" s="5">
        <v>105.1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106.2</v>
      </c>
      <c r="D1625" s="5">
        <v>0.1</v>
      </c>
      <c r="E1625" s="5">
        <v>106.4</v>
      </c>
      <c r="F1625" s="5">
        <v>209.6</v>
      </c>
      <c r="G1625" s="5">
        <v>104.1</v>
      </c>
      <c r="H1625" s="5">
        <v>104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106.2</v>
      </c>
      <c r="D1626" s="5">
        <v>0.1</v>
      </c>
      <c r="E1626" s="5">
        <v>106.4</v>
      </c>
      <c r="F1626" s="5">
        <v>209.6</v>
      </c>
      <c r="G1626" s="5">
        <v>104.1</v>
      </c>
      <c r="H1626" s="5">
        <v>104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105.4</v>
      </c>
      <c r="D1627" s="5">
        <v>0.1</v>
      </c>
      <c r="E1627" s="5">
        <v>105.6</v>
      </c>
      <c r="F1627" s="5">
        <v>209.8</v>
      </c>
      <c r="G1627" s="5">
        <v>104.2</v>
      </c>
      <c r="H1627" s="5">
        <v>104.1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106.2</v>
      </c>
      <c r="D1628" s="5">
        <v>0.1</v>
      </c>
      <c r="E1628" s="5">
        <v>106.4</v>
      </c>
      <c r="F1628" s="5">
        <v>211.2</v>
      </c>
      <c r="G1628" s="5">
        <v>104.9</v>
      </c>
      <c r="H1628" s="5">
        <v>104.8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106</v>
      </c>
      <c r="D1629" s="5">
        <v>0.1</v>
      </c>
      <c r="E1629" s="5">
        <v>106.2</v>
      </c>
      <c r="F1629" s="5">
        <v>211.1</v>
      </c>
      <c r="G1629" s="5">
        <v>104.9</v>
      </c>
      <c r="H1629" s="5">
        <v>104.8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106</v>
      </c>
      <c r="D1630" s="5">
        <v>0.1</v>
      </c>
      <c r="E1630" s="5">
        <v>106.2</v>
      </c>
      <c r="F1630" s="5">
        <v>211.1</v>
      </c>
      <c r="G1630" s="5">
        <v>104.9</v>
      </c>
      <c r="H1630" s="5">
        <v>104.8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106</v>
      </c>
      <c r="D1631" s="5">
        <v>0.1</v>
      </c>
      <c r="E1631" s="5">
        <v>106.2</v>
      </c>
      <c r="F1631" s="5">
        <v>211.1</v>
      </c>
      <c r="G1631" s="5">
        <v>104.9</v>
      </c>
      <c r="H1631" s="5">
        <v>104.8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106</v>
      </c>
      <c r="D1632" s="5">
        <v>0.1</v>
      </c>
      <c r="E1632" s="5">
        <v>106.2</v>
      </c>
      <c r="F1632" s="5">
        <v>211.1</v>
      </c>
      <c r="G1632" s="5">
        <v>104.9</v>
      </c>
      <c r="H1632" s="5">
        <v>104.8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106.5</v>
      </c>
      <c r="D1633" s="5">
        <v>0.1</v>
      </c>
      <c r="E1633" s="5">
        <v>106.6</v>
      </c>
      <c r="F1633" s="5">
        <v>212.4</v>
      </c>
      <c r="G1633" s="5">
        <v>105.5</v>
      </c>
      <c r="H1633" s="5">
        <v>105.3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106.5</v>
      </c>
      <c r="D1634" s="5">
        <v>0.1</v>
      </c>
      <c r="E1634" s="5">
        <v>106.6</v>
      </c>
      <c r="F1634" s="5">
        <v>212.4</v>
      </c>
      <c r="G1634" s="5">
        <v>105.5</v>
      </c>
      <c r="H1634" s="5">
        <v>105.3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106</v>
      </c>
      <c r="D1635" s="5">
        <v>0.1</v>
      </c>
      <c r="E1635" s="5">
        <v>106.2</v>
      </c>
      <c r="F1635" s="5">
        <v>211.5</v>
      </c>
      <c r="G1635" s="5">
        <v>105.1</v>
      </c>
      <c r="H1635" s="5">
        <v>104.9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106</v>
      </c>
      <c r="D1636" s="5">
        <v>0.1</v>
      </c>
      <c r="E1636" s="5">
        <v>106.2</v>
      </c>
      <c r="F1636" s="5">
        <v>211.5</v>
      </c>
      <c r="G1636" s="5">
        <v>105.1</v>
      </c>
      <c r="H1636" s="5">
        <v>104.9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105.1</v>
      </c>
      <c r="D1637" s="5">
        <v>0.1</v>
      </c>
      <c r="E1637" s="5">
        <v>105.3</v>
      </c>
      <c r="F1637" s="5">
        <v>209.9</v>
      </c>
      <c r="G1637" s="5">
        <v>104.3</v>
      </c>
      <c r="H1637" s="5">
        <v>104.1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105.1</v>
      </c>
      <c r="D1638" s="5">
        <v>0.1</v>
      </c>
      <c r="E1638" s="5">
        <v>105.3</v>
      </c>
      <c r="F1638" s="5">
        <v>209.9</v>
      </c>
      <c r="G1638" s="5">
        <v>104.3</v>
      </c>
      <c r="H1638" s="5">
        <v>104.1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105.7</v>
      </c>
      <c r="D1639" s="5">
        <v>0.1</v>
      </c>
      <c r="E1639" s="5">
        <v>105.8</v>
      </c>
      <c r="F1639" s="5">
        <v>209.6</v>
      </c>
      <c r="G1639" s="5">
        <v>104.2</v>
      </c>
      <c r="H1639" s="5">
        <v>104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105.7</v>
      </c>
      <c r="D1640" s="5">
        <v>0.1</v>
      </c>
      <c r="E1640" s="5">
        <v>105.8</v>
      </c>
      <c r="F1640" s="5">
        <v>209.6</v>
      </c>
      <c r="G1640" s="5">
        <v>104.2</v>
      </c>
      <c r="H1640" s="5">
        <v>104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105.7</v>
      </c>
      <c r="D1641" s="5">
        <v>0.1</v>
      </c>
      <c r="E1641" s="5">
        <v>105.8</v>
      </c>
      <c r="F1641" s="5">
        <v>209.6</v>
      </c>
      <c r="G1641" s="5">
        <v>104.2</v>
      </c>
      <c r="H1641" s="5">
        <v>104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105.7</v>
      </c>
      <c r="D1642" s="5">
        <v>0.1</v>
      </c>
      <c r="E1642" s="5">
        <v>105.8</v>
      </c>
      <c r="F1642" s="5">
        <v>209.6</v>
      </c>
      <c r="G1642" s="5">
        <v>104.2</v>
      </c>
      <c r="H1642" s="5">
        <v>104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106.6</v>
      </c>
      <c r="D1643" s="5">
        <v>0.1</v>
      </c>
      <c r="E1643" s="5">
        <v>106.7</v>
      </c>
      <c r="F1643" s="5">
        <v>211.6</v>
      </c>
      <c r="G1643" s="5">
        <v>105.1</v>
      </c>
      <c r="H1643" s="5">
        <v>105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106.6</v>
      </c>
      <c r="D1644" s="5">
        <v>0.1</v>
      </c>
      <c r="E1644" s="5">
        <v>106.7</v>
      </c>
      <c r="F1644" s="5">
        <v>211.6</v>
      </c>
      <c r="G1644" s="5">
        <v>105.1</v>
      </c>
      <c r="H1644" s="5">
        <v>105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105.8</v>
      </c>
      <c r="D1645" s="5">
        <v>0.1</v>
      </c>
      <c r="E1645" s="5">
        <v>105.9</v>
      </c>
      <c r="F1645" s="5">
        <v>210.4</v>
      </c>
      <c r="G1645" s="5">
        <v>104.5</v>
      </c>
      <c r="H1645" s="5">
        <v>104.3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105.8</v>
      </c>
      <c r="D1646" s="5">
        <v>0.1</v>
      </c>
      <c r="E1646" s="5">
        <v>105.9</v>
      </c>
      <c r="F1646" s="5">
        <v>210.4</v>
      </c>
      <c r="G1646" s="5">
        <v>104.5</v>
      </c>
      <c r="H1646" s="5">
        <v>104.3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106.1</v>
      </c>
      <c r="D1647" s="5">
        <v>0.1</v>
      </c>
      <c r="E1647" s="5">
        <v>106.2</v>
      </c>
      <c r="F1647" s="5">
        <v>210.2</v>
      </c>
      <c r="G1647" s="5">
        <v>104.4</v>
      </c>
      <c r="H1647" s="5">
        <v>104.3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106.1</v>
      </c>
      <c r="D1648" s="5">
        <v>0.1</v>
      </c>
      <c r="E1648" s="5">
        <v>106.2</v>
      </c>
      <c r="F1648" s="5">
        <v>210.2</v>
      </c>
      <c r="G1648" s="5">
        <v>104.4</v>
      </c>
      <c r="H1648" s="5">
        <v>104.3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105.7</v>
      </c>
      <c r="D1649" s="5">
        <v>0.1</v>
      </c>
      <c r="E1649" s="5">
        <v>105.9</v>
      </c>
      <c r="F1649" s="5">
        <v>210.2</v>
      </c>
      <c r="G1649" s="5">
        <v>104.4</v>
      </c>
      <c r="H1649" s="5">
        <v>104.2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105.7</v>
      </c>
      <c r="D1650" s="5">
        <v>0.1</v>
      </c>
      <c r="E1650" s="5">
        <v>105.9</v>
      </c>
      <c r="F1650" s="5">
        <v>210.2</v>
      </c>
      <c r="G1650" s="5">
        <v>104.4</v>
      </c>
      <c r="H1650" s="5">
        <v>104.2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105.7</v>
      </c>
      <c r="D1651" s="5">
        <v>0.1</v>
      </c>
      <c r="E1651" s="5">
        <v>105.9</v>
      </c>
      <c r="F1651" s="5">
        <v>210.2</v>
      </c>
      <c r="G1651" s="5">
        <v>104.4</v>
      </c>
      <c r="H1651" s="5">
        <v>104.2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105.7</v>
      </c>
      <c r="D1652" s="5">
        <v>0.1</v>
      </c>
      <c r="E1652" s="5">
        <v>105.9</v>
      </c>
      <c r="F1652" s="5">
        <v>210.2</v>
      </c>
      <c r="G1652" s="5">
        <v>104.4</v>
      </c>
      <c r="H1652" s="5">
        <v>104.2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105.8</v>
      </c>
      <c r="D1653" s="5">
        <v>0.1</v>
      </c>
      <c r="E1653" s="5">
        <v>105.9</v>
      </c>
      <c r="F1653" s="5">
        <v>210.3</v>
      </c>
      <c r="G1653" s="5">
        <v>104.5</v>
      </c>
      <c r="H1653" s="5">
        <v>104.4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105.8</v>
      </c>
      <c r="D1654" s="5">
        <v>0.1</v>
      </c>
      <c r="E1654" s="5">
        <v>105.9</v>
      </c>
      <c r="F1654" s="5">
        <v>210.3</v>
      </c>
      <c r="G1654" s="5">
        <v>104.5</v>
      </c>
      <c r="H1654" s="5">
        <v>104.4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105.6</v>
      </c>
      <c r="D1655" s="5">
        <v>0.1</v>
      </c>
      <c r="E1655" s="5">
        <v>105.8</v>
      </c>
      <c r="F1655" s="5">
        <v>210</v>
      </c>
      <c r="G1655" s="5">
        <v>104.3</v>
      </c>
      <c r="H1655" s="5">
        <v>104.1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105.6</v>
      </c>
      <c r="D1656" s="5">
        <v>0.1</v>
      </c>
      <c r="E1656" s="5">
        <v>105.8</v>
      </c>
      <c r="F1656" s="5">
        <v>210</v>
      </c>
      <c r="G1656" s="5">
        <v>104.3</v>
      </c>
      <c r="H1656" s="5">
        <v>104.1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105.3</v>
      </c>
      <c r="D1657" s="5">
        <v>0.1</v>
      </c>
      <c r="E1657" s="5">
        <v>105.5</v>
      </c>
      <c r="F1657" s="5">
        <v>209.6</v>
      </c>
      <c r="G1657" s="5">
        <v>104.1</v>
      </c>
      <c r="H1657" s="5">
        <v>104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105.3</v>
      </c>
      <c r="D1658" s="5">
        <v>0.1</v>
      </c>
      <c r="E1658" s="5">
        <v>105.5</v>
      </c>
      <c r="F1658" s="5">
        <v>209.6</v>
      </c>
      <c r="G1658" s="5">
        <v>104.1</v>
      </c>
      <c r="H1658" s="5">
        <v>104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105.9</v>
      </c>
      <c r="D1659" s="5">
        <v>0.1</v>
      </c>
      <c r="E1659" s="5">
        <v>106.1</v>
      </c>
      <c r="F1659" s="5">
        <v>210.9</v>
      </c>
      <c r="G1659" s="5">
        <v>104.8</v>
      </c>
      <c r="H1659" s="5">
        <v>104.7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105.9</v>
      </c>
      <c r="D1660" s="5">
        <v>0.1</v>
      </c>
      <c r="E1660" s="5">
        <v>106.1</v>
      </c>
      <c r="F1660" s="5">
        <v>210.9</v>
      </c>
      <c r="G1660" s="5">
        <v>104.8</v>
      </c>
      <c r="H1660" s="5">
        <v>104.7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105.9</v>
      </c>
      <c r="D1661" s="5">
        <v>0.1</v>
      </c>
      <c r="E1661" s="5">
        <v>106.1</v>
      </c>
      <c r="F1661" s="5">
        <v>210.9</v>
      </c>
      <c r="G1661" s="5">
        <v>104.8</v>
      </c>
      <c r="H1661" s="5">
        <v>104.7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105.9</v>
      </c>
      <c r="D1662" s="5">
        <v>0.1</v>
      </c>
      <c r="E1662" s="5">
        <v>106.1</v>
      </c>
      <c r="F1662" s="5">
        <v>210.9</v>
      </c>
      <c r="G1662" s="5">
        <v>104.8</v>
      </c>
      <c r="H1662" s="5">
        <v>104.7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106.1</v>
      </c>
      <c r="D1663" s="5">
        <v>0.1</v>
      </c>
      <c r="E1663" s="5">
        <v>106.2</v>
      </c>
      <c r="F1663" s="5">
        <v>211.1</v>
      </c>
      <c r="G1663" s="5">
        <v>104.9</v>
      </c>
      <c r="H1663" s="5">
        <v>104.8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106.1</v>
      </c>
      <c r="D1664" s="5">
        <v>0.1</v>
      </c>
      <c r="E1664" s="5">
        <v>106.2</v>
      </c>
      <c r="F1664" s="5">
        <v>211.1</v>
      </c>
      <c r="G1664" s="5">
        <v>104.9</v>
      </c>
      <c r="H1664" s="5">
        <v>104.8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106.2</v>
      </c>
      <c r="D1665" s="5">
        <v>0.1</v>
      </c>
      <c r="E1665" s="5">
        <v>106.3</v>
      </c>
      <c r="F1665" s="5">
        <v>211.2</v>
      </c>
      <c r="G1665" s="5">
        <v>104.9</v>
      </c>
      <c r="H1665" s="5">
        <v>104.8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106.2</v>
      </c>
      <c r="D1666" s="5">
        <v>0.1</v>
      </c>
      <c r="E1666" s="5">
        <v>106.3</v>
      </c>
      <c r="F1666" s="5">
        <v>211.2</v>
      </c>
      <c r="G1666" s="5">
        <v>104.9</v>
      </c>
      <c r="H1666" s="5">
        <v>104.8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105.8</v>
      </c>
      <c r="D1667" s="5">
        <v>0.1</v>
      </c>
      <c r="E1667" s="5">
        <v>105.9</v>
      </c>
      <c r="F1667" s="5">
        <v>210.5</v>
      </c>
      <c r="G1667" s="5">
        <v>104.6</v>
      </c>
      <c r="H1667" s="5">
        <v>104.4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105.8</v>
      </c>
      <c r="D1668" s="5">
        <v>0.1</v>
      </c>
      <c r="E1668" s="5">
        <v>105.9</v>
      </c>
      <c r="F1668" s="5">
        <v>210.5</v>
      </c>
      <c r="G1668" s="5">
        <v>104.6</v>
      </c>
      <c r="H1668" s="5">
        <v>104.4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105.7</v>
      </c>
      <c r="D1669" s="5">
        <v>0.1</v>
      </c>
      <c r="E1669" s="5">
        <v>105.9</v>
      </c>
      <c r="F1669" s="5">
        <v>211.1</v>
      </c>
      <c r="G1669" s="5">
        <v>104.9</v>
      </c>
      <c r="H1669" s="5">
        <v>104.7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105.7</v>
      </c>
      <c r="D1670" s="5">
        <v>0.1</v>
      </c>
      <c r="E1670" s="5">
        <v>105.9</v>
      </c>
      <c r="F1670" s="5">
        <v>211.1</v>
      </c>
      <c r="G1670" s="5">
        <v>104.9</v>
      </c>
      <c r="H1670" s="5">
        <v>104.7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105.7</v>
      </c>
      <c r="D1671" s="5">
        <v>0.1</v>
      </c>
      <c r="E1671" s="5">
        <v>105.9</v>
      </c>
      <c r="F1671" s="5">
        <v>211.1</v>
      </c>
      <c r="G1671" s="5">
        <v>104.9</v>
      </c>
      <c r="H1671" s="5">
        <v>104.7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105.9</v>
      </c>
      <c r="D1672" s="5">
        <v>0.1</v>
      </c>
      <c r="E1672" s="5">
        <v>106.1</v>
      </c>
      <c r="F1672" s="5">
        <v>211.2</v>
      </c>
      <c r="G1672" s="5">
        <v>104.9</v>
      </c>
      <c r="H1672" s="5">
        <v>104.7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105.9</v>
      </c>
      <c r="D1673" s="5">
        <v>0.1</v>
      </c>
      <c r="E1673" s="5">
        <v>106.1</v>
      </c>
      <c r="F1673" s="5">
        <v>211.2</v>
      </c>
      <c r="G1673" s="5">
        <v>105</v>
      </c>
      <c r="H1673" s="5">
        <v>104.9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105.9</v>
      </c>
      <c r="D1674" s="5">
        <v>0.1</v>
      </c>
      <c r="E1674" s="5">
        <v>106.1</v>
      </c>
      <c r="F1674" s="5">
        <v>211.2</v>
      </c>
      <c r="G1674" s="5">
        <v>105</v>
      </c>
      <c r="H1674" s="5">
        <v>104.9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105.9</v>
      </c>
      <c r="D1675" s="5">
        <v>0.1</v>
      </c>
      <c r="E1675" s="5">
        <v>106</v>
      </c>
      <c r="F1675" s="5">
        <v>211</v>
      </c>
      <c r="G1675" s="5">
        <v>104.9</v>
      </c>
      <c r="H1675" s="5">
        <v>104.8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105.9</v>
      </c>
      <c r="D1676" s="5">
        <v>0.1</v>
      </c>
      <c r="E1676" s="5">
        <v>106</v>
      </c>
      <c r="F1676" s="5">
        <v>211</v>
      </c>
      <c r="G1676" s="5">
        <v>104.9</v>
      </c>
      <c r="H1676" s="5">
        <v>104.8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106.7</v>
      </c>
      <c r="D1677" s="5">
        <v>0.1</v>
      </c>
      <c r="E1677" s="5">
        <v>106.9</v>
      </c>
      <c r="F1677" s="5">
        <v>212.3</v>
      </c>
      <c r="G1677" s="5">
        <v>105.4</v>
      </c>
      <c r="H1677" s="5">
        <v>105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106.7</v>
      </c>
      <c r="D1678" s="5">
        <v>0.1</v>
      </c>
      <c r="E1678" s="5">
        <v>106.9</v>
      </c>
      <c r="F1678" s="5">
        <v>212.3</v>
      </c>
      <c r="G1678" s="5">
        <v>105.4</v>
      </c>
      <c r="H1678" s="5">
        <v>105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105.9</v>
      </c>
      <c r="D1679" s="5">
        <v>0.1</v>
      </c>
      <c r="E1679" s="5">
        <v>106</v>
      </c>
      <c r="F1679" s="5">
        <v>211.1</v>
      </c>
      <c r="G1679" s="5">
        <v>104.9</v>
      </c>
      <c r="H1679" s="5">
        <v>104.6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105.9</v>
      </c>
      <c r="D1680" s="5">
        <v>0.1</v>
      </c>
      <c r="E1680" s="5">
        <v>106</v>
      </c>
      <c r="F1680" s="5">
        <v>211.1</v>
      </c>
      <c r="G1680" s="5">
        <v>104.9</v>
      </c>
      <c r="H1680" s="5">
        <v>104.6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105.9</v>
      </c>
      <c r="D1681" s="5">
        <v>0.1</v>
      </c>
      <c r="E1681" s="5">
        <v>106</v>
      </c>
      <c r="F1681" s="5">
        <v>211.1</v>
      </c>
      <c r="G1681" s="5">
        <v>104.9</v>
      </c>
      <c r="H1681" s="5">
        <v>104.6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105.9</v>
      </c>
      <c r="D1682" s="5">
        <v>0.1</v>
      </c>
      <c r="E1682" s="5">
        <v>106</v>
      </c>
      <c r="F1682" s="5">
        <v>211.1</v>
      </c>
      <c r="G1682" s="5">
        <v>104.9</v>
      </c>
      <c r="H1682" s="5">
        <v>104.6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105.4</v>
      </c>
      <c r="D1683" s="5">
        <v>0.1</v>
      </c>
      <c r="E1683" s="5">
        <v>105.6</v>
      </c>
      <c r="F1683" s="5">
        <v>210.1</v>
      </c>
      <c r="G1683" s="5">
        <v>104.4</v>
      </c>
      <c r="H1683" s="5">
        <v>104.3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105.4</v>
      </c>
      <c r="D1684" s="5">
        <v>0.1</v>
      </c>
      <c r="E1684" s="5">
        <v>105.6</v>
      </c>
      <c r="F1684" s="5">
        <v>210.1</v>
      </c>
      <c r="G1684" s="5">
        <v>104.4</v>
      </c>
      <c r="H1684" s="5">
        <v>104.3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105.6</v>
      </c>
      <c r="D1685" s="5">
        <v>0.1</v>
      </c>
      <c r="E1685" s="5">
        <v>105.8</v>
      </c>
      <c r="F1685" s="5">
        <v>210.8</v>
      </c>
      <c r="G1685" s="5">
        <v>104.8</v>
      </c>
      <c r="H1685" s="5">
        <v>104.6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105.6</v>
      </c>
      <c r="D1686" s="5">
        <v>0.1</v>
      </c>
      <c r="E1686" s="5">
        <v>105.8</v>
      </c>
      <c r="F1686" s="5">
        <v>210.8</v>
      </c>
      <c r="G1686" s="5">
        <v>104.8</v>
      </c>
      <c r="H1686" s="5">
        <v>104.6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105.9</v>
      </c>
      <c r="D1687" s="5">
        <v>0.1</v>
      </c>
      <c r="E1687" s="5">
        <v>106.1</v>
      </c>
      <c r="F1687" s="5">
        <v>210.9</v>
      </c>
      <c r="G1687" s="5">
        <v>104.8</v>
      </c>
      <c r="H1687" s="5">
        <v>104.7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105.9</v>
      </c>
      <c r="D1688" s="5">
        <v>0.1</v>
      </c>
      <c r="E1688" s="5">
        <v>106.1</v>
      </c>
      <c r="F1688" s="5">
        <v>210.9</v>
      </c>
      <c r="G1688" s="5">
        <v>104.8</v>
      </c>
      <c r="H1688" s="5">
        <v>104.7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105.6</v>
      </c>
      <c r="D1689" s="5">
        <v>0.1</v>
      </c>
      <c r="E1689" s="5">
        <v>105.8</v>
      </c>
      <c r="F1689" s="5">
        <v>210.6</v>
      </c>
      <c r="G1689" s="5">
        <v>104.6</v>
      </c>
      <c r="H1689" s="5">
        <v>104.5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105.6</v>
      </c>
      <c r="D1690" s="5">
        <v>0.1</v>
      </c>
      <c r="E1690" s="5">
        <v>105.8</v>
      </c>
      <c r="F1690" s="5">
        <v>210.6</v>
      </c>
      <c r="G1690" s="5">
        <v>104.6</v>
      </c>
      <c r="H1690" s="5">
        <v>104.5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105.6</v>
      </c>
      <c r="D1691" s="5">
        <v>0.1</v>
      </c>
      <c r="E1691" s="5">
        <v>105.8</v>
      </c>
      <c r="F1691" s="5">
        <v>210.6</v>
      </c>
      <c r="G1691" s="5">
        <v>104.6</v>
      </c>
      <c r="H1691" s="5">
        <v>104.5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105.6</v>
      </c>
      <c r="D1692" s="5">
        <v>0.1</v>
      </c>
      <c r="E1692" s="5">
        <v>105.8</v>
      </c>
      <c r="F1692" s="5">
        <v>210.6</v>
      </c>
      <c r="G1692" s="5">
        <v>104.6</v>
      </c>
      <c r="H1692" s="5">
        <v>104.5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105.9</v>
      </c>
      <c r="D1693" s="5">
        <v>0.1</v>
      </c>
      <c r="E1693" s="5">
        <v>106</v>
      </c>
      <c r="F1693" s="5">
        <v>210.9</v>
      </c>
      <c r="G1693" s="5">
        <v>104.8</v>
      </c>
      <c r="H1693" s="5">
        <v>104.7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105.9</v>
      </c>
      <c r="D1694" s="5">
        <v>0.1</v>
      </c>
      <c r="E1694" s="5">
        <v>106</v>
      </c>
      <c r="F1694" s="5">
        <v>210.9</v>
      </c>
      <c r="G1694" s="5">
        <v>104.8</v>
      </c>
      <c r="H1694" s="5">
        <v>104.7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106</v>
      </c>
      <c r="D1695" s="5">
        <v>0.1</v>
      </c>
      <c r="E1695" s="5">
        <v>106.2</v>
      </c>
      <c r="F1695" s="5">
        <v>211.3</v>
      </c>
      <c r="G1695" s="5">
        <v>105</v>
      </c>
      <c r="H1695" s="5">
        <v>104.9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106</v>
      </c>
      <c r="D1696" s="5">
        <v>0.1</v>
      </c>
      <c r="E1696" s="5">
        <v>106.2</v>
      </c>
      <c r="F1696" s="5">
        <v>211.3</v>
      </c>
      <c r="G1696" s="5">
        <v>105</v>
      </c>
      <c r="H1696" s="5">
        <v>104.9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106.3</v>
      </c>
      <c r="D1697" s="5">
        <v>0.1</v>
      </c>
      <c r="E1697" s="5">
        <v>106.5</v>
      </c>
      <c r="F1697" s="5">
        <v>211.1</v>
      </c>
      <c r="G1697" s="5">
        <v>104.9</v>
      </c>
      <c r="H1697" s="5">
        <v>104.7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106.3</v>
      </c>
      <c r="D1698" s="5">
        <v>0.1</v>
      </c>
      <c r="E1698" s="5">
        <v>106.5</v>
      </c>
      <c r="F1698" s="5">
        <v>211.1</v>
      </c>
      <c r="G1698" s="5">
        <v>104.9</v>
      </c>
      <c r="H1698" s="5">
        <v>104.7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105.9</v>
      </c>
      <c r="D1699" s="5">
        <v>0.1</v>
      </c>
      <c r="E1699" s="5">
        <v>106.1</v>
      </c>
      <c r="F1699" s="5">
        <v>210.8</v>
      </c>
      <c r="G1699" s="5">
        <v>104.7</v>
      </c>
      <c r="H1699" s="5">
        <v>104.6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105.9</v>
      </c>
      <c r="D1700" s="5">
        <v>0.1</v>
      </c>
      <c r="E1700" s="5">
        <v>106.1</v>
      </c>
      <c r="F1700" s="5">
        <v>210.8</v>
      </c>
      <c r="G1700" s="5">
        <v>104.7</v>
      </c>
      <c r="H1700" s="5">
        <v>104.6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105.9</v>
      </c>
      <c r="D1701" s="5">
        <v>0.1</v>
      </c>
      <c r="E1701" s="5">
        <v>106.1</v>
      </c>
      <c r="F1701" s="5">
        <v>210.8</v>
      </c>
      <c r="G1701" s="5">
        <v>104.7</v>
      </c>
      <c r="H1701" s="5">
        <v>104.6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106.7</v>
      </c>
      <c r="D1702" s="5">
        <v>0.1</v>
      </c>
      <c r="E1702" s="5">
        <v>106.8</v>
      </c>
      <c r="F1702" s="5">
        <v>211.7</v>
      </c>
      <c r="G1702" s="5">
        <v>105.2</v>
      </c>
      <c r="H1702" s="5">
        <v>105.1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106.7</v>
      </c>
      <c r="D1703" s="5">
        <v>0.1</v>
      </c>
      <c r="E1703" s="5">
        <v>106.8</v>
      </c>
      <c r="F1703" s="5">
        <v>211.7</v>
      </c>
      <c r="G1703" s="5">
        <v>105.2</v>
      </c>
      <c r="H1703" s="5">
        <v>105.1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106.7</v>
      </c>
      <c r="D1704" s="5">
        <v>0.1</v>
      </c>
      <c r="E1704" s="5">
        <v>106.9</v>
      </c>
      <c r="F1704" s="5">
        <v>212</v>
      </c>
      <c r="G1704" s="5">
        <v>105.3</v>
      </c>
      <c r="H1704" s="5">
        <v>105.2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106.7</v>
      </c>
      <c r="D1705" s="5">
        <v>0.1</v>
      </c>
      <c r="E1705" s="5">
        <v>106.9</v>
      </c>
      <c r="F1705" s="5">
        <v>212</v>
      </c>
      <c r="G1705" s="5">
        <v>105.3</v>
      </c>
      <c r="H1705" s="5">
        <v>105.2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106.7</v>
      </c>
      <c r="D1706" s="5">
        <v>0.1</v>
      </c>
      <c r="E1706" s="5">
        <v>106.3</v>
      </c>
      <c r="F1706" s="5">
        <v>211</v>
      </c>
      <c r="G1706" s="5">
        <v>104.8</v>
      </c>
      <c r="H1706" s="5">
        <v>104.7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106.2</v>
      </c>
      <c r="D1707" s="5">
        <v>0.1</v>
      </c>
      <c r="E1707" s="5">
        <v>106.3</v>
      </c>
      <c r="F1707" s="5">
        <v>211</v>
      </c>
      <c r="G1707" s="5">
        <v>104.8</v>
      </c>
      <c r="H1707" s="5">
        <v>104.7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106.2</v>
      </c>
      <c r="D1708" s="5">
        <v>0.1</v>
      </c>
      <c r="E1708" s="5">
        <v>104</v>
      </c>
      <c r="F1708" s="5">
        <v>206.6</v>
      </c>
      <c r="G1708" s="5">
        <v>102.6</v>
      </c>
      <c r="H1708" s="5">
        <v>102.5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103.9</v>
      </c>
      <c r="D1709" s="5">
        <v>0.1</v>
      </c>
      <c r="E1709" s="5">
        <v>104</v>
      </c>
      <c r="F1709" s="5">
        <v>206.6</v>
      </c>
      <c r="G1709" s="5">
        <v>102.6</v>
      </c>
      <c r="H1709" s="5">
        <v>102.5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103.9</v>
      </c>
      <c r="D1710" s="5">
        <v>0.1</v>
      </c>
      <c r="E1710" s="5">
        <v>104</v>
      </c>
      <c r="F1710" s="5">
        <v>206.6</v>
      </c>
      <c r="G1710" s="5">
        <v>102.6</v>
      </c>
      <c r="H1710" s="5">
        <v>102.5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103.9</v>
      </c>
      <c r="D1711" s="5">
        <v>0.1</v>
      </c>
      <c r="E1711" s="5">
        <v>104</v>
      </c>
      <c r="F1711" s="5">
        <v>206.6</v>
      </c>
      <c r="G1711" s="5">
        <v>102.6</v>
      </c>
      <c r="H1711" s="5">
        <v>102.5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105.3</v>
      </c>
      <c r="D1712" s="5">
        <v>0.1</v>
      </c>
      <c r="E1712" s="5">
        <v>105.5</v>
      </c>
      <c r="F1712" s="5">
        <v>209.3</v>
      </c>
      <c r="G1712" s="5">
        <v>104</v>
      </c>
      <c r="H1712" s="5">
        <v>103.8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105.3</v>
      </c>
      <c r="D1713" s="5">
        <v>0.1</v>
      </c>
      <c r="E1713" s="5">
        <v>105.5</v>
      </c>
      <c r="F1713" s="5">
        <v>209.3</v>
      </c>
      <c r="G1713" s="5">
        <v>104</v>
      </c>
      <c r="H1713" s="5">
        <v>103.8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105.5</v>
      </c>
      <c r="D1714" s="5">
        <v>0.1</v>
      </c>
      <c r="E1714" s="5">
        <v>105.6</v>
      </c>
      <c r="F1714" s="5">
        <v>207.8</v>
      </c>
      <c r="G1714" s="5">
        <v>103.1</v>
      </c>
      <c r="H1714" s="5">
        <v>102.9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105.5</v>
      </c>
      <c r="D1715" s="5">
        <v>0.1</v>
      </c>
      <c r="E1715" s="5">
        <v>105.6</v>
      </c>
      <c r="F1715" s="5">
        <v>207.8</v>
      </c>
      <c r="G1715" s="5">
        <v>103.1</v>
      </c>
      <c r="H1715" s="5">
        <v>102.9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105</v>
      </c>
      <c r="D1716" s="5">
        <v>0.1</v>
      </c>
      <c r="E1716" s="5">
        <v>105</v>
      </c>
      <c r="F1716" s="5">
        <v>207.4</v>
      </c>
      <c r="G1716" s="5">
        <v>103</v>
      </c>
      <c r="H1716" s="5">
        <v>102.9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105</v>
      </c>
      <c r="D1717" s="5">
        <v>0.1</v>
      </c>
      <c r="E1717" s="5">
        <v>105</v>
      </c>
      <c r="F1717" s="5">
        <v>207.4</v>
      </c>
      <c r="G1717" s="5">
        <v>103</v>
      </c>
      <c r="H1717" s="5">
        <v>102.9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105.5</v>
      </c>
      <c r="D1718" s="5">
        <v>0.1</v>
      </c>
      <c r="E1718" s="5">
        <v>105.6</v>
      </c>
      <c r="F1718" s="5">
        <v>209.9</v>
      </c>
      <c r="G1718" s="5">
        <v>104.3</v>
      </c>
      <c r="H1718" s="5">
        <v>104.2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105.5</v>
      </c>
      <c r="D1719" s="5">
        <v>0.1</v>
      </c>
      <c r="E1719" s="5">
        <v>105.6</v>
      </c>
      <c r="F1719" s="5">
        <v>209.9</v>
      </c>
      <c r="G1719" s="5">
        <v>104.3</v>
      </c>
      <c r="H1719" s="5">
        <v>104.2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105.5</v>
      </c>
      <c r="D1720" s="5">
        <v>0.1</v>
      </c>
      <c r="E1720" s="5">
        <v>105.6</v>
      </c>
      <c r="F1720" s="5">
        <v>209.9</v>
      </c>
      <c r="G1720" s="5">
        <v>104.3</v>
      </c>
      <c r="H1720" s="5">
        <v>104.2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105.5</v>
      </c>
      <c r="D1721" s="5">
        <v>0.1</v>
      </c>
      <c r="E1721" s="5">
        <v>105.6</v>
      </c>
      <c r="F1721" s="5">
        <v>209.9</v>
      </c>
      <c r="G1721" s="5">
        <v>104.3</v>
      </c>
      <c r="H1721" s="5">
        <v>104.2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106.2</v>
      </c>
      <c r="D1722" s="5">
        <v>0.1</v>
      </c>
      <c r="E1722" s="5">
        <v>106.3</v>
      </c>
      <c r="F1722" s="5">
        <v>210.6</v>
      </c>
      <c r="G1722" s="5">
        <v>104.6</v>
      </c>
      <c r="H1722" s="5">
        <v>104.5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106.2</v>
      </c>
      <c r="D1723" s="5">
        <v>0.1</v>
      </c>
      <c r="E1723" s="5">
        <v>106.3</v>
      </c>
      <c r="F1723" s="5">
        <v>210.6</v>
      </c>
      <c r="G1723" s="5">
        <v>104.6</v>
      </c>
      <c r="H1723" s="5">
        <v>104.5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106.6</v>
      </c>
      <c r="D1724" s="5">
        <v>0.1</v>
      </c>
      <c r="E1724" s="5">
        <v>106.7</v>
      </c>
      <c r="F1724" s="5">
        <v>211</v>
      </c>
      <c r="G1724" s="5">
        <v>104.9</v>
      </c>
      <c r="H1724" s="5">
        <v>104.7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106.6</v>
      </c>
      <c r="D1725" s="5">
        <v>0.1</v>
      </c>
      <c r="E1725" s="5">
        <v>106.7</v>
      </c>
      <c r="F1725" s="5">
        <v>211</v>
      </c>
      <c r="G1725" s="5">
        <v>104.9</v>
      </c>
      <c r="H1725" s="5">
        <v>104.7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106.2</v>
      </c>
      <c r="D1726" s="5">
        <v>0.1</v>
      </c>
      <c r="E1726" s="5">
        <v>106.3</v>
      </c>
      <c r="F1726" s="5">
        <v>211</v>
      </c>
      <c r="G1726" s="5">
        <v>104.9</v>
      </c>
      <c r="H1726" s="5">
        <v>104.7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106.2</v>
      </c>
      <c r="D1727" s="5">
        <v>0.1</v>
      </c>
      <c r="E1727" s="5">
        <v>106.3</v>
      </c>
      <c r="F1727" s="5">
        <v>211</v>
      </c>
      <c r="G1727" s="5">
        <v>104.9</v>
      </c>
      <c r="H1727" s="5">
        <v>104.7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106.6</v>
      </c>
      <c r="D1728" s="5">
        <v>0.1</v>
      </c>
      <c r="E1728" s="5">
        <v>106.3</v>
      </c>
      <c r="F1728" s="5">
        <v>211</v>
      </c>
      <c r="G1728" s="5">
        <v>104.9</v>
      </c>
      <c r="H1728" s="5">
        <v>104.7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106.6</v>
      </c>
      <c r="D1729" s="5">
        <v>0.1</v>
      </c>
      <c r="E1729" s="5">
        <v>106.8</v>
      </c>
      <c r="F1729" s="5">
        <v>211.4</v>
      </c>
      <c r="G1729" s="5">
        <v>105</v>
      </c>
      <c r="H1729" s="5">
        <v>105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106.6</v>
      </c>
      <c r="D1730" s="5">
        <v>0.1</v>
      </c>
      <c r="E1730" s="5">
        <v>106.8</v>
      </c>
      <c r="F1730" s="5">
        <v>211.4</v>
      </c>
      <c r="G1730" s="5">
        <v>105</v>
      </c>
      <c r="H1730" s="5">
        <v>105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106.6</v>
      </c>
      <c r="D1731" s="5">
        <v>0.1</v>
      </c>
      <c r="E1731" s="5">
        <v>106.8</v>
      </c>
      <c r="F1731" s="5">
        <v>211.4</v>
      </c>
      <c r="G1731" s="5">
        <v>105</v>
      </c>
      <c r="H1731" s="5">
        <v>105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106.6</v>
      </c>
      <c r="D1732" s="5">
        <v>0.1</v>
      </c>
      <c r="E1732" s="5">
        <v>106.8</v>
      </c>
      <c r="F1732" s="5">
        <v>211.7</v>
      </c>
      <c r="G1732" s="5">
        <v>105.1</v>
      </c>
      <c r="H1732" s="5">
        <v>105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106.9</v>
      </c>
      <c r="D1733" s="5">
        <v>0.1</v>
      </c>
      <c r="E1733" s="5">
        <v>107.1</v>
      </c>
      <c r="F1733" s="5">
        <v>211.7</v>
      </c>
      <c r="G1733" s="5">
        <v>105.1</v>
      </c>
      <c r="H1733" s="5">
        <v>105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106.9</v>
      </c>
      <c r="D1734" s="5">
        <v>0.1</v>
      </c>
      <c r="E1734" s="5">
        <v>107.1</v>
      </c>
      <c r="F1734" s="5">
        <v>211.7</v>
      </c>
      <c r="G1734" s="5">
        <v>105.1</v>
      </c>
      <c r="H1734" s="5">
        <v>105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105.9</v>
      </c>
      <c r="D1735" s="5">
        <v>0.1</v>
      </c>
      <c r="E1735" s="5">
        <v>106</v>
      </c>
      <c r="F1735" s="5">
        <v>210.5</v>
      </c>
      <c r="G1735" s="5">
        <v>104.6</v>
      </c>
      <c r="H1735" s="5">
        <v>104.4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105.9</v>
      </c>
      <c r="D1736" s="5">
        <v>0.1</v>
      </c>
      <c r="E1736" s="5">
        <v>106</v>
      </c>
      <c r="F1736" s="5">
        <v>210.5</v>
      </c>
      <c r="G1736" s="5">
        <v>104.6</v>
      </c>
      <c r="H1736" s="5">
        <v>104.4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105.6</v>
      </c>
      <c r="D1737" s="5">
        <v>0.1</v>
      </c>
      <c r="E1737" s="5">
        <v>105.8</v>
      </c>
      <c r="F1737" s="5">
        <v>210.4</v>
      </c>
      <c r="G1737" s="5">
        <v>104.6</v>
      </c>
      <c r="H1737" s="5">
        <v>104.4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105.6</v>
      </c>
      <c r="D1738" s="5">
        <v>0.1</v>
      </c>
      <c r="E1738" s="5">
        <v>105.8</v>
      </c>
      <c r="F1738" s="5">
        <v>210.4</v>
      </c>
      <c r="G1738" s="5">
        <v>104.6</v>
      </c>
      <c r="H1738" s="5">
        <v>104.4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105.9</v>
      </c>
      <c r="D1739" s="5">
        <v>0.1</v>
      </c>
      <c r="E1739" s="5">
        <v>106</v>
      </c>
      <c r="F1739" s="5">
        <v>210.3</v>
      </c>
      <c r="G1739" s="5">
        <v>104.5</v>
      </c>
      <c r="H1739" s="5">
        <v>104.3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105.9</v>
      </c>
      <c r="D1740" s="5">
        <v>0.1</v>
      </c>
      <c r="E1740" s="5">
        <v>106</v>
      </c>
      <c r="F1740" s="5">
        <v>210.3</v>
      </c>
      <c r="G1740" s="5">
        <v>104.5</v>
      </c>
      <c r="H1740" s="5">
        <v>104.3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105.9</v>
      </c>
      <c r="D1741" s="5">
        <v>0.1</v>
      </c>
      <c r="E1741" s="5">
        <v>106</v>
      </c>
      <c r="F1741" s="5">
        <v>210.3</v>
      </c>
      <c r="G1741" s="5">
        <v>104.5</v>
      </c>
      <c r="H1741" s="5">
        <v>104.3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102.7</v>
      </c>
      <c r="D1742" s="5">
        <v>0.1</v>
      </c>
      <c r="E1742" s="5">
        <v>102.8</v>
      </c>
      <c r="F1742" s="5">
        <v>208.7</v>
      </c>
      <c r="G1742" s="5">
        <v>103.6</v>
      </c>
      <c r="H1742" s="5">
        <v>103.2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102.7</v>
      </c>
      <c r="D1743" s="5">
        <v>0.1</v>
      </c>
      <c r="E1743" s="5">
        <v>102.8</v>
      </c>
      <c r="F1743" s="5">
        <v>208.7</v>
      </c>
      <c r="G1743" s="5">
        <v>103.6</v>
      </c>
      <c r="H1743" s="5">
        <v>103.2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104.6</v>
      </c>
      <c r="D1744" s="5">
        <v>0.1</v>
      </c>
      <c r="E1744" s="5">
        <v>104.7</v>
      </c>
      <c r="F1744" s="5">
        <v>209.2</v>
      </c>
      <c r="G1744" s="5">
        <v>103.9</v>
      </c>
      <c r="H1744" s="5">
        <v>103.8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104.6</v>
      </c>
      <c r="D1745" s="5">
        <v>0.1</v>
      </c>
      <c r="E1745" s="5">
        <v>104.7</v>
      </c>
      <c r="F1745" s="5">
        <v>209.2</v>
      </c>
      <c r="G1745" s="5">
        <v>103.9</v>
      </c>
      <c r="H1745" s="5">
        <v>103.8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105.3</v>
      </c>
      <c r="D1746" s="5">
        <v>0.1</v>
      </c>
      <c r="E1746" s="5">
        <v>105.4</v>
      </c>
      <c r="F1746" s="5">
        <v>208.6</v>
      </c>
      <c r="G1746" s="5">
        <v>103.7</v>
      </c>
      <c r="H1746" s="5">
        <v>103.5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105.3</v>
      </c>
      <c r="D1747" s="5">
        <v>0.1</v>
      </c>
      <c r="E1747" s="5">
        <v>105.4</v>
      </c>
      <c r="F1747" s="5">
        <v>208.6</v>
      </c>
      <c r="G1747" s="5">
        <v>103.7</v>
      </c>
      <c r="H1747" s="5">
        <v>103.5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104.9</v>
      </c>
      <c r="D1748" s="5">
        <v>0.1</v>
      </c>
      <c r="E1748" s="5">
        <v>105</v>
      </c>
      <c r="F1748" s="5">
        <v>207.6</v>
      </c>
      <c r="G1748" s="5">
        <v>103.2</v>
      </c>
      <c r="H1748" s="5">
        <v>103.1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104.9</v>
      </c>
      <c r="D1749" s="5">
        <v>0.1</v>
      </c>
      <c r="E1749" s="5">
        <v>105</v>
      </c>
      <c r="F1749" s="5">
        <v>207.6</v>
      </c>
      <c r="G1749" s="5">
        <v>103.2</v>
      </c>
      <c r="H1749" s="5">
        <v>103.1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104.9</v>
      </c>
      <c r="D1750" s="5">
        <v>0.1</v>
      </c>
      <c r="E1750" s="5">
        <v>105</v>
      </c>
      <c r="F1750" s="5">
        <v>207.6</v>
      </c>
      <c r="G1750" s="5">
        <v>103.2</v>
      </c>
      <c r="H1750" s="5">
        <v>103.1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104.9</v>
      </c>
      <c r="D1751" s="5">
        <v>0.1</v>
      </c>
      <c r="E1751" s="5">
        <v>105</v>
      </c>
      <c r="F1751" s="5">
        <v>207.6</v>
      </c>
      <c r="G1751" s="5">
        <v>103.2</v>
      </c>
      <c r="H1751" s="5">
        <v>103.1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104.9</v>
      </c>
      <c r="D1752" s="5">
        <v>0.1</v>
      </c>
      <c r="E1752" s="5">
        <v>105</v>
      </c>
      <c r="F1752" s="5">
        <v>207.6</v>
      </c>
      <c r="G1752" s="5">
        <v>103.2</v>
      </c>
      <c r="H1752" s="5">
        <v>103.1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104.9</v>
      </c>
      <c r="D1753" s="5">
        <v>0.1</v>
      </c>
      <c r="E1753" s="5">
        <v>105</v>
      </c>
      <c r="F1753" s="5">
        <v>207.6</v>
      </c>
      <c r="G1753" s="5">
        <v>103.2</v>
      </c>
      <c r="H1753" s="5">
        <v>103.1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101.8</v>
      </c>
      <c r="D1754" s="5">
        <v>0.1</v>
      </c>
      <c r="E1754" s="5">
        <v>102</v>
      </c>
      <c r="F1754" s="5">
        <v>206.9</v>
      </c>
      <c r="G1754" s="5">
        <v>102.6</v>
      </c>
      <c r="H1754" s="5">
        <v>102.3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101.8</v>
      </c>
      <c r="D1755" s="5">
        <v>0.1</v>
      </c>
      <c r="E1755" s="5">
        <v>102</v>
      </c>
      <c r="F1755" s="5">
        <v>206.9</v>
      </c>
      <c r="G1755" s="5">
        <v>102.6</v>
      </c>
      <c r="H1755" s="5">
        <v>102.3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105</v>
      </c>
      <c r="D1756" s="5">
        <v>0.1</v>
      </c>
      <c r="E1756" s="5">
        <v>105.2</v>
      </c>
      <c r="F1756" s="5">
        <v>208.6</v>
      </c>
      <c r="G1756" s="5">
        <v>103.7</v>
      </c>
      <c r="H1756" s="5">
        <v>103.5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105</v>
      </c>
      <c r="D1757" s="5">
        <v>0.1</v>
      </c>
      <c r="E1757" s="5">
        <v>105.2</v>
      </c>
      <c r="F1757" s="5">
        <v>208.6</v>
      </c>
      <c r="G1757" s="5">
        <v>103.7</v>
      </c>
      <c r="H1757" s="5">
        <v>103.5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104</v>
      </c>
      <c r="D1758" s="5">
        <v>0.1</v>
      </c>
      <c r="E1758" s="5">
        <v>104.1</v>
      </c>
      <c r="F1758" s="5">
        <v>207.2</v>
      </c>
      <c r="G1758" s="5">
        <v>102.9</v>
      </c>
      <c r="H1758" s="5">
        <v>102.7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104</v>
      </c>
      <c r="D1759" s="5">
        <v>0.1</v>
      </c>
      <c r="E1759" s="5">
        <v>104.1</v>
      </c>
      <c r="F1759" s="5">
        <v>207.2</v>
      </c>
      <c r="G1759" s="5">
        <v>102.9</v>
      </c>
      <c r="H1759" s="5">
        <v>102.7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104</v>
      </c>
      <c r="D1760" s="5">
        <v>0.1</v>
      </c>
      <c r="E1760" s="5">
        <v>104.1</v>
      </c>
      <c r="F1760" s="5">
        <v>207.2</v>
      </c>
      <c r="G1760" s="5">
        <v>102.9</v>
      </c>
      <c r="H1760" s="5">
        <v>102.7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104</v>
      </c>
      <c r="D1761" s="5">
        <v>0.1</v>
      </c>
      <c r="E1761" s="5">
        <v>104.1</v>
      </c>
      <c r="F1761" s="5">
        <v>207.2</v>
      </c>
      <c r="G1761" s="5">
        <v>102.9</v>
      </c>
      <c r="H1761" s="5">
        <v>102.7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105.2</v>
      </c>
      <c r="D1762" s="5">
        <v>0.1</v>
      </c>
      <c r="E1762" s="5">
        <v>105.3</v>
      </c>
      <c r="F1762" s="5">
        <v>209.4</v>
      </c>
      <c r="G1762" s="5">
        <v>104</v>
      </c>
      <c r="H1762" s="5">
        <v>103.9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105.2</v>
      </c>
      <c r="D1763" s="5">
        <v>0.1</v>
      </c>
      <c r="E1763" s="5">
        <v>105.3</v>
      </c>
      <c r="F1763" s="5">
        <v>209.4</v>
      </c>
      <c r="G1763" s="5">
        <v>104</v>
      </c>
      <c r="H1763" s="5">
        <v>103.9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104.2</v>
      </c>
      <c r="D1764" s="5">
        <v>0.1</v>
      </c>
      <c r="E1764" s="5">
        <v>104.3</v>
      </c>
      <c r="F1764" s="5">
        <v>207.8</v>
      </c>
      <c r="G1764" s="5">
        <v>103.2</v>
      </c>
      <c r="H1764" s="5">
        <v>103.1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104.2</v>
      </c>
      <c r="D1765" s="5">
        <v>0.1</v>
      </c>
      <c r="E1765" s="5">
        <v>104.3</v>
      </c>
      <c r="F1765" s="5">
        <v>207.8</v>
      </c>
      <c r="G1765" s="5">
        <v>103.2</v>
      </c>
      <c r="H1765" s="5">
        <v>103.1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104.3</v>
      </c>
      <c r="D1766" s="5">
        <v>0.1</v>
      </c>
      <c r="E1766" s="5">
        <v>104.4</v>
      </c>
      <c r="F1766" s="5">
        <v>207.6</v>
      </c>
      <c r="G1766" s="5">
        <v>103.1</v>
      </c>
      <c r="H1766" s="5">
        <v>102.9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104.3</v>
      </c>
      <c r="D1767" s="5">
        <v>0.1</v>
      </c>
      <c r="E1767" s="5">
        <v>104.4</v>
      </c>
      <c r="F1767" s="5">
        <v>207.6</v>
      </c>
      <c r="G1767" s="5">
        <v>103.1</v>
      </c>
      <c r="H1767" s="5">
        <v>102.9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105.1</v>
      </c>
      <c r="D1768" s="5">
        <v>0.1</v>
      </c>
      <c r="E1768" s="5">
        <v>105.3</v>
      </c>
      <c r="F1768" s="5">
        <v>209.7</v>
      </c>
      <c r="G1768" s="5">
        <v>104.1</v>
      </c>
      <c r="H1768" s="5">
        <v>104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105.1</v>
      </c>
      <c r="D1769" s="5">
        <v>0.1</v>
      </c>
      <c r="E1769" s="5">
        <v>105.3</v>
      </c>
      <c r="F1769" s="5">
        <v>209.7</v>
      </c>
      <c r="G1769" s="5">
        <v>104.1</v>
      </c>
      <c r="H1769" s="5">
        <v>104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105.1</v>
      </c>
      <c r="D1770" s="5">
        <v>0.1</v>
      </c>
      <c r="E1770" s="5">
        <v>105.3</v>
      </c>
      <c r="F1770" s="5">
        <v>209.7</v>
      </c>
      <c r="G1770" s="5">
        <v>104.1</v>
      </c>
      <c r="H1770" s="5">
        <v>104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105.1</v>
      </c>
      <c r="D1771" s="5">
        <v>0.1</v>
      </c>
      <c r="E1771" s="5">
        <v>105.3</v>
      </c>
      <c r="F1771" s="5">
        <v>209.7</v>
      </c>
      <c r="G1771" s="5">
        <v>104.1</v>
      </c>
      <c r="H1771" s="5">
        <v>104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103.3</v>
      </c>
      <c r="D1772" s="5">
        <v>0.1</v>
      </c>
      <c r="E1772" s="5">
        <v>103.4</v>
      </c>
      <c r="F1772" s="5">
        <v>206.5</v>
      </c>
      <c r="G1772" s="5">
        <v>102.5</v>
      </c>
      <c r="H1772" s="5">
        <v>102.4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103.3</v>
      </c>
      <c r="D1773" s="5">
        <v>0.1</v>
      </c>
      <c r="E1773" s="5">
        <v>103.4</v>
      </c>
      <c r="F1773" s="5">
        <v>206.5</v>
      </c>
      <c r="G1773" s="5">
        <v>102.5</v>
      </c>
      <c r="H1773" s="5">
        <v>102.4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104.4</v>
      </c>
      <c r="D1774" s="5">
        <v>0.1</v>
      </c>
      <c r="E1774" s="5">
        <v>104.6</v>
      </c>
      <c r="F1774" s="5">
        <v>207.6</v>
      </c>
      <c r="G1774" s="5">
        <v>103.2</v>
      </c>
      <c r="H1774" s="5">
        <v>103.1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104.4</v>
      </c>
      <c r="D1775" s="5">
        <v>0.1</v>
      </c>
      <c r="E1775" s="5">
        <v>104.6</v>
      </c>
      <c r="F1775" s="5">
        <v>207.6</v>
      </c>
      <c r="G1775" s="5">
        <v>103.2</v>
      </c>
      <c r="H1775" s="5">
        <v>103.1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104.5</v>
      </c>
      <c r="D1776" s="5">
        <v>0.1</v>
      </c>
      <c r="E1776" s="5">
        <v>104.6</v>
      </c>
      <c r="F1776" s="5">
        <v>207.9</v>
      </c>
      <c r="G1776" s="5">
        <v>103.3</v>
      </c>
      <c r="H1776" s="5">
        <v>103.2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104.5</v>
      </c>
      <c r="D1777" s="5">
        <v>0.1</v>
      </c>
      <c r="E1777" s="5">
        <v>104.6</v>
      </c>
      <c r="F1777" s="5">
        <v>207.9</v>
      </c>
      <c r="G1777" s="5">
        <v>103.3</v>
      </c>
      <c r="H1777" s="5">
        <v>103.2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103.3</v>
      </c>
      <c r="D1778" s="5">
        <v>0.1</v>
      </c>
      <c r="E1778" s="5">
        <v>103.4</v>
      </c>
      <c r="F1778" s="5">
        <v>206.8</v>
      </c>
      <c r="G1778" s="5">
        <v>102.7</v>
      </c>
      <c r="H1778" s="5">
        <v>102.5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103.3</v>
      </c>
      <c r="D1779" s="5">
        <v>0.1</v>
      </c>
      <c r="E1779" s="5">
        <v>103.4</v>
      </c>
      <c r="F1779" s="5">
        <v>206.8</v>
      </c>
      <c r="G1779" s="5">
        <v>102.7</v>
      </c>
      <c r="H1779" s="5">
        <v>102.5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103.3</v>
      </c>
      <c r="D1780" s="5">
        <v>0.1</v>
      </c>
      <c r="E1780" s="5">
        <v>103.4</v>
      </c>
      <c r="F1780" s="5">
        <v>206.8</v>
      </c>
      <c r="G1780" s="5">
        <v>102.7</v>
      </c>
      <c r="H1780" s="5">
        <v>102.5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103.3</v>
      </c>
      <c r="D1781" s="5">
        <v>0.1</v>
      </c>
      <c r="E1781" s="5">
        <v>103.4</v>
      </c>
      <c r="F1781" s="5">
        <v>206.8</v>
      </c>
      <c r="G1781" s="5">
        <v>102.7</v>
      </c>
      <c r="H1781" s="5">
        <v>102.5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103.6</v>
      </c>
      <c r="D1782" s="5">
        <v>0.1</v>
      </c>
      <c r="E1782" s="5">
        <v>103.7</v>
      </c>
      <c r="F1782" s="5">
        <v>203.2</v>
      </c>
      <c r="G1782" s="5">
        <v>101</v>
      </c>
      <c r="H1782" s="5">
        <v>100.9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103.6</v>
      </c>
      <c r="D1783" s="5">
        <v>0.1</v>
      </c>
      <c r="E1783" s="5">
        <v>103.7</v>
      </c>
      <c r="F1783" s="5">
        <v>203.2</v>
      </c>
      <c r="G1783" s="5">
        <v>101</v>
      </c>
      <c r="H1783" s="5">
        <v>100.9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105</v>
      </c>
      <c r="D1784" s="5">
        <v>0.1</v>
      </c>
      <c r="E1784" s="5">
        <v>105.1</v>
      </c>
      <c r="F1784" s="5">
        <v>206.4</v>
      </c>
      <c r="G1784" s="5">
        <v>102.5</v>
      </c>
      <c r="H1784" s="5">
        <v>102.4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105</v>
      </c>
      <c r="D1785" s="5">
        <v>0.1</v>
      </c>
      <c r="E1785" s="5">
        <v>105.1</v>
      </c>
      <c r="F1785" s="5">
        <v>206.4</v>
      </c>
      <c r="G1785" s="5">
        <v>102.5</v>
      </c>
      <c r="H1785" s="5">
        <v>102.4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105</v>
      </c>
      <c r="D1786" s="5">
        <v>0.1</v>
      </c>
      <c r="E1786" s="5">
        <v>105.1</v>
      </c>
      <c r="F1786" s="5">
        <v>206.4</v>
      </c>
      <c r="G1786" s="5">
        <v>102.5</v>
      </c>
      <c r="H1786" s="5">
        <v>102.4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105</v>
      </c>
      <c r="D1787" s="5">
        <v>0.1</v>
      </c>
      <c r="E1787" s="5">
        <v>105.1</v>
      </c>
      <c r="F1787" s="5">
        <v>206.4</v>
      </c>
      <c r="G1787" s="5">
        <v>102.5</v>
      </c>
      <c r="H1787" s="5">
        <v>102.4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102.9</v>
      </c>
      <c r="D1788" s="5">
        <v>0.1</v>
      </c>
      <c r="E1788" s="5">
        <v>103.1</v>
      </c>
      <c r="F1788" s="5">
        <v>205.4</v>
      </c>
      <c r="G1788" s="5">
        <v>102.1</v>
      </c>
      <c r="H1788" s="5">
        <v>101.9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102.9</v>
      </c>
      <c r="D1789" s="5">
        <v>0.1</v>
      </c>
      <c r="E1789" s="5">
        <v>103.1</v>
      </c>
      <c r="F1789" s="5">
        <v>205.4</v>
      </c>
      <c r="G1789" s="5">
        <v>102.1</v>
      </c>
      <c r="H1789" s="5">
        <v>101.9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102.9</v>
      </c>
      <c r="D1790" s="5">
        <v>0.1</v>
      </c>
      <c r="E1790" s="5">
        <v>103.1</v>
      </c>
      <c r="F1790" s="5">
        <v>205.4</v>
      </c>
      <c r="G1790" s="5">
        <v>102.1</v>
      </c>
      <c r="H1790" s="5">
        <v>101.9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102.9</v>
      </c>
      <c r="D1791" s="5">
        <v>0.1</v>
      </c>
      <c r="E1791" s="5">
        <v>103.1</v>
      </c>
      <c r="F1791" s="5">
        <v>205.4</v>
      </c>
      <c r="G1791" s="5">
        <v>102.1</v>
      </c>
      <c r="H1791" s="5">
        <v>101.9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103.7</v>
      </c>
      <c r="D1792" s="5">
        <v>0.1</v>
      </c>
      <c r="E1792" s="5">
        <v>103.9</v>
      </c>
      <c r="F1792" s="5">
        <v>205.6</v>
      </c>
      <c r="G1792" s="5">
        <v>102.1</v>
      </c>
      <c r="H1792" s="5">
        <v>102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103.7</v>
      </c>
      <c r="D1793" s="5">
        <v>0.1</v>
      </c>
      <c r="E1793" s="5">
        <v>103.9</v>
      </c>
      <c r="F1793" s="5">
        <v>205.6</v>
      </c>
      <c r="G1793" s="5">
        <v>102.1</v>
      </c>
      <c r="H1793" s="5">
        <v>102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103.4</v>
      </c>
      <c r="D1794" s="5">
        <v>0.1</v>
      </c>
      <c r="E1794" s="5">
        <v>103.6</v>
      </c>
      <c r="F1794" s="5">
        <v>205.3</v>
      </c>
      <c r="G1794" s="5">
        <v>102</v>
      </c>
      <c r="H1794" s="5">
        <v>101.9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103.4</v>
      </c>
      <c r="D1795" s="5">
        <v>0.1</v>
      </c>
      <c r="E1795" s="5">
        <v>103.6</v>
      </c>
      <c r="F1795" s="5">
        <v>205.3</v>
      </c>
      <c r="G1795" s="5">
        <v>102</v>
      </c>
      <c r="H1795" s="5">
        <v>101.9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104</v>
      </c>
      <c r="D1796" s="5">
        <v>0.1</v>
      </c>
      <c r="E1796" s="5">
        <v>104.2</v>
      </c>
      <c r="F1796" s="5">
        <v>207.6</v>
      </c>
      <c r="G1796" s="5">
        <v>103.1</v>
      </c>
      <c r="H1796" s="5">
        <v>103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104</v>
      </c>
      <c r="D1797" s="5">
        <v>0.1</v>
      </c>
      <c r="E1797" s="5">
        <v>104.2</v>
      </c>
      <c r="F1797" s="5">
        <v>207.6</v>
      </c>
      <c r="G1797" s="5">
        <v>103.1</v>
      </c>
      <c r="H1797" s="5">
        <v>103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102.7</v>
      </c>
      <c r="D1798" s="5">
        <v>0.1</v>
      </c>
      <c r="E1798" s="5">
        <v>102.8</v>
      </c>
      <c r="F1798" s="5">
        <v>205.6</v>
      </c>
      <c r="G1798" s="5">
        <v>102.1</v>
      </c>
      <c r="H1798" s="5">
        <v>102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102.7</v>
      </c>
      <c r="D1799" s="5">
        <v>0.1</v>
      </c>
      <c r="E1799" s="5">
        <v>102.8</v>
      </c>
      <c r="F1799" s="5">
        <v>205.6</v>
      </c>
      <c r="G1799" s="5">
        <v>102.1</v>
      </c>
      <c r="H1799" s="5">
        <v>102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102.7</v>
      </c>
      <c r="D1800" s="5">
        <v>0.1</v>
      </c>
      <c r="E1800" s="5">
        <v>102.8</v>
      </c>
      <c r="F1800" s="5">
        <v>205.6</v>
      </c>
      <c r="G1800" s="5">
        <v>102.1</v>
      </c>
      <c r="H1800" s="5">
        <v>102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102.7</v>
      </c>
      <c r="D1801" s="5">
        <v>0.1</v>
      </c>
      <c r="E1801" s="5">
        <v>102.8</v>
      </c>
      <c r="F1801" s="5">
        <v>205.6</v>
      </c>
      <c r="G1801" s="5">
        <v>102.1</v>
      </c>
      <c r="H1801" s="5">
        <v>102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103.6</v>
      </c>
      <c r="D1802" s="5">
        <v>0.1</v>
      </c>
      <c r="E1802" s="5">
        <v>103.7</v>
      </c>
      <c r="F1802" s="5">
        <v>205.1</v>
      </c>
      <c r="G1802" s="5">
        <v>101.7</v>
      </c>
      <c r="H1802" s="5">
        <v>101.6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103.6</v>
      </c>
      <c r="D1803" s="5">
        <v>0.1</v>
      </c>
      <c r="E1803" s="5">
        <v>103.7</v>
      </c>
      <c r="F1803" s="5">
        <v>205.1</v>
      </c>
      <c r="G1803" s="5">
        <v>101.7</v>
      </c>
      <c r="H1803" s="5">
        <v>101.6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103.4</v>
      </c>
      <c r="D1804" s="5">
        <v>0.1</v>
      </c>
      <c r="E1804" s="5">
        <v>103.6</v>
      </c>
      <c r="F1804" s="5">
        <v>205.1</v>
      </c>
      <c r="G1804" s="5">
        <v>101.9</v>
      </c>
      <c r="H1804" s="5">
        <v>101.8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103.4</v>
      </c>
      <c r="D1805" s="5">
        <v>0.1</v>
      </c>
      <c r="E1805" s="5">
        <v>103.6</v>
      </c>
      <c r="F1805" s="5">
        <v>205.1</v>
      </c>
      <c r="G1805" s="5">
        <v>101.9</v>
      </c>
      <c r="H1805" s="5">
        <v>101.8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103.4</v>
      </c>
      <c r="D1806" s="5">
        <v>0.1</v>
      </c>
      <c r="E1806" s="5">
        <v>103.5</v>
      </c>
      <c r="F1806" s="5">
        <v>208</v>
      </c>
      <c r="G1806" s="5">
        <v>103.3</v>
      </c>
      <c r="H1806" s="5">
        <v>103.2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103.4</v>
      </c>
      <c r="D1807" s="5">
        <v>0.1</v>
      </c>
      <c r="E1807" s="5">
        <v>103.5</v>
      </c>
      <c r="F1807" s="5">
        <v>208</v>
      </c>
      <c r="G1807" s="5">
        <v>103.3</v>
      </c>
      <c r="H1807" s="5">
        <v>103.2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103.7</v>
      </c>
      <c r="D1808" s="5">
        <v>0.1</v>
      </c>
      <c r="E1808" s="5">
        <v>103.8</v>
      </c>
      <c r="F1808" s="5">
        <v>206.7</v>
      </c>
      <c r="G1808" s="5">
        <v>102.3</v>
      </c>
      <c r="H1808" s="5">
        <v>101.4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103.7</v>
      </c>
      <c r="D1809" s="5">
        <v>0.1</v>
      </c>
      <c r="E1809" s="5">
        <v>103.8</v>
      </c>
      <c r="F1809" s="5">
        <v>206.7</v>
      </c>
      <c r="G1809" s="5">
        <v>102.3</v>
      </c>
      <c r="H1809" s="5">
        <v>101.4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103.7</v>
      </c>
      <c r="D1810" s="5">
        <v>0.1</v>
      </c>
      <c r="E1810" s="5">
        <v>103.8</v>
      </c>
      <c r="F1810" s="5">
        <v>206.7</v>
      </c>
      <c r="G1810" s="5">
        <v>102.3</v>
      </c>
      <c r="H1810" s="5">
        <v>101.4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103.7</v>
      </c>
      <c r="D1811" s="5">
        <v>0.1</v>
      </c>
      <c r="E1811" s="5">
        <v>103.8</v>
      </c>
      <c r="F1811" s="5">
        <v>206.7</v>
      </c>
      <c r="G1811" s="5">
        <v>102.3</v>
      </c>
      <c r="H1811" s="5">
        <v>101.4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104.4</v>
      </c>
      <c r="D1812" s="5">
        <v>0.1</v>
      </c>
      <c r="E1812" s="5">
        <v>104.6</v>
      </c>
      <c r="F1812" s="5">
        <v>206.5</v>
      </c>
      <c r="G1812" s="5">
        <v>102.7</v>
      </c>
      <c r="H1812" s="5">
        <v>102.6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104.4</v>
      </c>
      <c r="D1813" s="5">
        <v>0.1</v>
      </c>
      <c r="E1813" s="5">
        <v>104.6</v>
      </c>
      <c r="F1813" s="5">
        <v>206.5</v>
      </c>
      <c r="G1813" s="5">
        <v>102.7</v>
      </c>
      <c r="H1813" s="5">
        <v>102.6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104.4</v>
      </c>
      <c r="D1814" s="5">
        <v>0.1</v>
      </c>
      <c r="E1814" s="5">
        <v>104.6</v>
      </c>
      <c r="F1814" s="5">
        <v>207.3</v>
      </c>
      <c r="G1814" s="5">
        <v>103</v>
      </c>
      <c r="H1814" s="5">
        <v>102.9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104.4</v>
      </c>
      <c r="D1815" s="5">
        <v>0.1</v>
      </c>
      <c r="E1815" s="5">
        <v>104.6</v>
      </c>
      <c r="F1815" s="5">
        <v>207.3</v>
      </c>
      <c r="G1815" s="5">
        <v>103</v>
      </c>
      <c r="H1815" s="5">
        <v>102.9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104.5</v>
      </c>
      <c r="D1816" s="5">
        <v>0.1</v>
      </c>
      <c r="E1816" s="5">
        <v>104.6</v>
      </c>
      <c r="F1816" s="5">
        <v>207.8</v>
      </c>
      <c r="G1816" s="5">
        <v>103.2</v>
      </c>
      <c r="H1816" s="5">
        <v>103.1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104.5</v>
      </c>
      <c r="D1817" s="5">
        <v>0.1</v>
      </c>
      <c r="E1817" s="5">
        <v>104.6</v>
      </c>
      <c r="F1817" s="5">
        <v>207.8</v>
      </c>
      <c r="G1817" s="5">
        <v>103.2</v>
      </c>
      <c r="H1817" s="5">
        <v>103.1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105.9</v>
      </c>
      <c r="D1818" s="5">
        <v>0.1</v>
      </c>
      <c r="E1818" s="5">
        <v>106</v>
      </c>
      <c r="F1818" s="5">
        <v>209.3</v>
      </c>
      <c r="G1818" s="5">
        <v>104.1</v>
      </c>
      <c r="H1818" s="5">
        <v>103.9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105.9</v>
      </c>
      <c r="D1819" s="5">
        <v>0.1</v>
      </c>
      <c r="E1819" s="5">
        <v>106</v>
      </c>
      <c r="F1819" s="5">
        <v>209.3</v>
      </c>
      <c r="G1819" s="5">
        <v>104.1</v>
      </c>
      <c r="H1819" s="5">
        <v>103.9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105.9</v>
      </c>
      <c r="D1820" s="5">
        <v>0.1</v>
      </c>
      <c r="E1820" s="5">
        <v>106</v>
      </c>
      <c r="F1820" s="5">
        <v>209.3</v>
      </c>
      <c r="G1820" s="5">
        <v>104.1</v>
      </c>
      <c r="H1820" s="5">
        <v>103.9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105.9</v>
      </c>
      <c r="D1821" s="5">
        <v>0.1</v>
      </c>
      <c r="E1821" s="5">
        <v>106</v>
      </c>
      <c r="F1821" s="5">
        <v>209.3</v>
      </c>
      <c r="G1821" s="5">
        <v>105.1</v>
      </c>
      <c r="H1821" s="5">
        <v>104.9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106.4</v>
      </c>
      <c r="D1822" s="5">
        <v>0.1</v>
      </c>
      <c r="E1822" s="5">
        <v>106.6</v>
      </c>
      <c r="F1822" s="5">
        <v>211.5</v>
      </c>
      <c r="G1822" s="5">
        <v>105.1</v>
      </c>
      <c r="H1822" s="5">
        <v>104.9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106.4</v>
      </c>
      <c r="D1823" s="5">
        <v>0.1</v>
      </c>
      <c r="E1823" s="5">
        <v>106.6</v>
      </c>
      <c r="F1823" s="5">
        <v>211.5</v>
      </c>
      <c r="G1823" s="5">
        <v>105.1</v>
      </c>
      <c r="H1823" s="5">
        <v>105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106.1</v>
      </c>
      <c r="D1824" s="5">
        <v>0.1</v>
      </c>
      <c r="E1824" s="5">
        <v>106.2</v>
      </c>
      <c r="F1824" s="5">
        <v>211.6</v>
      </c>
      <c r="G1824" s="5">
        <v>105.1</v>
      </c>
      <c r="H1824" s="5">
        <v>105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106.1</v>
      </c>
      <c r="D1825" s="5">
        <v>0.1</v>
      </c>
      <c r="E1825" s="5">
        <v>106.2</v>
      </c>
      <c r="F1825" s="5">
        <v>211.6</v>
      </c>
      <c r="G1825" s="5">
        <v>105.1</v>
      </c>
      <c r="H1825" s="5">
        <v>105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106.4</v>
      </c>
      <c r="D1826" s="5">
        <v>0.1</v>
      </c>
      <c r="E1826" s="5">
        <v>106.6</v>
      </c>
      <c r="F1826" s="5">
        <v>211.5</v>
      </c>
      <c r="G1826" s="5">
        <v>105.1</v>
      </c>
      <c r="H1826" s="5">
        <v>105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106.4</v>
      </c>
      <c r="D1827" s="5">
        <v>0.1</v>
      </c>
      <c r="E1827" s="5">
        <v>106.6</v>
      </c>
      <c r="F1827" s="5">
        <v>211.5</v>
      </c>
      <c r="G1827" s="5">
        <v>105.1</v>
      </c>
      <c r="H1827" s="5">
        <v>105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105.9</v>
      </c>
      <c r="D1828" s="5">
        <v>0.1</v>
      </c>
      <c r="E1828" s="5">
        <v>106</v>
      </c>
      <c r="F1828" s="5">
        <v>211.2</v>
      </c>
      <c r="G1828" s="5">
        <v>105</v>
      </c>
      <c r="H1828" s="5">
        <v>104.8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105.9</v>
      </c>
      <c r="D1829" s="5">
        <v>0.1</v>
      </c>
      <c r="E1829" s="5">
        <v>106</v>
      </c>
      <c r="F1829" s="5">
        <v>211.2</v>
      </c>
      <c r="G1829" s="5">
        <v>105</v>
      </c>
      <c r="H1829" s="5">
        <v>104.8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105.9</v>
      </c>
      <c r="D1830" s="5">
        <v>0.1</v>
      </c>
      <c r="E1830" s="5">
        <v>106</v>
      </c>
      <c r="F1830" s="5">
        <v>211.2</v>
      </c>
      <c r="G1830" s="5">
        <v>105</v>
      </c>
      <c r="H1830" s="5">
        <v>104.8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105.8</v>
      </c>
      <c r="D1831" s="5">
        <v>0.1</v>
      </c>
      <c r="E1831" s="5">
        <v>105.9</v>
      </c>
      <c r="F1831" s="5">
        <v>210.7</v>
      </c>
      <c r="G1831" s="5">
        <v>105</v>
      </c>
      <c r="H1831" s="5">
        <v>104.8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105.8</v>
      </c>
      <c r="D1832" s="5">
        <v>0.1</v>
      </c>
      <c r="E1832" s="5">
        <v>105.9</v>
      </c>
      <c r="F1832" s="5">
        <v>210.7</v>
      </c>
      <c r="G1832" s="5">
        <v>104.7</v>
      </c>
      <c r="H1832" s="5">
        <v>104.6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105.1</v>
      </c>
      <c r="D1833" s="5">
        <v>0.1</v>
      </c>
      <c r="E1833" s="5">
        <v>105.3</v>
      </c>
      <c r="F1833" s="5">
        <v>207.8</v>
      </c>
      <c r="G1833" s="5">
        <v>104.7</v>
      </c>
      <c r="H1833" s="5">
        <v>104.6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105.1</v>
      </c>
      <c r="D1834" s="5">
        <v>0.1</v>
      </c>
      <c r="E1834" s="5">
        <v>105.3</v>
      </c>
      <c r="F1834" s="5">
        <v>207.8</v>
      </c>
      <c r="G1834" s="5">
        <v>103.3</v>
      </c>
      <c r="H1834" s="5">
        <v>103.2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105.9</v>
      </c>
      <c r="D1835" s="5">
        <v>0.1</v>
      </c>
      <c r="E1835" s="5">
        <v>105.3</v>
      </c>
      <c r="F1835" s="5">
        <v>207.8</v>
      </c>
      <c r="G1835" s="5">
        <v>103.3</v>
      </c>
      <c r="H1835" s="5">
        <v>103.2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105.9</v>
      </c>
      <c r="D1836" s="5">
        <v>0.1</v>
      </c>
      <c r="E1836" s="5">
        <v>106</v>
      </c>
      <c r="F1836" s="5">
        <v>210.5</v>
      </c>
      <c r="G1836" s="5">
        <v>104.6</v>
      </c>
      <c r="H1836" s="5">
        <v>104.5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105.9</v>
      </c>
      <c r="D1837" s="5">
        <v>0.1</v>
      </c>
      <c r="E1837" s="5">
        <v>106</v>
      </c>
      <c r="F1837" s="5">
        <v>210.5</v>
      </c>
      <c r="G1837" s="5">
        <v>104.6</v>
      </c>
      <c r="H1837" s="5">
        <v>104.5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105.7</v>
      </c>
      <c r="D1838" s="5">
        <v>0.1</v>
      </c>
      <c r="E1838" s="5">
        <v>105.9</v>
      </c>
      <c r="F1838" s="5">
        <v>210.4</v>
      </c>
      <c r="G1838" s="5">
        <v>104.6</v>
      </c>
      <c r="H1838" s="5">
        <v>104.4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105.7</v>
      </c>
      <c r="D1839" s="5">
        <v>0.1</v>
      </c>
      <c r="E1839" s="5">
        <v>105.9</v>
      </c>
      <c r="F1839" s="5">
        <v>210.4</v>
      </c>
      <c r="G1839" s="5">
        <v>104.6</v>
      </c>
      <c r="H1839" s="5">
        <v>104.4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105.7</v>
      </c>
      <c r="D1840" s="5">
        <v>0.1</v>
      </c>
      <c r="E1840" s="5">
        <v>105.9</v>
      </c>
      <c r="F1840" s="5">
        <v>210.4</v>
      </c>
      <c r="G1840" s="5">
        <v>104.6</v>
      </c>
      <c r="H1840" s="5">
        <v>104.4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105.7</v>
      </c>
      <c r="D1841" s="5">
        <v>0.1</v>
      </c>
      <c r="E1841" s="5">
        <v>105.9</v>
      </c>
      <c r="F1841" s="5">
        <v>210.4</v>
      </c>
      <c r="G1841" s="5">
        <v>104.6</v>
      </c>
      <c r="H1841" s="5">
        <v>104.4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106.4</v>
      </c>
      <c r="D1842" s="5">
        <v>0.1</v>
      </c>
      <c r="E1842" s="5">
        <v>106.6</v>
      </c>
      <c r="F1842" s="5">
        <v>211.8</v>
      </c>
      <c r="G1842" s="5">
        <v>105.2</v>
      </c>
      <c r="H1842" s="5">
        <v>105.1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106.4</v>
      </c>
      <c r="D1843" s="5">
        <v>0.1</v>
      </c>
      <c r="E1843" s="5">
        <v>106.6</v>
      </c>
      <c r="F1843" s="5">
        <v>211.8</v>
      </c>
      <c r="G1843" s="5">
        <v>105.2</v>
      </c>
      <c r="H1843" s="5">
        <v>105.1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106.2</v>
      </c>
      <c r="D1844" s="5">
        <v>0.1</v>
      </c>
      <c r="E1844" s="5">
        <v>106.4</v>
      </c>
      <c r="F1844" s="5">
        <v>211.3</v>
      </c>
      <c r="G1844" s="5">
        <v>105</v>
      </c>
      <c r="H1844" s="5">
        <v>104.9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106.2</v>
      </c>
      <c r="D1845" s="5">
        <v>0.1</v>
      </c>
      <c r="E1845" s="5">
        <v>106.4</v>
      </c>
      <c r="F1845" s="5">
        <v>211.3</v>
      </c>
      <c r="G1845" s="5">
        <v>105</v>
      </c>
      <c r="H1845" s="5">
        <v>104.9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106.3</v>
      </c>
      <c r="D1846" s="5">
        <v>0.1</v>
      </c>
      <c r="E1846" s="5">
        <v>106.5</v>
      </c>
      <c r="F1846" s="5">
        <v>211.1</v>
      </c>
      <c r="G1846" s="5">
        <v>104.9</v>
      </c>
      <c r="H1846" s="5">
        <v>104.7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106.3</v>
      </c>
      <c r="D1847" s="5">
        <v>0.1</v>
      </c>
      <c r="E1847" s="5">
        <v>106.5</v>
      </c>
      <c r="F1847" s="5">
        <v>211.1</v>
      </c>
      <c r="G1847" s="5">
        <v>104.9</v>
      </c>
      <c r="H1847" s="5">
        <v>104.7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106.4</v>
      </c>
      <c r="D1848" s="5">
        <v>0.1</v>
      </c>
      <c r="E1848" s="5">
        <v>106.6</v>
      </c>
      <c r="F1848" s="5">
        <v>211</v>
      </c>
      <c r="G1848" s="5">
        <v>104.8</v>
      </c>
      <c r="H1848" s="5">
        <v>104.7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106.4</v>
      </c>
      <c r="D1849" s="5">
        <v>0.1</v>
      </c>
      <c r="E1849" s="5">
        <v>106.6</v>
      </c>
      <c r="F1849" s="5">
        <v>211</v>
      </c>
      <c r="G1849" s="5">
        <v>104.8</v>
      </c>
      <c r="H1849" s="5">
        <v>104.7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106.4</v>
      </c>
      <c r="D1850" s="5">
        <v>0.1</v>
      </c>
      <c r="E1850" s="5">
        <v>106.6</v>
      </c>
      <c r="F1850" s="5">
        <v>211</v>
      </c>
      <c r="G1850" s="5">
        <v>104.8</v>
      </c>
      <c r="H1850" s="5">
        <v>104.7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106.4</v>
      </c>
      <c r="D1851" s="5">
        <v>0.1</v>
      </c>
      <c r="E1851" s="5">
        <v>106.6</v>
      </c>
      <c r="F1851" s="5">
        <v>211</v>
      </c>
      <c r="G1851" s="5">
        <v>104.8</v>
      </c>
      <c r="H1851" s="5">
        <v>104.7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106.6</v>
      </c>
      <c r="D1852" s="5">
        <v>0.1</v>
      </c>
      <c r="E1852" s="5">
        <v>106.8</v>
      </c>
      <c r="F1852" s="5">
        <v>211.3</v>
      </c>
      <c r="G1852" s="5">
        <v>104.9</v>
      </c>
      <c r="H1852" s="5">
        <v>104.8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106.6</v>
      </c>
      <c r="D1853" s="5">
        <v>0.1</v>
      </c>
      <c r="E1853" s="5">
        <v>106.8</v>
      </c>
      <c r="F1853" s="5">
        <v>211.3</v>
      </c>
      <c r="G1853" s="5">
        <v>104.9</v>
      </c>
      <c r="H1853" s="5">
        <v>104.8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106.9</v>
      </c>
      <c r="D1854" s="5">
        <v>0.1</v>
      </c>
      <c r="E1854" s="5">
        <v>107.1</v>
      </c>
      <c r="F1854" s="5">
        <v>212.8</v>
      </c>
      <c r="G1854" s="5">
        <v>105.7</v>
      </c>
      <c r="H1854" s="5">
        <v>105.6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106.9</v>
      </c>
      <c r="D1855" s="5">
        <v>0.1</v>
      </c>
      <c r="E1855" s="5">
        <v>107.1</v>
      </c>
      <c r="F1855" s="5">
        <v>212.8</v>
      </c>
      <c r="G1855" s="5">
        <v>105.7</v>
      </c>
      <c r="H1855" s="5">
        <v>105.6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106.6</v>
      </c>
      <c r="D1856" s="5">
        <v>0.1</v>
      </c>
      <c r="E1856" s="5">
        <v>106.7</v>
      </c>
      <c r="F1856" s="5">
        <v>212.4</v>
      </c>
      <c r="G1856" s="5">
        <v>105.5</v>
      </c>
      <c r="H1856" s="5">
        <v>105.4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106.6</v>
      </c>
      <c r="D1857" s="5">
        <v>0.1</v>
      </c>
      <c r="E1857" s="5">
        <v>106.7</v>
      </c>
      <c r="F1857" s="5">
        <v>212.4</v>
      </c>
      <c r="G1857" s="5">
        <v>105.5</v>
      </c>
      <c r="H1857" s="5">
        <v>105.4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106</v>
      </c>
      <c r="D1858" s="5">
        <v>0.1</v>
      </c>
      <c r="E1858" s="5">
        <v>106.2</v>
      </c>
      <c r="F1858" s="5">
        <v>211.5</v>
      </c>
      <c r="G1858" s="5">
        <v>105</v>
      </c>
      <c r="H1858" s="5">
        <v>104.9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106</v>
      </c>
      <c r="D1859" s="5">
        <v>0.1</v>
      </c>
      <c r="E1859" s="5">
        <v>106.2</v>
      </c>
      <c r="F1859" s="5">
        <v>211.5</v>
      </c>
      <c r="G1859" s="5">
        <v>105</v>
      </c>
      <c r="H1859" s="5">
        <v>104.9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106</v>
      </c>
      <c r="D1860" s="5">
        <v>0.1</v>
      </c>
      <c r="E1860" s="5">
        <v>106.2</v>
      </c>
      <c r="F1860" s="5">
        <v>211.5</v>
      </c>
      <c r="G1860" s="5">
        <v>105</v>
      </c>
      <c r="H1860" s="5">
        <v>104.9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106</v>
      </c>
      <c r="D1861" s="5">
        <v>0.1</v>
      </c>
      <c r="E1861" s="5">
        <v>106.3</v>
      </c>
      <c r="F1861" s="5">
        <v>211.1</v>
      </c>
      <c r="G1861" s="5">
        <v>104.8</v>
      </c>
      <c r="H1861" s="5">
        <v>104.7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106.2</v>
      </c>
      <c r="D1862" s="5">
        <v>0.1</v>
      </c>
      <c r="E1862" s="5">
        <v>106.3</v>
      </c>
      <c r="F1862" s="5">
        <v>211.1</v>
      </c>
      <c r="G1862" s="5">
        <v>104.8</v>
      </c>
      <c r="H1862" s="5">
        <v>104.7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106.2</v>
      </c>
      <c r="D1863" s="5">
        <v>0.1</v>
      </c>
      <c r="E1863" s="5">
        <v>106.3</v>
      </c>
      <c r="F1863" s="5">
        <v>211.5</v>
      </c>
      <c r="G1863" s="5">
        <v>105.1</v>
      </c>
      <c r="H1863" s="5">
        <v>104.9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106.2</v>
      </c>
      <c r="D1864" s="5">
        <v>0.1</v>
      </c>
      <c r="E1864" s="5">
        <v>106.3</v>
      </c>
      <c r="F1864" s="5">
        <v>211.5</v>
      </c>
      <c r="G1864" s="5">
        <v>105.1</v>
      </c>
      <c r="H1864" s="5">
        <v>104.9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106.2</v>
      </c>
      <c r="D1865" s="5">
        <v>0.1</v>
      </c>
      <c r="E1865" s="5">
        <v>106.3</v>
      </c>
      <c r="F1865" s="5">
        <v>211.5</v>
      </c>
      <c r="G1865" s="5">
        <v>105.1</v>
      </c>
      <c r="H1865" s="5">
        <v>104.1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104.9</v>
      </c>
      <c r="D1866" s="5">
        <v>0.1</v>
      </c>
      <c r="E1866" s="5">
        <v>105</v>
      </c>
      <c r="F1866" s="5">
        <v>210.2</v>
      </c>
      <c r="G1866" s="5">
        <v>104.3</v>
      </c>
      <c r="H1866" s="5">
        <v>104.1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104.9</v>
      </c>
      <c r="D1867" s="5">
        <v>0.1</v>
      </c>
      <c r="E1867" s="5">
        <v>105</v>
      </c>
      <c r="F1867" s="5">
        <v>210.2</v>
      </c>
      <c r="G1867" s="5">
        <v>104.3</v>
      </c>
      <c r="H1867" s="5">
        <v>104.1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106.5</v>
      </c>
      <c r="D1868" s="5">
        <v>0.1</v>
      </c>
      <c r="E1868" s="5">
        <v>106.6</v>
      </c>
      <c r="F1868" s="5">
        <v>211.5</v>
      </c>
      <c r="G1868" s="5">
        <v>105.1</v>
      </c>
      <c r="H1868" s="5">
        <v>104.9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106.5</v>
      </c>
      <c r="D1869" s="5">
        <v>0.1</v>
      </c>
      <c r="E1869" s="5">
        <v>106.6</v>
      </c>
      <c r="F1869" s="5">
        <v>211.5</v>
      </c>
      <c r="G1869" s="5">
        <v>105.1</v>
      </c>
      <c r="H1869" s="5">
        <v>104.9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106.5</v>
      </c>
      <c r="D1870" s="5">
        <v>0.1</v>
      </c>
      <c r="E1870" s="5">
        <v>106.6</v>
      </c>
      <c r="F1870" s="5">
        <v>211.5</v>
      </c>
      <c r="G1870" s="5">
        <v>105.1</v>
      </c>
      <c r="H1870" s="5">
        <v>104.9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105.9</v>
      </c>
      <c r="D1871" s="5">
        <v>0.1</v>
      </c>
      <c r="E1871" s="5">
        <v>106</v>
      </c>
      <c r="F1871" s="5">
        <v>211.3</v>
      </c>
      <c r="G1871" s="5">
        <v>105</v>
      </c>
      <c r="H1871" s="5">
        <v>104.8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105.9</v>
      </c>
      <c r="D1872" s="5">
        <v>0.1</v>
      </c>
      <c r="E1872" s="5">
        <v>106</v>
      </c>
      <c r="F1872" s="5">
        <v>211.3</v>
      </c>
      <c r="G1872" s="5">
        <v>105</v>
      </c>
      <c r="H1872" s="5">
        <v>104.8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106.2</v>
      </c>
      <c r="D1873" s="5">
        <v>0.1</v>
      </c>
      <c r="E1873" s="5">
        <v>106.3</v>
      </c>
      <c r="F1873" s="5">
        <v>210.6</v>
      </c>
      <c r="G1873" s="5">
        <v>104.6</v>
      </c>
      <c r="H1873" s="5">
        <v>104.5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106.2</v>
      </c>
      <c r="D1874" s="5">
        <v>0.1</v>
      </c>
      <c r="E1874" s="5">
        <v>106.3</v>
      </c>
      <c r="F1874" s="5">
        <v>210.6</v>
      </c>
      <c r="G1874" s="5">
        <v>104.6</v>
      </c>
      <c r="H1874" s="5">
        <v>104.5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106.3</v>
      </c>
      <c r="D1875" s="5">
        <v>0.1</v>
      </c>
      <c r="E1875" s="5">
        <v>106.5</v>
      </c>
      <c r="F1875" s="5">
        <v>209.9</v>
      </c>
      <c r="G1875" s="5">
        <v>104.3</v>
      </c>
      <c r="H1875" s="5">
        <v>104.2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106.3</v>
      </c>
      <c r="D1876" s="5">
        <v>0.1</v>
      </c>
      <c r="E1876" s="5">
        <v>106.5</v>
      </c>
      <c r="F1876" s="5">
        <v>209.9</v>
      </c>
      <c r="G1876" s="5">
        <v>104.3</v>
      </c>
      <c r="H1876" s="5">
        <v>104.2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105.6</v>
      </c>
      <c r="D1877" s="5">
        <v>0.1</v>
      </c>
      <c r="E1877" s="5">
        <v>105.9</v>
      </c>
      <c r="F1877" s="5">
        <v>210.2</v>
      </c>
      <c r="G1877" s="5">
        <v>104.5</v>
      </c>
      <c r="H1877" s="5">
        <v>104.4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105.6</v>
      </c>
      <c r="D1878" s="5">
        <v>0.1</v>
      </c>
      <c r="E1878" s="5">
        <v>105.9</v>
      </c>
      <c r="F1878" s="5">
        <v>210.2</v>
      </c>
      <c r="G1878" s="5">
        <v>104.5</v>
      </c>
      <c r="H1878" s="5">
        <v>104.4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105.6</v>
      </c>
      <c r="D1879" s="5">
        <v>0.1</v>
      </c>
      <c r="E1879" s="5">
        <v>105.9</v>
      </c>
      <c r="F1879" s="5">
        <v>210.2</v>
      </c>
      <c r="G1879" s="5">
        <v>104.5</v>
      </c>
      <c r="H1879" s="5">
        <v>104.4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105.6</v>
      </c>
      <c r="D1880" s="5">
        <v>0.1</v>
      </c>
      <c r="E1880" s="5">
        <v>105.9</v>
      </c>
      <c r="F1880" s="5">
        <v>210.2</v>
      </c>
      <c r="G1880" s="5">
        <v>104.5</v>
      </c>
      <c r="H1880" s="5">
        <v>104.4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106.5</v>
      </c>
      <c r="D1881" s="5">
        <v>0.1</v>
      </c>
      <c r="E1881" s="5">
        <v>106.6</v>
      </c>
      <c r="F1881" s="5">
        <v>211.1</v>
      </c>
      <c r="G1881" s="5">
        <v>104.9</v>
      </c>
      <c r="H1881" s="5">
        <v>104.7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106.5</v>
      </c>
      <c r="D1882" s="5">
        <v>0.1</v>
      </c>
      <c r="E1882" s="5">
        <v>106.6</v>
      </c>
      <c r="F1882" s="5">
        <v>211.1</v>
      </c>
      <c r="G1882" s="5">
        <v>104.9</v>
      </c>
      <c r="H1882" s="5">
        <v>104.7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106.3</v>
      </c>
      <c r="D1883" s="5">
        <v>0.1</v>
      </c>
      <c r="E1883" s="5">
        <v>106.4</v>
      </c>
      <c r="F1883" s="5">
        <v>212</v>
      </c>
      <c r="G1883" s="5">
        <v>105.3</v>
      </c>
      <c r="H1883" s="5">
        <v>105.2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106.3</v>
      </c>
      <c r="D1884" s="5">
        <v>0.1</v>
      </c>
      <c r="E1884" s="5">
        <v>106.4</v>
      </c>
      <c r="F1884" s="5">
        <v>212</v>
      </c>
      <c r="G1884" s="5">
        <v>105.3</v>
      </c>
      <c r="H1884" s="5">
        <v>105.2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106.9</v>
      </c>
      <c r="D1885" s="5">
        <v>0.1</v>
      </c>
      <c r="E1885" s="5">
        <v>107</v>
      </c>
      <c r="F1885" s="5">
        <v>211.8</v>
      </c>
      <c r="G1885" s="5">
        <v>105.3</v>
      </c>
      <c r="H1885" s="5">
        <v>105.2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106.9</v>
      </c>
      <c r="D1886" s="5">
        <v>0.1</v>
      </c>
      <c r="E1886" s="5">
        <v>107</v>
      </c>
      <c r="F1886" s="5">
        <v>211.8</v>
      </c>
      <c r="G1886" s="5">
        <v>105.3</v>
      </c>
      <c r="H1886" s="5">
        <v>105.2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106.5</v>
      </c>
      <c r="D1887" s="5">
        <v>0.1</v>
      </c>
      <c r="E1887" s="5">
        <v>106.6</v>
      </c>
      <c r="F1887" s="5">
        <v>211.4</v>
      </c>
      <c r="G1887" s="5">
        <v>105.1</v>
      </c>
      <c r="H1887" s="5">
        <v>104.9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106.5</v>
      </c>
      <c r="D1888" s="5">
        <v>0.1</v>
      </c>
      <c r="E1888" s="5">
        <v>106.6</v>
      </c>
      <c r="F1888" s="5">
        <v>211.4</v>
      </c>
      <c r="G1888" s="5">
        <v>105.1</v>
      </c>
      <c r="H1888" s="5">
        <v>104.9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106.5</v>
      </c>
      <c r="D1889" s="5">
        <v>0.1</v>
      </c>
      <c r="E1889" s="5">
        <v>106.6</v>
      </c>
      <c r="F1889" s="5">
        <v>211.4</v>
      </c>
      <c r="G1889" s="5">
        <v>105.1</v>
      </c>
      <c r="H1889" s="5">
        <v>104.9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106.5</v>
      </c>
      <c r="D1890" s="5">
        <v>0.1</v>
      </c>
      <c r="E1890" s="5">
        <v>106.6</v>
      </c>
      <c r="F1890" s="5">
        <v>211.4</v>
      </c>
      <c r="G1890" s="5">
        <v>105.1</v>
      </c>
      <c r="H1890" s="5">
        <v>104.9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106.8</v>
      </c>
      <c r="D1891" s="5">
        <v>0.1</v>
      </c>
      <c r="E1891" s="5">
        <v>106.9</v>
      </c>
      <c r="F1891" s="5">
        <v>211.4</v>
      </c>
      <c r="G1891" s="5">
        <v>105.1</v>
      </c>
      <c r="H1891" s="5">
        <v>104.9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106.8</v>
      </c>
      <c r="D1892" s="5">
        <v>0.1</v>
      </c>
      <c r="E1892" s="5">
        <v>106.9</v>
      </c>
      <c r="F1892" s="5">
        <v>211.4</v>
      </c>
      <c r="G1892" s="5">
        <v>105.1</v>
      </c>
      <c r="H1892" s="5">
        <v>104.9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106.4</v>
      </c>
      <c r="D1893" s="5">
        <v>0.1</v>
      </c>
      <c r="E1893" s="5">
        <v>106.6</v>
      </c>
      <c r="F1893" s="5">
        <v>211.7</v>
      </c>
      <c r="G1893" s="5">
        <v>105.2</v>
      </c>
      <c r="H1893" s="5">
        <v>105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106.4</v>
      </c>
      <c r="D1894" s="5">
        <v>0.1</v>
      </c>
      <c r="E1894" s="5">
        <v>106.6</v>
      </c>
      <c r="F1894" s="5">
        <v>211.7</v>
      </c>
      <c r="G1894" s="5">
        <v>105.2</v>
      </c>
      <c r="H1894" s="5">
        <v>105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106.9</v>
      </c>
      <c r="D1895" s="5">
        <v>0.1</v>
      </c>
      <c r="E1895" s="5">
        <v>107.1</v>
      </c>
      <c r="F1895" s="5">
        <v>210.8</v>
      </c>
      <c r="G1895" s="5">
        <v>104.9</v>
      </c>
      <c r="H1895" s="5">
        <v>104.8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106.9</v>
      </c>
      <c r="D1896" s="5">
        <v>0.1</v>
      </c>
      <c r="E1896" s="5">
        <v>107.1</v>
      </c>
      <c r="F1896" s="5">
        <v>210.8</v>
      </c>
      <c r="G1896" s="5">
        <v>104.9</v>
      </c>
      <c r="H1896" s="5">
        <v>104.8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106.7</v>
      </c>
      <c r="D1897" s="5">
        <v>0.1</v>
      </c>
      <c r="E1897" s="5">
        <v>106.9</v>
      </c>
      <c r="F1897" s="5">
        <v>211.2</v>
      </c>
      <c r="G1897" s="5">
        <v>105</v>
      </c>
      <c r="H1897" s="5">
        <v>104.8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106.7</v>
      </c>
      <c r="D1898" s="5">
        <v>0.1</v>
      </c>
      <c r="E1898" s="5">
        <v>106.9</v>
      </c>
      <c r="F1898" s="5">
        <v>211.2</v>
      </c>
      <c r="G1898" s="5">
        <v>105</v>
      </c>
      <c r="H1898" s="5">
        <v>104.8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106.7</v>
      </c>
      <c r="D1899" s="5">
        <v>0.1</v>
      </c>
      <c r="E1899" s="5">
        <v>106.9</v>
      </c>
      <c r="F1899" s="5">
        <v>211.2</v>
      </c>
      <c r="G1899" s="5">
        <v>105</v>
      </c>
      <c r="H1899" s="5">
        <v>104.8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106.7</v>
      </c>
      <c r="D1900" s="5">
        <v>0.1</v>
      </c>
      <c r="E1900" s="5">
        <v>106.9</v>
      </c>
      <c r="F1900" s="5">
        <v>211.2</v>
      </c>
      <c r="G1900" s="5">
        <v>105</v>
      </c>
      <c r="H1900" s="5">
        <v>104.8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106.5</v>
      </c>
      <c r="D1901" s="5">
        <v>0.1</v>
      </c>
      <c r="E1901" s="5">
        <v>106.6</v>
      </c>
      <c r="F1901" s="5">
        <v>211.5</v>
      </c>
      <c r="G1901" s="5">
        <v>105.1</v>
      </c>
      <c r="H1901" s="5">
        <v>104.9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106.5</v>
      </c>
      <c r="D1902" s="5">
        <v>0.1</v>
      </c>
      <c r="E1902" s="5">
        <v>106.6</v>
      </c>
      <c r="F1902" s="5">
        <v>211.5</v>
      </c>
      <c r="G1902" s="5">
        <v>105.1</v>
      </c>
      <c r="H1902" s="5">
        <v>104.9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107</v>
      </c>
      <c r="D1903" s="5">
        <v>0.1</v>
      </c>
      <c r="E1903" s="5">
        <v>107.2</v>
      </c>
      <c r="F1903" s="5">
        <v>212.6</v>
      </c>
      <c r="G1903" s="5">
        <v>105.7</v>
      </c>
      <c r="H1903" s="5">
        <v>105.5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107</v>
      </c>
      <c r="D1904" s="5">
        <v>0.1</v>
      </c>
      <c r="E1904" s="5">
        <v>107.2</v>
      </c>
      <c r="F1904" s="5">
        <v>212.6</v>
      </c>
      <c r="G1904" s="5">
        <v>105.7</v>
      </c>
      <c r="H1904" s="5">
        <v>105.5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107.2</v>
      </c>
      <c r="D1905" s="5">
        <v>0.1</v>
      </c>
      <c r="E1905" s="5">
        <v>107.3</v>
      </c>
      <c r="F1905" s="5">
        <v>213.3</v>
      </c>
      <c r="G1905" s="5">
        <v>106</v>
      </c>
      <c r="H1905" s="5">
        <v>105.8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107.2</v>
      </c>
      <c r="D1906" s="5">
        <v>0.1</v>
      </c>
      <c r="E1906" s="5">
        <v>107.3</v>
      </c>
      <c r="F1906" s="5">
        <v>213.3</v>
      </c>
      <c r="G1906" s="5">
        <v>106</v>
      </c>
      <c r="H1906" s="5">
        <v>105.8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107</v>
      </c>
      <c r="D1907" s="5">
        <v>0.1</v>
      </c>
      <c r="E1907" s="5">
        <v>107.2</v>
      </c>
      <c r="F1907" s="5">
        <v>211.7</v>
      </c>
      <c r="G1907" s="5">
        <v>105.2</v>
      </c>
      <c r="H1907" s="5">
        <v>105.1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107</v>
      </c>
      <c r="D1908" s="5">
        <v>0.1</v>
      </c>
      <c r="E1908" s="5">
        <v>107.2</v>
      </c>
      <c r="F1908" s="5">
        <v>211.7</v>
      </c>
      <c r="G1908" s="5">
        <v>105.2</v>
      </c>
      <c r="H1908" s="5">
        <v>105.1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107</v>
      </c>
      <c r="D1909" s="5">
        <v>0.1</v>
      </c>
      <c r="E1909" s="5">
        <v>107.2</v>
      </c>
      <c r="F1909" s="5">
        <v>211.7</v>
      </c>
      <c r="G1909" s="5">
        <v>105.2</v>
      </c>
      <c r="H1909" s="5">
        <v>105.1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107</v>
      </c>
      <c r="D1910" s="5">
        <v>0.1</v>
      </c>
      <c r="E1910" s="5">
        <v>107.2</v>
      </c>
      <c r="F1910" s="5">
        <v>211.7</v>
      </c>
      <c r="G1910" s="5">
        <v>105.2</v>
      </c>
      <c r="H1910" s="5">
        <v>105.1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106.2</v>
      </c>
      <c r="D1911" s="5">
        <v>0.1</v>
      </c>
      <c r="E1911" s="5">
        <v>106.4</v>
      </c>
      <c r="F1911" s="5">
        <v>209.6</v>
      </c>
      <c r="G1911" s="5">
        <v>104.2</v>
      </c>
      <c r="H1911" s="5">
        <v>104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106.2</v>
      </c>
      <c r="D1912" s="5">
        <v>0.1</v>
      </c>
      <c r="E1912" s="5">
        <v>106.4</v>
      </c>
      <c r="F1912" s="5">
        <v>209.6</v>
      </c>
      <c r="G1912" s="5">
        <v>104.2</v>
      </c>
      <c r="H1912" s="5">
        <v>104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106.3</v>
      </c>
      <c r="D1913" s="5">
        <v>0.1</v>
      </c>
      <c r="E1913" s="5">
        <v>106.5</v>
      </c>
      <c r="F1913" s="5">
        <v>212</v>
      </c>
      <c r="G1913" s="5">
        <v>105.4</v>
      </c>
      <c r="H1913" s="5">
        <v>105.2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106.3</v>
      </c>
      <c r="D1914" s="5">
        <v>0.1</v>
      </c>
      <c r="E1914" s="5">
        <v>106.5</v>
      </c>
      <c r="F1914" s="5">
        <v>212</v>
      </c>
      <c r="G1914" s="5">
        <v>105.4</v>
      </c>
      <c r="H1914" s="5">
        <v>105.2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106.9</v>
      </c>
      <c r="D1915" s="5">
        <v>0.1</v>
      </c>
      <c r="E1915" s="5">
        <v>107.1</v>
      </c>
      <c r="F1915" s="5">
        <v>213.3</v>
      </c>
      <c r="G1915" s="5">
        <v>106</v>
      </c>
      <c r="H1915" s="5">
        <v>105.9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106.9</v>
      </c>
      <c r="D1916" s="5">
        <v>0.1</v>
      </c>
      <c r="E1916" s="5">
        <v>107.1</v>
      </c>
      <c r="F1916" s="5">
        <v>213.3</v>
      </c>
      <c r="G1916" s="5">
        <v>106</v>
      </c>
      <c r="H1916" s="5">
        <v>105.9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106.7</v>
      </c>
      <c r="D1917" s="5">
        <v>0.1</v>
      </c>
      <c r="E1917" s="5">
        <v>106.9</v>
      </c>
      <c r="F1917" s="5">
        <v>211.5</v>
      </c>
      <c r="G1917" s="5">
        <v>105.2</v>
      </c>
      <c r="H1917" s="5">
        <v>105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106.7</v>
      </c>
      <c r="D1918" s="5">
        <v>0.1</v>
      </c>
      <c r="E1918" s="5">
        <v>106.9</v>
      </c>
      <c r="F1918" s="5">
        <v>211.5</v>
      </c>
      <c r="G1918" s="5">
        <v>105.2</v>
      </c>
      <c r="H1918" s="5">
        <v>105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106.7</v>
      </c>
      <c r="D1919" s="5">
        <v>0.1</v>
      </c>
      <c r="E1919" s="5">
        <v>106.9</v>
      </c>
      <c r="F1919" s="5">
        <v>211.5</v>
      </c>
      <c r="G1919" s="5">
        <v>105.2</v>
      </c>
      <c r="H1919" s="5">
        <v>105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106.7</v>
      </c>
      <c r="D1920" s="5">
        <v>0.1</v>
      </c>
      <c r="E1920" s="5">
        <v>106.9</v>
      </c>
      <c r="F1920" s="5">
        <v>211.5</v>
      </c>
      <c r="G1920" s="5">
        <v>105.2</v>
      </c>
      <c r="H1920" s="5">
        <v>105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106.2</v>
      </c>
      <c r="D1921" s="5">
        <v>0.1</v>
      </c>
      <c r="E1921" s="5">
        <v>106.3</v>
      </c>
      <c r="F1921" s="5">
        <v>211.2</v>
      </c>
      <c r="G1921" s="5">
        <v>105</v>
      </c>
      <c r="H1921" s="5">
        <v>104.9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106.2</v>
      </c>
      <c r="D1922" s="5">
        <v>0.1</v>
      </c>
      <c r="E1922" s="5">
        <v>106.3</v>
      </c>
      <c r="F1922" s="5">
        <v>211.2</v>
      </c>
      <c r="G1922" s="5">
        <v>105</v>
      </c>
      <c r="H1922" s="5">
        <v>104.9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107.2</v>
      </c>
      <c r="D1923" s="5">
        <v>0.1</v>
      </c>
      <c r="E1923" s="5">
        <v>107.3</v>
      </c>
      <c r="F1923" s="5">
        <v>213</v>
      </c>
      <c r="G1923" s="5">
        <v>105.9</v>
      </c>
      <c r="H1923" s="5">
        <v>105.7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107.2</v>
      </c>
      <c r="D1924" s="5">
        <v>0.1</v>
      </c>
      <c r="E1924" s="5">
        <v>107.3</v>
      </c>
      <c r="F1924" s="5">
        <v>213</v>
      </c>
      <c r="G1924" s="5">
        <v>105.9</v>
      </c>
      <c r="H1924" s="5">
        <v>105.7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106.5</v>
      </c>
      <c r="D1925" s="5">
        <v>0.1</v>
      </c>
      <c r="E1925" s="5">
        <v>106.6</v>
      </c>
      <c r="F1925" s="5">
        <v>212.3</v>
      </c>
      <c r="G1925" s="5">
        <v>105.5</v>
      </c>
      <c r="H1925" s="5">
        <v>105.4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106.5</v>
      </c>
      <c r="D1926" s="5">
        <v>0.1</v>
      </c>
      <c r="E1926" s="5">
        <v>106.6</v>
      </c>
      <c r="F1926" s="5">
        <v>212.3</v>
      </c>
      <c r="G1926" s="5">
        <v>105.5</v>
      </c>
      <c r="H1926" s="5">
        <v>105.4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106.7</v>
      </c>
      <c r="D1927" s="5">
        <v>0.1</v>
      </c>
      <c r="E1927" s="5">
        <v>106.9</v>
      </c>
      <c r="F1927" s="5">
        <v>212.6</v>
      </c>
      <c r="G1927" s="5">
        <v>105.6</v>
      </c>
      <c r="H1927" s="5">
        <v>105.5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106.7</v>
      </c>
      <c r="D1928" s="5">
        <v>0.1</v>
      </c>
      <c r="E1928" s="5">
        <v>106.9</v>
      </c>
      <c r="F1928" s="5">
        <v>212.6</v>
      </c>
      <c r="G1928" s="5">
        <v>105.6</v>
      </c>
      <c r="H1928" s="5">
        <v>105.5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106.7</v>
      </c>
      <c r="D1929" s="5">
        <v>0.1</v>
      </c>
      <c r="E1929" s="5">
        <v>106.9</v>
      </c>
      <c r="F1929" s="5">
        <v>212.6</v>
      </c>
      <c r="G1929" s="5">
        <v>105.6</v>
      </c>
      <c r="H1929" s="5">
        <v>105.5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106.7</v>
      </c>
      <c r="D1930" s="5">
        <v>0.1</v>
      </c>
      <c r="E1930" s="5">
        <v>106.9</v>
      </c>
      <c r="F1930" s="5">
        <v>212.6</v>
      </c>
      <c r="G1930" s="5">
        <v>105.6</v>
      </c>
      <c r="H1930" s="5">
        <v>105.5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107.2</v>
      </c>
      <c r="D1931" s="5">
        <v>0.1</v>
      </c>
      <c r="E1931" s="5">
        <v>107.3</v>
      </c>
      <c r="F1931" s="5">
        <v>212.1</v>
      </c>
      <c r="G1931" s="5">
        <v>105.3</v>
      </c>
      <c r="H1931" s="5">
        <v>105.2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107.2</v>
      </c>
      <c r="D1932" s="5">
        <v>0.1</v>
      </c>
      <c r="E1932" s="5">
        <v>107.3</v>
      </c>
      <c r="F1932" s="5">
        <v>212.1</v>
      </c>
      <c r="G1932" s="5">
        <v>105.3</v>
      </c>
      <c r="H1932" s="5">
        <v>105.2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107.2</v>
      </c>
      <c r="D1933" s="5">
        <v>0.1</v>
      </c>
      <c r="E1933" s="5">
        <v>107.3</v>
      </c>
      <c r="F1933" s="5">
        <v>213.7</v>
      </c>
      <c r="G1933" s="5">
        <v>105.4</v>
      </c>
      <c r="H1933" s="5">
        <v>105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107.2</v>
      </c>
      <c r="D1934" s="5">
        <v>0.1</v>
      </c>
      <c r="E1934" s="5">
        <v>107.3</v>
      </c>
      <c r="F1934" s="5">
        <v>213.7</v>
      </c>
      <c r="G1934" s="5">
        <v>105.4</v>
      </c>
      <c r="H1934" s="5">
        <v>105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106.7</v>
      </c>
      <c r="D1935" s="5">
        <v>0.1</v>
      </c>
      <c r="E1935" s="5">
        <v>106.9</v>
      </c>
      <c r="F1935" s="5">
        <v>213.4</v>
      </c>
      <c r="G1935" s="5">
        <v>106</v>
      </c>
      <c r="H1935" s="5">
        <v>105.9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106.7</v>
      </c>
      <c r="D1936" s="5">
        <v>0.1</v>
      </c>
      <c r="E1936" s="5">
        <v>106.9</v>
      </c>
      <c r="F1936" s="5">
        <v>213.4</v>
      </c>
      <c r="G1936" s="5">
        <v>106</v>
      </c>
      <c r="H1936" s="5">
        <v>105.9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107.3</v>
      </c>
      <c r="D1937" s="5">
        <v>0.1</v>
      </c>
      <c r="E1937" s="5">
        <v>107.5</v>
      </c>
      <c r="F1937" s="5">
        <v>212.3</v>
      </c>
      <c r="G1937" s="5">
        <v>105.5</v>
      </c>
      <c r="H1937" s="5">
        <v>105.3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107.3</v>
      </c>
      <c r="D1938" s="5">
        <v>0.1</v>
      </c>
      <c r="E1938" s="5">
        <v>107.5</v>
      </c>
      <c r="F1938" s="5">
        <v>212.3</v>
      </c>
      <c r="G1938" s="5">
        <v>105.5</v>
      </c>
      <c r="H1938" s="5">
        <v>105.3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107.3</v>
      </c>
      <c r="D1939" s="5">
        <v>0.1</v>
      </c>
      <c r="E1939" s="5">
        <v>107.5</v>
      </c>
      <c r="F1939" s="5">
        <v>212.3</v>
      </c>
      <c r="G1939" s="5">
        <v>105.5</v>
      </c>
      <c r="H1939" s="5">
        <v>105.3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107.3</v>
      </c>
      <c r="D1940" s="5">
        <v>0.1</v>
      </c>
      <c r="E1940" s="5">
        <v>107.5</v>
      </c>
      <c r="F1940" s="5">
        <v>212.3</v>
      </c>
      <c r="G1940" s="5">
        <v>105.5</v>
      </c>
      <c r="H1940" s="5">
        <v>105.3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107.3</v>
      </c>
      <c r="D1941" s="5">
        <v>0.1</v>
      </c>
      <c r="E1941" s="5">
        <v>107.5</v>
      </c>
      <c r="F1941" s="5">
        <v>212.6</v>
      </c>
      <c r="G1941" s="5">
        <v>105.6</v>
      </c>
      <c r="H1941" s="5">
        <v>105.5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107.3</v>
      </c>
      <c r="D1942" s="5">
        <v>0.1</v>
      </c>
      <c r="E1942" s="5">
        <v>107.5</v>
      </c>
      <c r="F1942" s="5">
        <v>212.6</v>
      </c>
      <c r="G1942" s="5">
        <v>105.6</v>
      </c>
      <c r="H1942" s="5">
        <v>105.5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106.6</v>
      </c>
      <c r="D1943" s="5">
        <v>0.1</v>
      </c>
      <c r="E1943" s="5">
        <v>106.8</v>
      </c>
      <c r="F1943" s="5">
        <v>212</v>
      </c>
      <c r="G1943" s="5">
        <v>105.4</v>
      </c>
      <c r="H1943" s="5">
        <v>105.2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106.6</v>
      </c>
      <c r="D1944" s="5">
        <v>0.1</v>
      </c>
      <c r="E1944" s="5">
        <v>106.8</v>
      </c>
      <c r="F1944" s="5">
        <v>212</v>
      </c>
      <c r="G1944" s="5">
        <v>105.4</v>
      </c>
      <c r="H1944" s="5">
        <v>105.2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107.1</v>
      </c>
      <c r="D1945" s="5">
        <v>0.1</v>
      </c>
      <c r="E1945" s="5">
        <v>107.2</v>
      </c>
      <c r="F1945" s="5">
        <v>212.6</v>
      </c>
      <c r="G1945" s="5">
        <v>105.7</v>
      </c>
      <c r="H1945" s="5">
        <v>105.6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107.1</v>
      </c>
      <c r="D1946" s="5">
        <v>0.1</v>
      </c>
      <c r="E1946" s="5">
        <v>107.2</v>
      </c>
      <c r="F1946" s="5">
        <v>212.6</v>
      </c>
      <c r="G1946" s="5">
        <v>105.7</v>
      </c>
      <c r="H1946" s="5">
        <v>105.6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107</v>
      </c>
      <c r="D1947" s="5">
        <v>0.1</v>
      </c>
      <c r="E1947" s="5">
        <v>107.2</v>
      </c>
      <c r="F1947" s="5">
        <v>213.2</v>
      </c>
      <c r="G1947" s="5">
        <v>105.9</v>
      </c>
      <c r="H1947" s="5">
        <v>105.8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107</v>
      </c>
      <c r="D1948" s="5">
        <v>0.1</v>
      </c>
      <c r="E1948" s="5">
        <v>107.2</v>
      </c>
      <c r="F1948" s="5">
        <v>213.2</v>
      </c>
      <c r="G1948" s="5">
        <v>105.9</v>
      </c>
      <c r="H1948" s="5">
        <v>105.8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107</v>
      </c>
      <c r="D1949" s="5">
        <v>0.1</v>
      </c>
      <c r="E1949" s="5">
        <v>107.2</v>
      </c>
      <c r="F1949" s="5">
        <v>213.2</v>
      </c>
      <c r="G1949" s="5">
        <v>105.9</v>
      </c>
      <c r="H1949" s="5">
        <v>105.8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107</v>
      </c>
      <c r="D1950" s="5">
        <v>0.1</v>
      </c>
      <c r="E1950" s="5">
        <v>107.2</v>
      </c>
      <c r="F1950" s="5">
        <v>213.2</v>
      </c>
      <c r="G1950" s="5">
        <v>105.9</v>
      </c>
      <c r="H1950" s="5">
        <v>105.8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106.6</v>
      </c>
      <c r="D1951" s="5">
        <v>0.1</v>
      </c>
      <c r="E1951" s="5">
        <v>106.8</v>
      </c>
      <c r="F1951" s="5">
        <v>211.9</v>
      </c>
      <c r="G1951" s="5">
        <v>105.3</v>
      </c>
      <c r="H1951" s="5">
        <v>105.1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106.6</v>
      </c>
      <c r="D1952" s="5">
        <v>0.1</v>
      </c>
      <c r="E1952" s="5">
        <v>106.8</v>
      </c>
      <c r="F1952" s="5">
        <v>211.9</v>
      </c>
      <c r="G1952" s="5">
        <v>105.3</v>
      </c>
      <c r="H1952" s="5">
        <v>105.1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106.5</v>
      </c>
      <c r="D1953" s="5">
        <v>0.1</v>
      </c>
      <c r="E1953" s="5">
        <v>106.6</v>
      </c>
      <c r="F1953" s="5">
        <v>212.3</v>
      </c>
      <c r="G1953" s="5">
        <v>105.6</v>
      </c>
      <c r="H1953" s="5">
        <v>105.4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106.5</v>
      </c>
      <c r="D1954" s="5">
        <v>0.1</v>
      </c>
      <c r="E1954" s="5">
        <v>106.6</v>
      </c>
      <c r="F1954" s="5">
        <v>212.3</v>
      </c>
      <c r="G1954" s="5">
        <v>105.6</v>
      </c>
      <c r="H1954" s="5">
        <v>105.4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106.7</v>
      </c>
      <c r="D1955" s="5">
        <v>0.1</v>
      </c>
      <c r="E1955" s="5">
        <v>106.9</v>
      </c>
      <c r="F1955" s="5">
        <v>211.5</v>
      </c>
      <c r="G1955" s="5">
        <v>105.1</v>
      </c>
      <c r="H1955" s="5">
        <v>105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106.7</v>
      </c>
      <c r="D1956" s="5">
        <v>0.1</v>
      </c>
      <c r="E1956" s="5">
        <v>106.9</v>
      </c>
      <c r="F1956" s="5">
        <v>211.5</v>
      </c>
      <c r="G1956" s="5">
        <v>105.1</v>
      </c>
      <c r="H1956" s="5">
        <v>105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105.7</v>
      </c>
      <c r="D1957" s="5">
        <v>0.1</v>
      </c>
      <c r="E1957" s="5">
        <v>105.9</v>
      </c>
      <c r="F1957" s="5">
        <v>210.1</v>
      </c>
      <c r="G1957" s="5">
        <v>104.5</v>
      </c>
      <c r="H1957" s="5">
        <v>104.3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105.7</v>
      </c>
      <c r="D1958" s="5">
        <v>0.1</v>
      </c>
      <c r="E1958" s="5">
        <v>105.9</v>
      </c>
      <c r="F1958" s="5">
        <v>210.1</v>
      </c>
      <c r="G1958" s="5">
        <v>104.5</v>
      </c>
      <c r="H1958" s="5">
        <v>104.3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105.7</v>
      </c>
      <c r="D1959" s="5">
        <v>0.1</v>
      </c>
      <c r="E1959" s="5">
        <v>105.9</v>
      </c>
      <c r="F1959" s="5">
        <v>210.1</v>
      </c>
      <c r="G1959" s="5">
        <v>104.5</v>
      </c>
      <c r="H1959" s="5">
        <v>104.3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105.7</v>
      </c>
      <c r="D1960" s="5">
        <v>0.1</v>
      </c>
      <c r="E1960" s="5">
        <v>105.9</v>
      </c>
      <c r="F1960" s="5">
        <v>210.1</v>
      </c>
      <c r="G1960" s="5">
        <v>104.5</v>
      </c>
      <c r="H1960" s="5">
        <v>104.3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105.9</v>
      </c>
      <c r="D1961" s="5">
        <v>0.1</v>
      </c>
      <c r="E1961" s="5">
        <v>106</v>
      </c>
      <c r="F1961" s="5">
        <v>210.8</v>
      </c>
      <c r="G1961" s="5">
        <v>104.8</v>
      </c>
      <c r="H1961" s="5">
        <v>104.6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105.9</v>
      </c>
      <c r="D1962" s="5">
        <v>0.1</v>
      </c>
      <c r="E1962" s="5">
        <v>106</v>
      </c>
      <c r="F1962" s="5">
        <v>210.8</v>
      </c>
      <c r="G1962" s="5">
        <v>104.8</v>
      </c>
      <c r="H1962" s="5">
        <v>104.6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105.9</v>
      </c>
      <c r="D1963" s="5">
        <v>0.1</v>
      </c>
      <c r="E1963" s="5">
        <v>106.1</v>
      </c>
      <c r="F1963" s="5">
        <v>211.2</v>
      </c>
      <c r="G1963" s="5">
        <v>104.9</v>
      </c>
      <c r="H1963" s="5">
        <v>104.8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105.9</v>
      </c>
      <c r="D1964" s="5">
        <v>0.1</v>
      </c>
      <c r="E1964" s="5">
        <v>106.1</v>
      </c>
      <c r="F1964" s="5">
        <v>211.2</v>
      </c>
      <c r="G1964" s="5">
        <v>104.9</v>
      </c>
      <c r="H1964" s="5">
        <v>104.8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105.4</v>
      </c>
      <c r="D1965" s="5">
        <v>0.1</v>
      </c>
      <c r="E1965" s="5">
        <v>105.6</v>
      </c>
      <c r="F1965" s="5">
        <v>209.9</v>
      </c>
      <c r="G1965" s="5">
        <v>104.3</v>
      </c>
      <c r="H1965" s="5">
        <v>104.2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105.4</v>
      </c>
      <c r="D1966" s="5">
        <v>0.1</v>
      </c>
      <c r="E1966" s="5">
        <v>105.6</v>
      </c>
      <c r="F1966" s="5">
        <v>209.9</v>
      </c>
      <c r="G1966" s="5">
        <v>104.3</v>
      </c>
      <c r="H1966" s="5">
        <v>104.2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105.7</v>
      </c>
      <c r="D1967" s="5">
        <v>0.1</v>
      </c>
      <c r="E1967" s="5">
        <v>105.9</v>
      </c>
      <c r="F1967" s="5">
        <v>210</v>
      </c>
      <c r="G1967" s="5">
        <v>104.3</v>
      </c>
      <c r="H1967" s="5">
        <v>104.2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105.7</v>
      </c>
      <c r="D1968" s="5">
        <v>0.1</v>
      </c>
      <c r="E1968" s="5">
        <v>105.9</v>
      </c>
      <c r="F1968" s="5">
        <v>210</v>
      </c>
      <c r="G1968" s="5">
        <v>104.3</v>
      </c>
      <c r="H1968" s="5">
        <v>104.2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105.7</v>
      </c>
      <c r="D1969" s="5">
        <v>0.1</v>
      </c>
      <c r="E1969" s="5">
        <v>105.9</v>
      </c>
      <c r="F1969" s="5">
        <v>210</v>
      </c>
      <c r="G1969" s="5">
        <v>104.3</v>
      </c>
      <c r="H1969" s="5">
        <v>104.2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105.7</v>
      </c>
      <c r="D1970" s="5">
        <v>0.1</v>
      </c>
      <c r="E1970" s="5">
        <v>105.9</v>
      </c>
      <c r="F1970" s="5">
        <v>210</v>
      </c>
      <c r="G1970" s="5">
        <v>104.3</v>
      </c>
      <c r="H1970" s="5">
        <v>104.2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106.1</v>
      </c>
      <c r="D1971" s="5">
        <v>0.1</v>
      </c>
      <c r="E1971" s="5">
        <v>106.2</v>
      </c>
      <c r="F1971" s="5">
        <v>210.5</v>
      </c>
      <c r="G1971" s="5">
        <v>104.6</v>
      </c>
      <c r="H1971" s="5">
        <v>104.5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106.1</v>
      </c>
      <c r="D1972" s="5">
        <v>0.1</v>
      </c>
      <c r="E1972" s="5">
        <v>106.2</v>
      </c>
      <c r="F1972" s="5">
        <v>210.5</v>
      </c>
      <c r="G1972" s="5">
        <v>104.6</v>
      </c>
      <c r="H1972" s="5">
        <v>104.5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105.6</v>
      </c>
      <c r="D1973" s="5">
        <v>0.1</v>
      </c>
      <c r="E1973" s="5">
        <v>105.7</v>
      </c>
      <c r="F1973" s="5">
        <v>210.3</v>
      </c>
      <c r="G1973" s="5">
        <v>104.6</v>
      </c>
      <c r="H1973" s="5">
        <v>104.4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105.6</v>
      </c>
      <c r="D1974" s="5">
        <v>0.1</v>
      </c>
      <c r="E1974" s="5">
        <v>105.7</v>
      </c>
      <c r="F1974" s="5">
        <v>210.3</v>
      </c>
      <c r="G1974" s="5">
        <v>104.6</v>
      </c>
      <c r="H1974" s="5">
        <v>104.4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105.5</v>
      </c>
      <c r="D1975" s="5">
        <v>0.1</v>
      </c>
      <c r="E1975" s="5">
        <v>105.6</v>
      </c>
      <c r="F1975" s="5">
        <v>210.1</v>
      </c>
      <c r="G1975" s="5">
        <v>104.5</v>
      </c>
      <c r="H1975" s="5">
        <v>104.5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105.5</v>
      </c>
      <c r="D1976" s="5">
        <v>0.1</v>
      </c>
      <c r="E1976" s="5">
        <v>105.6</v>
      </c>
      <c r="F1976" s="5">
        <v>210.1</v>
      </c>
      <c r="G1976" s="5">
        <v>104.5</v>
      </c>
      <c r="H1976" s="5">
        <v>104.5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106.6</v>
      </c>
      <c r="D1977" s="5">
        <v>0.1</v>
      </c>
      <c r="E1977" s="5">
        <v>106.7</v>
      </c>
      <c r="F1977" s="5">
        <v>210.6</v>
      </c>
      <c r="G1977" s="5">
        <v>104.6</v>
      </c>
      <c r="H1977" s="5">
        <v>104.5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106.6</v>
      </c>
      <c r="D1978" s="5">
        <v>0.1</v>
      </c>
      <c r="E1978" s="5">
        <v>106.7</v>
      </c>
      <c r="F1978" s="5">
        <v>210.6</v>
      </c>
      <c r="G1978" s="5">
        <v>104.6</v>
      </c>
      <c r="H1978" s="5">
        <v>104.5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106.6</v>
      </c>
      <c r="D1979" s="5">
        <v>0.1</v>
      </c>
      <c r="E1979" s="5">
        <v>106.7</v>
      </c>
      <c r="F1979" s="5">
        <v>210.6</v>
      </c>
      <c r="G1979" s="5">
        <v>104.6</v>
      </c>
      <c r="H1979" s="5">
        <v>104.5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106.6</v>
      </c>
      <c r="D1980" s="5">
        <v>0.1</v>
      </c>
      <c r="E1980" s="5">
        <v>106.7</v>
      </c>
      <c r="F1980" s="5">
        <v>210.6</v>
      </c>
      <c r="G1980" s="5">
        <v>104.6</v>
      </c>
      <c r="H1980" s="5">
        <v>104.5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106.6</v>
      </c>
      <c r="D1981" s="5">
        <v>0.1</v>
      </c>
      <c r="E1981" s="5">
        <v>106.7</v>
      </c>
      <c r="F1981" s="5">
        <v>210.6</v>
      </c>
      <c r="G1981" s="5">
        <v>104.6</v>
      </c>
      <c r="H1981" s="5">
        <v>104.5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106.6</v>
      </c>
      <c r="D1982" s="5">
        <v>0.1</v>
      </c>
      <c r="E1982" s="5">
        <v>106.7</v>
      </c>
      <c r="F1982" s="5">
        <v>210.6</v>
      </c>
      <c r="G1982" s="5">
        <v>104.6</v>
      </c>
      <c r="H1982" s="5">
        <v>104.5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105.9</v>
      </c>
      <c r="D1983" s="5">
        <v>0.1</v>
      </c>
      <c r="E1983" s="5">
        <v>106</v>
      </c>
      <c r="F1983" s="5">
        <v>211.1</v>
      </c>
      <c r="G1983" s="5">
        <v>104.9</v>
      </c>
      <c r="H1983" s="5">
        <v>104.8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105.9</v>
      </c>
      <c r="D1984" s="5">
        <v>0.1</v>
      </c>
      <c r="E1984" s="5">
        <v>106</v>
      </c>
      <c r="F1984" s="5">
        <v>211.1</v>
      </c>
      <c r="G1984" s="5">
        <v>104.9</v>
      </c>
      <c r="H1984" s="5">
        <v>104.8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106.2</v>
      </c>
      <c r="D1985" s="5">
        <v>0.1</v>
      </c>
      <c r="E1985" s="5">
        <v>106.4</v>
      </c>
      <c r="F1985" s="5">
        <v>212.1</v>
      </c>
      <c r="G1985" s="5">
        <v>105.4</v>
      </c>
      <c r="H1985" s="5">
        <v>105.3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106.2</v>
      </c>
      <c r="D1986" s="5">
        <v>0.1</v>
      </c>
      <c r="E1986" s="5">
        <v>106.4</v>
      </c>
      <c r="F1986" s="5">
        <v>212.1</v>
      </c>
      <c r="G1986" s="5">
        <v>105.4</v>
      </c>
      <c r="H1986" s="5">
        <v>105.3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106.9</v>
      </c>
      <c r="D1987" s="5">
        <v>0.1</v>
      </c>
      <c r="E1987" s="5">
        <v>106.9</v>
      </c>
      <c r="F1987" s="5">
        <v>212.9</v>
      </c>
      <c r="G1987" s="5">
        <v>105.8</v>
      </c>
      <c r="H1987" s="5">
        <v>105.7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106.9</v>
      </c>
      <c r="D1988" s="5">
        <v>0.1</v>
      </c>
      <c r="E1988" s="5">
        <v>106.9</v>
      </c>
      <c r="F1988" s="5">
        <v>212.9</v>
      </c>
      <c r="G1988" s="5">
        <v>105.8</v>
      </c>
      <c r="H1988" s="5">
        <v>105.7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106.9</v>
      </c>
      <c r="D1989" s="5">
        <v>0.1</v>
      </c>
      <c r="E1989" s="5">
        <v>106.9</v>
      </c>
      <c r="F1989" s="5">
        <v>212.9</v>
      </c>
      <c r="G1989" s="5">
        <v>105.8</v>
      </c>
      <c r="H1989" s="5">
        <v>105.7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106.9</v>
      </c>
      <c r="D1990" s="5">
        <v>0.1</v>
      </c>
      <c r="E1990" s="5">
        <v>106.9</v>
      </c>
      <c r="F1990" s="5">
        <v>212.9</v>
      </c>
      <c r="G1990" s="5">
        <v>105.8</v>
      </c>
      <c r="H1990" s="5">
        <v>105.7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105.8</v>
      </c>
      <c r="D1991" s="5">
        <v>0.1</v>
      </c>
      <c r="E1991" s="5">
        <v>105.9</v>
      </c>
      <c r="F1991" s="5">
        <v>210.3</v>
      </c>
      <c r="G1991" s="5">
        <v>104.5</v>
      </c>
      <c r="H1991" s="5">
        <v>104.4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105.8</v>
      </c>
      <c r="D1992" s="5">
        <v>0.1</v>
      </c>
      <c r="E1992" s="5">
        <v>105.9</v>
      </c>
      <c r="F1992" s="5">
        <v>210.3</v>
      </c>
      <c r="G1992" s="5">
        <v>104.5</v>
      </c>
      <c r="H1992" s="5">
        <v>104.4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105.3</v>
      </c>
      <c r="D1993" s="5">
        <v>0.1</v>
      </c>
      <c r="E1993" s="5">
        <v>105.5</v>
      </c>
      <c r="F1993" s="5">
        <v>210.3</v>
      </c>
      <c r="G1993" s="5">
        <v>104.5</v>
      </c>
      <c r="H1993" s="5">
        <v>104.4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105.3</v>
      </c>
      <c r="D1994" s="5">
        <v>0.1</v>
      </c>
      <c r="E1994" s="5">
        <v>105.5</v>
      </c>
      <c r="F1994" s="5">
        <v>210.3</v>
      </c>
      <c r="G1994" s="5">
        <v>104.5</v>
      </c>
      <c r="H1994" s="5">
        <v>104.4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106.2</v>
      </c>
      <c r="D1995" s="5">
        <v>0.1</v>
      </c>
      <c r="E1995" s="5">
        <v>106.3</v>
      </c>
      <c r="F1995" s="5">
        <v>211.8</v>
      </c>
      <c r="G1995" s="5">
        <v>105.2</v>
      </c>
      <c r="H1995" s="5">
        <v>105.1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106.2</v>
      </c>
      <c r="D1996" s="5">
        <v>0.1</v>
      </c>
      <c r="E1996" s="5">
        <v>106.3</v>
      </c>
      <c r="F1996" s="5">
        <v>211.8</v>
      </c>
      <c r="G1996" s="5">
        <v>105.2</v>
      </c>
      <c r="H1996" s="5">
        <v>105.1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106.2</v>
      </c>
      <c r="D1997" s="5">
        <v>0.1</v>
      </c>
      <c r="E1997" s="5">
        <v>106.3</v>
      </c>
      <c r="F1997" s="5">
        <v>211.1</v>
      </c>
      <c r="G1997" s="5">
        <v>104.9</v>
      </c>
      <c r="H1997" s="5">
        <v>104.7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106.2</v>
      </c>
      <c r="D1998" s="5">
        <v>0.1</v>
      </c>
      <c r="E1998" s="5">
        <v>106.3</v>
      </c>
      <c r="F1998" s="5">
        <v>211.1</v>
      </c>
      <c r="G1998" s="5">
        <v>104.9</v>
      </c>
      <c r="H1998" s="5">
        <v>104.7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106.2</v>
      </c>
      <c r="D1999" s="5">
        <v>0.1</v>
      </c>
      <c r="E1999" s="5">
        <v>106.3</v>
      </c>
      <c r="F1999" s="5">
        <v>211.1</v>
      </c>
      <c r="G1999" s="5">
        <v>104.9</v>
      </c>
      <c r="H1999" s="5">
        <v>104.7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106.2</v>
      </c>
      <c r="D2000" s="5">
        <v>0.1</v>
      </c>
      <c r="E2000" s="5">
        <v>106.8</v>
      </c>
      <c r="F2000" s="5">
        <v>210.7</v>
      </c>
      <c r="G2000" s="5">
        <v>104.8</v>
      </c>
      <c r="H2000" s="5">
        <v>104.7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106.6</v>
      </c>
      <c r="D2001" s="5">
        <v>0.1</v>
      </c>
      <c r="E2001" s="5">
        <v>106.8</v>
      </c>
      <c r="F2001" s="5">
        <v>210.7</v>
      </c>
      <c r="G2001" s="5">
        <v>104.8</v>
      </c>
      <c r="H2001" s="5">
        <v>104.7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106.6</v>
      </c>
      <c r="D2002" s="5">
        <v>0.1</v>
      </c>
      <c r="E2002" s="5">
        <v>106.8</v>
      </c>
      <c r="F2002" s="5">
        <v>210.7</v>
      </c>
      <c r="G2002" s="5">
        <v>104.7</v>
      </c>
      <c r="H2002" s="5">
        <v>104.5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105.9</v>
      </c>
      <c r="D2003" s="5">
        <v>0.1</v>
      </c>
      <c r="E2003" s="5">
        <v>106</v>
      </c>
      <c r="F2003" s="5">
        <v>210.6</v>
      </c>
      <c r="G2003" s="5">
        <v>104.7</v>
      </c>
      <c r="H2003" s="5">
        <v>104.5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105.9</v>
      </c>
      <c r="D2004" s="5">
        <v>0.1</v>
      </c>
      <c r="E2004" s="5">
        <v>106</v>
      </c>
      <c r="F2004" s="5">
        <v>210.6</v>
      </c>
      <c r="G2004" s="5">
        <v>104.7</v>
      </c>
      <c r="H2004" s="5">
        <v>106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107.1</v>
      </c>
      <c r="D2005" s="5">
        <v>0.1</v>
      </c>
      <c r="E2005" s="5">
        <v>107.2</v>
      </c>
      <c r="F2005" s="5">
        <v>213.6</v>
      </c>
      <c r="G2005" s="5">
        <v>106.1</v>
      </c>
      <c r="H2005" s="5">
        <v>106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107.1</v>
      </c>
      <c r="D2006" s="5">
        <v>0.1</v>
      </c>
      <c r="E2006" s="5">
        <v>107.2</v>
      </c>
      <c r="F2006" s="5">
        <v>213.6</v>
      </c>
      <c r="G2006" s="5">
        <v>106.1</v>
      </c>
      <c r="H2006" s="5">
        <v>105.4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106.4</v>
      </c>
      <c r="D2007" s="5">
        <v>0.1</v>
      </c>
      <c r="E2007" s="5">
        <v>106.6</v>
      </c>
      <c r="F2007" s="5">
        <v>212.2</v>
      </c>
      <c r="G2007" s="5">
        <v>105.5</v>
      </c>
      <c r="H2007" s="5">
        <v>105.4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106.4</v>
      </c>
      <c r="D2008" s="5">
        <v>0.1</v>
      </c>
      <c r="E2008" s="5">
        <v>106.6</v>
      </c>
      <c r="F2008" s="5">
        <v>212.2</v>
      </c>
      <c r="G2008" s="5">
        <v>105.5</v>
      </c>
      <c r="H2008" s="5">
        <v>105.4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106.4</v>
      </c>
      <c r="D2009" s="5">
        <v>0.1</v>
      </c>
      <c r="E2009" s="5">
        <v>106.6</v>
      </c>
      <c r="F2009" s="5">
        <v>212.2</v>
      </c>
      <c r="G2009" s="5">
        <v>105.5</v>
      </c>
      <c r="H2009" s="5">
        <v>105.4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106.2</v>
      </c>
      <c r="D2010" s="5">
        <v>0.1</v>
      </c>
      <c r="E2010" s="5">
        <v>106.3</v>
      </c>
      <c r="F2010" s="5">
        <v>211.4</v>
      </c>
      <c r="G2010" s="5">
        <v>105</v>
      </c>
      <c r="H2010" s="5">
        <v>104.9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106.2</v>
      </c>
      <c r="D2011" s="5">
        <v>0.1</v>
      </c>
      <c r="E2011" s="5">
        <v>106.3</v>
      </c>
      <c r="F2011" s="5">
        <v>211.4</v>
      </c>
      <c r="G2011" s="5">
        <v>105</v>
      </c>
      <c r="H2011" s="5">
        <v>104.9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105.7</v>
      </c>
      <c r="D2012" s="5">
        <v>0.1</v>
      </c>
      <c r="E2012" s="5">
        <v>105.9</v>
      </c>
      <c r="F2012" s="5">
        <v>210.8</v>
      </c>
      <c r="G2012" s="5">
        <v>104.8</v>
      </c>
      <c r="H2012" s="5">
        <v>104.6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105.7</v>
      </c>
      <c r="D2013" s="5">
        <v>0.1</v>
      </c>
      <c r="E2013" s="5">
        <v>105.9</v>
      </c>
      <c r="F2013" s="5">
        <v>210.8</v>
      </c>
      <c r="G2013" s="5">
        <v>104.8</v>
      </c>
      <c r="H2013" s="5">
        <v>104.6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106.4</v>
      </c>
      <c r="D2014" s="5">
        <v>0.1</v>
      </c>
      <c r="E2014" s="5">
        <v>106.6</v>
      </c>
      <c r="F2014" s="5">
        <v>211.7</v>
      </c>
      <c r="G2014" s="5">
        <v>105.2</v>
      </c>
      <c r="H2014" s="5">
        <v>105.1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106.4</v>
      </c>
      <c r="D2015" s="5">
        <v>0.1</v>
      </c>
      <c r="E2015" s="5">
        <v>106.6</v>
      </c>
      <c r="F2015" s="5">
        <v>211.7</v>
      </c>
      <c r="G2015" s="5">
        <v>105.2</v>
      </c>
      <c r="H2015" s="5">
        <v>105.1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106.1</v>
      </c>
      <c r="D2016" s="5">
        <v>0.1</v>
      </c>
      <c r="E2016" s="5">
        <v>106.2</v>
      </c>
      <c r="F2016" s="5">
        <v>210.4</v>
      </c>
      <c r="G2016" s="5">
        <v>104.5</v>
      </c>
      <c r="H2016" s="5">
        <v>104.4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106.1</v>
      </c>
      <c r="D2017" s="5">
        <v>0.1</v>
      </c>
      <c r="E2017" s="5">
        <v>106.2</v>
      </c>
      <c r="F2017" s="5">
        <v>210.4</v>
      </c>
      <c r="G2017" s="5">
        <v>104.5</v>
      </c>
      <c r="H2017" s="5">
        <v>104.4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106.1</v>
      </c>
      <c r="D2018" s="5">
        <v>0.1</v>
      </c>
      <c r="E2018" s="5">
        <v>106.2</v>
      </c>
      <c r="F2018" s="5">
        <v>210.4</v>
      </c>
      <c r="G2018" s="5">
        <v>104.5</v>
      </c>
      <c r="H2018" s="5">
        <v>104.4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106.1</v>
      </c>
      <c r="D2019" s="5">
        <v>0.1</v>
      </c>
      <c r="E2019" s="5">
        <v>106.2</v>
      </c>
      <c r="F2019" s="5">
        <v>210.4</v>
      </c>
      <c r="G2019" s="5">
        <v>104.5</v>
      </c>
      <c r="H2019" s="5">
        <v>104.4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105.9</v>
      </c>
      <c r="D2020" s="5">
        <v>0.1</v>
      </c>
      <c r="E2020" s="5">
        <v>106</v>
      </c>
      <c r="F2020" s="5">
        <v>210.7</v>
      </c>
      <c r="G2020" s="5">
        <v>104.7</v>
      </c>
      <c r="H2020" s="5">
        <v>104.6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105.9</v>
      </c>
      <c r="D2021" s="5">
        <v>0.1</v>
      </c>
      <c r="E2021" s="5">
        <v>106</v>
      </c>
      <c r="F2021" s="5">
        <v>210.7</v>
      </c>
      <c r="G2021" s="5">
        <v>104.7</v>
      </c>
      <c r="H2021" s="5">
        <v>104.6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105.7</v>
      </c>
      <c r="D2022" s="5">
        <v>0.1</v>
      </c>
      <c r="E2022" s="5">
        <v>105.9</v>
      </c>
      <c r="F2022" s="5">
        <v>210.4</v>
      </c>
      <c r="G2022" s="5">
        <v>104.5</v>
      </c>
      <c r="H2022" s="5">
        <v>104.4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105.7</v>
      </c>
      <c r="D2023" s="5">
        <v>0.1</v>
      </c>
      <c r="E2023" s="5">
        <v>105.9</v>
      </c>
      <c r="F2023" s="5">
        <v>210.4</v>
      </c>
      <c r="G2023" s="5">
        <v>104.5</v>
      </c>
      <c r="H2023" s="5">
        <v>104.4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106.7</v>
      </c>
      <c r="D2024" s="5">
        <v>0.1</v>
      </c>
      <c r="E2024" s="5">
        <v>106.8</v>
      </c>
      <c r="F2024" s="5">
        <v>210.9</v>
      </c>
      <c r="G2024" s="5">
        <v>104.8</v>
      </c>
      <c r="H2024" s="5">
        <v>104.7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106.7</v>
      </c>
      <c r="D2025" s="5">
        <v>0.1</v>
      </c>
      <c r="E2025" s="5">
        <v>106.8</v>
      </c>
      <c r="F2025" s="5">
        <v>210.9</v>
      </c>
      <c r="G2025" s="5">
        <v>104.8</v>
      </c>
      <c r="H2025" s="5">
        <v>104.7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105.6</v>
      </c>
      <c r="D2026" s="5">
        <v>0.1</v>
      </c>
      <c r="E2026" s="5">
        <v>105.8</v>
      </c>
      <c r="F2026" s="5">
        <v>210.1</v>
      </c>
      <c r="G2026" s="5">
        <v>104.4</v>
      </c>
      <c r="H2026" s="5">
        <v>104.2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105.6</v>
      </c>
      <c r="D2027" s="5">
        <v>0.1</v>
      </c>
      <c r="E2027" s="5">
        <v>105.8</v>
      </c>
      <c r="F2027" s="5">
        <v>210.1</v>
      </c>
      <c r="G2027" s="5">
        <v>104.4</v>
      </c>
      <c r="H2027" s="5">
        <v>104.2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105.6</v>
      </c>
      <c r="D2028" s="5">
        <v>0.1</v>
      </c>
      <c r="E2028" s="5">
        <v>105.8</v>
      </c>
      <c r="F2028" s="5">
        <v>210.1</v>
      </c>
      <c r="G2028" s="5">
        <v>104.4</v>
      </c>
      <c r="H2028" s="5">
        <v>104.2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105.6</v>
      </c>
      <c r="D2029" s="5">
        <v>0.1</v>
      </c>
      <c r="E2029" s="5">
        <v>105.8</v>
      </c>
      <c r="F2029" s="5">
        <v>210.1</v>
      </c>
      <c r="G2029" s="5">
        <v>104.4</v>
      </c>
      <c r="H2029" s="5">
        <v>104.2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105.3</v>
      </c>
      <c r="D2030" s="5">
        <v>0.1</v>
      </c>
      <c r="E2030" s="5">
        <v>105.4</v>
      </c>
      <c r="F2030" s="5">
        <v>209.4</v>
      </c>
      <c r="G2030" s="5">
        <v>104</v>
      </c>
      <c r="H2030" s="5">
        <v>103.9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105.3</v>
      </c>
      <c r="D2031" s="5">
        <v>0.1</v>
      </c>
      <c r="E2031" s="5">
        <v>105.4</v>
      </c>
      <c r="F2031" s="5">
        <v>209.4</v>
      </c>
      <c r="G2031" s="5">
        <v>104</v>
      </c>
      <c r="H2031" s="5">
        <v>103.9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106.2</v>
      </c>
      <c r="D2032" s="5">
        <v>0.1</v>
      </c>
      <c r="E2032" s="5">
        <v>106.3</v>
      </c>
      <c r="F2032" s="5">
        <v>210.5</v>
      </c>
      <c r="G2032" s="5">
        <v>104.6</v>
      </c>
      <c r="H2032" s="5">
        <v>104.5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106.2</v>
      </c>
      <c r="D2033" s="5">
        <v>0.1</v>
      </c>
      <c r="E2033" s="5">
        <v>106.3</v>
      </c>
      <c r="F2033" s="5">
        <v>210.5</v>
      </c>
      <c r="G2033" s="5">
        <v>104.6</v>
      </c>
      <c r="H2033" s="5">
        <v>104.5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106.5</v>
      </c>
      <c r="D2034" s="5">
        <v>0.1</v>
      </c>
      <c r="E2034" s="5">
        <v>106.6</v>
      </c>
      <c r="F2034" s="5">
        <v>210.7</v>
      </c>
      <c r="G2034" s="5">
        <v>104.7</v>
      </c>
      <c r="H2034" s="5">
        <v>104.6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106.5</v>
      </c>
      <c r="D2035" s="5">
        <v>0.1</v>
      </c>
      <c r="E2035" s="5">
        <v>106.6</v>
      </c>
      <c r="F2035" s="5">
        <v>210.7</v>
      </c>
      <c r="G2035" s="5">
        <v>104.7</v>
      </c>
      <c r="H2035" s="5">
        <v>104.6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105.9</v>
      </c>
      <c r="D2036" s="5">
        <v>0.1</v>
      </c>
      <c r="E2036" s="5">
        <v>106.1</v>
      </c>
      <c r="F2036" s="5">
        <v>210.7</v>
      </c>
      <c r="G2036" s="5">
        <v>104.7</v>
      </c>
      <c r="H2036" s="5">
        <v>104.6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105.9</v>
      </c>
      <c r="D2037" s="5">
        <v>0.1</v>
      </c>
      <c r="E2037" s="5">
        <v>106.1</v>
      </c>
      <c r="F2037" s="5">
        <v>210.7</v>
      </c>
      <c r="G2037" s="5">
        <v>104.7</v>
      </c>
      <c r="H2037" s="5">
        <v>104.6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105.9</v>
      </c>
      <c r="D2038" s="5">
        <v>0.1</v>
      </c>
      <c r="E2038" s="5">
        <v>106.1</v>
      </c>
      <c r="F2038" s="5">
        <v>210.7</v>
      </c>
      <c r="G2038" s="5">
        <v>104.7</v>
      </c>
      <c r="H2038" s="5">
        <v>104.6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105.9</v>
      </c>
      <c r="D2039" s="5">
        <v>0.1</v>
      </c>
      <c r="E2039" s="5">
        <v>106.1</v>
      </c>
      <c r="F2039" s="5">
        <v>210.7</v>
      </c>
      <c r="G2039" s="5">
        <v>104.7</v>
      </c>
      <c r="H2039" s="5">
        <v>104.6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105.8</v>
      </c>
      <c r="D2040" s="5">
        <v>0.1</v>
      </c>
      <c r="E2040" s="5">
        <v>105.9</v>
      </c>
      <c r="F2040" s="5">
        <v>210.9</v>
      </c>
      <c r="G2040" s="5">
        <v>104.8</v>
      </c>
      <c r="H2040" s="5">
        <v>104.6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105.8</v>
      </c>
      <c r="D2041" s="5">
        <v>0.1</v>
      </c>
      <c r="E2041" s="5">
        <v>105.9</v>
      </c>
      <c r="F2041" s="5">
        <v>210.9</v>
      </c>
      <c r="G2041" s="5">
        <v>104.8</v>
      </c>
      <c r="H2041" s="5">
        <v>104.6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106.6</v>
      </c>
      <c r="D2042" s="5">
        <v>0.1</v>
      </c>
      <c r="E2042" s="5">
        <v>106.8</v>
      </c>
      <c r="F2042" s="5">
        <v>211.7</v>
      </c>
      <c r="G2042" s="5">
        <v>105.2</v>
      </c>
      <c r="H2042" s="5">
        <v>105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106.6</v>
      </c>
      <c r="D2043" s="5">
        <v>0.1</v>
      </c>
      <c r="E2043" s="5">
        <v>106.8</v>
      </c>
      <c r="F2043" s="5">
        <v>211.7</v>
      </c>
      <c r="G2043" s="5">
        <v>105.2</v>
      </c>
      <c r="H2043" s="5">
        <v>105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106.2</v>
      </c>
      <c r="D2044" s="5">
        <v>0.1</v>
      </c>
      <c r="E2044" s="5">
        <v>106.4</v>
      </c>
      <c r="F2044" s="5">
        <v>210.9</v>
      </c>
      <c r="G2044" s="5">
        <v>104.8</v>
      </c>
      <c r="H2044" s="5">
        <v>104.6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106.2</v>
      </c>
      <c r="D2045" s="5">
        <v>0.1</v>
      </c>
      <c r="E2045" s="5">
        <v>106.4</v>
      </c>
      <c r="F2045" s="5">
        <v>210.9</v>
      </c>
      <c r="G2045" s="5">
        <v>104.8</v>
      </c>
      <c r="H2045" s="5">
        <v>104.6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106.5</v>
      </c>
      <c r="D2046" s="5">
        <v>0.1</v>
      </c>
      <c r="E2046" s="5">
        <v>106.6</v>
      </c>
      <c r="F2046" s="5">
        <v>211.2</v>
      </c>
      <c r="G2046" s="5">
        <v>105</v>
      </c>
      <c r="H2046" s="5">
        <v>104.9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106.5</v>
      </c>
      <c r="D2047" s="5">
        <v>0.1</v>
      </c>
      <c r="E2047" s="5">
        <v>106.6</v>
      </c>
      <c r="F2047" s="5">
        <v>211.2</v>
      </c>
      <c r="G2047" s="5">
        <v>105</v>
      </c>
      <c r="H2047" s="5">
        <v>104.9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106.5</v>
      </c>
      <c r="D2048" s="5">
        <v>0.1</v>
      </c>
      <c r="E2048" s="5">
        <v>106.6</v>
      </c>
      <c r="F2048" s="5">
        <v>211.2</v>
      </c>
      <c r="G2048" s="5">
        <v>105</v>
      </c>
      <c r="H2048" s="5">
        <v>104.9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106.5</v>
      </c>
      <c r="D2049" s="5">
        <v>0.1</v>
      </c>
      <c r="E2049" s="5">
        <v>106.6</v>
      </c>
      <c r="F2049" s="5">
        <v>211.2</v>
      </c>
      <c r="G2049" s="5">
        <v>105</v>
      </c>
      <c r="H2049" s="5">
        <v>104.9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106.6</v>
      </c>
      <c r="D2050" s="5">
        <v>0.1</v>
      </c>
      <c r="E2050" s="5">
        <v>106.7</v>
      </c>
      <c r="F2050" s="5">
        <v>212.1</v>
      </c>
      <c r="G2050" s="5">
        <v>105.3</v>
      </c>
      <c r="H2050" s="5">
        <v>105.2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106.6</v>
      </c>
      <c r="D2051" s="5">
        <v>0.1</v>
      </c>
      <c r="E2051" s="5">
        <v>106.7</v>
      </c>
      <c r="F2051" s="5">
        <v>212.1</v>
      </c>
      <c r="G2051" s="5">
        <v>105.3</v>
      </c>
      <c r="H2051" s="5">
        <v>105.2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107</v>
      </c>
      <c r="D2052" s="5">
        <v>0.1</v>
      </c>
      <c r="E2052" s="5">
        <v>107.2</v>
      </c>
      <c r="F2052" s="5">
        <v>212.1</v>
      </c>
      <c r="G2052" s="5">
        <v>105.4</v>
      </c>
      <c r="H2052" s="5">
        <v>105.3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107</v>
      </c>
      <c r="D2053" s="5">
        <v>0.1</v>
      </c>
      <c r="E2053" s="5">
        <v>107.2</v>
      </c>
      <c r="F2053" s="5">
        <v>212.1</v>
      </c>
      <c r="G2053" s="5">
        <v>105.4</v>
      </c>
      <c r="H2053" s="5">
        <v>105.3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106.6</v>
      </c>
      <c r="D2054" s="5">
        <v>0.1</v>
      </c>
      <c r="E2054" s="5">
        <v>106.8</v>
      </c>
      <c r="F2054" s="5">
        <v>211.9</v>
      </c>
      <c r="G2054" s="5">
        <v>105.3</v>
      </c>
      <c r="H2054" s="5">
        <v>105.1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106.6</v>
      </c>
      <c r="D2055" s="5">
        <v>0.1</v>
      </c>
      <c r="E2055" s="5">
        <v>106.8</v>
      </c>
      <c r="F2055" s="5">
        <v>211.9</v>
      </c>
      <c r="G2055" s="5">
        <v>105.3</v>
      </c>
      <c r="H2055" s="5">
        <v>105.1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107.6</v>
      </c>
      <c r="D2056" s="5">
        <v>0.1</v>
      </c>
      <c r="E2056" s="5">
        <v>107.8</v>
      </c>
      <c r="F2056" s="5">
        <v>213.5</v>
      </c>
      <c r="G2056" s="5">
        <v>106.1</v>
      </c>
      <c r="H2056" s="5">
        <v>106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107.6</v>
      </c>
      <c r="D2057" s="5">
        <v>0.1</v>
      </c>
      <c r="E2057" s="5">
        <v>107.8</v>
      </c>
      <c r="F2057" s="5">
        <v>213.5</v>
      </c>
      <c r="G2057" s="5">
        <v>106.1</v>
      </c>
      <c r="H2057" s="5">
        <v>106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107.6</v>
      </c>
      <c r="D2058" s="5">
        <v>0.1</v>
      </c>
      <c r="E2058" s="5">
        <v>107.8</v>
      </c>
      <c r="F2058" s="5">
        <v>213.5</v>
      </c>
      <c r="G2058" s="5">
        <v>106.1</v>
      </c>
      <c r="H2058" s="5">
        <v>106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107.6</v>
      </c>
      <c r="D2059" s="5">
        <v>0.1</v>
      </c>
      <c r="E2059" s="5">
        <v>107.8</v>
      </c>
      <c r="F2059" s="5">
        <v>213.5</v>
      </c>
      <c r="G2059" s="5">
        <v>106.1</v>
      </c>
      <c r="H2059" s="5">
        <v>106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107.1</v>
      </c>
      <c r="D2060" s="5">
        <v>0.1</v>
      </c>
      <c r="E2060" s="5">
        <v>107.2</v>
      </c>
      <c r="F2060" s="5">
        <v>212</v>
      </c>
      <c r="G2060" s="5">
        <v>105</v>
      </c>
      <c r="H2060" s="5">
        <v>104.6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107.1</v>
      </c>
      <c r="D2061" s="5">
        <v>0.1</v>
      </c>
      <c r="E2061" s="5">
        <v>107.2</v>
      </c>
      <c r="F2061" s="5">
        <v>212</v>
      </c>
      <c r="G2061" s="5">
        <v>105</v>
      </c>
      <c r="H2061" s="5">
        <v>104.6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104.8</v>
      </c>
      <c r="D2062" s="5">
        <v>0.1</v>
      </c>
      <c r="E2062" s="5">
        <v>105</v>
      </c>
      <c r="F2062" s="5">
        <v>208.4</v>
      </c>
      <c r="G2062" s="5">
        <v>103.5</v>
      </c>
      <c r="H2062" s="5">
        <v>104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104.8</v>
      </c>
      <c r="D2063" s="5">
        <v>0.1</v>
      </c>
      <c r="E2063" s="5">
        <v>105</v>
      </c>
      <c r="F2063" s="5">
        <v>208.4</v>
      </c>
      <c r="G2063" s="5">
        <v>103.5</v>
      </c>
      <c r="H2063" s="5">
        <v>104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105.3</v>
      </c>
      <c r="D2064" s="5">
        <v>0.1</v>
      </c>
      <c r="E2064" s="5">
        <v>105.4</v>
      </c>
      <c r="F2064" s="5">
        <v>208.9</v>
      </c>
      <c r="G2064" s="5">
        <v>103.9</v>
      </c>
      <c r="H2064" s="5">
        <v>103.7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105.3</v>
      </c>
      <c r="D2065" s="5">
        <v>0.1</v>
      </c>
      <c r="E2065" s="5">
        <v>105.4</v>
      </c>
      <c r="F2065" s="5">
        <v>208.9</v>
      </c>
      <c r="G2065" s="5">
        <v>103.9</v>
      </c>
      <c r="H2065" s="5">
        <v>103.7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104.7</v>
      </c>
      <c r="D2066" s="5">
        <v>0.1</v>
      </c>
      <c r="E2066" s="5">
        <v>104.9</v>
      </c>
      <c r="F2066" s="5">
        <v>208.7</v>
      </c>
      <c r="G2066" s="5">
        <v>103.7</v>
      </c>
      <c r="H2066" s="5">
        <v>103.5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104.7</v>
      </c>
      <c r="D2067" s="5">
        <v>0.1</v>
      </c>
      <c r="E2067" s="5">
        <v>104.9</v>
      </c>
      <c r="F2067" s="5">
        <v>208.7</v>
      </c>
      <c r="G2067" s="5">
        <v>103.7</v>
      </c>
      <c r="H2067" s="5">
        <v>103.5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104.7</v>
      </c>
      <c r="D2068" s="5">
        <v>0.1</v>
      </c>
      <c r="E2068" s="5">
        <v>104.9</v>
      </c>
      <c r="F2068" s="5">
        <v>208.7</v>
      </c>
      <c r="G2068" s="5">
        <v>103.7</v>
      </c>
      <c r="H2068" s="5">
        <v>103.5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104.7</v>
      </c>
      <c r="D2069" s="5">
        <v>0.1</v>
      </c>
      <c r="E2069" s="5">
        <v>104.9</v>
      </c>
      <c r="F2069" s="5">
        <v>208.7</v>
      </c>
      <c r="G2069" s="5">
        <v>103.7</v>
      </c>
      <c r="H2069" s="5">
        <v>103.5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104.7</v>
      </c>
      <c r="D2070" s="5">
        <v>0.1</v>
      </c>
      <c r="E2070" s="5">
        <v>104.9</v>
      </c>
      <c r="F2070" s="5">
        <v>208.7</v>
      </c>
      <c r="G2070" s="5">
        <v>103.7</v>
      </c>
      <c r="H2070" s="5">
        <v>103.5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104.7</v>
      </c>
      <c r="D2071" s="5">
        <v>0.1</v>
      </c>
      <c r="E2071" s="5">
        <v>104.9</v>
      </c>
      <c r="F2071" s="5">
        <v>208.7</v>
      </c>
      <c r="G2071" s="5">
        <v>103.7</v>
      </c>
      <c r="H2071" s="5">
        <v>103.5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107.9</v>
      </c>
      <c r="D2072" s="5">
        <v>0.1</v>
      </c>
      <c r="E2072" s="5">
        <v>108.1</v>
      </c>
      <c r="F2072" s="5">
        <v>214.5</v>
      </c>
      <c r="G2072" s="5">
        <v>106.6</v>
      </c>
      <c r="H2072" s="5">
        <v>106.4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107.9</v>
      </c>
      <c r="D2073" s="5">
        <v>0.1</v>
      </c>
      <c r="E2073" s="5">
        <v>108.1</v>
      </c>
      <c r="F2073" s="5">
        <v>214.5</v>
      </c>
      <c r="G2073" s="5">
        <v>106.6</v>
      </c>
      <c r="H2073" s="5">
        <v>106.4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106.9</v>
      </c>
      <c r="D2074" s="5">
        <v>0.1</v>
      </c>
      <c r="E2074" s="5">
        <v>107</v>
      </c>
      <c r="F2074" s="5">
        <v>213</v>
      </c>
      <c r="G2074" s="5">
        <v>105.8</v>
      </c>
      <c r="H2074" s="5">
        <v>105.6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106.9</v>
      </c>
      <c r="D2075" s="5">
        <v>0.1</v>
      </c>
      <c r="E2075" s="5">
        <v>107</v>
      </c>
      <c r="F2075" s="5">
        <v>213</v>
      </c>
      <c r="G2075" s="5">
        <v>105.8</v>
      </c>
      <c r="H2075" s="5">
        <v>105.6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106.7</v>
      </c>
      <c r="D2076" s="5">
        <v>0.1</v>
      </c>
      <c r="E2076" s="5">
        <v>106.9</v>
      </c>
      <c r="F2076" s="5">
        <v>212.5</v>
      </c>
      <c r="G2076" s="5">
        <v>105.6</v>
      </c>
      <c r="H2076" s="5">
        <v>105.4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106.7</v>
      </c>
      <c r="D2077" s="5">
        <v>0.1</v>
      </c>
      <c r="E2077" s="5">
        <v>106.9</v>
      </c>
      <c r="F2077" s="5">
        <v>212.5</v>
      </c>
      <c r="G2077" s="5">
        <v>105.6</v>
      </c>
      <c r="H2077" s="5">
        <v>105.4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106.7</v>
      </c>
      <c r="D2078" s="5">
        <v>0.1</v>
      </c>
      <c r="E2078" s="5">
        <v>106.9</v>
      </c>
      <c r="F2078" s="5">
        <v>212.5</v>
      </c>
      <c r="G2078" s="5">
        <v>105.6</v>
      </c>
      <c r="H2078" s="5">
        <v>105.4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106.7</v>
      </c>
      <c r="D2079" s="5">
        <v>0.1</v>
      </c>
      <c r="E2079" s="5">
        <v>106.9</v>
      </c>
      <c r="F2079" s="5">
        <v>212.5</v>
      </c>
      <c r="G2079" s="5">
        <v>105.6</v>
      </c>
      <c r="H2079" s="5">
        <v>105.4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105.9</v>
      </c>
      <c r="D2080" s="5">
        <v>0.1</v>
      </c>
      <c r="E2080" s="5">
        <v>106</v>
      </c>
      <c r="F2080" s="5">
        <v>211.4</v>
      </c>
      <c r="G2080" s="5">
        <v>105.1</v>
      </c>
      <c r="H2080" s="5">
        <v>105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105.9</v>
      </c>
      <c r="D2081" s="5">
        <v>0.1</v>
      </c>
      <c r="E2081" s="5">
        <v>106</v>
      </c>
      <c r="F2081" s="5">
        <v>211.4</v>
      </c>
      <c r="G2081" s="5">
        <v>105.1</v>
      </c>
      <c r="H2081" s="5">
        <v>105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107.1</v>
      </c>
      <c r="D2082" s="5">
        <v>0.1</v>
      </c>
      <c r="E2082" s="5">
        <v>107.2</v>
      </c>
      <c r="F2082" s="5">
        <v>212.4</v>
      </c>
      <c r="G2082" s="5">
        <v>105.5</v>
      </c>
      <c r="H2082" s="5">
        <v>105.4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107.1</v>
      </c>
      <c r="D2083" s="5">
        <v>0.1</v>
      </c>
      <c r="E2083" s="5">
        <v>107.2</v>
      </c>
      <c r="F2083" s="5">
        <v>212.4</v>
      </c>
      <c r="G2083" s="5">
        <v>105.5</v>
      </c>
      <c r="H2083" s="5">
        <v>105.4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107.3</v>
      </c>
      <c r="D2084" s="5">
        <v>0.1</v>
      </c>
      <c r="E2084" s="5">
        <v>107.5</v>
      </c>
      <c r="F2084" s="5">
        <v>212.8</v>
      </c>
      <c r="G2084" s="5">
        <v>105.7</v>
      </c>
      <c r="H2084" s="5">
        <v>105.6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107.3</v>
      </c>
      <c r="D2085" s="5">
        <v>0.1</v>
      </c>
      <c r="E2085" s="5">
        <v>107.5</v>
      </c>
      <c r="F2085" s="5">
        <v>212.8</v>
      </c>
      <c r="G2085" s="5">
        <v>105.7</v>
      </c>
      <c r="H2085" s="5">
        <v>105.6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107.2</v>
      </c>
      <c r="D2086" s="5">
        <v>0.1</v>
      </c>
      <c r="E2086" s="5">
        <v>107.4</v>
      </c>
      <c r="F2086" s="5">
        <v>212.7</v>
      </c>
      <c r="G2086" s="5">
        <v>105.7</v>
      </c>
      <c r="H2086" s="5">
        <v>105.5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107.2</v>
      </c>
      <c r="D2087" s="5">
        <v>0.1</v>
      </c>
      <c r="E2087" s="5">
        <v>107.4</v>
      </c>
      <c r="F2087" s="5">
        <v>212.7</v>
      </c>
      <c r="G2087" s="5">
        <v>105.7</v>
      </c>
      <c r="H2087" s="5">
        <v>105.5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107.2</v>
      </c>
      <c r="D2088" s="5">
        <v>0.1</v>
      </c>
      <c r="E2088" s="5">
        <v>107.4</v>
      </c>
      <c r="F2088" s="5">
        <v>212.7</v>
      </c>
      <c r="G2088" s="5">
        <v>105.7</v>
      </c>
      <c r="H2088" s="5">
        <v>105.5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107.2</v>
      </c>
      <c r="D2089" s="5">
        <v>0.1</v>
      </c>
      <c r="E2089" s="5">
        <v>107.4</v>
      </c>
      <c r="F2089" s="5">
        <v>212.7</v>
      </c>
      <c r="G2089" s="5">
        <v>105.7</v>
      </c>
      <c r="H2089" s="5">
        <v>105.5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106.7</v>
      </c>
      <c r="D2090" s="5">
        <v>0.1</v>
      </c>
      <c r="E2090" s="5">
        <v>106.9</v>
      </c>
      <c r="F2090" s="5">
        <v>212.3</v>
      </c>
      <c r="G2090" s="5">
        <v>105.4</v>
      </c>
      <c r="H2090" s="5">
        <v>105.3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106.7</v>
      </c>
      <c r="D2091" s="5">
        <v>0.1</v>
      </c>
      <c r="E2091" s="5">
        <v>106.9</v>
      </c>
      <c r="F2091" s="5">
        <v>212.3</v>
      </c>
      <c r="G2091" s="5">
        <v>105.4</v>
      </c>
      <c r="H2091" s="5">
        <v>105.3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106.6</v>
      </c>
      <c r="D2092" s="5">
        <v>0.1</v>
      </c>
      <c r="E2092" s="5">
        <v>106.8</v>
      </c>
      <c r="F2092" s="5">
        <v>212.2</v>
      </c>
      <c r="G2092" s="5">
        <v>105.5</v>
      </c>
      <c r="H2092" s="5">
        <v>105.3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106.6</v>
      </c>
      <c r="D2093" s="5">
        <v>0.1</v>
      </c>
      <c r="E2093" s="5">
        <v>106.8</v>
      </c>
      <c r="F2093" s="5">
        <v>212.2</v>
      </c>
      <c r="G2093" s="5">
        <v>105.5</v>
      </c>
      <c r="H2093" s="5">
        <v>105.3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106.7</v>
      </c>
      <c r="D2094" s="5">
        <v>0.1</v>
      </c>
      <c r="E2094" s="5">
        <v>106.9</v>
      </c>
      <c r="F2094" s="5">
        <v>212.4</v>
      </c>
      <c r="G2094" s="5">
        <v>105.5</v>
      </c>
      <c r="H2094" s="5">
        <v>105.4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106.7</v>
      </c>
      <c r="D2095" s="5">
        <v>0.1</v>
      </c>
      <c r="E2095" s="5">
        <v>106.9</v>
      </c>
      <c r="F2095" s="5">
        <v>212.4</v>
      </c>
      <c r="G2095" s="5">
        <v>105.5</v>
      </c>
      <c r="H2095" s="5">
        <v>105.4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106.2</v>
      </c>
      <c r="D2096" s="5">
        <v>0.1</v>
      </c>
      <c r="E2096" s="5">
        <v>106.4</v>
      </c>
      <c r="F2096" s="5">
        <v>210.4</v>
      </c>
      <c r="G2096" s="5">
        <v>104.6</v>
      </c>
      <c r="H2096" s="5">
        <v>104.5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106.2</v>
      </c>
      <c r="D2097" s="5">
        <v>0.1</v>
      </c>
      <c r="E2097" s="5">
        <v>106.4</v>
      </c>
      <c r="F2097" s="5">
        <v>210.4</v>
      </c>
      <c r="G2097" s="5">
        <v>104.6</v>
      </c>
      <c r="H2097" s="5">
        <v>104.5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106.2</v>
      </c>
      <c r="D2098" s="5">
        <v>0.1</v>
      </c>
      <c r="E2098" s="5">
        <v>106.4</v>
      </c>
      <c r="F2098" s="5">
        <v>210.4</v>
      </c>
      <c r="G2098" s="5">
        <v>104.6</v>
      </c>
      <c r="H2098" s="5">
        <v>104.5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107.1</v>
      </c>
      <c r="D2099" s="5">
        <v>0.1</v>
      </c>
      <c r="E2099" s="5">
        <v>107.3</v>
      </c>
      <c r="F2099" s="5">
        <v>213.5</v>
      </c>
      <c r="G2099" s="5">
        <v>106</v>
      </c>
      <c r="H2099" s="5">
        <v>105.8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106.2</v>
      </c>
      <c r="D2100" s="5">
        <v>0.1</v>
      </c>
      <c r="E2100" s="5">
        <v>106.4</v>
      </c>
      <c r="F2100" s="5">
        <v>211.3</v>
      </c>
      <c r="G2100" s="5">
        <v>105</v>
      </c>
      <c r="H2100" s="5">
        <v>104.8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106.2</v>
      </c>
      <c r="D2101" s="5">
        <v>0.1</v>
      </c>
      <c r="E2101" s="5">
        <v>106.4</v>
      </c>
      <c r="F2101" s="5">
        <v>211.3</v>
      </c>
      <c r="G2101" s="5">
        <v>105</v>
      </c>
      <c r="H2101" s="5">
        <v>104.8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106.2</v>
      </c>
      <c r="D2102" s="5">
        <v>0.1</v>
      </c>
      <c r="E2102" s="5">
        <v>106.4</v>
      </c>
      <c r="F2102" s="5">
        <v>211.5</v>
      </c>
      <c r="G2102" s="5">
        <v>105.2</v>
      </c>
      <c r="H2102" s="5">
        <v>105.1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106.2</v>
      </c>
      <c r="D2103" s="5">
        <v>0.1</v>
      </c>
      <c r="E2103" s="5">
        <v>106.4</v>
      </c>
      <c r="F2103" s="5">
        <v>211.5</v>
      </c>
      <c r="G2103" s="5">
        <v>105.2</v>
      </c>
      <c r="H2103" s="5">
        <v>105.1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106.9</v>
      </c>
      <c r="D2104" s="5">
        <v>0.1</v>
      </c>
      <c r="E2104" s="5">
        <v>107.1</v>
      </c>
      <c r="F2104" s="5">
        <v>212.8</v>
      </c>
      <c r="G2104" s="5">
        <v>105.7</v>
      </c>
      <c r="H2104" s="5">
        <v>105.6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106.9</v>
      </c>
      <c r="D2105" s="5">
        <v>0.1</v>
      </c>
      <c r="E2105" s="5">
        <v>107.1</v>
      </c>
      <c r="F2105" s="5">
        <v>212.8</v>
      </c>
      <c r="G2105" s="5">
        <v>105.7</v>
      </c>
      <c r="H2105" s="5">
        <v>105.6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106.9</v>
      </c>
      <c r="D2106" s="5">
        <v>0.1</v>
      </c>
      <c r="E2106" s="5">
        <v>107.1</v>
      </c>
      <c r="F2106" s="5">
        <v>212.8</v>
      </c>
      <c r="G2106" s="5">
        <v>105.7</v>
      </c>
      <c r="H2106" s="5">
        <v>105.6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106.9</v>
      </c>
      <c r="D2107" s="5">
        <v>0.1</v>
      </c>
      <c r="E2107" s="5">
        <v>107.1</v>
      </c>
      <c r="F2107" s="5">
        <v>212.8</v>
      </c>
      <c r="G2107" s="5">
        <v>105.7</v>
      </c>
      <c r="H2107" s="5">
        <v>105.6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106.9</v>
      </c>
      <c r="D2108" s="5">
        <v>0.1</v>
      </c>
      <c r="E2108" s="5">
        <v>107.1</v>
      </c>
      <c r="F2108" s="5">
        <v>212.8</v>
      </c>
      <c r="G2108" s="5">
        <v>105.7</v>
      </c>
      <c r="H2108" s="5">
        <v>105.6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106.9</v>
      </c>
      <c r="D2109" s="5">
        <v>0.1</v>
      </c>
      <c r="E2109" s="5">
        <v>107.1</v>
      </c>
      <c r="F2109" s="5">
        <v>212.8</v>
      </c>
      <c r="G2109" s="5">
        <v>105.7</v>
      </c>
      <c r="H2109" s="5">
        <v>105.6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104</v>
      </c>
      <c r="D2110" s="5">
        <v>0.1</v>
      </c>
      <c r="E2110" s="5">
        <v>104</v>
      </c>
      <c r="F2110" s="5">
        <v>207</v>
      </c>
      <c r="G2110" s="5">
        <v>102.8</v>
      </c>
      <c r="H2110" s="5">
        <v>102.5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104</v>
      </c>
      <c r="D2111" s="5">
        <v>0.1</v>
      </c>
      <c r="E2111" s="5">
        <v>104</v>
      </c>
      <c r="F2111" s="5">
        <v>207</v>
      </c>
      <c r="G2111" s="5">
        <v>102.8</v>
      </c>
      <c r="H2111" s="5">
        <v>102.5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103.4</v>
      </c>
      <c r="D2112" s="5">
        <v>0.1</v>
      </c>
      <c r="E2112" s="5">
        <v>103.6</v>
      </c>
      <c r="F2112" s="5">
        <v>206.6</v>
      </c>
      <c r="G2112" s="5">
        <v>102.5</v>
      </c>
      <c r="H2112" s="5">
        <v>102.3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103.4</v>
      </c>
      <c r="D2113" s="5">
        <v>0.1</v>
      </c>
      <c r="E2113" s="5">
        <v>103.6</v>
      </c>
      <c r="F2113" s="5">
        <v>206.6</v>
      </c>
      <c r="G2113" s="5">
        <v>102.5</v>
      </c>
      <c r="H2113" s="5">
        <v>102.3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104.1</v>
      </c>
      <c r="D2114" s="5">
        <v>0.1</v>
      </c>
      <c r="E2114" s="5">
        <v>104.3</v>
      </c>
      <c r="F2114" s="5">
        <v>207.9</v>
      </c>
      <c r="G2114" s="5">
        <v>103.3</v>
      </c>
      <c r="H2114" s="5">
        <v>103.2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104.1</v>
      </c>
      <c r="D2115" s="5">
        <v>0.1</v>
      </c>
      <c r="E2115" s="5">
        <v>104.3</v>
      </c>
      <c r="F2115" s="5">
        <v>207.9</v>
      </c>
      <c r="G2115" s="5">
        <v>103.3</v>
      </c>
      <c r="H2115" s="5">
        <v>103.2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104.1</v>
      </c>
      <c r="D2116" s="5">
        <v>0.1</v>
      </c>
      <c r="E2116" s="5">
        <v>104.3</v>
      </c>
      <c r="F2116" s="5">
        <v>207.9</v>
      </c>
      <c r="G2116" s="5">
        <v>103.3</v>
      </c>
      <c r="H2116" s="5">
        <v>103.2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104.1</v>
      </c>
      <c r="D2117" s="5">
        <v>0.1</v>
      </c>
      <c r="E2117" s="5">
        <v>104.3</v>
      </c>
      <c r="F2117" s="5">
        <v>207.9</v>
      </c>
      <c r="G2117" s="5">
        <v>103.3</v>
      </c>
      <c r="H2117" s="5">
        <v>103.2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105</v>
      </c>
      <c r="D2118" s="5">
        <v>0.1</v>
      </c>
      <c r="E2118" s="5">
        <v>105.2</v>
      </c>
      <c r="F2118" s="5">
        <v>208.5</v>
      </c>
      <c r="G2118" s="5">
        <v>103.6</v>
      </c>
      <c r="H2118" s="5">
        <v>103.5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105</v>
      </c>
      <c r="D2119" s="5">
        <v>0.1</v>
      </c>
      <c r="E2119" s="5">
        <v>105.2</v>
      </c>
      <c r="F2119" s="5">
        <v>208.5</v>
      </c>
      <c r="G2119" s="5">
        <v>103.6</v>
      </c>
      <c r="H2119" s="5">
        <v>103.5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106.8</v>
      </c>
      <c r="D2120" s="5">
        <v>0.1</v>
      </c>
      <c r="E2120" s="5">
        <v>106.9</v>
      </c>
      <c r="F2120" s="5">
        <v>211.9</v>
      </c>
      <c r="G2120" s="5">
        <v>105.3</v>
      </c>
      <c r="H2120" s="5">
        <v>105.2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106.8</v>
      </c>
      <c r="D2121" s="5">
        <v>0.1</v>
      </c>
      <c r="E2121" s="5">
        <v>106.9</v>
      </c>
      <c r="F2121" s="5">
        <v>211.9</v>
      </c>
      <c r="G2121" s="5">
        <v>105.3</v>
      </c>
      <c r="H2121" s="5">
        <v>105.2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106.9</v>
      </c>
      <c r="D2122" s="5">
        <v>0.1</v>
      </c>
      <c r="E2122" s="5">
        <v>107.1</v>
      </c>
      <c r="F2122" s="5">
        <v>212.6</v>
      </c>
      <c r="G2122" s="5">
        <v>105.6</v>
      </c>
      <c r="H2122" s="5">
        <v>105.5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106.9</v>
      </c>
      <c r="D2123" s="5">
        <v>0.1</v>
      </c>
      <c r="E2123" s="5">
        <v>107.1</v>
      </c>
      <c r="F2123" s="5">
        <v>212.6</v>
      </c>
      <c r="G2123" s="5">
        <v>105.6</v>
      </c>
      <c r="H2123" s="5">
        <v>105.5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106.6</v>
      </c>
      <c r="D2124" s="5">
        <v>0.1</v>
      </c>
      <c r="E2124" s="5">
        <v>106.9</v>
      </c>
      <c r="F2124" s="5">
        <v>211.6</v>
      </c>
      <c r="G2124" s="5">
        <v>105.1</v>
      </c>
      <c r="H2124" s="5">
        <v>105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106.6</v>
      </c>
      <c r="D2125" s="5">
        <v>0.1</v>
      </c>
      <c r="E2125" s="5">
        <v>106.9</v>
      </c>
      <c r="F2125" s="5">
        <v>211.6</v>
      </c>
      <c r="G2125" s="5">
        <v>105.1</v>
      </c>
      <c r="H2125" s="5">
        <v>105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106.6</v>
      </c>
      <c r="D2126" s="5">
        <v>0.1</v>
      </c>
      <c r="E2126" s="5">
        <v>106.9</v>
      </c>
      <c r="F2126" s="5">
        <v>211.6</v>
      </c>
      <c r="G2126" s="5">
        <v>105.1</v>
      </c>
      <c r="H2126" s="5">
        <v>105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106.6</v>
      </c>
      <c r="D2127" s="5">
        <v>0.1</v>
      </c>
      <c r="E2127" s="5">
        <v>106.9</v>
      </c>
      <c r="F2127" s="5">
        <v>211.6</v>
      </c>
      <c r="G2127" s="5">
        <v>105.1</v>
      </c>
      <c r="H2127" s="5">
        <v>105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106.3</v>
      </c>
      <c r="D2128" s="5">
        <v>0.1</v>
      </c>
      <c r="E2128" s="5">
        <v>106.5</v>
      </c>
      <c r="F2128" s="5">
        <v>211.3</v>
      </c>
      <c r="G2128" s="5">
        <v>105</v>
      </c>
      <c r="H2128" s="5">
        <v>104.9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106.3</v>
      </c>
      <c r="D2129" s="5">
        <v>0.1</v>
      </c>
      <c r="E2129" s="5">
        <v>106.5</v>
      </c>
      <c r="F2129" s="5">
        <v>211.3</v>
      </c>
      <c r="G2129" s="5">
        <v>105</v>
      </c>
      <c r="H2129" s="5">
        <v>104.9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106.2</v>
      </c>
      <c r="D2130" s="5">
        <v>0.1</v>
      </c>
      <c r="E2130" s="5">
        <v>106.4</v>
      </c>
      <c r="F2130" s="5">
        <v>211.3</v>
      </c>
      <c r="G2130" s="5">
        <v>105</v>
      </c>
      <c r="H2130" s="5">
        <v>104.9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106.2</v>
      </c>
      <c r="D2131" s="5">
        <v>0.1</v>
      </c>
      <c r="E2131" s="5">
        <v>106.4</v>
      </c>
      <c r="F2131" s="5">
        <v>211.3</v>
      </c>
      <c r="G2131" s="5">
        <v>105</v>
      </c>
      <c r="H2131" s="5">
        <v>104.9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106.4</v>
      </c>
      <c r="D2132" s="5">
        <v>0.1</v>
      </c>
      <c r="E2132" s="5">
        <v>106.6</v>
      </c>
      <c r="F2132" s="5">
        <v>210.9</v>
      </c>
      <c r="G2132" s="5">
        <v>104.8</v>
      </c>
      <c r="H2132" s="5">
        <v>104.6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106.4</v>
      </c>
      <c r="D2133" s="5">
        <v>0.1</v>
      </c>
      <c r="E2133" s="5">
        <v>106.6</v>
      </c>
      <c r="F2133" s="5">
        <v>210.9</v>
      </c>
      <c r="G2133" s="5">
        <v>104.8</v>
      </c>
      <c r="H2133" s="5">
        <v>104.6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106.2</v>
      </c>
      <c r="D2134" s="5">
        <v>0.1</v>
      </c>
      <c r="E2134" s="5">
        <v>106.4</v>
      </c>
      <c r="F2134" s="5">
        <v>211.2</v>
      </c>
      <c r="G2134" s="5">
        <v>105</v>
      </c>
      <c r="H2134" s="5">
        <v>104.8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106.2</v>
      </c>
      <c r="D2135" s="5">
        <v>0.1</v>
      </c>
      <c r="E2135" s="5">
        <v>106.4</v>
      </c>
      <c r="F2135" s="5">
        <v>211.2</v>
      </c>
      <c r="G2135" s="5">
        <v>105</v>
      </c>
      <c r="H2135" s="5">
        <v>104.8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106.2</v>
      </c>
      <c r="D2136" s="5">
        <v>0.1</v>
      </c>
      <c r="E2136" s="5">
        <v>106.4</v>
      </c>
      <c r="F2136" s="5">
        <v>211.2</v>
      </c>
      <c r="G2136" s="5">
        <v>105</v>
      </c>
      <c r="H2136" s="5">
        <v>104.8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107.7</v>
      </c>
      <c r="D2137" s="5">
        <v>0.1</v>
      </c>
      <c r="E2137" s="5">
        <v>107.8</v>
      </c>
      <c r="F2137" s="5">
        <v>213.8</v>
      </c>
      <c r="G2137" s="5">
        <v>106.2</v>
      </c>
      <c r="H2137" s="5">
        <v>106.1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107.7</v>
      </c>
      <c r="D2138" s="5">
        <v>0.1</v>
      </c>
      <c r="E2138" s="5">
        <v>107.8</v>
      </c>
      <c r="F2138" s="5">
        <v>213.8</v>
      </c>
      <c r="G2138" s="5">
        <v>106.2</v>
      </c>
      <c r="H2138" s="5">
        <v>106.1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107.6</v>
      </c>
      <c r="D2139" s="5">
        <v>0.1</v>
      </c>
      <c r="E2139" s="5">
        <v>107.8</v>
      </c>
      <c r="F2139" s="5">
        <v>214.2</v>
      </c>
      <c r="G2139" s="5">
        <v>106.4</v>
      </c>
      <c r="H2139" s="5">
        <v>106.2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107.6</v>
      </c>
      <c r="D2140" s="5">
        <v>0.1</v>
      </c>
      <c r="E2140" s="5">
        <v>107.8</v>
      </c>
      <c r="F2140" s="5">
        <v>214.2</v>
      </c>
      <c r="G2140" s="5">
        <v>106.4</v>
      </c>
      <c r="H2140" s="5">
        <v>106.2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107.6</v>
      </c>
      <c r="D2141" s="5">
        <v>0.1</v>
      </c>
      <c r="E2141" s="5">
        <v>107.8</v>
      </c>
      <c r="F2141" s="5">
        <v>214.2</v>
      </c>
      <c r="G2141" s="5">
        <v>106.4</v>
      </c>
      <c r="H2141" s="5">
        <v>106.2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107.6</v>
      </c>
      <c r="D2142" s="5">
        <v>0.1</v>
      </c>
      <c r="E2142" s="5">
        <v>107.8</v>
      </c>
      <c r="F2142" s="5">
        <v>214.2</v>
      </c>
      <c r="G2142" s="5">
        <v>106.4</v>
      </c>
      <c r="H2142" s="5">
        <v>106.2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106.6</v>
      </c>
      <c r="D2143" s="5">
        <v>0.1</v>
      </c>
      <c r="E2143" s="5">
        <v>106.7</v>
      </c>
      <c r="F2143" s="5">
        <v>212.2</v>
      </c>
      <c r="G2143" s="5">
        <v>105.4</v>
      </c>
      <c r="H2143" s="5">
        <v>105.2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106.6</v>
      </c>
      <c r="D2144" s="5">
        <v>0.1</v>
      </c>
      <c r="E2144" s="5">
        <v>106.7</v>
      </c>
      <c r="F2144" s="5">
        <v>212.2</v>
      </c>
      <c r="G2144" s="5">
        <v>105.4</v>
      </c>
      <c r="H2144" s="5">
        <v>105.2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107.5</v>
      </c>
      <c r="D2145" s="5">
        <v>0.1</v>
      </c>
      <c r="E2145" s="5">
        <v>107.6</v>
      </c>
      <c r="F2145" s="5">
        <v>213.4</v>
      </c>
      <c r="G2145" s="5">
        <v>106</v>
      </c>
      <c r="H2145" s="5">
        <v>105.8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107.5</v>
      </c>
      <c r="D2146" s="5">
        <v>0.1</v>
      </c>
      <c r="E2146" s="5">
        <v>107.6</v>
      </c>
      <c r="F2146" s="5">
        <v>213.4</v>
      </c>
      <c r="G2146" s="5">
        <v>106</v>
      </c>
      <c r="H2146" s="5">
        <v>105.8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107.5</v>
      </c>
      <c r="D2147" s="5">
        <v>0.1</v>
      </c>
      <c r="E2147" s="5">
        <v>107.6</v>
      </c>
      <c r="F2147" s="5">
        <v>213.3</v>
      </c>
      <c r="G2147" s="5">
        <v>106</v>
      </c>
      <c r="H2147" s="5">
        <v>105.8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107.5</v>
      </c>
      <c r="D2148" s="5">
        <v>0.1</v>
      </c>
      <c r="E2148" s="5">
        <v>107.6</v>
      </c>
      <c r="F2148" s="5">
        <v>213.3</v>
      </c>
      <c r="G2148" s="5">
        <v>106</v>
      </c>
      <c r="H2148" s="5">
        <v>105.8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106.7</v>
      </c>
      <c r="D2149" s="5">
        <v>0.1</v>
      </c>
      <c r="E2149" s="5">
        <v>106.9</v>
      </c>
      <c r="F2149" s="5">
        <v>211.8</v>
      </c>
      <c r="G2149" s="5">
        <v>105.3</v>
      </c>
      <c r="H2149" s="5">
        <v>105.2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106.7</v>
      </c>
      <c r="D2150" s="5">
        <v>0.1</v>
      </c>
      <c r="E2150" s="5">
        <v>106.9</v>
      </c>
      <c r="F2150" s="5">
        <v>211.8</v>
      </c>
      <c r="G2150" s="5">
        <v>105.3</v>
      </c>
      <c r="H2150" s="5">
        <v>105.2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106.7</v>
      </c>
      <c r="D2151" s="5">
        <v>0.1</v>
      </c>
      <c r="E2151" s="5">
        <v>106.9</v>
      </c>
      <c r="F2151" s="5">
        <v>211.8</v>
      </c>
      <c r="G2151" s="5">
        <v>105.3</v>
      </c>
      <c r="H2151" s="5">
        <v>105.2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106.7</v>
      </c>
      <c r="D2152" s="5">
        <v>0.1</v>
      </c>
      <c r="E2152" s="5">
        <v>106.9</v>
      </c>
      <c r="F2152" s="5">
        <v>211.8</v>
      </c>
      <c r="G2152" s="5">
        <v>105.3</v>
      </c>
      <c r="H2152" s="5">
        <v>105.2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106.7</v>
      </c>
      <c r="D2153" s="5">
        <v>0.1</v>
      </c>
      <c r="E2153" s="5">
        <v>106.9</v>
      </c>
      <c r="F2153" s="5">
        <v>211.8</v>
      </c>
      <c r="G2153" s="5">
        <v>105.3</v>
      </c>
      <c r="H2153" s="5">
        <v>105.2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106.7</v>
      </c>
      <c r="D2154" s="5">
        <v>0.1</v>
      </c>
      <c r="E2154" s="5">
        <v>106.9</v>
      </c>
      <c r="F2154" s="5">
        <v>212.8</v>
      </c>
      <c r="G2154" s="5">
        <v>105.7</v>
      </c>
      <c r="H2154" s="5">
        <v>105.5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105.6</v>
      </c>
      <c r="D2155" s="5">
        <v>0.1</v>
      </c>
      <c r="E2155" s="5">
        <v>105.8</v>
      </c>
      <c r="F2155" s="5">
        <v>212.8</v>
      </c>
      <c r="G2155" s="5">
        <v>105.7</v>
      </c>
      <c r="H2155" s="5">
        <v>105.5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105.6</v>
      </c>
      <c r="D2156" s="5">
        <v>0.1</v>
      </c>
      <c r="E2156" s="5">
        <v>105.8</v>
      </c>
      <c r="F2156" s="5">
        <v>212.8</v>
      </c>
      <c r="G2156" s="5">
        <v>104.4</v>
      </c>
      <c r="H2156" s="5">
        <v>104.2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106.2</v>
      </c>
      <c r="D2157" s="5">
        <v>0.1</v>
      </c>
      <c r="E2157" s="5">
        <v>106.3</v>
      </c>
      <c r="F2157" s="5">
        <v>210.2</v>
      </c>
      <c r="G2157" s="5">
        <v>104.4</v>
      </c>
      <c r="H2157" s="5">
        <v>104.2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106.2</v>
      </c>
      <c r="D2158" s="5">
        <v>0.1</v>
      </c>
      <c r="E2158" s="5">
        <v>106.3</v>
      </c>
      <c r="F2158" s="5">
        <v>210.2</v>
      </c>
      <c r="G2158" s="5">
        <v>104.8</v>
      </c>
      <c r="H2158" s="5">
        <v>104.6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105.7</v>
      </c>
      <c r="D2159" s="5">
        <v>0.1</v>
      </c>
      <c r="E2159" s="5">
        <v>105.9</v>
      </c>
      <c r="F2159" s="5">
        <v>211.1</v>
      </c>
      <c r="G2159" s="5">
        <v>104.8</v>
      </c>
      <c r="H2159" s="5">
        <v>104.6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105.7</v>
      </c>
      <c r="D2160" s="5">
        <v>0.1</v>
      </c>
      <c r="E2160" s="5">
        <v>105.9</v>
      </c>
      <c r="F2160" s="5">
        <v>211.1</v>
      </c>
      <c r="G2160" s="5">
        <v>104.8</v>
      </c>
      <c r="H2160" s="5">
        <v>104.6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105.7</v>
      </c>
      <c r="D2161" s="5">
        <v>0.1</v>
      </c>
      <c r="E2161" s="5">
        <v>105.9</v>
      </c>
      <c r="F2161" s="5">
        <v>211.1</v>
      </c>
      <c r="G2161" s="5">
        <v>104.8</v>
      </c>
      <c r="H2161" s="5">
        <v>104.6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106.7</v>
      </c>
      <c r="D2162" s="5">
        <v>0.1</v>
      </c>
      <c r="E2162" s="5">
        <v>106.9</v>
      </c>
      <c r="F2162" s="5">
        <v>211.7</v>
      </c>
      <c r="G2162" s="5">
        <v>105.1</v>
      </c>
      <c r="H2162" s="5">
        <v>105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106.7</v>
      </c>
      <c r="D2163" s="5">
        <v>0.1</v>
      </c>
      <c r="E2163" s="5">
        <v>106.9</v>
      </c>
      <c r="F2163" s="5">
        <v>211.7</v>
      </c>
      <c r="G2163" s="5">
        <v>105.1</v>
      </c>
      <c r="H2163" s="5">
        <v>105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105.3</v>
      </c>
      <c r="D2164" s="5">
        <v>0.1</v>
      </c>
      <c r="E2164" s="5">
        <v>105.4</v>
      </c>
      <c r="F2164" s="5">
        <v>210.3</v>
      </c>
      <c r="G2164" s="5">
        <v>104.4</v>
      </c>
      <c r="H2164" s="5">
        <v>104.2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105.3</v>
      </c>
      <c r="D2165" s="5">
        <v>0.1</v>
      </c>
      <c r="E2165" s="5">
        <v>105.4</v>
      </c>
      <c r="F2165" s="5">
        <v>210.3</v>
      </c>
      <c r="G2165" s="5">
        <v>104.4</v>
      </c>
      <c r="H2165" s="5">
        <v>104.2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107.1</v>
      </c>
      <c r="D2166" s="5">
        <v>0.1</v>
      </c>
      <c r="E2166" s="5">
        <v>107.2</v>
      </c>
      <c r="F2166" s="5">
        <v>212.4</v>
      </c>
      <c r="G2166" s="5">
        <v>105.5</v>
      </c>
      <c r="H2166" s="5">
        <v>105.4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107.1</v>
      </c>
      <c r="D2167" s="5">
        <v>0.1</v>
      </c>
      <c r="E2167" s="5">
        <v>107.2</v>
      </c>
      <c r="F2167" s="5">
        <v>212.4</v>
      </c>
      <c r="G2167" s="5">
        <v>105.5</v>
      </c>
      <c r="H2167" s="5">
        <v>105.4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106.8</v>
      </c>
      <c r="D2168" s="5">
        <v>0.1</v>
      </c>
      <c r="E2168" s="5">
        <v>106.9</v>
      </c>
      <c r="F2168" s="5">
        <v>212.3</v>
      </c>
      <c r="G2168" s="5">
        <v>105.4</v>
      </c>
      <c r="H2168" s="5">
        <v>105.2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106.8</v>
      </c>
      <c r="D2169" s="5">
        <v>0.1</v>
      </c>
      <c r="E2169" s="5">
        <v>106.9</v>
      </c>
      <c r="F2169" s="5">
        <v>212.3</v>
      </c>
      <c r="G2169" s="5">
        <v>105.4</v>
      </c>
      <c r="H2169" s="5">
        <v>105.2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106.8</v>
      </c>
      <c r="D2170" s="5">
        <v>0.1</v>
      </c>
      <c r="E2170" s="5">
        <v>106.9</v>
      </c>
      <c r="F2170" s="5">
        <v>212.3</v>
      </c>
      <c r="G2170" s="5">
        <v>105.4</v>
      </c>
      <c r="H2170" s="5">
        <v>105.2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106.8</v>
      </c>
      <c r="D2171" s="5">
        <v>0.1</v>
      </c>
      <c r="E2171" s="5">
        <v>106.9</v>
      </c>
      <c r="F2171" s="5">
        <v>212.3</v>
      </c>
      <c r="G2171" s="5">
        <v>105.4</v>
      </c>
      <c r="H2171" s="5">
        <v>105.2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106.9</v>
      </c>
      <c r="D2172" s="5">
        <v>0.1</v>
      </c>
      <c r="E2172" s="5">
        <v>107</v>
      </c>
      <c r="F2172" s="5">
        <v>212.2</v>
      </c>
      <c r="G2172" s="5">
        <v>105.4</v>
      </c>
      <c r="H2172" s="5">
        <v>105.2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106.9</v>
      </c>
      <c r="D2173" s="5">
        <v>0.1</v>
      </c>
      <c r="E2173" s="5">
        <v>107</v>
      </c>
      <c r="F2173" s="5">
        <v>212.2</v>
      </c>
      <c r="G2173" s="5">
        <v>105.4</v>
      </c>
      <c r="H2173" s="5">
        <v>105.2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106</v>
      </c>
      <c r="D2174" s="5">
        <v>0.1</v>
      </c>
      <c r="E2174" s="5">
        <v>106.2</v>
      </c>
      <c r="F2174" s="5">
        <v>210.6</v>
      </c>
      <c r="G2174" s="5">
        <v>104.6</v>
      </c>
      <c r="H2174" s="5">
        <v>104.4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106</v>
      </c>
      <c r="D2175" s="5">
        <v>0.1</v>
      </c>
      <c r="E2175" s="5">
        <v>106.2</v>
      </c>
      <c r="F2175" s="5">
        <v>210.6</v>
      </c>
      <c r="G2175" s="5">
        <v>104.6</v>
      </c>
      <c r="H2175" s="5">
        <v>104.4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106.6</v>
      </c>
      <c r="D2176" s="5">
        <v>0.1</v>
      </c>
      <c r="E2176" s="5">
        <v>106.7</v>
      </c>
      <c r="F2176" s="5">
        <v>211.6</v>
      </c>
      <c r="G2176" s="5">
        <v>105.1</v>
      </c>
      <c r="H2176" s="5">
        <v>104.9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106.6</v>
      </c>
      <c r="D2177" s="5">
        <v>0.1</v>
      </c>
      <c r="E2177" s="5">
        <v>106.7</v>
      </c>
      <c r="F2177" s="5">
        <v>211.6</v>
      </c>
      <c r="G2177" s="5">
        <v>105.1</v>
      </c>
      <c r="H2177" s="5">
        <v>104.9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107</v>
      </c>
      <c r="D2178" s="5">
        <v>0.1</v>
      </c>
      <c r="E2178" s="5">
        <v>107.2</v>
      </c>
      <c r="F2178" s="5">
        <v>213</v>
      </c>
      <c r="G2178" s="5">
        <v>105.6</v>
      </c>
      <c r="H2178" s="5">
        <v>105.5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107</v>
      </c>
      <c r="D2179" s="5">
        <v>0.1</v>
      </c>
      <c r="E2179" s="5">
        <v>107.2</v>
      </c>
      <c r="F2179" s="5">
        <v>213</v>
      </c>
      <c r="G2179" s="5">
        <v>105.6</v>
      </c>
      <c r="H2179" s="5">
        <v>105.5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107</v>
      </c>
      <c r="D2180" s="5">
        <v>0.1</v>
      </c>
      <c r="E2180" s="5">
        <v>107.2</v>
      </c>
      <c r="F2180" s="5">
        <v>213</v>
      </c>
      <c r="G2180" s="5">
        <v>105.6</v>
      </c>
      <c r="H2180" s="5">
        <v>105.5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107</v>
      </c>
      <c r="D2181" s="5">
        <v>0.1</v>
      </c>
      <c r="E2181" s="5">
        <v>107.2</v>
      </c>
      <c r="F2181" s="5">
        <v>213</v>
      </c>
      <c r="G2181" s="5">
        <v>105.6</v>
      </c>
      <c r="H2181" s="5">
        <v>105.5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106.4</v>
      </c>
      <c r="D2182" s="5">
        <v>0.1</v>
      </c>
      <c r="E2182" s="5">
        <v>106.5</v>
      </c>
      <c r="F2182" s="5">
        <v>210.8</v>
      </c>
      <c r="G2182" s="5">
        <v>104.7</v>
      </c>
      <c r="H2182" s="5">
        <v>104.6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106.4</v>
      </c>
      <c r="D2183" s="5">
        <v>0.1</v>
      </c>
      <c r="E2183" s="5">
        <v>106.5</v>
      </c>
      <c r="F2183" s="5">
        <v>210.8</v>
      </c>
      <c r="G2183" s="5">
        <v>104.7</v>
      </c>
      <c r="H2183" s="5">
        <v>104.6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106</v>
      </c>
      <c r="D2184" s="5">
        <v>0.1</v>
      </c>
      <c r="E2184" s="5">
        <v>106.2</v>
      </c>
      <c r="F2184" s="5">
        <v>211</v>
      </c>
      <c r="G2184" s="5">
        <v>104.8</v>
      </c>
      <c r="H2184" s="5">
        <v>104.6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106</v>
      </c>
      <c r="D2185" s="5">
        <v>0.1</v>
      </c>
      <c r="E2185" s="5">
        <v>106.2</v>
      </c>
      <c r="F2185" s="5">
        <v>211</v>
      </c>
      <c r="G2185" s="5">
        <v>104.8</v>
      </c>
      <c r="H2185" s="5">
        <v>104.6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105.8</v>
      </c>
      <c r="D2186" s="5">
        <v>0.1</v>
      </c>
      <c r="E2186" s="5">
        <v>105.9</v>
      </c>
      <c r="F2186" s="5">
        <v>209.5</v>
      </c>
      <c r="G2186" s="5">
        <v>104.1</v>
      </c>
      <c r="H2186" s="5">
        <v>104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105.8</v>
      </c>
      <c r="D2187" s="5">
        <v>0.1</v>
      </c>
      <c r="E2187" s="5">
        <v>105.9</v>
      </c>
      <c r="F2187" s="5">
        <v>209.5</v>
      </c>
      <c r="G2187" s="5">
        <v>104.1</v>
      </c>
      <c r="H2187" s="5">
        <v>104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106.2</v>
      </c>
      <c r="D2188" s="5">
        <v>0.1</v>
      </c>
      <c r="E2188" s="5">
        <v>106.3</v>
      </c>
      <c r="F2188" s="5">
        <v>210.8</v>
      </c>
      <c r="G2188" s="5">
        <v>104.1</v>
      </c>
      <c r="H2188" s="5">
        <v>104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106.2</v>
      </c>
      <c r="D2189" s="5">
        <v>0.1</v>
      </c>
      <c r="E2189" s="5">
        <v>106.3</v>
      </c>
      <c r="F2189" s="5">
        <v>210.8</v>
      </c>
      <c r="G2189" s="5">
        <v>104.7</v>
      </c>
      <c r="H2189" s="5">
        <v>104.5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106.2</v>
      </c>
      <c r="D2190" s="5">
        <v>0.1</v>
      </c>
      <c r="E2190" s="5">
        <v>106.3</v>
      </c>
      <c r="F2190" s="5">
        <v>210.8</v>
      </c>
      <c r="G2190" s="5">
        <v>104.7</v>
      </c>
      <c r="H2190" s="5">
        <v>104.5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106.2</v>
      </c>
      <c r="D2191" s="5">
        <v>0.1</v>
      </c>
      <c r="E2191" s="5">
        <v>106.3</v>
      </c>
      <c r="F2191" s="5">
        <v>210.8</v>
      </c>
      <c r="G2191" s="5">
        <v>104.7</v>
      </c>
      <c r="H2191" s="5">
        <v>104.5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105.6</v>
      </c>
      <c r="D2192" s="5">
        <v>0.1</v>
      </c>
      <c r="E2192" s="5">
        <v>105.8</v>
      </c>
      <c r="F2192" s="5">
        <v>210.9</v>
      </c>
      <c r="G2192" s="5">
        <v>104.7</v>
      </c>
      <c r="H2192" s="5">
        <v>104.5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105.6</v>
      </c>
      <c r="D2193" s="5">
        <v>0.1</v>
      </c>
      <c r="E2193" s="5">
        <v>105.8</v>
      </c>
      <c r="F2193" s="5">
        <v>210.9</v>
      </c>
      <c r="G2193" s="5">
        <v>104.7</v>
      </c>
      <c r="H2193" s="5">
        <v>104.5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107.2</v>
      </c>
      <c r="D2194" s="5">
        <v>0.1</v>
      </c>
      <c r="E2194" s="5">
        <v>107.4</v>
      </c>
      <c r="F2194" s="5">
        <v>213.4</v>
      </c>
      <c r="G2194" s="5">
        <v>106</v>
      </c>
      <c r="H2194" s="5">
        <v>105.8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107.2</v>
      </c>
      <c r="D2195" s="5">
        <v>0.1</v>
      </c>
      <c r="E2195" s="5">
        <v>107.4</v>
      </c>
      <c r="F2195" s="5">
        <v>213.4</v>
      </c>
      <c r="G2195" s="5">
        <v>106</v>
      </c>
      <c r="H2195" s="5">
        <v>105.8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107.3</v>
      </c>
      <c r="D2196" s="5">
        <v>0.1</v>
      </c>
      <c r="E2196" s="5">
        <v>107.5</v>
      </c>
      <c r="F2196" s="5">
        <v>212.7</v>
      </c>
      <c r="G2196" s="5">
        <v>105.6</v>
      </c>
      <c r="H2196" s="5">
        <v>105.4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107.3</v>
      </c>
      <c r="D2197" s="5">
        <v>0.1</v>
      </c>
      <c r="E2197" s="5">
        <v>107.5</v>
      </c>
      <c r="F2197" s="5">
        <v>212.7</v>
      </c>
      <c r="G2197" s="5">
        <v>105.6</v>
      </c>
      <c r="H2197" s="5">
        <v>105.4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107.5</v>
      </c>
      <c r="D2198" s="5">
        <v>0.1</v>
      </c>
      <c r="E2198" s="5">
        <v>107.7</v>
      </c>
      <c r="F2198" s="5">
        <v>213.5</v>
      </c>
      <c r="G2198" s="5">
        <v>106</v>
      </c>
      <c r="H2198" s="5">
        <v>105.9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107.5</v>
      </c>
      <c r="D2199" s="5">
        <v>0.1</v>
      </c>
      <c r="E2199" s="5">
        <v>107.7</v>
      </c>
      <c r="F2199" s="5">
        <v>213.5</v>
      </c>
      <c r="G2199" s="5">
        <v>106</v>
      </c>
      <c r="H2199" s="5">
        <v>105.9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107.5</v>
      </c>
      <c r="D2200" s="5">
        <v>0.1</v>
      </c>
      <c r="E2200" s="5">
        <v>107.7</v>
      </c>
      <c r="F2200" s="5">
        <v>213.5</v>
      </c>
      <c r="G2200" s="5">
        <v>106</v>
      </c>
      <c r="H2200" s="5">
        <v>105.9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107.5</v>
      </c>
      <c r="D2201" s="5">
        <v>0.1</v>
      </c>
      <c r="E2201" s="5">
        <v>107.7</v>
      </c>
      <c r="F2201" s="5">
        <v>213.5</v>
      </c>
      <c r="G2201" s="5">
        <v>106</v>
      </c>
      <c r="H2201" s="5">
        <v>105.9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107.3</v>
      </c>
      <c r="D2202" s="5">
        <v>0.1</v>
      </c>
      <c r="E2202" s="5">
        <v>107.5</v>
      </c>
      <c r="F2202" s="5">
        <v>212.8</v>
      </c>
      <c r="G2202" s="5">
        <v>105.6</v>
      </c>
      <c r="H2202" s="5">
        <v>105.5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107.3</v>
      </c>
      <c r="D2203" s="5">
        <v>0.1</v>
      </c>
      <c r="E2203" s="5">
        <v>107.5</v>
      </c>
      <c r="F2203" s="5">
        <v>212.8</v>
      </c>
      <c r="G2203" s="5">
        <v>105.6</v>
      </c>
      <c r="H2203" s="5">
        <v>105.5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106.7</v>
      </c>
      <c r="D2204" s="5">
        <v>0.1</v>
      </c>
      <c r="E2204" s="5">
        <v>106.9</v>
      </c>
      <c r="F2204" s="5">
        <v>212.5</v>
      </c>
      <c r="G2204" s="5">
        <v>105.5</v>
      </c>
      <c r="H2204" s="5">
        <v>105.3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106.7</v>
      </c>
      <c r="D2205" s="5">
        <v>0.1</v>
      </c>
      <c r="E2205" s="5">
        <v>106.9</v>
      </c>
      <c r="F2205" s="5">
        <v>212.5</v>
      </c>
      <c r="G2205" s="5">
        <v>105.5</v>
      </c>
      <c r="H2205" s="5">
        <v>105.3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107.2</v>
      </c>
      <c r="D2206" s="5">
        <v>0.1</v>
      </c>
      <c r="E2206" s="5">
        <v>107.3</v>
      </c>
      <c r="F2206" s="5">
        <v>212.9</v>
      </c>
      <c r="G2206" s="5">
        <v>105.7</v>
      </c>
      <c r="H2206" s="5">
        <v>105.5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107.2</v>
      </c>
      <c r="D2207" s="5">
        <v>0.1</v>
      </c>
      <c r="E2207" s="5">
        <v>107.3</v>
      </c>
      <c r="F2207" s="5">
        <v>212.9</v>
      </c>
      <c r="G2207" s="5">
        <v>105.7</v>
      </c>
      <c r="H2207" s="5">
        <v>105.5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107.7</v>
      </c>
      <c r="D2208" s="5">
        <v>0.1</v>
      </c>
      <c r="E2208" s="5">
        <v>107.8</v>
      </c>
      <c r="F2208" s="5">
        <v>213.6</v>
      </c>
      <c r="G2208" s="5">
        <v>106.1</v>
      </c>
      <c r="H2208" s="5">
        <v>105.9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107.7</v>
      </c>
      <c r="D2209" s="5">
        <v>0.1</v>
      </c>
      <c r="E2209" s="5">
        <v>107.8</v>
      </c>
      <c r="F2209" s="5">
        <v>213.6</v>
      </c>
      <c r="G2209" s="5">
        <v>106.1</v>
      </c>
      <c r="H2209" s="5">
        <v>105.9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107.7</v>
      </c>
      <c r="D2210" s="5">
        <v>0.1</v>
      </c>
      <c r="E2210" s="5">
        <v>107.8</v>
      </c>
      <c r="F2210" s="5">
        <v>213.6</v>
      </c>
      <c r="G2210" s="5">
        <v>106.1</v>
      </c>
      <c r="H2210" s="5">
        <v>105.9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107.7</v>
      </c>
      <c r="D2211" s="5">
        <v>0.1</v>
      </c>
      <c r="E2211" s="5">
        <v>107.8</v>
      </c>
      <c r="F2211" s="5">
        <v>213.6</v>
      </c>
      <c r="G2211" s="5">
        <v>106.1</v>
      </c>
      <c r="H2211" s="5">
        <v>105.9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107.4</v>
      </c>
      <c r="D2212" s="5">
        <v>0.1</v>
      </c>
      <c r="E2212" s="5">
        <v>107.5</v>
      </c>
      <c r="F2212" s="5">
        <v>213.3</v>
      </c>
      <c r="G2212" s="5">
        <v>105.9</v>
      </c>
      <c r="H2212" s="5">
        <v>105.8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107.4</v>
      </c>
      <c r="D2213" s="5">
        <v>0.1</v>
      </c>
      <c r="E2213" s="5">
        <v>107.5</v>
      </c>
      <c r="F2213" s="5">
        <v>213.3</v>
      </c>
      <c r="G2213" s="5">
        <v>105.9</v>
      </c>
      <c r="H2213" s="5">
        <v>105.8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107.2</v>
      </c>
      <c r="D2214" s="5">
        <v>0.1</v>
      </c>
      <c r="E2214" s="5">
        <v>107.4</v>
      </c>
      <c r="F2214" s="5">
        <v>213.7</v>
      </c>
      <c r="G2214" s="5">
        <v>106.1</v>
      </c>
      <c r="H2214" s="5">
        <v>106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107.2</v>
      </c>
      <c r="D2215" s="5">
        <v>0.1</v>
      </c>
      <c r="E2215" s="5">
        <v>107.4</v>
      </c>
      <c r="F2215" s="5">
        <v>213.7</v>
      </c>
      <c r="G2215" s="5">
        <v>106.1</v>
      </c>
      <c r="H2215" s="5">
        <v>106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107.3</v>
      </c>
      <c r="D2216" s="5">
        <v>0.1</v>
      </c>
      <c r="E2216" s="5">
        <v>107.5</v>
      </c>
      <c r="F2216" s="5">
        <v>213.7</v>
      </c>
      <c r="G2216" s="5">
        <v>106.1</v>
      </c>
      <c r="H2216" s="5">
        <v>106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107.3</v>
      </c>
      <c r="D2217" s="5">
        <v>0.1</v>
      </c>
      <c r="E2217" s="5">
        <v>107.5</v>
      </c>
      <c r="F2217" s="5">
        <v>213.7</v>
      </c>
      <c r="G2217" s="5">
        <v>106.1</v>
      </c>
      <c r="H2217" s="5">
        <v>106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108.3</v>
      </c>
      <c r="D2218" s="5">
        <v>0.1</v>
      </c>
      <c r="E2218" s="5">
        <v>108.5</v>
      </c>
      <c r="F2218" s="5">
        <v>213.7</v>
      </c>
      <c r="G2218" s="5">
        <v>106.1</v>
      </c>
      <c r="H2218" s="5">
        <v>106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108.3</v>
      </c>
      <c r="D2219" s="5">
        <v>0.1</v>
      </c>
      <c r="E2219" s="5">
        <v>108.5</v>
      </c>
      <c r="F2219" s="5">
        <v>213.7</v>
      </c>
      <c r="G2219" s="5">
        <v>106.1</v>
      </c>
      <c r="H2219" s="5">
        <v>106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108.3</v>
      </c>
      <c r="D2220" s="5">
        <v>0.1</v>
      </c>
      <c r="E2220" s="5">
        <v>108.5</v>
      </c>
      <c r="F2220" s="5">
        <v>213.7</v>
      </c>
      <c r="G2220" s="5">
        <v>106.1</v>
      </c>
      <c r="H2220" s="5">
        <v>106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108.3</v>
      </c>
      <c r="D2221" s="5">
        <v>0.1</v>
      </c>
      <c r="E2221" s="5">
        <v>108.5</v>
      </c>
      <c r="F2221" s="5">
        <v>213.7</v>
      </c>
      <c r="G2221" s="5">
        <v>106.1</v>
      </c>
      <c r="H2221" s="5">
        <v>106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107.8</v>
      </c>
      <c r="D2222" s="5">
        <v>0.1</v>
      </c>
      <c r="E2222" s="5">
        <v>108</v>
      </c>
      <c r="F2222" s="5">
        <v>213.7</v>
      </c>
      <c r="G2222" s="5">
        <v>106</v>
      </c>
      <c r="H2222" s="5">
        <v>105.9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107.8</v>
      </c>
      <c r="D2223" s="5">
        <v>0.1</v>
      </c>
      <c r="E2223" s="5">
        <v>108</v>
      </c>
      <c r="F2223" s="5">
        <v>213.7</v>
      </c>
      <c r="G2223" s="5">
        <v>106</v>
      </c>
      <c r="H2223" s="5">
        <v>105.9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108.2</v>
      </c>
      <c r="D2224" s="5">
        <v>0.1</v>
      </c>
      <c r="E2224" s="5">
        <v>108.4</v>
      </c>
      <c r="F2224" s="5">
        <v>214.3</v>
      </c>
      <c r="G2224" s="5">
        <v>106.4</v>
      </c>
      <c r="H2224" s="5">
        <v>106.3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108.2</v>
      </c>
      <c r="D2225" s="5">
        <v>0.1</v>
      </c>
      <c r="E2225" s="5">
        <v>108.4</v>
      </c>
      <c r="F2225" s="5">
        <v>214.3</v>
      </c>
      <c r="G2225" s="5">
        <v>106.4</v>
      </c>
      <c r="H2225" s="5">
        <v>106.3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108.1</v>
      </c>
      <c r="D2226" s="5">
        <v>0.1</v>
      </c>
      <c r="E2226" s="5">
        <v>108.2</v>
      </c>
      <c r="F2226" s="5">
        <v>213.7</v>
      </c>
      <c r="G2226" s="5">
        <v>106.1</v>
      </c>
      <c r="H2226" s="5">
        <v>106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108.1</v>
      </c>
      <c r="D2227" s="5">
        <v>0.1</v>
      </c>
      <c r="E2227" s="5">
        <v>108.2</v>
      </c>
      <c r="F2227" s="5">
        <v>213.7</v>
      </c>
      <c r="G2227" s="5">
        <v>106.1</v>
      </c>
      <c r="H2227" s="5">
        <v>106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107.9</v>
      </c>
      <c r="D2228" s="5">
        <v>0.1</v>
      </c>
      <c r="E2228" s="5">
        <v>108.1</v>
      </c>
      <c r="F2228" s="5">
        <v>213.8</v>
      </c>
      <c r="G2228" s="5">
        <v>106.2</v>
      </c>
      <c r="H2228" s="5">
        <v>106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107.9</v>
      </c>
      <c r="D2229" s="5">
        <v>0.1</v>
      </c>
      <c r="E2229" s="5">
        <v>108.1</v>
      </c>
      <c r="F2229" s="5">
        <v>213.8</v>
      </c>
      <c r="G2229" s="5">
        <v>106.2</v>
      </c>
      <c r="H2229" s="5">
        <v>106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107.9</v>
      </c>
      <c r="D2230" s="5">
        <v>0.1</v>
      </c>
      <c r="E2230" s="5">
        <v>108.1</v>
      </c>
      <c r="F2230" s="5">
        <v>213.8</v>
      </c>
      <c r="G2230" s="5">
        <v>106.2</v>
      </c>
      <c r="H2230" s="5">
        <v>106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107.9</v>
      </c>
      <c r="D2231" s="5">
        <v>0.1</v>
      </c>
      <c r="E2231" s="5">
        <v>108.1</v>
      </c>
      <c r="F2231" s="5">
        <v>213.8</v>
      </c>
      <c r="G2231" s="5">
        <v>106.2</v>
      </c>
      <c r="H2231" s="5">
        <v>106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108.4</v>
      </c>
      <c r="D2232" s="5">
        <v>0.1</v>
      </c>
      <c r="E2232" s="5">
        <v>108.5</v>
      </c>
      <c r="F2232" s="5">
        <v>214.7</v>
      </c>
      <c r="G2232" s="5">
        <v>106.6</v>
      </c>
      <c r="H2232" s="5">
        <v>106.5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108.4</v>
      </c>
      <c r="D2233" s="5">
        <v>0.1</v>
      </c>
      <c r="E2233" s="5">
        <v>108.5</v>
      </c>
      <c r="F2233" s="5">
        <v>214.7</v>
      </c>
      <c r="G2233" s="5">
        <v>106.6</v>
      </c>
      <c r="H2233" s="5">
        <v>106.5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109</v>
      </c>
      <c r="D2234" s="5">
        <v>0.1</v>
      </c>
      <c r="E2234" s="5">
        <v>109.1</v>
      </c>
      <c r="F2234" s="5">
        <v>216.1</v>
      </c>
      <c r="G2234" s="5">
        <v>107.2</v>
      </c>
      <c r="H2234" s="5">
        <v>107.1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109</v>
      </c>
      <c r="D2235" s="5">
        <v>0.1</v>
      </c>
      <c r="E2235" s="5">
        <v>109.1</v>
      </c>
      <c r="F2235" s="5">
        <v>216.1</v>
      </c>
      <c r="G2235" s="5">
        <v>107.2</v>
      </c>
      <c r="H2235" s="5">
        <v>107.1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107.8</v>
      </c>
      <c r="D2236" s="5">
        <v>0.1</v>
      </c>
      <c r="E2236" s="5">
        <v>108</v>
      </c>
      <c r="F2236" s="5">
        <v>214.2</v>
      </c>
      <c r="G2236" s="5">
        <v>106.3</v>
      </c>
      <c r="H2236" s="5">
        <v>106.2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107.8</v>
      </c>
      <c r="D2237" s="5">
        <v>0.1</v>
      </c>
      <c r="E2237" s="5">
        <v>108</v>
      </c>
      <c r="F2237" s="5">
        <v>214.2</v>
      </c>
      <c r="G2237" s="5">
        <v>106.3</v>
      </c>
      <c r="H2237" s="5">
        <v>106.2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108.1</v>
      </c>
      <c r="D2238" s="5">
        <v>0.1</v>
      </c>
      <c r="E2238" s="5">
        <v>108.3</v>
      </c>
      <c r="F2238" s="5">
        <v>214.9</v>
      </c>
      <c r="G2238" s="5">
        <v>106.7</v>
      </c>
      <c r="H2238" s="5">
        <v>106.5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108.1</v>
      </c>
      <c r="D2239" s="5">
        <v>0.1</v>
      </c>
      <c r="E2239" s="5">
        <v>108.3</v>
      </c>
      <c r="F2239" s="5">
        <v>214.9</v>
      </c>
      <c r="G2239" s="5">
        <v>106.7</v>
      </c>
      <c r="H2239" s="5">
        <v>106.5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108.1</v>
      </c>
      <c r="D2240" s="5">
        <v>0.1</v>
      </c>
      <c r="E2240" s="5">
        <v>108.3</v>
      </c>
      <c r="F2240" s="5">
        <v>214.9</v>
      </c>
      <c r="G2240" s="5">
        <v>106.7</v>
      </c>
      <c r="H2240" s="5">
        <v>106.5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108.1</v>
      </c>
      <c r="D2241" s="5">
        <v>0.1</v>
      </c>
      <c r="E2241" s="5">
        <v>108.3</v>
      </c>
      <c r="F2241" s="5">
        <v>214.9</v>
      </c>
      <c r="G2241" s="5">
        <v>106.7</v>
      </c>
      <c r="H2241" s="5">
        <v>106.5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108.6</v>
      </c>
      <c r="D2242" s="5">
        <v>0.1</v>
      </c>
      <c r="E2242" s="5">
        <v>108.8</v>
      </c>
      <c r="F2242" s="5">
        <v>215.5</v>
      </c>
      <c r="G2242" s="5">
        <v>107</v>
      </c>
      <c r="H2242" s="5">
        <v>106.8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108.6</v>
      </c>
      <c r="D2243" s="5">
        <v>0.1</v>
      </c>
      <c r="E2243" s="5">
        <v>108.8</v>
      </c>
      <c r="F2243" s="5">
        <v>215.5</v>
      </c>
      <c r="G2243" s="5">
        <v>107</v>
      </c>
      <c r="H2243" s="5">
        <v>106.8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108.1</v>
      </c>
      <c r="D2244" s="5">
        <v>0.1</v>
      </c>
      <c r="E2244" s="5">
        <v>108.3</v>
      </c>
      <c r="F2244" s="5">
        <v>214.2</v>
      </c>
      <c r="G2244" s="5">
        <v>106.3</v>
      </c>
      <c r="H2244" s="5">
        <v>106.2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108.1</v>
      </c>
      <c r="D2245" s="5">
        <v>0.1</v>
      </c>
      <c r="E2245" s="5">
        <v>108.3</v>
      </c>
      <c r="F2245" s="5">
        <v>214.2</v>
      </c>
      <c r="G2245" s="5">
        <v>106.3</v>
      </c>
      <c r="H2245" s="5">
        <v>106.2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108.3</v>
      </c>
      <c r="D2246" s="5">
        <v>0.1</v>
      </c>
      <c r="E2246" s="5">
        <v>108.5</v>
      </c>
      <c r="F2246" s="5">
        <v>215.1</v>
      </c>
      <c r="G2246" s="5">
        <v>106.8</v>
      </c>
      <c r="H2246" s="5">
        <v>106.6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108.3</v>
      </c>
      <c r="D2247" s="5">
        <v>0.1</v>
      </c>
      <c r="E2247" s="5">
        <v>108.5</v>
      </c>
      <c r="F2247" s="5">
        <v>215.1</v>
      </c>
      <c r="G2247" s="5">
        <v>106.8</v>
      </c>
      <c r="H2247" s="5">
        <v>106.6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108.9</v>
      </c>
      <c r="D2248" s="5">
        <v>0.1</v>
      </c>
      <c r="E2248" s="5">
        <v>109.1</v>
      </c>
      <c r="F2248" s="5">
        <v>215.3</v>
      </c>
      <c r="G2248" s="5">
        <v>106.9</v>
      </c>
      <c r="H2248" s="5">
        <v>106.7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108.9</v>
      </c>
      <c r="D2249" s="5">
        <v>0.1</v>
      </c>
      <c r="E2249" s="5">
        <v>109.1</v>
      </c>
      <c r="F2249" s="5">
        <v>215.3</v>
      </c>
      <c r="G2249" s="5">
        <v>106.9</v>
      </c>
      <c r="H2249" s="5">
        <v>106.7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108.9</v>
      </c>
      <c r="D2250" s="5">
        <v>0.1</v>
      </c>
      <c r="E2250" s="5">
        <v>109.1</v>
      </c>
      <c r="F2250" s="5">
        <v>215.3</v>
      </c>
      <c r="G2250" s="5">
        <v>106.9</v>
      </c>
      <c r="H2250" s="5">
        <v>106.7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108.3</v>
      </c>
      <c r="D2251" s="5">
        <v>0.1</v>
      </c>
      <c r="E2251" s="5">
        <v>108.5</v>
      </c>
      <c r="F2251" s="5">
        <v>214.6</v>
      </c>
      <c r="G2251" s="5">
        <v>106.9</v>
      </c>
      <c r="H2251" s="5">
        <v>106.7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108.3</v>
      </c>
      <c r="D2252" s="5">
        <v>0.1</v>
      </c>
      <c r="E2252" s="5">
        <v>108.5</v>
      </c>
      <c r="F2252" s="5">
        <v>214.6</v>
      </c>
      <c r="G2252" s="5">
        <v>106.5</v>
      </c>
      <c r="H2252" s="5">
        <v>106.4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108.3</v>
      </c>
      <c r="D2253" s="5">
        <v>0.1</v>
      </c>
      <c r="E2253" s="5">
        <v>108.1</v>
      </c>
      <c r="F2253" s="5">
        <v>214.8</v>
      </c>
      <c r="G2253" s="5">
        <v>106.5</v>
      </c>
      <c r="H2253" s="5">
        <v>106.4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108</v>
      </c>
      <c r="D2254" s="5">
        <v>0.1</v>
      </c>
      <c r="E2254" s="5">
        <v>108.1</v>
      </c>
      <c r="F2254" s="5">
        <v>214.8</v>
      </c>
      <c r="G2254" s="5">
        <v>106.6</v>
      </c>
      <c r="H2254" s="5">
        <v>106.5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108</v>
      </c>
      <c r="D2255" s="5">
        <v>0.1</v>
      </c>
      <c r="E2255" s="5">
        <v>108.1</v>
      </c>
      <c r="F2255" s="5">
        <v>214.8</v>
      </c>
      <c r="G2255" s="5">
        <v>106.6</v>
      </c>
      <c r="H2255" s="5">
        <v>106.5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107.7</v>
      </c>
      <c r="D2256" s="5">
        <v>0.1</v>
      </c>
      <c r="E2256" s="5">
        <v>107.8</v>
      </c>
      <c r="F2256" s="5">
        <v>212.7</v>
      </c>
      <c r="G2256" s="5">
        <v>105.7</v>
      </c>
      <c r="H2256" s="5">
        <v>105.6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107.7</v>
      </c>
      <c r="D2257" s="5">
        <v>0.1</v>
      </c>
      <c r="E2257" s="5">
        <v>107.8</v>
      </c>
      <c r="F2257" s="5">
        <v>212.7</v>
      </c>
      <c r="G2257" s="5">
        <v>105.7</v>
      </c>
      <c r="H2257" s="5">
        <v>105.6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108.1</v>
      </c>
      <c r="D2258" s="5">
        <v>0.1</v>
      </c>
      <c r="E2258" s="5">
        <v>108.3</v>
      </c>
      <c r="F2258" s="5">
        <v>214.8</v>
      </c>
      <c r="G2258" s="5">
        <v>106.7</v>
      </c>
      <c r="H2258" s="5">
        <v>106.5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108.1</v>
      </c>
      <c r="D2259" s="5">
        <v>0.1</v>
      </c>
      <c r="E2259" s="5">
        <v>108.3</v>
      </c>
      <c r="F2259" s="5">
        <v>214.8</v>
      </c>
      <c r="G2259" s="5">
        <v>106.7</v>
      </c>
      <c r="H2259" s="5">
        <v>106.5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108.1</v>
      </c>
      <c r="D2260" s="5">
        <v>0.1</v>
      </c>
      <c r="E2260" s="5">
        <v>108.3</v>
      </c>
      <c r="F2260" s="5">
        <v>214.8</v>
      </c>
      <c r="G2260" s="5">
        <v>106.7</v>
      </c>
      <c r="H2260" s="5">
        <v>106.5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108.1</v>
      </c>
      <c r="D2261" s="5">
        <v>0.1</v>
      </c>
      <c r="E2261" s="5">
        <v>108.3</v>
      </c>
      <c r="F2261" s="5">
        <v>214.8</v>
      </c>
      <c r="G2261" s="5">
        <v>106.7</v>
      </c>
      <c r="H2261" s="5">
        <v>106.5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108.5</v>
      </c>
      <c r="D2262" s="5">
        <v>0.1</v>
      </c>
      <c r="E2262" s="5">
        <v>108.7</v>
      </c>
      <c r="F2262" s="5">
        <v>215.7</v>
      </c>
      <c r="G2262" s="5">
        <v>107.1</v>
      </c>
      <c r="H2262" s="5">
        <v>106.9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108.5</v>
      </c>
      <c r="D2263" s="5">
        <v>0.1</v>
      </c>
      <c r="E2263" s="5">
        <v>108.7</v>
      </c>
      <c r="F2263" s="5">
        <v>215.7</v>
      </c>
      <c r="G2263" s="5">
        <v>107.1</v>
      </c>
      <c r="H2263" s="5">
        <v>106.9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108.7</v>
      </c>
      <c r="D2264" s="5">
        <v>0.1</v>
      </c>
      <c r="E2264" s="5">
        <v>108.8</v>
      </c>
      <c r="F2264" s="5">
        <v>215.3</v>
      </c>
      <c r="G2264" s="5">
        <v>106.8</v>
      </c>
      <c r="H2264" s="5">
        <v>106.7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108.7</v>
      </c>
      <c r="D2265" s="5">
        <v>0.1</v>
      </c>
      <c r="E2265" s="5">
        <v>108.8</v>
      </c>
      <c r="F2265" s="5">
        <v>215.3</v>
      </c>
      <c r="G2265" s="5">
        <v>106.8</v>
      </c>
      <c r="H2265" s="5">
        <v>106.7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108.5</v>
      </c>
      <c r="D2266" s="5">
        <v>0.1</v>
      </c>
      <c r="E2266" s="5">
        <v>108.7</v>
      </c>
      <c r="F2266" s="5">
        <v>214.5</v>
      </c>
      <c r="G2266" s="5">
        <v>106.5</v>
      </c>
      <c r="H2266" s="5">
        <v>106.3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108.5</v>
      </c>
      <c r="D2267" s="5">
        <v>0.1</v>
      </c>
      <c r="E2267" s="5">
        <v>108.7</v>
      </c>
      <c r="F2267" s="5">
        <v>214.5</v>
      </c>
      <c r="G2267" s="5">
        <v>106.5</v>
      </c>
      <c r="H2267" s="5">
        <v>106.3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108.6</v>
      </c>
      <c r="D2268" s="5">
        <v>0.1</v>
      </c>
      <c r="E2268" s="5">
        <v>108.8</v>
      </c>
      <c r="F2268" s="5">
        <v>214.8</v>
      </c>
      <c r="G2268" s="5">
        <v>106.6</v>
      </c>
      <c r="H2268" s="5">
        <v>106.5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108.6</v>
      </c>
      <c r="D2269" s="5">
        <v>0.1</v>
      </c>
      <c r="E2269" s="5">
        <v>108.8</v>
      </c>
      <c r="F2269" s="5">
        <v>214.8</v>
      </c>
      <c r="G2269" s="5">
        <v>106.6</v>
      </c>
      <c r="H2269" s="5">
        <v>106.5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108.6</v>
      </c>
      <c r="D2270" s="5">
        <v>0.1</v>
      </c>
      <c r="E2270" s="5">
        <v>108.8</v>
      </c>
      <c r="F2270" s="5">
        <v>214.8</v>
      </c>
      <c r="G2270" s="5">
        <v>106.6</v>
      </c>
      <c r="H2270" s="5">
        <v>106.5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108.6</v>
      </c>
      <c r="D2271" s="5">
        <v>0.1</v>
      </c>
      <c r="E2271" s="5">
        <v>108.8</v>
      </c>
      <c r="F2271" s="5">
        <v>214.8</v>
      </c>
      <c r="G2271" s="5">
        <v>106.6</v>
      </c>
      <c r="H2271" s="5">
        <v>106.5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108.7</v>
      </c>
      <c r="D2272" s="5">
        <v>0.1</v>
      </c>
      <c r="E2272" s="5">
        <v>108.8</v>
      </c>
      <c r="F2272" s="5">
        <v>215.8</v>
      </c>
      <c r="G2272" s="5">
        <v>107.2</v>
      </c>
      <c r="H2272" s="5">
        <v>107.1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108.7</v>
      </c>
      <c r="D2273" s="5">
        <v>0.1</v>
      </c>
      <c r="E2273" s="5">
        <v>108.8</v>
      </c>
      <c r="F2273" s="5">
        <v>215.8</v>
      </c>
      <c r="G2273" s="5">
        <v>107.2</v>
      </c>
      <c r="H2273" s="5">
        <v>107.1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108.4</v>
      </c>
      <c r="D2274" s="5">
        <v>0.1</v>
      </c>
      <c r="E2274" s="5">
        <v>108.5</v>
      </c>
      <c r="F2274" s="5">
        <v>215</v>
      </c>
      <c r="G2274" s="5">
        <v>106.9</v>
      </c>
      <c r="H2274" s="5">
        <v>106.7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108.4</v>
      </c>
      <c r="D2275" s="5">
        <v>0.1</v>
      </c>
      <c r="E2275" s="5">
        <v>108.5</v>
      </c>
      <c r="F2275" s="5">
        <v>215</v>
      </c>
      <c r="G2275" s="5">
        <v>106.9</v>
      </c>
      <c r="H2275" s="5">
        <v>106.7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108.8</v>
      </c>
      <c r="D2276" s="5">
        <v>0.1</v>
      </c>
      <c r="E2276" s="5">
        <v>109</v>
      </c>
      <c r="F2276" s="5">
        <v>216.6</v>
      </c>
      <c r="G2276" s="5">
        <v>107.6</v>
      </c>
      <c r="H2276" s="5">
        <v>107.5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108.8</v>
      </c>
      <c r="D2277" s="5">
        <v>0.1</v>
      </c>
      <c r="E2277" s="5">
        <v>109</v>
      </c>
      <c r="F2277" s="5">
        <v>216.6</v>
      </c>
      <c r="G2277" s="5">
        <v>107.6</v>
      </c>
      <c r="H2277" s="5">
        <v>107.5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108.8</v>
      </c>
      <c r="D2278" s="5">
        <v>0.1</v>
      </c>
      <c r="E2278" s="5">
        <v>109</v>
      </c>
      <c r="F2278" s="5">
        <v>215.5</v>
      </c>
      <c r="G2278" s="5">
        <v>107.1</v>
      </c>
      <c r="H2278" s="5">
        <v>107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108.8</v>
      </c>
      <c r="D2279" s="5">
        <v>0.1</v>
      </c>
      <c r="E2279" s="5">
        <v>109</v>
      </c>
      <c r="F2279" s="5">
        <v>215.5</v>
      </c>
      <c r="G2279" s="5">
        <v>107.1</v>
      </c>
      <c r="H2279" s="5">
        <v>107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108.8</v>
      </c>
      <c r="D2280" s="5">
        <v>0.1</v>
      </c>
      <c r="E2280" s="5">
        <v>109</v>
      </c>
      <c r="F2280" s="5">
        <v>215.5</v>
      </c>
      <c r="G2280" s="5">
        <v>107.1</v>
      </c>
      <c r="H2280" s="5">
        <v>107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108.8</v>
      </c>
      <c r="D2281" s="5">
        <v>0.1</v>
      </c>
      <c r="E2281" s="5">
        <v>109</v>
      </c>
      <c r="F2281" s="5">
        <v>215.5</v>
      </c>
      <c r="G2281" s="5">
        <v>105.8</v>
      </c>
      <c r="H2281" s="5">
        <v>105.8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108.3</v>
      </c>
      <c r="D2282" s="5">
        <v>0.1</v>
      </c>
      <c r="E2282" s="5">
        <v>108.5</v>
      </c>
      <c r="F2282" s="5">
        <v>212.6</v>
      </c>
      <c r="G2282" s="5">
        <v>105.8</v>
      </c>
      <c r="H2282" s="5">
        <v>105.8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108.3</v>
      </c>
      <c r="D2283" s="5">
        <v>0.1</v>
      </c>
      <c r="E2283" s="5">
        <v>108.5</v>
      </c>
      <c r="F2283" s="5">
        <v>212.6</v>
      </c>
      <c r="G2283" s="5">
        <v>102.2</v>
      </c>
      <c r="H2283" s="5">
        <v>102.1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107.5</v>
      </c>
      <c r="D2284" s="5">
        <v>0.1</v>
      </c>
      <c r="E2284" s="5">
        <v>107.6</v>
      </c>
      <c r="F2284" s="5">
        <v>205.5</v>
      </c>
      <c r="G2284" s="5">
        <v>102.2</v>
      </c>
      <c r="H2284" s="5">
        <v>102.1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107.5</v>
      </c>
      <c r="D2285" s="5">
        <v>0.1</v>
      </c>
      <c r="E2285" s="5">
        <v>107.6</v>
      </c>
      <c r="F2285" s="5">
        <v>205.5</v>
      </c>
      <c r="G2285" s="5">
        <v>102.2</v>
      </c>
      <c r="H2285" s="5">
        <v>100.8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103.3</v>
      </c>
      <c r="D2286" s="5">
        <v>0.1</v>
      </c>
      <c r="E2286" s="5">
        <v>103.4</v>
      </c>
      <c r="F2286" s="5">
        <v>202.9</v>
      </c>
      <c r="G2286" s="5">
        <v>100.9</v>
      </c>
      <c r="H2286" s="5">
        <v>100.8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103.3</v>
      </c>
      <c r="D2287" s="5">
        <v>0.1</v>
      </c>
      <c r="E2287" s="5">
        <v>103.4</v>
      </c>
      <c r="F2287" s="5">
        <v>202.9</v>
      </c>
      <c r="G2287" s="5">
        <v>100.9</v>
      </c>
      <c r="H2287" s="5">
        <v>100.8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108.2</v>
      </c>
      <c r="D2288" s="5">
        <v>0.1</v>
      </c>
      <c r="E2288" s="5">
        <v>108.4</v>
      </c>
      <c r="F2288" s="5">
        <v>215</v>
      </c>
      <c r="G2288" s="5">
        <v>106.8</v>
      </c>
      <c r="H2288" s="5">
        <v>106.7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108.2</v>
      </c>
      <c r="D2289" s="5">
        <v>0.1</v>
      </c>
      <c r="E2289" s="5">
        <v>108.4</v>
      </c>
      <c r="F2289" s="5">
        <v>215</v>
      </c>
      <c r="G2289" s="5">
        <v>106.8</v>
      </c>
      <c r="H2289" s="5">
        <v>106.7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108.2</v>
      </c>
      <c r="D2290" s="5">
        <v>0.1</v>
      </c>
      <c r="E2290" s="5">
        <v>108.4</v>
      </c>
      <c r="F2290" s="5">
        <v>215</v>
      </c>
      <c r="G2290" s="5">
        <v>106.8</v>
      </c>
      <c r="H2290" s="5">
        <v>106.7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108.6</v>
      </c>
      <c r="D2291" s="5">
        <v>0.1</v>
      </c>
      <c r="E2291" s="5">
        <v>108.8</v>
      </c>
      <c r="F2291" s="5">
        <v>214.6</v>
      </c>
      <c r="G2291" s="5">
        <v>106.7</v>
      </c>
      <c r="H2291" s="5">
        <v>106.5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108.6</v>
      </c>
      <c r="D2292" s="5">
        <v>0.1</v>
      </c>
      <c r="E2292" s="5">
        <v>108.8</v>
      </c>
      <c r="F2292" s="5">
        <v>214.6</v>
      </c>
      <c r="G2292" s="5">
        <v>106.7</v>
      </c>
      <c r="H2292" s="5">
        <v>106.5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107.9</v>
      </c>
      <c r="D2293" s="5">
        <v>0.1</v>
      </c>
      <c r="E2293" s="5">
        <v>108.1</v>
      </c>
      <c r="F2293" s="5">
        <v>214.6</v>
      </c>
      <c r="G2293" s="5">
        <v>106.6</v>
      </c>
      <c r="H2293" s="5">
        <v>106.5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107.9</v>
      </c>
      <c r="D2294" s="5">
        <v>0.1</v>
      </c>
      <c r="E2294" s="5">
        <v>108.1</v>
      </c>
      <c r="F2294" s="5">
        <v>214.6</v>
      </c>
      <c r="G2294" s="5">
        <v>106.6</v>
      </c>
      <c r="H2294" s="5">
        <v>106.5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108</v>
      </c>
      <c r="D2295" s="5">
        <v>0.1</v>
      </c>
      <c r="E2295" s="5">
        <v>108.1</v>
      </c>
      <c r="F2295" s="5">
        <v>214.6</v>
      </c>
      <c r="G2295" s="5">
        <v>106.7</v>
      </c>
      <c r="H2295" s="5">
        <v>106.5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108</v>
      </c>
      <c r="D2296" s="5">
        <v>0.1</v>
      </c>
      <c r="E2296" s="5">
        <v>108.1</v>
      </c>
      <c r="F2296" s="5">
        <v>214.6</v>
      </c>
      <c r="G2296" s="5">
        <v>106.7</v>
      </c>
      <c r="H2296" s="5">
        <v>106.5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108.1</v>
      </c>
      <c r="D2297" s="5">
        <v>0.1</v>
      </c>
      <c r="E2297" s="5">
        <v>108.2</v>
      </c>
      <c r="F2297" s="5">
        <v>215</v>
      </c>
      <c r="G2297" s="5">
        <v>106.8</v>
      </c>
      <c r="H2297" s="5">
        <v>106.6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108.1</v>
      </c>
      <c r="D2298" s="5">
        <v>0.1</v>
      </c>
      <c r="E2298" s="5">
        <v>108.2</v>
      </c>
      <c r="F2298" s="5">
        <v>215</v>
      </c>
      <c r="G2298" s="5">
        <v>106.8</v>
      </c>
      <c r="H2298" s="5">
        <v>106.6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108.1</v>
      </c>
      <c r="D2299" s="5">
        <v>0.1</v>
      </c>
      <c r="E2299" s="5">
        <v>108.2</v>
      </c>
      <c r="F2299" s="5">
        <v>215</v>
      </c>
      <c r="G2299" s="5">
        <v>106.8</v>
      </c>
      <c r="H2299" s="5">
        <v>106.6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108.1</v>
      </c>
      <c r="D2300" s="5">
        <v>0.1</v>
      </c>
      <c r="E2300" s="5">
        <v>108.2</v>
      </c>
      <c r="F2300" s="5">
        <v>215</v>
      </c>
      <c r="G2300" s="5">
        <v>106.8</v>
      </c>
      <c r="H2300" s="5">
        <v>106.6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107.2</v>
      </c>
      <c r="D2301" s="5">
        <v>0.1</v>
      </c>
      <c r="E2301" s="5">
        <v>107.3</v>
      </c>
      <c r="F2301" s="5">
        <v>214.6</v>
      </c>
      <c r="G2301" s="5">
        <v>106.6</v>
      </c>
      <c r="H2301" s="5">
        <v>106.6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107.2</v>
      </c>
      <c r="D2302" s="5">
        <v>0.1</v>
      </c>
      <c r="E2302" s="5">
        <v>107.3</v>
      </c>
      <c r="F2302" s="5">
        <v>214.6</v>
      </c>
      <c r="G2302" s="5">
        <v>106.6</v>
      </c>
      <c r="H2302" s="5">
        <v>106.5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106.8</v>
      </c>
      <c r="D2303" s="5">
        <v>0.1</v>
      </c>
      <c r="E2303" s="5">
        <v>106.9</v>
      </c>
      <c r="F2303" s="5">
        <v>214.6</v>
      </c>
      <c r="G2303" s="5">
        <v>106.6</v>
      </c>
      <c r="H2303" s="5">
        <v>106.5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106.8</v>
      </c>
      <c r="D2304" s="5">
        <v>0.1</v>
      </c>
      <c r="E2304" s="5">
        <v>106.9</v>
      </c>
      <c r="F2304" s="5">
        <v>211.3</v>
      </c>
      <c r="G2304" s="5">
        <v>105</v>
      </c>
      <c r="H2304" s="5">
        <v>104.9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106.7</v>
      </c>
      <c r="D2305" s="5">
        <v>0.1</v>
      </c>
      <c r="E2305" s="5">
        <v>106.9</v>
      </c>
      <c r="F2305" s="5">
        <v>211.3</v>
      </c>
      <c r="G2305" s="5">
        <v>105</v>
      </c>
      <c r="H2305" s="5">
        <v>104.9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106.7</v>
      </c>
      <c r="D2306" s="5">
        <v>0.1</v>
      </c>
      <c r="E2306" s="5">
        <v>106.9</v>
      </c>
      <c r="F2306" s="5">
        <v>212.4</v>
      </c>
      <c r="G2306" s="5">
        <v>105.5</v>
      </c>
      <c r="H2306" s="5">
        <v>105.4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107.1</v>
      </c>
      <c r="D2307" s="5">
        <v>0.1</v>
      </c>
      <c r="E2307" s="5">
        <v>106.9</v>
      </c>
      <c r="F2307" s="5">
        <v>212.4</v>
      </c>
      <c r="G2307" s="5">
        <v>105.5</v>
      </c>
      <c r="H2307" s="5">
        <v>105.4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107.1</v>
      </c>
      <c r="D2308" s="5">
        <v>0.1</v>
      </c>
      <c r="E2308" s="5">
        <v>107.2</v>
      </c>
      <c r="F2308" s="5">
        <v>213.4</v>
      </c>
      <c r="G2308" s="5">
        <v>105.8</v>
      </c>
      <c r="H2308" s="5">
        <v>105.4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107.1</v>
      </c>
      <c r="D2309" s="5">
        <v>0.1</v>
      </c>
      <c r="E2309" s="5">
        <v>107.2</v>
      </c>
      <c r="F2309" s="5">
        <v>213.4</v>
      </c>
      <c r="G2309" s="5">
        <v>105.8</v>
      </c>
      <c r="H2309" s="5">
        <v>105.4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107.1</v>
      </c>
      <c r="D2310" s="5">
        <v>0.1</v>
      </c>
      <c r="E2310" s="5">
        <v>107.2</v>
      </c>
      <c r="F2310" s="5">
        <v>213.4</v>
      </c>
      <c r="G2310" s="5">
        <v>105.8</v>
      </c>
      <c r="H2310" s="5">
        <v>105.4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107.1</v>
      </c>
      <c r="D2311" s="5">
        <v>0.1</v>
      </c>
      <c r="E2311" s="5">
        <v>107.2</v>
      </c>
      <c r="F2311" s="5">
        <v>213.4</v>
      </c>
      <c r="G2311" s="5">
        <v>105.8</v>
      </c>
      <c r="H2311" s="5">
        <v>105.6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106.8</v>
      </c>
      <c r="D2312" s="5">
        <v>0.1</v>
      </c>
      <c r="E2312" s="5">
        <v>106.9</v>
      </c>
      <c r="F2312" s="5">
        <v>212.9</v>
      </c>
      <c r="G2312" s="5">
        <v>105.8</v>
      </c>
      <c r="H2312" s="5">
        <v>105.6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106.8</v>
      </c>
      <c r="D2313" s="5">
        <v>0.1</v>
      </c>
      <c r="E2313" s="5">
        <v>106.9</v>
      </c>
      <c r="F2313" s="5">
        <v>212.9</v>
      </c>
      <c r="G2313" s="5">
        <v>105.8</v>
      </c>
      <c r="H2313" s="5">
        <v>105.6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106.8</v>
      </c>
      <c r="D2314" s="5">
        <v>0.1</v>
      </c>
      <c r="E2314" s="5">
        <v>106.9</v>
      </c>
      <c r="F2314" s="5">
        <v>213</v>
      </c>
      <c r="G2314" s="5">
        <v>105.9</v>
      </c>
      <c r="H2314" s="5">
        <v>105.7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106.8</v>
      </c>
      <c r="D2315" s="5">
        <v>0.1</v>
      </c>
      <c r="E2315" s="5">
        <v>106.9</v>
      </c>
      <c r="F2315" s="5">
        <v>213</v>
      </c>
      <c r="G2315" s="5">
        <v>105.9</v>
      </c>
      <c r="H2315" s="5">
        <v>105.7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106.9</v>
      </c>
      <c r="D2316" s="5">
        <v>0.1</v>
      </c>
      <c r="E2316" s="5">
        <v>107.1</v>
      </c>
      <c r="F2316" s="5">
        <v>213.7</v>
      </c>
      <c r="G2316" s="5">
        <v>106.1</v>
      </c>
      <c r="H2316" s="5">
        <v>105.9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106.9</v>
      </c>
      <c r="D2317" s="5">
        <v>0.1</v>
      </c>
      <c r="E2317" s="5">
        <v>107.1</v>
      </c>
      <c r="F2317" s="5">
        <v>213.7</v>
      </c>
      <c r="G2317" s="5">
        <v>106.1</v>
      </c>
      <c r="H2317" s="5">
        <v>105.9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107.4</v>
      </c>
      <c r="D2318" s="5">
        <v>0.1</v>
      </c>
      <c r="E2318" s="5">
        <v>107.5</v>
      </c>
      <c r="F2318" s="5">
        <v>212.9</v>
      </c>
      <c r="G2318" s="5">
        <v>105.9</v>
      </c>
      <c r="H2318" s="5">
        <v>105.8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107.4</v>
      </c>
      <c r="D2319" s="5">
        <v>0.1</v>
      </c>
      <c r="E2319" s="5">
        <v>107.5</v>
      </c>
      <c r="F2319" s="5">
        <v>212.9</v>
      </c>
      <c r="G2319" s="5">
        <v>105.9</v>
      </c>
      <c r="H2319" s="5">
        <v>105.8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107.4</v>
      </c>
      <c r="D2320" s="5">
        <v>0.1</v>
      </c>
      <c r="E2320" s="5">
        <v>107.5</v>
      </c>
      <c r="F2320" s="5">
        <v>212.9</v>
      </c>
      <c r="G2320" s="5">
        <v>105.9</v>
      </c>
      <c r="H2320" s="5">
        <v>105.8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108.1</v>
      </c>
      <c r="D2321" s="5">
        <v>0.1</v>
      </c>
      <c r="E2321" s="5">
        <v>108.2</v>
      </c>
      <c r="F2321" s="5">
        <v>214.4</v>
      </c>
      <c r="G2321" s="5">
        <v>106.5</v>
      </c>
      <c r="H2321" s="5">
        <v>106.3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108.1</v>
      </c>
      <c r="D2322" s="5">
        <v>0.1</v>
      </c>
      <c r="E2322" s="5">
        <v>108.2</v>
      </c>
      <c r="F2322" s="5">
        <v>214.4</v>
      </c>
      <c r="G2322" s="5">
        <v>106.5</v>
      </c>
      <c r="H2322" s="5">
        <v>106.3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107.7</v>
      </c>
      <c r="D2323" s="5">
        <v>0.1</v>
      </c>
      <c r="E2323" s="5">
        <v>107.8</v>
      </c>
      <c r="F2323" s="5">
        <v>213.2</v>
      </c>
      <c r="G2323" s="5">
        <v>106</v>
      </c>
      <c r="H2323" s="5">
        <v>105.9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107.7</v>
      </c>
      <c r="D2324" s="5">
        <v>0.1</v>
      </c>
      <c r="E2324" s="5">
        <v>107.8</v>
      </c>
      <c r="F2324" s="5">
        <v>213.2</v>
      </c>
      <c r="G2324" s="5">
        <v>106</v>
      </c>
      <c r="H2324" s="5">
        <v>105.9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107</v>
      </c>
      <c r="D2325" s="5">
        <v>0.1</v>
      </c>
      <c r="E2325" s="5">
        <v>107.2</v>
      </c>
      <c r="F2325" s="5">
        <v>212.6</v>
      </c>
      <c r="G2325" s="5">
        <v>105.7</v>
      </c>
      <c r="H2325" s="5">
        <v>105.5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107</v>
      </c>
      <c r="D2326" s="5">
        <v>0.1</v>
      </c>
      <c r="E2326" s="5">
        <v>107.2</v>
      </c>
      <c r="F2326" s="5">
        <v>212.6</v>
      </c>
      <c r="G2326" s="5">
        <v>105.7</v>
      </c>
      <c r="H2326" s="5">
        <v>105.5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107</v>
      </c>
      <c r="D2327" s="5">
        <v>0.1</v>
      </c>
      <c r="E2327" s="5">
        <v>106.9</v>
      </c>
      <c r="F2327" s="5">
        <v>212.8</v>
      </c>
      <c r="G2327" s="5">
        <v>105.3</v>
      </c>
      <c r="H2327" s="5">
        <v>105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106.8</v>
      </c>
      <c r="D2328" s="5">
        <v>0.1</v>
      </c>
      <c r="E2328" s="5">
        <v>106.9</v>
      </c>
      <c r="F2328" s="5">
        <v>212.8</v>
      </c>
      <c r="G2328" s="5">
        <v>105.3</v>
      </c>
      <c r="H2328" s="5">
        <v>105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106.8</v>
      </c>
      <c r="D2329" s="5">
        <v>0.1</v>
      </c>
      <c r="E2329" s="5">
        <v>106.9</v>
      </c>
      <c r="F2329" s="5">
        <v>212.8</v>
      </c>
      <c r="G2329" s="5">
        <v>105.3</v>
      </c>
      <c r="H2329" s="5">
        <v>105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106.8</v>
      </c>
      <c r="D2330" s="5">
        <v>0.1</v>
      </c>
      <c r="E2330" s="5">
        <v>106.9</v>
      </c>
      <c r="F2330" s="5">
        <v>212.8</v>
      </c>
      <c r="G2330" s="5">
        <v>105.3</v>
      </c>
      <c r="H2330" s="5">
        <v>105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107.5</v>
      </c>
      <c r="D2331" s="5">
        <v>0.1</v>
      </c>
      <c r="E2331" s="5">
        <v>107.6</v>
      </c>
      <c r="F2331" s="5">
        <v>213.1</v>
      </c>
      <c r="G2331" s="5">
        <v>105.9</v>
      </c>
      <c r="H2331" s="5">
        <v>105.7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107.5</v>
      </c>
      <c r="D2332" s="5">
        <v>0.1</v>
      </c>
      <c r="E2332" s="5">
        <v>107.6</v>
      </c>
      <c r="F2332" s="5">
        <v>213.1</v>
      </c>
      <c r="G2332" s="5">
        <v>105.9</v>
      </c>
      <c r="H2332" s="5">
        <v>105.7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106.9</v>
      </c>
      <c r="D2333" s="5">
        <v>0.1</v>
      </c>
      <c r="E2333" s="5">
        <v>107</v>
      </c>
      <c r="F2333" s="5">
        <v>213.3</v>
      </c>
      <c r="G2333" s="5">
        <v>105.8</v>
      </c>
      <c r="H2333" s="5">
        <v>105.6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106.9</v>
      </c>
      <c r="D2334" s="5">
        <v>0.1</v>
      </c>
      <c r="E2334" s="5">
        <v>107</v>
      </c>
      <c r="F2334" s="5">
        <v>213.3</v>
      </c>
      <c r="G2334" s="5">
        <v>105.8</v>
      </c>
      <c r="H2334" s="5">
        <v>105.6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107.8</v>
      </c>
      <c r="D2335" s="5">
        <v>0.1</v>
      </c>
      <c r="E2335" s="5">
        <v>108</v>
      </c>
      <c r="F2335" s="5">
        <v>214.2</v>
      </c>
      <c r="G2335" s="5">
        <v>106.4</v>
      </c>
      <c r="H2335" s="5">
        <v>106.3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107.8</v>
      </c>
      <c r="D2336" s="5">
        <v>0.1</v>
      </c>
      <c r="E2336" s="5">
        <v>108</v>
      </c>
      <c r="F2336" s="5">
        <v>214.2</v>
      </c>
      <c r="G2336" s="5">
        <v>106.4</v>
      </c>
      <c r="H2336" s="5">
        <v>106.3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107.8</v>
      </c>
      <c r="D2337" s="5">
        <v>0.1</v>
      </c>
      <c r="E2337" s="5">
        <v>107.9</v>
      </c>
      <c r="F2337" s="5">
        <v>214.5</v>
      </c>
      <c r="G2337" s="5">
        <v>106.6</v>
      </c>
      <c r="H2337" s="5">
        <v>106.5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107.8</v>
      </c>
      <c r="D2338" s="5">
        <v>0.1</v>
      </c>
      <c r="E2338" s="5">
        <v>107.9</v>
      </c>
      <c r="F2338" s="5">
        <v>214.5</v>
      </c>
      <c r="G2338" s="5">
        <v>106.6</v>
      </c>
      <c r="H2338" s="5">
        <v>106.5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107.8</v>
      </c>
      <c r="D2339" s="5">
        <v>0.1</v>
      </c>
      <c r="E2339" s="5">
        <v>107.9</v>
      </c>
      <c r="F2339" s="5">
        <v>214.5</v>
      </c>
      <c r="G2339" s="5">
        <v>106.6</v>
      </c>
      <c r="H2339" s="5">
        <v>106.5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107.8</v>
      </c>
      <c r="D2340" s="5">
        <v>0.1</v>
      </c>
      <c r="E2340" s="5">
        <v>107.9</v>
      </c>
      <c r="F2340" s="5">
        <v>214.5</v>
      </c>
      <c r="G2340" s="5">
        <v>106.6</v>
      </c>
      <c r="H2340" s="5">
        <v>106.5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107.2</v>
      </c>
      <c r="D2341" s="5">
        <v>0.1</v>
      </c>
      <c r="E2341" s="5">
        <v>107.3</v>
      </c>
      <c r="F2341" s="5">
        <v>213.2</v>
      </c>
      <c r="G2341" s="5">
        <v>105.9</v>
      </c>
      <c r="H2341" s="5">
        <v>105.8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107.2</v>
      </c>
      <c r="D2342" s="5">
        <v>0.1</v>
      </c>
      <c r="E2342" s="5">
        <v>107.3</v>
      </c>
      <c r="F2342" s="5">
        <v>213.2</v>
      </c>
      <c r="G2342" s="5">
        <v>105.9</v>
      </c>
      <c r="H2342" s="5">
        <v>105.8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107</v>
      </c>
      <c r="D2343" s="5">
        <v>0.1</v>
      </c>
      <c r="E2343" s="5">
        <v>107.2</v>
      </c>
      <c r="F2343" s="5">
        <v>213.3</v>
      </c>
      <c r="G2343" s="5">
        <v>106</v>
      </c>
      <c r="H2343" s="5">
        <v>105.8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107</v>
      </c>
      <c r="D2344" s="5">
        <v>0.1</v>
      </c>
      <c r="E2344" s="5">
        <v>107.2</v>
      </c>
      <c r="F2344" s="5">
        <v>213.3</v>
      </c>
      <c r="G2344" s="5">
        <v>106</v>
      </c>
      <c r="H2344" s="5">
        <v>105.8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107.5</v>
      </c>
      <c r="D2345" s="5">
        <v>0.1</v>
      </c>
      <c r="E2345" s="5">
        <v>107.7</v>
      </c>
      <c r="F2345" s="5">
        <v>214.1</v>
      </c>
      <c r="G2345" s="5">
        <v>106.3</v>
      </c>
      <c r="H2345" s="5">
        <v>106.2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107.5</v>
      </c>
      <c r="D2346" s="5">
        <v>0.1</v>
      </c>
      <c r="E2346" s="5">
        <v>107.7</v>
      </c>
      <c r="F2346" s="5">
        <v>214.1</v>
      </c>
      <c r="G2346" s="5">
        <v>106.3</v>
      </c>
      <c r="H2346" s="5">
        <v>106.2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107.3</v>
      </c>
      <c r="D2347" s="5">
        <v>0.1</v>
      </c>
      <c r="E2347" s="5">
        <v>107.5</v>
      </c>
      <c r="F2347" s="5">
        <v>214.1</v>
      </c>
      <c r="G2347" s="5">
        <v>106.4</v>
      </c>
      <c r="H2347" s="5">
        <v>106.2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107.3</v>
      </c>
      <c r="D2348" s="5">
        <v>0.1</v>
      </c>
      <c r="E2348" s="5">
        <v>107.5</v>
      </c>
      <c r="F2348" s="5">
        <v>214.1</v>
      </c>
      <c r="G2348" s="5">
        <v>106.4</v>
      </c>
      <c r="H2348" s="5">
        <v>106.2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107.3</v>
      </c>
      <c r="D2349" s="5">
        <v>0.1</v>
      </c>
      <c r="E2349" s="5">
        <v>107.5</v>
      </c>
      <c r="F2349" s="5">
        <v>214.1</v>
      </c>
      <c r="G2349" s="5">
        <v>106.4</v>
      </c>
      <c r="H2349" s="5">
        <v>106.2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107.3</v>
      </c>
      <c r="D2350" s="5">
        <v>0.1</v>
      </c>
      <c r="E2350" s="5">
        <v>107.5</v>
      </c>
      <c r="F2350" s="5">
        <v>214.1</v>
      </c>
      <c r="G2350" s="5">
        <v>106.4</v>
      </c>
      <c r="H2350" s="5">
        <v>106.2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107.7</v>
      </c>
      <c r="D2351" s="5">
        <v>0.1</v>
      </c>
      <c r="E2351" s="5">
        <v>107.8</v>
      </c>
      <c r="F2351" s="5">
        <v>213.6</v>
      </c>
      <c r="G2351" s="5">
        <v>106.1</v>
      </c>
      <c r="H2351" s="5">
        <v>105.9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107.7</v>
      </c>
      <c r="D2352" s="5">
        <v>0.1</v>
      </c>
      <c r="E2352" s="5">
        <v>107.8</v>
      </c>
      <c r="F2352" s="5">
        <v>213.6</v>
      </c>
      <c r="G2352" s="5">
        <v>106.1</v>
      </c>
      <c r="H2352" s="5">
        <v>105.9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105.5</v>
      </c>
      <c r="D2353" s="5">
        <v>0.1</v>
      </c>
      <c r="E2353" s="5">
        <v>105.6</v>
      </c>
      <c r="F2353" s="5">
        <v>208.9</v>
      </c>
      <c r="G2353" s="5">
        <v>103.8</v>
      </c>
      <c r="H2353" s="5">
        <v>103.6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105.5</v>
      </c>
      <c r="D2354" s="5">
        <v>0.1</v>
      </c>
      <c r="E2354" s="5">
        <v>105.6</v>
      </c>
      <c r="F2354" s="5">
        <v>208.9</v>
      </c>
      <c r="G2354" s="5">
        <v>103.8</v>
      </c>
      <c r="H2354" s="5">
        <v>103.6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104.2</v>
      </c>
      <c r="D2355" s="5">
        <v>0.1</v>
      </c>
      <c r="E2355" s="5">
        <v>104.3</v>
      </c>
      <c r="F2355" s="5">
        <v>208.4</v>
      </c>
      <c r="G2355" s="5">
        <v>103.5</v>
      </c>
      <c r="H2355" s="5">
        <v>103.3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104.2</v>
      </c>
      <c r="D2356" s="5">
        <v>0.1</v>
      </c>
      <c r="E2356" s="5">
        <v>104.3</v>
      </c>
      <c r="F2356" s="5">
        <v>208.4</v>
      </c>
      <c r="G2356" s="5">
        <v>103.5</v>
      </c>
      <c r="H2356" s="5">
        <v>103.3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103.7</v>
      </c>
      <c r="D2357" s="5">
        <v>0.1</v>
      </c>
      <c r="E2357" s="5">
        <v>103.8</v>
      </c>
      <c r="F2357" s="5">
        <v>205.7</v>
      </c>
      <c r="G2357" s="5">
        <v>102.2</v>
      </c>
      <c r="H2357" s="5">
        <v>102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103.7</v>
      </c>
      <c r="D2358" s="5">
        <v>0.1</v>
      </c>
      <c r="E2358" s="5">
        <v>103.8</v>
      </c>
      <c r="F2358" s="5">
        <v>205.7</v>
      </c>
      <c r="G2358" s="5">
        <v>102.2</v>
      </c>
      <c r="H2358" s="5">
        <v>102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103.7</v>
      </c>
      <c r="D2359" s="5">
        <v>0.1</v>
      </c>
      <c r="E2359" s="5">
        <v>103.8</v>
      </c>
      <c r="F2359" s="5">
        <v>205.7</v>
      </c>
      <c r="G2359" s="5">
        <v>102.2</v>
      </c>
      <c r="H2359" s="5">
        <v>102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103.7</v>
      </c>
      <c r="D2360" s="5">
        <v>0.1</v>
      </c>
      <c r="E2360" s="5">
        <v>103.8</v>
      </c>
      <c r="F2360" s="5">
        <v>205.7</v>
      </c>
      <c r="G2360" s="5">
        <v>102.2</v>
      </c>
      <c r="H2360" s="5">
        <v>102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102.4</v>
      </c>
      <c r="D2361" s="5">
        <v>0.1</v>
      </c>
      <c r="E2361" s="5">
        <v>102.5</v>
      </c>
      <c r="F2361" s="5">
        <v>203.7</v>
      </c>
      <c r="G2361" s="5">
        <v>101.2</v>
      </c>
      <c r="H2361" s="5">
        <v>101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102.4</v>
      </c>
      <c r="D2362" s="5">
        <v>0.1</v>
      </c>
      <c r="E2362" s="5">
        <v>102.5</v>
      </c>
      <c r="F2362" s="5">
        <v>203.7</v>
      </c>
      <c r="G2362" s="5">
        <v>101.2</v>
      </c>
      <c r="H2362" s="5">
        <v>101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103.4</v>
      </c>
      <c r="D2363" s="5">
        <v>0.1</v>
      </c>
      <c r="E2363" s="5">
        <v>103.6</v>
      </c>
      <c r="F2363" s="5">
        <v>205.6</v>
      </c>
      <c r="G2363" s="5">
        <v>102.2</v>
      </c>
      <c r="H2363" s="5">
        <v>102.1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103.4</v>
      </c>
      <c r="D2364" s="5">
        <v>0.1</v>
      </c>
      <c r="E2364" s="5">
        <v>103.6</v>
      </c>
      <c r="F2364" s="5">
        <v>205.6</v>
      </c>
      <c r="G2364" s="5">
        <v>102.2</v>
      </c>
      <c r="H2364" s="5">
        <v>102.1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106.9</v>
      </c>
      <c r="D2365" s="5">
        <v>0.1</v>
      </c>
      <c r="E2365" s="5">
        <v>107.1</v>
      </c>
      <c r="F2365" s="5">
        <v>212.6</v>
      </c>
      <c r="G2365" s="5">
        <v>105.6</v>
      </c>
      <c r="H2365" s="5">
        <v>105.4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106.9</v>
      </c>
      <c r="D2366" s="5">
        <v>0.1</v>
      </c>
      <c r="E2366" s="5">
        <v>107.1</v>
      </c>
      <c r="F2366" s="5">
        <v>212.6</v>
      </c>
      <c r="G2366" s="5">
        <v>105.6</v>
      </c>
      <c r="H2366" s="5">
        <v>105.4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107.2</v>
      </c>
      <c r="D2367" s="5">
        <v>0.1</v>
      </c>
      <c r="E2367" s="5">
        <v>107.4</v>
      </c>
      <c r="F2367" s="5">
        <v>213.3</v>
      </c>
      <c r="G2367" s="5">
        <v>106</v>
      </c>
      <c r="H2367" s="5">
        <v>105.8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107.2</v>
      </c>
      <c r="D2368" s="5">
        <v>0.1</v>
      </c>
      <c r="E2368" s="5">
        <v>107.4</v>
      </c>
      <c r="F2368" s="5">
        <v>213.3</v>
      </c>
      <c r="G2368" s="5">
        <v>106</v>
      </c>
      <c r="H2368" s="5">
        <v>105.8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107.2</v>
      </c>
      <c r="D2369" s="5">
        <v>0.1</v>
      </c>
      <c r="E2369" s="5">
        <v>107.4</v>
      </c>
      <c r="F2369" s="5">
        <v>213.3</v>
      </c>
      <c r="G2369" s="5">
        <v>106</v>
      </c>
      <c r="H2369" s="5">
        <v>105.8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107.2</v>
      </c>
      <c r="D2370" s="5">
        <v>0.1</v>
      </c>
      <c r="E2370" s="5">
        <v>107.4</v>
      </c>
      <c r="F2370" s="5">
        <v>213.3</v>
      </c>
      <c r="G2370" s="5">
        <v>106</v>
      </c>
      <c r="H2370" s="5">
        <v>105.8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107.3</v>
      </c>
      <c r="D2371" s="5">
        <v>0.1</v>
      </c>
      <c r="E2371" s="5">
        <v>107.5</v>
      </c>
      <c r="F2371" s="5">
        <v>214.1</v>
      </c>
      <c r="G2371" s="5">
        <v>106.4</v>
      </c>
      <c r="H2371" s="5">
        <v>106.2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107.3</v>
      </c>
      <c r="D2372" s="5">
        <v>0.1</v>
      </c>
      <c r="E2372" s="5">
        <v>107.5</v>
      </c>
      <c r="F2372" s="5">
        <v>214.1</v>
      </c>
      <c r="G2372" s="5">
        <v>106.4</v>
      </c>
      <c r="H2372" s="5">
        <v>106.2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107.7</v>
      </c>
      <c r="D2373" s="5">
        <v>0.1</v>
      </c>
      <c r="E2373" s="5">
        <v>107.8</v>
      </c>
      <c r="F2373" s="5">
        <v>212.3</v>
      </c>
      <c r="G2373" s="5">
        <v>105.5</v>
      </c>
      <c r="H2373" s="5">
        <v>105.4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107.7</v>
      </c>
      <c r="D2374" s="5">
        <v>0.1</v>
      </c>
      <c r="E2374" s="5">
        <v>107.8</v>
      </c>
      <c r="F2374" s="5">
        <v>212.3</v>
      </c>
      <c r="G2374" s="5">
        <v>105.5</v>
      </c>
      <c r="H2374" s="5">
        <v>105.4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107.4</v>
      </c>
      <c r="D2375" s="5">
        <v>0.1</v>
      </c>
      <c r="E2375" s="5">
        <v>107.5</v>
      </c>
      <c r="F2375" s="5">
        <v>213.1</v>
      </c>
      <c r="G2375" s="5">
        <v>105.9</v>
      </c>
      <c r="H2375" s="5">
        <v>105.8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107.4</v>
      </c>
      <c r="D2376" s="5">
        <v>0.1</v>
      </c>
      <c r="E2376" s="5">
        <v>107.5</v>
      </c>
      <c r="F2376" s="5">
        <v>213.1</v>
      </c>
      <c r="G2376" s="5">
        <v>105.9</v>
      </c>
      <c r="H2376" s="5">
        <v>105.8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107.3</v>
      </c>
      <c r="D2377" s="5">
        <v>0.1</v>
      </c>
      <c r="E2377" s="5">
        <v>107.5</v>
      </c>
      <c r="F2377" s="5">
        <v>212.7</v>
      </c>
      <c r="G2377" s="5">
        <v>105.7</v>
      </c>
      <c r="H2377" s="5">
        <v>105.6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107.3</v>
      </c>
      <c r="D2378" s="5">
        <v>0.1</v>
      </c>
      <c r="E2378" s="5">
        <v>107.5</v>
      </c>
      <c r="F2378" s="5">
        <v>212.7</v>
      </c>
      <c r="G2378" s="5">
        <v>105.7</v>
      </c>
      <c r="H2378" s="5">
        <v>105.6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107.3</v>
      </c>
      <c r="D2379" s="5">
        <v>0.1</v>
      </c>
      <c r="E2379" s="5">
        <v>107.5</v>
      </c>
      <c r="F2379" s="5">
        <v>212.7</v>
      </c>
      <c r="G2379" s="5">
        <v>105.7</v>
      </c>
      <c r="H2379" s="5">
        <v>105.6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107.3</v>
      </c>
      <c r="D2380" s="5">
        <v>0.1</v>
      </c>
      <c r="E2380" s="5">
        <v>107.5</v>
      </c>
      <c r="F2380" s="5">
        <v>212.7</v>
      </c>
      <c r="G2380" s="5">
        <v>105.7</v>
      </c>
      <c r="H2380" s="5">
        <v>105.6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105.1</v>
      </c>
      <c r="D2381" s="5">
        <v>0.1</v>
      </c>
      <c r="E2381" s="5">
        <v>105.3</v>
      </c>
      <c r="F2381" s="5">
        <v>208.3</v>
      </c>
      <c r="G2381" s="5">
        <v>103.5</v>
      </c>
      <c r="H2381" s="5">
        <v>103.4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105.1</v>
      </c>
      <c r="D2382" s="5">
        <v>0.1</v>
      </c>
      <c r="E2382" s="5">
        <v>105.3</v>
      </c>
      <c r="F2382" s="5">
        <v>208.3</v>
      </c>
      <c r="G2382" s="5">
        <v>103.5</v>
      </c>
      <c r="H2382" s="5">
        <v>103.4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103.2</v>
      </c>
      <c r="D2383" s="5">
        <v>0.1</v>
      </c>
      <c r="E2383" s="5">
        <v>103.4</v>
      </c>
      <c r="F2383" s="5">
        <v>205.1</v>
      </c>
      <c r="G2383" s="5">
        <v>101.9</v>
      </c>
      <c r="H2383" s="5">
        <v>101.7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103.2</v>
      </c>
      <c r="D2384" s="5">
        <v>0.1</v>
      </c>
      <c r="E2384" s="5">
        <v>103.4</v>
      </c>
      <c r="F2384" s="5">
        <v>205.1</v>
      </c>
      <c r="G2384" s="5">
        <v>101.9</v>
      </c>
      <c r="H2384" s="5">
        <v>101.7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104</v>
      </c>
      <c r="D2385" s="5">
        <v>0.1</v>
      </c>
      <c r="E2385" s="5">
        <v>104.2</v>
      </c>
      <c r="F2385" s="5">
        <v>206</v>
      </c>
      <c r="G2385" s="5">
        <v>102.3</v>
      </c>
      <c r="H2385" s="5">
        <v>101.9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104</v>
      </c>
      <c r="D2386" s="5">
        <v>0.1</v>
      </c>
      <c r="E2386" s="5">
        <v>104.2</v>
      </c>
      <c r="F2386" s="5">
        <v>206</v>
      </c>
      <c r="G2386" s="5">
        <v>102.3</v>
      </c>
      <c r="H2386" s="5">
        <v>101.9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103</v>
      </c>
      <c r="D2387" s="5">
        <v>0.1</v>
      </c>
      <c r="E2387" s="5">
        <v>103.1</v>
      </c>
      <c r="F2387" s="5">
        <v>204.8</v>
      </c>
      <c r="G2387" s="5">
        <v>101.8</v>
      </c>
      <c r="H2387" s="5">
        <v>101.8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103</v>
      </c>
      <c r="D2388" s="5">
        <v>0.1</v>
      </c>
      <c r="E2388" s="5">
        <v>103.1</v>
      </c>
      <c r="F2388" s="5">
        <v>204.8</v>
      </c>
      <c r="G2388" s="5">
        <v>101.8</v>
      </c>
      <c r="H2388" s="5">
        <v>101.8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103</v>
      </c>
      <c r="D2389" s="5">
        <v>0.1</v>
      </c>
      <c r="E2389" s="5">
        <v>103.1</v>
      </c>
      <c r="F2389" s="5">
        <v>204.8</v>
      </c>
      <c r="G2389" s="5">
        <v>101.8</v>
      </c>
      <c r="H2389" s="5">
        <v>101.8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103</v>
      </c>
      <c r="D2390" s="5">
        <v>0.1</v>
      </c>
      <c r="E2390" s="5">
        <v>103.1</v>
      </c>
      <c r="F2390" s="5">
        <v>204.8</v>
      </c>
      <c r="G2390" s="5">
        <v>101.8</v>
      </c>
      <c r="H2390" s="5">
        <v>101.8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102.5</v>
      </c>
      <c r="D2391" s="5">
        <v>0.1</v>
      </c>
      <c r="E2391" s="5">
        <v>102.7</v>
      </c>
      <c r="F2391" s="5">
        <v>203.3</v>
      </c>
      <c r="G2391" s="5">
        <v>101</v>
      </c>
      <c r="H2391" s="5">
        <v>100.9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102.5</v>
      </c>
      <c r="D2392" s="5">
        <v>0.1</v>
      </c>
      <c r="E2392" s="5">
        <v>102.7</v>
      </c>
      <c r="F2392" s="5">
        <v>203.3</v>
      </c>
      <c r="G2392" s="5">
        <v>101</v>
      </c>
      <c r="H2392" s="5">
        <v>100.9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103.4</v>
      </c>
      <c r="D2393" s="5">
        <v>0.1</v>
      </c>
      <c r="E2393" s="5">
        <v>103.5</v>
      </c>
      <c r="F2393" s="5">
        <v>205.1</v>
      </c>
      <c r="G2393" s="5">
        <v>101.9</v>
      </c>
      <c r="H2393" s="5">
        <v>101.8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103.4</v>
      </c>
      <c r="D2394" s="5">
        <v>0.1</v>
      </c>
      <c r="E2394" s="5">
        <v>103.5</v>
      </c>
      <c r="F2394" s="5">
        <v>205.1</v>
      </c>
      <c r="G2394" s="5">
        <v>101.9</v>
      </c>
      <c r="H2394" s="5">
        <v>101.8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106</v>
      </c>
      <c r="D2395" s="5">
        <v>0.1</v>
      </c>
      <c r="E2395" s="5">
        <v>106.2</v>
      </c>
      <c r="F2395" s="5">
        <v>211.5</v>
      </c>
      <c r="G2395" s="5">
        <v>105.1</v>
      </c>
      <c r="H2395" s="5">
        <v>104.9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106</v>
      </c>
      <c r="D2396" s="5">
        <v>0.1</v>
      </c>
      <c r="E2396" s="5">
        <v>106.2</v>
      </c>
      <c r="F2396" s="5">
        <v>211.5</v>
      </c>
      <c r="G2396" s="5">
        <v>105.1</v>
      </c>
      <c r="H2396" s="5">
        <v>104.9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107.2</v>
      </c>
      <c r="D2397" s="5">
        <v>0.1</v>
      </c>
      <c r="E2397" s="5">
        <v>107.3</v>
      </c>
      <c r="F2397" s="5">
        <v>212.5</v>
      </c>
      <c r="G2397" s="5">
        <v>105.6</v>
      </c>
      <c r="H2397" s="5">
        <v>105.4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107.2</v>
      </c>
      <c r="D2398" s="5">
        <v>0.1</v>
      </c>
      <c r="E2398" s="5">
        <v>107.3</v>
      </c>
      <c r="F2398" s="5">
        <v>212.5</v>
      </c>
      <c r="G2398" s="5">
        <v>105.6</v>
      </c>
      <c r="H2398" s="5">
        <v>105.4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107.2</v>
      </c>
      <c r="D2399" s="5">
        <v>0.1</v>
      </c>
      <c r="E2399" s="5">
        <v>107.3</v>
      </c>
      <c r="F2399" s="5">
        <v>212.5</v>
      </c>
      <c r="G2399" s="5">
        <v>105.6</v>
      </c>
      <c r="H2399" s="5">
        <v>105.4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107.2</v>
      </c>
      <c r="D2400" s="5">
        <v>0.1</v>
      </c>
      <c r="E2400" s="5">
        <v>107.3</v>
      </c>
      <c r="F2400" s="5">
        <v>212.5</v>
      </c>
      <c r="G2400" s="5">
        <v>105.6</v>
      </c>
      <c r="H2400" s="5">
        <v>105.4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106.8</v>
      </c>
      <c r="D2401" s="5">
        <v>0.1</v>
      </c>
      <c r="E2401" s="5">
        <v>106.9</v>
      </c>
      <c r="F2401" s="5">
        <v>211.9</v>
      </c>
      <c r="G2401" s="5">
        <v>105.3</v>
      </c>
      <c r="H2401" s="5">
        <v>105.2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106.8</v>
      </c>
      <c r="D2402" s="5">
        <v>0.1</v>
      </c>
      <c r="E2402" s="5">
        <v>106.9</v>
      </c>
      <c r="F2402" s="5">
        <v>211.9</v>
      </c>
      <c r="G2402" s="5">
        <v>105.3</v>
      </c>
      <c r="H2402" s="5">
        <v>105.2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105.1</v>
      </c>
      <c r="D2403" s="5">
        <v>0.1</v>
      </c>
      <c r="E2403" s="5">
        <v>105.3</v>
      </c>
      <c r="F2403" s="5">
        <v>208.5</v>
      </c>
      <c r="G2403" s="5">
        <v>103.6</v>
      </c>
      <c r="H2403" s="5">
        <v>103.5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105.1</v>
      </c>
      <c r="D2404" s="5">
        <v>0.1</v>
      </c>
      <c r="E2404" s="5">
        <v>105.3</v>
      </c>
      <c r="F2404" s="5">
        <v>208.5</v>
      </c>
      <c r="G2404" s="5">
        <v>103.6</v>
      </c>
      <c r="H2404" s="5">
        <v>103.5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104</v>
      </c>
      <c r="D2405" s="5">
        <v>0.1</v>
      </c>
      <c r="E2405" s="5">
        <v>104.2</v>
      </c>
      <c r="F2405" s="5">
        <v>207</v>
      </c>
      <c r="G2405" s="5">
        <v>102.9</v>
      </c>
      <c r="H2405" s="5">
        <v>102.7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104</v>
      </c>
      <c r="D2406" s="5">
        <v>0.1</v>
      </c>
      <c r="E2406" s="5">
        <v>104.2</v>
      </c>
      <c r="F2406" s="5">
        <v>207</v>
      </c>
      <c r="G2406" s="5">
        <v>102.9</v>
      </c>
      <c r="H2406" s="5">
        <v>102.7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104.6</v>
      </c>
      <c r="D2407" s="5">
        <v>0.1</v>
      </c>
      <c r="E2407" s="5">
        <v>104.8</v>
      </c>
      <c r="F2407" s="5">
        <v>207.4</v>
      </c>
      <c r="G2407" s="5">
        <v>103.1</v>
      </c>
      <c r="H2407" s="5">
        <v>102.9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104.6</v>
      </c>
      <c r="D2408" s="5">
        <v>0.1</v>
      </c>
      <c r="E2408" s="5">
        <v>104.8</v>
      </c>
      <c r="F2408" s="5">
        <v>207.4</v>
      </c>
      <c r="G2408" s="5">
        <v>103.1</v>
      </c>
      <c r="H2408" s="5">
        <v>102.9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104.6</v>
      </c>
      <c r="D2409" s="5">
        <v>0.1</v>
      </c>
      <c r="E2409" s="5">
        <v>104.8</v>
      </c>
      <c r="F2409" s="5">
        <v>207.4</v>
      </c>
      <c r="G2409" s="5">
        <v>103.1</v>
      </c>
      <c r="H2409" s="5">
        <v>102.9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104.6</v>
      </c>
      <c r="D2410" s="5">
        <v>0.1</v>
      </c>
      <c r="E2410" s="5">
        <v>104.8</v>
      </c>
      <c r="F2410" s="5">
        <v>207.4</v>
      </c>
      <c r="G2410" s="5">
        <v>103.1</v>
      </c>
      <c r="H2410" s="5">
        <v>102.9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103.7</v>
      </c>
      <c r="D2411" s="5">
        <v>0.1</v>
      </c>
      <c r="E2411" s="5">
        <v>103.8</v>
      </c>
      <c r="F2411" s="5">
        <v>206</v>
      </c>
      <c r="G2411" s="5">
        <v>102.4</v>
      </c>
      <c r="H2411" s="5">
        <v>102.2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103.7</v>
      </c>
      <c r="D2412" s="5">
        <v>0.1</v>
      </c>
      <c r="E2412" s="5">
        <v>103.8</v>
      </c>
      <c r="F2412" s="5">
        <v>206</v>
      </c>
      <c r="G2412" s="5">
        <v>102.4</v>
      </c>
      <c r="H2412" s="5">
        <v>102.2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103.7</v>
      </c>
      <c r="D2413" s="5">
        <v>0.1</v>
      </c>
      <c r="E2413" s="5">
        <v>103.8</v>
      </c>
      <c r="F2413" s="5">
        <v>205.7</v>
      </c>
      <c r="G2413" s="5">
        <v>102.2</v>
      </c>
      <c r="H2413" s="5">
        <v>102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103.7</v>
      </c>
      <c r="D2414" s="5">
        <v>0.1</v>
      </c>
      <c r="E2414" s="5">
        <v>103.8</v>
      </c>
      <c r="F2414" s="5">
        <v>205.7</v>
      </c>
      <c r="G2414" s="5">
        <v>102.2</v>
      </c>
      <c r="H2414" s="5">
        <v>102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104.4</v>
      </c>
      <c r="D2415" s="5">
        <v>0.1</v>
      </c>
      <c r="E2415" s="5">
        <v>104.6</v>
      </c>
      <c r="F2415" s="5">
        <v>206.3</v>
      </c>
      <c r="G2415" s="5">
        <v>102.5</v>
      </c>
      <c r="H2415" s="5">
        <v>102.3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104.4</v>
      </c>
      <c r="D2416" s="5">
        <v>0.1</v>
      </c>
      <c r="E2416" s="5">
        <v>104.6</v>
      </c>
      <c r="F2416" s="5">
        <v>206.3</v>
      </c>
      <c r="G2416" s="5">
        <v>102.5</v>
      </c>
      <c r="H2416" s="5">
        <v>102.3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107.4</v>
      </c>
      <c r="D2417" s="5">
        <v>0.1</v>
      </c>
      <c r="E2417" s="5">
        <v>107.5</v>
      </c>
      <c r="F2417" s="5">
        <v>211.8</v>
      </c>
      <c r="G2417" s="5">
        <v>105.3</v>
      </c>
      <c r="H2417" s="5">
        <v>105.2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107.4</v>
      </c>
      <c r="D2418" s="5">
        <v>0.1</v>
      </c>
      <c r="E2418" s="5">
        <v>107.5</v>
      </c>
      <c r="F2418" s="5">
        <v>211.8</v>
      </c>
      <c r="G2418" s="5">
        <v>105.3</v>
      </c>
      <c r="H2418" s="5">
        <v>105.2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107.4</v>
      </c>
      <c r="D2419" s="5">
        <v>0.1</v>
      </c>
      <c r="E2419" s="5">
        <v>107.5</v>
      </c>
      <c r="F2419" s="5">
        <v>211.8</v>
      </c>
      <c r="G2419" s="5">
        <v>105.3</v>
      </c>
      <c r="H2419" s="5">
        <v>105.2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107.4</v>
      </c>
      <c r="D2420" s="5">
        <v>0.1</v>
      </c>
      <c r="E2420" s="5">
        <v>107.5</v>
      </c>
      <c r="F2420" s="5">
        <v>211.8</v>
      </c>
      <c r="G2420" s="5">
        <v>105.3</v>
      </c>
      <c r="H2420" s="5">
        <v>105.2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106.6</v>
      </c>
      <c r="D2421" s="5">
        <v>0.1</v>
      </c>
      <c r="E2421" s="5">
        <v>106.7</v>
      </c>
      <c r="F2421" s="5">
        <v>212.3</v>
      </c>
      <c r="G2421" s="5">
        <v>105.5</v>
      </c>
      <c r="H2421" s="5">
        <v>105.4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106.6</v>
      </c>
      <c r="D2422" s="5">
        <v>0.1</v>
      </c>
      <c r="E2422" s="5">
        <v>106.7</v>
      </c>
      <c r="F2422" s="5">
        <v>212.3</v>
      </c>
      <c r="G2422" s="5">
        <v>105.5</v>
      </c>
      <c r="H2422" s="5">
        <v>105.4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107.4</v>
      </c>
      <c r="D2423" s="5">
        <v>0.1</v>
      </c>
      <c r="E2423" s="5">
        <v>107.5</v>
      </c>
      <c r="F2423" s="5">
        <v>213.1</v>
      </c>
      <c r="G2423" s="5">
        <v>105.9</v>
      </c>
      <c r="H2423" s="5">
        <v>105.8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107.4</v>
      </c>
      <c r="D2424" s="5">
        <v>0.1</v>
      </c>
      <c r="E2424" s="5">
        <v>107.5</v>
      </c>
      <c r="F2424" s="5">
        <v>213.1</v>
      </c>
      <c r="G2424" s="5">
        <v>105.9</v>
      </c>
      <c r="H2424" s="5">
        <v>105.8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106.8</v>
      </c>
      <c r="D2425" s="5">
        <v>0.1</v>
      </c>
      <c r="E2425" s="5">
        <v>106.9</v>
      </c>
      <c r="F2425" s="5">
        <v>212.8</v>
      </c>
      <c r="G2425" s="5">
        <v>105.8</v>
      </c>
      <c r="H2425" s="5">
        <v>105.6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106.8</v>
      </c>
      <c r="D2426" s="5">
        <v>0.1</v>
      </c>
      <c r="E2426" s="5">
        <v>106.9</v>
      </c>
      <c r="F2426" s="5">
        <v>212.8</v>
      </c>
      <c r="G2426" s="5">
        <v>105.8</v>
      </c>
      <c r="H2426" s="5">
        <v>105.6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107.2</v>
      </c>
      <c r="D2427" s="5">
        <v>0.1</v>
      </c>
      <c r="E2427" s="5">
        <v>107.3</v>
      </c>
      <c r="F2427" s="5">
        <v>213.5</v>
      </c>
      <c r="G2427" s="5">
        <v>106.1</v>
      </c>
      <c r="H2427" s="5">
        <v>105.9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107.2</v>
      </c>
      <c r="D2428" s="5">
        <v>0.1</v>
      </c>
      <c r="E2428" s="5">
        <v>107.3</v>
      </c>
      <c r="F2428" s="5">
        <v>213.5</v>
      </c>
      <c r="G2428" s="5">
        <v>106.1</v>
      </c>
      <c r="H2428" s="5">
        <v>105.9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107.2</v>
      </c>
      <c r="D2429" s="5">
        <v>0.1</v>
      </c>
      <c r="E2429" s="5">
        <v>107.3</v>
      </c>
      <c r="F2429" s="5">
        <v>213.5</v>
      </c>
      <c r="G2429" s="5">
        <v>106.1</v>
      </c>
      <c r="H2429" s="5">
        <v>105.9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107.2</v>
      </c>
      <c r="D2430" s="5">
        <v>0.1</v>
      </c>
      <c r="E2430" s="5">
        <v>107.3</v>
      </c>
      <c r="F2430" s="5">
        <v>212.6</v>
      </c>
      <c r="G2430" s="5">
        <v>105.6</v>
      </c>
      <c r="H2430" s="5">
        <v>105.5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106.9</v>
      </c>
      <c r="D2431" s="5">
        <v>0.1</v>
      </c>
      <c r="E2431" s="5">
        <v>107.1</v>
      </c>
      <c r="F2431" s="5">
        <v>212.6</v>
      </c>
      <c r="G2431" s="5">
        <v>105.6</v>
      </c>
      <c r="H2431" s="5">
        <v>105.5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106.9</v>
      </c>
      <c r="D2432" s="5">
        <v>0.1</v>
      </c>
      <c r="E2432" s="5">
        <v>107.1</v>
      </c>
      <c r="F2432" s="5">
        <v>208</v>
      </c>
      <c r="G2432" s="5">
        <v>103.2</v>
      </c>
      <c r="H2432" s="5">
        <v>103.1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105.1</v>
      </c>
      <c r="D2433" s="5">
        <v>0.1</v>
      </c>
      <c r="E2433" s="5">
        <v>105.3</v>
      </c>
      <c r="F2433" s="5">
        <v>208</v>
      </c>
      <c r="G2433" s="5">
        <v>103.2</v>
      </c>
      <c r="H2433" s="5">
        <v>103.1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105.1</v>
      </c>
      <c r="D2434" s="5">
        <v>0.1</v>
      </c>
      <c r="E2434" s="5">
        <v>105.3</v>
      </c>
      <c r="F2434" s="5">
        <v>207.8</v>
      </c>
      <c r="G2434" s="5">
        <v>103.3</v>
      </c>
      <c r="H2434" s="5">
        <v>103.1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103.4</v>
      </c>
      <c r="D2435" s="5">
        <v>0.1</v>
      </c>
      <c r="E2435" s="5">
        <v>103.6</v>
      </c>
      <c r="F2435" s="5">
        <v>207.8</v>
      </c>
      <c r="G2435" s="5">
        <v>103.3</v>
      </c>
      <c r="H2435" s="5">
        <v>103.1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103.4</v>
      </c>
      <c r="D2436" s="5">
        <v>0.1</v>
      </c>
      <c r="E2436" s="5">
        <v>103.6</v>
      </c>
      <c r="F2436" s="5">
        <v>205.5</v>
      </c>
      <c r="G2436" s="5">
        <v>102.7</v>
      </c>
      <c r="H2436" s="5">
        <v>102.8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103.5</v>
      </c>
      <c r="D2437" s="5">
        <v>0.1</v>
      </c>
      <c r="E2437" s="5">
        <v>103.7</v>
      </c>
      <c r="F2437" s="5">
        <v>205.5</v>
      </c>
      <c r="G2437" s="5">
        <v>102.7</v>
      </c>
      <c r="H2437" s="5">
        <v>102.8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103.5</v>
      </c>
      <c r="D2438" s="5">
        <v>0.1</v>
      </c>
      <c r="E2438" s="5">
        <v>103.7</v>
      </c>
      <c r="F2438" s="5">
        <v>205.5</v>
      </c>
      <c r="G2438" s="5">
        <v>102.7</v>
      </c>
      <c r="H2438" s="5">
        <v>102.8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103.5</v>
      </c>
      <c r="D2439" s="5">
        <v>0.1</v>
      </c>
      <c r="E2439" s="5">
        <v>103.7</v>
      </c>
      <c r="F2439" s="5">
        <v>205.5</v>
      </c>
      <c r="G2439" s="5">
        <v>102.7</v>
      </c>
      <c r="H2439" s="5">
        <v>102.8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103.2</v>
      </c>
      <c r="D2440" s="5">
        <v>0.1</v>
      </c>
      <c r="E2440" s="5">
        <v>103.3</v>
      </c>
      <c r="F2440" s="5">
        <v>205.6</v>
      </c>
      <c r="G2440" s="5">
        <v>102.1</v>
      </c>
      <c r="H2440" s="5">
        <v>102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103.2</v>
      </c>
      <c r="D2441" s="5">
        <v>0.1</v>
      </c>
      <c r="E2441" s="5">
        <v>103.3</v>
      </c>
      <c r="F2441" s="5">
        <v>205.6</v>
      </c>
      <c r="G2441" s="5">
        <v>102.1</v>
      </c>
      <c r="H2441" s="5">
        <v>102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102.8</v>
      </c>
      <c r="D2442" s="5">
        <v>0.1</v>
      </c>
      <c r="E2442" s="5">
        <v>102.9</v>
      </c>
      <c r="F2442" s="5">
        <v>205</v>
      </c>
      <c r="G2442" s="5">
        <v>101.8</v>
      </c>
      <c r="H2442" s="5">
        <v>102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102.8</v>
      </c>
      <c r="D2443" s="5">
        <v>0.1</v>
      </c>
      <c r="E2443" s="5">
        <v>102.9</v>
      </c>
      <c r="F2443" s="5">
        <v>205</v>
      </c>
      <c r="G2443" s="5">
        <v>101.8</v>
      </c>
      <c r="H2443" s="5">
        <v>101.7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103.1</v>
      </c>
      <c r="D2444" s="5">
        <v>0.1</v>
      </c>
      <c r="E2444" s="5">
        <v>103.2</v>
      </c>
      <c r="F2444" s="5">
        <v>205</v>
      </c>
      <c r="G2444" s="5">
        <v>101.8</v>
      </c>
      <c r="H2444" s="5">
        <v>101.7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103.1</v>
      </c>
      <c r="D2445" s="5">
        <v>0.1</v>
      </c>
      <c r="E2445" s="5">
        <v>103.2</v>
      </c>
      <c r="F2445" s="5">
        <v>206</v>
      </c>
      <c r="G2445" s="5">
        <v>102.3</v>
      </c>
      <c r="H2445" s="5">
        <v>102.2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103.7</v>
      </c>
      <c r="D2446" s="5">
        <v>0.1</v>
      </c>
      <c r="E2446" s="5">
        <v>103.2</v>
      </c>
      <c r="F2446" s="5">
        <v>206</v>
      </c>
      <c r="G2446" s="5">
        <v>102.3</v>
      </c>
      <c r="H2446" s="5">
        <v>102.2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103.7</v>
      </c>
      <c r="D2447" s="5">
        <v>0.1</v>
      </c>
      <c r="E2447" s="5">
        <v>103.9</v>
      </c>
      <c r="F2447" s="5">
        <v>206.8</v>
      </c>
      <c r="G2447" s="5">
        <v>102.8</v>
      </c>
      <c r="H2447" s="5">
        <v>102.6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103.7</v>
      </c>
      <c r="D2448" s="5">
        <v>0.1</v>
      </c>
      <c r="E2448" s="5">
        <v>103.9</v>
      </c>
      <c r="F2448" s="5">
        <v>206.8</v>
      </c>
      <c r="G2448" s="5">
        <v>102.8</v>
      </c>
      <c r="H2448" s="5">
        <v>102.6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103.7</v>
      </c>
      <c r="D2449" s="5">
        <v>0.1</v>
      </c>
      <c r="E2449" s="5">
        <v>103.9</v>
      </c>
      <c r="F2449" s="5">
        <v>206.8</v>
      </c>
      <c r="G2449" s="5">
        <v>102.8</v>
      </c>
      <c r="H2449" s="5">
        <v>102.6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103.7</v>
      </c>
      <c r="D2450" s="5">
        <v>0.1</v>
      </c>
      <c r="E2450" s="5">
        <v>103.9</v>
      </c>
      <c r="F2450" s="5">
        <v>206.8</v>
      </c>
      <c r="G2450" s="5">
        <v>102.8</v>
      </c>
      <c r="H2450" s="5">
        <v>102.6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106.1</v>
      </c>
      <c r="D2451" s="5">
        <v>0.1</v>
      </c>
      <c r="E2451" s="5">
        <v>106.2</v>
      </c>
      <c r="F2451" s="5">
        <v>211.5</v>
      </c>
      <c r="G2451" s="5">
        <v>105</v>
      </c>
      <c r="H2451" s="5">
        <v>104.9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106.1</v>
      </c>
      <c r="D2452" s="5">
        <v>0.1</v>
      </c>
      <c r="E2452" s="5">
        <v>106.2</v>
      </c>
      <c r="F2452" s="5">
        <v>211.5</v>
      </c>
      <c r="G2452" s="5">
        <v>105</v>
      </c>
      <c r="H2452" s="5">
        <v>104.9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105.4</v>
      </c>
      <c r="D2453" s="5">
        <v>0.1</v>
      </c>
      <c r="E2453" s="5">
        <v>105.6</v>
      </c>
      <c r="F2453" s="5">
        <v>210.8</v>
      </c>
      <c r="G2453" s="5">
        <v>104.8</v>
      </c>
      <c r="H2453" s="5">
        <v>104.8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105.4</v>
      </c>
      <c r="D2454" s="5">
        <v>0.1</v>
      </c>
      <c r="E2454" s="5">
        <v>105.6</v>
      </c>
      <c r="F2454" s="5">
        <v>210.8</v>
      </c>
      <c r="G2454" s="5">
        <v>104.8</v>
      </c>
      <c r="H2454" s="5">
        <v>104.8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106.4</v>
      </c>
      <c r="D2455" s="5">
        <v>0.1</v>
      </c>
      <c r="E2455" s="5">
        <v>106.6</v>
      </c>
      <c r="F2455" s="5">
        <v>212</v>
      </c>
      <c r="G2455" s="5">
        <v>105.4</v>
      </c>
      <c r="H2455" s="5">
        <v>105.2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106.4</v>
      </c>
      <c r="D2456" s="5">
        <v>0.1</v>
      </c>
      <c r="E2456" s="5">
        <v>106.6</v>
      </c>
      <c r="F2456" s="5">
        <v>212</v>
      </c>
      <c r="G2456" s="5">
        <v>105.4</v>
      </c>
      <c r="H2456" s="5">
        <v>105.2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106.1</v>
      </c>
      <c r="D2457" s="5">
        <v>0.1</v>
      </c>
      <c r="E2457" s="5">
        <v>106.2</v>
      </c>
      <c r="F2457" s="5">
        <v>211.4</v>
      </c>
      <c r="G2457" s="5">
        <v>105.1</v>
      </c>
      <c r="H2457" s="5">
        <v>105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106.1</v>
      </c>
      <c r="D2458" s="5">
        <v>0.1</v>
      </c>
      <c r="E2458" s="5">
        <v>106.2</v>
      </c>
      <c r="F2458" s="5">
        <v>211.4</v>
      </c>
      <c r="G2458" s="5">
        <v>105.1</v>
      </c>
      <c r="H2458" s="5">
        <v>105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106.1</v>
      </c>
      <c r="D2459" s="5">
        <v>0.1</v>
      </c>
      <c r="E2459" s="5">
        <v>106.2</v>
      </c>
      <c r="F2459" s="5">
        <v>211.4</v>
      </c>
      <c r="G2459" s="5">
        <v>105.1</v>
      </c>
      <c r="H2459" s="5">
        <v>105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106.8</v>
      </c>
      <c r="D2460" s="5">
        <v>0.1</v>
      </c>
      <c r="E2460" s="5">
        <v>106.9</v>
      </c>
      <c r="F2460" s="5">
        <v>212.1</v>
      </c>
      <c r="G2460" s="5">
        <v>105.5</v>
      </c>
      <c r="H2460" s="5">
        <v>105.3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106.8</v>
      </c>
      <c r="D2461" s="5">
        <v>0.1</v>
      </c>
      <c r="E2461" s="5">
        <v>106.9</v>
      </c>
      <c r="F2461" s="5">
        <v>212.1</v>
      </c>
      <c r="G2461" s="5">
        <v>105.5</v>
      </c>
      <c r="H2461" s="5">
        <v>105.3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106.9</v>
      </c>
      <c r="D2462" s="5">
        <v>0.1</v>
      </c>
      <c r="E2462" s="5">
        <v>107</v>
      </c>
      <c r="F2462" s="5">
        <v>212.9</v>
      </c>
      <c r="G2462" s="5">
        <v>105.8</v>
      </c>
      <c r="H2462" s="5">
        <v>105.7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106.9</v>
      </c>
      <c r="D2463" s="5">
        <v>0.1</v>
      </c>
      <c r="E2463" s="5">
        <v>107</v>
      </c>
      <c r="F2463" s="5">
        <v>212.9</v>
      </c>
      <c r="G2463" s="5">
        <v>105.8</v>
      </c>
      <c r="H2463" s="5">
        <v>105.7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106.5</v>
      </c>
      <c r="D2464" s="5">
        <v>0.1</v>
      </c>
      <c r="E2464" s="5">
        <v>106.6</v>
      </c>
      <c r="F2464" s="5">
        <v>212.4</v>
      </c>
      <c r="G2464" s="5">
        <v>105.6</v>
      </c>
      <c r="H2464" s="5">
        <v>105.4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106.5</v>
      </c>
      <c r="D2465" s="5">
        <v>0.1</v>
      </c>
      <c r="E2465" s="5">
        <v>106.6</v>
      </c>
      <c r="F2465" s="5">
        <v>212.4</v>
      </c>
      <c r="G2465" s="5">
        <v>105.6</v>
      </c>
      <c r="H2465" s="5">
        <v>105.4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106.5</v>
      </c>
      <c r="D2466" s="5">
        <v>0.1</v>
      </c>
      <c r="E2466" s="5">
        <v>106.6</v>
      </c>
      <c r="F2466" s="5">
        <v>211.4</v>
      </c>
      <c r="G2466" s="5">
        <v>105.1</v>
      </c>
      <c r="H2466" s="5">
        <v>105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106.5</v>
      </c>
      <c r="D2467" s="5">
        <v>0.1</v>
      </c>
      <c r="E2467" s="5">
        <v>106.6</v>
      </c>
      <c r="F2467" s="5">
        <v>211.4</v>
      </c>
      <c r="G2467" s="5">
        <v>105.1</v>
      </c>
      <c r="H2467" s="5">
        <v>105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106.5</v>
      </c>
      <c r="D2468" s="5">
        <v>0.1</v>
      </c>
      <c r="E2468" s="5">
        <v>106.6</v>
      </c>
      <c r="F2468" s="5">
        <v>211.4</v>
      </c>
      <c r="G2468" s="5">
        <v>105.1</v>
      </c>
      <c r="H2468" s="5">
        <v>105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106.5</v>
      </c>
      <c r="D2469" s="5">
        <v>0.1</v>
      </c>
      <c r="E2469" s="5">
        <v>106.6</v>
      </c>
      <c r="F2469" s="5">
        <v>211.4</v>
      </c>
      <c r="G2469" s="5">
        <v>105.1</v>
      </c>
      <c r="H2469" s="5">
        <v>105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103.7</v>
      </c>
      <c r="D2470" s="5">
        <v>0.1</v>
      </c>
      <c r="E2470" s="5">
        <v>103.8</v>
      </c>
      <c r="F2470" s="5">
        <v>210.9</v>
      </c>
      <c r="G2470" s="5">
        <v>104.6</v>
      </c>
      <c r="H2470" s="5">
        <v>103.6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103.7</v>
      </c>
      <c r="D2471" s="5">
        <v>0.1</v>
      </c>
      <c r="E2471" s="5">
        <v>103.8</v>
      </c>
      <c r="F2471" s="5">
        <v>210.9</v>
      </c>
      <c r="G2471" s="5">
        <v>104.6</v>
      </c>
      <c r="H2471" s="5">
        <v>103.6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103.4</v>
      </c>
      <c r="D2472" s="5">
        <v>0.1</v>
      </c>
      <c r="E2472" s="5">
        <v>103.4</v>
      </c>
      <c r="F2472" s="5">
        <v>207.2</v>
      </c>
      <c r="G2472" s="5">
        <v>103</v>
      </c>
      <c r="H2472" s="5">
        <v>102.8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103.4</v>
      </c>
      <c r="D2473" s="5">
        <v>0.1</v>
      </c>
      <c r="E2473" s="5">
        <v>103.4</v>
      </c>
      <c r="F2473" s="5">
        <v>207.2</v>
      </c>
      <c r="G2473" s="5">
        <v>103</v>
      </c>
      <c r="H2473" s="5">
        <v>102.8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105.4</v>
      </c>
      <c r="D2474" s="5">
        <v>0.1</v>
      </c>
      <c r="E2474" s="5">
        <v>105.6</v>
      </c>
      <c r="F2474" s="5">
        <v>210.7</v>
      </c>
      <c r="G2474" s="5">
        <v>104.7</v>
      </c>
      <c r="H2474" s="5">
        <v>104.6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105.4</v>
      </c>
      <c r="D2475" s="5">
        <v>0.1</v>
      </c>
      <c r="E2475" s="5">
        <v>105.6</v>
      </c>
      <c r="F2475" s="5">
        <v>210.7</v>
      </c>
      <c r="G2475" s="5">
        <v>104.7</v>
      </c>
      <c r="H2475" s="5">
        <v>104.6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105.7</v>
      </c>
      <c r="D2476" s="5">
        <v>0.1</v>
      </c>
      <c r="E2476" s="5">
        <v>105.1</v>
      </c>
      <c r="F2476" s="5">
        <v>209.9</v>
      </c>
      <c r="G2476" s="5">
        <v>104.3</v>
      </c>
      <c r="H2476" s="5">
        <v>104.2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105.7</v>
      </c>
      <c r="D2477" s="5">
        <v>0.1</v>
      </c>
      <c r="E2477" s="5">
        <v>105.1</v>
      </c>
      <c r="F2477" s="5">
        <v>209.9</v>
      </c>
      <c r="G2477" s="5">
        <v>104.3</v>
      </c>
      <c r="H2477" s="5">
        <v>104.2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105.7</v>
      </c>
      <c r="D2478" s="5">
        <v>0.1</v>
      </c>
      <c r="E2478" s="5">
        <v>105.1</v>
      </c>
      <c r="F2478" s="5">
        <v>209.9</v>
      </c>
      <c r="G2478" s="5">
        <v>104.3</v>
      </c>
      <c r="H2478" s="5">
        <v>104.2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105.7</v>
      </c>
      <c r="D2479" s="5">
        <v>0.1</v>
      </c>
      <c r="E2479" s="5">
        <v>105.1</v>
      </c>
      <c r="F2479" s="5">
        <v>209.9</v>
      </c>
      <c r="G2479" s="5">
        <v>104.3</v>
      </c>
      <c r="H2479" s="5">
        <v>104.2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105.6</v>
      </c>
      <c r="D2480" s="5">
        <v>0.1</v>
      </c>
      <c r="E2480" s="5">
        <v>105.8</v>
      </c>
      <c r="F2480" s="5">
        <v>209.6</v>
      </c>
      <c r="G2480" s="5">
        <v>104.1</v>
      </c>
      <c r="H2480" s="5">
        <v>104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105.6</v>
      </c>
      <c r="D2481" s="5">
        <v>0.1</v>
      </c>
      <c r="E2481" s="5">
        <v>105.8</v>
      </c>
      <c r="F2481" s="5">
        <v>209.6</v>
      </c>
      <c r="G2481" s="5">
        <v>104.1</v>
      </c>
      <c r="H2481" s="5">
        <v>104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105.4</v>
      </c>
      <c r="D2482" s="5">
        <v>0.1</v>
      </c>
      <c r="E2482" s="5">
        <v>105.6</v>
      </c>
      <c r="F2482" s="5">
        <v>208.4</v>
      </c>
      <c r="G2482" s="5">
        <v>103.5</v>
      </c>
      <c r="H2482" s="5">
        <v>103.4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105.4</v>
      </c>
      <c r="D2483" s="5">
        <v>0.1</v>
      </c>
      <c r="E2483" s="5">
        <v>105.6</v>
      </c>
      <c r="F2483" s="5">
        <v>208.4</v>
      </c>
      <c r="G2483" s="5">
        <v>103.5</v>
      </c>
      <c r="H2483" s="5">
        <v>103.4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106.1</v>
      </c>
      <c r="D2484" s="5">
        <v>0.1</v>
      </c>
      <c r="E2484" s="5">
        <v>106.2</v>
      </c>
      <c r="F2484" s="5">
        <v>211.4</v>
      </c>
      <c r="G2484" s="5">
        <v>105</v>
      </c>
      <c r="H2484" s="5">
        <v>104.9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106.1</v>
      </c>
      <c r="D2485" s="5">
        <v>0.1</v>
      </c>
      <c r="E2485" s="5">
        <v>106.2</v>
      </c>
      <c r="F2485" s="5">
        <v>211.4</v>
      </c>
      <c r="G2485" s="5">
        <v>105</v>
      </c>
      <c r="H2485" s="5">
        <v>104.9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106.4</v>
      </c>
      <c r="D2486" s="5">
        <v>0.1</v>
      </c>
      <c r="E2486" s="5">
        <v>106.2</v>
      </c>
      <c r="F2486" s="5">
        <v>211.4</v>
      </c>
      <c r="G2486" s="5">
        <v>104.4</v>
      </c>
      <c r="H2486" s="5">
        <v>104.2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106.4</v>
      </c>
      <c r="D2487" s="5">
        <v>0.1</v>
      </c>
      <c r="E2487" s="5">
        <v>106.5</v>
      </c>
      <c r="F2487" s="5">
        <v>210.1</v>
      </c>
      <c r="G2487" s="5">
        <v>104.4</v>
      </c>
      <c r="H2487" s="5">
        <v>104.2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106.4</v>
      </c>
      <c r="D2488" s="5">
        <v>0.1</v>
      </c>
      <c r="E2488" s="5">
        <v>106.5</v>
      </c>
      <c r="F2488" s="5">
        <v>210.1</v>
      </c>
      <c r="G2488" s="5">
        <v>104.4</v>
      </c>
      <c r="H2488" s="5">
        <v>104.2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106.4</v>
      </c>
      <c r="D2489" s="5">
        <v>0.1</v>
      </c>
      <c r="E2489" s="5">
        <v>106.5</v>
      </c>
      <c r="F2489" s="5">
        <v>210.1</v>
      </c>
      <c r="G2489" s="5">
        <v>104.4</v>
      </c>
      <c r="H2489" s="5">
        <v>104.2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105.4</v>
      </c>
      <c r="D2490" s="5">
        <v>0.1</v>
      </c>
      <c r="E2490" s="5">
        <v>105.6</v>
      </c>
      <c r="F2490" s="5">
        <v>210.1</v>
      </c>
      <c r="G2490" s="5">
        <v>104.4</v>
      </c>
      <c r="H2490" s="5">
        <v>104.2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105.4</v>
      </c>
      <c r="D2491" s="5">
        <v>0.1</v>
      </c>
      <c r="E2491" s="5">
        <v>105.6</v>
      </c>
      <c r="F2491" s="5">
        <v>210.1</v>
      </c>
      <c r="G2491" s="5">
        <v>104.4</v>
      </c>
      <c r="H2491" s="5">
        <v>104.2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106.5</v>
      </c>
      <c r="D2492" s="5">
        <v>0.1</v>
      </c>
      <c r="E2492" s="5">
        <v>106.6</v>
      </c>
      <c r="F2492" s="5">
        <v>212</v>
      </c>
      <c r="G2492" s="5">
        <v>105.3</v>
      </c>
      <c r="H2492" s="5">
        <v>105.1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106.5</v>
      </c>
      <c r="D2493" s="5">
        <v>0.1</v>
      </c>
      <c r="E2493" s="5">
        <v>106.6</v>
      </c>
      <c r="F2493" s="5">
        <v>212</v>
      </c>
      <c r="G2493" s="5">
        <v>105.3</v>
      </c>
      <c r="H2493" s="5">
        <v>105.1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105.9</v>
      </c>
      <c r="D2494" s="5">
        <v>0.1</v>
      </c>
      <c r="E2494" s="5">
        <v>106</v>
      </c>
      <c r="F2494" s="5">
        <v>211.6</v>
      </c>
      <c r="G2494" s="5">
        <v>105.1</v>
      </c>
      <c r="H2494" s="5">
        <v>104.9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105.9</v>
      </c>
      <c r="D2495" s="5">
        <v>0.1</v>
      </c>
      <c r="E2495" s="5">
        <v>106</v>
      </c>
      <c r="F2495" s="5">
        <v>211.6</v>
      </c>
      <c r="G2495" s="5">
        <v>105.1</v>
      </c>
      <c r="H2495" s="5">
        <v>104.9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106.1</v>
      </c>
      <c r="D2496" s="5">
        <v>0.1</v>
      </c>
      <c r="E2496" s="5">
        <v>106.2</v>
      </c>
      <c r="F2496" s="5">
        <v>211.7</v>
      </c>
      <c r="G2496" s="5">
        <v>105.2</v>
      </c>
      <c r="H2496" s="5">
        <v>105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106.1</v>
      </c>
      <c r="D2497" s="5">
        <v>0.1</v>
      </c>
      <c r="E2497" s="5">
        <v>106.2</v>
      </c>
      <c r="F2497" s="5">
        <v>211.7</v>
      </c>
      <c r="G2497" s="5">
        <v>105.2</v>
      </c>
      <c r="H2497" s="5">
        <v>105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106.1</v>
      </c>
      <c r="D2498" s="5">
        <v>0.1</v>
      </c>
      <c r="E2498" s="5">
        <v>106.2</v>
      </c>
      <c r="F2498" s="5">
        <v>211.7</v>
      </c>
      <c r="G2498" s="5">
        <v>105.2</v>
      </c>
      <c r="H2498" s="5">
        <v>105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106.1</v>
      </c>
      <c r="D2499" s="5">
        <v>0.1</v>
      </c>
      <c r="E2499" s="5">
        <v>106.2</v>
      </c>
      <c r="F2499" s="5">
        <v>211.7</v>
      </c>
      <c r="G2499" s="5">
        <v>105.2</v>
      </c>
      <c r="H2499" s="5">
        <v>105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106</v>
      </c>
      <c r="D2500" s="5">
        <v>0.1</v>
      </c>
      <c r="E2500" s="5">
        <v>106.2</v>
      </c>
      <c r="F2500" s="5">
        <v>210</v>
      </c>
      <c r="G2500" s="5">
        <v>104.4</v>
      </c>
      <c r="H2500" s="5">
        <v>104.2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106</v>
      </c>
      <c r="D2501" s="5">
        <v>0.1</v>
      </c>
      <c r="E2501" s="5">
        <v>106.2</v>
      </c>
      <c r="F2501" s="5">
        <v>210</v>
      </c>
      <c r="G2501" s="5">
        <v>104.4</v>
      </c>
      <c r="H2501" s="5">
        <v>104.2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105.8</v>
      </c>
      <c r="D2502" s="5">
        <v>0.1</v>
      </c>
      <c r="E2502" s="5">
        <v>105.9</v>
      </c>
      <c r="F2502" s="5">
        <v>210.2</v>
      </c>
      <c r="G2502" s="5">
        <v>104.6</v>
      </c>
      <c r="H2502" s="5">
        <v>104.4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105.8</v>
      </c>
      <c r="D2503" s="5">
        <v>0.1</v>
      </c>
      <c r="E2503" s="5">
        <v>105.9</v>
      </c>
      <c r="F2503" s="5">
        <v>210.2</v>
      </c>
      <c r="G2503" s="5">
        <v>104.6</v>
      </c>
      <c r="H2503" s="5">
        <v>104.4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105.8</v>
      </c>
      <c r="D2504" s="5">
        <v>0.1</v>
      </c>
      <c r="E2504" s="5">
        <v>105.9</v>
      </c>
      <c r="F2504" s="5">
        <v>210.2</v>
      </c>
      <c r="G2504" s="5">
        <v>104.6</v>
      </c>
      <c r="H2504" s="5">
        <v>104.4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105.8</v>
      </c>
      <c r="D2505" s="5">
        <v>0.1</v>
      </c>
      <c r="E2505" s="5">
        <v>105.9</v>
      </c>
      <c r="F2505" s="5">
        <v>210.2</v>
      </c>
      <c r="G2505" s="5">
        <v>104.6</v>
      </c>
      <c r="H2505" s="5">
        <v>104.4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105.7</v>
      </c>
      <c r="D2506" s="5">
        <v>0.1</v>
      </c>
      <c r="E2506" s="5">
        <v>105.9</v>
      </c>
      <c r="F2506" s="5">
        <v>209.9</v>
      </c>
      <c r="G2506" s="5">
        <v>104.3</v>
      </c>
      <c r="H2506" s="5">
        <v>104.2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105.7</v>
      </c>
      <c r="D2507" s="5">
        <v>0.1</v>
      </c>
      <c r="E2507" s="5">
        <v>105.9</v>
      </c>
      <c r="F2507" s="5">
        <v>209.9</v>
      </c>
      <c r="G2507" s="5">
        <v>104.3</v>
      </c>
      <c r="H2507" s="5">
        <v>104.2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105.7</v>
      </c>
      <c r="D2508" s="5">
        <v>0.1</v>
      </c>
      <c r="E2508" s="5">
        <v>105.9</v>
      </c>
      <c r="F2508" s="5">
        <v>209.9</v>
      </c>
      <c r="G2508" s="5">
        <v>104.3</v>
      </c>
      <c r="H2508" s="5">
        <v>104.2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105.7</v>
      </c>
      <c r="D2509" s="5">
        <v>0.1</v>
      </c>
      <c r="E2509" s="5">
        <v>105.9</v>
      </c>
      <c r="F2509" s="5">
        <v>209.9</v>
      </c>
      <c r="G2509" s="5">
        <v>104.3</v>
      </c>
      <c r="H2509" s="5">
        <v>104.2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106.1</v>
      </c>
      <c r="D2510" s="5">
        <v>0.1</v>
      </c>
      <c r="E2510" s="5">
        <v>106.2</v>
      </c>
      <c r="F2510" s="5">
        <v>210.9</v>
      </c>
      <c r="G2510" s="5">
        <v>104.8</v>
      </c>
      <c r="H2510" s="5">
        <v>104.7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106.1</v>
      </c>
      <c r="D2511" s="5">
        <v>0.1</v>
      </c>
      <c r="E2511" s="5">
        <v>106.2</v>
      </c>
      <c r="F2511" s="5">
        <v>210.9</v>
      </c>
      <c r="G2511" s="5">
        <v>104.8</v>
      </c>
      <c r="H2511" s="5">
        <v>104.7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105.8</v>
      </c>
      <c r="D2512" s="5">
        <v>0.1</v>
      </c>
      <c r="E2512" s="5">
        <v>105.9</v>
      </c>
      <c r="F2512" s="5">
        <v>210.2</v>
      </c>
      <c r="G2512" s="5">
        <v>104.5</v>
      </c>
      <c r="H2512" s="5">
        <v>104.3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105.8</v>
      </c>
      <c r="D2513" s="5">
        <v>0.1</v>
      </c>
      <c r="E2513" s="5">
        <v>105.9</v>
      </c>
      <c r="F2513" s="5">
        <v>210.2</v>
      </c>
      <c r="G2513" s="5">
        <v>104.5</v>
      </c>
      <c r="H2513" s="5">
        <v>104.3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106.5</v>
      </c>
      <c r="D2514" s="5">
        <v>0.1</v>
      </c>
      <c r="E2514" s="5">
        <v>106.6</v>
      </c>
      <c r="F2514" s="5">
        <v>211.6</v>
      </c>
      <c r="G2514" s="5">
        <v>105.1</v>
      </c>
      <c r="H2514" s="5">
        <v>105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106.5</v>
      </c>
      <c r="D2515" s="5">
        <v>0.1</v>
      </c>
      <c r="E2515" s="5">
        <v>106.6</v>
      </c>
      <c r="F2515" s="5">
        <v>211.6</v>
      </c>
      <c r="G2515" s="5">
        <v>105.1</v>
      </c>
      <c r="H2515" s="5">
        <v>105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106.2</v>
      </c>
      <c r="D2516" s="5">
        <v>0.1</v>
      </c>
      <c r="E2516" s="5">
        <v>106.4</v>
      </c>
      <c r="F2516" s="5">
        <v>210.9</v>
      </c>
      <c r="G2516" s="5">
        <v>104.8</v>
      </c>
      <c r="H2516" s="5">
        <v>104.6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105.4</v>
      </c>
      <c r="D2517" s="5">
        <v>0.1</v>
      </c>
      <c r="E2517" s="5">
        <v>105.5</v>
      </c>
      <c r="F2517" s="5">
        <v>209.2</v>
      </c>
      <c r="G2517" s="5">
        <v>103.9</v>
      </c>
      <c r="H2517" s="5">
        <v>103.7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105.4</v>
      </c>
      <c r="D2518" s="5">
        <v>0.1</v>
      </c>
      <c r="E2518" s="5">
        <v>105.5</v>
      </c>
      <c r="F2518" s="5">
        <v>209.2</v>
      </c>
      <c r="G2518" s="5">
        <v>103.9</v>
      </c>
      <c r="H2518" s="5">
        <v>103.7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105.4</v>
      </c>
      <c r="D2519" s="5">
        <v>0.1</v>
      </c>
      <c r="E2519" s="5">
        <v>105.5</v>
      </c>
      <c r="F2519" s="5">
        <v>209.2</v>
      </c>
      <c r="G2519" s="5">
        <v>103.9</v>
      </c>
      <c r="H2519" s="5">
        <v>103.7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105.4</v>
      </c>
      <c r="D2520" s="5">
        <v>0.1</v>
      </c>
      <c r="E2520" s="5">
        <v>105.5</v>
      </c>
      <c r="F2520" s="5">
        <v>209.2</v>
      </c>
      <c r="G2520" s="5">
        <v>103.9</v>
      </c>
      <c r="H2520" s="5">
        <v>103.7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104.3</v>
      </c>
      <c r="D2521" s="5">
        <v>0.1</v>
      </c>
      <c r="E2521" s="5">
        <v>104.4</v>
      </c>
      <c r="F2521" s="5">
        <v>203.5</v>
      </c>
      <c r="G2521" s="5">
        <v>101.5</v>
      </c>
      <c r="H2521" s="5">
        <v>101.7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104.3</v>
      </c>
      <c r="D2522" s="5">
        <v>0.1</v>
      </c>
      <c r="E2522" s="5">
        <v>104.4</v>
      </c>
      <c r="F2522" s="5">
        <v>203.5</v>
      </c>
      <c r="G2522" s="5">
        <v>101.5</v>
      </c>
      <c r="H2522" s="5">
        <v>101.7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104.3</v>
      </c>
      <c r="D2523" s="5">
        <v>0.1</v>
      </c>
      <c r="E2523" s="5">
        <v>104.4</v>
      </c>
      <c r="F2523" s="5">
        <v>207.7</v>
      </c>
      <c r="G2523" s="5">
        <v>103.1</v>
      </c>
      <c r="H2523" s="5">
        <v>102.9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104.3</v>
      </c>
      <c r="D2524" s="5">
        <v>0.1</v>
      </c>
      <c r="E2524" s="5">
        <v>104.4</v>
      </c>
      <c r="F2524" s="5">
        <v>207.7</v>
      </c>
      <c r="G2524" s="5">
        <v>103.1</v>
      </c>
      <c r="H2524" s="5">
        <v>102.9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104.4</v>
      </c>
      <c r="D2525" s="5">
        <v>0.1</v>
      </c>
      <c r="E2525" s="5">
        <v>104.6</v>
      </c>
      <c r="F2525" s="5">
        <v>207.9</v>
      </c>
      <c r="G2525" s="5">
        <v>103.3</v>
      </c>
      <c r="H2525" s="5">
        <v>103.1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104.4</v>
      </c>
      <c r="D2526" s="5">
        <v>0.1</v>
      </c>
      <c r="E2526" s="5">
        <v>104.6</v>
      </c>
      <c r="F2526" s="5">
        <v>207.9</v>
      </c>
      <c r="G2526" s="5">
        <v>103.3</v>
      </c>
      <c r="H2526" s="5">
        <v>103.1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105.3</v>
      </c>
      <c r="D2527" s="5">
        <v>0.1</v>
      </c>
      <c r="E2527" s="5">
        <v>105.4</v>
      </c>
      <c r="F2527" s="5">
        <v>208.5</v>
      </c>
      <c r="G2527" s="5">
        <v>103.5</v>
      </c>
      <c r="H2527" s="5">
        <v>103.3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105.3</v>
      </c>
      <c r="D2528" s="5">
        <v>0.1</v>
      </c>
      <c r="E2528" s="5">
        <v>105.4</v>
      </c>
      <c r="F2528" s="5">
        <v>208.5</v>
      </c>
      <c r="G2528" s="5">
        <v>103.5</v>
      </c>
      <c r="H2528" s="5">
        <v>103.3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105.3</v>
      </c>
      <c r="D2529" s="5">
        <v>0.1</v>
      </c>
      <c r="E2529" s="5">
        <v>105.4</v>
      </c>
      <c r="F2529" s="5">
        <v>208.5</v>
      </c>
      <c r="G2529" s="5">
        <v>103.5</v>
      </c>
      <c r="H2529" s="5">
        <v>103.3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105.3</v>
      </c>
      <c r="D2530" s="5">
        <v>0.1</v>
      </c>
      <c r="E2530" s="5">
        <v>105.4</v>
      </c>
      <c r="F2530" s="5">
        <v>208.5</v>
      </c>
      <c r="G2530" s="5">
        <v>103.5</v>
      </c>
      <c r="H2530" s="5">
        <v>103.3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103.8</v>
      </c>
      <c r="D2531" s="5">
        <v>0.1</v>
      </c>
      <c r="E2531" s="5">
        <v>104</v>
      </c>
      <c r="F2531" s="5">
        <v>207</v>
      </c>
      <c r="G2531" s="5">
        <v>102.9</v>
      </c>
      <c r="H2531" s="5">
        <v>102.7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103.8</v>
      </c>
      <c r="D2532" s="5">
        <v>0.1</v>
      </c>
      <c r="E2532" s="5">
        <v>104</v>
      </c>
      <c r="F2532" s="5">
        <v>207</v>
      </c>
      <c r="G2532" s="5">
        <v>102.9</v>
      </c>
      <c r="H2532" s="5">
        <v>102.7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104.3</v>
      </c>
      <c r="D2533" s="5">
        <v>0.1</v>
      </c>
      <c r="E2533" s="5">
        <v>104.5</v>
      </c>
      <c r="F2533" s="5">
        <v>207.3</v>
      </c>
      <c r="G2533" s="5">
        <v>103</v>
      </c>
      <c r="H2533" s="5">
        <v>102.9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104.3</v>
      </c>
      <c r="D2534" s="5">
        <v>0.1</v>
      </c>
      <c r="E2534" s="5">
        <v>104.5</v>
      </c>
      <c r="F2534" s="5">
        <v>207.3</v>
      </c>
      <c r="G2534" s="5">
        <v>103</v>
      </c>
      <c r="H2534" s="5">
        <v>102.9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99.1</v>
      </c>
      <c r="D2535" s="5">
        <v>0.1</v>
      </c>
      <c r="E2535" s="5">
        <v>99.2</v>
      </c>
      <c r="F2535" s="5">
        <v>201.5</v>
      </c>
      <c r="G2535" s="5">
        <v>99.9</v>
      </c>
      <c r="H2535" s="5">
        <v>99.6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99.1</v>
      </c>
      <c r="D2536" s="5">
        <v>0.1</v>
      </c>
      <c r="E2536" s="5">
        <v>99.2</v>
      </c>
      <c r="F2536" s="5">
        <v>201.5</v>
      </c>
      <c r="G2536" s="5">
        <v>99.9</v>
      </c>
      <c r="H2536" s="5">
        <v>99.6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104.2</v>
      </c>
      <c r="D2537" s="5">
        <v>0.1</v>
      </c>
      <c r="E2537" s="5">
        <v>104.3</v>
      </c>
      <c r="F2537" s="5">
        <v>207.3</v>
      </c>
      <c r="G2537" s="5">
        <v>103</v>
      </c>
      <c r="H2537" s="5">
        <v>102.8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104.2</v>
      </c>
      <c r="D2538" s="5">
        <v>0.1</v>
      </c>
      <c r="E2538" s="5">
        <v>104.3</v>
      </c>
      <c r="F2538" s="5">
        <v>207.3</v>
      </c>
      <c r="G2538" s="5">
        <v>103</v>
      </c>
      <c r="H2538" s="5">
        <v>102.8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104.2</v>
      </c>
      <c r="D2539" s="5">
        <v>0.1</v>
      </c>
      <c r="E2539" s="5">
        <v>104.3</v>
      </c>
      <c r="F2539" s="5">
        <v>207.3</v>
      </c>
      <c r="G2539" s="5">
        <v>103</v>
      </c>
      <c r="H2539" s="5">
        <v>102.8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98.2</v>
      </c>
      <c r="D2540" s="5">
        <v>0.1</v>
      </c>
      <c r="E2540" s="5">
        <v>98.3</v>
      </c>
      <c r="F2540" s="5">
        <v>196.1</v>
      </c>
      <c r="G2540" s="5">
        <v>97.4</v>
      </c>
      <c r="H2540" s="5">
        <v>97.3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98.2</v>
      </c>
      <c r="D2541" s="5">
        <v>0.1</v>
      </c>
      <c r="E2541" s="5">
        <v>98.3</v>
      </c>
      <c r="F2541" s="5">
        <v>196.1</v>
      </c>
      <c r="G2541" s="5">
        <v>97.4</v>
      </c>
      <c r="H2541" s="5">
        <v>97.3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98.3</v>
      </c>
      <c r="D2542" s="5">
        <v>0.1</v>
      </c>
      <c r="E2542" s="5">
        <v>98.5</v>
      </c>
      <c r="F2542" s="5">
        <v>195.6</v>
      </c>
      <c r="G2542" s="5">
        <v>97.2</v>
      </c>
      <c r="H2542" s="5">
        <v>97.5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98.3</v>
      </c>
      <c r="D2543" s="5">
        <v>0.1</v>
      </c>
      <c r="E2543" s="5">
        <v>98.5</v>
      </c>
      <c r="F2543" s="5">
        <v>195.6</v>
      </c>
      <c r="G2543" s="5">
        <v>97.2</v>
      </c>
      <c r="H2543" s="5">
        <v>97.5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98.6</v>
      </c>
      <c r="D2544" s="5">
        <v>0.1</v>
      </c>
      <c r="E2544" s="5">
        <v>98.8</v>
      </c>
      <c r="F2544" s="5">
        <v>200.4</v>
      </c>
      <c r="G2544" s="5">
        <v>99.3</v>
      </c>
      <c r="H2544" s="5">
        <v>99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98.6</v>
      </c>
      <c r="D2545" s="5">
        <v>0.1</v>
      </c>
      <c r="E2545" s="5">
        <v>98.8</v>
      </c>
      <c r="F2545" s="5">
        <v>200.4</v>
      </c>
      <c r="G2545" s="5">
        <v>99.3</v>
      </c>
      <c r="H2545" s="5">
        <v>99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103.3</v>
      </c>
      <c r="D2546" s="5">
        <v>0.1</v>
      </c>
      <c r="E2546" s="5">
        <v>103.4</v>
      </c>
      <c r="F2546" s="5">
        <v>205.3</v>
      </c>
      <c r="G2546" s="5">
        <v>102</v>
      </c>
      <c r="H2546" s="5">
        <v>101.9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103.3</v>
      </c>
      <c r="D2547" s="5">
        <v>0.1</v>
      </c>
      <c r="E2547" s="5">
        <v>103.4</v>
      </c>
      <c r="F2547" s="5">
        <v>205.3</v>
      </c>
      <c r="G2547" s="5">
        <v>102</v>
      </c>
      <c r="H2547" s="5">
        <v>101.9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103.3</v>
      </c>
      <c r="D2548" s="5">
        <v>0.1</v>
      </c>
      <c r="E2548" s="5">
        <v>103.4</v>
      </c>
      <c r="F2548" s="5">
        <v>205.3</v>
      </c>
      <c r="G2548" s="5">
        <v>102</v>
      </c>
      <c r="H2548" s="5">
        <v>101.9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103.3</v>
      </c>
      <c r="D2549" s="5">
        <v>0.1</v>
      </c>
      <c r="E2549" s="5">
        <v>103.4</v>
      </c>
      <c r="F2549" s="5">
        <v>205.3</v>
      </c>
      <c r="G2549" s="5">
        <v>102</v>
      </c>
      <c r="H2549" s="5">
        <v>101.9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105.7</v>
      </c>
      <c r="D2550" s="5">
        <v>0.1</v>
      </c>
      <c r="E2550" s="5">
        <v>105.9</v>
      </c>
      <c r="F2550" s="5">
        <v>210.4</v>
      </c>
      <c r="G2550" s="5">
        <v>104.6</v>
      </c>
      <c r="H2550" s="5">
        <v>104.4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105.7</v>
      </c>
      <c r="D2551" s="5">
        <v>0.1</v>
      </c>
      <c r="E2551" s="5">
        <v>105.9</v>
      </c>
      <c r="F2551" s="5">
        <v>210.4</v>
      </c>
      <c r="G2551" s="5">
        <v>104.6</v>
      </c>
      <c r="H2551" s="5">
        <v>104.4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107</v>
      </c>
      <c r="D2552" s="5">
        <v>0.1</v>
      </c>
      <c r="E2552" s="5">
        <v>107.2</v>
      </c>
      <c r="F2552" s="5">
        <v>212.6</v>
      </c>
      <c r="G2552" s="5">
        <v>105.6</v>
      </c>
      <c r="H2552" s="5">
        <v>105.4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107</v>
      </c>
      <c r="D2553" s="5">
        <v>0.1</v>
      </c>
      <c r="E2553" s="5">
        <v>107.2</v>
      </c>
      <c r="F2553" s="5">
        <v>212.6</v>
      </c>
      <c r="G2553" s="5">
        <v>105.6</v>
      </c>
      <c r="H2553" s="5">
        <v>105.4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106.6</v>
      </c>
      <c r="D2554" s="5">
        <v>0.1</v>
      </c>
      <c r="E2554" s="5">
        <v>106.8</v>
      </c>
      <c r="F2554" s="5">
        <v>212.4</v>
      </c>
      <c r="G2554" s="5">
        <v>105.5</v>
      </c>
      <c r="H2554" s="5">
        <v>105.4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106.6</v>
      </c>
      <c r="D2555" s="5">
        <v>0.1</v>
      </c>
      <c r="E2555" s="5">
        <v>106.8</v>
      </c>
      <c r="F2555" s="5">
        <v>212.4</v>
      </c>
      <c r="G2555" s="5">
        <v>105.5</v>
      </c>
      <c r="H2555" s="5">
        <v>105.4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106.3</v>
      </c>
      <c r="D2556" s="5">
        <v>0.1</v>
      </c>
      <c r="E2556" s="5">
        <v>106.5</v>
      </c>
      <c r="F2556" s="5">
        <v>210.6</v>
      </c>
      <c r="G2556" s="5">
        <v>104.7</v>
      </c>
      <c r="H2556" s="5">
        <v>104.5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106.3</v>
      </c>
      <c r="D2557" s="5">
        <v>0.1</v>
      </c>
      <c r="E2557" s="5">
        <v>106.5</v>
      </c>
      <c r="F2557" s="5">
        <v>210.6</v>
      </c>
      <c r="G2557" s="5">
        <v>104.7</v>
      </c>
      <c r="H2557" s="5">
        <v>104.5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106.3</v>
      </c>
      <c r="D2558" s="5">
        <v>0.1</v>
      </c>
      <c r="E2558" s="5">
        <v>106.5</v>
      </c>
      <c r="F2558" s="5">
        <v>210.6</v>
      </c>
      <c r="G2558" s="5">
        <v>104.7</v>
      </c>
      <c r="H2558" s="5">
        <v>104.5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106.3</v>
      </c>
      <c r="D2559" s="5">
        <v>0.1</v>
      </c>
      <c r="E2559" s="5">
        <v>106.5</v>
      </c>
      <c r="F2559" s="5">
        <v>210.6</v>
      </c>
      <c r="G2559" s="5">
        <v>104.7</v>
      </c>
      <c r="H2559" s="5">
        <v>104.5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106.3</v>
      </c>
      <c r="D2560" s="5">
        <v>0.1</v>
      </c>
      <c r="E2560" s="5">
        <v>106.5</v>
      </c>
      <c r="F2560" s="5">
        <v>211.2</v>
      </c>
      <c r="G2560" s="5">
        <v>104.9</v>
      </c>
      <c r="H2560" s="5">
        <v>104.7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106.3</v>
      </c>
      <c r="D2561" s="5">
        <v>0.1</v>
      </c>
      <c r="E2561" s="5">
        <v>106.5</v>
      </c>
      <c r="F2561" s="5">
        <v>211.2</v>
      </c>
      <c r="G2561" s="5">
        <v>104.9</v>
      </c>
      <c r="H2561" s="5">
        <v>104.7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105.4</v>
      </c>
      <c r="D2562" s="5">
        <v>0.1</v>
      </c>
      <c r="E2562" s="5">
        <v>105.6</v>
      </c>
      <c r="F2562" s="5">
        <v>210</v>
      </c>
      <c r="G2562" s="5">
        <v>104.3</v>
      </c>
      <c r="H2562" s="5">
        <v>104.1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105.4</v>
      </c>
      <c r="D2563" s="5">
        <v>0.1</v>
      </c>
      <c r="E2563" s="5">
        <v>105.6</v>
      </c>
      <c r="F2563" s="5">
        <v>210</v>
      </c>
      <c r="G2563" s="5">
        <v>104.3</v>
      </c>
      <c r="H2563" s="5">
        <v>104.1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105.4</v>
      </c>
      <c r="D2564" s="5">
        <v>0.1</v>
      </c>
      <c r="E2564" s="5">
        <v>105.6</v>
      </c>
      <c r="F2564" s="5">
        <v>210</v>
      </c>
      <c r="G2564" s="5">
        <v>104.3</v>
      </c>
      <c r="H2564" s="5">
        <v>104.1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105.4</v>
      </c>
      <c r="D2565" s="5">
        <v>0.1</v>
      </c>
      <c r="E2565" s="5">
        <v>105.6</v>
      </c>
      <c r="F2565" s="5">
        <v>210</v>
      </c>
      <c r="G2565" s="5">
        <v>104.3</v>
      </c>
      <c r="H2565" s="5">
        <v>104.1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105.9</v>
      </c>
      <c r="D2566" s="5">
        <v>0.1</v>
      </c>
      <c r="E2566" s="5">
        <v>106</v>
      </c>
      <c r="F2566" s="5">
        <v>209.9</v>
      </c>
      <c r="G2566" s="5">
        <v>104.3</v>
      </c>
      <c r="H2566" s="5">
        <v>104.2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105.9</v>
      </c>
      <c r="D2567" s="5">
        <v>0.1</v>
      </c>
      <c r="E2567" s="5">
        <v>106</v>
      </c>
      <c r="F2567" s="5">
        <v>209.9</v>
      </c>
      <c r="G2567" s="5">
        <v>104.3</v>
      </c>
      <c r="H2567" s="5">
        <v>104.2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106.2</v>
      </c>
      <c r="D2568" s="5">
        <v>0.1</v>
      </c>
      <c r="E2568" s="5">
        <v>106.4</v>
      </c>
      <c r="F2568" s="5">
        <v>211.8</v>
      </c>
      <c r="G2568" s="5">
        <v>105.3</v>
      </c>
      <c r="H2568" s="5">
        <v>105.2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106.2</v>
      </c>
      <c r="D2569" s="5">
        <v>0.1</v>
      </c>
      <c r="E2569" s="5">
        <v>106.4</v>
      </c>
      <c r="F2569" s="5">
        <v>211.8</v>
      </c>
      <c r="G2569" s="5">
        <v>105.3</v>
      </c>
      <c r="H2569" s="5">
        <v>105.2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107.1</v>
      </c>
      <c r="D2570" s="5">
        <v>0.1</v>
      </c>
      <c r="E2570" s="5">
        <v>107.2</v>
      </c>
      <c r="F2570" s="5">
        <v>212.8</v>
      </c>
      <c r="G2570" s="5">
        <v>105.7</v>
      </c>
      <c r="H2570" s="5">
        <v>105.6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107.1</v>
      </c>
      <c r="D2571" s="5">
        <v>0.1</v>
      </c>
      <c r="E2571" s="5">
        <v>107.2</v>
      </c>
      <c r="F2571" s="5">
        <v>212.8</v>
      </c>
      <c r="G2571" s="5">
        <v>105.7</v>
      </c>
      <c r="H2571" s="5">
        <v>105.6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106.6</v>
      </c>
      <c r="D2572" s="5">
        <v>0.1</v>
      </c>
      <c r="E2572" s="5">
        <v>106.7</v>
      </c>
      <c r="F2572" s="5">
        <v>211.7</v>
      </c>
      <c r="G2572" s="5">
        <v>105.2</v>
      </c>
      <c r="H2572" s="5">
        <v>105.1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106.6</v>
      </c>
      <c r="D2573" s="5">
        <v>0.1</v>
      </c>
      <c r="E2573" s="5">
        <v>106.7</v>
      </c>
      <c r="F2573" s="5">
        <v>211.7</v>
      </c>
      <c r="G2573" s="5">
        <v>105.2</v>
      </c>
      <c r="H2573" s="5">
        <v>105.1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106.6</v>
      </c>
      <c r="D2574" s="5">
        <v>0.1</v>
      </c>
      <c r="E2574" s="5">
        <v>106.7</v>
      </c>
      <c r="F2574" s="5">
        <v>211.7</v>
      </c>
      <c r="G2574" s="5">
        <v>105.2</v>
      </c>
      <c r="H2574" s="5">
        <v>105.1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106.6</v>
      </c>
      <c r="D2575" s="5">
        <v>0.1</v>
      </c>
      <c r="E2575" s="5">
        <v>106.7</v>
      </c>
      <c r="F2575" s="5">
        <v>211.7</v>
      </c>
      <c r="G2575" s="5">
        <v>105.2</v>
      </c>
      <c r="H2575" s="5">
        <v>105.1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106.3</v>
      </c>
      <c r="D2576" s="5">
        <v>0.1</v>
      </c>
      <c r="E2576" s="5">
        <v>106.5</v>
      </c>
      <c r="F2576" s="5">
        <v>211.2</v>
      </c>
      <c r="G2576" s="5">
        <v>105</v>
      </c>
      <c r="H2576" s="5">
        <v>104.9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106.3</v>
      </c>
      <c r="D2577" s="5">
        <v>0.1</v>
      </c>
      <c r="E2577" s="5">
        <v>106.5</v>
      </c>
      <c r="F2577" s="5">
        <v>211.2</v>
      </c>
      <c r="G2577" s="5">
        <v>105</v>
      </c>
      <c r="H2577" s="5">
        <v>104.9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106</v>
      </c>
      <c r="D2578" s="5">
        <v>0.1</v>
      </c>
      <c r="E2578" s="5">
        <v>106.2</v>
      </c>
      <c r="F2578" s="5">
        <v>211.1</v>
      </c>
      <c r="G2578" s="5">
        <v>104.9</v>
      </c>
      <c r="H2578" s="5">
        <v>104.7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106</v>
      </c>
      <c r="D2579" s="5">
        <v>0.1</v>
      </c>
      <c r="E2579" s="5">
        <v>106.2</v>
      </c>
      <c r="F2579" s="5">
        <v>211.1</v>
      </c>
      <c r="G2579" s="5">
        <v>104.9</v>
      </c>
      <c r="H2579" s="5">
        <v>104.7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105.6</v>
      </c>
      <c r="D2580" s="5">
        <v>0.1</v>
      </c>
      <c r="E2580" s="5">
        <v>105.7</v>
      </c>
      <c r="F2580" s="5">
        <v>209.9</v>
      </c>
      <c r="G2580" s="5">
        <v>104.3</v>
      </c>
      <c r="H2580" s="5">
        <v>104.2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105.6</v>
      </c>
      <c r="D2581" s="5">
        <v>0.1</v>
      </c>
      <c r="E2581" s="5">
        <v>105.7</v>
      </c>
      <c r="F2581" s="5">
        <v>209.9</v>
      </c>
      <c r="G2581" s="5">
        <v>104.3</v>
      </c>
      <c r="H2581" s="5">
        <v>104.2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105.9</v>
      </c>
      <c r="D2582" s="5">
        <v>0.1</v>
      </c>
      <c r="E2582" s="5">
        <v>106.1</v>
      </c>
      <c r="F2582" s="5">
        <v>210.5</v>
      </c>
      <c r="G2582" s="5">
        <v>104.6</v>
      </c>
      <c r="H2582" s="5">
        <v>104.5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105.9</v>
      </c>
      <c r="D2583" s="5">
        <v>0.1</v>
      </c>
      <c r="E2583" s="5">
        <v>106.1</v>
      </c>
      <c r="F2583" s="5">
        <v>210.5</v>
      </c>
      <c r="G2583" s="5">
        <v>104.6</v>
      </c>
      <c r="H2583" s="5">
        <v>104.5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105.9</v>
      </c>
      <c r="D2584" s="5">
        <v>0.1</v>
      </c>
      <c r="E2584" s="5">
        <v>106.1</v>
      </c>
      <c r="F2584" s="5">
        <v>210.5</v>
      </c>
      <c r="G2584" s="5">
        <v>104.6</v>
      </c>
      <c r="H2584" s="5">
        <v>104.5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105</v>
      </c>
      <c r="D2585" s="5">
        <v>0.1</v>
      </c>
      <c r="E2585" s="5">
        <v>105.2</v>
      </c>
      <c r="F2585" s="5">
        <v>210</v>
      </c>
      <c r="G2585" s="5">
        <v>104.3</v>
      </c>
      <c r="H2585" s="5">
        <v>104.1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105</v>
      </c>
      <c r="D2586" s="5">
        <v>0.1</v>
      </c>
      <c r="E2586" s="5">
        <v>105.2</v>
      </c>
      <c r="F2586" s="5">
        <v>210</v>
      </c>
      <c r="G2586" s="5">
        <v>104.3</v>
      </c>
      <c r="H2586" s="5">
        <v>104.1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106.1</v>
      </c>
      <c r="D2587" s="5">
        <v>0.1</v>
      </c>
      <c r="E2587" s="5">
        <v>106.2</v>
      </c>
      <c r="F2587" s="5">
        <v>210.8</v>
      </c>
      <c r="G2587" s="5">
        <v>104.8</v>
      </c>
      <c r="H2587" s="5">
        <v>104.6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106.1</v>
      </c>
      <c r="D2588" s="5">
        <v>0.1</v>
      </c>
      <c r="E2588" s="5">
        <v>106.2</v>
      </c>
      <c r="F2588" s="5">
        <v>210.8</v>
      </c>
      <c r="G2588" s="5">
        <v>104.8</v>
      </c>
      <c r="H2588" s="5">
        <v>104.6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105.9</v>
      </c>
      <c r="D2589" s="5">
        <v>0.1</v>
      </c>
      <c r="E2589" s="5">
        <v>106.1</v>
      </c>
      <c r="F2589" s="5">
        <v>210.9</v>
      </c>
      <c r="G2589" s="5">
        <v>104.8</v>
      </c>
      <c r="H2589" s="5">
        <v>104.7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105.9</v>
      </c>
      <c r="D2590" s="5">
        <v>0.1</v>
      </c>
      <c r="E2590" s="5">
        <v>106.1</v>
      </c>
      <c r="F2590" s="5">
        <v>210.9</v>
      </c>
      <c r="G2590" s="5">
        <v>104.8</v>
      </c>
      <c r="H2590" s="5">
        <v>104.7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106.9</v>
      </c>
      <c r="D2591" s="5">
        <v>0.1</v>
      </c>
      <c r="E2591" s="5">
        <v>107</v>
      </c>
      <c r="F2591" s="5">
        <v>212</v>
      </c>
      <c r="G2591" s="5">
        <v>105.3</v>
      </c>
      <c r="H2591" s="5">
        <v>104.7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106.9</v>
      </c>
      <c r="D2592" s="5">
        <v>0.1</v>
      </c>
      <c r="E2592" s="5">
        <v>107</v>
      </c>
      <c r="F2592" s="5">
        <v>212</v>
      </c>
      <c r="G2592" s="5">
        <v>105.3</v>
      </c>
      <c r="H2592" s="5">
        <v>105.2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106.9</v>
      </c>
      <c r="D2593" s="5">
        <v>0.1</v>
      </c>
      <c r="E2593" s="5">
        <v>107</v>
      </c>
      <c r="F2593" s="5">
        <v>212</v>
      </c>
      <c r="G2593" s="5">
        <v>105.3</v>
      </c>
      <c r="H2593" s="5">
        <v>105.2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106.9</v>
      </c>
      <c r="D2594" s="5">
        <v>0.1</v>
      </c>
      <c r="E2594" s="5">
        <v>107</v>
      </c>
      <c r="F2594" s="5">
        <v>212</v>
      </c>
      <c r="G2594" s="5">
        <v>105.3</v>
      </c>
      <c r="H2594" s="5">
        <v>105.2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106.9</v>
      </c>
      <c r="D2595" s="5">
        <v>0.1</v>
      </c>
      <c r="E2595" s="5">
        <v>107</v>
      </c>
      <c r="F2595" s="5">
        <v>212</v>
      </c>
      <c r="G2595" s="5">
        <v>105.3</v>
      </c>
      <c r="H2595" s="5">
        <v>105.2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107.2</v>
      </c>
      <c r="D2596" s="5">
        <v>0.1</v>
      </c>
      <c r="E2596" s="5">
        <v>107.3</v>
      </c>
      <c r="F2596" s="5">
        <v>213</v>
      </c>
      <c r="G2596" s="5">
        <v>105.9</v>
      </c>
      <c r="H2596" s="5">
        <v>105.8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107.2</v>
      </c>
      <c r="D2597" s="5">
        <v>0.1</v>
      </c>
      <c r="E2597" s="5">
        <v>107.3</v>
      </c>
      <c r="F2597" s="5">
        <v>213</v>
      </c>
      <c r="G2597" s="5">
        <v>105.9</v>
      </c>
      <c r="H2597" s="5">
        <v>105.8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106.9</v>
      </c>
      <c r="D2598" s="5">
        <v>0.1</v>
      </c>
      <c r="E2598" s="5">
        <v>107.1</v>
      </c>
      <c r="F2598" s="5">
        <v>212.8</v>
      </c>
      <c r="G2598" s="5">
        <v>105.7</v>
      </c>
      <c r="H2598" s="5">
        <v>105.6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106.9</v>
      </c>
      <c r="D2599" s="5">
        <v>0.1</v>
      </c>
      <c r="E2599" s="5">
        <v>107.1</v>
      </c>
      <c r="F2599" s="5">
        <v>212.8</v>
      </c>
      <c r="G2599" s="5">
        <v>105.7</v>
      </c>
      <c r="H2599" s="5">
        <v>105.6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106.9</v>
      </c>
      <c r="D2600" s="5">
        <v>0.1</v>
      </c>
      <c r="E2600" s="5">
        <v>107</v>
      </c>
      <c r="F2600" s="5">
        <v>212.6</v>
      </c>
      <c r="G2600" s="5">
        <v>105.6</v>
      </c>
      <c r="H2600" s="5">
        <v>105.5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106.9</v>
      </c>
      <c r="D2601" s="5">
        <v>0.1</v>
      </c>
      <c r="E2601" s="5">
        <v>107</v>
      </c>
      <c r="F2601" s="5">
        <v>212.6</v>
      </c>
      <c r="G2601" s="5">
        <v>105.6</v>
      </c>
      <c r="H2601" s="5">
        <v>105.5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106.9</v>
      </c>
      <c r="D2602" s="5">
        <v>0.1</v>
      </c>
      <c r="E2602" s="5">
        <v>107.1</v>
      </c>
      <c r="F2602" s="5">
        <v>212.7</v>
      </c>
      <c r="G2602" s="5">
        <v>105.7</v>
      </c>
      <c r="H2602" s="5">
        <v>105.6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106.9</v>
      </c>
      <c r="D2603" s="5">
        <v>0.1</v>
      </c>
      <c r="E2603" s="5">
        <v>107.1</v>
      </c>
      <c r="F2603" s="5">
        <v>212.7</v>
      </c>
      <c r="G2603" s="5">
        <v>105.7</v>
      </c>
      <c r="H2603" s="5">
        <v>105.6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106.9</v>
      </c>
      <c r="D2604" s="5">
        <v>0.1</v>
      </c>
      <c r="E2604" s="5">
        <v>107.1</v>
      </c>
      <c r="F2604" s="5">
        <v>212.7</v>
      </c>
      <c r="G2604" s="5">
        <v>105.7</v>
      </c>
      <c r="H2604" s="5">
        <v>105.6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106.9</v>
      </c>
      <c r="D2605" s="5">
        <v>0.1</v>
      </c>
      <c r="E2605" s="5">
        <v>107.1</v>
      </c>
      <c r="F2605" s="5">
        <v>212.7</v>
      </c>
      <c r="G2605" s="5">
        <v>105.7</v>
      </c>
      <c r="H2605" s="5">
        <v>105.6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107.2</v>
      </c>
      <c r="D2606" s="5">
        <v>0.1</v>
      </c>
      <c r="E2606" s="5">
        <v>107.3</v>
      </c>
      <c r="F2606" s="5">
        <v>212.9</v>
      </c>
      <c r="G2606" s="5">
        <v>105.8</v>
      </c>
      <c r="H2606" s="5">
        <v>105.7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107.2</v>
      </c>
      <c r="D2607" s="5">
        <v>0.1</v>
      </c>
      <c r="E2607" s="5">
        <v>107.3</v>
      </c>
      <c r="F2607" s="5">
        <v>212.9</v>
      </c>
      <c r="G2607" s="5">
        <v>105.8</v>
      </c>
      <c r="H2607" s="5">
        <v>105.7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106.9</v>
      </c>
      <c r="D2608" s="5">
        <v>0.1</v>
      </c>
      <c r="E2608" s="5">
        <v>107.1</v>
      </c>
      <c r="F2608" s="5">
        <v>212.2</v>
      </c>
      <c r="G2608" s="5">
        <v>105.4</v>
      </c>
      <c r="H2608" s="5">
        <v>105.3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106.9</v>
      </c>
      <c r="D2609" s="5">
        <v>0.1</v>
      </c>
      <c r="E2609" s="5">
        <v>107.1</v>
      </c>
      <c r="F2609" s="5">
        <v>212.2</v>
      </c>
      <c r="G2609" s="5">
        <v>105.4</v>
      </c>
      <c r="H2609" s="5">
        <v>105.3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107.2</v>
      </c>
      <c r="D2610" s="5">
        <v>0.1</v>
      </c>
      <c r="E2610" s="5">
        <v>107.3</v>
      </c>
      <c r="F2610" s="5">
        <v>212.8</v>
      </c>
      <c r="G2610" s="5">
        <v>105.8</v>
      </c>
      <c r="H2610" s="5">
        <v>105.6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107.2</v>
      </c>
      <c r="D2611" s="5">
        <v>0.1</v>
      </c>
      <c r="E2611" s="5">
        <v>107.3</v>
      </c>
      <c r="F2611" s="5">
        <v>212.8</v>
      </c>
      <c r="G2611" s="5">
        <v>105.8</v>
      </c>
      <c r="H2611" s="5">
        <v>105.6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107.2</v>
      </c>
      <c r="D2612" s="5">
        <v>0.1</v>
      </c>
      <c r="E2612" s="5">
        <v>107.4</v>
      </c>
      <c r="F2612" s="5">
        <v>213.3</v>
      </c>
      <c r="G2612" s="5">
        <v>105.9</v>
      </c>
      <c r="H2612" s="5">
        <v>105.8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107.2</v>
      </c>
      <c r="D2613" s="5">
        <v>0.1</v>
      </c>
      <c r="E2613" s="5">
        <v>107.4</v>
      </c>
      <c r="F2613" s="5">
        <v>213.3</v>
      </c>
      <c r="G2613" s="5">
        <v>105.9</v>
      </c>
      <c r="H2613" s="5">
        <v>105.8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107.2</v>
      </c>
      <c r="D2614" s="5">
        <v>0.1</v>
      </c>
      <c r="E2614" s="5">
        <v>107.4</v>
      </c>
      <c r="F2614" s="5">
        <v>213.3</v>
      </c>
      <c r="G2614" s="5">
        <v>105.9</v>
      </c>
      <c r="H2614" s="5">
        <v>105.8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106.8</v>
      </c>
      <c r="D2615" s="5">
        <v>0.1</v>
      </c>
      <c r="E2615" s="5">
        <v>106.9</v>
      </c>
      <c r="F2615" s="5">
        <v>212.7</v>
      </c>
      <c r="G2615" s="5">
        <v>105.7</v>
      </c>
      <c r="H2615" s="5">
        <v>105.5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106.8</v>
      </c>
      <c r="D2616" s="5">
        <v>0.1</v>
      </c>
      <c r="E2616" s="5">
        <v>106.9</v>
      </c>
      <c r="F2616" s="5">
        <v>212.7</v>
      </c>
      <c r="G2616" s="5">
        <v>105.7</v>
      </c>
      <c r="H2616" s="5">
        <v>105.5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107.3</v>
      </c>
      <c r="D2617" s="5">
        <v>0.1</v>
      </c>
      <c r="E2617" s="5">
        <v>107.5</v>
      </c>
      <c r="F2617" s="5">
        <v>213.9</v>
      </c>
      <c r="G2617" s="5">
        <v>106.3</v>
      </c>
      <c r="H2617" s="5">
        <v>106.1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107.3</v>
      </c>
      <c r="D2618" s="5">
        <v>0.1</v>
      </c>
      <c r="E2618" s="5">
        <v>107.5</v>
      </c>
      <c r="F2618" s="5">
        <v>213.9</v>
      </c>
      <c r="G2618" s="5">
        <v>106.3</v>
      </c>
      <c r="H2618" s="5">
        <v>106.1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107.3</v>
      </c>
      <c r="D2619" s="5">
        <v>0.1</v>
      </c>
      <c r="E2619" s="5">
        <v>107.9</v>
      </c>
      <c r="F2619" s="5">
        <v>214.2</v>
      </c>
      <c r="G2619" s="5">
        <v>106.4</v>
      </c>
      <c r="H2619" s="5">
        <v>106.3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107.8</v>
      </c>
      <c r="D2620" s="5">
        <v>0.1</v>
      </c>
      <c r="E2620" s="5">
        <v>107.9</v>
      </c>
      <c r="F2620" s="5">
        <v>214.2</v>
      </c>
      <c r="G2620" s="5">
        <v>106.4</v>
      </c>
      <c r="H2620" s="5">
        <v>106.3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107.8</v>
      </c>
      <c r="D2621" s="5">
        <v>0.1</v>
      </c>
      <c r="E2621" s="5">
        <v>108.6</v>
      </c>
      <c r="F2621" s="5">
        <v>213.8</v>
      </c>
      <c r="G2621" s="5">
        <v>106.3</v>
      </c>
      <c r="H2621" s="5">
        <v>106.2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108.5</v>
      </c>
      <c r="D2622" s="5">
        <v>0.1</v>
      </c>
      <c r="E2622" s="5">
        <v>108.6</v>
      </c>
      <c r="F2622" s="5">
        <v>213.8</v>
      </c>
      <c r="G2622" s="5">
        <v>106.3</v>
      </c>
      <c r="H2622" s="5">
        <v>106.2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108.5</v>
      </c>
      <c r="D2623" s="5">
        <v>0.1</v>
      </c>
      <c r="E2623" s="5">
        <v>108.6</v>
      </c>
      <c r="F2623" s="5">
        <v>213.8</v>
      </c>
      <c r="G2623" s="5">
        <v>106.3</v>
      </c>
      <c r="H2623" s="5">
        <v>106.2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108.5</v>
      </c>
      <c r="D2624" s="5">
        <v>0.1</v>
      </c>
      <c r="E2624" s="5">
        <v>108.6</v>
      </c>
      <c r="F2624" s="5">
        <v>213.8</v>
      </c>
      <c r="G2624" s="5">
        <v>106.3</v>
      </c>
      <c r="H2624" s="5">
        <v>106.2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107.3</v>
      </c>
      <c r="D2625" s="5">
        <v>0.1</v>
      </c>
      <c r="E2625" s="5">
        <v>107.5</v>
      </c>
      <c r="F2625" s="5">
        <v>213</v>
      </c>
      <c r="G2625" s="5">
        <v>105.9</v>
      </c>
      <c r="H2625" s="5">
        <v>105.8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107.3</v>
      </c>
      <c r="D2626" s="5">
        <v>0.1</v>
      </c>
      <c r="E2626" s="5">
        <v>107.5</v>
      </c>
      <c r="F2626" s="5">
        <v>213</v>
      </c>
      <c r="G2626" s="5">
        <v>105.9</v>
      </c>
      <c r="H2626" s="5">
        <v>105.8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107</v>
      </c>
      <c r="D2627" s="5">
        <v>0.1</v>
      </c>
      <c r="E2627" s="5">
        <v>107.2</v>
      </c>
      <c r="F2627" s="5">
        <v>213.1</v>
      </c>
      <c r="G2627" s="5">
        <v>105.8</v>
      </c>
      <c r="H2627" s="5">
        <v>105.7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107</v>
      </c>
      <c r="D2628" s="5">
        <v>0.1</v>
      </c>
      <c r="E2628" s="5">
        <v>107.2</v>
      </c>
      <c r="F2628" s="5">
        <v>213.1</v>
      </c>
      <c r="G2628" s="5">
        <v>105.8</v>
      </c>
      <c r="H2628" s="5">
        <v>105.7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107.3</v>
      </c>
      <c r="D2629" s="5">
        <v>0.1</v>
      </c>
      <c r="E2629" s="5">
        <v>107.5</v>
      </c>
      <c r="F2629" s="5">
        <v>213.5</v>
      </c>
      <c r="G2629" s="5">
        <v>106.1</v>
      </c>
      <c r="H2629" s="5">
        <v>105.9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107.3</v>
      </c>
      <c r="D2630" s="5">
        <v>0.1</v>
      </c>
      <c r="E2630" s="5">
        <v>107.5</v>
      </c>
      <c r="F2630" s="5">
        <v>213.5</v>
      </c>
      <c r="G2630" s="5">
        <v>106.1</v>
      </c>
      <c r="H2630" s="5">
        <v>105.9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108.1</v>
      </c>
      <c r="D2631" s="5">
        <v>0.1</v>
      </c>
      <c r="E2631" s="5">
        <v>108.3</v>
      </c>
      <c r="F2631" s="5">
        <v>214.2</v>
      </c>
      <c r="G2631" s="5">
        <v>106.4</v>
      </c>
      <c r="H2631" s="5">
        <v>106.3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108.1</v>
      </c>
      <c r="D2632" s="5">
        <v>0.1</v>
      </c>
      <c r="E2632" s="5">
        <v>108.3</v>
      </c>
      <c r="F2632" s="5">
        <v>214.2</v>
      </c>
      <c r="G2632" s="5">
        <v>106.4</v>
      </c>
      <c r="H2632" s="5">
        <v>106.3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108.1</v>
      </c>
      <c r="D2633" s="5">
        <v>0.1</v>
      </c>
      <c r="E2633" s="5">
        <v>108.3</v>
      </c>
      <c r="F2633" s="5">
        <v>214.2</v>
      </c>
      <c r="G2633" s="5">
        <v>106.4</v>
      </c>
      <c r="H2633" s="5">
        <v>106.3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108.1</v>
      </c>
      <c r="D2634" s="5">
        <v>0.1</v>
      </c>
      <c r="E2634" s="5">
        <v>108.3</v>
      </c>
      <c r="F2634" s="5">
        <v>214.2</v>
      </c>
      <c r="G2634" s="5">
        <v>106.4</v>
      </c>
      <c r="H2634" s="5">
        <v>106.3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106.9</v>
      </c>
      <c r="D2635" s="5">
        <v>0.1</v>
      </c>
      <c r="E2635" s="5">
        <v>106.9</v>
      </c>
      <c r="F2635" s="5">
        <v>212.8</v>
      </c>
      <c r="G2635" s="5">
        <v>105.7</v>
      </c>
      <c r="H2635" s="5">
        <v>105.5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106.9</v>
      </c>
      <c r="D2636" s="5">
        <v>0.1</v>
      </c>
      <c r="E2636" s="5">
        <v>106.9</v>
      </c>
      <c r="F2636" s="5">
        <v>212.8</v>
      </c>
      <c r="G2636" s="5">
        <v>105.7</v>
      </c>
      <c r="H2636" s="5">
        <v>105.5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107.2</v>
      </c>
      <c r="D2637" s="5">
        <v>0.1</v>
      </c>
      <c r="E2637" s="5">
        <v>107.4</v>
      </c>
      <c r="F2637" s="5">
        <v>213.6</v>
      </c>
      <c r="G2637" s="5">
        <v>106.2</v>
      </c>
      <c r="H2637" s="5">
        <v>106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107.2</v>
      </c>
      <c r="D2638" s="5">
        <v>0.1</v>
      </c>
      <c r="E2638" s="5">
        <v>107.4</v>
      </c>
      <c r="F2638" s="5">
        <v>213.6</v>
      </c>
      <c r="G2638" s="5">
        <v>106.2</v>
      </c>
      <c r="H2638" s="5">
        <v>106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106.8</v>
      </c>
      <c r="D2639" s="5">
        <v>0.1</v>
      </c>
      <c r="E2639" s="5">
        <v>106.9</v>
      </c>
      <c r="F2639" s="5">
        <v>212.5</v>
      </c>
      <c r="G2639" s="5">
        <v>105.6</v>
      </c>
      <c r="H2639" s="5">
        <v>105.4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106.8</v>
      </c>
      <c r="D2640" s="5">
        <v>0.1</v>
      </c>
      <c r="E2640" s="5">
        <v>106.9</v>
      </c>
      <c r="F2640" s="5">
        <v>212.5</v>
      </c>
      <c r="G2640" s="5">
        <v>105.6</v>
      </c>
      <c r="H2640" s="5">
        <v>105.4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106.9</v>
      </c>
      <c r="D2641" s="5">
        <v>0.1</v>
      </c>
      <c r="E2641" s="5">
        <v>107.1</v>
      </c>
      <c r="F2641" s="5">
        <v>212.6</v>
      </c>
      <c r="G2641" s="5">
        <v>105.6</v>
      </c>
      <c r="H2641" s="5">
        <v>105.5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106.9</v>
      </c>
      <c r="D2642" s="5">
        <v>0.1</v>
      </c>
      <c r="E2642" s="5">
        <v>107.1</v>
      </c>
      <c r="F2642" s="5">
        <v>212.6</v>
      </c>
      <c r="G2642" s="5">
        <v>105.6</v>
      </c>
      <c r="H2642" s="5">
        <v>105.5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106.9</v>
      </c>
      <c r="D2643" s="5">
        <v>0.1</v>
      </c>
      <c r="E2643" s="5">
        <v>107.1</v>
      </c>
      <c r="F2643" s="5">
        <v>212.6</v>
      </c>
      <c r="G2643" s="5">
        <v>105.6</v>
      </c>
      <c r="H2643" s="5">
        <v>105.5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106.9</v>
      </c>
      <c r="D2644" s="5">
        <v>0.1</v>
      </c>
      <c r="E2644" s="5">
        <v>107.1</v>
      </c>
      <c r="F2644" s="5">
        <v>212.6</v>
      </c>
      <c r="G2644" s="5">
        <v>105.6</v>
      </c>
      <c r="H2644" s="5">
        <v>105.5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107.4</v>
      </c>
      <c r="D2645" s="5">
        <v>0.1</v>
      </c>
      <c r="E2645" s="5">
        <v>107.5</v>
      </c>
      <c r="F2645" s="5">
        <v>214.2</v>
      </c>
      <c r="G2645" s="5">
        <v>106.4</v>
      </c>
      <c r="H2645" s="5">
        <v>106.1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107.4</v>
      </c>
      <c r="D2646" s="5">
        <v>0.1</v>
      </c>
      <c r="E2646" s="5">
        <v>107.5</v>
      </c>
      <c r="F2646" s="5">
        <v>214.2</v>
      </c>
      <c r="G2646" s="5">
        <v>106.4</v>
      </c>
      <c r="H2646" s="5">
        <v>106.1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107.1</v>
      </c>
      <c r="D2647" s="5">
        <v>0.1</v>
      </c>
      <c r="E2647" s="5">
        <v>107.2</v>
      </c>
      <c r="F2647" s="5">
        <v>212.5</v>
      </c>
      <c r="G2647" s="5">
        <v>105.6</v>
      </c>
      <c r="H2647" s="5">
        <v>105.4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107.1</v>
      </c>
      <c r="D2648" s="5">
        <v>0.1</v>
      </c>
      <c r="E2648" s="5">
        <v>107.2</v>
      </c>
      <c r="F2648" s="5">
        <v>212.5</v>
      </c>
      <c r="G2648" s="5">
        <v>105.6</v>
      </c>
      <c r="H2648" s="5">
        <v>105.4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106.9</v>
      </c>
      <c r="D2649" s="5">
        <v>0.1</v>
      </c>
      <c r="E2649" s="5">
        <v>107</v>
      </c>
      <c r="F2649" s="5">
        <v>212</v>
      </c>
      <c r="G2649" s="5">
        <v>105.4</v>
      </c>
      <c r="H2649" s="5">
        <v>105.2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106.9</v>
      </c>
      <c r="D2650" s="5">
        <v>0.1</v>
      </c>
      <c r="E2650" s="5">
        <v>107</v>
      </c>
      <c r="F2650" s="5">
        <v>212</v>
      </c>
      <c r="G2650" s="5">
        <v>105.4</v>
      </c>
      <c r="H2650" s="5">
        <v>105.2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105</v>
      </c>
      <c r="D2651" s="5">
        <v>0.1</v>
      </c>
      <c r="E2651" s="5">
        <v>105.2</v>
      </c>
      <c r="F2651" s="5">
        <v>209.9</v>
      </c>
      <c r="G2651" s="5">
        <v>104.2</v>
      </c>
      <c r="H2651" s="5">
        <v>104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105</v>
      </c>
      <c r="D2652" s="5">
        <v>0.1</v>
      </c>
      <c r="E2652" s="5">
        <v>105.2</v>
      </c>
      <c r="F2652" s="5">
        <v>209.9</v>
      </c>
      <c r="G2652" s="5">
        <v>104.2</v>
      </c>
      <c r="H2652" s="5">
        <v>104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105</v>
      </c>
      <c r="D2653" s="5">
        <v>0.1</v>
      </c>
      <c r="E2653" s="5">
        <v>105.2</v>
      </c>
      <c r="F2653" s="5">
        <v>209.9</v>
      </c>
      <c r="G2653" s="5">
        <v>104.2</v>
      </c>
      <c r="H2653" s="5">
        <v>104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105</v>
      </c>
      <c r="D2654" s="5">
        <v>0.1</v>
      </c>
      <c r="E2654" s="5">
        <v>105.2</v>
      </c>
      <c r="F2654" s="5">
        <v>209.9</v>
      </c>
      <c r="G2654" s="5">
        <v>104.2</v>
      </c>
      <c r="H2654" s="5">
        <v>104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105.8</v>
      </c>
      <c r="D2655" s="5">
        <v>0.1</v>
      </c>
      <c r="E2655" s="5">
        <v>105.9</v>
      </c>
      <c r="F2655" s="5">
        <v>210.8</v>
      </c>
      <c r="G2655" s="5">
        <v>104.7</v>
      </c>
      <c r="H2655" s="5">
        <v>104.5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105.8</v>
      </c>
      <c r="D2656" s="5">
        <v>0.1</v>
      </c>
      <c r="E2656" s="5">
        <v>105.9</v>
      </c>
      <c r="F2656" s="5">
        <v>210.8</v>
      </c>
      <c r="G2656" s="5">
        <v>104.7</v>
      </c>
      <c r="H2656" s="5">
        <v>104.5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105.6</v>
      </c>
      <c r="D2657" s="5">
        <v>0.1</v>
      </c>
      <c r="E2657" s="5">
        <v>105.7</v>
      </c>
      <c r="F2657" s="5">
        <v>210.5</v>
      </c>
      <c r="G2657" s="5">
        <v>104.6</v>
      </c>
      <c r="H2657" s="5">
        <v>104.5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105.6</v>
      </c>
      <c r="D2658" s="5">
        <v>0.1</v>
      </c>
      <c r="E2658" s="5">
        <v>105.7</v>
      </c>
      <c r="F2658" s="5">
        <v>210.5</v>
      </c>
      <c r="G2658" s="5">
        <v>104.6</v>
      </c>
      <c r="H2658" s="5">
        <v>104.5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106.5</v>
      </c>
      <c r="D2659" s="5">
        <v>0.1</v>
      </c>
      <c r="E2659" s="5">
        <v>106.6</v>
      </c>
      <c r="F2659" s="5">
        <v>211.8</v>
      </c>
      <c r="G2659" s="5">
        <v>105.3</v>
      </c>
      <c r="H2659" s="5">
        <v>105.1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106.5</v>
      </c>
      <c r="D2660" s="5">
        <v>0.1</v>
      </c>
      <c r="E2660" s="5">
        <v>106.6</v>
      </c>
      <c r="F2660" s="5">
        <v>211.8</v>
      </c>
      <c r="G2660" s="5">
        <v>105.3</v>
      </c>
      <c r="H2660" s="5">
        <v>105.1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105.7</v>
      </c>
      <c r="D2661" s="5">
        <v>0.1</v>
      </c>
      <c r="E2661" s="5">
        <v>105.9</v>
      </c>
      <c r="F2661" s="5">
        <v>210.3</v>
      </c>
      <c r="G2661" s="5">
        <v>104.5</v>
      </c>
      <c r="H2661" s="5">
        <v>104.3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105.7</v>
      </c>
      <c r="D2662" s="5">
        <v>0.1</v>
      </c>
      <c r="E2662" s="5">
        <v>105.9</v>
      </c>
      <c r="F2662" s="5">
        <v>210.3</v>
      </c>
      <c r="G2662" s="5">
        <v>104.5</v>
      </c>
      <c r="H2662" s="5">
        <v>104.3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105.7</v>
      </c>
      <c r="D2663" s="5">
        <v>0.1</v>
      </c>
      <c r="E2663" s="5">
        <v>105.9</v>
      </c>
      <c r="F2663" s="5">
        <v>210.3</v>
      </c>
      <c r="G2663" s="5">
        <v>104.5</v>
      </c>
      <c r="H2663" s="5">
        <v>104.3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105.7</v>
      </c>
      <c r="D2664" s="5">
        <v>0.1</v>
      </c>
      <c r="E2664" s="5">
        <v>105.9</v>
      </c>
      <c r="F2664" s="5">
        <v>210.3</v>
      </c>
      <c r="G2664" s="5">
        <v>104.5</v>
      </c>
      <c r="H2664" s="5">
        <v>104.3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105.7</v>
      </c>
      <c r="D2665" s="5">
        <v>0.1</v>
      </c>
      <c r="E2665" s="5">
        <v>105.9</v>
      </c>
      <c r="F2665" s="5">
        <v>210.3</v>
      </c>
      <c r="G2665" s="5">
        <v>104.5</v>
      </c>
      <c r="H2665" s="5">
        <v>104.3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105.7</v>
      </c>
      <c r="D2666" s="5">
        <v>0.1</v>
      </c>
      <c r="E2666" s="5">
        <v>105.9</v>
      </c>
      <c r="F2666" s="5">
        <v>210.3</v>
      </c>
      <c r="G2666" s="5">
        <v>104.5</v>
      </c>
      <c r="H2666" s="5">
        <v>104.3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106.2</v>
      </c>
      <c r="D2667" s="5">
        <v>0.1</v>
      </c>
      <c r="E2667" s="5">
        <v>106.2</v>
      </c>
      <c r="F2667" s="5">
        <v>210.3</v>
      </c>
      <c r="G2667" s="5">
        <v>104.5</v>
      </c>
      <c r="H2667" s="5">
        <v>104.4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106.2</v>
      </c>
      <c r="D2668" s="5">
        <v>0.1</v>
      </c>
      <c r="E2668" s="5">
        <v>106.2</v>
      </c>
      <c r="F2668" s="5">
        <v>210.3</v>
      </c>
      <c r="G2668" s="5">
        <v>104.5</v>
      </c>
      <c r="H2668" s="5">
        <v>104.4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105.9</v>
      </c>
      <c r="D2669" s="5">
        <v>0.1</v>
      </c>
      <c r="E2669" s="5">
        <v>106.1</v>
      </c>
      <c r="F2669" s="5">
        <v>210.2</v>
      </c>
      <c r="G2669" s="5">
        <v>104.4</v>
      </c>
      <c r="H2669" s="5">
        <v>104.3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105.9</v>
      </c>
      <c r="D2670" s="5">
        <v>0.1</v>
      </c>
      <c r="E2670" s="5">
        <v>106.1</v>
      </c>
      <c r="F2670" s="5">
        <v>210.2</v>
      </c>
      <c r="G2670" s="5">
        <v>104.4</v>
      </c>
      <c r="H2670" s="5">
        <v>104.3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107.3</v>
      </c>
      <c r="D2671" s="5">
        <v>0.1</v>
      </c>
      <c r="E2671" s="5">
        <v>107.4</v>
      </c>
      <c r="F2671" s="5">
        <v>212.3</v>
      </c>
      <c r="G2671" s="5">
        <v>105.4</v>
      </c>
      <c r="H2671" s="5">
        <v>105.1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107.3</v>
      </c>
      <c r="D2672" s="5">
        <v>0.1</v>
      </c>
      <c r="E2672" s="5">
        <v>107.4</v>
      </c>
      <c r="F2672" s="5">
        <v>212.3</v>
      </c>
      <c r="G2672" s="5">
        <v>105.4</v>
      </c>
      <c r="H2672" s="5">
        <v>105.1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107.3</v>
      </c>
      <c r="D2673" s="5">
        <v>0.1</v>
      </c>
      <c r="E2673" s="5">
        <v>107.4</v>
      </c>
      <c r="F2673" s="5">
        <v>212.3</v>
      </c>
      <c r="G2673" s="5">
        <v>105.4</v>
      </c>
      <c r="H2673" s="5">
        <v>105.1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107.3</v>
      </c>
      <c r="D2674" s="5">
        <v>0.1</v>
      </c>
      <c r="E2674" s="5">
        <v>107.4</v>
      </c>
      <c r="F2674" s="5">
        <v>212.3</v>
      </c>
      <c r="G2674" s="5">
        <v>105.4</v>
      </c>
      <c r="H2674" s="5">
        <v>105.1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105.6</v>
      </c>
      <c r="D2675" s="5">
        <v>0.1</v>
      </c>
      <c r="E2675" s="5">
        <v>105.8</v>
      </c>
      <c r="F2675" s="5">
        <v>210.9</v>
      </c>
      <c r="G2675" s="5">
        <v>104.8</v>
      </c>
      <c r="H2675" s="5">
        <v>104.7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105.6</v>
      </c>
      <c r="D2676" s="5">
        <v>0.1</v>
      </c>
      <c r="E2676" s="5">
        <v>105.8</v>
      </c>
      <c r="F2676" s="5">
        <v>210.9</v>
      </c>
      <c r="G2676" s="5">
        <v>104.8</v>
      </c>
      <c r="H2676" s="5">
        <v>104.7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105.9</v>
      </c>
      <c r="D2677" s="5">
        <v>0.1</v>
      </c>
      <c r="E2677" s="5">
        <v>106</v>
      </c>
      <c r="F2677" s="5">
        <v>209.8</v>
      </c>
      <c r="G2677" s="5">
        <v>104.1</v>
      </c>
      <c r="H2677" s="5">
        <v>103.7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105.9</v>
      </c>
      <c r="D2678" s="5">
        <v>0.1</v>
      </c>
      <c r="E2678" s="5">
        <v>106</v>
      </c>
      <c r="F2678" s="5">
        <v>209.8</v>
      </c>
      <c r="G2678" s="5">
        <v>104.1</v>
      </c>
      <c r="H2678" s="5">
        <v>103.7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106.6</v>
      </c>
      <c r="D2679" s="5">
        <v>0.1</v>
      </c>
      <c r="E2679" s="5">
        <v>106.7</v>
      </c>
      <c r="F2679" s="5">
        <v>210</v>
      </c>
      <c r="G2679" s="5">
        <v>104.4</v>
      </c>
      <c r="H2679" s="5">
        <v>104.3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106.6</v>
      </c>
      <c r="D2680" s="5">
        <v>0.1</v>
      </c>
      <c r="E2680" s="5">
        <v>106.7</v>
      </c>
      <c r="F2680" s="5">
        <v>210</v>
      </c>
      <c r="G2680" s="5">
        <v>104.4</v>
      </c>
      <c r="H2680" s="5">
        <v>104.3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106.9</v>
      </c>
      <c r="D2681" s="5">
        <v>0.1</v>
      </c>
      <c r="E2681" s="5">
        <v>107.1</v>
      </c>
      <c r="F2681" s="5">
        <v>212.2</v>
      </c>
      <c r="G2681" s="5">
        <v>105.4</v>
      </c>
      <c r="H2681" s="5">
        <v>105.3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106.9</v>
      </c>
      <c r="D2682" s="5">
        <v>0.1</v>
      </c>
      <c r="E2682" s="5">
        <v>107.1</v>
      </c>
      <c r="F2682" s="5">
        <v>212.2</v>
      </c>
      <c r="G2682" s="5">
        <v>105.4</v>
      </c>
      <c r="H2682" s="5">
        <v>105.3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106.9</v>
      </c>
      <c r="D2683" s="5">
        <v>0.1</v>
      </c>
      <c r="E2683" s="5">
        <v>107.1</v>
      </c>
      <c r="F2683" s="5">
        <v>212.2</v>
      </c>
      <c r="G2683" s="5">
        <v>105.4</v>
      </c>
      <c r="H2683" s="5">
        <v>105.3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106.9</v>
      </c>
      <c r="D2684" s="5">
        <v>0.1</v>
      </c>
      <c r="E2684" s="5">
        <v>107.1</v>
      </c>
      <c r="F2684" s="5">
        <v>212.2</v>
      </c>
      <c r="G2684" s="5">
        <v>105.4</v>
      </c>
      <c r="H2684" s="5">
        <v>105.3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105.9</v>
      </c>
      <c r="D2685" s="5">
        <v>0.1</v>
      </c>
      <c r="E2685" s="5">
        <v>106.1</v>
      </c>
      <c r="F2685" s="5">
        <v>210.1</v>
      </c>
      <c r="G2685" s="5">
        <v>104.4</v>
      </c>
      <c r="H2685" s="5">
        <v>104.3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105.9</v>
      </c>
      <c r="D2686" s="5">
        <v>0.1</v>
      </c>
      <c r="E2686" s="5">
        <v>106.1</v>
      </c>
      <c r="F2686" s="5">
        <v>210.1</v>
      </c>
      <c r="G2686" s="5">
        <v>104.4</v>
      </c>
      <c r="H2686" s="5">
        <v>104.3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106.5</v>
      </c>
      <c r="D2687" s="5">
        <v>0.1</v>
      </c>
      <c r="E2687" s="5">
        <v>106.6</v>
      </c>
      <c r="F2687" s="5">
        <v>211.7</v>
      </c>
      <c r="G2687" s="5">
        <v>105.2</v>
      </c>
      <c r="H2687" s="5">
        <v>105.1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106.5</v>
      </c>
      <c r="D2688" s="5">
        <v>0.1</v>
      </c>
      <c r="E2688" s="5">
        <v>106.6</v>
      </c>
      <c r="F2688" s="5">
        <v>211.7</v>
      </c>
      <c r="G2688" s="5">
        <v>105.2</v>
      </c>
      <c r="H2688" s="5">
        <v>105.1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106.1</v>
      </c>
      <c r="D2689" s="5">
        <v>0.1</v>
      </c>
      <c r="E2689" s="5">
        <v>106.2</v>
      </c>
      <c r="F2689" s="5">
        <v>211.4</v>
      </c>
      <c r="G2689" s="5">
        <v>105</v>
      </c>
      <c r="H2689" s="5">
        <v>104.9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106.1</v>
      </c>
      <c r="D2690" s="5">
        <v>0.1</v>
      </c>
      <c r="E2690" s="5">
        <v>106.2</v>
      </c>
      <c r="F2690" s="5">
        <v>211.4</v>
      </c>
      <c r="G2690" s="5">
        <v>105</v>
      </c>
      <c r="H2690" s="5">
        <v>104.9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106.9</v>
      </c>
      <c r="D2691" s="5">
        <v>0.1</v>
      </c>
      <c r="E2691" s="5">
        <v>107.1</v>
      </c>
      <c r="F2691" s="5">
        <v>213.1</v>
      </c>
      <c r="G2691" s="5">
        <v>105.9</v>
      </c>
      <c r="H2691" s="5">
        <v>105.7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106.9</v>
      </c>
      <c r="D2692" s="5">
        <v>0.1</v>
      </c>
      <c r="E2692" s="5">
        <v>107.1</v>
      </c>
      <c r="F2692" s="5">
        <v>213.1</v>
      </c>
      <c r="G2692" s="5">
        <v>105.9</v>
      </c>
      <c r="H2692" s="5">
        <v>105.7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106.9</v>
      </c>
      <c r="D2693" s="5">
        <v>0.1</v>
      </c>
      <c r="E2693" s="5">
        <v>107.1</v>
      </c>
      <c r="F2693" s="5">
        <v>213.1</v>
      </c>
      <c r="G2693" s="5">
        <v>105.9</v>
      </c>
      <c r="H2693" s="5">
        <v>105.7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106.9</v>
      </c>
      <c r="D2694" s="5">
        <v>0.1</v>
      </c>
      <c r="E2694" s="5">
        <v>107.1</v>
      </c>
      <c r="F2694" s="5">
        <v>213.1</v>
      </c>
      <c r="G2694" s="5">
        <v>105.9</v>
      </c>
      <c r="H2694" s="5">
        <v>105.7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107.8</v>
      </c>
      <c r="D2695" s="5">
        <v>0.1</v>
      </c>
      <c r="E2695" s="5">
        <v>108</v>
      </c>
      <c r="F2695" s="5">
        <v>213</v>
      </c>
      <c r="G2695" s="5">
        <v>105.9</v>
      </c>
      <c r="H2695" s="5">
        <v>105.8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107.8</v>
      </c>
      <c r="D2696" s="5">
        <v>0.1</v>
      </c>
      <c r="E2696" s="5">
        <v>108</v>
      </c>
      <c r="F2696" s="5">
        <v>213</v>
      </c>
      <c r="G2696" s="5">
        <v>105.9</v>
      </c>
      <c r="H2696" s="5">
        <v>105.8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107.5</v>
      </c>
      <c r="D2697" s="5">
        <v>0.1</v>
      </c>
      <c r="E2697" s="5">
        <v>107.6</v>
      </c>
      <c r="F2697" s="5">
        <v>212.2</v>
      </c>
      <c r="G2697" s="5">
        <v>105.5</v>
      </c>
      <c r="H2697" s="5">
        <v>105.3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107.5</v>
      </c>
      <c r="D2698" s="5">
        <v>0.1</v>
      </c>
      <c r="E2698" s="5">
        <v>107.6</v>
      </c>
      <c r="F2698" s="5">
        <v>212.2</v>
      </c>
      <c r="G2698" s="5">
        <v>105.5</v>
      </c>
      <c r="H2698" s="5">
        <v>105.3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106.6</v>
      </c>
      <c r="D2699" s="5">
        <v>0.1</v>
      </c>
      <c r="E2699" s="5">
        <v>106.7</v>
      </c>
      <c r="F2699" s="5">
        <v>211.8</v>
      </c>
      <c r="G2699" s="5">
        <v>105.2</v>
      </c>
      <c r="H2699" s="5">
        <v>105.1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106.6</v>
      </c>
      <c r="D2700" s="5">
        <v>0.1</v>
      </c>
      <c r="E2700" s="5">
        <v>106.7</v>
      </c>
      <c r="F2700" s="5">
        <v>211.8</v>
      </c>
      <c r="G2700" s="5">
        <v>105.2</v>
      </c>
      <c r="H2700" s="5">
        <v>105.1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106.2</v>
      </c>
      <c r="D2701" s="5">
        <v>0.1</v>
      </c>
      <c r="E2701" s="5">
        <v>106.4</v>
      </c>
      <c r="F2701" s="5">
        <v>211.1</v>
      </c>
      <c r="G2701" s="5">
        <v>104.9</v>
      </c>
      <c r="H2701" s="5">
        <v>104.7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106.2</v>
      </c>
      <c r="D2702" s="5">
        <v>0.1</v>
      </c>
      <c r="E2702" s="5">
        <v>106.4</v>
      </c>
      <c r="F2702" s="5">
        <v>211.1</v>
      </c>
      <c r="G2702" s="5">
        <v>104.9</v>
      </c>
      <c r="H2702" s="5">
        <v>104.7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106.2</v>
      </c>
      <c r="D2703" s="5">
        <v>0.1</v>
      </c>
      <c r="E2703" s="5">
        <v>106.4</v>
      </c>
      <c r="F2703" s="5">
        <v>211.1</v>
      </c>
      <c r="G2703" s="5">
        <v>104.9</v>
      </c>
      <c r="H2703" s="5">
        <v>104.7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106.2</v>
      </c>
      <c r="D2704" s="5">
        <v>0.1</v>
      </c>
      <c r="E2704" s="5">
        <v>106.4</v>
      </c>
      <c r="F2704" s="5">
        <v>211.1</v>
      </c>
      <c r="G2704" s="5">
        <v>104.9</v>
      </c>
      <c r="H2704" s="5">
        <v>105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106.6</v>
      </c>
      <c r="D2705" s="5">
        <v>0.1</v>
      </c>
      <c r="E2705" s="5">
        <v>106.7</v>
      </c>
      <c r="F2705" s="5">
        <v>211.5</v>
      </c>
      <c r="G2705" s="5">
        <v>105.1</v>
      </c>
      <c r="H2705" s="5">
        <v>105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106.6</v>
      </c>
      <c r="D2706" s="5">
        <v>0.1</v>
      </c>
      <c r="E2706" s="5">
        <v>106.7</v>
      </c>
      <c r="F2706" s="5">
        <v>211.5</v>
      </c>
      <c r="G2706" s="5">
        <v>105.1</v>
      </c>
      <c r="H2706" s="5">
        <v>105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105.1</v>
      </c>
      <c r="D2707" s="5">
        <v>0.1</v>
      </c>
      <c r="E2707" s="5">
        <v>105.2</v>
      </c>
      <c r="F2707" s="5">
        <v>210.2</v>
      </c>
      <c r="G2707" s="5">
        <v>104.4</v>
      </c>
      <c r="H2707" s="5">
        <v>104.2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105.1</v>
      </c>
      <c r="D2708" s="5">
        <v>0.1</v>
      </c>
      <c r="E2708" s="5">
        <v>105.2</v>
      </c>
      <c r="F2708" s="5">
        <v>210.2</v>
      </c>
      <c r="G2708" s="5">
        <v>104.4</v>
      </c>
      <c r="H2708" s="5">
        <v>104.2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106</v>
      </c>
      <c r="D2709" s="5">
        <v>0.1</v>
      </c>
      <c r="E2709" s="5">
        <v>106.2</v>
      </c>
      <c r="F2709" s="5">
        <v>210.6</v>
      </c>
      <c r="G2709" s="5">
        <v>104.7</v>
      </c>
      <c r="H2709" s="5">
        <v>104.5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106</v>
      </c>
      <c r="D2710" s="5">
        <v>0.1</v>
      </c>
      <c r="E2710" s="5">
        <v>106.2</v>
      </c>
      <c r="F2710" s="5">
        <v>210.6</v>
      </c>
      <c r="G2710" s="5">
        <v>104.7</v>
      </c>
      <c r="H2710" s="5">
        <v>104.5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106.1</v>
      </c>
      <c r="D2711" s="5">
        <v>0.1</v>
      </c>
      <c r="E2711" s="5">
        <v>106.2</v>
      </c>
      <c r="F2711" s="5">
        <v>210.9</v>
      </c>
      <c r="G2711" s="5">
        <v>104.7</v>
      </c>
      <c r="H2711" s="5">
        <v>104.6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106.1</v>
      </c>
      <c r="D2712" s="5">
        <v>0.1</v>
      </c>
      <c r="E2712" s="5">
        <v>106.2</v>
      </c>
      <c r="F2712" s="5">
        <v>210.9</v>
      </c>
      <c r="G2712" s="5">
        <v>104.7</v>
      </c>
      <c r="H2712" s="5">
        <v>104.6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106.1</v>
      </c>
      <c r="D2713" s="5">
        <v>0.1</v>
      </c>
      <c r="E2713" s="5">
        <v>106.2</v>
      </c>
      <c r="F2713" s="5">
        <v>210.9</v>
      </c>
      <c r="G2713" s="5">
        <v>104.7</v>
      </c>
      <c r="H2713" s="5">
        <v>104.6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106.1</v>
      </c>
      <c r="D2714" s="5">
        <v>0.1</v>
      </c>
      <c r="E2714" s="5">
        <v>106.2</v>
      </c>
      <c r="F2714" s="5">
        <v>210.9</v>
      </c>
      <c r="G2714" s="5">
        <v>104.7</v>
      </c>
      <c r="H2714" s="5">
        <v>104.6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98.9</v>
      </c>
      <c r="D2715" s="5">
        <v>0.1</v>
      </c>
      <c r="E2715" s="5">
        <v>99</v>
      </c>
      <c r="F2715" s="5">
        <v>198</v>
      </c>
      <c r="G2715" s="5">
        <v>98.2</v>
      </c>
      <c r="H2715" s="5">
        <v>98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98.9</v>
      </c>
      <c r="D2716" s="5">
        <v>0.1</v>
      </c>
      <c r="E2716" s="5">
        <v>99</v>
      </c>
      <c r="F2716" s="5">
        <v>198</v>
      </c>
      <c r="G2716" s="5">
        <v>98.2</v>
      </c>
      <c r="H2716" s="5">
        <v>98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105.9</v>
      </c>
      <c r="D2717" s="5">
        <v>0.1</v>
      </c>
      <c r="E2717" s="5">
        <v>106.1</v>
      </c>
      <c r="F2717" s="5">
        <v>209.7</v>
      </c>
      <c r="G2717" s="5">
        <v>104.3</v>
      </c>
      <c r="H2717" s="5">
        <v>104.3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105.9</v>
      </c>
      <c r="D2718" s="5">
        <v>0.1</v>
      </c>
      <c r="E2718" s="5">
        <v>106.1</v>
      </c>
      <c r="F2718" s="5">
        <v>209.7</v>
      </c>
      <c r="G2718" s="5">
        <v>104.3</v>
      </c>
      <c r="H2718" s="5">
        <v>104.3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101.1</v>
      </c>
      <c r="D2719" s="5">
        <v>0.1</v>
      </c>
      <c r="E2719" s="5">
        <v>101.2</v>
      </c>
      <c r="F2719" s="5">
        <v>199.9</v>
      </c>
      <c r="G2719" s="5">
        <v>99.3</v>
      </c>
      <c r="H2719" s="5">
        <v>99.2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101.1</v>
      </c>
      <c r="D2720" s="5">
        <v>0.1</v>
      </c>
      <c r="E2720" s="5">
        <v>101.2</v>
      </c>
      <c r="F2720" s="5">
        <v>199.9</v>
      </c>
      <c r="G2720" s="5">
        <v>99.3</v>
      </c>
      <c r="H2720" s="5">
        <v>99.2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106.3</v>
      </c>
      <c r="D2721" s="5">
        <v>0.1</v>
      </c>
      <c r="E2721" s="5">
        <v>106.5</v>
      </c>
      <c r="F2721" s="5">
        <v>208.9</v>
      </c>
      <c r="G2721" s="5">
        <v>103.8</v>
      </c>
      <c r="H2721" s="5">
        <v>103.7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106.3</v>
      </c>
      <c r="D2722" s="5">
        <v>0.1</v>
      </c>
      <c r="E2722" s="5">
        <v>106.5</v>
      </c>
      <c r="F2722" s="5">
        <v>208.9</v>
      </c>
      <c r="G2722" s="5">
        <v>103.8</v>
      </c>
      <c r="H2722" s="5">
        <v>103.7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106.3</v>
      </c>
      <c r="D2723" s="5">
        <v>0.1</v>
      </c>
      <c r="E2723" s="5">
        <v>106.5</v>
      </c>
      <c r="F2723" s="5">
        <v>208.9</v>
      </c>
      <c r="G2723" s="5">
        <v>103.8</v>
      </c>
      <c r="H2723" s="5">
        <v>103.7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106.3</v>
      </c>
      <c r="D2724" s="5">
        <v>0.1</v>
      </c>
      <c r="E2724" s="5">
        <v>106.5</v>
      </c>
      <c r="F2724" s="5">
        <v>208.9</v>
      </c>
      <c r="G2724" s="5">
        <v>103.8</v>
      </c>
      <c r="H2724" s="5">
        <v>103.7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102.9</v>
      </c>
      <c r="D2725" s="5">
        <v>0.1</v>
      </c>
      <c r="E2725" s="5">
        <v>103.1</v>
      </c>
      <c r="F2725" s="5">
        <v>204.2</v>
      </c>
      <c r="G2725" s="5">
        <v>101.5</v>
      </c>
      <c r="H2725" s="5">
        <v>101.3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102.9</v>
      </c>
      <c r="D2726" s="5">
        <v>0.1</v>
      </c>
      <c r="E2726" s="5">
        <v>103.1</v>
      </c>
      <c r="F2726" s="5">
        <v>204.2</v>
      </c>
      <c r="G2726" s="5">
        <v>101.5</v>
      </c>
      <c r="H2726" s="5">
        <v>101.3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102.9</v>
      </c>
      <c r="D2727" s="5">
        <v>0.1</v>
      </c>
      <c r="E2727" s="5">
        <v>103.1</v>
      </c>
      <c r="F2727" s="5">
        <v>204.2</v>
      </c>
      <c r="G2727" s="5">
        <v>101.5</v>
      </c>
      <c r="H2727" s="5">
        <v>101.3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102.9</v>
      </c>
      <c r="D2728" s="5">
        <v>0.1</v>
      </c>
      <c r="E2728" s="5">
        <v>103.1</v>
      </c>
      <c r="F2728" s="5">
        <v>204.2</v>
      </c>
      <c r="G2728" s="5">
        <v>101.5</v>
      </c>
      <c r="H2728" s="5">
        <v>101.3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102.9</v>
      </c>
      <c r="D2729" s="5">
        <v>0.1</v>
      </c>
      <c r="E2729" s="5">
        <v>103.1</v>
      </c>
      <c r="F2729" s="5">
        <v>204.2</v>
      </c>
      <c r="G2729" s="5">
        <v>101.5</v>
      </c>
      <c r="H2729" s="5">
        <v>101.3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102.9</v>
      </c>
      <c r="D2730" s="5">
        <v>0.1</v>
      </c>
      <c r="E2730" s="5">
        <v>103.1</v>
      </c>
      <c r="F2730" s="5">
        <v>204.2</v>
      </c>
      <c r="G2730" s="5">
        <v>101.5</v>
      </c>
      <c r="H2730" s="5">
        <v>101.3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104.8</v>
      </c>
      <c r="D2731" s="5">
        <v>0.1</v>
      </c>
      <c r="E2731" s="5">
        <v>104.9</v>
      </c>
      <c r="F2731" s="5">
        <v>203.3</v>
      </c>
      <c r="G2731" s="5">
        <v>101.2</v>
      </c>
      <c r="H2731" s="5">
        <v>101.3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104.8</v>
      </c>
      <c r="D2732" s="5">
        <v>0.1</v>
      </c>
      <c r="E2732" s="5">
        <v>104.9</v>
      </c>
      <c r="F2732" s="5">
        <v>203.3</v>
      </c>
      <c r="G2732" s="5">
        <v>101.2</v>
      </c>
      <c r="H2732" s="5">
        <v>101.3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104.8</v>
      </c>
      <c r="D2733" s="5">
        <v>0.1</v>
      </c>
      <c r="E2733" s="5">
        <v>104.9</v>
      </c>
      <c r="F2733" s="5">
        <v>203.3</v>
      </c>
      <c r="G2733" s="5">
        <v>101.2</v>
      </c>
      <c r="H2733" s="5">
        <v>101.3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104.8</v>
      </c>
      <c r="D2734" s="5">
        <v>0.1</v>
      </c>
      <c r="E2734" s="5">
        <v>104.9</v>
      </c>
      <c r="F2734" s="5">
        <v>203.3</v>
      </c>
      <c r="G2734" s="5">
        <v>101.2</v>
      </c>
      <c r="H2734" s="5">
        <v>101.3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106</v>
      </c>
      <c r="D2735" s="5">
        <v>0.1</v>
      </c>
      <c r="E2735" s="5">
        <v>106.2</v>
      </c>
      <c r="F2735" s="5">
        <v>210.7</v>
      </c>
      <c r="G2735" s="5">
        <v>104.7</v>
      </c>
      <c r="H2735" s="5">
        <v>104.6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106</v>
      </c>
      <c r="D2736" s="5">
        <v>0.1</v>
      </c>
      <c r="E2736" s="5">
        <v>106.2</v>
      </c>
      <c r="F2736" s="5">
        <v>210.7</v>
      </c>
      <c r="G2736" s="5">
        <v>104.7</v>
      </c>
      <c r="H2736" s="5">
        <v>104.6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106</v>
      </c>
      <c r="D2737" s="5">
        <v>0.1</v>
      </c>
      <c r="E2737" s="5">
        <v>106.2</v>
      </c>
      <c r="F2737" s="5">
        <v>210.8</v>
      </c>
      <c r="G2737" s="5">
        <v>104.7</v>
      </c>
      <c r="H2737" s="5">
        <v>104.6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106</v>
      </c>
      <c r="D2738" s="5">
        <v>0.1</v>
      </c>
      <c r="E2738" s="5">
        <v>106.2</v>
      </c>
      <c r="F2738" s="5">
        <v>210.8</v>
      </c>
      <c r="G2738" s="5">
        <v>104.7</v>
      </c>
      <c r="H2738" s="5">
        <v>104.6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105.7</v>
      </c>
      <c r="D2739" s="5">
        <v>0.1</v>
      </c>
      <c r="E2739" s="5">
        <v>105.9</v>
      </c>
      <c r="F2739" s="5">
        <v>210.6</v>
      </c>
      <c r="G2739" s="5">
        <v>104.6</v>
      </c>
      <c r="H2739" s="5">
        <v>104.4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105.7</v>
      </c>
      <c r="D2740" s="5">
        <v>0.1</v>
      </c>
      <c r="E2740" s="5">
        <v>105.9</v>
      </c>
      <c r="F2740" s="5">
        <v>210.6</v>
      </c>
      <c r="G2740" s="5">
        <v>104.6</v>
      </c>
      <c r="H2740" s="5">
        <v>104.4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106</v>
      </c>
      <c r="D2741" s="5">
        <v>0.1</v>
      </c>
      <c r="E2741" s="5">
        <v>106.2</v>
      </c>
      <c r="F2741" s="5">
        <v>210.1</v>
      </c>
      <c r="G2741" s="5">
        <v>104.4</v>
      </c>
      <c r="H2741" s="5">
        <v>104.3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106</v>
      </c>
      <c r="D2742" s="5">
        <v>0.1</v>
      </c>
      <c r="E2742" s="5">
        <v>106.2</v>
      </c>
      <c r="F2742" s="5">
        <v>210.1</v>
      </c>
      <c r="G2742" s="5">
        <v>104.4</v>
      </c>
      <c r="H2742" s="5">
        <v>104.3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106</v>
      </c>
      <c r="D2743" s="5">
        <v>0.1</v>
      </c>
      <c r="E2743" s="5">
        <v>106.2</v>
      </c>
      <c r="F2743" s="5">
        <v>210.1</v>
      </c>
      <c r="G2743" s="5">
        <v>104.4</v>
      </c>
      <c r="H2743" s="5">
        <v>104.3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106</v>
      </c>
      <c r="D2744" s="5">
        <v>0.1</v>
      </c>
      <c r="E2744" s="5">
        <v>106.2</v>
      </c>
      <c r="F2744" s="5">
        <v>210.9</v>
      </c>
      <c r="G2744" s="5">
        <v>104.8</v>
      </c>
      <c r="H2744" s="5">
        <v>104.7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106</v>
      </c>
      <c r="D2745" s="5">
        <v>0.1</v>
      </c>
      <c r="E2745" s="5">
        <v>106.2</v>
      </c>
      <c r="F2745" s="5">
        <v>210.9</v>
      </c>
      <c r="G2745" s="5">
        <v>104.8</v>
      </c>
      <c r="H2745" s="5">
        <v>104.7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107.5</v>
      </c>
      <c r="D2746" s="5">
        <v>0.1</v>
      </c>
      <c r="E2746" s="5">
        <v>107.6</v>
      </c>
      <c r="F2746" s="5">
        <v>213.3</v>
      </c>
      <c r="G2746" s="5">
        <v>106</v>
      </c>
      <c r="H2746" s="5">
        <v>105.9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107.5</v>
      </c>
      <c r="D2747" s="5">
        <v>0.1</v>
      </c>
      <c r="E2747" s="5">
        <v>107.6</v>
      </c>
      <c r="F2747" s="5">
        <v>213.3</v>
      </c>
      <c r="G2747" s="5">
        <v>106</v>
      </c>
      <c r="H2747" s="5">
        <v>105.9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106.4</v>
      </c>
      <c r="D2748" s="5">
        <v>0.1</v>
      </c>
      <c r="E2748" s="5">
        <v>106.6</v>
      </c>
      <c r="F2748" s="5">
        <v>211</v>
      </c>
      <c r="G2748" s="5">
        <v>104.9</v>
      </c>
      <c r="H2748" s="5">
        <v>104.8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106.4</v>
      </c>
      <c r="D2749" s="5">
        <v>0.1</v>
      </c>
      <c r="E2749" s="5">
        <v>106.6</v>
      </c>
      <c r="F2749" s="5">
        <v>211</v>
      </c>
      <c r="G2749" s="5">
        <v>104.9</v>
      </c>
      <c r="H2749" s="5">
        <v>104.8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106.4</v>
      </c>
      <c r="D2750" s="5">
        <v>0.1</v>
      </c>
      <c r="E2750" s="5">
        <v>106.9</v>
      </c>
      <c r="F2750" s="5">
        <v>212.2</v>
      </c>
      <c r="G2750" s="5">
        <v>105.4</v>
      </c>
      <c r="H2750" s="5">
        <v>105.3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106.8</v>
      </c>
      <c r="D2751" s="5">
        <v>0.1</v>
      </c>
      <c r="E2751" s="5">
        <v>106.9</v>
      </c>
      <c r="F2751" s="5">
        <v>212.2</v>
      </c>
      <c r="G2751" s="5">
        <v>105.4</v>
      </c>
      <c r="H2751" s="5">
        <v>105.3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106.8</v>
      </c>
      <c r="D2752" s="5">
        <v>0.1</v>
      </c>
      <c r="E2752" s="5">
        <v>106.9</v>
      </c>
      <c r="F2752" s="5">
        <v>212.2</v>
      </c>
      <c r="G2752" s="5">
        <v>105.4</v>
      </c>
      <c r="H2752" s="5">
        <v>105.3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106.8</v>
      </c>
      <c r="D2753" s="5">
        <v>0.1</v>
      </c>
      <c r="E2753" s="5">
        <v>106.9</v>
      </c>
      <c r="F2753" s="5">
        <v>212.2</v>
      </c>
      <c r="G2753" s="5">
        <v>105.4</v>
      </c>
      <c r="H2753" s="5">
        <v>105.3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107</v>
      </c>
      <c r="D2754" s="5">
        <v>0.1</v>
      </c>
      <c r="E2754" s="5">
        <v>107.2</v>
      </c>
      <c r="F2754" s="5">
        <v>212.8</v>
      </c>
      <c r="G2754" s="5">
        <v>105.7</v>
      </c>
      <c r="H2754" s="5">
        <v>105.6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107</v>
      </c>
      <c r="D2755" s="5">
        <v>0.1</v>
      </c>
      <c r="E2755" s="5">
        <v>107.2</v>
      </c>
      <c r="F2755" s="5">
        <v>212.8</v>
      </c>
      <c r="G2755" s="5">
        <v>105.7</v>
      </c>
      <c r="H2755" s="5">
        <v>105.6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107</v>
      </c>
      <c r="D2756" s="5">
        <v>0.1</v>
      </c>
      <c r="E2756" s="5">
        <v>107.2</v>
      </c>
      <c r="F2756" s="5">
        <v>213</v>
      </c>
      <c r="G2756" s="5">
        <v>105.9</v>
      </c>
      <c r="H2756" s="5">
        <v>105.6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106</v>
      </c>
      <c r="D2757" s="5">
        <v>0.1</v>
      </c>
      <c r="E2757" s="5">
        <v>106.2</v>
      </c>
      <c r="F2757" s="5">
        <v>211</v>
      </c>
      <c r="G2757" s="5">
        <v>104.8</v>
      </c>
      <c r="H2757" s="5">
        <v>104.7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106</v>
      </c>
      <c r="D2758" s="5">
        <v>0.1</v>
      </c>
      <c r="E2758" s="5">
        <v>106.2</v>
      </c>
      <c r="F2758" s="5">
        <v>211</v>
      </c>
      <c r="G2758" s="5">
        <v>104.8</v>
      </c>
      <c r="H2758" s="5">
        <v>104.7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106.6</v>
      </c>
      <c r="D2759" s="5">
        <v>0.1</v>
      </c>
      <c r="E2759" s="5">
        <v>106.8</v>
      </c>
      <c r="F2759" s="5">
        <v>212</v>
      </c>
      <c r="G2759" s="5">
        <v>105.4</v>
      </c>
      <c r="H2759" s="5">
        <v>105.2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106.6</v>
      </c>
      <c r="D2760" s="5">
        <v>0.1</v>
      </c>
      <c r="E2760" s="5">
        <v>106.8</v>
      </c>
      <c r="F2760" s="5">
        <v>212</v>
      </c>
      <c r="G2760" s="5">
        <v>105.4</v>
      </c>
      <c r="H2760" s="5">
        <v>105.2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106.6</v>
      </c>
      <c r="D2761" s="5">
        <v>0.1</v>
      </c>
      <c r="E2761" s="5">
        <v>106.8</v>
      </c>
      <c r="F2761" s="5">
        <v>212</v>
      </c>
      <c r="G2761" s="5">
        <v>105.4</v>
      </c>
      <c r="H2761" s="5">
        <v>105.2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106.2</v>
      </c>
      <c r="D2762" s="5">
        <v>0.1</v>
      </c>
      <c r="E2762" s="5">
        <v>106.3</v>
      </c>
      <c r="F2762" s="5">
        <v>211.1</v>
      </c>
      <c r="G2762" s="5">
        <v>104.9</v>
      </c>
      <c r="H2762" s="5">
        <v>104.7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106.2</v>
      </c>
      <c r="D2763" s="5">
        <v>0.1</v>
      </c>
      <c r="E2763" s="5">
        <v>106.3</v>
      </c>
      <c r="F2763" s="5">
        <v>211.1</v>
      </c>
      <c r="G2763" s="5">
        <v>104.9</v>
      </c>
      <c r="H2763" s="5">
        <v>104.7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105.9</v>
      </c>
      <c r="D2764" s="5">
        <v>0.1</v>
      </c>
      <c r="E2764" s="5">
        <v>106.1</v>
      </c>
      <c r="F2764" s="5">
        <v>210.9</v>
      </c>
      <c r="G2764" s="5">
        <v>104.8</v>
      </c>
      <c r="H2764" s="5">
        <v>104.7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105.9</v>
      </c>
      <c r="D2765" s="5">
        <v>0.1</v>
      </c>
      <c r="E2765" s="5">
        <v>106.1</v>
      </c>
      <c r="F2765" s="5">
        <v>210.9</v>
      </c>
      <c r="G2765" s="5">
        <v>104.8</v>
      </c>
      <c r="H2765" s="5">
        <v>104.7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106.5</v>
      </c>
      <c r="D2766" s="5">
        <v>0.1</v>
      </c>
      <c r="E2766" s="5">
        <v>106.6</v>
      </c>
      <c r="F2766" s="5">
        <v>211.4</v>
      </c>
      <c r="G2766" s="5">
        <v>105</v>
      </c>
      <c r="H2766" s="5">
        <v>104.9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106.5</v>
      </c>
      <c r="D2767" s="5">
        <v>0.1</v>
      </c>
      <c r="E2767" s="5">
        <v>106.6</v>
      </c>
      <c r="F2767" s="5">
        <v>211.4</v>
      </c>
      <c r="G2767" s="5">
        <v>105</v>
      </c>
      <c r="H2767" s="5">
        <v>104.9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106.5</v>
      </c>
      <c r="D2768" s="5">
        <v>0.1</v>
      </c>
      <c r="E2768" s="5">
        <v>107.1</v>
      </c>
      <c r="F2768" s="5">
        <v>212.2</v>
      </c>
      <c r="G2768" s="5">
        <v>105.5</v>
      </c>
      <c r="H2768" s="5">
        <v>105.3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106.9</v>
      </c>
      <c r="D2769" s="5">
        <v>0.1</v>
      </c>
      <c r="E2769" s="5">
        <v>107.1</v>
      </c>
      <c r="F2769" s="5">
        <v>212.2</v>
      </c>
      <c r="G2769" s="5">
        <v>105.5</v>
      </c>
      <c r="H2769" s="5">
        <v>105.3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106.9</v>
      </c>
      <c r="D2770" s="5">
        <v>0.1</v>
      </c>
      <c r="E2770" s="5">
        <v>107.1</v>
      </c>
      <c r="F2770" s="5">
        <v>212.2</v>
      </c>
      <c r="G2770" s="5">
        <v>105.5</v>
      </c>
      <c r="H2770" s="5">
        <v>105.3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106.9</v>
      </c>
      <c r="D2771" s="5">
        <v>0.1</v>
      </c>
      <c r="E2771" s="5">
        <v>107.1</v>
      </c>
      <c r="F2771" s="5">
        <v>212.2</v>
      </c>
      <c r="G2771" s="5">
        <v>105.5</v>
      </c>
      <c r="H2771" s="5">
        <v>105.3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106.6</v>
      </c>
      <c r="D2772" s="5">
        <v>0.1</v>
      </c>
      <c r="E2772" s="5">
        <v>106.8</v>
      </c>
      <c r="F2772" s="5">
        <v>212.5</v>
      </c>
      <c r="G2772" s="5">
        <v>105.6</v>
      </c>
      <c r="H2772" s="5">
        <v>105.4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106.6</v>
      </c>
      <c r="D2773" s="5">
        <v>0.1</v>
      </c>
      <c r="E2773" s="5">
        <v>106.8</v>
      </c>
      <c r="F2773" s="5">
        <v>212.5</v>
      </c>
      <c r="G2773" s="5">
        <v>105.6</v>
      </c>
      <c r="H2773" s="5">
        <v>105.4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106.4</v>
      </c>
      <c r="D2774" s="5">
        <v>0.1</v>
      </c>
      <c r="E2774" s="5">
        <v>106.6</v>
      </c>
      <c r="F2774" s="5">
        <v>211.9</v>
      </c>
      <c r="G2774" s="5">
        <v>105.3</v>
      </c>
      <c r="H2774" s="5">
        <v>105.1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106.4</v>
      </c>
      <c r="D2775" s="5">
        <v>0.1</v>
      </c>
      <c r="E2775" s="5">
        <v>106.6</v>
      </c>
      <c r="F2775" s="5">
        <v>211.9</v>
      </c>
      <c r="G2775" s="5">
        <v>105.3</v>
      </c>
      <c r="H2775" s="5">
        <v>105.1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106.8</v>
      </c>
      <c r="D2776" s="5">
        <v>0.1</v>
      </c>
      <c r="E2776" s="5">
        <v>106.9</v>
      </c>
      <c r="F2776" s="5">
        <v>212.3</v>
      </c>
      <c r="G2776" s="5">
        <v>105.5</v>
      </c>
      <c r="H2776" s="5">
        <v>105.4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106.8</v>
      </c>
      <c r="D2777" s="5">
        <v>0.1</v>
      </c>
      <c r="E2777" s="5">
        <v>106.9</v>
      </c>
      <c r="F2777" s="5">
        <v>212.3</v>
      </c>
      <c r="G2777" s="5">
        <v>105.5</v>
      </c>
      <c r="H2777" s="5">
        <v>105.4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106.1</v>
      </c>
      <c r="D2778" s="5">
        <v>0.1</v>
      </c>
      <c r="E2778" s="5">
        <v>106.2</v>
      </c>
      <c r="F2778" s="5">
        <v>212.2</v>
      </c>
      <c r="G2778" s="5">
        <v>105.4</v>
      </c>
      <c r="H2778" s="5">
        <v>105.2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106.1</v>
      </c>
      <c r="D2779" s="5">
        <v>0.1</v>
      </c>
      <c r="E2779" s="5">
        <v>106.2</v>
      </c>
      <c r="F2779" s="5">
        <v>212.2</v>
      </c>
      <c r="G2779" s="5">
        <v>105.4</v>
      </c>
      <c r="H2779" s="5">
        <v>105.2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106.1</v>
      </c>
      <c r="D2780" s="5">
        <v>0.1</v>
      </c>
      <c r="E2780" s="5">
        <v>106.2</v>
      </c>
      <c r="F2780" s="5">
        <v>212.2</v>
      </c>
      <c r="G2780" s="5">
        <v>105.4</v>
      </c>
      <c r="H2780" s="5">
        <v>105.2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106.1</v>
      </c>
      <c r="D2781" s="5">
        <v>0.1</v>
      </c>
      <c r="E2781" s="5">
        <v>106.2</v>
      </c>
      <c r="F2781" s="5">
        <v>212.2</v>
      </c>
      <c r="G2781" s="5">
        <v>105.4</v>
      </c>
      <c r="H2781" s="5">
        <v>105.2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102.1</v>
      </c>
      <c r="D2782" s="5">
        <v>0.1</v>
      </c>
      <c r="E2782" s="5">
        <v>102.2</v>
      </c>
      <c r="F2782" s="5">
        <v>203.7</v>
      </c>
      <c r="G2782" s="5">
        <v>101.4</v>
      </c>
      <c r="H2782" s="5">
        <v>101.4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102.1</v>
      </c>
      <c r="D2783" s="5">
        <v>0.1</v>
      </c>
      <c r="E2783" s="5">
        <v>102.2</v>
      </c>
      <c r="F2783" s="5">
        <v>203.7</v>
      </c>
      <c r="G2783" s="5">
        <v>101.4</v>
      </c>
      <c r="H2783" s="5">
        <v>101.4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100.5</v>
      </c>
      <c r="D2784" s="5">
        <v>0.1</v>
      </c>
      <c r="E2784" s="5">
        <v>100.7</v>
      </c>
      <c r="F2784" s="5">
        <v>202.5</v>
      </c>
      <c r="G2784" s="5">
        <v>100.4</v>
      </c>
      <c r="H2784" s="5">
        <v>100.1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100.5</v>
      </c>
      <c r="D2785" s="5">
        <v>0.1</v>
      </c>
      <c r="E2785" s="5">
        <v>100.7</v>
      </c>
      <c r="F2785" s="5">
        <v>202.5</v>
      </c>
      <c r="G2785" s="5">
        <v>100.4</v>
      </c>
      <c r="H2785" s="5">
        <v>100.1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105.5</v>
      </c>
      <c r="D2786" s="5">
        <v>0.1</v>
      </c>
      <c r="E2786" s="5">
        <v>105.6</v>
      </c>
      <c r="F2786" s="5">
        <v>208</v>
      </c>
      <c r="G2786" s="5">
        <v>103.5</v>
      </c>
      <c r="H2786" s="5">
        <v>103.4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105.5</v>
      </c>
      <c r="D2787" s="5">
        <v>0.1</v>
      </c>
      <c r="E2787" s="5">
        <v>105.6</v>
      </c>
      <c r="F2787" s="5">
        <v>208</v>
      </c>
      <c r="G2787" s="5">
        <v>103.5</v>
      </c>
      <c r="H2787" s="5">
        <v>103.4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106</v>
      </c>
      <c r="D2788" s="5">
        <v>0.1</v>
      </c>
      <c r="E2788" s="5">
        <v>106.2</v>
      </c>
      <c r="F2788" s="5">
        <v>210.9</v>
      </c>
      <c r="G2788" s="5">
        <v>104.8</v>
      </c>
      <c r="H2788" s="5">
        <v>104.7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106</v>
      </c>
      <c r="D2789" s="5">
        <v>0.1</v>
      </c>
      <c r="E2789" s="5">
        <v>106.2</v>
      </c>
      <c r="F2789" s="5">
        <v>210.9</v>
      </c>
      <c r="G2789" s="5">
        <v>104.8</v>
      </c>
      <c r="H2789" s="5">
        <v>104.7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106</v>
      </c>
      <c r="D2790" s="5">
        <v>0.1</v>
      </c>
      <c r="E2790" s="5">
        <v>106.2</v>
      </c>
      <c r="F2790" s="5">
        <v>210.9</v>
      </c>
      <c r="G2790" s="5">
        <v>104.8</v>
      </c>
      <c r="H2790" s="5">
        <v>104.7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106</v>
      </c>
      <c r="D2791" s="5">
        <v>0.1</v>
      </c>
      <c r="E2791" s="5">
        <v>106.2</v>
      </c>
      <c r="F2791" s="5">
        <v>210.9</v>
      </c>
      <c r="G2791" s="5">
        <v>104.8</v>
      </c>
      <c r="H2791" s="5">
        <v>104.7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106.6</v>
      </c>
      <c r="D2792" s="5">
        <v>0.1</v>
      </c>
      <c r="E2792" s="5">
        <v>106.7</v>
      </c>
      <c r="F2792" s="5">
        <v>209.2</v>
      </c>
      <c r="G2792" s="5">
        <v>104.1</v>
      </c>
      <c r="H2792" s="5">
        <v>101.4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106.6</v>
      </c>
      <c r="D2793" s="5">
        <v>0.1</v>
      </c>
      <c r="E2793" s="5">
        <v>106.7</v>
      </c>
      <c r="F2793" s="5">
        <v>209.2</v>
      </c>
      <c r="G2793" s="5">
        <v>104.1</v>
      </c>
      <c r="H2793" s="5">
        <v>101.4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105.9</v>
      </c>
      <c r="D2794" s="5">
        <v>0.1</v>
      </c>
      <c r="E2794" s="5">
        <v>106.1</v>
      </c>
      <c r="F2794" s="5">
        <v>211.1</v>
      </c>
      <c r="G2794" s="5">
        <v>104.9</v>
      </c>
      <c r="H2794" s="5">
        <v>104.8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105.9</v>
      </c>
      <c r="D2795" s="5">
        <v>0.1</v>
      </c>
      <c r="E2795" s="5">
        <v>106.1</v>
      </c>
      <c r="F2795" s="5">
        <v>211.1</v>
      </c>
      <c r="G2795" s="5">
        <v>104.9</v>
      </c>
      <c r="H2795" s="5">
        <v>104.8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105.9</v>
      </c>
      <c r="D2796" s="5">
        <v>0.1</v>
      </c>
      <c r="E2796" s="5">
        <v>106</v>
      </c>
      <c r="F2796" s="5">
        <v>210.4</v>
      </c>
      <c r="G2796" s="5">
        <v>104.5</v>
      </c>
      <c r="H2796" s="5">
        <v>104.4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105.9</v>
      </c>
      <c r="D2797" s="5">
        <v>0.1</v>
      </c>
      <c r="E2797" s="5">
        <v>106</v>
      </c>
      <c r="F2797" s="5">
        <v>210.4</v>
      </c>
      <c r="G2797" s="5">
        <v>104.5</v>
      </c>
      <c r="H2797" s="5">
        <v>104.4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99.6</v>
      </c>
      <c r="D2798" s="5">
        <v>0.1</v>
      </c>
      <c r="E2798" s="5">
        <v>99.8</v>
      </c>
      <c r="F2798" s="5">
        <v>198.4</v>
      </c>
      <c r="G2798" s="5">
        <v>98.6</v>
      </c>
      <c r="H2798" s="5">
        <v>100.1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99.6</v>
      </c>
      <c r="D2799" s="5">
        <v>0.1</v>
      </c>
      <c r="E2799" s="5">
        <v>99.8</v>
      </c>
      <c r="F2799" s="5">
        <v>198.4</v>
      </c>
      <c r="G2799" s="5">
        <v>98.6</v>
      </c>
      <c r="H2799" s="5">
        <v>100.1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99.6</v>
      </c>
      <c r="D2800" s="5">
        <v>0.1</v>
      </c>
      <c r="E2800" s="5">
        <v>99.8</v>
      </c>
      <c r="F2800" s="5">
        <v>198.4</v>
      </c>
      <c r="G2800" s="5">
        <v>98.6</v>
      </c>
      <c r="H2800" s="5">
        <v>100.1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99.6</v>
      </c>
      <c r="D2801" s="5">
        <v>0.1</v>
      </c>
      <c r="E2801" s="5">
        <v>99.8</v>
      </c>
      <c r="F2801" s="5">
        <v>198.4</v>
      </c>
      <c r="G2801" s="5">
        <v>98.6</v>
      </c>
      <c r="H2801" s="5">
        <v>100.1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103.7</v>
      </c>
      <c r="D2802" s="5">
        <v>0.1</v>
      </c>
      <c r="E2802" s="5">
        <v>103.8</v>
      </c>
      <c r="F2802" s="5">
        <v>198.7</v>
      </c>
      <c r="G2802" s="5">
        <v>99.2</v>
      </c>
      <c r="H2802" s="5">
        <v>99.5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103.7</v>
      </c>
      <c r="D2803" s="5">
        <v>0.1</v>
      </c>
      <c r="E2803" s="5">
        <v>103.8</v>
      </c>
      <c r="F2803" s="5">
        <v>198.7</v>
      </c>
      <c r="G2803" s="5">
        <v>99.2</v>
      </c>
      <c r="H2803" s="5">
        <v>99.5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104.9</v>
      </c>
      <c r="D2804" s="5">
        <v>0.1</v>
      </c>
      <c r="E2804" s="5">
        <v>105</v>
      </c>
      <c r="F2804" s="5">
        <v>209.3</v>
      </c>
      <c r="G2804" s="5">
        <v>104</v>
      </c>
      <c r="H2804" s="5">
        <v>103.9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104.9</v>
      </c>
      <c r="D2805" s="5">
        <v>0.1</v>
      </c>
      <c r="E2805" s="5">
        <v>105</v>
      </c>
      <c r="F2805" s="5">
        <v>209.3</v>
      </c>
      <c r="G2805" s="5">
        <v>104</v>
      </c>
      <c r="H2805" s="5">
        <v>103.9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98.6</v>
      </c>
      <c r="D2806" s="5">
        <v>0.1</v>
      </c>
      <c r="E2806" s="5">
        <v>98.7</v>
      </c>
      <c r="F2806" s="5">
        <v>209.6</v>
      </c>
      <c r="G2806" s="5">
        <v>104</v>
      </c>
      <c r="H2806" s="5">
        <v>103.6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98.6</v>
      </c>
      <c r="D2807" s="5">
        <v>0.1</v>
      </c>
      <c r="E2807" s="5">
        <v>98.7</v>
      </c>
      <c r="F2807" s="5">
        <v>209.6</v>
      </c>
      <c r="G2807" s="5">
        <v>104</v>
      </c>
      <c r="H2807" s="5">
        <v>103.6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99.1</v>
      </c>
      <c r="D2808" s="5">
        <v>0.1</v>
      </c>
      <c r="E2808" s="5">
        <v>99.2</v>
      </c>
      <c r="F2808" s="5">
        <v>204.7</v>
      </c>
      <c r="G2808" s="5">
        <v>101.9</v>
      </c>
      <c r="H2808" s="5">
        <v>101.9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99.1</v>
      </c>
      <c r="D2809" s="5">
        <v>0.1</v>
      </c>
      <c r="E2809" s="5">
        <v>99.2</v>
      </c>
      <c r="F2809" s="5">
        <v>204.7</v>
      </c>
      <c r="G2809" s="5">
        <v>101.9</v>
      </c>
      <c r="H2809" s="5">
        <v>101.9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99.1</v>
      </c>
      <c r="D2810" s="5">
        <v>0.1</v>
      </c>
      <c r="E2810" s="5">
        <v>99.2</v>
      </c>
      <c r="F2810" s="5">
        <v>204.7</v>
      </c>
      <c r="G2810" s="5">
        <v>101.9</v>
      </c>
      <c r="H2810" s="5">
        <v>101.9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99.1</v>
      </c>
      <c r="D2811" s="5">
        <v>0.1</v>
      </c>
      <c r="E2811" s="5">
        <v>99.2</v>
      </c>
      <c r="F2811" s="5">
        <v>204.7</v>
      </c>
      <c r="G2811" s="5">
        <v>101.9</v>
      </c>
      <c r="H2811" s="5">
        <v>101.9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98.5</v>
      </c>
      <c r="D2812" s="5">
        <v>0.1</v>
      </c>
      <c r="E2812" s="5">
        <v>98.6</v>
      </c>
      <c r="F2812" s="5">
        <v>196.4</v>
      </c>
      <c r="G2812" s="5">
        <v>97.6</v>
      </c>
      <c r="H2812" s="5">
        <v>97.5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98.5</v>
      </c>
      <c r="D2813" s="5">
        <v>0.1</v>
      </c>
      <c r="E2813" s="5">
        <v>98.6</v>
      </c>
      <c r="F2813" s="5">
        <v>196.4</v>
      </c>
      <c r="G2813" s="5">
        <v>97.6</v>
      </c>
      <c r="H2813" s="5">
        <v>97.5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104.8</v>
      </c>
      <c r="D2814" s="5">
        <v>0.1</v>
      </c>
      <c r="E2814" s="5">
        <v>105</v>
      </c>
      <c r="F2814" s="5">
        <v>209</v>
      </c>
      <c r="G2814" s="5">
        <v>103.8</v>
      </c>
      <c r="H2814" s="5">
        <v>103.7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104.8</v>
      </c>
      <c r="D2815" s="5">
        <v>0.1</v>
      </c>
      <c r="E2815" s="5">
        <v>105</v>
      </c>
      <c r="F2815" s="5">
        <v>209</v>
      </c>
      <c r="G2815" s="5">
        <v>103.8</v>
      </c>
      <c r="H2815" s="5">
        <v>103.7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105.1</v>
      </c>
      <c r="D2816" s="5">
        <v>0.1</v>
      </c>
      <c r="E2816" s="5">
        <v>105.3</v>
      </c>
      <c r="F2816" s="5">
        <v>209.1</v>
      </c>
      <c r="G2816" s="5">
        <v>103.9</v>
      </c>
      <c r="H2816" s="5">
        <v>103.8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105.1</v>
      </c>
      <c r="D2817" s="5">
        <v>0.1</v>
      </c>
      <c r="E2817" s="5">
        <v>105.3</v>
      </c>
      <c r="F2817" s="5">
        <v>209.1</v>
      </c>
      <c r="G2817" s="5">
        <v>103.9</v>
      </c>
      <c r="H2817" s="5">
        <v>103.8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104.7</v>
      </c>
      <c r="D2818" s="5">
        <v>0.1</v>
      </c>
      <c r="E2818" s="5">
        <v>104.9</v>
      </c>
      <c r="F2818" s="5">
        <v>207.7</v>
      </c>
      <c r="G2818" s="5">
        <v>103.2</v>
      </c>
      <c r="H2818" s="5">
        <v>103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104.7</v>
      </c>
      <c r="D2819" s="5">
        <v>0.1</v>
      </c>
      <c r="E2819" s="5">
        <v>104.9</v>
      </c>
      <c r="F2819" s="5">
        <v>207.7</v>
      </c>
      <c r="G2819" s="5">
        <v>103.2</v>
      </c>
      <c r="H2819" s="5">
        <v>103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104.7</v>
      </c>
      <c r="D2820" s="5">
        <v>0.1</v>
      </c>
      <c r="E2820" s="5">
        <v>104.9</v>
      </c>
      <c r="F2820" s="5">
        <v>207.7</v>
      </c>
      <c r="G2820" s="5">
        <v>103.2</v>
      </c>
      <c r="H2820" s="5">
        <v>103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104.7</v>
      </c>
      <c r="D2821" s="5">
        <v>0.1</v>
      </c>
      <c r="E2821" s="5">
        <v>104.9</v>
      </c>
      <c r="F2821" s="5">
        <v>207.7</v>
      </c>
      <c r="G2821" s="5">
        <v>103.2</v>
      </c>
      <c r="H2821" s="5">
        <v>103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98.6</v>
      </c>
      <c r="D2822" s="5">
        <v>0.1</v>
      </c>
      <c r="E2822" s="5">
        <v>98.7</v>
      </c>
      <c r="F2822" s="5">
        <v>196</v>
      </c>
      <c r="G2822" s="5">
        <v>97.4</v>
      </c>
      <c r="H2822" s="5">
        <v>97.3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98.6</v>
      </c>
      <c r="D2823" s="5">
        <v>0.1</v>
      </c>
      <c r="E2823" s="5">
        <v>98.7</v>
      </c>
      <c r="F2823" s="5">
        <v>196</v>
      </c>
      <c r="G2823" s="5">
        <v>97.4</v>
      </c>
      <c r="H2823" s="5">
        <v>97.3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99.1</v>
      </c>
      <c r="D2824" s="5">
        <v>0.1</v>
      </c>
      <c r="E2824" s="5">
        <v>99.2</v>
      </c>
      <c r="F2824" s="5">
        <v>197.5</v>
      </c>
      <c r="G2824" s="5">
        <v>98.3</v>
      </c>
      <c r="H2824" s="5">
        <v>98.2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99.1</v>
      </c>
      <c r="D2825" s="5">
        <v>0.1</v>
      </c>
      <c r="E2825" s="5">
        <v>99.2</v>
      </c>
      <c r="F2825" s="5">
        <v>197.5</v>
      </c>
      <c r="G2825" s="5">
        <v>98.3</v>
      </c>
      <c r="H2825" s="5">
        <v>98.2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98.2</v>
      </c>
      <c r="D2826" s="5">
        <v>0.1</v>
      </c>
      <c r="E2826" s="5">
        <v>98.3</v>
      </c>
      <c r="F2826" s="5">
        <v>196.4</v>
      </c>
      <c r="G2826" s="5">
        <v>97.4</v>
      </c>
      <c r="H2826" s="5">
        <v>97.1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98.2</v>
      </c>
      <c r="D2827" s="5">
        <v>0.1</v>
      </c>
      <c r="E2827" s="5">
        <v>98.3</v>
      </c>
      <c r="F2827" s="5">
        <v>196.4</v>
      </c>
      <c r="G2827" s="5">
        <v>97.4</v>
      </c>
      <c r="H2827" s="5">
        <v>97.1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105.6</v>
      </c>
      <c r="D2828" s="5">
        <v>0.1</v>
      </c>
      <c r="E2828" s="5">
        <v>105.7</v>
      </c>
      <c r="F2828" s="5">
        <v>208.6</v>
      </c>
      <c r="G2828" s="5">
        <v>103.7</v>
      </c>
      <c r="H2828" s="5">
        <v>103.6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105.6</v>
      </c>
      <c r="D2829" s="5">
        <v>0.1</v>
      </c>
      <c r="E2829" s="5">
        <v>105.7</v>
      </c>
      <c r="F2829" s="5">
        <v>208.6</v>
      </c>
      <c r="G2829" s="5">
        <v>103.7</v>
      </c>
      <c r="H2829" s="5">
        <v>103.6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105.6</v>
      </c>
      <c r="D2830" s="5">
        <v>0.1</v>
      </c>
      <c r="E2830" s="5">
        <v>105.7</v>
      </c>
      <c r="F2830" s="5">
        <v>208.6</v>
      </c>
      <c r="G2830" s="5">
        <v>103.7</v>
      </c>
      <c r="H2830" s="5">
        <v>103.6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105.6</v>
      </c>
      <c r="D2831" s="5">
        <v>0.1</v>
      </c>
      <c r="E2831" s="5">
        <v>105.7</v>
      </c>
      <c r="F2831" s="5">
        <v>208.6</v>
      </c>
      <c r="G2831" s="5">
        <v>103.7</v>
      </c>
      <c r="H2831" s="5">
        <v>103.6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107.2</v>
      </c>
      <c r="D2832" s="5">
        <v>0.1</v>
      </c>
      <c r="E2832" s="5">
        <v>107.3</v>
      </c>
      <c r="F2832" s="5">
        <v>212.9</v>
      </c>
      <c r="G2832" s="5">
        <v>105.8</v>
      </c>
      <c r="H2832" s="5">
        <v>105.6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107.2</v>
      </c>
      <c r="D2833" s="5">
        <v>0.1</v>
      </c>
      <c r="E2833" s="5">
        <v>107.3</v>
      </c>
      <c r="F2833" s="5">
        <v>212.9</v>
      </c>
      <c r="G2833" s="5">
        <v>105.8</v>
      </c>
      <c r="H2833" s="5">
        <v>105.6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107.3</v>
      </c>
      <c r="D2834" s="5">
        <v>0.1</v>
      </c>
      <c r="E2834" s="5">
        <v>107.4</v>
      </c>
      <c r="F2834" s="5">
        <v>212.9</v>
      </c>
      <c r="G2834" s="5">
        <v>105.8</v>
      </c>
      <c r="H2834" s="5">
        <v>105.6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107.3</v>
      </c>
      <c r="D2835" s="5">
        <v>0.1</v>
      </c>
      <c r="E2835" s="5">
        <v>107.4</v>
      </c>
      <c r="F2835" s="5">
        <v>212.9</v>
      </c>
      <c r="G2835" s="5">
        <v>105.8</v>
      </c>
      <c r="H2835" s="5">
        <v>105.6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106.5</v>
      </c>
      <c r="D2836" s="5">
        <v>0.1</v>
      </c>
      <c r="E2836" s="5">
        <v>106.6</v>
      </c>
      <c r="F2836" s="5">
        <v>212.1</v>
      </c>
      <c r="G2836" s="5">
        <v>105.4</v>
      </c>
      <c r="H2836" s="5">
        <v>105.2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106.5</v>
      </c>
      <c r="D2837" s="5">
        <v>0.1</v>
      </c>
      <c r="E2837" s="5">
        <v>106.6</v>
      </c>
      <c r="F2837" s="5">
        <v>212.1</v>
      </c>
      <c r="G2837" s="5">
        <v>105.4</v>
      </c>
      <c r="H2837" s="5">
        <v>105.2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106.6</v>
      </c>
      <c r="D2838" s="5">
        <v>0.1</v>
      </c>
      <c r="E2838" s="5">
        <v>106.8</v>
      </c>
      <c r="F2838" s="5">
        <v>211.8</v>
      </c>
      <c r="G2838" s="5">
        <v>105.3</v>
      </c>
      <c r="H2838" s="5">
        <v>105.1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106.6</v>
      </c>
      <c r="D2839" s="5">
        <v>0.1</v>
      </c>
      <c r="E2839" s="5">
        <v>106.8</v>
      </c>
      <c r="F2839" s="5">
        <v>211.8</v>
      </c>
      <c r="G2839" s="5">
        <v>105.3</v>
      </c>
      <c r="H2839" s="5">
        <v>105.1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106.6</v>
      </c>
      <c r="D2840" s="5">
        <v>0.1</v>
      </c>
      <c r="E2840" s="5">
        <v>106.8</v>
      </c>
      <c r="F2840" s="5">
        <v>211.8</v>
      </c>
      <c r="G2840" s="5">
        <v>105.3</v>
      </c>
      <c r="H2840" s="5">
        <v>105.1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106.6</v>
      </c>
      <c r="D2841" s="5">
        <v>0.1</v>
      </c>
      <c r="E2841" s="5">
        <v>106.8</v>
      </c>
      <c r="F2841" s="5">
        <v>211.8</v>
      </c>
      <c r="G2841" s="5">
        <v>105.3</v>
      </c>
      <c r="H2841" s="5">
        <v>105.1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101.1</v>
      </c>
      <c r="D2842" s="5">
        <v>0.1</v>
      </c>
      <c r="E2842" s="5">
        <v>101.2</v>
      </c>
      <c r="F2842" s="5">
        <v>200.7</v>
      </c>
      <c r="G2842" s="5">
        <v>99.8</v>
      </c>
      <c r="H2842" s="5">
        <v>99.7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101.1</v>
      </c>
      <c r="D2843" s="5">
        <v>0.1</v>
      </c>
      <c r="E2843" s="5">
        <v>101.2</v>
      </c>
      <c r="F2843" s="5">
        <v>200.7</v>
      </c>
      <c r="G2843" s="5">
        <v>99.8</v>
      </c>
      <c r="H2843" s="5">
        <v>99.7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100.5</v>
      </c>
      <c r="D2844" s="5">
        <v>0.1</v>
      </c>
      <c r="E2844" s="5">
        <v>100.6</v>
      </c>
      <c r="F2844" s="5">
        <v>200.3</v>
      </c>
      <c r="G2844" s="5">
        <v>99.4</v>
      </c>
      <c r="H2844" s="5">
        <v>99.2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100.5</v>
      </c>
      <c r="D2845" s="5">
        <v>0.1</v>
      </c>
      <c r="E2845" s="5">
        <v>100.6</v>
      </c>
      <c r="F2845" s="5">
        <v>200.3</v>
      </c>
      <c r="G2845" s="5">
        <v>99.4</v>
      </c>
      <c r="H2845" s="5">
        <v>99.2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106.6</v>
      </c>
      <c r="D2846" s="5">
        <v>0.1</v>
      </c>
      <c r="E2846" s="5">
        <v>106.7</v>
      </c>
      <c r="F2846" s="5">
        <v>208.3</v>
      </c>
      <c r="G2846" s="5">
        <v>103.8</v>
      </c>
      <c r="H2846" s="5">
        <v>104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106.6</v>
      </c>
      <c r="D2847" s="5">
        <v>0.1</v>
      </c>
      <c r="E2847" s="5">
        <v>106.7</v>
      </c>
      <c r="F2847" s="5">
        <v>208.3</v>
      </c>
      <c r="G2847" s="5">
        <v>103.8</v>
      </c>
      <c r="H2847" s="5">
        <v>104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105.5</v>
      </c>
      <c r="D2848" s="5">
        <v>0.1</v>
      </c>
      <c r="E2848" s="5">
        <v>105.6</v>
      </c>
      <c r="F2848" s="5">
        <v>200.7</v>
      </c>
      <c r="G2848" s="5">
        <v>99.9</v>
      </c>
      <c r="H2848" s="5">
        <v>100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105.5</v>
      </c>
      <c r="D2849" s="5">
        <v>0.1</v>
      </c>
      <c r="E2849" s="5">
        <v>105.6</v>
      </c>
      <c r="F2849" s="5">
        <v>200.7</v>
      </c>
      <c r="G2849" s="5">
        <v>99.9</v>
      </c>
      <c r="H2849" s="5">
        <v>100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105.5</v>
      </c>
      <c r="D2850" s="5">
        <v>0.1</v>
      </c>
      <c r="E2850" s="5">
        <v>105.6</v>
      </c>
      <c r="F2850" s="5">
        <v>200.7</v>
      </c>
      <c r="G2850" s="5">
        <v>99.9</v>
      </c>
      <c r="H2850" s="5">
        <v>100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105.5</v>
      </c>
      <c r="D2851" s="5">
        <v>0.1</v>
      </c>
      <c r="E2851" s="5">
        <v>105.6</v>
      </c>
      <c r="F2851" s="5">
        <v>200.7</v>
      </c>
      <c r="G2851" s="5">
        <v>99.9</v>
      </c>
      <c r="H2851" s="5">
        <v>100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105.5</v>
      </c>
      <c r="D2852" s="5">
        <v>0.1</v>
      </c>
      <c r="E2852" s="5">
        <v>105.6</v>
      </c>
      <c r="F2852" s="5">
        <v>200.7</v>
      </c>
      <c r="G2852" s="5">
        <v>99.9</v>
      </c>
      <c r="H2852" s="5">
        <v>100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105.5</v>
      </c>
      <c r="D2853" s="5">
        <v>0.1</v>
      </c>
      <c r="E2853" s="5">
        <v>105.6</v>
      </c>
      <c r="F2853" s="5">
        <v>200.7</v>
      </c>
      <c r="G2853" s="5">
        <v>99.9</v>
      </c>
      <c r="H2853" s="5">
        <v>100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101.6</v>
      </c>
      <c r="D2854" s="5">
        <v>0.1</v>
      </c>
      <c r="E2854" s="5">
        <v>101.8</v>
      </c>
      <c r="F2854" s="5">
        <v>203.2</v>
      </c>
      <c r="G2854" s="5">
        <v>101</v>
      </c>
      <c r="H2854" s="5">
        <v>100.8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101.6</v>
      </c>
      <c r="D2855" s="5">
        <v>0.1</v>
      </c>
      <c r="E2855" s="5">
        <v>101.8</v>
      </c>
      <c r="F2855" s="5">
        <v>203.2</v>
      </c>
      <c r="G2855" s="5">
        <v>101</v>
      </c>
      <c r="H2855" s="5">
        <v>100.8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101.5</v>
      </c>
      <c r="D2856" s="5">
        <v>0.1</v>
      </c>
      <c r="E2856" s="5">
        <v>101.6</v>
      </c>
      <c r="F2856" s="5">
        <v>200.2</v>
      </c>
      <c r="G2856" s="5">
        <v>99.6</v>
      </c>
      <c r="H2856" s="5">
        <v>99.5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101.5</v>
      </c>
      <c r="D2857" s="5">
        <v>0.1</v>
      </c>
      <c r="E2857" s="5">
        <v>101.6</v>
      </c>
      <c r="F2857" s="5">
        <v>200.2</v>
      </c>
      <c r="G2857" s="5">
        <v>99.6</v>
      </c>
      <c r="H2857" s="5">
        <v>99.5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100.6</v>
      </c>
      <c r="D2858" s="5">
        <v>0.1</v>
      </c>
      <c r="E2858" s="5">
        <v>100.8</v>
      </c>
      <c r="F2858" s="5">
        <v>200.5</v>
      </c>
      <c r="G2858" s="5">
        <v>99.6</v>
      </c>
      <c r="H2858" s="5">
        <v>99.5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100.6</v>
      </c>
      <c r="D2859" s="5">
        <v>0.1</v>
      </c>
      <c r="E2859" s="5">
        <v>100.8</v>
      </c>
      <c r="F2859" s="5">
        <v>200.5</v>
      </c>
      <c r="G2859" s="5">
        <v>99.6</v>
      </c>
      <c r="H2859" s="5">
        <v>99.5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100.6</v>
      </c>
      <c r="D2860" s="5">
        <v>0.1</v>
      </c>
      <c r="E2860" s="5">
        <v>100.8</v>
      </c>
      <c r="F2860" s="5">
        <v>200.5</v>
      </c>
      <c r="G2860" s="5">
        <v>99.6</v>
      </c>
      <c r="H2860" s="5">
        <v>99.5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106.2</v>
      </c>
      <c r="D2861" s="5">
        <v>0.1</v>
      </c>
      <c r="E2861" s="5">
        <v>106.3</v>
      </c>
      <c r="F2861" s="5">
        <v>211.1</v>
      </c>
      <c r="G2861" s="5">
        <v>104.9</v>
      </c>
      <c r="H2861" s="5">
        <v>104.7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106.2</v>
      </c>
      <c r="D2862" s="5">
        <v>0.1</v>
      </c>
      <c r="E2862" s="5">
        <v>106.3</v>
      </c>
      <c r="F2862" s="5">
        <v>211.1</v>
      </c>
      <c r="G2862" s="5">
        <v>104.9</v>
      </c>
      <c r="H2862" s="5">
        <v>104.7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105.1</v>
      </c>
      <c r="D2863" s="5">
        <v>0.1</v>
      </c>
      <c r="E2863" s="5">
        <v>105.3</v>
      </c>
      <c r="F2863" s="5">
        <v>207.5</v>
      </c>
      <c r="G2863" s="5">
        <v>104.9</v>
      </c>
      <c r="H2863" s="5">
        <v>104.7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105.1</v>
      </c>
      <c r="D2864" s="5">
        <v>0.1</v>
      </c>
      <c r="E2864" s="5">
        <v>105.3</v>
      </c>
      <c r="F2864" s="5">
        <v>207.5</v>
      </c>
      <c r="G2864" s="5">
        <v>103.2</v>
      </c>
      <c r="H2864" s="5">
        <v>103.2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102.9</v>
      </c>
      <c r="D2865" s="5">
        <v>0.1</v>
      </c>
      <c r="E2865" s="5">
        <v>103.1</v>
      </c>
      <c r="F2865" s="5">
        <v>202</v>
      </c>
      <c r="G2865" s="5">
        <v>103.2</v>
      </c>
      <c r="H2865" s="5">
        <v>103.2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102.9</v>
      </c>
      <c r="D2866" s="5">
        <v>0.1</v>
      </c>
      <c r="E2866" s="5">
        <v>103.1</v>
      </c>
      <c r="F2866" s="5">
        <v>202</v>
      </c>
      <c r="G2866" s="5">
        <v>100.7</v>
      </c>
      <c r="H2866" s="5">
        <v>101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102.9</v>
      </c>
      <c r="D2867" s="5">
        <v>0.1</v>
      </c>
      <c r="E2867" s="5">
        <v>103.1</v>
      </c>
      <c r="F2867" s="5">
        <v>202</v>
      </c>
      <c r="G2867" s="5">
        <v>100.7</v>
      </c>
      <c r="H2867" s="5">
        <v>101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101.1</v>
      </c>
      <c r="D2868" s="5">
        <v>0.1</v>
      </c>
      <c r="E2868" s="5">
        <v>101.1</v>
      </c>
      <c r="F2868" s="5">
        <v>203.2</v>
      </c>
      <c r="G2868" s="5">
        <v>100.9</v>
      </c>
      <c r="H2868" s="5">
        <v>100.6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101.1</v>
      </c>
      <c r="D2869" s="5">
        <v>0.1</v>
      </c>
      <c r="E2869" s="5">
        <v>101.1</v>
      </c>
      <c r="F2869" s="5">
        <v>203.2</v>
      </c>
      <c r="G2869" s="5">
        <v>100.9</v>
      </c>
      <c r="H2869" s="5">
        <v>100.6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101.1</v>
      </c>
      <c r="D2870" s="5">
        <v>0.1</v>
      </c>
      <c r="E2870" s="5">
        <v>101.1</v>
      </c>
      <c r="F2870" s="5">
        <v>203.2</v>
      </c>
      <c r="G2870" s="5">
        <v>100.9</v>
      </c>
      <c r="H2870" s="5">
        <v>100.6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101.1</v>
      </c>
      <c r="D2871" s="5">
        <v>0.1</v>
      </c>
      <c r="E2871" s="5">
        <v>101.1</v>
      </c>
      <c r="F2871" s="5">
        <v>203.2</v>
      </c>
      <c r="G2871" s="5">
        <v>100.9</v>
      </c>
      <c r="H2871" s="5">
        <v>100.6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100.8</v>
      </c>
      <c r="D2872" s="5">
        <v>0.1</v>
      </c>
      <c r="E2872" s="5">
        <v>100.9</v>
      </c>
      <c r="F2872" s="5">
        <v>202.4</v>
      </c>
      <c r="G2872" s="5">
        <v>100.5</v>
      </c>
      <c r="H2872" s="5">
        <v>100.2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100.8</v>
      </c>
      <c r="D2873" s="5">
        <v>0.1</v>
      </c>
      <c r="E2873" s="5">
        <v>100.9</v>
      </c>
      <c r="F2873" s="5">
        <v>202.4</v>
      </c>
      <c r="G2873" s="5">
        <v>100.5</v>
      </c>
      <c r="H2873" s="5">
        <v>100.2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101.2</v>
      </c>
      <c r="D2874" s="5">
        <v>0.1</v>
      </c>
      <c r="E2874" s="5">
        <v>101.3</v>
      </c>
      <c r="F2874" s="5">
        <v>202.5</v>
      </c>
      <c r="G2874" s="5">
        <v>100.6</v>
      </c>
      <c r="H2874" s="5">
        <v>100.4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101.2</v>
      </c>
      <c r="D2875" s="5">
        <v>0.1</v>
      </c>
      <c r="E2875" s="5">
        <v>101.3</v>
      </c>
      <c r="F2875" s="5">
        <v>202.5</v>
      </c>
      <c r="G2875" s="5">
        <v>100.6</v>
      </c>
      <c r="H2875" s="5">
        <v>100.4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105.3</v>
      </c>
      <c r="D2876" s="5">
        <v>0.1</v>
      </c>
      <c r="E2876" s="5">
        <v>105.3</v>
      </c>
      <c r="F2876" s="5">
        <v>204.9</v>
      </c>
      <c r="G2876" s="5">
        <v>102</v>
      </c>
      <c r="H2876" s="5">
        <v>102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105.3</v>
      </c>
      <c r="D2877" s="5">
        <v>0.1</v>
      </c>
      <c r="E2877" s="5">
        <v>105.3</v>
      </c>
      <c r="F2877" s="5">
        <v>204.9</v>
      </c>
      <c r="G2877" s="5">
        <v>102</v>
      </c>
      <c r="H2877" s="5">
        <v>102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102.1</v>
      </c>
      <c r="D2878" s="5">
        <v>0.1</v>
      </c>
      <c r="E2878" s="5">
        <v>102.3</v>
      </c>
      <c r="F2878" s="5">
        <v>203.8</v>
      </c>
      <c r="G2878" s="5">
        <v>101.2</v>
      </c>
      <c r="H2878" s="5">
        <v>101.1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102.1</v>
      </c>
      <c r="D2879" s="5">
        <v>0.1</v>
      </c>
      <c r="E2879" s="5">
        <v>102.3</v>
      </c>
      <c r="F2879" s="5">
        <v>203.8</v>
      </c>
      <c r="G2879" s="5">
        <v>101.2</v>
      </c>
      <c r="H2879" s="5">
        <v>101.1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102.1</v>
      </c>
      <c r="D2880" s="5">
        <v>0.1</v>
      </c>
      <c r="E2880" s="5">
        <v>102.3</v>
      </c>
      <c r="F2880" s="5">
        <v>203.8</v>
      </c>
      <c r="G2880" s="5">
        <v>101.2</v>
      </c>
      <c r="H2880" s="5">
        <v>101.1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102.1</v>
      </c>
      <c r="D2881" s="5">
        <v>0.1</v>
      </c>
      <c r="E2881" s="5">
        <v>102.3</v>
      </c>
      <c r="F2881" s="5">
        <v>203.8</v>
      </c>
      <c r="G2881" s="5">
        <v>101.2</v>
      </c>
      <c r="H2881" s="5">
        <v>101.1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106.4</v>
      </c>
      <c r="D2882" s="5">
        <v>0.1</v>
      </c>
      <c r="E2882" s="5">
        <v>106.6</v>
      </c>
      <c r="F2882" s="5">
        <v>211.7</v>
      </c>
      <c r="G2882" s="5">
        <v>105.2</v>
      </c>
      <c r="H2882" s="5">
        <v>105.1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106.4</v>
      </c>
      <c r="D2883" s="5">
        <v>0.1</v>
      </c>
      <c r="E2883" s="5">
        <v>106.6</v>
      </c>
      <c r="F2883" s="5">
        <v>211.7</v>
      </c>
      <c r="G2883" s="5">
        <v>105.2</v>
      </c>
      <c r="H2883" s="5">
        <v>105.1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106.7</v>
      </c>
      <c r="D2884" s="5">
        <v>0.1</v>
      </c>
      <c r="E2884" s="5">
        <v>106.9</v>
      </c>
      <c r="F2884" s="5">
        <v>212</v>
      </c>
      <c r="G2884" s="5">
        <v>105.3</v>
      </c>
      <c r="H2884" s="5">
        <v>105.2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106.7</v>
      </c>
      <c r="D2885" s="5">
        <v>0.1</v>
      </c>
      <c r="E2885" s="5">
        <v>106.9</v>
      </c>
      <c r="F2885" s="5">
        <v>212</v>
      </c>
      <c r="G2885" s="5">
        <v>105.3</v>
      </c>
      <c r="H2885" s="5">
        <v>105.2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106.9</v>
      </c>
      <c r="D2886" s="5">
        <v>0.1</v>
      </c>
      <c r="E2886" s="5">
        <v>107.1</v>
      </c>
      <c r="F2886" s="5">
        <v>212.4</v>
      </c>
      <c r="G2886" s="5">
        <v>105.5</v>
      </c>
      <c r="H2886" s="5">
        <v>105.4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106.9</v>
      </c>
      <c r="D2887" s="5">
        <v>0.1</v>
      </c>
      <c r="E2887" s="5">
        <v>107.1</v>
      </c>
      <c r="F2887" s="5">
        <v>212.4</v>
      </c>
      <c r="G2887" s="5">
        <v>105.5</v>
      </c>
      <c r="H2887" s="5">
        <v>105.4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106.9</v>
      </c>
      <c r="D2888" s="5">
        <v>0.1</v>
      </c>
      <c r="E2888" s="5">
        <v>107.1</v>
      </c>
      <c r="F2888" s="5">
        <v>212.9</v>
      </c>
      <c r="G2888" s="5">
        <v>105.8</v>
      </c>
      <c r="H2888" s="5">
        <v>105.7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106.9</v>
      </c>
      <c r="D2889" s="5">
        <v>0.1</v>
      </c>
      <c r="E2889" s="5">
        <v>107.1</v>
      </c>
      <c r="F2889" s="5">
        <v>212.9</v>
      </c>
      <c r="G2889" s="5">
        <v>105.8</v>
      </c>
      <c r="H2889" s="5">
        <v>105.7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106.9</v>
      </c>
      <c r="D2890" s="5">
        <v>0.1</v>
      </c>
      <c r="E2890" s="5">
        <v>107.1</v>
      </c>
      <c r="F2890" s="5">
        <v>212.9</v>
      </c>
      <c r="G2890" s="5">
        <v>105.8</v>
      </c>
      <c r="H2890" s="5">
        <v>105.7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106.9</v>
      </c>
      <c r="D2891" s="5">
        <v>0.1</v>
      </c>
      <c r="E2891" s="5">
        <v>99.2</v>
      </c>
      <c r="F2891" s="5">
        <v>198.3</v>
      </c>
      <c r="G2891" s="5">
        <v>99</v>
      </c>
      <c r="H2891" s="5">
        <v>99.4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99.1</v>
      </c>
      <c r="D2892" s="5">
        <v>0.1</v>
      </c>
      <c r="E2892" s="5">
        <v>99.2</v>
      </c>
      <c r="F2892" s="5">
        <v>198.3</v>
      </c>
      <c r="G2892" s="5">
        <v>99</v>
      </c>
      <c r="H2892" s="5">
        <v>99.4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99.1</v>
      </c>
      <c r="D2893" s="5">
        <v>0.1</v>
      </c>
      <c r="E2893" s="5">
        <v>99.2</v>
      </c>
      <c r="F2893" s="5">
        <v>204</v>
      </c>
      <c r="G2893" s="5">
        <v>101.5</v>
      </c>
      <c r="H2893" s="5">
        <v>101.4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103.1</v>
      </c>
      <c r="D2894" s="5">
        <v>0.1</v>
      </c>
      <c r="E2894" s="5">
        <v>103.2</v>
      </c>
      <c r="F2894" s="5">
        <v>204</v>
      </c>
      <c r="G2894" s="5">
        <v>101.5</v>
      </c>
      <c r="H2894" s="5">
        <v>101.4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103.1</v>
      </c>
      <c r="D2895" s="5">
        <v>0.1</v>
      </c>
      <c r="E2895" s="5">
        <v>103.2</v>
      </c>
      <c r="F2895" s="5">
        <v>202.5</v>
      </c>
      <c r="G2895" s="5">
        <v>100.6</v>
      </c>
      <c r="H2895" s="5">
        <v>100.3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100.7</v>
      </c>
      <c r="D2896" s="5">
        <v>0.1</v>
      </c>
      <c r="E2896" s="5">
        <v>100.8</v>
      </c>
      <c r="F2896" s="5">
        <v>202.5</v>
      </c>
      <c r="G2896" s="5">
        <v>100.6</v>
      </c>
      <c r="H2896" s="5">
        <v>100.3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100.7</v>
      </c>
      <c r="D2897" s="5">
        <v>0.1</v>
      </c>
      <c r="E2897" s="5">
        <v>100.8</v>
      </c>
      <c r="F2897" s="5">
        <v>202.5</v>
      </c>
      <c r="G2897" s="5">
        <v>101.6</v>
      </c>
      <c r="H2897" s="5">
        <v>101.3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101.5</v>
      </c>
      <c r="D2898" s="5">
        <v>0.1</v>
      </c>
      <c r="E2898" s="5">
        <v>101.7</v>
      </c>
      <c r="F2898" s="5">
        <v>204.8</v>
      </c>
      <c r="G2898" s="5">
        <v>101.6</v>
      </c>
      <c r="H2898" s="5">
        <v>101.3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101.5</v>
      </c>
      <c r="D2899" s="5">
        <v>0.1</v>
      </c>
      <c r="E2899" s="5">
        <v>101.7</v>
      </c>
      <c r="F2899" s="5">
        <v>204.8</v>
      </c>
      <c r="G2899" s="5">
        <v>101.6</v>
      </c>
      <c r="H2899" s="5">
        <v>101.3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101.5</v>
      </c>
      <c r="D2900" s="5">
        <v>0.1</v>
      </c>
      <c r="E2900" s="5">
        <v>101.7</v>
      </c>
      <c r="F2900" s="5">
        <v>204.8</v>
      </c>
      <c r="G2900" s="5">
        <v>101.6</v>
      </c>
      <c r="H2900" s="5">
        <v>101.3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101.1</v>
      </c>
      <c r="D2901" s="5">
        <v>0.1</v>
      </c>
      <c r="E2901" s="5">
        <v>101.2</v>
      </c>
      <c r="F2901" s="5">
        <v>201.3</v>
      </c>
      <c r="G2901" s="5">
        <v>100.1</v>
      </c>
      <c r="H2901" s="5">
        <v>100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101.1</v>
      </c>
      <c r="D2902" s="5">
        <v>0.1</v>
      </c>
      <c r="E2902" s="5">
        <v>101.2</v>
      </c>
      <c r="F2902" s="5">
        <v>201.3</v>
      </c>
      <c r="G2902" s="5">
        <v>100.1</v>
      </c>
      <c r="H2902" s="5">
        <v>100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101.2</v>
      </c>
      <c r="D2903" s="5">
        <v>0.1</v>
      </c>
      <c r="E2903" s="5">
        <v>101.4</v>
      </c>
      <c r="F2903" s="5">
        <v>202.8</v>
      </c>
      <c r="G2903" s="5">
        <v>100.8</v>
      </c>
      <c r="H2903" s="5">
        <v>100.9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101.2</v>
      </c>
      <c r="D2904" s="5">
        <v>0.1</v>
      </c>
      <c r="E2904" s="5">
        <v>101.4</v>
      </c>
      <c r="F2904" s="5">
        <v>202.8</v>
      </c>
      <c r="G2904" s="5">
        <v>100.8</v>
      </c>
      <c r="H2904" s="5">
        <v>100.9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101</v>
      </c>
      <c r="D2905" s="5">
        <v>0.1</v>
      </c>
      <c r="E2905" s="5">
        <v>101.1</v>
      </c>
      <c r="F2905" s="5">
        <v>200.8</v>
      </c>
      <c r="G2905" s="5">
        <v>99.8</v>
      </c>
      <c r="H2905" s="5">
        <v>99.6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101</v>
      </c>
      <c r="D2906" s="5">
        <v>0.1</v>
      </c>
      <c r="E2906" s="5">
        <v>101.1</v>
      </c>
      <c r="F2906" s="5">
        <v>200.8</v>
      </c>
      <c r="G2906" s="5">
        <v>99.8</v>
      </c>
      <c r="H2906" s="5">
        <v>99.6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106.7</v>
      </c>
      <c r="D2907" s="5">
        <v>0.1</v>
      </c>
      <c r="E2907" s="5">
        <v>106.9</v>
      </c>
      <c r="F2907" s="5">
        <v>211.6</v>
      </c>
      <c r="G2907" s="5">
        <v>105.3</v>
      </c>
      <c r="H2907" s="5">
        <v>105.1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106.7</v>
      </c>
      <c r="D2908" s="5">
        <v>0.1</v>
      </c>
      <c r="E2908" s="5">
        <v>106.9</v>
      </c>
      <c r="F2908" s="5">
        <v>211.6</v>
      </c>
      <c r="G2908" s="5">
        <v>105.3</v>
      </c>
      <c r="H2908" s="5">
        <v>105.1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106.7</v>
      </c>
      <c r="D2909" s="5">
        <v>0.1</v>
      </c>
      <c r="E2909" s="5">
        <v>106.9</v>
      </c>
      <c r="F2909" s="5">
        <v>211.6</v>
      </c>
      <c r="G2909" s="5">
        <v>105.3</v>
      </c>
      <c r="H2909" s="5">
        <v>105.1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106.7</v>
      </c>
      <c r="D2910" s="5">
        <v>0.1</v>
      </c>
      <c r="E2910" s="5">
        <v>106.9</v>
      </c>
      <c r="F2910" s="5">
        <v>211.6</v>
      </c>
      <c r="G2910" s="5">
        <v>105.3</v>
      </c>
      <c r="H2910" s="5">
        <v>105.1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100.5</v>
      </c>
      <c r="D2911" s="5">
        <v>0.1</v>
      </c>
      <c r="E2911" s="5">
        <v>100.6</v>
      </c>
      <c r="F2911" s="5">
        <v>200.3</v>
      </c>
      <c r="G2911" s="5">
        <v>99.6</v>
      </c>
      <c r="H2911" s="5">
        <v>99.6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100.5</v>
      </c>
      <c r="D2912" s="5">
        <v>0.1</v>
      </c>
      <c r="E2912" s="5">
        <v>100.6</v>
      </c>
      <c r="F2912" s="5">
        <v>200.3</v>
      </c>
      <c r="G2912" s="5">
        <v>99.6</v>
      </c>
      <c r="H2912" s="5">
        <v>99.6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100.2</v>
      </c>
      <c r="D2913" s="5">
        <v>0.1</v>
      </c>
      <c r="E2913" s="5">
        <v>100.4</v>
      </c>
      <c r="F2913" s="5">
        <v>200.2</v>
      </c>
      <c r="G2913" s="5">
        <v>99.5</v>
      </c>
      <c r="H2913" s="5">
        <v>99.4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100.2</v>
      </c>
      <c r="D2914" s="5">
        <v>0.1</v>
      </c>
      <c r="E2914" s="5">
        <v>100.4</v>
      </c>
      <c r="F2914" s="5">
        <v>200.2</v>
      </c>
      <c r="G2914" s="5">
        <v>99.5</v>
      </c>
      <c r="H2914" s="5">
        <v>99.4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105.9</v>
      </c>
      <c r="D2915" s="5">
        <v>0.1</v>
      </c>
      <c r="E2915" s="5">
        <v>106.1</v>
      </c>
      <c r="F2915" s="5">
        <v>210.3</v>
      </c>
      <c r="G2915" s="5">
        <v>104.5</v>
      </c>
      <c r="H2915" s="5">
        <v>104.4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105.9</v>
      </c>
      <c r="D2916" s="5">
        <v>0.1</v>
      </c>
      <c r="E2916" s="5">
        <v>106.1</v>
      </c>
      <c r="F2916" s="5">
        <v>210.3</v>
      </c>
      <c r="G2916" s="5">
        <v>104.5</v>
      </c>
      <c r="H2916" s="5">
        <v>104.4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106.6</v>
      </c>
      <c r="D2917" s="5">
        <v>0.1</v>
      </c>
      <c r="E2917" s="5">
        <v>106.8</v>
      </c>
      <c r="F2917" s="5">
        <v>212.3</v>
      </c>
      <c r="G2917" s="5">
        <v>105.5</v>
      </c>
      <c r="H2917" s="5">
        <v>105.4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106.6</v>
      </c>
      <c r="D2918" s="5">
        <v>0.1</v>
      </c>
      <c r="E2918" s="5">
        <v>106.8</v>
      </c>
      <c r="F2918" s="5">
        <v>212.3</v>
      </c>
      <c r="G2918" s="5">
        <v>105.5</v>
      </c>
      <c r="H2918" s="5">
        <v>105.4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106.6</v>
      </c>
      <c r="D2919" s="5">
        <v>0.1</v>
      </c>
      <c r="E2919" s="5">
        <v>106.8</v>
      </c>
      <c r="F2919" s="5">
        <v>212.3</v>
      </c>
      <c r="G2919" s="5">
        <v>105.5</v>
      </c>
      <c r="H2919" s="5">
        <v>105.4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106.6</v>
      </c>
      <c r="D2920" s="5">
        <v>0.1</v>
      </c>
      <c r="E2920" s="5">
        <v>106.8</v>
      </c>
      <c r="F2920" s="5">
        <v>212.3</v>
      </c>
      <c r="G2920" s="5">
        <v>105.5</v>
      </c>
      <c r="H2920" s="5">
        <v>105.4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100.3</v>
      </c>
      <c r="D2921" s="5">
        <v>0.1</v>
      </c>
      <c r="E2921" s="5">
        <v>100.5</v>
      </c>
      <c r="F2921" s="5">
        <v>200.2</v>
      </c>
      <c r="G2921" s="5">
        <v>99.5</v>
      </c>
      <c r="H2921" s="5">
        <v>99.3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100.3</v>
      </c>
      <c r="D2922" s="5">
        <v>0.1</v>
      </c>
      <c r="E2922" s="5">
        <v>100.5</v>
      </c>
      <c r="F2922" s="5">
        <v>200.2</v>
      </c>
      <c r="G2922" s="5">
        <v>99.5</v>
      </c>
      <c r="H2922" s="5">
        <v>99.3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100.3</v>
      </c>
      <c r="D2923" s="5">
        <v>0.1</v>
      </c>
      <c r="E2923" s="5">
        <v>100.5</v>
      </c>
      <c r="F2923" s="5">
        <v>200.2</v>
      </c>
      <c r="G2923" s="5">
        <v>99.5</v>
      </c>
      <c r="H2923" s="5">
        <v>99.3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100.3</v>
      </c>
      <c r="D2924" s="5">
        <v>0.1</v>
      </c>
      <c r="E2924" s="5">
        <v>100.5</v>
      </c>
      <c r="F2924" s="5">
        <v>200.2</v>
      </c>
      <c r="G2924" s="5">
        <v>99.5</v>
      </c>
      <c r="H2924" s="5">
        <v>99.3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106.9</v>
      </c>
      <c r="D2925" s="5">
        <v>0.1</v>
      </c>
      <c r="E2925" s="5">
        <v>107</v>
      </c>
      <c r="F2925" s="5">
        <v>211.7</v>
      </c>
      <c r="G2925" s="5">
        <v>103.2</v>
      </c>
      <c r="H2925" s="5">
        <v>103.2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106.9</v>
      </c>
      <c r="D2926" s="5">
        <v>0.1</v>
      </c>
      <c r="E2926" s="5">
        <v>107</v>
      </c>
      <c r="F2926" s="5">
        <v>211.7</v>
      </c>
      <c r="G2926" s="5">
        <v>103.2</v>
      </c>
      <c r="H2926" s="5">
        <v>103.2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105.9</v>
      </c>
      <c r="D2927" s="5">
        <v>0.1</v>
      </c>
      <c r="E2927" s="5">
        <v>106.1</v>
      </c>
      <c r="F2927" s="5">
        <v>206.7</v>
      </c>
      <c r="G2927" s="5">
        <v>103</v>
      </c>
      <c r="H2927" s="5">
        <v>101.7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105.9</v>
      </c>
      <c r="D2928" s="5">
        <v>0.1</v>
      </c>
      <c r="E2928" s="5">
        <v>106.1</v>
      </c>
      <c r="F2928" s="5">
        <v>206.7</v>
      </c>
      <c r="G2928" s="5">
        <v>103</v>
      </c>
      <c r="H2928" s="5">
        <v>101.7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105.9</v>
      </c>
      <c r="D2929" s="5">
        <v>0.1</v>
      </c>
      <c r="E2929" s="5">
        <v>106.1</v>
      </c>
      <c r="F2929" s="5">
        <v>206.7</v>
      </c>
      <c r="G2929" s="5">
        <v>103</v>
      </c>
      <c r="H2929" s="5">
        <v>101.7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105.9</v>
      </c>
      <c r="D2930" s="5">
        <v>0.1</v>
      </c>
      <c r="E2930" s="5">
        <v>106.1</v>
      </c>
      <c r="F2930" s="5">
        <v>206.7</v>
      </c>
      <c r="G2930" s="5">
        <v>103</v>
      </c>
      <c r="H2930" s="5">
        <v>101.7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103.1</v>
      </c>
      <c r="D2931" s="5">
        <v>0.1</v>
      </c>
      <c r="E2931" s="5">
        <v>103.2</v>
      </c>
      <c r="F2931" s="5">
        <v>210.5</v>
      </c>
      <c r="G2931" s="5">
        <v>104.1</v>
      </c>
      <c r="H2931" s="5">
        <v>105.1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103.1</v>
      </c>
      <c r="D2932" s="5">
        <v>0.1</v>
      </c>
      <c r="E2932" s="5">
        <v>103.2</v>
      </c>
      <c r="F2932" s="5">
        <v>210.5</v>
      </c>
      <c r="G2932" s="5">
        <v>104.1</v>
      </c>
      <c r="H2932" s="5">
        <v>105.1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101</v>
      </c>
      <c r="D2933" s="5">
        <v>0.1</v>
      </c>
      <c r="E2933" s="5">
        <v>101.1</v>
      </c>
      <c r="F2933" s="5">
        <v>201.8</v>
      </c>
      <c r="G2933" s="5">
        <v>100.3</v>
      </c>
      <c r="H2933" s="5">
        <v>100.1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101</v>
      </c>
      <c r="D2934" s="5">
        <v>0.1</v>
      </c>
      <c r="E2934" s="5">
        <v>101.1</v>
      </c>
      <c r="F2934" s="5">
        <v>201.8</v>
      </c>
      <c r="G2934" s="5">
        <v>100.3</v>
      </c>
      <c r="H2934" s="5">
        <v>100.1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101.4</v>
      </c>
      <c r="D2935" s="5">
        <v>0.1</v>
      </c>
      <c r="E2935" s="5">
        <v>101.5</v>
      </c>
      <c r="F2935" s="5">
        <v>200.9</v>
      </c>
      <c r="G2935" s="5">
        <v>99.9</v>
      </c>
      <c r="H2935" s="5">
        <v>99.7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101.4</v>
      </c>
      <c r="D2936" s="5">
        <v>0.1</v>
      </c>
      <c r="E2936" s="5">
        <v>101.5</v>
      </c>
      <c r="F2936" s="5">
        <v>200.9</v>
      </c>
      <c r="G2936" s="5">
        <v>99.9</v>
      </c>
      <c r="H2936" s="5">
        <v>99.7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100.8</v>
      </c>
      <c r="D2937" s="5">
        <v>0.1</v>
      </c>
      <c r="E2937" s="5">
        <v>100.9</v>
      </c>
      <c r="F2937" s="5">
        <v>200.9</v>
      </c>
      <c r="G2937" s="5">
        <v>99.9</v>
      </c>
      <c r="H2937" s="5">
        <v>100.6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100.8</v>
      </c>
      <c r="D2938" s="5">
        <v>0.1</v>
      </c>
      <c r="E2938" s="5">
        <v>100.9</v>
      </c>
      <c r="F2938" s="5">
        <v>202.6</v>
      </c>
      <c r="G2938" s="5">
        <v>100.7</v>
      </c>
      <c r="H2938" s="5">
        <v>100.6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100.8</v>
      </c>
      <c r="D2939" s="5">
        <v>0.1</v>
      </c>
      <c r="E2939" s="5">
        <v>100.9</v>
      </c>
      <c r="F2939" s="5">
        <v>202.6</v>
      </c>
      <c r="G2939" s="5">
        <v>100.7</v>
      </c>
      <c r="H2939" s="5">
        <v>100.6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100.8</v>
      </c>
      <c r="D2940" s="5">
        <v>0.1</v>
      </c>
      <c r="E2940" s="5">
        <v>100.9</v>
      </c>
      <c r="F2940" s="5">
        <v>202.6</v>
      </c>
      <c r="G2940" s="5">
        <v>100.7</v>
      </c>
      <c r="H2940" s="5">
        <v>100.6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106.6</v>
      </c>
      <c r="D2941" s="5">
        <v>0.1</v>
      </c>
      <c r="E2941" s="5">
        <v>106.8</v>
      </c>
      <c r="F2941" s="5">
        <v>212</v>
      </c>
      <c r="G2941" s="5">
        <v>105.4</v>
      </c>
      <c r="H2941" s="5">
        <v>105.2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106.6</v>
      </c>
      <c r="D2942" s="5">
        <v>0.1</v>
      </c>
      <c r="E2942" s="5">
        <v>106.8</v>
      </c>
      <c r="F2942" s="5">
        <v>212</v>
      </c>
      <c r="G2942" s="5">
        <v>105.4</v>
      </c>
      <c r="H2942" s="5">
        <v>105.2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106.6</v>
      </c>
      <c r="D2943" s="5">
        <v>0.1</v>
      </c>
      <c r="E2943" s="5">
        <v>106.7</v>
      </c>
      <c r="F2943" s="5">
        <v>211.5</v>
      </c>
      <c r="G2943" s="5">
        <v>105.2</v>
      </c>
      <c r="H2943" s="5">
        <v>105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106.6</v>
      </c>
      <c r="D2944" s="5">
        <v>0.1</v>
      </c>
      <c r="E2944" s="5">
        <v>106.7</v>
      </c>
      <c r="F2944" s="5">
        <v>211.5</v>
      </c>
      <c r="G2944" s="5">
        <v>105.2</v>
      </c>
      <c r="H2944" s="5">
        <v>105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106.7</v>
      </c>
      <c r="D2945" s="5">
        <v>0.1</v>
      </c>
      <c r="E2945" s="5">
        <v>106.9</v>
      </c>
      <c r="F2945" s="5">
        <v>211.8</v>
      </c>
      <c r="G2945" s="5">
        <v>105.3</v>
      </c>
      <c r="H2945" s="5">
        <v>105.2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106.7</v>
      </c>
      <c r="D2946" s="5">
        <v>0.1</v>
      </c>
      <c r="E2946" s="5">
        <v>106.9</v>
      </c>
      <c r="F2946" s="5">
        <v>211.8</v>
      </c>
      <c r="G2946" s="5">
        <v>105.3</v>
      </c>
      <c r="H2946" s="5">
        <v>105.2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106.9</v>
      </c>
      <c r="D2947" s="5">
        <v>0.1</v>
      </c>
      <c r="E2947" s="5">
        <v>107</v>
      </c>
      <c r="F2947" s="5">
        <v>212.4</v>
      </c>
      <c r="G2947" s="5">
        <v>105.5</v>
      </c>
      <c r="H2947" s="5">
        <v>105.4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106.9</v>
      </c>
      <c r="D2948" s="5">
        <v>0.1</v>
      </c>
      <c r="E2948" s="5">
        <v>107</v>
      </c>
      <c r="F2948" s="5">
        <v>212.4</v>
      </c>
      <c r="G2948" s="5">
        <v>105.5</v>
      </c>
      <c r="H2948" s="5">
        <v>105.4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106.9</v>
      </c>
      <c r="D2949" s="5">
        <v>0.1</v>
      </c>
      <c r="E2949" s="5">
        <v>107</v>
      </c>
      <c r="F2949" s="5">
        <v>212.4</v>
      </c>
      <c r="G2949" s="5">
        <v>105.5</v>
      </c>
      <c r="H2949" s="5">
        <v>105.4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106.9</v>
      </c>
      <c r="D2950" s="5">
        <v>0.1</v>
      </c>
      <c r="E2950" s="5">
        <v>107</v>
      </c>
      <c r="F2950" s="5">
        <v>212.4</v>
      </c>
      <c r="G2950" s="5">
        <v>105.5</v>
      </c>
      <c r="H2950" s="5">
        <v>105.4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106.9</v>
      </c>
      <c r="D2951" s="5">
        <v>0.1</v>
      </c>
      <c r="E2951" s="5">
        <v>107</v>
      </c>
      <c r="F2951" s="5">
        <v>212.6</v>
      </c>
      <c r="G2951" s="5">
        <v>105.6</v>
      </c>
      <c r="H2951" s="5">
        <v>105.5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106.9</v>
      </c>
      <c r="D2952" s="5">
        <v>0.1</v>
      </c>
      <c r="E2952" s="5">
        <v>107</v>
      </c>
      <c r="F2952" s="5">
        <v>212.6</v>
      </c>
      <c r="G2952" s="5">
        <v>105.6</v>
      </c>
      <c r="H2952" s="5">
        <v>105.5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107.5</v>
      </c>
      <c r="D2953" s="5">
        <v>0.1</v>
      </c>
      <c r="E2953" s="5">
        <v>107.7</v>
      </c>
      <c r="F2953" s="5">
        <v>212.9</v>
      </c>
      <c r="G2953" s="5">
        <v>105.8</v>
      </c>
      <c r="H2953" s="5">
        <v>105.7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107.5</v>
      </c>
      <c r="D2954" s="5">
        <v>0.1</v>
      </c>
      <c r="E2954" s="5">
        <v>107.7</v>
      </c>
      <c r="F2954" s="5">
        <v>212.9</v>
      </c>
      <c r="G2954" s="5">
        <v>105.8</v>
      </c>
      <c r="H2954" s="5">
        <v>105.7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108</v>
      </c>
      <c r="D2955" s="5">
        <v>0.1</v>
      </c>
      <c r="E2955" s="5">
        <v>108.1</v>
      </c>
      <c r="F2955" s="5">
        <v>213.9</v>
      </c>
      <c r="G2955" s="5">
        <v>106.3</v>
      </c>
      <c r="H2955" s="5">
        <v>106.1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108</v>
      </c>
      <c r="D2956" s="5">
        <v>0.1</v>
      </c>
      <c r="E2956" s="5">
        <v>108.1</v>
      </c>
      <c r="F2956" s="5">
        <v>213.9</v>
      </c>
      <c r="G2956" s="5">
        <v>106.3</v>
      </c>
      <c r="H2956" s="5">
        <v>106.1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105.1</v>
      </c>
      <c r="D2957" s="5">
        <v>0.1</v>
      </c>
      <c r="E2957" s="5">
        <v>105.3</v>
      </c>
      <c r="F2957" s="5">
        <v>212</v>
      </c>
      <c r="G2957" s="5">
        <v>104.9</v>
      </c>
      <c r="H2957" s="5">
        <v>104.3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105.1</v>
      </c>
      <c r="D2958" s="5">
        <v>0.1</v>
      </c>
      <c r="E2958" s="5">
        <v>105.3</v>
      </c>
      <c r="F2958" s="5">
        <v>212</v>
      </c>
      <c r="G2958" s="5">
        <v>104.9</v>
      </c>
      <c r="H2958" s="5">
        <v>104.3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105.1</v>
      </c>
      <c r="D2959" s="5">
        <v>0.1</v>
      </c>
      <c r="E2959" s="5">
        <v>105.3</v>
      </c>
      <c r="F2959" s="5">
        <v>212</v>
      </c>
      <c r="G2959" s="5">
        <v>104.9</v>
      </c>
      <c r="H2959" s="5">
        <v>104.3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105.1</v>
      </c>
      <c r="D2960" s="5">
        <v>0.1</v>
      </c>
      <c r="E2960" s="5">
        <v>105.3</v>
      </c>
      <c r="F2960" s="5">
        <v>212</v>
      </c>
      <c r="G2960" s="5">
        <v>104.9</v>
      </c>
      <c r="H2960" s="5">
        <v>104.3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107.8</v>
      </c>
      <c r="D2961" s="5">
        <v>0.1</v>
      </c>
      <c r="E2961" s="5">
        <v>108</v>
      </c>
      <c r="F2961" s="5">
        <v>211.3</v>
      </c>
      <c r="G2961" s="5">
        <v>105.2</v>
      </c>
      <c r="H2961" s="5">
        <v>105.2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107.8</v>
      </c>
      <c r="D2962" s="5">
        <v>0.1</v>
      </c>
      <c r="E2962" s="5">
        <v>108</v>
      </c>
      <c r="F2962" s="5">
        <v>211.3</v>
      </c>
      <c r="G2962" s="5">
        <v>105.2</v>
      </c>
      <c r="H2962" s="5">
        <v>105.2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102.7</v>
      </c>
      <c r="D2963" s="5">
        <v>0.1</v>
      </c>
      <c r="E2963" s="5">
        <v>102.9</v>
      </c>
      <c r="F2963" s="5">
        <v>206</v>
      </c>
      <c r="G2963" s="5">
        <v>102.4</v>
      </c>
      <c r="H2963" s="5">
        <v>102.2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102.7</v>
      </c>
      <c r="D2964" s="5">
        <v>0.1</v>
      </c>
      <c r="E2964" s="5">
        <v>102.9</v>
      </c>
      <c r="F2964" s="5">
        <v>206</v>
      </c>
      <c r="G2964" s="5">
        <v>102.4</v>
      </c>
      <c r="H2964" s="5">
        <v>102.2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103.3</v>
      </c>
      <c r="D2965" s="5">
        <v>0.1</v>
      </c>
      <c r="E2965" s="5">
        <v>103.4</v>
      </c>
      <c r="F2965" s="5">
        <v>204.8</v>
      </c>
      <c r="G2965" s="5">
        <v>101.8</v>
      </c>
      <c r="H2965" s="5">
        <v>101.7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103.3</v>
      </c>
      <c r="D2966" s="5">
        <v>0.1</v>
      </c>
      <c r="E2966" s="5">
        <v>103.4</v>
      </c>
      <c r="F2966" s="5">
        <v>204.8</v>
      </c>
      <c r="G2966" s="5">
        <v>101.8</v>
      </c>
      <c r="H2966" s="5">
        <v>101.7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107.3</v>
      </c>
      <c r="D2967" s="5">
        <v>0.1</v>
      </c>
      <c r="E2967" s="5">
        <v>107.5</v>
      </c>
      <c r="F2967" s="5">
        <v>213</v>
      </c>
      <c r="G2967" s="5">
        <v>105.6</v>
      </c>
      <c r="H2967" s="5">
        <v>105.1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107.3</v>
      </c>
      <c r="D2968" s="5">
        <v>0.1</v>
      </c>
      <c r="E2968" s="5">
        <v>107.5</v>
      </c>
      <c r="F2968" s="5">
        <v>213</v>
      </c>
      <c r="G2968" s="5">
        <v>105.6</v>
      </c>
      <c r="H2968" s="5">
        <v>105.1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107.3</v>
      </c>
      <c r="D2969" s="5">
        <v>0.1</v>
      </c>
      <c r="E2969" s="5">
        <v>107.5</v>
      </c>
      <c r="F2969" s="5">
        <v>213</v>
      </c>
      <c r="G2969" s="5">
        <v>105.6</v>
      </c>
      <c r="H2969" s="5">
        <v>105.1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107.3</v>
      </c>
      <c r="D2970" s="5">
        <v>0.1</v>
      </c>
      <c r="E2970" s="5">
        <v>107.5</v>
      </c>
      <c r="F2970" s="5">
        <v>213</v>
      </c>
      <c r="G2970" s="5">
        <v>105.6</v>
      </c>
      <c r="H2970" s="5">
        <v>105.1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102.1</v>
      </c>
      <c r="D2971" s="5">
        <v>0.1</v>
      </c>
      <c r="E2971" s="5">
        <v>102.2</v>
      </c>
      <c r="F2971" s="5">
        <v>203.1</v>
      </c>
      <c r="G2971" s="5">
        <v>100.9</v>
      </c>
      <c r="H2971" s="5">
        <v>100.8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102.1</v>
      </c>
      <c r="D2972" s="5">
        <v>0.1</v>
      </c>
      <c r="E2972" s="5">
        <v>102.2</v>
      </c>
      <c r="F2972" s="5">
        <v>203.1</v>
      </c>
      <c r="G2972" s="5">
        <v>100.9</v>
      </c>
      <c r="H2972" s="5">
        <v>100.8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103.7</v>
      </c>
      <c r="D2973" s="5">
        <v>0.1</v>
      </c>
      <c r="E2973" s="5">
        <v>103.9</v>
      </c>
      <c r="F2973" s="5">
        <v>211.6</v>
      </c>
      <c r="G2973" s="5">
        <v>104.7</v>
      </c>
      <c r="H2973" s="5">
        <v>104.1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103.7</v>
      </c>
      <c r="D2974" s="5">
        <v>0.1</v>
      </c>
      <c r="E2974" s="5">
        <v>103.9</v>
      </c>
      <c r="F2974" s="5">
        <v>211.6</v>
      </c>
      <c r="G2974" s="5">
        <v>104.7</v>
      </c>
      <c r="H2974" s="5">
        <v>104.1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108.8</v>
      </c>
      <c r="D2975" s="5">
        <v>0.1</v>
      </c>
      <c r="E2975" s="5">
        <v>108.9</v>
      </c>
      <c r="F2975" s="5">
        <v>215</v>
      </c>
      <c r="G2975" s="5">
        <v>106.9</v>
      </c>
      <c r="H2975" s="5">
        <v>106.8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108.8</v>
      </c>
      <c r="D2976" s="5">
        <v>0.1</v>
      </c>
      <c r="E2976" s="5">
        <v>108.9</v>
      </c>
      <c r="F2976" s="5">
        <v>215</v>
      </c>
      <c r="G2976" s="5">
        <v>106.9</v>
      </c>
      <c r="H2976" s="5">
        <v>106.8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102.2</v>
      </c>
      <c r="D2977" s="5">
        <v>0.1</v>
      </c>
      <c r="E2977" s="5">
        <v>102.4</v>
      </c>
      <c r="F2977" s="5">
        <v>204.9</v>
      </c>
      <c r="G2977" s="5">
        <v>101.8</v>
      </c>
      <c r="H2977" s="5">
        <v>101.6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102.2</v>
      </c>
      <c r="D2978" s="5">
        <v>0.1</v>
      </c>
      <c r="E2978" s="5">
        <v>102.4</v>
      </c>
      <c r="F2978" s="5">
        <v>204.9</v>
      </c>
      <c r="G2978" s="5">
        <v>101.8</v>
      </c>
      <c r="H2978" s="5">
        <v>101.6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102.2</v>
      </c>
      <c r="D2979" s="5">
        <v>0.1</v>
      </c>
      <c r="E2979" s="5">
        <v>102.4</v>
      </c>
      <c r="F2979" s="5">
        <v>204.9</v>
      </c>
      <c r="G2979" s="5">
        <v>101.8</v>
      </c>
      <c r="H2979" s="5">
        <v>101.6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102.2</v>
      </c>
      <c r="D2980" s="5">
        <v>0.1</v>
      </c>
      <c r="E2980" s="5">
        <v>102.4</v>
      </c>
      <c r="F2980" s="5">
        <v>204.9</v>
      </c>
      <c r="G2980" s="5">
        <v>101.8</v>
      </c>
      <c r="H2980" s="5">
        <v>101.6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108.7</v>
      </c>
      <c r="D2981" s="5">
        <v>0.1</v>
      </c>
      <c r="E2981" s="5">
        <v>108.8</v>
      </c>
      <c r="F2981" s="5">
        <v>216</v>
      </c>
      <c r="G2981" s="5">
        <v>107.2</v>
      </c>
      <c r="H2981" s="5">
        <v>107.1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108.7</v>
      </c>
      <c r="D2982" s="5">
        <v>0.1</v>
      </c>
      <c r="E2982" s="5">
        <v>108.8</v>
      </c>
      <c r="F2982" s="5">
        <v>216</v>
      </c>
      <c r="G2982" s="5">
        <v>107.2</v>
      </c>
      <c r="H2982" s="5">
        <v>107.1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103.7</v>
      </c>
      <c r="D2983" s="5">
        <v>0.1</v>
      </c>
      <c r="E2983" s="5">
        <v>103.8</v>
      </c>
      <c r="F2983" s="5">
        <v>207.9</v>
      </c>
      <c r="G2983" s="5">
        <v>103.3</v>
      </c>
      <c r="H2983" s="5">
        <v>103.2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103.7</v>
      </c>
      <c r="D2984" s="5">
        <v>0.1</v>
      </c>
      <c r="E2984" s="5">
        <v>103.8</v>
      </c>
      <c r="F2984" s="5">
        <v>207.9</v>
      </c>
      <c r="G2984" s="5">
        <v>103.3</v>
      </c>
      <c r="H2984" s="5">
        <v>103.2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105.3</v>
      </c>
      <c r="D2985" s="5">
        <v>0.1</v>
      </c>
      <c r="E2985" s="5">
        <v>105.4</v>
      </c>
      <c r="F2985" s="5">
        <v>208.9</v>
      </c>
      <c r="G2985" s="5">
        <v>103.7</v>
      </c>
      <c r="H2985" s="5">
        <v>103.5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105.3</v>
      </c>
      <c r="D2986" s="5">
        <v>0.1</v>
      </c>
      <c r="E2986" s="5">
        <v>105.4</v>
      </c>
      <c r="F2986" s="5">
        <v>208.9</v>
      </c>
      <c r="G2986" s="5">
        <v>103.7</v>
      </c>
      <c r="H2986" s="5">
        <v>103.5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108.1</v>
      </c>
      <c r="D2987" s="5">
        <v>0.1</v>
      </c>
      <c r="E2987" s="5">
        <v>108.2</v>
      </c>
      <c r="F2987" s="5">
        <v>212.8</v>
      </c>
      <c r="G2987" s="5">
        <v>105.8</v>
      </c>
      <c r="H2987" s="5">
        <v>105.8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108.1</v>
      </c>
      <c r="D2988" s="5">
        <v>0.1</v>
      </c>
      <c r="E2988" s="5">
        <v>108.2</v>
      </c>
      <c r="F2988" s="5">
        <v>212.8</v>
      </c>
      <c r="G2988" s="5">
        <v>105.8</v>
      </c>
      <c r="H2988" s="5">
        <v>105.8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108.1</v>
      </c>
      <c r="D2989" s="5">
        <v>0.1</v>
      </c>
      <c r="E2989" s="5">
        <v>108.2</v>
      </c>
      <c r="F2989" s="5">
        <v>212.8</v>
      </c>
      <c r="G2989" s="5">
        <v>105.8</v>
      </c>
      <c r="H2989" s="5">
        <v>105.8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108.1</v>
      </c>
      <c r="D2990" s="5">
        <v>0.1</v>
      </c>
      <c r="E2990" s="5">
        <v>108.2</v>
      </c>
      <c r="F2990" s="5">
        <v>212.8</v>
      </c>
      <c r="G2990" s="5">
        <v>105.8</v>
      </c>
      <c r="H2990" s="5">
        <v>105.8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109.3</v>
      </c>
      <c r="D2991" s="5">
        <v>0.1</v>
      </c>
      <c r="E2991" s="5">
        <v>109.4</v>
      </c>
      <c r="F2991" s="5">
        <v>216.9</v>
      </c>
      <c r="G2991" s="5">
        <v>107.7</v>
      </c>
      <c r="H2991" s="5">
        <v>107.6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109.3</v>
      </c>
      <c r="D2992" s="5">
        <v>0.1</v>
      </c>
      <c r="E2992" s="5">
        <v>109.4</v>
      </c>
      <c r="F2992" s="5">
        <v>216.9</v>
      </c>
      <c r="G2992" s="5">
        <v>107.7</v>
      </c>
      <c r="H2992" s="5">
        <v>107.6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103.1</v>
      </c>
      <c r="D2993" s="5">
        <v>0.1</v>
      </c>
      <c r="E2993" s="5">
        <v>103.2</v>
      </c>
      <c r="F2993" s="5">
        <v>204.1</v>
      </c>
      <c r="G2993" s="5">
        <v>101.5</v>
      </c>
      <c r="H2993" s="5">
        <v>101.7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103.1</v>
      </c>
      <c r="D2994" s="5">
        <v>0.1</v>
      </c>
      <c r="E2994" s="5">
        <v>103.2</v>
      </c>
      <c r="F2994" s="5">
        <v>204.1</v>
      </c>
      <c r="G2994" s="5">
        <v>101.5</v>
      </c>
      <c r="H2994" s="5">
        <v>101.7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102.1</v>
      </c>
      <c r="D2995" s="5">
        <v>0.1</v>
      </c>
      <c r="E2995" s="5">
        <v>102.3</v>
      </c>
      <c r="F2995" s="5">
        <v>203.1</v>
      </c>
      <c r="G2995" s="5">
        <v>100.9</v>
      </c>
      <c r="H2995" s="5">
        <v>100.8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102.1</v>
      </c>
      <c r="D2996" s="5">
        <v>0.1</v>
      </c>
      <c r="E2996" s="5">
        <v>102.3</v>
      </c>
      <c r="F2996" s="5">
        <v>203.1</v>
      </c>
      <c r="G2996" s="5">
        <v>100.9</v>
      </c>
      <c r="H2996" s="5">
        <v>100.8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107.4</v>
      </c>
      <c r="D2997" s="5">
        <v>0.1</v>
      </c>
      <c r="E2997" s="5">
        <v>107.5</v>
      </c>
      <c r="F2997" s="5">
        <v>214.2</v>
      </c>
      <c r="G2997" s="5">
        <v>106.4</v>
      </c>
      <c r="H2997" s="5">
        <v>106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107.4</v>
      </c>
      <c r="D2998" s="5">
        <v>0.1</v>
      </c>
      <c r="E2998" s="5">
        <v>107.5</v>
      </c>
      <c r="F2998" s="5">
        <v>214.2</v>
      </c>
      <c r="G2998" s="5">
        <v>106.4</v>
      </c>
      <c r="H2998" s="5">
        <v>106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107.4</v>
      </c>
      <c r="D2999" s="5">
        <v>0.1</v>
      </c>
      <c r="E2999" s="5">
        <v>107.5</v>
      </c>
      <c r="F2999" s="5">
        <v>214.2</v>
      </c>
      <c r="G2999" s="5">
        <v>106.4</v>
      </c>
      <c r="H2999" s="5">
        <v>106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107.4</v>
      </c>
      <c r="D3000" s="5">
        <v>0.1</v>
      </c>
      <c r="E3000" s="5">
        <v>107.5</v>
      </c>
      <c r="F3000" s="5">
        <v>214.2</v>
      </c>
      <c r="G3000" s="5">
        <v>106.4</v>
      </c>
      <c r="H3000" s="5">
        <v>106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102.1</v>
      </c>
      <c r="D3001" s="5">
        <v>0.1</v>
      </c>
      <c r="E3001" s="5">
        <v>102.3</v>
      </c>
      <c r="F3001" s="5">
        <v>203.1</v>
      </c>
      <c r="G3001" s="5">
        <v>100.8</v>
      </c>
      <c r="H3001" s="5">
        <v>101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102.1</v>
      </c>
      <c r="D3002" s="5">
        <v>0.1</v>
      </c>
      <c r="E3002" s="5">
        <v>102.3</v>
      </c>
      <c r="F3002" s="5">
        <v>203.1</v>
      </c>
      <c r="G3002" s="5">
        <v>100.8</v>
      </c>
      <c r="H3002" s="5">
        <v>101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103</v>
      </c>
      <c r="D3003" s="5">
        <v>0.1</v>
      </c>
      <c r="E3003" s="5">
        <v>103.1</v>
      </c>
      <c r="F3003" s="5">
        <v>205</v>
      </c>
      <c r="G3003" s="5">
        <v>101.9</v>
      </c>
      <c r="H3003" s="5">
        <v>101.8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103</v>
      </c>
      <c r="D3004" s="5">
        <v>0.1</v>
      </c>
      <c r="E3004" s="5">
        <v>103.1</v>
      </c>
      <c r="F3004" s="5">
        <v>205</v>
      </c>
      <c r="G3004" s="5">
        <v>101.9</v>
      </c>
      <c r="H3004" s="5">
        <v>101.8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108.1</v>
      </c>
      <c r="D3005" s="5">
        <v>0.1</v>
      </c>
      <c r="E3005" s="5">
        <v>108.3</v>
      </c>
      <c r="F3005" s="5">
        <v>215.2</v>
      </c>
      <c r="G3005" s="5">
        <v>106.9</v>
      </c>
      <c r="H3005" s="5">
        <v>106.7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108.1</v>
      </c>
      <c r="D3006" s="5">
        <v>0.1</v>
      </c>
      <c r="E3006" s="5">
        <v>108.3</v>
      </c>
      <c r="F3006" s="5">
        <v>215.2</v>
      </c>
      <c r="G3006" s="5">
        <v>106.9</v>
      </c>
      <c r="H3006" s="5">
        <v>106.7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103.3</v>
      </c>
      <c r="D3007" s="5">
        <v>0.1</v>
      </c>
      <c r="E3007" s="5">
        <v>103.4</v>
      </c>
      <c r="F3007" s="5">
        <v>205.3</v>
      </c>
      <c r="G3007" s="5">
        <v>101.9</v>
      </c>
      <c r="H3007" s="5">
        <v>101.8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103.3</v>
      </c>
      <c r="D3008" s="5">
        <v>0.1</v>
      </c>
      <c r="E3008" s="5">
        <v>103.4</v>
      </c>
      <c r="F3008" s="5">
        <v>205.3</v>
      </c>
      <c r="G3008" s="5">
        <v>101.9</v>
      </c>
      <c r="H3008" s="5">
        <v>101.8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103.3</v>
      </c>
      <c r="D3009" s="5">
        <v>0.1</v>
      </c>
      <c r="E3009" s="5">
        <v>103.4</v>
      </c>
      <c r="F3009" s="5">
        <v>205.3</v>
      </c>
      <c r="G3009" s="5">
        <v>101.9</v>
      </c>
      <c r="H3009" s="5">
        <v>101.8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103.3</v>
      </c>
      <c r="D3010" s="5">
        <v>0.1</v>
      </c>
      <c r="E3010" s="5">
        <v>103.4</v>
      </c>
      <c r="F3010" s="5">
        <v>205.3</v>
      </c>
      <c r="G3010" s="5">
        <v>101.9</v>
      </c>
      <c r="H3010" s="5">
        <v>101.8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106.8</v>
      </c>
      <c r="D3011" s="5">
        <v>0.1</v>
      </c>
      <c r="E3011" s="5">
        <v>106.9</v>
      </c>
      <c r="F3011" s="5">
        <v>211</v>
      </c>
      <c r="G3011" s="5">
        <v>104.3</v>
      </c>
      <c r="H3011" s="5">
        <v>103.7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106.8</v>
      </c>
      <c r="D3012" s="5">
        <v>0.1</v>
      </c>
      <c r="E3012" s="5">
        <v>106.9</v>
      </c>
      <c r="F3012" s="5">
        <v>211</v>
      </c>
      <c r="G3012" s="5">
        <v>104.3</v>
      </c>
      <c r="H3012" s="5">
        <v>103.7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108.3</v>
      </c>
      <c r="D3013" s="5">
        <v>0.1</v>
      </c>
      <c r="E3013" s="5">
        <v>108.5</v>
      </c>
      <c r="F3013" s="5">
        <v>215.2</v>
      </c>
      <c r="G3013" s="5">
        <v>106.9</v>
      </c>
      <c r="H3013" s="5">
        <v>106.8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108.3</v>
      </c>
      <c r="D3014" s="5">
        <v>0.1</v>
      </c>
      <c r="E3014" s="5">
        <v>108.5</v>
      </c>
      <c r="F3014" s="5">
        <v>215.2</v>
      </c>
      <c r="G3014" s="5">
        <v>106.9</v>
      </c>
      <c r="H3014" s="5">
        <v>106.8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107</v>
      </c>
      <c r="D3015" s="5">
        <v>0.1</v>
      </c>
      <c r="E3015" s="5">
        <v>107.2</v>
      </c>
      <c r="F3015" s="5">
        <v>208.3</v>
      </c>
      <c r="G3015" s="5">
        <v>103.7</v>
      </c>
      <c r="H3015" s="5">
        <v>103.7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107</v>
      </c>
      <c r="D3016" s="5">
        <v>0.1</v>
      </c>
      <c r="E3016" s="5">
        <v>107.2</v>
      </c>
      <c r="F3016" s="5">
        <v>208.3</v>
      </c>
      <c r="G3016" s="5">
        <v>103.7</v>
      </c>
      <c r="H3016" s="5">
        <v>103.7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104.5</v>
      </c>
      <c r="D3017" s="5">
        <v>0.1</v>
      </c>
      <c r="E3017" s="5">
        <v>104.6</v>
      </c>
      <c r="F3017" s="5">
        <v>205.1</v>
      </c>
      <c r="G3017" s="5">
        <v>102.2</v>
      </c>
      <c r="H3017" s="5">
        <v>102.4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104.5</v>
      </c>
      <c r="D3018" s="5">
        <v>0.1</v>
      </c>
      <c r="E3018" s="5">
        <v>104.6</v>
      </c>
      <c r="F3018" s="5">
        <v>205.1</v>
      </c>
      <c r="G3018" s="5">
        <v>102.2</v>
      </c>
      <c r="H3018" s="5">
        <v>102.4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104.5</v>
      </c>
      <c r="D3019" s="5">
        <v>0.1</v>
      </c>
      <c r="E3019" s="5">
        <v>104.6</v>
      </c>
      <c r="F3019" s="5">
        <v>205.1</v>
      </c>
      <c r="G3019" s="5">
        <v>102.2</v>
      </c>
      <c r="H3019" s="5">
        <v>102.4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104.5</v>
      </c>
      <c r="D3020" s="5">
        <v>0.1</v>
      </c>
      <c r="E3020" s="5">
        <v>104.6</v>
      </c>
      <c r="F3020" s="5">
        <v>205.1</v>
      </c>
      <c r="G3020" s="5">
        <v>102.2</v>
      </c>
      <c r="H3020" s="5">
        <v>102.4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104.6</v>
      </c>
      <c r="D3021" s="5">
        <v>0.1</v>
      </c>
      <c r="E3021" s="5">
        <v>104.7</v>
      </c>
      <c r="F3021" s="5">
        <v>204.6</v>
      </c>
      <c r="G3021" s="5">
        <v>102</v>
      </c>
      <c r="H3021" s="5">
        <v>102.2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104.6</v>
      </c>
      <c r="D3022" s="5">
        <v>0.1</v>
      </c>
      <c r="E3022" s="5">
        <v>104.7</v>
      </c>
      <c r="F3022" s="5">
        <v>204.6</v>
      </c>
      <c r="G3022" s="5">
        <v>102</v>
      </c>
      <c r="H3022" s="5">
        <v>102.2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102.7</v>
      </c>
      <c r="D3023" s="5">
        <v>0.1</v>
      </c>
      <c r="E3023" s="5">
        <v>102.8</v>
      </c>
      <c r="F3023" s="5">
        <v>205.1</v>
      </c>
      <c r="G3023" s="5">
        <v>101.9</v>
      </c>
      <c r="H3023" s="5">
        <v>101.8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102.7</v>
      </c>
      <c r="D3024" s="5">
        <v>0.1</v>
      </c>
      <c r="E3024" s="5">
        <v>102.8</v>
      </c>
      <c r="F3024" s="5">
        <v>205.1</v>
      </c>
      <c r="G3024" s="5">
        <v>101.9</v>
      </c>
      <c r="H3024" s="5">
        <v>101.8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104.3</v>
      </c>
      <c r="D3025" s="5">
        <v>0.1</v>
      </c>
      <c r="E3025" s="5">
        <v>104.4</v>
      </c>
      <c r="F3025" s="5">
        <v>207.7</v>
      </c>
      <c r="G3025" s="5">
        <v>103.4</v>
      </c>
      <c r="H3025" s="5">
        <v>103.6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104.3</v>
      </c>
      <c r="D3026" s="5">
        <v>0.1</v>
      </c>
      <c r="E3026" s="5">
        <v>104.4</v>
      </c>
      <c r="F3026" s="5">
        <v>207.7</v>
      </c>
      <c r="G3026" s="5">
        <v>103.4</v>
      </c>
      <c r="H3026" s="5">
        <v>103.6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102</v>
      </c>
      <c r="D3027" s="5">
        <v>0.1</v>
      </c>
      <c r="E3027" s="5">
        <v>102.1</v>
      </c>
      <c r="F3027" s="5">
        <v>203.1</v>
      </c>
      <c r="G3027" s="5">
        <v>100.9</v>
      </c>
      <c r="H3027" s="5">
        <v>100.7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102</v>
      </c>
      <c r="D3028" s="5">
        <v>0.1</v>
      </c>
      <c r="E3028" s="5">
        <v>102.1</v>
      </c>
      <c r="F3028" s="5">
        <v>203.1</v>
      </c>
      <c r="G3028" s="5">
        <v>100.9</v>
      </c>
      <c r="H3028" s="5">
        <v>100.7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102</v>
      </c>
      <c r="D3029" s="5">
        <v>0.1</v>
      </c>
      <c r="E3029" s="5">
        <v>102.1</v>
      </c>
      <c r="F3029" s="5">
        <v>203.1</v>
      </c>
      <c r="G3029" s="5">
        <v>100.9</v>
      </c>
      <c r="H3029" s="5">
        <v>100.7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102</v>
      </c>
      <c r="D3030" s="5">
        <v>0.1</v>
      </c>
      <c r="E3030" s="5">
        <v>102.1</v>
      </c>
      <c r="F3030" s="5">
        <v>203.6</v>
      </c>
      <c r="G3030" s="5">
        <v>101.2</v>
      </c>
      <c r="H3030" s="5">
        <v>101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102</v>
      </c>
      <c r="D3031" s="5">
        <v>0.1</v>
      </c>
      <c r="E3031" s="5">
        <v>102.1</v>
      </c>
      <c r="F3031" s="5">
        <v>203.6</v>
      </c>
      <c r="G3031" s="5">
        <v>101.2</v>
      </c>
      <c r="H3031" s="5">
        <v>101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102</v>
      </c>
      <c r="D3032" s="5">
        <v>0.1</v>
      </c>
      <c r="E3032" s="5">
        <v>102.1</v>
      </c>
      <c r="F3032" s="5">
        <v>203.6</v>
      </c>
      <c r="G3032" s="5">
        <v>101.2</v>
      </c>
      <c r="H3032" s="5">
        <v>101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102.3</v>
      </c>
      <c r="D3033" s="5">
        <v>0.1</v>
      </c>
      <c r="E3033" s="5">
        <v>102.4</v>
      </c>
      <c r="F3033" s="5">
        <v>203.8</v>
      </c>
      <c r="G3033" s="5">
        <v>101.3</v>
      </c>
      <c r="H3033" s="5">
        <v>101.3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102.3</v>
      </c>
      <c r="D3034" s="5">
        <v>0.1</v>
      </c>
      <c r="E3034" s="5">
        <v>102.4</v>
      </c>
      <c r="F3034" s="5">
        <v>203.8</v>
      </c>
      <c r="G3034" s="5">
        <v>101.3</v>
      </c>
      <c r="H3034" s="5">
        <v>101.3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103.4</v>
      </c>
      <c r="D3035" s="5">
        <v>0.1</v>
      </c>
      <c r="E3035" s="5">
        <v>103.5</v>
      </c>
      <c r="F3035" s="5">
        <v>204.9</v>
      </c>
      <c r="G3035" s="5">
        <v>101.9</v>
      </c>
      <c r="H3035" s="5">
        <v>102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103.4</v>
      </c>
      <c r="D3036" s="5">
        <v>0.1</v>
      </c>
      <c r="E3036" s="5">
        <v>103.5</v>
      </c>
      <c r="F3036" s="5">
        <v>204.9</v>
      </c>
      <c r="G3036" s="5">
        <v>101.9</v>
      </c>
      <c r="H3036" s="5">
        <v>102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103.4</v>
      </c>
      <c r="D3037" s="5">
        <v>0.1</v>
      </c>
      <c r="E3037" s="5">
        <v>103.6</v>
      </c>
      <c r="F3037" s="5">
        <v>204.8</v>
      </c>
      <c r="G3037" s="5">
        <v>101.8</v>
      </c>
      <c r="H3037" s="5">
        <v>101.7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103.4</v>
      </c>
      <c r="D3038" s="5">
        <v>0.1</v>
      </c>
      <c r="E3038" s="5">
        <v>103.6</v>
      </c>
      <c r="F3038" s="5">
        <v>204.8</v>
      </c>
      <c r="G3038" s="5">
        <v>101.8</v>
      </c>
      <c r="H3038" s="5">
        <v>101.7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103.4</v>
      </c>
      <c r="D3039" s="5">
        <v>0.1</v>
      </c>
      <c r="E3039" s="5">
        <v>103.6</v>
      </c>
      <c r="F3039" s="5">
        <v>204.8</v>
      </c>
      <c r="G3039" s="5">
        <v>101.8</v>
      </c>
      <c r="H3039" s="5">
        <v>101.7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108</v>
      </c>
      <c r="D3040" s="5">
        <v>0.1</v>
      </c>
      <c r="E3040" s="5">
        <v>108.1</v>
      </c>
      <c r="F3040" s="5">
        <v>215.3</v>
      </c>
      <c r="G3040" s="5">
        <v>106.9</v>
      </c>
      <c r="H3040" s="5">
        <v>106.6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108</v>
      </c>
      <c r="D3041" s="5">
        <v>0.1</v>
      </c>
      <c r="E3041" s="5">
        <v>108.1</v>
      </c>
      <c r="F3041" s="5">
        <v>215.3</v>
      </c>
      <c r="G3041" s="5">
        <v>106.9</v>
      </c>
      <c r="H3041" s="5">
        <v>106.6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108</v>
      </c>
      <c r="D3042" s="5">
        <v>0.1</v>
      </c>
      <c r="E3042" s="5">
        <v>108.1</v>
      </c>
      <c r="F3042" s="5">
        <v>214.9</v>
      </c>
      <c r="G3042" s="5">
        <v>106.7</v>
      </c>
      <c r="H3042" s="5">
        <v>106.5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108</v>
      </c>
      <c r="D3043" s="5">
        <v>0.1</v>
      </c>
      <c r="E3043" s="5">
        <v>108.1</v>
      </c>
      <c r="F3043" s="5">
        <v>214.9</v>
      </c>
      <c r="G3043" s="5">
        <v>106.7</v>
      </c>
      <c r="H3043" s="5">
        <v>106.5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107.5</v>
      </c>
      <c r="D3044" s="5">
        <v>0.1</v>
      </c>
      <c r="E3044" s="5">
        <v>107.6</v>
      </c>
      <c r="F3044" s="5">
        <v>213.8</v>
      </c>
      <c r="G3044" s="5">
        <v>106.2</v>
      </c>
      <c r="H3044" s="5">
        <v>106.1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107.5</v>
      </c>
      <c r="D3045" s="5">
        <v>0.1</v>
      </c>
      <c r="E3045" s="5">
        <v>107.6</v>
      </c>
      <c r="F3045" s="5">
        <v>213.8</v>
      </c>
      <c r="G3045" s="5">
        <v>106.2</v>
      </c>
      <c r="H3045" s="5">
        <v>106.1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107.7</v>
      </c>
      <c r="D3046" s="5">
        <v>0.1</v>
      </c>
      <c r="E3046" s="5">
        <v>107.8</v>
      </c>
      <c r="F3046" s="5">
        <v>213.9</v>
      </c>
      <c r="G3046" s="5">
        <v>106.2</v>
      </c>
      <c r="H3046" s="5">
        <v>106.1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107.7</v>
      </c>
      <c r="D3047" s="5">
        <v>0.1</v>
      </c>
      <c r="E3047" s="5">
        <v>107.8</v>
      </c>
      <c r="F3047" s="5">
        <v>213.9</v>
      </c>
      <c r="G3047" s="5">
        <v>106.2</v>
      </c>
      <c r="H3047" s="5">
        <v>106.1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107.7</v>
      </c>
      <c r="D3048" s="5">
        <v>0.1</v>
      </c>
      <c r="E3048" s="5">
        <v>107.8</v>
      </c>
      <c r="F3048" s="5">
        <v>213.9</v>
      </c>
      <c r="G3048" s="5">
        <v>106.2</v>
      </c>
      <c r="H3048" s="5">
        <v>106.1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107.7</v>
      </c>
      <c r="D3049" s="5">
        <v>0.1</v>
      </c>
      <c r="E3049" s="5">
        <v>107.8</v>
      </c>
      <c r="F3049" s="5">
        <v>213.9</v>
      </c>
      <c r="G3049" s="5">
        <v>106.2</v>
      </c>
      <c r="H3049" s="5">
        <v>106.1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108.2</v>
      </c>
      <c r="D3050" s="5">
        <v>0.1</v>
      </c>
      <c r="E3050" s="5">
        <v>108.4</v>
      </c>
      <c r="F3050" s="5">
        <v>214.3</v>
      </c>
      <c r="G3050" s="5">
        <v>106.5</v>
      </c>
      <c r="H3050" s="5">
        <v>106.3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108.2</v>
      </c>
      <c r="D3051" s="5">
        <v>0.1</v>
      </c>
      <c r="E3051" s="5">
        <v>108.4</v>
      </c>
      <c r="F3051" s="5">
        <v>214.3</v>
      </c>
      <c r="G3051" s="5">
        <v>106.5</v>
      </c>
      <c r="H3051" s="5">
        <v>106.3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107.5</v>
      </c>
      <c r="D3052" s="5">
        <v>0.1</v>
      </c>
      <c r="E3052" s="5">
        <v>107.6</v>
      </c>
      <c r="F3052" s="5">
        <v>214</v>
      </c>
      <c r="G3052" s="5">
        <v>106.3</v>
      </c>
      <c r="H3052" s="5">
        <v>106.3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107.5</v>
      </c>
      <c r="D3053" s="5">
        <v>0.1</v>
      </c>
      <c r="E3053" s="5">
        <v>107.6</v>
      </c>
      <c r="F3053" s="5">
        <v>214</v>
      </c>
      <c r="G3053" s="5">
        <v>106.3</v>
      </c>
      <c r="H3053" s="5">
        <v>106.2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108.2</v>
      </c>
      <c r="D3054" s="5">
        <v>0.1</v>
      </c>
      <c r="E3054" s="5">
        <v>108.4</v>
      </c>
      <c r="F3054" s="5">
        <v>214.9</v>
      </c>
      <c r="G3054" s="5">
        <v>106.8</v>
      </c>
      <c r="H3054" s="5">
        <v>106.2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108.2</v>
      </c>
      <c r="D3055" s="5">
        <v>0.1</v>
      </c>
      <c r="E3055" s="5">
        <v>108.4</v>
      </c>
      <c r="F3055" s="5">
        <v>214.9</v>
      </c>
      <c r="G3055" s="5">
        <v>106.8</v>
      </c>
      <c r="H3055" s="5">
        <v>106.5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103.5</v>
      </c>
      <c r="D3056" s="5">
        <v>0.1</v>
      </c>
      <c r="E3056" s="5">
        <v>108.4</v>
      </c>
      <c r="F3056" s="5">
        <v>214.9</v>
      </c>
      <c r="G3056" s="5">
        <v>106.8</v>
      </c>
      <c r="H3056" s="5">
        <v>106.5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103.5</v>
      </c>
      <c r="D3057" s="5">
        <v>0.1</v>
      </c>
      <c r="E3057" s="5">
        <v>103.7</v>
      </c>
      <c r="F3057" s="5">
        <v>206.4</v>
      </c>
      <c r="G3057" s="5">
        <v>102.9</v>
      </c>
      <c r="H3057" s="5">
        <v>103.1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103.5</v>
      </c>
      <c r="D3058" s="5">
        <v>0.1</v>
      </c>
      <c r="E3058" s="5">
        <v>103.7</v>
      </c>
      <c r="F3058" s="5">
        <v>206.4</v>
      </c>
      <c r="G3058" s="5">
        <v>102.9</v>
      </c>
      <c r="H3058" s="5">
        <v>103.1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103.5</v>
      </c>
      <c r="D3059" s="5">
        <v>0.1</v>
      </c>
      <c r="E3059" s="5">
        <v>103.7</v>
      </c>
      <c r="F3059" s="5">
        <v>206.4</v>
      </c>
      <c r="G3059" s="5">
        <v>102.9</v>
      </c>
      <c r="H3059" s="5">
        <v>103.1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103.5</v>
      </c>
      <c r="D3060" s="5">
        <v>0.1</v>
      </c>
      <c r="E3060" s="5">
        <v>103.7</v>
      </c>
      <c r="F3060" s="5">
        <v>206.4</v>
      </c>
      <c r="G3060" s="5">
        <v>102.9</v>
      </c>
      <c r="H3060" s="5">
        <v>103.1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103.8</v>
      </c>
      <c r="D3061" s="5">
        <v>0.1</v>
      </c>
      <c r="E3061" s="5">
        <v>104</v>
      </c>
      <c r="F3061" s="5">
        <v>207.3</v>
      </c>
      <c r="G3061" s="5">
        <v>103</v>
      </c>
      <c r="H3061" s="5">
        <v>102.8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103.8</v>
      </c>
      <c r="D3062" s="5">
        <v>0.1</v>
      </c>
      <c r="E3062" s="5">
        <v>104</v>
      </c>
      <c r="F3062" s="5">
        <v>207.3</v>
      </c>
      <c r="G3062" s="5">
        <v>103</v>
      </c>
      <c r="H3062" s="5">
        <v>102.8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102.6</v>
      </c>
      <c r="D3063" s="5">
        <v>0.1</v>
      </c>
      <c r="E3063" s="5">
        <v>102.7</v>
      </c>
      <c r="F3063" s="5">
        <v>204.5</v>
      </c>
      <c r="G3063" s="5">
        <v>101.5</v>
      </c>
      <c r="H3063" s="5">
        <v>101.4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102.6</v>
      </c>
      <c r="D3064" s="5">
        <v>0.1</v>
      </c>
      <c r="E3064" s="5">
        <v>102.7</v>
      </c>
      <c r="F3064" s="5">
        <v>204.5</v>
      </c>
      <c r="G3064" s="5">
        <v>101.5</v>
      </c>
      <c r="H3064" s="5">
        <v>101.4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102.1</v>
      </c>
      <c r="D3065" s="5">
        <v>0.1</v>
      </c>
      <c r="E3065" s="5">
        <v>102.2</v>
      </c>
      <c r="F3065" s="5">
        <v>204.4</v>
      </c>
      <c r="G3065" s="5">
        <v>101.5</v>
      </c>
      <c r="H3065" s="5">
        <v>101.3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102.1</v>
      </c>
      <c r="D3066" s="5">
        <v>0.1</v>
      </c>
      <c r="E3066" s="5">
        <v>102.2</v>
      </c>
      <c r="F3066" s="5">
        <v>204.4</v>
      </c>
      <c r="G3066" s="5">
        <v>101.5</v>
      </c>
      <c r="H3066" s="5">
        <v>101.3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102.3</v>
      </c>
      <c r="D3067" s="5">
        <v>0.1</v>
      </c>
      <c r="E3067" s="5">
        <v>102.4</v>
      </c>
      <c r="F3067" s="5">
        <v>207</v>
      </c>
      <c r="G3067" s="5">
        <v>102.4</v>
      </c>
      <c r="H3067" s="5">
        <v>101.8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102.3</v>
      </c>
      <c r="D3068" s="5">
        <v>0.1</v>
      </c>
      <c r="E3068" s="5">
        <v>102.4</v>
      </c>
      <c r="F3068" s="5">
        <v>207</v>
      </c>
      <c r="G3068" s="5">
        <v>102.4</v>
      </c>
      <c r="H3068" s="5">
        <v>101.8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102.3</v>
      </c>
      <c r="D3069" s="5">
        <v>0.1</v>
      </c>
      <c r="E3069" s="5">
        <v>102.4</v>
      </c>
      <c r="F3069" s="5">
        <v>207</v>
      </c>
      <c r="G3069" s="5">
        <v>102.4</v>
      </c>
      <c r="H3069" s="5">
        <v>101.8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105.7</v>
      </c>
      <c r="D3070" s="5">
        <v>0.1</v>
      </c>
      <c r="E3070" s="5">
        <v>105.9</v>
      </c>
      <c r="F3070" s="5">
        <v>206.1</v>
      </c>
      <c r="G3070" s="5">
        <v>102.4</v>
      </c>
      <c r="H3070" s="5">
        <v>102.2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105.7</v>
      </c>
      <c r="D3071" s="5">
        <v>0.1</v>
      </c>
      <c r="E3071" s="5">
        <v>105.9</v>
      </c>
      <c r="F3071" s="5">
        <v>206.1</v>
      </c>
      <c r="G3071" s="5">
        <v>102.4</v>
      </c>
      <c r="H3071" s="5">
        <v>102.2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105.7</v>
      </c>
      <c r="D3072" s="5">
        <v>0.1</v>
      </c>
      <c r="E3072" s="5">
        <v>101.8</v>
      </c>
      <c r="F3072" s="5">
        <v>201.6</v>
      </c>
      <c r="G3072" s="5">
        <v>100.2</v>
      </c>
      <c r="H3072" s="5">
        <v>100.1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101.6</v>
      </c>
      <c r="D3073" s="5">
        <v>0.1</v>
      </c>
      <c r="E3073" s="5">
        <v>101.8</v>
      </c>
      <c r="F3073" s="5">
        <v>201.6</v>
      </c>
      <c r="G3073" s="5">
        <v>100.2</v>
      </c>
      <c r="H3073" s="5">
        <v>100.1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101.6</v>
      </c>
      <c r="D3074" s="5">
        <v>0.1</v>
      </c>
      <c r="E3074" s="5">
        <v>107.2</v>
      </c>
      <c r="F3074" s="5">
        <v>212.8</v>
      </c>
      <c r="G3074" s="5">
        <v>105.7</v>
      </c>
      <c r="H3074" s="5">
        <v>105.6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107.1</v>
      </c>
      <c r="D3075" s="5">
        <v>0.1</v>
      </c>
      <c r="E3075" s="5">
        <v>107.2</v>
      </c>
      <c r="F3075" s="5">
        <v>212.8</v>
      </c>
      <c r="G3075" s="5">
        <v>105.7</v>
      </c>
      <c r="H3075" s="5">
        <v>105.6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107.1</v>
      </c>
      <c r="D3076" s="5">
        <v>0.1</v>
      </c>
      <c r="E3076" s="5">
        <v>107.3</v>
      </c>
      <c r="F3076" s="5">
        <v>212.7</v>
      </c>
      <c r="G3076" s="5">
        <v>105.7</v>
      </c>
      <c r="H3076" s="5">
        <v>105.5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107.2</v>
      </c>
      <c r="D3077" s="5">
        <v>0.1</v>
      </c>
      <c r="E3077" s="5">
        <v>107.3</v>
      </c>
      <c r="F3077" s="5">
        <v>212.7</v>
      </c>
      <c r="G3077" s="5">
        <v>105.7</v>
      </c>
      <c r="H3077" s="5">
        <v>105.5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107.2</v>
      </c>
      <c r="D3078" s="5">
        <v>0.1</v>
      </c>
      <c r="E3078" s="5">
        <v>107.3</v>
      </c>
      <c r="F3078" s="5">
        <v>212.7</v>
      </c>
      <c r="G3078" s="5">
        <v>105.7</v>
      </c>
      <c r="H3078" s="5">
        <v>105.5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107.2</v>
      </c>
      <c r="D3079" s="5">
        <v>0.1</v>
      </c>
      <c r="E3079" s="5">
        <v>107.3</v>
      </c>
      <c r="F3079" s="5">
        <v>212.7</v>
      </c>
      <c r="G3079" s="5">
        <v>105.7</v>
      </c>
      <c r="H3079" s="5">
        <v>105.5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105.8</v>
      </c>
      <c r="D3080" s="5">
        <v>0.1</v>
      </c>
      <c r="E3080" s="5">
        <v>105.9</v>
      </c>
      <c r="F3080" s="5">
        <v>205.7</v>
      </c>
      <c r="G3080" s="5">
        <v>102.5</v>
      </c>
      <c r="H3080" s="5">
        <v>102.5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105.8</v>
      </c>
      <c r="D3081" s="5">
        <v>0.1</v>
      </c>
      <c r="E3081" s="5">
        <v>105.9</v>
      </c>
      <c r="F3081" s="5">
        <v>205.7</v>
      </c>
      <c r="G3081" s="5">
        <v>102.5</v>
      </c>
      <c r="H3081" s="5">
        <v>102.5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107.6</v>
      </c>
      <c r="D3082" s="5">
        <v>0.1</v>
      </c>
      <c r="E3082" s="5">
        <v>107.8</v>
      </c>
      <c r="F3082" s="5">
        <v>214.2</v>
      </c>
      <c r="G3082" s="5">
        <v>106.4</v>
      </c>
      <c r="H3082" s="5">
        <v>106.1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107.6</v>
      </c>
      <c r="D3083" s="5">
        <v>0.1</v>
      </c>
      <c r="E3083" s="5">
        <v>107.8</v>
      </c>
      <c r="F3083" s="5">
        <v>214.2</v>
      </c>
      <c r="G3083" s="5">
        <v>106.4</v>
      </c>
      <c r="H3083" s="5">
        <v>106.1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107.8</v>
      </c>
      <c r="D3084" s="5">
        <v>0.1</v>
      </c>
      <c r="E3084" s="5">
        <v>107.9</v>
      </c>
      <c r="F3084" s="5">
        <v>210.8</v>
      </c>
      <c r="G3084" s="5">
        <v>105</v>
      </c>
      <c r="H3084" s="5">
        <v>105.2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107.8</v>
      </c>
      <c r="D3085" s="5">
        <v>0.1</v>
      </c>
      <c r="E3085" s="5">
        <v>107.9</v>
      </c>
      <c r="F3085" s="5">
        <v>210.8</v>
      </c>
      <c r="G3085" s="5">
        <v>105</v>
      </c>
      <c r="H3085" s="5">
        <v>105.2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107</v>
      </c>
      <c r="D3086" s="5">
        <v>0.1</v>
      </c>
      <c r="E3086" s="5">
        <v>107.2</v>
      </c>
      <c r="F3086" s="5">
        <v>208.3</v>
      </c>
      <c r="G3086" s="5">
        <v>103.8</v>
      </c>
      <c r="H3086" s="5">
        <v>104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107</v>
      </c>
      <c r="D3087" s="5">
        <v>0.1</v>
      </c>
      <c r="E3087" s="5">
        <v>107.2</v>
      </c>
      <c r="F3087" s="5">
        <v>208.3</v>
      </c>
      <c r="G3087" s="5">
        <v>103.8</v>
      </c>
      <c r="H3087" s="5">
        <v>104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107</v>
      </c>
      <c r="D3088" s="5">
        <v>0.1</v>
      </c>
      <c r="E3088" s="5">
        <v>107.2</v>
      </c>
      <c r="F3088" s="5">
        <v>208.3</v>
      </c>
      <c r="G3088" s="5">
        <v>103.8</v>
      </c>
      <c r="H3088" s="5">
        <v>104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107</v>
      </c>
      <c r="D3089" s="5">
        <v>0.1</v>
      </c>
      <c r="E3089" s="5">
        <v>107.2</v>
      </c>
      <c r="F3089" s="5">
        <v>208.3</v>
      </c>
      <c r="G3089" s="5">
        <v>103.8</v>
      </c>
      <c r="H3089" s="5">
        <v>104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102.5</v>
      </c>
      <c r="D3090" s="5">
        <v>0.1</v>
      </c>
      <c r="E3090" s="5">
        <v>102.7</v>
      </c>
      <c r="F3090" s="5">
        <v>205.4</v>
      </c>
      <c r="G3090" s="5">
        <v>102.1</v>
      </c>
      <c r="H3090" s="5">
        <v>102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102.5</v>
      </c>
      <c r="D3091" s="5">
        <v>0.1</v>
      </c>
      <c r="E3091" s="5">
        <v>102.7</v>
      </c>
      <c r="F3091" s="5">
        <v>205.4</v>
      </c>
      <c r="G3091" s="5">
        <v>102.1</v>
      </c>
      <c r="H3091" s="5">
        <v>102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106.7</v>
      </c>
      <c r="D3092" s="5">
        <v>0.1</v>
      </c>
      <c r="E3092" s="5">
        <v>106.9</v>
      </c>
      <c r="F3092" s="5">
        <v>207.5</v>
      </c>
      <c r="G3092" s="5">
        <v>103.2</v>
      </c>
      <c r="H3092" s="5">
        <v>103.1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106.7</v>
      </c>
      <c r="D3093" s="5">
        <v>0.1</v>
      </c>
      <c r="E3093" s="5">
        <v>106.9</v>
      </c>
      <c r="F3093" s="5">
        <v>207.5</v>
      </c>
      <c r="G3093" s="5">
        <v>103.2</v>
      </c>
      <c r="H3093" s="5">
        <v>103.1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102</v>
      </c>
      <c r="D3094" s="5">
        <v>0.1</v>
      </c>
      <c r="E3094" s="5">
        <v>102.1</v>
      </c>
      <c r="F3094" s="5">
        <v>206.8</v>
      </c>
      <c r="G3094" s="5">
        <v>102.6</v>
      </c>
      <c r="H3094" s="5">
        <v>102.3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102</v>
      </c>
      <c r="D3095" s="5">
        <v>0.1</v>
      </c>
      <c r="E3095" s="5">
        <v>102.1</v>
      </c>
      <c r="F3095" s="5">
        <v>206.8</v>
      </c>
      <c r="G3095" s="5">
        <v>102.6</v>
      </c>
      <c r="H3095" s="5">
        <v>102.3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108.1</v>
      </c>
      <c r="D3096" s="5">
        <v>0.1</v>
      </c>
      <c r="E3096" s="5">
        <v>108.3</v>
      </c>
      <c r="F3096" s="5">
        <v>215.2</v>
      </c>
      <c r="G3096" s="5">
        <v>106.9</v>
      </c>
      <c r="H3096" s="5">
        <v>106.8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108.1</v>
      </c>
      <c r="D3097" s="5">
        <v>0.1</v>
      </c>
      <c r="E3097" s="5">
        <v>108.3</v>
      </c>
      <c r="F3097" s="5">
        <v>215.2</v>
      </c>
      <c r="G3097" s="5">
        <v>106.9</v>
      </c>
      <c r="H3097" s="5">
        <v>106.8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108.1</v>
      </c>
      <c r="D3098" s="5">
        <v>0.1</v>
      </c>
      <c r="E3098" s="5">
        <v>108.3</v>
      </c>
      <c r="F3098" s="5">
        <v>215.2</v>
      </c>
      <c r="G3098" s="5">
        <v>106.9</v>
      </c>
      <c r="H3098" s="5">
        <v>106.8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108.1</v>
      </c>
      <c r="D3099" s="5">
        <v>0.1</v>
      </c>
      <c r="E3099" s="5">
        <v>108.3</v>
      </c>
      <c r="F3099" s="5">
        <v>215.2</v>
      </c>
      <c r="G3099" s="5">
        <v>106.9</v>
      </c>
      <c r="H3099" s="5">
        <v>106.8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106.8</v>
      </c>
      <c r="D3100" s="5">
        <v>0.1</v>
      </c>
      <c r="E3100" s="5">
        <v>106.9</v>
      </c>
      <c r="F3100" s="5">
        <v>209.2</v>
      </c>
      <c r="G3100" s="5">
        <v>104.1</v>
      </c>
      <c r="H3100" s="5">
        <v>103.9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106.8</v>
      </c>
      <c r="D3101" s="5">
        <v>0.1</v>
      </c>
      <c r="E3101" s="5">
        <v>106.9</v>
      </c>
      <c r="F3101" s="5">
        <v>209.2</v>
      </c>
      <c r="G3101" s="5">
        <v>104.1</v>
      </c>
      <c r="H3101" s="5">
        <v>103.9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103.6</v>
      </c>
      <c r="D3102" s="5">
        <v>0.1</v>
      </c>
      <c r="E3102" s="5">
        <v>103.7</v>
      </c>
      <c r="F3102" s="5">
        <v>205.7</v>
      </c>
      <c r="G3102" s="5">
        <v>102.2</v>
      </c>
      <c r="H3102" s="5">
        <v>102.1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103.6</v>
      </c>
      <c r="D3103" s="5">
        <v>0.1</v>
      </c>
      <c r="E3103" s="5">
        <v>103.7</v>
      </c>
      <c r="F3103" s="5">
        <v>205.7</v>
      </c>
      <c r="G3103" s="5">
        <v>102.2</v>
      </c>
      <c r="H3103" s="5">
        <v>102.1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104</v>
      </c>
      <c r="D3104" s="5">
        <v>0.1</v>
      </c>
      <c r="E3104" s="5">
        <v>104.1</v>
      </c>
      <c r="F3104" s="5">
        <v>207.3</v>
      </c>
      <c r="G3104" s="5">
        <v>103</v>
      </c>
      <c r="H3104" s="5">
        <v>102.8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104</v>
      </c>
      <c r="D3105" s="5">
        <v>0.1</v>
      </c>
      <c r="E3105" s="5">
        <v>104.1</v>
      </c>
      <c r="F3105" s="5">
        <v>207.3</v>
      </c>
      <c r="G3105" s="5">
        <v>103</v>
      </c>
      <c r="H3105" s="5">
        <v>102.8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103.3</v>
      </c>
      <c r="D3106" s="5">
        <v>0.1</v>
      </c>
      <c r="E3106" s="5">
        <v>103.4</v>
      </c>
      <c r="F3106" s="5">
        <v>207.3</v>
      </c>
      <c r="G3106" s="5">
        <v>103</v>
      </c>
      <c r="H3106" s="5">
        <v>101.4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103.3</v>
      </c>
      <c r="D3107" s="5">
        <v>0.1</v>
      </c>
      <c r="E3107" s="5">
        <v>103.4</v>
      </c>
      <c r="F3107" s="5">
        <v>204.5</v>
      </c>
      <c r="G3107" s="5">
        <v>101.6</v>
      </c>
      <c r="H3107" s="5">
        <v>101.4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103.3</v>
      </c>
      <c r="D3108" s="5">
        <v>0.1</v>
      </c>
      <c r="E3108" s="5">
        <v>103.4</v>
      </c>
      <c r="F3108" s="5">
        <v>204.5</v>
      </c>
      <c r="G3108" s="5">
        <v>101.6</v>
      </c>
      <c r="H3108" s="5">
        <v>101.4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103.3</v>
      </c>
      <c r="D3109" s="5">
        <v>0.1</v>
      </c>
      <c r="E3109" s="5">
        <v>103.4</v>
      </c>
      <c r="F3109" s="5">
        <v>204.5</v>
      </c>
      <c r="G3109" s="5">
        <v>101.6</v>
      </c>
      <c r="H3109" s="5">
        <v>101.4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108.3</v>
      </c>
      <c r="D3110" s="5">
        <v>0.1</v>
      </c>
      <c r="E3110" s="5">
        <v>108.5</v>
      </c>
      <c r="F3110" s="5">
        <v>215.5</v>
      </c>
      <c r="G3110" s="5">
        <v>107.1</v>
      </c>
      <c r="H3110" s="5">
        <v>107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108.3</v>
      </c>
      <c r="D3111" s="5">
        <v>0.1</v>
      </c>
      <c r="E3111" s="5">
        <v>108.5</v>
      </c>
      <c r="F3111" s="5">
        <v>215.5</v>
      </c>
      <c r="G3111" s="5">
        <v>107.1</v>
      </c>
      <c r="H3111" s="5">
        <v>107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108.5</v>
      </c>
      <c r="D3112" s="5">
        <v>0.1</v>
      </c>
      <c r="E3112" s="5">
        <v>108.6</v>
      </c>
      <c r="F3112" s="5">
        <v>215.3</v>
      </c>
      <c r="G3112" s="5">
        <v>107</v>
      </c>
      <c r="H3112" s="5">
        <v>106.9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108.5</v>
      </c>
      <c r="D3113" s="5">
        <v>0.1</v>
      </c>
      <c r="E3113" s="5">
        <v>108.6</v>
      </c>
      <c r="F3113" s="5">
        <v>215.3</v>
      </c>
      <c r="G3113" s="5">
        <v>107</v>
      </c>
      <c r="H3113" s="5">
        <v>106.9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108.8</v>
      </c>
      <c r="D3114" s="5">
        <v>0.1</v>
      </c>
      <c r="E3114" s="5">
        <v>109</v>
      </c>
      <c r="F3114" s="5">
        <v>216.2</v>
      </c>
      <c r="G3114" s="5">
        <v>107.4</v>
      </c>
      <c r="H3114" s="5">
        <v>107.3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108.8</v>
      </c>
      <c r="D3115" s="5">
        <v>0.1</v>
      </c>
      <c r="E3115" s="5">
        <v>109</v>
      </c>
      <c r="F3115" s="5">
        <v>216.2</v>
      </c>
      <c r="G3115" s="5">
        <v>107.4</v>
      </c>
      <c r="H3115" s="5">
        <v>107.3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108.4</v>
      </c>
      <c r="D3116" s="5">
        <v>0.1</v>
      </c>
      <c r="E3116" s="5">
        <v>108.5</v>
      </c>
      <c r="F3116" s="5">
        <v>215.4</v>
      </c>
      <c r="G3116" s="5">
        <v>107</v>
      </c>
      <c r="H3116" s="5">
        <v>106.8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108.4</v>
      </c>
      <c r="D3117" s="5">
        <v>0.1</v>
      </c>
      <c r="E3117" s="5">
        <v>108.5</v>
      </c>
      <c r="F3117" s="5">
        <v>215.4</v>
      </c>
      <c r="G3117" s="5">
        <v>107</v>
      </c>
      <c r="H3117" s="5">
        <v>106.8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108.4</v>
      </c>
      <c r="D3118" s="5">
        <v>0.1</v>
      </c>
      <c r="E3118" s="5">
        <v>108.5</v>
      </c>
      <c r="F3118" s="5">
        <v>215.4</v>
      </c>
      <c r="G3118" s="5">
        <v>107</v>
      </c>
      <c r="H3118" s="5">
        <v>106.8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108.4</v>
      </c>
      <c r="D3119" s="5">
        <v>0.1</v>
      </c>
      <c r="E3119" s="5">
        <v>108.5</v>
      </c>
      <c r="F3119" s="5">
        <v>215.4</v>
      </c>
      <c r="G3119" s="5">
        <v>107</v>
      </c>
      <c r="H3119" s="5">
        <v>106.8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108.3</v>
      </c>
      <c r="D3120" s="5">
        <v>0.1</v>
      </c>
      <c r="E3120" s="5">
        <v>108.5</v>
      </c>
      <c r="F3120" s="5">
        <v>214.5</v>
      </c>
      <c r="G3120" s="5">
        <v>106.7</v>
      </c>
      <c r="H3120" s="5">
        <v>106.6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108.3</v>
      </c>
      <c r="D3121" s="5">
        <v>0.1</v>
      </c>
      <c r="E3121" s="5">
        <v>108.5</v>
      </c>
      <c r="F3121" s="5">
        <v>214.5</v>
      </c>
      <c r="G3121" s="5">
        <v>106.7</v>
      </c>
      <c r="H3121" s="5">
        <v>106.6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103.1</v>
      </c>
      <c r="D3122" s="5">
        <v>0.1</v>
      </c>
      <c r="E3122" s="5">
        <v>103.2</v>
      </c>
      <c r="F3122" s="5">
        <v>207.4</v>
      </c>
      <c r="G3122" s="5">
        <v>103.1</v>
      </c>
      <c r="H3122" s="5">
        <v>103.1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103.1</v>
      </c>
      <c r="D3123" s="5">
        <v>0.1</v>
      </c>
      <c r="E3123" s="5">
        <v>103.2</v>
      </c>
      <c r="F3123" s="5">
        <v>207.4</v>
      </c>
      <c r="G3123" s="5">
        <v>103.1</v>
      </c>
      <c r="H3123" s="5">
        <v>103.1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103.9</v>
      </c>
      <c r="D3124" s="5">
        <v>0.1</v>
      </c>
      <c r="E3124" s="5">
        <v>104</v>
      </c>
      <c r="F3124" s="5">
        <v>208.8</v>
      </c>
      <c r="G3124" s="5">
        <v>103.5</v>
      </c>
      <c r="H3124" s="5">
        <v>103.1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103.9</v>
      </c>
      <c r="D3125" s="5">
        <v>0.1</v>
      </c>
      <c r="E3125" s="5">
        <v>104</v>
      </c>
      <c r="F3125" s="5">
        <v>208.8</v>
      </c>
      <c r="G3125" s="5">
        <v>103.5</v>
      </c>
      <c r="H3125" s="5">
        <v>103.1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103.6</v>
      </c>
      <c r="D3126" s="5">
        <v>0.1</v>
      </c>
      <c r="E3126" s="5">
        <v>103.7</v>
      </c>
      <c r="F3126" s="5">
        <v>206.1</v>
      </c>
      <c r="G3126" s="5">
        <v>102.4</v>
      </c>
      <c r="H3126" s="5">
        <v>102.2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103.6</v>
      </c>
      <c r="D3127" s="5">
        <v>0.1</v>
      </c>
      <c r="E3127" s="5">
        <v>103.7</v>
      </c>
      <c r="F3127" s="5">
        <v>206.1</v>
      </c>
      <c r="G3127" s="5">
        <v>102.4</v>
      </c>
      <c r="H3127" s="5">
        <v>102.2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103.6</v>
      </c>
      <c r="D3128" s="5">
        <v>0.1</v>
      </c>
      <c r="E3128" s="5">
        <v>103.7</v>
      </c>
      <c r="F3128" s="5">
        <v>206.1</v>
      </c>
      <c r="G3128" s="5">
        <v>102.4</v>
      </c>
      <c r="H3128" s="5">
        <v>102.2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103.6</v>
      </c>
      <c r="D3129" s="5">
        <v>0.1</v>
      </c>
      <c r="E3129" s="5">
        <v>103.7</v>
      </c>
      <c r="F3129" s="5">
        <v>206.1</v>
      </c>
      <c r="G3129" s="5">
        <v>102.4</v>
      </c>
      <c r="H3129" s="5">
        <v>102.2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106.3</v>
      </c>
      <c r="D3130" s="5">
        <v>0.1</v>
      </c>
      <c r="E3130" s="5">
        <v>106.5</v>
      </c>
      <c r="F3130" s="5">
        <v>212.6</v>
      </c>
      <c r="G3130" s="5">
        <v>104.4</v>
      </c>
      <c r="H3130" s="5">
        <v>102.6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106.3</v>
      </c>
      <c r="D3131" s="5">
        <v>0.1</v>
      </c>
      <c r="E3131" s="5">
        <v>106.5</v>
      </c>
      <c r="F3131" s="5">
        <v>212.6</v>
      </c>
      <c r="G3131" s="5">
        <v>104.4</v>
      </c>
      <c r="H3131" s="5">
        <v>102.6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103.8</v>
      </c>
      <c r="D3132" s="5">
        <v>0.1</v>
      </c>
      <c r="E3132" s="5">
        <v>104</v>
      </c>
      <c r="F3132" s="5">
        <v>207.4</v>
      </c>
      <c r="G3132" s="5">
        <v>103.2</v>
      </c>
      <c r="H3132" s="5">
        <v>103.2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103.8</v>
      </c>
      <c r="D3133" s="5">
        <v>0.1</v>
      </c>
      <c r="E3133" s="5">
        <v>104</v>
      </c>
      <c r="F3133" s="5">
        <v>207.4</v>
      </c>
      <c r="G3133" s="5">
        <v>103.2</v>
      </c>
      <c r="H3133" s="5">
        <v>103.2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105.5</v>
      </c>
      <c r="D3134" s="5">
        <v>0.1</v>
      </c>
      <c r="E3134" s="5">
        <v>105.6</v>
      </c>
      <c r="F3134" s="5">
        <v>208.6</v>
      </c>
      <c r="G3134" s="5">
        <v>103.9</v>
      </c>
      <c r="H3134" s="5">
        <v>104.2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105.5</v>
      </c>
      <c r="D3135" s="5">
        <v>0.1</v>
      </c>
      <c r="E3135" s="5">
        <v>105.6</v>
      </c>
      <c r="F3135" s="5">
        <v>208.6</v>
      </c>
      <c r="G3135" s="5">
        <v>103.9</v>
      </c>
      <c r="H3135" s="5">
        <v>104.2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103.7</v>
      </c>
      <c r="D3136" s="5">
        <v>0.1</v>
      </c>
      <c r="E3136" s="5">
        <v>103.8</v>
      </c>
      <c r="F3136" s="5">
        <v>206.4</v>
      </c>
      <c r="G3136" s="5">
        <v>102.5</v>
      </c>
      <c r="H3136" s="5">
        <v>102.3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103.7</v>
      </c>
      <c r="D3137" s="5">
        <v>0.1</v>
      </c>
      <c r="E3137" s="5">
        <v>103.8</v>
      </c>
      <c r="F3137" s="5">
        <v>206.4</v>
      </c>
      <c r="G3137" s="5">
        <v>102.5</v>
      </c>
      <c r="H3137" s="5">
        <v>102.3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103.7</v>
      </c>
      <c r="D3138" s="5">
        <v>0.1</v>
      </c>
      <c r="E3138" s="5">
        <v>103.8</v>
      </c>
      <c r="F3138" s="5">
        <v>206.4</v>
      </c>
      <c r="G3138" s="5">
        <v>102.5</v>
      </c>
      <c r="H3138" s="5">
        <v>102.3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103.7</v>
      </c>
      <c r="D3139" s="5">
        <v>0.1</v>
      </c>
      <c r="E3139" s="5">
        <v>103.8</v>
      </c>
      <c r="F3139" s="5">
        <v>206.4</v>
      </c>
      <c r="G3139" s="5">
        <v>102.5</v>
      </c>
      <c r="H3139" s="5">
        <v>102.3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109.1</v>
      </c>
      <c r="D3140" s="5">
        <v>0.1</v>
      </c>
      <c r="E3140" s="5">
        <v>109.3</v>
      </c>
      <c r="F3140" s="5">
        <v>216.2</v>
      </c>
      <c r="G3140" s="5">
        <v>107.5</v>
      </c>
      <c r="H3140" s="5">
        <v>107.3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109.1</v>
      </c>
      <c r="D3141" s="5">
        <v>0.1</v>
      </c>
      <c r="E3141" s="5">
        <v>109.3</v>
      </c>
      <c r="F3141" s="5">
        <v>216.2</v>
      </c>
      <c r="G3141" s="5">
        <v>107.5</v>
      </c>
      <c r="H3141" s="5">
        <v>107.3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103.7</v>
      </c>
      <c r="D3142" s="5">
        <v>0.1</v>
      </c>
      <c r="E3142" s="5">
        <v>103.8</v>
      </c>
      <c r="F3142" s="5">
        <v>204.7</v>
      </c>
      <c r="G3142" s="5">
        <v>101.7</v>
      </c>
      <c r="H3142" s="5">
        <v>101.5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103.7</v>
      </c>
      <c r="D3143" s="5">
        <v>0.1</v>
      </c>
      <c r="E3143" s="5">
        <v>103.8</v>
      </c>
      <c r="F3143" s="5">
        <v>204.7</v>
      </c>
      <c r="G3143" s="5">
        <v>101.7</v>
      </c>
      <c r="H3143" s="5">
        <v>101.5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101.7</v>
      </c>
      <c r="D3144" s="5">
        <v>0.1</v>
      </c>
      <c r="E3144" s="5">
        <v>101.8</v>
      </c>
      <c r="F3144" s="5">
        <v>202.9</v>
      </c>
      <c r="G3144" s="5">
        <v>100.8</v>
      </c>
      <c r="H3144" s="5">
        <v>100.8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101.7</v>
      </c>
      <c r="D3145" s="5">
        <v>0.1</v>
      </c>
      <c r="E3145" s="5">
        <v>101.8</v>
      </c>
      <c r="F3145" s="5">
        <v>202.9</v>
      </c>
      <c r="G3145" s="5">
        <v>100.8</v>
      </c>
      <c r="H3145" s="5">
        <v>100.8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107.2</v>
      </c>
      <c r="D3146" s="5">
        <v>0.1</v>
      </c>
      <c r="E3146" s="5">
        <v>107.3</v>
      </c>
      <c r="F3146" s="5">
        <v>213</v>
      </c>
      <c r="G3146" s="5">
        <v>105.9</v>
      </c>
      <c r="H3146" s="5">
        <v>105.8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107.2</v>
      </c>
      <c r="D3147" s="5">
        <v>0.1</v>
      </c>
      <c r="E3147" s="5">
        <v>107.3</v>
      </c>
      <c r="F3147" s="5">
        <v>213</v>
      </c>
      <c r="G3147" s="5">
        <v>105.9</v>
      </c>
      <c r="H3147" s="5">
        <v>105.8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107.2</v>
      </c>
      <c r="D3148" s="5">
        <v>0.1</v>
      </c>
      <c r="E3148" s="5">
        <v>107.3</v>
      </c>
      <c r="F3148" s="5">
        <v>213</v>
      </c>
      <c r="G3148" s="5">
        <v>105.9</v>
      </c>
      <c r="H3148" s="5">
        <v>105.8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107.2</v>
      </c>
      <c r="D3149" s="5">
        <v>0.1</v>
      </c>
      <c r="E3149" s="5">
        <v>107.3</v>
      </c>
      <c r="F3149" s="5">
        <v>213</v>
      </c>
      <c r="G3149" s="5">
        <v>105.9</v>
      </c>
      <c r="H3149" s="5">
        <v>105.8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108.6</v>
      </c>
      <c r="D3150" s="5">
        <v>0.1</v>
      </c>
      <c r="E3150" s="5">
        <v>108.8</v>
      </c>
      <c r="F3150" s="5">
        <v>215.5</v>
      </c>
      <c r="G3150" s="5">
        <v>107</v>
      </c>
      <c r="H3150" s="5">
        <v>106.9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108.6</v>
      </c>
      <c r="D3151" s="5">
        <v>0.1</v>
      </c>
      <c r="E3151" s="5">
        <v>108.8</v>
      </c>
      <c r="F3151" s="5">
        <v>215.5</v>
      </c>
      <c r="G3151" s="5">
        <v>107</v>
      </c>
      <c r="H3151" s="5">
        <v>106.9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108.6</v>
      </c>
      <c r="D3152" s="5">
        <v>0.1</v>
      </c>
      <c r="E3152" s="5">
        <v>108.7</v>
      </c>
      <c r="F3152" s="5">
        <v>215.7</v>
      </c>
      <c r="G3152" s="5">
        <v>107.2</v>
      </c>
      <c r="H3152" s="5">
        <v>107.1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108.6</v>
      </c>
      <c r="D3153" s="5">
        <v>0.1</v>
      </c>
      <c r="E3153" s="5">
        <v>108.7</v>
      </c>
      <c r="F3153" s="5">
        <v>215.7</v>
      </c>
      <c r="G3153" s="5">
        <v>107.2</v>
      </c>
      <c r="H3153" s="5">
        <v>107.1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108.2</v>
      </c>
      <c r="D3154" s="5">
        <v>0.1</v>
      </c>
      <c r="E3154" s="5">
        <v>108.4</v>
      </c>
      <c r="F3154" s="5">
        <v>214.6</v>
      </c>
      <c r="G3154" s="5">
        <v>106.7</v>
      </c>
      <c r="H3154" s="5">
        <v>106.5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108.2</v>
      </c>
      <c r="D3155" s="5">
        <v>0.1</v>
      </c>
      <c r="E3155" s="5">
        <v>108.4</v>
      </c>
      <c r="F3155" s="5">
        <v>214.6</v>
      </c>
      <c r="G3155" s="5">
        <v>106.7</v>
      </c>
      <c r="H3155" s="5">
        <v>106.5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108</v>
      </c>
      <c r="D3156" s="5">
        <v>0.1</v>
      </c>
      <c r="E3156" s="5">
        <v>108.1</v>
      </c>
      <c r="F3156" s="5">
        <v>214.3</v>
      </c>
      <c r="G3156" s="5">
        <v>106.4</v>
      </c>
      <c r="H3156" s="5">
        <v>106.3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108</v>
      </c>
      <c r="D3157" s="5">
        <v>0.1</v>
      </c>
      <c r="E3157" s="5">
        <v>108.1</v>
      </c>
      <c r="F3157" s="5">
        <v>214.3</v>
      </c>
      <c r="G3157" s="5">
        <v>106.4</v>
      </c>
      <c r="H3157" s="5">
        <v>106.3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108</v>
      </c>
      <c r="D3158" s="5">
        <v>0.1</v>
      </c>
      <c r="E3158" s="5">
        <v>108.1</v>
      </c>
      <c r="F3158" s="5">
        <v>214.3</v>
      </c>
      <c r="G3158" s="5">
        <v>106.4</v>
      </c>
      <c r="H3158" s="5">
        <v>106.3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108</v>
      </c>
      <c r="D3159" s="5">
        <v>0.1</v>
      </c>
      <c r="E3159" s="5">
        <v>108.1</v>
      </c>
      <c r="F3159" s="5">
        <v>214.3</v>
      </c>
      <c r="G3159" s="5">
        <v>106.4</v>
      </c>
      <c r="H3159" s="5">
        <v>106.3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108.4</v>
      </c>
      <c r="D3160" s="5">
        <v>0.1</v>
      </c>
      <c r="E3160" s="5">
        <v>108.5</v>
      </c>
      <c r="F3160" s="5">
        <v>215.4</v>
      </c>
      <c r="G3160" s="5">
        <v>107.1</v>
      </c>
      <c r="H3160" s="5">
        <v>106.9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108.4</v>
      </c>
      <c r="D3161" s="5">
        <v>0.1</v>
      </c>
      <c r="E3161" s="5">
        <v>108.5</v>
      </c>
      <c r="F3161" s="5">
        <v>215.4</v>
      </c>
      <c r="G3161" s="5">
        <v>107.1</v>
      </c>
      <c r="H3161" s="5">
        <v>106.9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108.1</v>
      </c>
      <c r="D3162" s="5">
        <v>0.1</v>
      </c>
      <c r="E3162" s="5">
        <v>108.3</v>
      </c>
      <c r="F3162" s="5">
        <v>214.5</v>
      </c>
      <c r="G3162" s="5">
        <v>106.6</v>
      </c>
      <c r="H3162" s="5">
        <v>106.5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108.1</v>
      </c>
      <c r="D3163" s="5">
        <v>0.1</v>
      </c>
      <c r="E3163" s="5">
        <v>108.3</v>
      </c>
      <c r="F3163" s="5">
        <v>214.5</v>
      </c>
      <c r="G3163" s="5">
        <v>106.6</v>
      </c>
      <c r="H3163" s="5">
        <v>106.5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105.6</v>
      </c>
      <c r="D3164" s="5">
        <v>0.1</v>
      </c>
      <c r="E3164" s="5">
        <v>105.7</v>
      </c>
      <c r="F3164" s="5">
        <v>210.6</v>
      </c>
      <c r="G3164" s="5">
        <v>104.7</v>
      </c>
      <c r="H3164" s="5">
        <v>104.5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105.6</v>
      </c>
      <c r="D3165" s="5">
        <v>0.1</v>
      </c>
      <c r="E3165" s="5">
        <v>105.7</v>
      </c>
      <c r="F3165" s="5">
        <v>210.6</v>
      </c>
      <c r="G3165" s="5">
        <v>104.7</v>
      </c>
      <c r="H3165" s="5">
        <v>104.5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104.7</v>
      </c>
      <c r="D3166" s="5">
        <v>0.1</v>
      </c>
      <c r="E3166" s="5">
        <v>104.9</v>
      </c>
      <c r="F3166" s="5">
        <v>209.2</v>
      </c>
      <c r="G3166" s="5">
        <v>104.3</v>
      </c>
      <c r="H3166" s="5">
        <v>104.4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104.7</v>
      </c>
      <c r="D3167" s="5">
        <v>0.1</v>
      </c>
      <c r="E3167" s="5">
        <v>104.9</v>
      </c>
      <c r="F3167" s="5">
        <v>209.2</v>
      </c>
      <c r="G3167" s="5">
        <v>104.3</v>
      </c>
      <c r="H3167" s="5">
        <v>104.4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104.7</v>
      </c>
      <c r="D3168" s="5">
        <v>0.1</v>
      </c>
      <c r="E3168" s="5">
        <v>104.9</v>
      </c>
      <c r="F3168" s="5">
        <v>209.2</v>
      </c>
      <c r="G3168" s="5">
        <v>104.3</v>
      </c>
      <c r="H3168" s="5">
        <v>104.4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104.7</v>
      </c>
      <c r="D3169" s="5">
        <v>0.1</v>
      </c>
      <c r="E3169" s="5">
        <v>104.9</v>
      </c>
      <c r="F3169" s="5">
        <v>209.2</v>
      </c>
      <c r="G3169" s="5">
        <v>104.3</v>
      </c>
      <c r="H3169" s="5">
        <v>104.4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103.1</v>
      </c>
      <c r="D3170" s="5">
        <v>0.1</v>
      </c>
      <c r="E3170" s="5">
        <v>103.2</v>
      </c>
      <c r="F3170" s="5">
        <v>207.7</v>
      </c>
      <c r="G3170" s="5">
        <v>103.2</v>
      </c>
      <c r="H3170" s="5">
        <v>103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103.1</v>
      </c>
      <c r="D3171" s="5">
        <v>0.1</v>
      </c>
      <c r="E3171" s="5">
        <v>103.2</v>
      </c>
      <c r="F3171" s="5">
        <v>207.7</v>
      </c>
      <c r="G3171" s="5">
        <v>103.2</v>
      </c>
      <c r="H3171" s="5">
        <v>103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108.7</v>
      </c>
      <c r="D3172" s="5">
        <v>0.1</v>
      </c>
      <c r="E3172" s="5">
        <v>108.8</v>
      </c>
      <c r="F3172" s="5">
        <v>216.2</v>
      </c>
      <c r="G3172" s="5">
        <v>107.4</v>
      </c>
      <c r="H3172" s="5">
        <v>107.3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108.7</v>
      </c>
      <c r="D3173" s="5">
        <v>0.1</v>
      </c>
      <c r="E3173" s="5">
        <v>108.8</v>
      </c>
      <c r="F3173" s="5">
        <v>216.2</v>
      </c>
      <c r="G3173" s="5">
        <v>107.4</v>
      </c>
      <c r="H3173" s="5">
        <v>107.3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108.7</v>
      </c>
      <c r="D3174" s="5">
        <v>0.1</v>
      </c>
      <c r="E3174" s="5">
        <v>108.8</v>
      </c>
      <c r="F3174" s="5">
        <v>215.9</v>
      </c>
      <c r="G3174" s="5">
        <v>107.2</v>
      </c>
      <c r="H3174" s="5">
        <v>107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108.7</v>
      </c>
      <c r="D3175" s="5">
        <v>0.1</v>
      </c>
      <c r="E3175" s="5">
        <v>108.8</v>
      </c>
      <c r="F3175" s="5">
        <v>215.9</v>
      </c>
      <c r="G3175" s="5">
        <v>107.2</v>
      </c>
      <c r="H3175" s="5">
        <v>107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108.8</v>
      </c>
      <c r="D3176" s="5">
        <v>0.1</v>
      </c>
      <c r="E3176" s="5">
        <v>109</v>
      </c>
      <c r="F3176" s="5">
        <v>216.2</v>
      </c>
      <c r="G3176" s="5">
        <v>107.4</v>
      </c>
      <c r="H3176" s="5">
        <v>107.3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108.8</v>
      </c>
      <c r="D3177" s="5">
        <v>0.1</v>
      </c>
      <c r="E3177" s="5">
        <v>109</v>
      </c>
      <c r="F3177" s="5">
        <v>216.2</v>
      </c>
      <c r="G3177" s="5">
        <v>107.4</v>
      </c>
      <c r="H3177" s="5">
        <v>107.3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108.8</v>
      </c>
      <c r="D3178" s="5">
        <v>0.1</v>
      </c>
      <c r="E3178" s="5">
        <v>109</v>
      </c>
      <c r="F3178" s="5">
        <v>216.2</v>
      </c>
      <c r="G3178" s="5">
        <v>107.4</v>
      </c>
      <c r="H3178" s="5">
        <v>107.3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108.8</v>
      </c>
      <c r="D3179" s="5">
        <v>0.1</v>
      </c>
      <c r="E3179" s="5">
        <v>109</v>
      </c>
      <c r="F3179" s="5">
        <v>216.2</v>
      </c>
      <c r="G3179" s="5">
        <v>107.4</v>
      </c>
      <c r="H3179" s="5">
        <v>107.3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104</v>
      </c>
      <c r="D3180" s="5">
        <v>0.1</v>
      </c>
      <c r="E3180" s="5">
        <v>104.1</v>
      </c>
      <c r="F3180" s="5">
        <v>206</v>
      </c>
      <c r="G3180" s="5">
        <v>102.4</v>
      </c>
      <c r="H3180" s="5">
        <v>102.4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104</v>
      </c>
      <c r="D3181" s="5">
        <v>0.1</v>
      </c>
      <c r="E3181" s="5">
        <v>104.1</v>
      </c>
      <c r="F3181" s="5">
        <v>206</v>
      </c>
      <c r="G3181" s="5">
        <v>102.4</v>
      </c>
      <c r="H3181" s="5">
        <v>102.4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106.7</v>
      </c>
      <c r="D3182" s="5">
        <v>0.1</v>
      </c>
      <c r="E3182" s="5">
        <v>106.9</v>
      </c>
      <c r="F3182" s="5">
        <v>208.6</v>
      </c>
      <c r="G3182" s="5">
        <v>103.7</v>
      </c>
      <c r="H3182" s="5">
        <v>103.5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106.7</v>
      </c>
      <c r="D3183" s="5">
        <v>0.1</v>
      </c>
      <c r="E3183" s="5">
        <v>106.9</v>
      </c>
      <c r="F3183" s="5">
        <v>208.6</v>
      </c>
      <c r="G3183" s="5">
        <v>103.7</v>
      </c>
      <c r="H3183" s="5">
        <v>103.5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108.5</v>
      </c>
      <c r="D3184" s="5">
        <v>0.1</v>
      </c>
      <c r="E3184" s="5">
        <v>108.7</v>
      </c>
      <c r="F3184" s="5">
        <v>214.7</v>
      </c>
      <c r="G3184" s="5">
        <v>106.7</v>
      </c>
      <c r="H3184" s="5">
        <v>105.3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108.5</v>
      </c>
      <c r="D3185" s="5">
        <v>0.1</v>
      </c>
      <c r="E3185" s="5">
        <v>108.7</v>
      </c>
      <c r="F3185" s="5">
        <v>214.7</v>
      </c>
      <c r="G3185" s="5">
        <v>106.7</v>
      </c>
      <c r="H3185" s="5">
        <v>105.3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104.3</v>
      </c>
      <c r="D3186" s="5">
        <v>0.1</v>
      </c>
      <c r="E3186" s="5">
        <v>104.5</v>
      </c>
      <c r="F3186" s="5">
        <v>207</v>
      </c>
      <c r="G3186" s="5">
        <v>102.9</v>
      </c>
      <c r="H3186" s="5">
        <v>102.7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104.3</v>
      </c>
      <c r="D3187" s="5">
        <v>0.1</v>
      </c>
      <c r="E3187" s="5">
        <v>104.5</v>
      </c>
      <c r="F3187" s="5">
        <v>207</v>
      </c>
      <c r="G3187" s="5">
        <v>102.9</v>
      </c>
      <c r="H3187" s="5">
        <v>102.7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104.3</v>
      </c>
      <c r="D3188" s="5">
        <v>0.1</v>
      </c>
      <c r="E3188" s="5">
        <v>104.5</v>
      </c>
      <c r="F3188" s="5">
        <v>207</v>
      </c>
      <c r="G3188" s="5">
        <v>102.9</v>
      </c>
      <c r="H3188" s="5">
        <v>102.7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104.3</v>
      </c>
      <c r="D3189" s="5">
        <v>0.1</v>
      </c>
      <c r="E3189" s="5">
        <v>106.3</v>
      </c>
      <c r="F3189" s="5">
        <v>209</v>
      </c>
      <c r="G3189" s="5">
        <v>104</v>
      </c>
      <c r="H3189" s="5">
        <v>104.1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106.2</v>
      </c>
      <c r="D3190" s="5">
        <v>0.1</v>
      </c>
      <c r="E3190" s="5">
        <v>106.3</v>
      </c>
      <c r="F3190" s="5">
        <v>209</v>
      </c>
      <c r="G3190" s="5">
        <v>104</v>
      </c>
      <c r="H3190" s="5">
        <v>104.1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106.2</v>
      </c>
      <c r="D3191" s="5">
        <v>0.1</v>
      </c>
      <c r="E3191" s="5">
        <v>106.3</v>
      </c>
      <c r="F3191" s="5">
        <v>212.3</v>
      </c>
      <c r="G3191" s="5">
        <v>105.6</v>
      </c>
      <c r="H3191" s="5">
        <v>105.3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105.2</v>
      </c>
      <c r="D3192" s="5">
        <v>0.1</v>
      </c>
      <c r="E3192" s="5">
        <v>105.3</v>
      </c>
      <c r="F3192" s="5">
        <v>212.3</v>
      </c>
      <c r="G3192" s="5">
        <v>105.6</v>
      </c>
      <c r="H3192" s="5">
        <v>105.3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105.2</v>
      </c>
      <c r="D3193" s="5">
        <v>0.1</v>
      </c>
      <c r="E3193" s="5">
        <v>105.3</v>
      </c>
      <c r="F3193" s="5">
        <v>212.3</v>
      </c>
      <c r="G3193" s="5">
        <v>103.2</v>
      </c>
      <c r="H3193" s="5">
        <v>103.1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103.9</v>
      </c>
      <c r="D3194" s="5">
        <v>0.1</v>
      </c>
      <c r="E3194" s="5">
        <v>104</v>
      </c>
      <c r="F3194" s="5">
        <v>207.3</v>
      </c>
      <c r="G3194" s="5">
        <v>103.2</v>
      </c>
      <c r="H3194" s="5">
        <v>103.1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103.9</v>
      </c>
      <c r="D3195" s="5">
        <v>0.1</v>
      </c>
      <c r="E3195" s="5">
        <v>104</v>
      </c>
      <c r="F3195" s="5">
        <v>207.3</v>
      </c>
      <c r="G3195" s="5">
        <v>101.8</v>
      </c>
      <c r="H3195" s="5">
        <v>101.6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104</v>
      </c>
      <c r="D3196" s="5">
        <v>0.1</v>
      </c>
      <c r="E3196" s="5">
        <v>104.2</v>
      </c>
      <c r="F3196" s="5">
        <v>205.2</v>
      </c>
      <c r="G3196" s="5">
        <v>101.8</v>
      </c>
      <c r="H3196" s="5">
        <v>101.6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104</v>
      </c>
      <c r="D3197" s="5">
        <v>0.1</v>
      </c>
      <c r="E3197" s="5">
        <v>104.2</v>
      </c>
      <c r="F3197" s="5">
        <v>205.2</v>
      </c>
      <c r="G3197" s="5">
        <v>101.8</v>
      </c>
      <c r="H3197" s="5">
        <v>101.6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104</v>
      </c>
      <c r="D3198" s="5">
        <v>0.1</v>
      </c>
      <c r="E3198" s="5">
        <v>104.2</v>
      </c>
      <c r="F3198" s="5">
        <v>205.2</v>
      </c>
      <c r="G3198" s="5">
        <v>101.8</v>
      </c>
      <c r="H3198" s="5">
        <v>101.6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108.4</v>
      </c>
      <c r="D3199" s="5">
        <v>0.1</v>
      </c>
      <c r="E3199" s="5">
        <v>108.5</v>
      </c>
      <c r="F3199" s="5">
        <v>215.1</v>
      </c>
      <c r="G3199" s="5">
        <v>106.9</v>
      </c>
      <c r="H3199" s="5">
        <v>106.8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108.4</v>
      </c>
      <c r="D3200" s="5">
        <v>0.1</v>
      </c>
      <c r="E3200" s="5">
        <v>108.5</v>
      </c>
      <c r="F3200" s="5">
        <v>215.1</v>
      </c>
      <c r="G3200" s="5">
        <v>106.9</v>
      </c>
      <c r="H3200" s="5">
        <v>106.8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108.3</v>
      </c>
      <c r="D3201" s="5">
        <v>0.1</v>
      </c>
      <c r="E3201" s="5">
        <v>108.5</v>
      </c>
      <c r="F3201" s="5">
        <v>214.6</v>
      </c>
      <c r="G3201" s="5">
        <v>106.7</v>
      </c>
      <c r="H3201" s="5">
        <v>106.6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108.3</v>
      </c>
      <c r="D3202" s="5">
        <v>0.1</v>
      </c>
      <c r="E3202" s="5">
        <v>108.5</v>
      </c>
      <c r="F3202" s="5">
        <v>214.6</v>
      </c>
      <c r="G3202" s="5">
        <v>106.7</v>
      </c>
      <c r="H3202" s="5">
        <v>106.6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107.8</v>
      </c>
      <c r="D3203" s="5">
        <v>0.1</v>
      </c>
      <c r="E3203" s="5">
        <v>108</v>
      </c>
      <c r="F3203" s="5">
        <v>210.2</v>
      </c>
      <c r="G3203" s="5">
        <v>104.6</v>
      </c>
      <c r="H3203" s="5">
        <v>104.6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107.8</v>
      </c>
      <c r="D3204" s="5">
        <v>0.1</v>
      </c>
      <c r="E3204" s="5">
        <v>108</v>
      </c>
      <c r="F3204" s="5">
        <v>210.2</v>
      </c>
      <c r="G3204" s="5">
        <v>104.6</v>
      </c>
      <c r="H3204" s="5">
        <v>104.6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104.1</v>
      </c>
      <c r="D3205" s="5">
        <v>0.1</v>
      </c>
      <c r="E3205" s="5">
        <v>104.3</v>
      </c>
      <c r="F3205" s="5">
        <v>207.8</v>
      </c>
      <c r="G3205" s="5">
        <v>104.6</v>
      </c>
      <c r="H3205" s="5">
        <v>104.6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104.1</v>
      </c>
      <c r="D3206" s="5">
        <v>0.1</v>
      </c>
      <c r="E3206" s="5">
        <v>104.3</v>
      </c>
      <c r="F3206" s="5">
        <v>207.8</v>
      </c>
      <c r="G3206" s="5">
        <v>103.2</v>
      </c>
      <c r="H3206" s="5">
        <v>103.1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104.1</v>
      </c>
      <c r="D3207" s="5">
        <v>0.1</v>
      </c>
      <c r="E3207" s="5">
        <v>104.3</v>
      </c>
      <c r="F3207" s="5">
        <v>207.8</v>
      </c>
      <c r="G3207" s="5">
        <v>103.2</v>
      </c>
      <c r="H3207" s="5">
        <v>103.1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104.1</v>
      </c>
      <c r="D3208" s="5">
        <v>0.1</v>
      </c>
      <c r="E3208" s="5">
        <v>104.3</v>
      </c>
      <c r="F3208" s="5">
        <v>207.8</v>
      </c>
      <c r="G3208" s="5">
        <v>103.2</v>
      </c>
      <c r="H3208" s="5">
        <v>103.1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104.1</v>
      </c>
      <c r="D3209" s="5">
        <v>0.1</v>
      </c>
      <c r="E3209" s="5">
        <v>104.3</v>
      </c>
      <c r="F3209" s="5">
        <v>207.8</v>
      </c>
      <c r="G3209" s="5">
        <v>103.2</v>
      </c>
      <c r="H3209" s="5">
        <v>103.1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103.6</v>
      </c>
      <c r="D3210" s="5">
        <v>0.1</v>
      </c>
      <c r="E3210" s="5">
        <v>103.7</v>
      </c>
      <c r="F3210" s="5">
        <v>204.9</v>
      </c>
      <c r="G3210" s="5">
        <v>101.8</v>
      </c>
      <c r="H3210" s="5">
        <v>101.7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103.6</v>
      </c>
      <c r="D3211" s="5">
        <v>0.1</v>
      </c>
      <c r="E3211" s="5">
        <v>103.7</v>
      </c>
      <c r="F3211" s="5">
        <v>204.9</v>
      </c>
      <c r="G3211" s="5">
        <v>101.8</v>
      </c>
      <c r="H3211" s="5">
        <v>101.7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103.1</v>
      </c>
      <c r="D3212" s="5">
        <v>0.1</v>
      </c>
      <c r="E3212" s="5">
        <v>103.2</v>
      </c>
      <c r="F3212" s="5">
        <v>209.6</v>
      </c>
      <c r="G3212" s="5">
        <v>103.7</v>
      </c>
      <c r="H3212" s="5">
        <v>103.2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103.1</v>
      </c>
      <c r="D3213" s="5">
        <v>0.1</v>
      </c>
      <c r="E3213" s="5">
        <v>103.2</v>
      </c>
      <c r="F3213" s="5">
        <v>209.6</v>
      </c>
      <c r="G3213" s="5">
        <v>103.7</v>
      </c>
      <c r="H3213" s="5">
        <v>103.2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109.1</v>
      </c>
      <c r="D3214" s="5">
        <v>0.1</v>
      </c>
      <c r="E3214" s="5">
        <v>109.1</v>
      </c>
      <c r="F3214" s="5">
        <v>215.8</v>
      </c>
      <c r="G3214" s="5">
        <v>107.2</v>
      </c>
      <c r="H3214" s="5">
        <v>107.1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109.1</v>
      </c>
      <c r="D3215" s="5">
        <v>0.1</v>
      </c>
      <c r="E3215" s="5">
        <v>109.1</v>
      </c>
      <c r="F3215" s="5">
        <v>215.8</v>
      </c>
      <c r="G3215" s="5">
        <v>107.2</v>
      </c>
      <c r="H3215" s="5">
        <v>107.1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108.6</v>
      </c>
      <c r="D3216" s="5">
        <v>0.1</v>
      </c>
      <c r="E3216" s="5">
        <v>108.8</v>
      </c>
      <c r="F3216" s="5">
        <v>206.7</v>
      </c>
      <c r="G3216" s="5">
        <v>102.9</v>
      </c>
      <c r="H3216" s="5">
        <v>103.1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108.6</v>
      </c>
      <c r="D3217" s="5">
        <v>0.1</v>
      </c>
      <c r="E3217" s="5">
        <v>108.8</v>
      </c>
      <c r="F3217" s="5">
        <v>206.7</v>
      </c>
      <c r="G3217" s="5">
        <v>102.9</v>
      </c>
      <c r="H3217" s="5">
        <v>103.1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108.6</v>
      </c>
      <c r="D3218" s="5">
        <v>0.1</v>
      </c>
      <c r="E3218" s="5">
        <v>108.8</v>
      </c>
      <c r="F3218" s="5">
        <v>206.7</v>
      </c>
      <c r="G3218" s="5">
        <v>102.9</v>
      </c>
      <c r="H3218" s="5">
        <v>103.1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108.6</v>
      </c>
      <c r="D3219" s="5">
        <v>0.1</v>
      </c>
      <c r="E3219" s="5">
        <v>108.8</v>
      </c>
      <c r="F3219" s="5">
        <v>206.7</v>
      </c>
      <c r="G3219" s="5">
        <v>102.9</v>
      </c>
      <c r="H3219" s="5">
        <v>103.1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108.2</v>
      </c>
      <c r="D3220" s="5">
        <v>0.1</v>
      </c>
      <c r="E3220" s="5">
        <v>108.4</v>
      </c>
      <c r="F3220" s="5">
        <v>215.8</v>
      </c>
      <c r="G3220" s="5">
        <v>107.1</v>
      </c>
      <c r="H3220" s="5">
        <v>107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108.2</v>
      </c>
      <c r="D3221" s="5">
        <v>0.1</v>
      </c>
      <c r="E3221" s="5">
        <v>108.4</v>
      </c>
      <c r="F3221" s="5">
        <v>215.8</v>
      </c>
      <c r="G3221" s="5">
        <v>107.1</v>
      </c>
      <c r="H3221" s="5">
        <v>107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108.1</v>
      </c>
      <c r="D3222" s="5">
        <v>0.1</v>
      </c>
      <c r="E3222" s="5">
        <v>108.3</v>
      </c>
      <c r="F3222" s="5">
        <v>215.4</v>
      </c>
      <c r="G3222" s="5">
        <v>107</v>
      </c>
      <c r="H3222" s="5">
        <v>106.8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108.1</v>
      </c>
      <c r="D3223" s="5">
        <v>0.1</v>
      </c>
      <c r="E3223" s="5">
        <v>108.3</v>
      </c>
      <c r="F3223" s="5">
        <v>215.4</v>
      </c>
      <c r="G3223" s="5">
        <v>107</v>
      </c>
      <c r="H3223" s="5">
        <v>106.8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108.1</v>
      </c>
      <c r="D3224" s="5">
        <v>0.1</v>
      </c>
      <c r="E3224" s="5">
        <v>108.3</v>
      </c>
      <c r="F3224" s="5">
        <v>215.1</v>
      </c>
      <c r="G3224" s="5">
        <v>106.9</v>
      </c>
      <c r="H3224" s="5">
        <v>106.8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108.1</v>
      </c>
      <c r="D3225" s="5">
        <v>0.1</v>
      </c>
      <c r="E3225" s="5">
        <v>108.3</v>
      </c>
      <c r="F3225" s="5">
        <v>215.1</v>
      </c>
      <c r="G3225" s="5">
        <v>106.9</v>
      </c>
      <c r="H3225" s="5">
        <v>106.8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108.1</v>
      </c>
      <c r="D3226" s="5">
        <v>0.1</v>
      </c>
      <c r="E3226" s="5">
        <v>108.2</v>
      </c>
      <c r="F3226" s="5">
        <v>215.5</v>
      </c>
      <c r="G3226" s="5">
        <v>107.1</v>
      </c>
      <c r="H3226" s="5">
        <v>106.9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108.1</v>
      </c>
      <c r="D3227" s="5">
        <v>0.1</v>
      </c>
      <c r="E3227" s="5">
        <v>108.2</v>
      </c>
      <c r="F3227" s="5">
        <v>215.5</v>
      </c>
      <c r="G3227" s="5">
        <v>107.1</v>
      </c>
      <c r="H3227" s="5">
        <v>106.9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108.1</v>
      </c>
      <c r="D3228" s="5">
        <v>0.1</v>
      </c>
      <c r="E3228" s="5">
        <v>108.2</v>
      </c>
      <c r="F3228" s="5">
        <v>215.5</v>
      </c>
      <c r="G3228" s="5">
        <v>107.1</v>
      </c>
      <c r="H3228" s="5">
        <v>106.9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107.8</v>
      </c>
      <c r="D3229" s="5">
        <v>0.1</v>
      </c>
      <c r="E3229" s="5">
        <v>107.9</v>
      </c>
      <c r="F3229" s="5">
        <v>214.4</v>
      </c>
      <c r="G3229" s="5">
        <v>106.5</v>
      </c>
      <c r="H3229" s="5">
        <v>106.3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107.8</v>
      </c>
      <c r="D3230" s="5">
        <v>0.1</v>
      </c>
      <c r="E3230" s="5">
        <v>107.9</v>
      </c>
      <c r="F3230" s="5">
        <v>214.4</v>
      </c>
      <c r="G3230" s="5">
        <v>106.5</v>
      </c>
      <c r="H3230" s="5">
        <v>106.3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102</v>
      </c>
      <c r="D3231" s="5">
        <v>0.1</v>
      </c>
      <c r="E3231" s="5">
        <v>102.1</v>
      </c>
      <c r="F3231" s="5">
        <v>202.7</v>
      </c>
      <c r="G3231" s="5">
        <v>100.7</v>
      </c>
      <c r="H3231" s="5">
        <v>100.6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102</v>
      </c>
      <c r="D3232" s="5">
        <v>0.1</v>
      </c>
      <c r="E3232" s="5">
        <v>102.1</v>
      </c>
      <c r="F3232" s="5">
        <v>202.7</v>
      </c>
      <c r="G3232" s="5">
        <v>100.7</v>
      </c>
      <c r="H3232" s="5">
        <v>100.6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102.4</v>
      </c>
      <c r="D3233" s="5">
        <v>0.1</v>
      </c>
      <c r="E3233" s="5">
        <v>102.5</v>
      </c>
      <c r="F3233" s="5">
        <v>203.8</v>
      </c>
      <c r="G3233" s="5">
        <v>101.2</v>
      </c>
      <c r="H3233" s="5">
        <v>101.1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102.4</v>
      </c>
      <c r="D3234" s="5">
        <v>0.1</v>
      </c>
      <c r="E3234" s="5">
        <v>102.5</v>
      </c>
      <c r="F3234" s="5">
        <v>203.8</v>
      </c>
      <c r="G3234" s="5">
        <v>101.2</v>
      </c>
      <c r="H3234" s="5">
        <v>101.1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102.4</v>
      </c>
      <c r="D3235" s="5">
        <v>0.1</v>
      </c>
      <c r="E3235" s="5">
        <v>102.6</v>
      </c>
      <c r="F3235" s="5">
        <v>207.8</v>
      </c>
      <c r="G3235" s="5">
        <v>102.9</v>
      </c>
      <c r="H3235" s="5">
        <v>102.5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102.4</v>
      </c>
      <c r="D3236" s="5">
        <v>0.1</v>
      </c>
      <c r="E3236" s="5">
        <v>102.6</v>
      </c>
      <c r="F3236" s="5">
        <v>207.8</v>
      </c>
      <c r="G3236" s="5">
        <v>102.9</v>
      </c>
      <c r="H3236" s="5">
        <v>102.5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102.4</v>
      </c>
      <c r="D3237" s="5">
        <v>0.1</v>
      </c>
      <c r="E3237" s="5">
        <v>102.6</v>
      </c>
      <c r="F3237" s="5">
        <v>207.8</v>
      </c>
      <c r="G3237" s="5">
        <v>102.9</v>
      </c>
      <c r="H3237" s="5">
        <v>102.5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102.4</v>
      </c>
      <c r="D3238" s="5">
        <v>0.1</v>
      </c>
      <c r="E3238" s="5">
        <v>102.6</v>
      </c>
      <c r="F3238" s="5">
        <v>207.8</v>
      </c>
      <c r="G3238" s="5">
        <v>102.9</v>
      </c>
      <c r="H3238" s="5">
        <v>102.5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103.1</v>
      </c>
      <c r="D3239" s="5">
        <v>0.1</v>
      </c>
      <c r="E3239" s="5">
        <v>103.3</v>
      </c>
      <c r="F3239" s="5">
        <v>205.9</v>
      </c>
      <c r="G3239" s="5">
        <v>102.7</v>
      </c>
      <c r="H3239" s="5">
        <v>102.6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103.1</v>
      </c>
      <c r="D3240" s="5">
        <v>0.1</v>
      </c>
      <c r="E3240" s="5">
        <v>103.3</v>
      </c>
      <c r="F3240" s="5">
        <v>205.9</v>
      </c>
      <c r="G3240" s="5">
        <v>102.7</v>
      </c>
      <c r="H3240" s="5">
        <v>102.6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101.8</v>
      </c>
      <c r="D3241" s="5">
        <v>0.1</v>
      </c>
      <c r="E3241" s="5">
        <v>101.9</v>
      </c>
      <c r="F3241" s="5">
        <v>204.4</v>
      </c>
      <c r="G3241" s="5">
        <v>101.5</v>
      </c>
      <c r="H3241" s="5">
        <v>101.1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101.8</v>
      </c>
      <c r="D3242" s="5">
        <v>0.1</v>
      </c>
      <c r="E3242" s="5">
        <v>101.9</v>
      </c>
      <c r="F3242" s="5">
        <v>204.4</v>
      </c>
      <c r="G3242" s="5">
        <v>101.5</v>
      </c>
      <c r="H3242" s="5">
        <v>101.1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103.3</v>
      </c>
      <c r="D3243" s="5">
        <v>0.1</v>
      </c>
      <c r="E3243" s="5">
        <v>103.4</v>
      </c>
      <c r="F3243" s="5">
        <v>206.1</v>
      </c>
      <c r="G3243" s="5">
        <v>102.3</v>
      </c>
      <c r="H3243" s="5">
        <v>101.9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103.3</v>
      </c>
      <c r="D3244" s="5">
        <v>0.1</v>
      </c>
      <c r="E3244" s="5">
        <v>103.4</v>
      </c>
      <c r="F3244" s="5">
        <v>206.1</v>
      </c>
      <c r="G3244" s="5">
        <v>102.3</v>
      </c>
      <c r="H3244" s="5">
        <v>101.9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103.1</v>
      </c>
      <c r="D3245" s="5">
        <v>0.1</v>
      </c>
      <c r="E3245" s="5">
        <v>103.2</v>
      </c>
      <c r="F3245" s="5">
        <v>204.5</v>
      </c>
      <c r="G3245" s="5">
        <v>101.6</v>
      </c>
      <c r="H3245" s="5">
        <v>101.5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103.1</v>
      </c>
      <c r="D3246" s="5">
        <v>0.1</v>
      </c>
      <c r="E3246" s="5">
        <v>103.2</v>
      </c>
      <c r="F3246" s="5">
        <v>204.5</v>
      </c>
      <c r="G3246" s="5">
        <v>101.6</v>
      </c>
      <c r="H3246" s="5">
        <v>101.5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103.1</v>
      </c>
      <c r="D3247" s="5">
        <v>0.1</v>
      </c>
      <c r="E3247" s="5">
        <v>103.2</v>
      </c>
      <c r="F3247" s="5">
        <v>204.5</v>
      </c>
      <c r="G3247" s="5">
        <v>101.6</v>
      </c>
      <c r="H3247" s="5">
        <v>101.5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103.1</v>
      </c>
      <c r="D3248" s="5">
        <v>0.1</v>
      </c>
      <c r="E3248" s="5">
        <v>103.2</v>
      </c>
      <c r="F3248" s="5">
        <v>204.5</v>
      </c>
      <c r="G3248" s="5">
        <v>101.6</v>
      </c>
      <c r="H3248" s="5">
        <v>101.5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104.5</v>
      </c>
      <c r="D3249" s="5">
        <v>0.1</v>
      </c>
      <c r="E3249" s="5">
        <v>104.6</v>
      </c>
      <c r="F3249" s="5">
        <v>209.3</v>
      </c>
      <c r="G3249" s="5">
        <v>103.5</v>
      </c>
      <c r="H3249" s="5">
        <v>102.9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104.5</v>
      </c>
      <c r="D3250" s="5">
        <v>0.1</v>
      </c>
      <c r="E3250" s="5">
        <v>104.6</v>
      </c>
      <c r="F3250" s="5">
        <v>209.3</v>
      </c>
      <c r="G3250" s="5">
        <v>103.5</v>
      </c>
      <c r="H3250" s="5">
        <v>102.9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107.3</v>
      </c>
      <c r="D3251" s="5">
        <v>0.1</v>
      </c>
      <c r="E3251" s="5">
        <v>107.5</v>
      </c>
      <c r="F3251" s="5">
        <v>213.8</v>
      </c>
      <c r="G3251" s="5">
        <v>106.2</v>
      </c>
      <c r="H3251" s="5">
        <v>106.1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107.3</v>
      </c>
      <c r="D3252" s="5">
        <v>0.1</v>
      </c>
      <c r="E3252" s="5">
        <v>107.5</v>
      </c>
      <c r="F3252" s="5">
        <v>213.8</v>
      </c>
      <c r="G3252" s="5">
        <v>106.2</v>
      </c>
      <c r="H3252" s="5">
        <v>106.1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108.4</v>
      </c>
      <c r="D3253" s="5">
        <v>0.1</v>
      </c>
      <c r="E3253" s="5">
        <v>108.5</v>
      </c>
      <c r="F3253" s="5">
        <v>214.7</v>
      </c>
      <c r="G3253" s="5">
        <v>106.7</v>
      </c>
      <c r="H3253" s="5">
        <v>106.6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108.4</v>
      </c>
      <c r="D3254" s="5">
        <v>0.1</v>
      </c>
      <c r="E3254" s="5">
        <v>108.5</v>
      </c>
      <c r="F3254" s="5">
        <v>214.7</v>
      </c>
      <c r="G3254" s="5">
        <v>106.7</v>
      </c>
      <c r="H3254" s="5">
        <v>106.6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102.4</v>
      </c>
      <c r="D3255" s="5">
        <v>0.1</v>
      </c>
      <c r="E3255" s="5">
        <v>108.5</v>
      </c>
      <c r="F3255" s="5">
        <v>203.7</v>
      </c>
      <c r="G3255" s="5">
        <v>101.2</v>
      </c>
      <c r="H3255" s="5">
        <v>101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102.4</v>
      </c>
      <c r="D3256" s="5">
        <v>0.1</v>
      </c>
      <c r="E3256" s="5">
        <v>102.4</v>
      </c>
      <c r="F3256" s="5">
        <v>203.7</v>
      </c>
      <c r="G3256" s="5">
        <v>101.2</v>
      </c>
      <c r="H3256" s="5">
        <v>101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102.4</v>
      </c>
      <c r="D3257" s="5">
        <v>0.1</v>
      </c>
      <c r="E3257" s="5">
        <v>102.4</v>
      </c>
      <c r="F3257" s="5">
        <v>203.7</v>
      </c>
      <c r="G3257" s="5">
        <v>101.2</v>
      </c>
      <c r="H3257" s="5">
        <v>101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102.4</v>
      </c>
      <c r="D3258" s="5">
        <v>0.1</v>
      </c>
      <c r="E3258" s="5">
        <v>102.4</v>
      </c>
      <c r="F3258" s="5">
        <v>203.7</v>
      </c>
      <c r="G3258" s="5">
        <v>101.2</v>
      </c>
      <c r="H3258" s="5">
        <v>101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102.3</v>
      </c>
      <c r="D3259" s="5">
        <v>0.1</v>
      </c>
      <c r="E3259" s="5">
        <v>102.4</v>
      </c>
      <c r="F3259" s="5">
        <v>203.2</v>
      </c>
      <c r="G3259" s="5">
        <v>101</v>
      </c>
      <c r="H3259" s="5">
        <v>100.8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102.3</v>
      </c>
      <c r="D3260" s="5">
        <v>0.1</v>
      </c>
      <c r="E3260" s="5">
        <v>102.4</v>
      </c>
      <c r="F3260" s="5">
        <v>203.2</v>
      </c>
      <c r="G3260" s="5">
        <v>101</v>
      </c>
      <c r="H3260" s="5">
        <v>100.8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102.8</v>
      </c>
      <c r="D3261" s="5">
        <v>0.1</v>
      </c>
      <c r="E3261" s="5">
        <v>103</v>
      </c>
      <c r="F3261" s="5">
        <v>203.7</v>
      </c>
      <c r="G3261" s="5">
        <v>101.1</v>
      </c>
      <c r="H3261" s="5">
        <v>100.9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102.8</v>
      </c>
      <c r="D3262" s="5">
        <v>0.1</v>
      </c>
      <c r="E3262" s="5">
        <v>103</v>
      </c>
      <c r="F3262" s="5">
        <v>203.7</v>
      </c>
      <c r="G3262" s="5">
        <v>101.1</v>
      </c>
      <c r="H3262" s="5">
        <v>100.9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102.4</v>
      </c>
      <c r="D3263" s="5">
        <v>0.1</v>
      </c>
      <c r="E3263" s="5">
        <v>102.5</v>
      </c>
      <c r="F3263" s="5">
        <v>202.7</v>
      </c>
      <c r="G3263" s="5">
        <v>101</v>
      </c>
      <c r="H3263" s="5">
        <v>101.2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102.4</v>
      </c>
      <c r="D3264" s="5">
        <v>0.1</v>
      </c>
      <c r="E3264" s="5">
        <v>102.5</v>
      </c>
      <c r="F3264" s="5">
        <v>202.7</v>
      </c>
      <c r="G3264" s="5">
        <v>101</v>
      </c>
      <c r="H3264" s="5">
        <v>101.2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108.3</v>
      </c>
      <c r="D3265" s="5">
        <v>0.1</v>
      </c>
      <c r="E3265" s="5">
        <v>108.5</v>
      </c>
      <c r="F3265" s="5">
        <v>214.7</v>
      </c>
      <c r="G3265" s="5">
        <v>106.7</v>
      </c>
      <c r="H3265" s="5">
        <v>106.6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108.3</v>
      </c>
      <c r="D3266" s="5">
        <v>0.1</v>
      </c>
      <c r="E3266" s="5">
        <v>108.5</v>
      </c>
      <c r="F3266" s="5">
        <v>214.7</v>
      </c>
      <c r="G3266" s="5">
        <v>106.7</v>
      </c>
      <c r="H3266" s="5">
        <v>106.6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108.3</v>
      </c>
      <c r="D3267" s="5">
        <v>0.1</v>
      </c>
      <c r="E3267" s="5">
        <v>108.5</v>
      </c>
      <c r="F3267" s="5">
        <v>214.7</v>
      </c>
      <c r="G3267" s="5">
        <v>106.7</v>
      </c>
      <c r="H3267" s="5">
        <v>106.6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108.3</v>
      </c>
      <c r="D3268" s="5">
        <v>0.1</v>
      </c>
      <c r="E3268" s="5">
        <v>108.5</v>
      </c>
      <c r="F3268" s="5">
        <v>214.7</v>
      </c>
      <c r="G3268" s="5">
        <v>106.7</v>
      </c>
      <c r="H3268" s="5">
        <v>106.6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108</v>
      </c>
      <c r="D3269" s="5">
        <v>0.1</v>
      </c>
      <c r="E3269" s="5">
        <v>108.1</v>
      </c>
      <c r="F3269" s="5">
        <v>215.2</v>
      </c>
      <c r="G3269" s="5">
        <v>106.9</v>
      </c>
      <c r="H3269" s="5">
        <v>106.8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108</v>
      </c>
      <c r="D3270" s="5">
        <v>0.1</v>
      </c>
      <c r="E3270" s="5">
        <v>108.1</v>
      </c>
      <c r="F3270" s="5">
        <v>215.2</v>
      </c>
      <c r="G3270" s="5">
        <v>106.9</v>
      </c>
      <c r="H3270" s="5">
        <v>106.8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108</v>
      </c>
      <c r="D3271" s="5">
        <v>0.1</v>
      </c>
      <c r="E3271" s="5">
        <v>108.1</v>
      </c>
      <c r="F3271" s="5">
        <v>215.3</v>
      </c>
      <c r="G3271" s="5">
        <v>107</v>
      </c>
      <c r="H3271" s="5">
        <v>106.8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108</v>
      </c>
      <c r="D3272" s="5">
        <v>0.1</v>
      </c>
      <c r="E3272" s="5">
        <v>108.1</v>
      </c>
      <c r="F3272" s="5">
        <v>215.3</v>
      </c>
      <c r="G3272" s="5">
        <v>107</v>
      </c>
      <c r="H3272" s="5">
        <v>106.8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107.7</v>
      </c>
      <c r="D3273" s="5">
        <v>0.1</v>
      </c>
      <c r="E3273" s="5">
        <v>107.8</v>
      </c>
      <c r="F3273" s="5">
        <v>214.5</v>
      </c>
      <c r="G3273" s="5">
        <v>106.6</v>
      </c>
      <c r="H3273" s="5">
        <v>106.4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107.7</v>
      </c>
      <c r="D3274" s="5">
        <v>0.1</v>
      </c>
      <c r="E3274" s="5">
        <v>107.8</v>
      </c>
      <c r="F3274" s="5">
        <v>214.5</v>
      </c>
      <c r="G3274" s="5">
        <v>106.6</v>
      </c>
      <c r="H3274" s="5">
        <v>106.4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108.1</v>
      </c>
      <c r="D3275" s="5">
        <v>0.1</v>
      </c>
      <c r="E3275" s="5">
        <v>108.2</v>
      </c>
      <c r="F3275" s="5">
        <v>214.9</v>
      </c>
      <c r="G3275" s="5">
        <v>106.7</v>
      </c>
      <c r="H3275" s="5">
        <v>106.5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108.1</v>
      </c>
      <c r="D3276" s="5">
        <v>0.1</v>
      </c>
      <c r="E3276" s="5">
        <v>108.2</v>
      </c>
      <c r="F3276" s="5">
        <v>214.9</v>
      </c>
      <c r="G3276" s="5">
        <v>106.7</v>
      </c>
      <c r="H3276" s="5">
        <v>106.5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108.1</v>
      </c>
      <c r="D3277" s="5">
        <v>0.1</v>
      </c>
      <c r="E3277" s="5">
        <v>108.2</v>
      </c>
      <c r="F3277" s="5">
        <v>214.9</v>
      </c>
      <c r="G3277" s="5">
        <v>106.7</v>
      </c>
      <c r="H3277" s="5">
        <v>106.5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108.1</v>
      </c>
      <c r="D3278" s="5">
        <v>0.1</v>
      </c>
      <c r="E3278" s="5">
        <v>108.2</v>
      </c>
      <c r="F3278" s="5">
        <v>214.9</v>
      </c>
      <c r="G3278" s="5">
        <v>106.7</v>
      </c>
      <c r="H3278" s="5">
        <v>106.5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104.2</v>
      </c>
      <c r="D3279" s="5">
        <v>0.1</v>
      </c>
      <c r="E3279" s="5">
        <v>104.3</v>
      </c>
      <c r="F3279" s="5">
        <v>205.7</v>
      </c>
      <c r="G3279" s="5">
        <v>102.3</v>
      </c>
      <c r="H3279" s="5">
        <v>103.8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104.2</v>
      </c>
      <c r="D3280" s="5">
        <v>0.1</v>
      </c>
      <c r="E3280" s="5">
        <v>104.3</v>
      </c>
      <c r="F3280" s="5">
        <v>205.7</v>
      </c>
      <c r="G3280" s="5">
        <v>102.3</v>
      </c>
      <c r="H3280" s="5">
        <v>103.8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101.8</v>
      </c>
      <c r="D3281" s="5">
        <v>0.1</v>
      </c>
      <c r="E3281" s="5">
        <v>102</v>
      </c>
      <c r="F3281" s="5">
        <v>207.8</v>
      </c>
      <c r="G3281" s="5">
        <v>103.3</v>
      </c>
      <c r="H3281" s="5">
        <v>103.1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101.8</v>
      </c>
      <c r="D3282" s="5">
        <v>0.1</v>
      </c>
      <c r="E3282" s="5">
        <v>102</v>
      </c>
      <c r="F3282" s="5">
        <v>207.8</v>
      </c>
      <c r="G3282" s="5">
        <v>103.3</v>
      </c>
      <c r="H3282" s="5">
        <v>103.1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102.4</v>
      </c>
      <c r="D3283" s="5">
        <v>0.1</v>
      </c>
      <c r="E3283" s="5">
        <v>102.4</v>
      </c>
      <c r="F3283" s="5">
        <v>207.8</v>
      </c>
      <c r="G3283" s="5">
        <v>102.8</v>
      </c>
      <c r="H3283" s="5">
        <v>101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102.4</v>
      </c>
      <c r="D3284" s="5">
        <v>0.1</v>
      </c>
      <c r="E3284" s="5">
        <v>102.4</v>
      </c>
      <c r="F3284" s="5">
        <v>207.8</v>
      </c>
      <c r="G3284" s="5">
        <v>102.8</v>
      </c>
      <c r="H3284" s="5">
        <v>101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102.5</v>
      </c>
      <c r="D3285" s="5">
        <v>0.1</v>
      </c>
      <c r="E3285" s="5">
        <v>102.7</v>
      </c>
      <c r="F3285" s="5">
        <v>204</v>
      </c>
      <c r="G3285" s="5">
        <v>101.3</v>
      </c>
      <c r="H3285" s="5">
        <v>101.2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102.5</v>
      </c>
      <c r="D3286" s="5">
        <v>0.1</v>
      </c>
      <c r="E3286" s="5">
        <v>102.7</v>
      </c>
      <c r="F3286" s="5">
        <v>204</v>
      </c>
      <c r="G3286" s="5">
        <v>101.3</v>
      </c>
      <c r="H3286" s="5">
        <v>101.2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102.5</v>
      </c>
      <c r="D3287" s="5">
        <v>0.1</v>
      </c>
      <c r="E3287" s="5">
        <v>102.7</v>
      </c>
      <c r="F3287" s="5">
        <v>204</v>
      </c>
      <c r="G3287" s="5">
        <v>101.3</v>
      </c>
      <c r="H3287" s="5">
        <v>101.2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102.5</v>
      </c>
      <c r="D3288" s="5">
        <v>0.1</v>
      </c>
      <c r="E3288" s="5">
        <v>102.7</v>
      </c>
      <c r="F3288" s="5">
        <v>204</v>
      </c>
      <c r="G3288" s="5">
        <v>101.3</v>
      </c>
      <c r="H3288" s="5">
        <v>101.2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107.3</v>
      </c>
      <c r="D3289" s="5">
        <v>0.1</v>
      </c>
      <c r="E3289" s="5">
        <v>107.5</v>
      </c>
      <c r="F3289" s="5">
        <v>213.7</v>
      </c>
      <c r="G3289" s="5">
        <v>106.2</v>
      </c>
      <c r="H3289" s="5">
        <v>106.1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107.3</v>
      </c>
      <c r="D3290" s="5">
        <v>0.1</v>
      </c>
      <c r="E3290" s="5">
        <v>107.5</v>
      </c>
      <c r="F3290" s="5">
        <v>213.7</v>
      </c>
      <c r="G3290" s="5">
        <v>106.2</v>
      </c>
      <c r="H3290" s="5">
        <v>106.1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107.1</v>
      </c>
      <c r="D3291" s="5">
        <v>0.1</v>
      </c>
      <c r="E3291" s="5">
        <v>107.2</v>
      </c>
      <c r="F3291" s="5">
        <v>212.4</v>
      </c>
      <c r="G3291" s="5">
        <v>105.5</v>
      </c>
      <c r="H3291" s="5">
        <v>105.4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107.1</v>
      </c>
      <c r="D3292" s="5">
        <v>0.1</v>
      </c>
      <c r="E3292" s="5">
        <v>107.2</v>
      </c>
      <c r="F3292" s="5">
        <v>212.4</v>
      </c>
      <c r="G3292" s="5">
        <v>105.5</v>
      </c>
      <c r="H3292" s="5">
        <v>105.4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106.9</v>
      </c>
      <c r="D3293" s="5">
        <v>0.1</v>
      </c>
      <c r="E3293" s="5">
        <v>107.1</v>
      </c>
      <c r="F3293" s="5">
        <v>211</v>
      </c>
      <c r="G3293" s="5">
        <v>105</v>
      </c>
      <c r="H3293" s="5">
        <v>105.1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106.9</v>
      </c>
      <c r="D3294" s="5">
        <v>0.1</v>
      </c>
      <c r="E3294" s="5">
        <v>107.1</v>
      </c>
      <c r="F3294" s="5">
        <v>211</v>
      </c>
      <c r="G3294" s="5">
        <v>105</v>
      </c>
      <c r="H3294" s="5">
        <v>105.1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102.7</v>
      </c>
      <c r="D3295" s="5">
        <v>0.1</v>
      </c>
      <c r="E3295" s="5">
        <v>102.8</v>
      </c>
      <c r="F3295" s="5">
        <v>206</v>
      </c>
      <c r="G3295" s="5">
        <v>102.1</v>
      </c>
      <c r="H3295" s="5">
        <v>101.8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102.7</v>
      </c>
      <c r="D3296" s="5">
        <v>0.1</v>
      </c>
      <c r="E3296" s="5">
        <v>102.8</v>
      </c>
      <c r="F3296" s="5">
        <v>206</v>
      </c>
      <c r="G3296" s="5">
        <v>102.1</v>
      </c>
      <c r="H3296" s="5">
        <v>101.8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102.7</v>
      </c>
      <c r="D3297" s="5">
        <v>0.1</v>
      </c>
      <c r="E3297" s="5">
        <v>102.8</v>
      </c>
      <c r="F3297" s="5">
        <v>206</v>
      </c>
      <c r="G3297" s="5">
        <v>102.1</v>
      </c>
      <c r="H3297" s="5">
        <v>101.8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102.7</v>
      </c>
      <c r="D3298" s="5">
        <v>0.1</v>
      </c>
      <c r="E3298" s="5">
        <v>102.8</v>
      </c>
      <c r="F3298" s="5">
        <v>206</v>
      </c>
      <c r="G3298" s="5">
        <v>102.1</v>
      </c>
      <c r="H3298" s="5">
        <v>101.8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102.6</v>
      </c>
      <c r="D3299" s="5">
        <v>0.1</v>
      </c>
      <c r="E3299" s="5">
        <v>102.7</v>
      </c>
      <c r="F3299" s="5">
        <v>203.9</v>
      </c>
      <c r="G3299" s="5">
        <v>101.6</v>
      </c>
      <c r="H3299" s="5">
        <v>100.7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102.6</v>
      </c>
      <c r="D3300" s="5">
        <v>0.1</v>
      </c>
      <c r="E3300" s="5">
        <v>102.7</v>
      </c>
      <c r="F3300" s="5">
        <v>203.9</v>
      </c>
      <c r="G3300" s="5">
        <v>101.6</v>
      </c>
      <c r="H3300" s="5">
        <v>100.7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105.3</v>
      </c>
      <c r="D3301" s="5">
        <v>0.1</v>
      </c>
      <c r="E3301" s="5">
        <v>105.5</v>
      </c>
      <c r="F3301" s="5">
        <v>203.3</v>
      </c>
      <c r="G3301" s="5">
        <v>101.1</v>
      </c>
      <c r="H3301" s="5">
        <v>101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105.3</v>
      </c>
      <c r="D3302" s="5">
        <v>0.1</v>
      </c>
      <c r="E3302" s="5">
        <v>105.5</v>
      </c>
      <c r="F3302" s="5">
        <v>203.3</v>
      </c>
      <c r="G3302" s="5">
        <v>101.1</v>
      </c>
      <c r="H3302" s="5">
        <v>101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102.4</v>
      </c>
      <c r="D3303" s="5">
        <v>0.1</v>
      </c>
      <c r="E3303" s="5">
        <v>102.5</v>
      </c>
      <c r="F3303" s="5">
        <v>203.8</v>
      </c>
      <c r="G3303" s="5">
        <v>101</v>
      </c>
      <c r="H3303" s="5">
        <v>100.8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102.4</v>
      </c>
      <c r="D3304" s="5">
        <v>0.1</v>
      </c>
      <c r="E3304" s="5">
        <v>102.5</v>
      </c>
      <c r="F3304" s="5">
        <v>203.8</v>
      </c>
      <c r="G3304" s="5">
        <v>101</v>
      </c>
      <c r="H3304" s="5">
        <v>100.8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106.9</v>
      </c>
      <c r="D3305" s="5">
        <v>0.1</v>
      </c>
      <c r="E3305" s="5">
        <v>107</v>
      </c>
      <c r="F3305" s="5">
        <v>212.7</v>
      </c>
      <c r="G3305" s="5">
        <v>105.7</v>
      </c>
      <c r="H3305" s="5">
        <v>105.5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106.9</v>
      </c>
      <c r="D3306" s="5">
        <v>0.1</v>
      </c>
      <c r="E3306" s="5">
        <v>107</v>
      </c>
      <c r="F3306" s="5">
        <v>212.7</v>
      </c>
      <c r="G3306" s="5">
        <v>105.7</v>
      </c>
      <c r="H3306" s="5">
        <v>105.5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106.9</v>
      </c>
      <c r="D3307" s="5">
        <v>0.1</v>
      </c>
      <c r="E3307" s="5">
        <v>107</v>
      </c>
      <c r="F3307" s="5">
        <v>212.7</v>
      </c>
      <c r="G3307" s="5">
        <v>105.7</v>
      </c>
      <c r="H3307" s="5">
        <v>105.5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106.9</v>
      </c>
      <c r="D3308" s="5">
        <v>0.1</v>
      </c>
      <c r="E3308" s="5">
        <v>107</v>
      </c>
      <c r="F3308" s="5">
        <v>212.7</v>
      </c>
      <c r="G3308" s="5">
        <v>105.7</v>
      </c>
      <c r="H3308" s="5">
        <v>105.5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107.7</v>
      </c>
      <c r="D3309" s="5">
        <v>0.1</v>
      </c>
      <c r="E3309" s="5">
        <v>107.8</v>
      </c>
      <c r="F3309" s="5">
        <v>213.8</v>
      </c>
      <c r="G3309" s="5">
        <v>106.2</v>
      </c>
      <c r="H3309" s="5">
        <v>106.1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107.7</v>
      </c>
      <c r="D3310" s="5">
        <v>0.1</v>
      </c>
      <c r="E3310" s="5">
        <v>107.8</v>
      </c>
      <c r="F3310" s="5">
        <v>213.8</v>
      </c>
      <c r="G3310" s="5">
        <v>106.2</v>
      </c>
      <c r="H3310" s="5">
        <v>106.1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106.9</v>
      </c>
      <c r="D3311" s="5">
        <v>0.1</v>
      </c>
      <c r="E3311" s="5">
        <v>107</v>
      </c>
      <c r="F3311" s="5">
        <v>212.5</v>
      </c>
      <c r="G3311" s="5">
        <v>105.6</v>
      </c>
      <c r="H3311" s="5">
        <v>105.4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106.9</v>
      </c>
      <c r="D3312" s="5">
        <v>0.1</v>
      </c>
      <c r="E3312" s="5">
        <v>107</v>
      </c>
      <c r="F3312" s="5">
        <v>212.5</v>
      </c>
      <c r="G3312" s="5">
        <v>105.6</v>
      </c>
      <c r="H3312" s="5">
        <v>105.4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107.7</v>
      </c>
      <c r="D3313" s="5">
        <v>0.1</v>
      </c>
      <c r="E3313" s="5">
        <v>107.8</v>
      </c>
      <c r="F3313" s="5">
        <v>214.5</v>
      </c>
      <c r="G3313" s="5">
        <v>106.4</v>
      </c>
      <c r="H3313" s="5">
        <v>106.1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107.7</v>
      </c>
      <c r="D3314" s="5">
        <v>0.1</v>
      </c>
      <c r="E3314" s="5">
        <v>107.8</v>
      </c>
      <c r="F3314" s="5">
        <v>214.5</v>
      </c>
      <c r="G3314" s="5">
        <v>106.4</v>
      </c>
      <c r="H3314" s="5">
        <v>106.1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101.3</v>
      </c>
      <c r="D3315" s="5">
        <v>0.1</v>
      </c>
      <c r="E3315" s="5">
        <v>101.5</v>
      </c>
      <c r="F3315" s="5">
        <v>202.1</v>
      </c>
      <c r="G3315" s="5">
        <v>100.3</v>
      </c>
      <c r="H3315" s="5">
        <v>100.1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101.3</v>
      </c>
      <c r="D3316" s="5">
        <v>0.1</v>
      </c>
      <c r="E3316" s="5">
        <v>101.5</v>
      </c>
      <c r="F3316" s="5">
        <v>202.1</v>
      </c>
      <c r="G3316" s="5">
        <v>100.3</v>
      </c>
      <c r="H3316" s="5">
        <v>100.1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101.3</v>
      </c>
      <c r="D3317" s="5">
        <v>0.1</v>
      </c>
      <c r="E3317" s="5">
        <v>101.5</v>
      </c>
      <c r="F3317" s="5">
        <v>202.1</v>
      </c>
      <c r="G3317" s="5">
        <v>100.3</v>
      </c>
      <c r="H3317" s="5">
        <v>100.1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101.3</v>
      </c>
      <c r="D3318" s="5">
        <v>0.1</v>
      </c>
      <c r="E3318" s="5">
        <v>101.5</v>
      </c>
      <c r="F3318" s="5">
        <v>202.1</v>
      </c>
      <c r="G3318" s="5">
        <v>100.3</v>
      </c>
      <c r="H3318" s="5">
        <v>100.1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107.9</v>
      </c>
      <c r="D3319" s="5">
        <v>0.1</v>
      </c>
      <c r="E3319" s="5">
        <v>108.1</v>
      </c>
      <c r="F3319" s="5">
        <v>213.8</v>
      </c>
      <c r="G3319" s="5">
        <v>106.2</v>
      </c>
      <c r="H3319" s="5">
        <v>105.5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107.9</v>
      </c>
      <c r="D3320" s="5">
        <v>0.1</v>
      </c>
      <c r="E3320" s="5">
        <v>108.1</v>
      </c>
      <c r="F3320" s="5">
        <v>213.8</v>
      </c>
      <c r="G3320" s="5">
        <v>106.2</v>
      </c>
      <c r="H3320" s="5">
        <v>105.5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108.1</v>
      </c>
      <c r="D3321" s="5">
        <v>0.1</v>
      </c>
      <c r="E3321" s="5">
        <v>108.1</v>
      </c>
      <c r="F3321" s="5">
        <v>213.3</v>
      </c>
      <c r="G3321" s="5">
        <v>106.1</v>
      </c>
      <c r="H3321" s="5">
        <v>106.1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108.1</v>
      </c>
      <c r="D3322" s="5">
        <v>0.1</v>
      </c>
      <c r="E3322" s="5">
        <v>108.1</v>
      </c>
      <c r="F3322" s="5">
        <v>213.3</v>
      </c>
      <c r="G3322" s="5">
        <v>106.1</v>
      </c>
      <c r="H3322" s="5">
        <v>106.1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106.7</v>
      </c>
      <c r="D3323" s="5">
        <v>0.1</v>
      </c>
      <c r="E3323" s="5">
        <v>106.9</v>
      </c>
      <c r="F3323" s="5">
        <v>208.9</v>
      </c>
      <c r="G3323" s="5">
        <v>104.1</v>
      </c>
      <c r="H3323" s="5">
        <v>104.3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106.7</v>
      </c>
      <c r="D3324" s="5">
        <v>0.1</v>
      </c>
      <c r="E3324" s="5">
        <v>106.9</v>
      </c>
      <c r="F3324" s="5">
        <v>208.9</v>
      </c>
      <c r="G3324" s="5">
        <v>104.1</v>
      </c>
      <c r="H3324" s="5">
        <v>104.3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104.9</v>
      </c>
      <c r="D3325" s="5">
        <v>0.1</v>
      </c>
      <c r="E3325" s="5">
        <v>105</v>
      </c>
      <c r="F3325" s="5">
        <v>205.3</v>
      </c>
      <c r="G3325" s="5">
        <v>102</v>
      </c>
      <c r="H3325" s="5">
        <v>102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104.9</v>
      </c>
      <c r="D3326" s="5">
        <v>0.1</v>
      </c>
      <c r="E3326" s="5">
        <v>105</v>
      </c>
      <c r="F3326" s="5">
        <v>205.3</v>
      </c>
      <c r="G3326" s="5">
        <v>102</v>
      </c>
      <c r="H3326" s="5">
        <v>102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104.9</v>
      </c>
      <c r="D3327" s="5">
        <v>0.1</v>
      </c>
      <c r="E3327" s="5">
        <v>105</v>
      </c>
      <c r="F3327" s="5">
        <v>205.3</v>
      </c>
      <c r="G3327" s="5">
        <v>102</v>
      </c>
      <c r="H3327" s="5">
        <v>102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107.6</v>
      </c>
      <c r="D3328" s="5">
        <v>0.1</v>
      </c>
      <c r="E3328" s="5">
        <v>107.8</v>
      </c>
      <c r="F3328" s="5">
        <v>212.2</v>
      </c>
      <c r="G3328" s="5">
        <v>105.4</v>
      </c>
      <c r="H3328" s="5">
        <v>105.3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107.6</v>
      </c>
      <c r="D3329" s="5">
        <v>0.1</v>
      </c>
      <c r="E3329" s="5">
        <v>107.8</v>
      </c>
      <c r="F3329" s="5">
        <v>212.2</v>
      </c>
      <c r="G3329" s="5">
        <v>105.4</v>
      </c>
      <c r="H3329" s="5">
        <v>105.3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106.5</v>
      </c>
      <c r="D3330" s="5">
        <v>0.1</v>
      </c>
      <c r="E3330" s="5">
        <v>106.6</v>
      </c>
      <c r="F3330" s="5">
        <v>211.3</v>
      </c>
      <c r="G3330" s="5">
        <v>105</v>
      </c>
      <c r="H3330" s="5">
        <v>104.9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106.5</v>
      </c>
      <c r="D3331" s="5">
        <v>0.1</v>
      </c>
      <c r="E3331" s="5">
        <v>106.6</v>
      </c>
      <c r="F3331" s="5">
        <v>211.3</v>
      </c>
      <c r="G3331" s="5">
        <v>105</v>
      </c>
      <c r="H3331" s="5">
        <v>104.9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105.3</v>
      </c>
      <c r="D3332" s="5">
        <v>0.1</v>
      </c>
      <c r="E3332" s="5">
        <v>105.5</v>
      </c>
      <c r="F3332" s="5">
        <v>209</v>
      </c>
      <c r="G3332" s="5">
        <v>103.9</v>
      </c>
      <c r="H3332" s="5">
        <v>103.8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105.3</v>
      </c>
      <c r="D3333" s="5">
        <v>0.1</v>
      </c>
      <c r="E3333" s="5">
        <v>105.5</v>
      </c>
      <c r="F3333" s="5">
        <v>209</v>
      </c>
      <c r="G3333" s="5">
        <v>103.9</v>
      </c>
      <c r="H3333" s="5">
        <v>103.8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105.3</v>
      </c>
      <c r="D3334" s="5">
        <v>0.1</v>
      </c>
      <c r="E3334" s="5">
        <v>104</v>
      </c>
      <c r="F3334" s="5">
        <v>202.3</v>
      </c>
      <c r="G3334" s="5">
        <v>99.5</v>
      </c>
      <c r="H3334" s="5">
        <v>99.3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103.8</v>
      </c>
      <c r="D3335" s="5">
        <v>0.1</v>
      </c>
      <c r="E3335" s="5">
        <v>104</v>
      </c>
      <c r="F3335" s="5">
        <v>202.3</v>
      </c>
      <c r="G3335" s="5">
        <v>99.5</v>
      </c>
      <c r="H3335" s="5">
        <v>99.3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103.8</v>
      </c>
      <c r="D3336" s="5">
        <v>0.1</v>
      </c>
      <c r="E3336" s="5">
        <v>104</v>
      </c>
      <c r="F3336" s="5">
        <v>202.3</v>
      </c>
      <c r="G3336" s="5">
        <v>99.5</v>
      </c>
      <c r="H3336" s="5">
        <v>99.3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103.8</v>
      </c>
      <c r="D3337" s="5">
        <v>0.1</v>
      </c>
      <c r="E3337" s="5">
        <v>104</v>
      </c>
      <c r="F3337" s="5">
        <v>202.3</v>
      </c>
      <c r="G3337" s="5">
        <v>99.5</v>
      </c>
      <c r="H3337" s="5">
        <v>99.3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100.6</v>
      </c>
      <c r="D3338" s="5">
        <v>0.1</v>
      </c>
      <c r="E3338" s="5">
        <v>100.8</v>
      </c>
      <c r="F3338" s="5">
        <v>202.3</v>
      </c>
      <c r="G3338" s="5">
        <v>99.5</v>
      </c>
      <c r="H3338" s="5">
        <v>99.3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100.6</v>
      </c>
      <c r="D3339" s="5">
        <v>0.1</v>
      </c>
      <c r="E3339" s="5">
        <v>100.8</v>
      </c>
      <c r="F3339" s="5">
        <v>200.7</v>
      </c>
      <c r="G3339" s="5">
        <v>100.2</v>
      </c>
      <c r="H3339" s="5">
        <v>100.3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100.6</v>
      </c>
      <c r="D3340" s="5">
        <v>0.1</v>
      </c>
      <c r="E3340" s="5">
        <v>100.8</v>
      </c>
      <c r="F3340" s="5">
        <v>200.7</v>
      </c>
      <c r="G3340" s="5">
        <v>100.2</v>
      </c>
      <c r="H3340" s="5">
        <v>100.3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99.7</v>
      </c>
      <c r="D3341" s="5">
        <v>0.1</v>
      </c>
      <c r="E3341" s="5">
        <v>99.9</v>
      </c>
      <c r="F3341" s="5">
        <v>202.9</v>
      </c>
      <c r="G3341" s="5">
        <v>100.5</v>
      </c>
      <c r="H3341" s="5">
        <v>100.1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99.7</v>
      </c>
      <c r="D3342" s="5">
        <v>0.1</v>
      </c>
      <c r="E3342" s="5">
        <v>99.9</v>
      </c>
      <c r="F3342" s="5">
        <v>202.9</v>
      </c>
      <c r="G3342" s="5">
        <v>100.5</v>
      </c>
      <c r="H3342" s="5">
        <v>100.1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102.1</v>
      </c>
      <c r="D3343" s="5">
        <v>0.1</v>
      </c>
      <c r="E3343" s="5">
        <v>102.3</v>
      </c>
      <c r="F3343" s="5">
        <v>202.4</v>
      </c>
      <c r="G3343" s="5">
        <v>100.7</v>
      </c>
      <c r="H3343" s="5">
        <v>100.8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102.1</v>
      </c>
      <c r="D3344" s="5">
        <v>0.1</v>
      </c>
      <c r="E3344" s="5">
        <v>102.3</v>
      </c>
      <c r="F3344" s="5">
        <v>202.4</v>
      </c>
      <c r="G3344" s="5">
        <v>100.7</v>
      </c>
      <c r="H3344" s="5">
        <v>100.8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101.5</v>
      </c>
      <c r="D3345" s="5">
        <v>0.1</v>
      </c>
      <c r="E3345" s="5">
        <v>101.6</v>
      </c>
      <c r="F3345" s="5">
        <v>202.3</v>
      </c>
      <c r="G3345" s="5">
        <v>100.4</v>
      </c>
      <c r="H3345" s="5">
        <v>100.2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101.5</v>
      </c>
      <c r="D3346" s="5">
        <v>0.1</v>
      </c>
      <c r="E3346" s="5">
        <v>101.6</v>
      </c>
      <c r="F3346" s="5">
        <v>202.3</v>
      </c>
      <c r="G3346" s="5">
        <v>100.4</v>
      </c>
      <c r="H3346" s="5">
        <v>100.2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101.5</v>
      </c>
      <c r="D3347" s="5">
        <v>0.1</v>
      </c>
      <c r="E3347" s="5">
        <v>101.6</v>
      </c>
      <c r="F3347" s="5">
        <v>202.3</v>
      </c>
      <c r="G3347" s="5">
        <v>100.4</v>
      </c>
      <c r="H3347" s="5">
        <v>100.2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101.5</v>
      </c>
      <c r="D3348" s="5">
        <v>0.1</v>
      </c>
      <c r="E3348" s="5">
        <v>101.6</v>
      </c>
      <c r="F3348" s="5">
        <v>202.3</v>
      </c>
      <c r="G3348" s="5">
        <v>100.4</v>
      </c>
      <c r="H3348" s="5">
        <v>100.2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101.7</v>
      </c>
      <c r="D3349" s="5">
        <v>0.1</v>
      </c>
      <c r="E3349" s="5">
        <v>101.8</v>
      </c>
      <c r="F3349" s="5">
        <v>206.1</v>
      </c>
      <c r="G3349" s="5">
        <v>102.3</v>
      </c>
      <c r="H3349" s="5">
        <v>102.1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101.7</v>
      </c>
      <c r="D3350" s="5">
        <v>0.1</v>
      </c>
      <c r="E3350" s="5">
        <v>101.8</v>
      </c>
      <c r="F3350" s="5">
        <v>206.1</v>
      </c>
      <c r="G3350" s="5">
        <v>102.3</v>
      </c>
      <c r="H3350" s="5">
        <v>102.1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102.8</v>
      </c>
      <c r="D3351" s="5">
        <v>0.1</v>
      </c>
      <c r="E3351" s="5">
        <v>103</v>
      </c>
      <c r="F3351" s="5">
        <v>201.6</v>
      </c>
      <c r="G3351" s="5">
        <v>100.1</v>
      </c>
      <c r="H3351" s="5">
        <v>99.9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102.8</v>
      </c>
      <c r="D3352" s="5">
        <v>0.1</v>
      </c>
      <c r="E3352" s="5">
        <v>103</v>
      </c>
      <c r="F3352" s="5">
        <v>201.6</v>
      </c>
      <c r="G3352" s="5">
        <v>100.1</v>
      </c>
      <c r="H3352" s="5">
        <v>99.9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106.6</v>
      </c>
      <c r="D3353" s="5">
        <v>0.1</v>
      </c>
      <c r="E3353" s="5">
        <v>106.7</v>
      </c>
      <c r="F3353" s="5">
        <v>211.4</v>
      </c>
      <c r="G3353" s="5">
        <v>105</v>
      </c>
      <c r="H3353" s="5">
        <v>104.9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106.6</v>
      </c>
      <c r="D3354" s="5">
        <v>0.1</v>
      </c>
      <c r="E3354" s="5">
        <v>106.7</v>
      </c>
      <c r="F3354" s="5">
        <v>211.4</v>
      </c>
      <c r="G3354" s="5">
        <v>105</v>
      </c>
      <c r="H3354" s="5">
        <v>104.9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105.3</v>
      </c>
      <c r="D3355" s="5">
        <v>0.1</v>
      </c>
      <c r="E3355" s="5">
        <v>105.5</v>
      </c>
      <c r="F3355" s="5">
        <v>205.5</v>
      </c>
      <c r="G3355" s="5">
        <v>102</v>
      </c>
      <c r="H3355" s="5">
        <v>101.7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105.3</v>
      </c>
      <c r="D3356" s="5">
        <v>0.1</v>
      </c>
      <c r="E3356" s="5">
        <v>105.5</v>
      </c>
      <c r="F3356" s="5">
        <v>205.5</v>
      </c>
      <c r="G3356" s="5">
        <v>102</v>
      </c>
      <c r="H3356" s="5">
        <v>101.7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105.3</v>
      </c>
      <c r="D3357" s="5">
        <v>0.1</v>
      </c>
      <c r="E3357" s="5">
        <v>105.5</v>
      </c>
      <c r="F3357" s="5">
        <v>205.5</v>
      </c>
      <c r="G3357" s="5">
        <v>102</v>
      </c>
      <c r="H3357" s="5">
        <v>101.7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107.2</v>
      </c>
      <c r="D3358" s="5">
        <v>0.1</v>
      </c>
      <c r="E3358" s="5">
        <v>107.3</v>
      </c>
      <c r="F3358" s="5">
        <v>212.5</v>
      </c>
      <c r="G3358" s="5">
        <v>105.7</v>
      </c>
      <c r="H3358" s="5">
        <v>105.6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107.2</v>
      </c>
      <c r="D3359" s="5">
        <v>0.1</v>
      </c>
      <c r="E3359" s="5">
        <v>107.3</v>
      </c>
      <c r="F3359" s="5">
        <v>212.5</v>
      </c>
      <c r="G3359" s="5">
        <v>105.7</v>
      </c>
      <c r="H3359" s="5">
        <v>105.6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102.4</v>
      </c>
      <c r="D3360" s="5">
        <v>0.1</v>
      </c>
      <c r="E3360" s="5">
        <v>102.6</v>
      </c>
      <c r="F3360" s="5">
        <v>202.5</v>
      </c>
      <c r="G3360" s="5">
        <v>100.6</v>
      </c>
      <c r="H3360" s="5">
        <v>100.5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102.4</v>
      </c>
      <c r="D3361" s="5">
        <v>0.1</v>
      </c>
      <c r="E3361" s="5">
        <v>102.6</v>
      </c>
      <c r="F3361" s="5">
        <v>202.5</v>
      </c>
      <c r="G3361" s="5">
        <v>100.6</v>
      </c>
      <c r="H3361" s="5">
        <v>100.5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106.9</v>
      </c>
      <c r="D3362" s="5">
        <v>0.1</v>
      </c>
      <c r="E3362" s="5">
        <v>107</v>
      </c>
      <c r="F3362" s="5">
        <v>212.5</v>
      </c>
      <c r="G3362" s="5">
        <v>105.6</v>
      </c>
      <c r="H3362" s="5">
        <v>105.5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106.9</v>
      </c>
      <c r="D3363" s="5">
        <v>0.1</v>
      </c>
      <c r="E3363" s="5">
        <v>107</v>
      </c>
      <c r="F3363" s="5">
        <v>212.5</v>
      </c>
      <c r="G3363" s="5">
        <v>105.6</v>
      </c>
      <c r="H3363" s="5">
        <v>105.5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106.2</v>
      </c>
      <c r="D3364" s="5">
        <v>0.1</v>
      </c>
      <c r="E3364" s="5">
        <v>106.4</v>
      </c>
      <c r="F3364" s="5">
        <v>210.1</v>
      </c>
      <c r="G3364" s="5">
        <v>104.6</v>
      </c>
      <c r="H3364" s="5">
        <v>104.6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106.2</v>
      </c>
      <c r="D3365" s="5">
        <v>0.1</v>
      </c>
      <c r="E3365" s="5">
        <v>106.4</v>
      </c>
      <c r="F3365" s="5">
        <v>210.1</v>
      </c>
      <c r="G3365" s="5">
        <v>104.6</v>
      </c>
      <c r="H3365" s="5">
        <v>104.6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106.2</v>
      </c>
      <c r="D3366" s="5">
        <v>0.1</v>
      </c>
      <c r="E3366" s="5">
        <v>106.4</v>
      </c>
      <c r="F3366" s="5">
        <v>210.1</v>
      </c>
      <c r="G3366" s="5">
        <v>104.6</v>
      </c>
      <c r="H3366" s="5">
        <v>104.6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106.2</v>
      </c>
      <c r="D3367" s="5">
        <v>0.1</v>
      </c>
      <c r="E3367" s="5">
        <v>106.4</v>
      </c>
      <c r="F3367" s="5">
        <v>210.1</v>
      </c>
      <c r="G3367" s="5">
        <v>104.6</v>
      </c>
      <c r="H3367" s="5">
        <v>104.6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107.7</v>
      </c>
      <c r="D3368" s="5">
        <v>0.1</v>
      </c>
      <c r="E3368" s="5">
        <v>107.8</v>
      </c>
      <c r="F3368" s="5">
        <v>213.1</v>
      </c>
      <c r="G3368" s="5">
        <v>105.9</v>
      </c>
      <c r="H3368" s="5">
        <v>105.8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107.7</v>
      </c>
      <c r="D3369" s="5">
        <v>0.1</v>
      </c>
      <c r="E3369" s="5">
        <v>107.8</v>
      </c>
      <c r="F3369" s="5">
        <v>213.1</v>
      </c>
      <c r="G3369" s="5">
        <v>105.9</v>
      </c>
      <c r="H3369" s="5">
        <v>105.8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101.7</v>
      </c>
      <c r="D3370" s="5">
        <v>0.1</v>
      </c>
      <c r="E3370" s="5">
        <v>101.8</v>
      </c>
      <c r="F3370" s="5">
        <v>203.6</v>
      </c>
      <c r="G3370" s="5">
        <v>101</v>
      </c>
      <c r="H3370" s="5">
        <v>100.8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101.7</v>
      </c>
      <c r="D3371" s="5">
        <v>0.1</v>
      </c>
      <c r="E3371" s="5">
        <v>101.8</v>
      </c>
      <c r="F3371" s="5">
        <v>203.6</v>
      </c>
      <c r="G3371" s="5">
        <v>101</v>
      </c>
      <c r="H3371" s="5">
        <v>100.8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100.5</v>
      </c>
      <c r="D3372" s="5">
        <v>0.1</v>
      </c>
      <c r="E3372" s="5">
        <v>100.6</v>
      </c>
      <c r="F3372" s="5">
        <v>208</v>
      </c>
      <c r="G3372" s="5">
        <v>103</v>
      </c>
      <c r="H3372" s="5">
        <v>102.6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100.5</v>
      </c>
      <c r="D3373" s="5">
        <v>0.1</v>
      </c>
      <c r="E3373" s="5">
        <v>100.6</v>
      </c>
      <c r="F3373" s="5">
        <v>208</v>
      </c>
      <c r="G3373" s="5">
        <v>103</v>
      </c>
      <c r="H3373" s="5">
        <v>102.6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101.3</v>
      </c>
      <c r="D3374" s="5">
        <v>0.1</v>
      </c>
      <c r="E3374" s="5">
        <v>101.5</v>
      </c>
      <c r="F3374" s="5">
        <v>202.3</v>
      </c>
      <c r="G3374" s="5">
        <v>100.5</v>
      </c>
      <c r="H3374" s="5">
        <v>100.3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101.3</v>
      </c>
      <c r="D3375" s="5">
        <v>0.1</v>
      </c>
      <c r="E3375" s="5">
        <v>101.5</v>
      </c>
      <c r="F3375" s="5">
        <v>202.3</v>
      </c>
      <c r="G3375" s="5">
        <v>100.5</v>
      </c>
      <c r="H3375" s="5">
        <v>100.3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101.3</v>
      </c>
      <c r="D3376" s="5">
        <v>0.1</v>
      </c>
      <c r="E3376" s="5">
        <v>101.5</v>
      </c>
      <c r="F3376" s="5">
        <v>202.3</v>
      </c>
      <c r="G3376" s="5">
        <v>100.5</v>
      </c>
      <c r="H3376" s="5">
        <v>100.3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101.3</v>
      </c>
      <c r="D3377" s="5">
        <v>0.1</v>
      </c>
      <c r="E3377" s="5">
        <v>101.5</v>
      </c>
      <c r="F3377" s="5">
        <v>202.3</v>
      </c>
      <c r="G3377" s="5">
        <v>100.5</v>
      </c>
      <c r="H3377" s="5">
        <v>100.3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101.1</v>
      </c>
      <c r="D3378" s="5">
        <v>0.1</v>
      </c>
      <c r="E3378" s="5">
        <v>101.2</v>
      </c>
      <c r="F3378" s="5">
        <v>202.2</v>
      </c>
      <c r="G3378" s="5">
        <v>100.9</v>
      </c>
      <c r="H3378" s="5">
        <v>101.3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101.1</v>
      </c>
      <c r="D3379" s="5">
        <v>0.1</v>
      </c>
      <c r="E3379" s="5">
        <v>101.2</v>
      </c>
      <c r="F3379" s="5">
        <v>202.2</v>
      </c>
      <c r="G3379" s="5">
        <v>100.9</v>
      </c>
      <c r="H3379" s="5">
        <v>101.3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101.1</v>
      </c>
      <c r="D3380" s="5">
        <v>0.1</v>
      </c>
      <c r="E3380" s="5">
        <v>107.2</v>
      </c>
      <c r="F3380" s="5">
        <v>212.7</v>
      </c>
      <c r="G3380" s="5">
        <v>105.7</v>
      </c>
      <c r="H3380" s="5">
        <v>105.5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107.1</v>
      </c>
      <c r="D3381" s="5">
        <v>0.1</v>
      </c>
      <c r="E3381" s="5">
        <v>107.2</v>
      </c>
      <c r="F3381" s="5">
        <v>212.7</v>
      </c>
      <c r="G3381" s="5">
        <v>105.7</v>
      </c>
      <c r="H3381" s="5">
        <v>105.5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107.1</v>
      </c>
      <c r="D3382" s="5">
        <v>0.1</v>
      </c>
      <c r="E3382" s="5">
        <v>106.9</v>
      </c>
      <c r="F3382" s="5">
        <v>212</v>
      </c>
      <c r="G3382" s="5">
        <v>105.3</v>
      </c>
      <c r="H3382" s="5">
        <v>105.1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106.7</v>
      </c>
      <c r="D3383" s="5">
        <v>0.1</v>
      </c>
      <c r="E3383" s="5">
        <v>106.9</v>
      </c>
      <c r="F3383" s="5">
        <v>212</v>
      </c>
      <c r="G3383" s="5">
        <v>105.3</v>
      </c>
      <c r="H3383" s="5">
        <v>105.1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106.7</v>
      </c>
      <c r="D3384" s="5">
        <v>0.1</v>
      </c>
      <c r="E3384" s="5">
        <v>106.9</v>
      </c>
      <c r="F3384" s="5">
        <v>213.4</v>
      </c>
      <c r="G3384" s="5">
        <v>106</v>
      </c>
      <c r="H3384" s="5">
        <v>105.9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107.8</v>
      </c>
      <c r="D3385" s="5">
        <v>0.1</v>
      </c>
      <c r="E3385" s="5">
        <v>107.9</v>
      </c>
      <c r="F3385" s="5">
        <v>213.4</v>
      </c>
      <c r="G3385" s="5">
        <v>106</v>
      </c>
      <c r="H3385" s="5">
        <v>105.9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107.8</v>
      </c>
      <c r="D3386" s="5">
        <v>0.1</v>
      </c>
      <c r="E3386" s="5">
        <v>107.9</v>
      </c>
      <c r="F3386" s="5">
        <v>213.4</v>
      </c>
      <c r="G3386" s="5">
        <v>106</v>
      </c>
      <c r="H3386" s="5">
        <v>105.9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107.8</v>
      </c>
      <c r="D3387" s="5">
        <v>0.1</v>
      </c>
      <c r="E3387" s="5">
        <v>107.9</v>
      </c>
      <c r="F3387" s="5">
        <v>213.4</v>
      </c>
      <c r="G3387" s="5">
        <v>106</v>
      </c>
      <c r="H3387" s="5">
        <v>105.9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107.6</v>
      </c>
      <c r="D3388" s="5">
        <v>0.1</v>
      </c>
      <c r="E3388" s="5">
        <v>107.8</v>
      </c>
      <c r="F3388" s="5">
        <v>214.1</v>
      </c>
      <c r="G3388" s="5">
        <v>106.4</v>
      </c>
      <c r="H3388" s="5">
        <v>106.3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107.6</v>
      </c>
      <c r="D3389" s="5">
        <v>0.1</v>
      </c>
      <c r="E3389" s="5">
        <v>107.8</v>
      </c>
      <c r="F3389" s="5">
        <v>214.1</v>
      </c>
      <c r="G3389" s="5">
        <v>106.4</v>
      </c>
      <c r="H3389" s="5">
        <v>106.3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107.2</v>
      </c>
      <c r="D3390" s="5">
        <v>0.1</v>
      </c>
      <c r="E3390" s="5">
        <v>107.3</v>
      </c>
      <c r="F3390" s="5">
        <v>213.6</v>
      </c>
      <c r="G3390" s="5">
        <v>106.1</v>
      </c>
      <c r="H3390" s="5">
        <v>106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107.2</v>
      </c>
      <c r="D3391" s="5">
        <v>0.1</v>
      </c>
      <c r="E3391" s="5">
        <v>107.3</v>
      </c>
      <c r="F3391" s="5">
        <v>213.6</v>
      </c>
      <c r="G3391" s="5">
        <v>106.1</v>
      </c>
      <c r="H3391" s="5">
        <v>106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106.8</v>
      </c>
      <c r="D3392" s="5">
        <v>0.1</v>
      </c>
      <c r="E3392" s="5">
        <v>106.9</v>
      </c>
      <c r="F3392" s="5">
        <v>212.5</v>
      </c>
      <c r="G3392" s="5">
        <v>105.6</v>
      </c>
      <c r="H3392" s="5">
        <v>105.5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106.8</v>
      </c>
      <c r="D3393" s="5">
        <v>0.1</v>
      </c>
      <c r="E3393" s="5">
        <v>106.9</v>
      </c>
      <c r="F3393" s="5">
        <v>212.5</v>
      </c>
      <c r="G3393" s="5">
        <v>105.6</v>
      </c>
      <c r="H3393" s="5">
        <v>105.5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107.2</v>
      </c>
      <c r="D3394" s="5">
        <v>0.1</v>
      </c>
      <c r="E3394" s="5">
        <v>107.4</v>
      </c>
      <c r="F3394" s="5">
        <v>213.4</v>
      </c>
      <c r="G3394" s="5">
        <v>106.1</v>
      </c>
      <c r="H3394" s="5">
        <v>106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107.2</v>
      </c>
      <c r="D3395" s="5">
        <v>0.1</v>
      </c>
      <c r="E3395" s="5">
        <v>107.4</v>
      </c>
      <c r="F3395" s="5">
        <v>213.4</v>
      </c>
      <c r="G3395" s="5">
        <v>106.1</v>
      </c>
      <c r="H3395" s="5">
        <v>106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107.2</v>
      </c>
      <c r="D3396" s="5">
        <v>0.1</v>
      </c>
      <c r="E3396" s="5">
        <v>107.4</v>
      </c>
      <c r="F3396" s="5">
        <v>213.4</v>
      </c>
      <c r="G3396" s="5">
        <v>106.1</v>
      </c>
      <c r="H3396" s="5">
        <v>106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107.2</v>
      </c>
      <c r="D3397" s="5">
        <v>0.1</v>
      </c>
      <c r="E3397" s="5">
        <v>107.4</v>
      </c>
      <c r="F3397" s="5">
        <v>213.4</v>
      </c>
      <c r="G3397" s="5">
        <v>106.1</v>
      </c>
      <c r="H3397" s="5">
        <v>106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101.4</v>
      </c>
      <c r="D3398" s="5">
        <v>0.1</v>
      </c>
      <c r="E3398" s="5">
        <v>101.5</v>
      </c>
      <c r="F3398" s="5">
        <v>204.2</v>
      </c>
      <c r="G3398" s="5">
        <v>101.6</v>
      </c>
      <c r="H3398" s="5">
        <v>101.6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101.4</v>
      </c>
      <c r="D3399" s="5">
        <v>0.1</v>
      </c>
      <c r="E3399" s="5">
        <v>101.5</v>
      </c>
      <c r="F3399" s="5">
        <v>204.2</v>
      </c>
      <c r="G3399" s="5">
        <v>101.6</v>
      </c>
      <c r="H3399" s="5">
        <v>101.6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100.7</v>
      </c>
      <c r="D3400" s="5">
        <v>0.1</v>
      </c>
      <c r="E3400" s="5">
        <v>100.8</v>
      </c>
      <c r="F3400" s="5">
        <v>201.9</v>
      </c>
      <c r="G3400" s="5">
        <v>100.7</v>
      </c>
      <c r="H3400" s="5">
        <v>100.9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100.7</v>
      </c>
      <c r="D3401" s="5">
        <v>0.1</v>
      </c>
      <c r="E3401" s="5">
        <v>100.8</v>
      </c>
      <c r="F3401" s="5">
        <v>201.9</v>
      </c>
      <c r="G3401" s="5">
        <v>100.7</v>
      </c>
      <c r="H3401" s="5">
        <v>100.9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101.8</v>
      </c>
      <c r="D3402" s="5">
        <v>0.1</v>
      </c>
      <c r="E3402" s="5">
        <v>101.9</v>
      </c>
      <c r="F3402" s="5">
        <v>203</v>
      </c>
      <c r="G3402" s="5">
        <v>100.8</v>
      </c>
      <c r="H3402" s="5">
        <v>100.6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101.8</v>
      </c>
      <c r="D3403" s="5">
        <v>0.1</v>
      </c>
      <c r="E3403" s="5">
        <v>101.9</v>
      </c>
      <c r="F3403" s="5">
        <v>203</v>
      </c>
      <c r="G3403" s="5">
        <v>100.8</v>
      </c>
      <c r="H3403" s="5">
        <v>100.6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101.6</v>
      </c>
      <c r="D3404" s="5">
        <v>0.1</v>
      </c>
      <c r="E3404" s="5">
        <v>101.8</v>
      </c>
      <c r="F3404" s="5">
        <v>201.7</v>
      </c>
      <c r="G3404" s="5">
        <v>100.2</v>
      </c>
      <c r="H3404" s="5">
        <v>100.1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101.6</v>
      </c>
      <c r="D3405" s="5">
        <v>0.1</v>
      </c>
      <c r="E3405" s="5">
        <v>101.8</v>
      </c>
      <c r="F3405" s="5">
        <v>201.7</v>
      </c>
      <c r="G3405" s="5">
        <v>100.2</v>
      </c>
      <c r="H3405" s="5">
        <v>100.1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101.6</v>
      </c>
      <c r="D3406" s="5">
        <v>0.1</v>
      </c>
      <c r="E3406" s="5">
        <v>101.8</v>
      </c>
      <c r="F3406" s="5">
        <v>201.7</v>
      </c>
      <c r="G3406" s="5">
        <v>100.2</v>
      </c>
      <c r="H3406" s="5">
        <v>100.1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101.6</v>
      </c>
      <c r="D3407" s="5">
        <v>0.1</v>
      </c>
      <c r="E3407" s="5">
        <v>101.8</v>
      </c>
      <c r="F3407" s="5">
        <v>201.7</v>
      </c>
      <c r="G3407" s="5">
        <v>100.2</v>
      </c>
      <c r="H3407" s="5">
        <v>100.1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100.3</v>
      </c>
      <c r="D3408" s="5">
        <v>0.1</v>
      </c>
      <c r="E3408" s="5">
        <v>100.5</v>
      </c>
      <c r="F3408" s="5">
        <v>208</v>
      </c>
      <c r="G3408" s="5">
        <v>103</v>
      </c>
      <c r="H3408" s="5">
        <v>102.6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100.3</v>
      </c>
      <c r="D3409" s="5">
        <v>0.1</v>
      </c>
      <c r="E3409" s="5">
        <v>100.5</v>
      </c>
      <c r="F3409" s="5">
        <v>208</v>
      </c>
      <c r="G3409" s="5">
        <v>103</v>
      </c>
      <c r="H3409" s="5">
        <v>102.6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102</v>
      </c>
      <c r="D3410" s="5">
        <v>0.1</v>
      </c>
      <c r="E3410" s="5">
        <v>102.1</v>
      </c>
      <c r="F3410" s="5">
        <v>203.3</v>
      </c>
      <c r="G3410" s="5">
        <v>101.1</v>
      </c>
      <c r="H3410" s="5">
        <v>101.9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102</v>
      </c>
      <c r="D3411" s="5">
        <v>0.1</v>
      </c>
      <c r="E3411" s="5">
        <v>102.1</v>
      </c>
      <c r="F3411" s="5">
        <v>203.3</v>
      </c>
      <c r="G3411" s="5">
        <v>101.1</v>
      </c>
      <c r="H3411" s="5">
        <v>101.9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102.2</v>
      </c>
      <c r="D3412" s="5">
        <v>0.1</v>
      </c>
      <c r="E3412" s="5">
        <v>102.4</v>
      </c>
      <c r="F3412" s="5">
        <v>202.6</v>
      </c>
      <c r="G3412" s="5">
        <v>100.9</v>
      </c>
      <c r="H3412" s="5">
        <v>101.6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102.2</v>
      </c>
      <c r="D3413" s="5">
        <v>0.1</v>
      </c>
      <c r="E3413" s="5">
        <v>102.4</v>
      </c>
      <c r="F3413" s="5">
        <v>202.6</v>
      </c>
      <c r="G3413" s="5">
        <v>100.9</v>
      </c>
      <c r="H3413" s="5">
        <v>101.6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101.3</v>
      </c>
      <c r="D3414" s="5">
        <v>0.1</v>
      </c>
      <c r="E3414" s="5">
        <v>101.5</v>
      </c>
      <c r="F3414" s="5">
        <v>201.9</v>
      </c>
      <c r="G3414" s="5">
        <v>100.1</v>
      </c>
      <c r="H3414" s="5">
        <v>99.8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101.3</v>
      </c>
      <c r="D3415" s="5">
        <v>0.1</v>
      </c>
      <c r="E3415" s="5">
        <v>101.5</v>
      </c>
      <c r="F3415" s="5">
        <v>201.9</v>
      </c>
      <c r="G3415" s="5">
        <v>100.1</v>
      </c>
      <c r="H3415" s="5">
        <v>99.8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101.3</v>
      </c>
      <c r="D3416" s="5">
        <v>0.1</v>
      </c>
      <c r="E3416" s="5">
        <v>101.5</v>
      </c>
      <c r="F3416" s="5">
        <v>201.9</v>
      </c>
      <c r="G3416" s="5">
        <v>100.1</v>
      </c>
      <c r="H3416" s="5">
        <v>99.8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101.3</v>
      </c>
      <c r="D3417" s="5">
        <v>0.1</v>
      </c>
      <c r="E3417" s="5">
        <v>101.5</v>
      </c>
      <c r="F3417" s="5">
        <v>201.9</v>
      </c>
      <c r="G3417" s="5">
        <v>100.1</v>
      </c>
      <c r="H3417" s="5">
        <v>99.8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103.8</v>
      </c>
      <c r="D3418" s="5">
        <v>0.1</v>
      </c>
      <c r="E3418" s="5">
        <v>104</v>
      </c>
      <c r="F3418" s="5">
        <v>204.4</v>
      </c>
      <c r="G3418" s="5">
        <v>101.4</v>
      </c>
      <c r="H3418" s="5">
        <v>101.2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103.8</v>
      </c>
      <c r="D3419" s="5">
        <v>0.1</v>
      </c>
      <c r="E3419" s="5">
        <v>104</v>
      </c>
      <c r="F3419" s="5">
        <v>204.4</v>
      </c>
      <c r="G3419" s="5">
        <v>101.4</v>
      </c>
      <c r="H3419" s="5">
        <v>101.2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101.8</v>
      </c>
      <c r="D3420" s="5">
        <v>0.1</v>
      </c>
      <c r="E3420" s="5">
        <v>101.9</v>
      </c>
      <c r="F3420" s="5">
        <v>204.5</v>
      </c>
      <c r="G3420" s="5">
        <v>101.6</v>
      </c>
      <c r="H3420" s="5">
        <v>101.3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101.8</v>
      </c>
      <c r="D3421" s="5">
        <v>0.1</v>
      </c>
      <c r="E3421" s="5">
        <v>101.9</v>
      </c>
      <c r="F3421" s="5">
        <v>204.5</v>
      </c>
      <c r="G3421" s="5">
        <v>101.6</v>
      </c>
      <c r="H3421" s="5">
        <v>101.3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107.6</v>
      </c>
      <c r="D3422" s="5">
        <v>0.1</v>
      </c>
      <c r="E3422" s="5">
        <v>107.8</v>
      </c>
      <c r="F3422" s="5">
        <v>213.6</v>
      </c>
      <c r="G3422" s="5">
        <v>106.1</v>
      </c>
      <c r="H3422" s="5">
        <v>105.9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107.6</v>
      </c>
      <c r="D3423" s="5">
        <v>0.1</v>
      </c>
      <c r="E3423" s="5">
        <v>107.8</v>
      </c>
      <c r="F3423" s="5">
        <v>213.6</v>
      </c>
      <c r="G3423" s="5">
        <v>106.1</v>
      </c>
      <c r="H3423" s="5">
        <v>105.9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104</v>
      </c>
      <c r="D3424" s="5">
        <v>0.1</v>
      </c>
      <c r="E3424" s="5">
        <v>104</v>
      </c>
      <c r="F3424" s="5">
        <v>207.9</v>
      </c>
      <c r="G3424" s="5">
        <v>103.4</v>
      </c>
      <c r="H3424" s="5">
        <v>103.3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104</v>
      </c>
      <c r="D3425" s="5">
        <v>0.1</v>
      </c>
      <c r="E3425" s="5">
        <v>104</v>
      </c>
      <c r="F3425" s="5">
        <v>207.9</v>
      </c>
      <c r="G3425" s="5">
        <v>103.4</v>
      </c>
      <c r="H3425" s="5">
        <v>103.3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104</v>
      </c>
      <c r="D3426" s="5">
        <v>0.1</v>
      </c>
      <c r="E3426" s="5">
        <v>104</v>
      </c>
      <c r="F3426" s="5">
        <v>207.9</v>
      </c>
      <c r="G3426" s="5">
        <v>103.4</v>
      </c>
      <c r="H3426" s="5">
        <v>103.3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104</v>
      </c>
      <c r="D3427" s="5">
        <v>0.1</v>
      </c>
      <c r="E3427" s="5">
        <v>104</v>
      </c>
      <c r="F3427" s="5">
        <v>207.9</v>
      </c>
      <c r="G3427" s="5">
        <v>103.4</v>
      </c>
      <c r="H3427" s="5">
        <v>103.3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107.7</v>
      </c>
      <c r="D3428" s="5">
        <v>0.1</v>
      </c>
      <c r="E3428" s="5">
        <v>107.8</v>
      </c>
      <c r="F3428" s="5">
        <v>213.7</v>
      </c>
      <c r="G3428" s="5">
        <v>106.2</v>
      </c>
      <c r="H3428" s="5">
        <v>106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107.7</v>
      </c>
      <c r="D3429" s="5">
        <v>0.1</v>
      </c>
      <c r="E3429" s="5">
        <v>107.8</v>
      </c>
      <c r="F3429" s="5">
        <v>213.7</v>
      </c>
      <c r="G3429" s="5">
        <v>106.2</v>
      </c>
      <c r="H3429" s="5">
        <v>106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106.6</v>
      </c>
      <c r="D3430" s="5">
        <v>0.1</v>
      </c>
      <c r="E3430" s="5">
        <v>106.8</v>
      </c>
      <c r="F3430" s="5">
        <v>212</v>
      </c>
      <c r="G3430" s="5">
        <v>103.9</v>
      </c>
      <c r="H3430" s="5">
        <v>102.5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106.6</v>
      </c>
      <c r="D3431" s="5">
        <v>0.1</v>
      </c>
      <c r="E3431" s="5">
        <v>106.8</v>
      </c>
      <c r="F3431" s="5">
        <v>212</v>
      </c>
      <c r="G3431" s="5">
        <v>103.9</v>
      </c>
      <c r="H3431" s="5">
        <v>102.5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105.1</v>
      </c>
      <c r="D3432" s="5">
        <v>0.1</v>
      </c>
      <c r="E3432" s="5">
        <v>105.3</v>
      </c>
      <c r="F3432" s="5">
        <v>206.7</v>
      </c>
      <c r="G3432" s="5">
        <v>102.8</v>
      </c>
      <c r="H3432" s="5">
        <v>103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105.1</v>
      </c>
      <c r="D3433" s="5">
        <v>0.1</v>
      </c>
      <c r="E3433" s="5">
        <v>105.3</v>
      </c>
      <c r="F3433" s="5">
        <v>206.7</v>
      </c>
      <c r="G3433" s="5">
        <v>102.8</v>
      </c>
      <c r="H3433" s="5">
        <v>103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107.8</v>
      </c>
      <c r="D3434" s="5">
        <v>0.1</v>
      </c>
      <c r="E3434" s="5">
        <v>108</v>
      </c>
      <c r="F3434" s="5">
        <v>214.5</v>
      </c>
      <c r="G3434" s="5">
        <v>106.5</v>
      </c>
      <c r="H3434" s="5">
        <v>106.3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107.8</v>
      </c>
      <c r="D3435" s="5">
        <v>0.1</v>
      </c>
      <c r="E3435" s="5">
        <v>108</v>
      </c>
      <c r="F3435" s="5">
        <v>214.5</v>
      </c>
      <c r="G3435" s="5">
        <v>106.5</v>
      </c>
      <c r="H3435" s="5">
        <v>106.3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107.8</v>
      </c>
      <c r="D3436" s="5">
        <v>0.1</v>
      </c>
      <c r="E3436" s="5">
        <v>108</v>
      </c>
      <c r="F3436" s="5">
        <v>214.5</v>
      </c>
      <c r="G3436" s="5">
        <v>106.5</v>
      </c>
      <c r="H3436" s="5">
        <v>106.3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107.8</v>
      </c>
      <c r="D3437" s="5">
        <v>0.1</v>
      </c>
      <c r="E3437" s="5">
        <v>108</v>
      </c>
      <c r="F3437" s="5">
        <v>214.5</v>
      </c>
      <c r="G3437" s="5">
        <v>106.5</v>
      </c>
      <c r="H3437" s="5">
        <v>106.3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108.1</v>
      </c>
      <c r="D3438" s="5">
        <v>0.1</v>
      </c>
      <c r="E3438" s="5">
        <v>108.3</v>
      </c>
      <c r="F3438" s="5">
        <v>214.5</v>
      </c>
      <c r="G3438" s="5">
        <v>106.6</v>
      </c>
      <c r="H3438" s="5">
        <v>106.4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108.1</v>
      </c>
      <c r="D3439" s="5">
        <v>0.1</v>
      </c>
      <c r="E3439" s="5">
        <v>108.3</v>
      </c>
      <c r="F3439" s="5">
        <v>214.5</v>
      </c>
      <c r="G3439" s="5">
        <v>106.6</v>
      </c>
      <c r="H3439" s="5">
        <v>106.4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106.9</v>
      </c>
      <c r="D3440" s="5">
        <v>0.1</v>
      </c>
      <c r="E3440" s="5">
        <v>107</v>
      </c>
      <c r="F3440" s="5">
        <v>213</v>
      </c>
      <c r="G3440" s="5">
        <v>105.9</v>
      </c>
      <c r="H3440" s="5">
        <v>105.7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106.9</v>
      </c>
      <c r="D3441" s="5">
        <v>0.1</v>
      </c>
      <c r="E3441" s="5">
        <v>107</v>
      </c>
      <c r="F3441" s="5">
        <v>213</v>
      </c>
      <c r="G3441" s="5">
        <v>105.9</v>
      </c>
      <c r="H3441" s="5">
        <v>105.7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107.4</v>
      </c>
      <c r="D3442" s="5">
        <v>0.1</v>
      </c>
      <c r="E3442" s="5">
        <v>107.5</v>
      </c>
      <c r="F3442" s="5">
        <v>213.2</v>
      </c>
      <c r="G3442" s="5">
        <v>105.9</v>
      </c>
      <c r="H3442" s="5">
        <v>105.8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107.4</v>
      </c>
      <c r="D3443" s="5">
        <v>0.1</v>
      </c>
      <c r="E3443" s="5">
        <v>107.5</v>
      </c>
      <c r="F3443" s="5">
        <v>213.2</v>
      </c>
      <c r="G3443" s="5">
        <v>105.9</v>
      </c>
      <c r="H3443" s="5">
        <v>105.8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107.6</v>
      </c>
      <c r="D3444" s="5">
        <v>0.1</v>
      </c>
      <c r="E3444" s="5">
        <v>107.8</v>
      </c>
      <c r="F3444" s="5">
        <v>213.9</v>
      </c>
      <c r="G3444" s="5">
        <v>106.2</v>
      </c>
      <c r="H3444" s="5">
        <v>106.1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107.6</v>
      </c>
      <c r="D3445" s="5">
        <v>0.1</v>
      </c>
      <c r="E3445" s="5">
        <v>107.8</v>
      </c>
      <c r="F3445" s="5">
        <v>213.9</v>
      </c>
      <c r="G3445" s="5">
        <v>106.2</v>
      </c>
      <c r="H3445" s="5">
        <v>106.1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107.6</v>
      </c>
      <c r="D3446" s="5">
        <v>0.1</v>
      </c>
      <c r="E3446" s="5">
        <v>107.8</v>
      </c>
      <c r="F3446" s="5">
        <v>213.9</v>
      </c>
      <c r="G3446" s="5">
        <v>106.2</v>
      </c>
      <c r="H3446" s="5">
        <v>106.1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107.6</v>
      </c>
      <c r="D3447" s="5">
        <v>0.1</v>
      </c>
      <c r="E3447" s="5">
        <v>107.8</v>
      </c>
      <c r="F3447" s="5">
        <v>213.9</v>
      </c>
      <c r="G3447" s="5">
        <v>106.2</v>
      </c>
      <c r="H3447" s="5">
        <v>106.1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107.2</v>
      </c>
      <c r="D3448" s="5">
        <v>0.1</v>
      </c>
      <c r="E3448" s="5">
        <v>107.4</v>
      </c>
      <c r="F3448" s="5">
        <v>213.5</v>
      </c>
      <c r="G3448" s="5">
        <v>106.1</v>
      </c>
      <c r="H3448" s="5">
        <v>105.9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107.2</v>
      </c>
      <c r="D3449" s="5">
        <v>0.1</v>
      </c>
      <c r="E3449" s="5">
        <v>107.4</v>
      </c>
      <c r="F3449" s="5">
        <v>213.5</v>
      </c>
      <c r="G3449" s="5">
        <v>106.1</v>
      </c>
      <c r="H3449" s="5">
        <v>105.9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107.4</v>
      </c>
      <c r="D3450" s="5">
        <v>0.1</v>
      </c>
      <c r="E3450" s="5">
        <v>107.5</v>
      </c>
      <c r="F3450" s="5">
        <v>213.5</v>
      </c>
      <c r="G3450" s="5">
        <v>106</v>
      </c>
      <c r="H3450" s="5">
        <v>105.8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107.4</v>
      </c>
      <c r="D3451" s="5">
        <v>0.1</v>
      </c>
      <c r="E3451" s="5">
        <v>107.5</v>
      </c>
      <c r="F3451" s="5">
        <v>213.5</v>
      </c>
      <c r="G3451" s="5">
        <v>106</v>
      </c>
      <c r="H3451" s="5">
        <v>105.8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102.1</v>
      </c>
      <c r="D3452" s="5">
        <v>0.1</v>
      </c>
      <c r="E3452" s="5">
        <v>102.2</v>
      </c>
      <c r="F3452" s="5">
        <v>206.2</v>
      </c>
      <c r="G3452" s="5">
        <v>102.1</v>
      </c>
      <c r="H3452" s="5">
        <v>101.7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102.1</v>
      </c>
      <c r="D3453" s="5">
        <v>0.1</v>
      </c>
      <c r="E3453" s="5">
        <v>102.2</v>
      </c>
      <c r="F3453" s="5">
        <v>206.2</v>
      </c>
      <c r="G3453" s="5">
        <v>102.1</v>
      </c>
      <c r="H3453" s="5">
        <v>101.7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102</v>
      </c>
      <c r="D3454" s="5">
        <v>0.1</v>
      </c>
      <c r="E3454" s="5">
        <v>102.1</v>
      </c>
      <c r="F3454" s="5">
        <v>202.7</v>
      </c>
      <c r="G3454" s="5">
        <v>100.7</v>
      </c>
      <c r="H3454" s="5">
        <v>100.5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102</v>
      </c>
      <c r="D3455" s="5">
        <v>0.1</v>
      </c>
      <c r="E3455" s="5">
        <v>102.1</v>
      </c>
      <c r="F3455" s="5">
        <v>202.7</v>
      </c>
      <c r="G3455" s="5">
        <v>100.7</v>
      </c>
      <c r="H3455" s="5">
        <v>100.5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102</v>
      </c>
      <c r="D3456" s="5">
        <v>0.1</v>
      </c>
      <c r="E3456" s="5">
        <v>102.1</v>
      </c>
      <c r="F3456" s="5">
        <v>202.7</v>
      </c>
      <c r="G3456" s="5">
        <v>100.7</v>
      </c>
      <c r="H3456" s="5">
        <v>100.5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106.8</v>
      </c>
      <c r="D3457" s="5">
        <v>0.1</v>
      </c>
      <c r="E3457" s="5">
        <v>106.9</v>
      </c>
      <c r="F3457" s="5">
        <v>202.7</v>
      </c>
      <c r="G3457" s="5">
        <v>100.7</v>
      </c>
      <c r="H3457" s="5">
        <v>100.5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106.8</v>
      </c>
      <c r="D3458" s="5">
        <v>0.1</v>
      </c>
      <c r="E3458" s="5">
        <v>106.9</v>
      </c>
      <c r="F3458" s="5">
        <v>211.2</v>
      </c>
      <c r="G3458" s="5">
        <v>105</v>
      </c>
      <c r="H3458" s="5">
        <v>104.9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102.4</v>
      </c>
      <c r="D3459" s="5">
        <v>0.1</v>
      </c>
      <c r="E3459" s="5">
        <v>106.9</v>
      </c>
      <c r="F3459" s="5">
        <v>211.2</v>
      </c>
      <c r="G3459" s="5">
        <v>105</v>
      </c>
      <c r="H3459" s="5">
        <v>104.9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102.4</v>
      </c>
      <c r="D3460" s="5">
        <v>0.1</v>
      </c>
      <c r="E3460" s="5">
        <v>102.5</v>
      </c>
      <c r="F3460" s="5">
        <v>207.1</v>
      </c>
      <c r="G3460" s="5">
        <v>102.9</v>
      </c>
      <c r="H3460" s="5">
        <v>102.8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102.4</v>
      </c>
      <c r="D3461" s="5">
        <v>0.1</v>
      </c>
      <c r="E3461" s="5">
        <v>102.5</v>
      </c>
      <c r="F3461" s="5">
        <v>207.1</v>
      </c>
      <c r="G3461" s="5">
        <v>102.9</v>
      </c>
      <c r="H3461" s="5">
        <v>102.8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102.4</v>
      </c>
      <c r="D3462" s="5">
        <v>0.1</v>
      </c>
      <c r="E3462" s="5">
        <v>102.5</v>
      </c>
      <c r="F3462" s="5">
        <v>205.7</v>
      </c>
      <c r="G3462" s="5">
        <v>102.3</v>
      </c>
      <c r="H3462" s="5">
        <v>102.2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102.4</v>
      </c>
      <c r="D3463" s="5">
        <v>0.1</v>
      </c>
      <c r="E3463" s="5">
        <v>102.5</v>
      </c>
      <c r="F3463" s="5">
        <v>205.7</v>
      </c>
      <c r="G3463" s="5">
        <v>102.3</v>
      </c>
      <c r="H3463" s="5">
        <v>102.2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102.1</v>
      </c>
      <c r="D3464" s="5">
        <v>0.1</v>
      </c>
      <c r="E3464" s="5">
        <v>102.1</v>
      </c>
      <c r="F3464" s="5">
        <v>202.3</v>
      </c>
      <c r="G3464" s="5">
        <v>100.2</v>
      </c>
      <c r="H3464" s="5">
        <v>99.6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102.1</v>
      </c>
      <c r="D3465" s="5">
        <v>0.1</v>
      </c>
      <c r="E3465" s="5">
        <v>102.1</v>
      </c>
      <c r="F3465" s="5">
        <v>202.3</v>
      </c>
      <c r="G3465" s="5">
        <v>100.2</v>
      </c>
      <c r="H3465" s="5">
        <v>99.6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102.1</v>
      </c>
      <c r="D3466" s="5">
        <v>0.1</v>
      </c>
      <c r="E3466" s="5">
        <v>102.1</v>
      </c>
      <c r="F3466" s="5">
        <v>202.3</v>
      </c>
      <c r="G3466" s="5">
        <v>100.2</v>
      </c>
      <c r="H3466" s="5">
        <v>99.6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102.1</v>
      </c>
      <c r="D3467" s="5">
        <v>0.1</v>
      </c>
      <c r="E3467" s="5">
        <v>102.1</v>
      </c>
      <c r="F3467" s="5">
        <v>202.3</v>
      </c>
      <c r="G3467" s="5">
        <v>100.2</v>
      </c>
      <c r="H3467" s="5">
        <v>99.6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107.1</v>
      </c>
      <c r="D3468" s="5">
        <v>0.1</v>
      </c>
      <c r="E3468" s="5">
        <v>107.2</v>
      </c>
      <c r="F3468" s="5">
        <v>212.7</v>
      </c>
      <c r="G3468" s="5">
        <v>105.2</v>
      </c>
      <c r="H3468" s="5">
        <v>104.3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107.1</v>
      </c>
      <c r="D3469" s="5">
        <v>0.1</v>
      </c>
      <c r="E3469" s="5">
        <v>107.2</v>
      </c>
      <c r="F3469" s="5">
        <v>212.7</v>
      </c>
      <c r="G3469" s="5">
        <v>105.2</v>
      </c>
      <c r="H3469" s="5">
        <v>104.3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107.2</v>
      </c>
      <c r="D3470" s="5">
        <v>0.1</v>
      </c>
      <c r="E3470" s="5">
        <v>107.4</v>
      </c>
      <c r="F3470" s="5">
        <v>212.5</v>
      </c>
      <c r="G3470" s="5">
        <v>105.6</v>
      </c>
      <c r="H3470" s="5">
        <v>103.3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107.2</v>
      </c>
      <c r="D3471" s="5">
        <v>0.1</v>
      </c>
      <c r="E3471" s="5">
        <v>107.4</v>
      </c>
      <c r="F3471" s="5">
        <v>212.5</v>
      </c>
      <c r="G3471" s="5">
        <v>105.6</v>
      </c>
      <c r="H3471" s="5">
        <v>103.3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107.4</v>
      </c>
      <c r="D3472" s="5">
        <v>0.1</v>
      </c>
      <c r="E3472" s="5">
        <v>107.5</v>
      </c>
      <c r="F3472" s="5">
        <v>212.1</v>
      </c>
      <c r="G3472" s="5">
        <v>105.5</v>
      </c>
      <c r="H3472" s="5">
        <v>105.5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107.4</v>
      </c>
      <c r="D3473" s="5">
        <v>0.1</v>
      </c>
      <c r="E3473" s="5">
        <v>107.5</v>
      </c>
      <c r="F3473" s="5">
        <v>212.1</v>
      </c>
      <c r="G3473" s="5">
        <v>105.5</v>
      </c>
      <c r="H3473" s="5">
        <v>105.5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101.5</v>
      </c>
      <c r="D3474" s="5">
        <v>0.1</v>
      </c>
      <c r="E3474" s="5">
        <v>101.6</v>
      </c>
      <c r="F3474" s="5">
        <v>203.4</v>
      </c>
      <c r="G3474" s="5">
        <v>101</v>
      </c>
      <c r="H3474" s="5">
        <v>100.7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101.5</v>
      </c>
      <c r="D3475" s="5">
        <v>0.1</v>
      </c>
      <c r="E3475" s="5">
        <v>101.6</v>
      </c>
      <c r="F3475" s="5">
        <v>203.4</v>
      </c>
      <c r="G3475" s="5">
        <v>101</v>
      </c>
      <c r="H3475" s="5">
        <v>100.7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101.5</v>
      </c>
      <c r="D3476" s="5">
        <v>0.1</v>
      </c>
      <c r="E3476" s="5">
        <v>101.6</v>
      </c>
      <c r="F3476" s="5">
        <v>203.4</v>
      </c>
      <c r="G3476" s="5">
        <v>101</v>
      </c>
      <c r="H3476" s="5">
        <v>100.7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101.5</v>
      </c>
      <c r="D3477" s="5">
        <v>0.1</v>
      </c>
      <c r="E3477" s="5">
        <v>101.6</v>
      </c>
      <c r="F3477" s="5">
        <v>203.4</v>
      </c>
      <c r="G3477" s="5">
        <v>101</v>
      </c>
      <c r="H3477" s="5">
        <v>97.9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97.8</v>
      </c>
      <c r="D3478" s="5">
        <v>0.1</v>
      </c>
      <c r="E3478" s="5">
        <v>98</v>
      </c>
      <c r="F3478" s="5">
        <v>197.9</v>
      </c>
      <c r="G3478" s="5">
        <v>98.2</v>
      </c>
      <c r="H3478" s="5">
        <v>97.9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97.8</v>
      </c>
      <c r="D3479" s="5">
        <v>0.1</v>
      </c>
      <c r="E3479" s="5">
        <v>98</v>
      </c>
      <c r="F3479" s="5">
        <v>197.9</v>
      </c>
      <c r="G3479" s="5">
        <v>98.2</v>
      </c>
      <c r="H3479" s="5">
        <v>101.1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102.9</v>
      </c>
      <c r="D3480" s="5">
        <v>0.1</v>
      </c>
      <c r="E3480" s="5">
        <v>103.1</v>
      </c>
      <c r="F3480" s="5">
        <v>203.5</v>
      </c>
      <c r="G3480" s="5">
        <v>101.2</v>
      </c>
      <c r="H3480" s="5">
        <v>101.1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102.9</v>
      </c>
      <c r="D3481" s="5">
        <v>0.1</v>
      </c>
      <c r="E3481" s="5">
        <v>103.1</v>
      </c>
      <c r="F3481" s="5">
        <v>203.5</v>
      </c>
      <c r="G3481" s="5">
        <v>101.2</v>
      </c>
      <c r="H3481" s="5">
        <v>101.1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99.9</v>
      </c>
      <c r="D3482" s="5">
        <v>0.1</v>
      </c>
      <c r="E3482" s="5">
        <v>99.9</v>
      </c>
      <c r="F3482" s="5">
        <v>192</v>
      </c>
      <c r="G3482" s="5">
        <v>95.4</v>
      </c>
      <c r="H3482" s="5">
        <v>95.3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99.9</v>
      </c>
      <c r="D3483" s="5">
        <v>0.1</v>
      </c>
      <c r="E3483" s="5">
        <v>99.9</v>
      </c>
      <c r="F3483" s="5">
        <v>192</v>
      </c>
      <c r="G3483" s="5">
        <v>95.4</v>
      </c>
      <c r="H3483" s="5">
        <v>95.3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94.7</v>
      </c>
      <c r="D3484" s="5">
        <v>0.1</v>
      </c>
      <c r="E3484" s="5">
        <v>94.8</v>
      </c>
      <c r="F3484" s="5">
        <v>188.4</v>
      </c>
      <c r="G3484" s="5">
        <v>94</v>
      </c>
      <c r="H3484" s="5">
        <v>93.8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94.7</v>
      </c>
      <c r="D3485" s="5">
        <v>0.1</v>
      </c>
      <c r="E3485" s="5">
        <v>94.8</v>
      </c>
      <c r="F3485" s="5">
        <v>188.4</v>
      </c>
      <c r="G3485" s="5">
        <v>94</v>
      </c>
      <c r="H3485" s="5">
        <v>93.8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94.7</v>
      </c>
      <c r="D3486" s="5">
        <v>0.1</v>
      </c>
      <c r="E3486" s="5">
        <v>94.8</v>
      </c>
      <c r="F3486" s="5">
        <v>188.4</v>
      </c>
      <c r="G3486" s="5">
        <v>94</v>
      </c>
      <c r="H3486" s="5">
        <v>93.8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101.8</v>
      </c>
      <c r="D3487" s="5">
        <v>0.1</v>
      </c>
      <c r="E3487" s="5">
        <v>101.9</v>
      </c>
      <c r="F3487" s="5">
        <v>202.3</v>
      </c>
      <c r="G3487" s="5">
        <v>100.1</v>
      </c>
      <c r="H3487" s="5">
        <v>99.7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101.8</v>
      </c>
      <c r="D3488" s="5">
        <v>0.1</v>
      </c>
      <c r="E3488" s="5">
        <v>101.9</v>
      </c>
      <c r="F3488" s="5">
        <v>202.3</v>
      </c>
      <c r="G3488" s="5">
        <v>100.1</v>
      </c>
      <c r="H3488" s="5">
        <v>99.7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94.2</v>
      </c>
      <c r="D3489" s="5">
        <v>0.1</v>
      </c>
      <c r="E3489" s="5">
        <v>94.4</v>
      </c>
      <c r="F3489" s="5">
        <v>189.8</v>
      </c>
      <c r="G3489" s="5">
        <v>94.6</v>
      </c>
      <c r="H3489" s="5">
        <v>94.5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94.2</v>
      </c>
      <c r="D3490" s="5">
        <v>0.1</v>
      </c>
      <c r="E3490" s="5">
        <v>94.4</v>
      </c>
      <c r="F3490" s="5">
        <v>189.8</v>
      </c>
      <c r="G3490" s="5">
        <v>94.6</v>
      </c>
      <c r="H3490" s="5">
        <v>94.5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94.9</v>
      </c>
      <c r="D3491" s="5">
        <v>0.1</v>
      </c>
      <c r="E3491" s="5">
        <v>95.1</v>
      </c>
      <c r="F3491" s="5">
        <v>189.1</v>
      </c>
      <c r="G3491" s="5">
        <v>94</v>
      </c>
      <c r="H3491" s="5">
        <v>93.8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94.9</v>
      </c>
      <c r="D3492" s="5">
        <v>0.1</v>
      </c>
      <c r="E3492" s="5">
        <v>95.1</v>
      </c>
      <c r="F3492" s="5">
        <v>189.1</v>
      </c>
      <c r="G3492" s="5">
        <v>94</v>
      </c>
      <c r="H3492" s="5">
        <v>93.8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101.9</v>
      </c>
      <c r="D3493" s="5">
        <v>0.1</v>
      </c>
      <c r="E3493" s="5">
        <v>102.1</v>
      </c>
      <c r="F3493" s="5">
        <v>203</v>
      </c>
      <c r="G3493" s="5">
        <v>100.8</v>
      </c>
      <c r="H3493" s="5">
        <v>100.5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101.9</v>
      </c>
      <c r="D3494" s="5">
        <v>0.1</v>
      </c>
      <c r="E3494" s="5">
        <v>102.1</v>
      </c>
      <c r="F3494" s="5">
        <v>203</v>
      </c>
      <c r="G3494" s="5">
        <v>100.8</v>
      </c>
      <c r="H3494" s="5">
        <v>100.5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101.9</v>
      </c>
      <c r="D3495" s="5">
        <v>0.1</v>
      </c>
      <c r="E3495" s="5">
        <v>102.1</v>
      </c>
      <c r="F3495" s="5">
        <v>203</v>
      </c>
      <c r="G3495" s="5">
        <v>100.8</v>
      </c>
      <c r="H3495" s="5">
        <v>100.5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101.9</v>
      </c>
      <c r="D3496" s="5">
        <v>0.1</v>
      </c>
      <c r="E3496" s="5">
        <v>102.1</v>
      </c>
      <c r="F3496" s="5">
        <v>203</v>
      </c>
      <c r="G3496" s="5">
        <v>100.8</v>
      </c>
      <c r="H3496" s="5">
        <v>100.5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101.5</v>
      </c>
      <c r="D3497" s="5">
        <v>0.1</v>
      </c>
      <c r="E3497" s="5">
        <v>102.1</v>
      </c>
      <c r="F3497" s="5">
        <v>203</v>
      </c>
      <c r="G3497" s="5">
        <v>100.8</v>
      </c>
      <c r="H3497" s="5">
        <v>100.5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101.5</v>
      </c>
      <c r="D3498" s="5">
        <v>0.1</v>
      </c>
      <c r="E3498" s="5">
        <v>101.7</v>
      </c>
      <c r="F3498" s="5">
        <v>201.6</v>
      </c>
      <c r="G3498" s="5">
        <v>100.2</v>
      </c>
      <c r="H3498" s="5">
        <v>100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101.5</v>
      </c>
      <c r="D3499" s="5">
        <v>0.1</v>
      </c>
      <c r="E3499" s="5">
        <v>101.7</v>
      </c>
      <c r="F3499" s="5">
        <v>201.6</v>
      </c>
      <c r="G3499" s="5">
        <v>100.2</v>
      </c>
      <c r="H3499" s="5">
        <v>100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101.5</v>
      </c>
      <c r="D3500" s="5">
        <v>0.1</v>
      </c>
      <c r="E3500" s="5">
        <v>101.5</v>
      </c>
      <c r="F3500" s="5">
        <v>200.8</v>
      </c>
      <c r="G3500" s="5">
        <v>99.8</v>
      </c>
      <c r="H3500" s="5">
        <v>99.7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101.5</v>
      </c>
      <c r="D3501" s="5">
        <v>0.1</v>
      </c>
      <c r="E3501" s="5">
        <v>101.5</v>
      </c>
      <c r="F3501" s="5">
        <v>200.8</v>
      </c>
      <c r="G3501" s="5">
        <v>99.8</v>
      </c>
      <c r="H3501" s="5">
        <v>99.7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101.5</v>
      </c>
      <c r="D3502" s="5">
        <v>0.1</v>
      </c>
      <c r="E3502" s="5">
        <v>101.5</v>
      </c>
      <c r="F3502" s="5">
        <v>200.8</v>
      </c>
      <c r="G3502" s="5">
        <v>99.8</v>
      </c>
      <c r="H3502" s="5">
        <v>99.7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101.5</v>
      </c>
      <c r="D3503" s="5">
        <v>0.1</v>
      </c>
      <c r="E3503" s="5">
        <v>101.5</v>
      </c>
      <c r="F3503" s="5">
        <v>200.8</v>
      </c>
      <c r="G3503" s="5">
        <v>99.8</v>
      </c>
      <c r="H3503" s="5">
        <v>99.7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101.5</v>
      </c>
      <c r="D3504" s="5">
        <v>0.1</v>
      </c>
      <c r="E3504" s="5">
        <v>101.6</v>
      </c>
      <c r="F3504" s="5">
        <v>202.7</v>
      </c>
      <c r="G3504" s="5">
        <v>100.7</v>
      </c>
      <c r="H3504" s="5">
        <v>100.6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101.5</v>
      </c>
      <c r="D3505" s="5">
        <v>0.1</v>
      </c>
      <c r="E3505" s="5">
        <v>101.6</v>
      </c>
      <c r="F3505" s="5">
        <v>202.7</v>
      </c>
      <c r="G3505" s="5">
        <v>100.7</v>
      </c>
      <c r="H3505" s="5">
        <v>100.6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101.5</v>
      </c>
      <c r="D3506" s="5">
        <v>0.1</v>
      </c>
      <c r="E3506" s="5">
        <v>101.6</v>
      </c>
      <c r="F3506" s="5">
        <v>202.7</v>
      </c>
      <c r="G3506" s="5">
        <v>100.7</v>
      </c>
      <c r="H3506" s="5">
        <v>100.6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102.1</v>
      </c>
      <c r="D3507" s="5">
        <v>0.1</v>
      </c>
      <c r="E3507" s="5">
        <v>102.3</v>
      </c>
      <c r="F3507" s="5">
        <v>202.9</v>
      </c>
      <c r="G3507" s="5">
        <v>100.8</v>
      </c>
      <c r="H3507" s="5">
        <v>100.7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102.1</v>
      </c>
      <c r="D3508" s="5">
        <v>0.1</v>
      </c>
      <c r="E3508" s="5">
        <v>102.3</v>
      </c>
      <c r="F3508" s="5">
        <v>202.9</v>
      </c>
      <c r="G3508" s="5">
        <v>100.8</v>
      </c>
      <c r="H3508" s="5">
        <v>100.7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101.9</v>
      </c>
      <c r="D3509" s="5">
        <v>0.1</v>
      </c>
      <c r="E3509" s="5">
        <v>102.1</v>
      </c>
      <c r="F3509" s="5">
        <v>202.8</v>
      </c>
      <c r="G3509" s="5">
        <v>100.7</v>
      </c>
      <c r="H3509" s="5">
        <v>100.6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101.9</v>
      </c>
      <c r="D3510" s="5">
        <v>0.1</v>
      </c>
      <c r="E3510" s="5">
        <v>102.1</v>
      </c>
      <c r="F3510" s="5">
        <v>202.8</v>
      </c>
      <c r="G3510" s="5">
        <v>100.7</v>
      </c>
      <c r="H3510" s="5">
        <v>100.6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101.9</v>
      </c>
      <c r="D3511" s="5">
        <v>0.1</v>
      </c>
      <c r="E3511" s="5">
        <v>102.1</v>
      </c>
      <c r="F3511" s="5">
        <v>202.8</v>
      </c>
      <c r="G3511" s="5">
        <v>100.7</v>
      </c>
      <c r="H3511" s="5">
        <v>100.5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102</v>
      </c>
      <c r="D3512" s="5">
        <v>0.1</v>
      </c>
      <c r="E3512" s="5">
        <v>102.1</v>
      </c>
      <c r="F3512" s="5">
        <v>202.8</v>
      </c>
      <c r="G3512" s="5">
        <v>100.7</v>
      </c>
      <c r="H3512" s="5">
        <v>100.5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102</v>
      </c>
      <c r="D3513" s="5">
        <v>0.1</v>
      </c>
      <c r="E3513" s="5">
        <v>101.5</v>
      </c>
      <c r="F3513" s="5">
        <v>202</v>
      </c>
      <c r="G3513" s="5">
        <v>100.4</v>
      </c>
      <c r="H3513" s="5">
        <v>100.2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101.4</v>
      </c>
      <c r="D3514" s="5">
        <v>0.1</v>
      </c>
      <c r="E3514" s="5">
        <v>101.5</v>
      </c>
      <c r="F3514" s="5">
        <v>202</v>
      </c>
      <c r="G3514" s="5">
        <v>100.4</v>
      </c>
      <c r="H3514" s="5">
        <v>100.2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101.4</v>
      </c>
      <c r="D3515" s="5">
        <v>0.1</v>
      </c>
      <c r="E3515" s="5">
        <v>101.5</v>
      </c>
      <c r="F3515" s="5">
        <v>202</v>
      </c>
      <c r="G3515" s="5">
        <v>100.4</v>
      </c>
      <c r="H3515" s="5">
        <v>100.2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101.4</v>
      </c>
      <c r="D3516" s="5">
        <v>0.1</v>
      </c>
      <c r="E3516" s="5">
        <v>101.5</v>
      </c>
      <c r="F3516" s="5">
        <v>202</v>
      </c>
      <c r="G3516" s="5">
        <v>100.4</v>
      </c>
      <c r="H3516" s="5">
        <v>100.2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95.3</v>
      </c>
      <c r="D3517" s="5">
        <v>0.1</v>
      </c>
      <c r="E3517" s="5">
        <v>95.4</v>
      </c>
      <c r="F3517" s="5">
        <v>191.7</v>
      </c>
      <c r="G3517" s="5">
        <v>95.1</v>
      </c>
      <c r="H3517" s="5">
        <v>95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95.3</v>
      </c>
      <c r="D3518" s="5">
        <v>0.1</v>
      </c>
      <c r="E3518" s="5">
        <v>95.4</v>
      </c>
      <c r="F3518" s="5">
        <v>191.7</v>
      </c>
      <c r="G3518" s="5">
        <v>95.1</v>
      </c>
      <c r="H3518" s="5">
        <v>95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96.1</v>
      </c>
      <c r="D3519" s="5">
        <v>0.1</v>
      </c>
      <c r="E3519" s="5">
        <v>96.3</v>
      </c>
      <c r="F3519" s="5">
        <v>199.4</v>
      </c>
      <c r="G3519" s="5">
        <v>99.7</v>
      </c>
      <c r="H3519" s="5">
        <v>99.3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96.1</v>
      </c>
      <c r="D3520" s="5">
        <v>0.1</v>
      </c>
      <c r="E3520" s="5">
        <v>96.3</v>
      </c>
      <c r="F3520" s="5">
        <v>199.4</v>
      </c>
      <c r="G3520" s="5">
        <v>99.7</v>
      </c>
      <c r="H3520" s="5">
        <v>99.3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102.3</v>
      </c>
      <c r="D3521" s="5">
        <v>0.1</v>
      </c>
      <c r="E3521" s="5">
        <v>102.4</v>
      </c>
      <c r="F3521" s="5">
        <v>203.2</v>
      </c>
      <c r="G3521" s="5">
        <v>101</v>
      </c>
      <c r="H3521" s="5">
        <v>100.8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102.3</v>
      </c>
      <c r="D3522" s="5">
        <v>0.1</v>
      </c>
      <c r="E3522" s="5">
        <v>102.4</v>
      </c>
      <c r="F3522" s="5">
        <v>203.2</v>
      </c>
      <c r="G3522" s="5">
        <v>101</v>
      </c>
      <c r="H3522" s="5">
        <v>100.8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95.1</v>
      </c>
      <c r="D3523" s="5">
        <v>0.1</v>
      </c>
      <c r="E3523" s="5">
        <v>95.2</v>
      </c>
      <c r="F3523" s="5">
        <v>189.1</v>
      </c>
      <c r="G3523" s="5">
        <v>94</v>
      </c>
      <c r="H3523" s="5">
        <v>93.9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95.1</v>
      </c>
      <c r="D3524" s="5">
        <v>0.1</v>
      </c>
      <c r="E3524" s="5">
        <v>95.2</v>
      </c>
      <c r="F3524" s="5">
        <v>189.1</v>
      </c>
      <c r="G3524" s="5">
        <v>94</v>
      </c>
      <c r="H3524" s="5">
        <v>93.9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95.1</v>
      </c>
      <c r="D3525" s="5">
        <v>0.1</v>
      </c>
      <c r="E3525" s="5">
        <v>95.2</v>
      </c>
      <c r="F3525" s="5">
        <v>189.1</v>
      </c>
      <c r="G3525" s="5">
        <v>94</v>
      </c>
      <c r="H3525" s="5">
        <v>93.9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95.1</v>
      </c>
      <c r="D3526" s="5">
        <v>0.1</v>
      </c>
      <c r="E3526" s="5">
        <v>95.2</v>
      </c>
      <c r="F3526" s="5">
        <v>189.1</v>
      </c>
      <c r="G3526" s="5">
        <v>94</v>
      </c>
      <c r="H3526" s="5">
        <v>93.9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100.8</v>
      </c>
      <c r="D3527" s="5">
        <v>0.1</v>
      </c>
      <c r="E3527" s="5">
        <v>100.8</v>
      </c>
      <c r="F3527" s="5">
        <v>194.8</v>
      </c>
      <c r="G3527" s="5">
        <v>96.6</v>
      </c>
      <c r="H3527" s="5">
        <v>96.3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100.8</v>
      </c>
      <c r="D3528" s="5">
        <v>0.1</v>
      </c>
      <c r="E3528" s="5">
        <v>100.8</v>
      </c>
      <c r="F3528" s="5">
        <v>194.8</v>
      </c>
      <c r="G3528" s="5">
        <v>96.6</v>
      </c>
      <c r="H3528" s="5">
        <v>96.3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101.1</v>
      </c>
      <c r="D3529" s="5">
        <v>0.1</v>
      </c>
      <c r="E3529" s="5">
        <v>101.2</v>
      </c>
      <c r="F3529" s="5">
        <v>195.8</v>
      </c>
      <c r="G3529" s="5">
        <v>96.6</v>
      </c>
      <c r="H3529" s="5">
        <v>96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101.1</v>
      </c>
      <c r="D3530" s="5">
        <v>0.1</v>
      </c>
      <c r="E3530" s="5">
        <v>101.2</v>
      </c>
      <c r="F3530" s="5">
        <v>195.8</v>
      </c>
      <c r="G3530" s="5">
        <v>96.6</v>
      </c>
      <c r="H3530" s="5">
        <v>96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102.9</v>
      </c>
      <c r="D3531" s="5">
        <v>0.1</v>
      </c>
      <c r="E3531" s="5">
        <v>103.1</v>
      </c>
      <c r="F3531" s="5">
        <v>204.1</v>
      </c>
      <c r="G3531" s="5">
        <v>101.4</v>
      </c>
      <c r="H3531" s="5">
        <v>101.2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102.9</v>
      </c>
      <c r="D3532" s="5">
        <v>0.1</v>
      </c>
      <c r="E3532" s="5">
        <v>103.1</v>
      </c>
      <c r="F3532" s="5">
        <v>204.1</v>
      </c>
      <c r="G3532" s="5">
        <v>101.4</v>
      </c>
      <c r="H3532" s="5">
        <v>101.2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99.8</v>
      </c>
      <c r="D3533" s="5">
        <v>0.1</v>
      </c>
      <c r="E3533" s="5">
        <v>99.9</v>
      </c>
      <c r="F3533" s="5">
        <v>196.7</v>
      </c>
      <c r="G3533" s="5">
        <v>98.1</v>
      </c>
      <c r="H3533" s="5">
        <v>98.4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99.8</v>
      </c>
      <c r="D3534" s="5">
        <v>0.1</v>
      </c>
      <c r="E3534" s="5">
        <v>99.9</v>
      </c>
      <c r="F3534" s="5">
        <v>196.7</v>
      </c>
      <c r="G3534" s="5">
        <v>98.1</v>
      </c>
      <c r="H3534" s="5">
        <v>98.4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99.8</v>
      </c>
      <c r="D3535" s="5">
        <v>0.1</v>
      </c>
      <c r="E3535" s="5">
        <v>99.9</v>
      </c>
      <c r="F3535" s="5">
        <v>196.7</v>
      </c>
      <c r="G3535" s="5">
        <v>98.1</v>
      </c>
      <c r="H3535" s="5">
        <v>98.4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99.8</v>
      </c>
      <c r="D3536" s="5">
        <v>0.1</v>
      </c>
      <c r="E3536" s="5">
        <v>99.9</v>
      </c>
      <c r="F3536" s="5">
        <v>196.7</v>
      </c>
      <c r="G3536" s="5">
        <v>98.1</v>
      </c>
      <c r="H3536" s="5">
        <v>98.4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96.2</v>
      </c>
      <c r="D3537" s="5">
        <v>0.1</v>
      </c>
      <c r="E3537" s="5">
        <v>96.4</v>
      </c>
      <c r="F3537" s="5">
        <v>193</v>
      </c>
      <c r="G3537" s="5">
        <v>95.8</v>
      </c>
      <c r="H3537" s="5">
        <v>95.6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96.2</v>
      </c>
      <c r="D3538" s="5">
        <v>0.1</v>
      </c>
      <c r="E3538" s="5">
        <v>96.4</v>
      </c>
      <c r="F3538" s="5">
        <v>193</v>
      </c>
      <c r="G3538" s="5">
        <v>95.8</v>
      </c>
      <c r="H3538" s="5">
        <v>95.6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95.1</v>
      </c>
      <c r="D3539" s="5">
        <v>0.1</v>
      </c>
      <c r="E3539" s="5">
        <v>95.3</v>
      </c>
      <c r="F3539" s="5">
        <v>194.9</v>
      </c>
      <c r="G3539" s="5">
        <v>94.5</v>
      </c>
      <c r="H3539" s="5">
        <v>94.1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95.1</v>
      </c>
      <c r="D3540" s="5">
        <v>0.1</v>
      </c>
      <c r="E3540" s="5">
        <v>95.3</v>
      </c>
      <c r="F3540" s="5">
        <v>194.9</v>
      </c>
      <c r="G3540" s="5">
        <v>94.5</v>
      </c>
      <c r="H3540" s="5">
        <v>94.1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102.4</v>
      </c>
      <c r="D3541" s="5">
        <v>0.1</v>
      </c>
      <c r="E3541" s="5">
        <v>102.5</v>
      </c>
      <c r="F3541" s="5">
        <v>202.5</v>
      </c>
      <c r="G3541" s="5">
        <v>100.3</v>
      </c>
      <c r="H3541" s="5">
        <v>99.9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102.4</v>
      </c>
      <c r="D3542" s="5">
        <v>0.1</v>
      </c>
      <c r="E3542" s="5">
        <v>102.5</v>
      </c>
      <c r="F3542" s="5">
        <v>202.5</v>
      </c>
      <c r="G3542" s="5">
        <v>100.3</v>
      </c>
      <c r="H3542" s="5">
        <v>99.9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93.8</v>
      </c>
      <c r="D3543" s="5">
        <v>0.1</v>
      </c>
      <c r="E3543" s="5">
        <v>93.9</v>
      </c>
      <c r="F3543" s="5">
        <v>186.7</v>
      </c>
      <c r="G3543" s="5">
        <v>92.9</v>
      </c>
      <c r="H3543" s="5">
        <v>93.1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93.8</v>
      </c>
      <c r="D3544" s="5">
        <v>0.1</v>
      </c>
      <c r="E3544" s="5">
        <v>93.9</v>
      </c>
      <c r="F3544" s="5">
        <v>186.7</v>
      </c>
      <c r="G3544" s="5">
        <v>92.9</v>
      </c>
      <c r="H3544" s="5">
        <v>93.1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93.8</v>
      </c>
      <c r="D3545" s="5">
        <v>0.1</v>
      </c>
      <c r="E3545" s="5">
        <v>93.9</v>
      </c>
      <c r="F3545" s="5">
        <v>186.7</v>
      </c>
      <c r="G3545" s="5">
        <v>92.9</v>
      </c>
      <c r="H3545" s="5">
        <v>93.1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93.8</v>
      </c>
      <c r="D3546" s="5">
        <v>0.1</v>
      </c>
      <c r="E3546" s="5">
        <v>93.9</v>
      </c>
      <c r="F3546" s="5">
        <v>186.7</v>
      </c>
      <c r="G3546" s="5">
        <v>92.9</v>
      </c>
      <c r="H3546" s="5">
        <v>93.1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102</v>
      </c>
      <c r="D3547" s="5">
        <v>0.1</v>
      </c>
      <c r="E3547" s="5">
        <v>102.1</v>
      </c>
      <c r="F3547" s="5">
        <v>196.4</v>
      </c>
      <c r="G3547" s="5">
        <v>97.2</v>
      </c>
      <c r="H3547" s="5">
        <v>96.7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102</v>
      </c>
      <c r="D3548" s="5">
        <v>0.1</v>
      </c>
      <c r="E3548" s="5">
        <v>102.1</v>
      </c>
      <c r="F3548" s="5">
        <v>196.4</v>
      </c>
      <c r="G3548" s="5">
        <v>97.2</v>
      </c>
      <c r="H3548" s="5">
        <v>96.7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95.9</v>
      </c>
      <c r="D3549" s="5">
        <v>0.1</v>
      </c>
      <c r="E3549" s="5">
        <v>96</v>
      </c>
      <c r="F3549" s="5">
        <v>192.6</v>
      </c>
      <c r="G3549" s="5">
        <v>96</v>
      </c>
      <c r="H3549" s="5">
        <v>96.2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95.9</v>
      </c>
      <c r="D3550" s="5">
        <v>0.1</v>
      </c>
      <c r="E3550" s="5">
        <v>96</v>
      </c>
      <c r="F3550" s="5">
        <v>192.6</v>
      </c>
      <c r="G3550" s="5">
        <v>96</v>
      </c>
      <c r="H3550" s="5">
        <v>96.2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102.2</v>
      </c>
      <c r="D3551" s="5">
        <v>0.1</v>
      </c>
      <c r="E3551" s="5">
        <v>102.3</v>
      </c>
      <c r="F3551" s="5">
        <v>200.9</v>
      </c>
      <c r="G3551" s="5">
        <v>99.1</v>
      </c>
      <c r="H3551" s="5">
        <v>98.6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102.2</v>
      </c>
      <c r="D3552" s="5">
        <v>0.1</v>
      </c>
      <c r="E3552" s="5">
        <v>102.3</v>
      </c>
      <c r="F3552" s="5">
        <v>200.9</v>
      </c>
      <c r="G3552" s="5">
        <v>99.1</v>
      </c>
      <c r="H3552" s="5">
        <v>98.6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99.5</v>
      </c>
      <c r="D3553" s="5">
        <v>0.1</v>
      </c>
      <c r="E3553" s="5">
        <v>99.6</v>
      </c>
      <c r="F3553" s="5">
        <v>199.9</v>
      </c>
      <c r="G3553" s="5">
        <v>99.2</v>
      </c>
      <c r="H3553" s="5">
        <v>98.8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99.5</v>
      </c>
      <c r="D3554" s="5">
        <v>0.1</v>
      </c>
      <c r="E3554" s="5">
        <v>99.6</v>
      </c>
      <c r="F3554" s="5">
        <v>199.9</v>
      </c>
      <c r="G3554" s="5">
        <v>99.2</v>
      </c>
      <c r="H3554" s="5">
        <v>98.8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99.5</v>
      </c>
      <c r="D3555" s="5">
        <v>0.1</v>
      </c>
      <c r="E3555" s="5">
        <v>99.6</v>
      </c>
      <c r="F3555" s="5">
        <v>199.9</v>
      </c>
      <c r="G3555" s="5">
        <v>99.2</v>
      </c>
      <c r="H3555" s="5">
        <v>98.8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99.5</v>
      </c>
      <c r="D3556" s="5">
        <v>0.1</v>
      </c>
      <c r="E3556" s="5">
        <v>99.6</v>
      </c>
      <c r="F3556" s="5">
        <v>199.9</v>
      </c>
      <c r="G3556" s="5">
        <v>99.2</v>
      </c>
      <c r="H3556" s="5">
        <v>98.8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95</v>
      </c>
      <c r="D3557" s="5">
        <v>0.1</v>
      </c>
      <c r="E3557" s="5">
        <v>95.1</v>
      </c>
      <c r="F3557" s="5">
        <v>189.8</v>
      </c>
      <c r="G3557" s="5">
        <v>94.3</v>
      </c>
      <c r="H3557" s="5">
        <v>94.1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95</v>
      </c>
      <c r="D3558" s="5">
        <v>0.1</v>
      </c>
      <c r="E3558" s="5">
        <v>95.1</v>
      </c>
      <c r="F3558" s="5">
        <v>189.8</v>
      </c>
      <c r="G3558" s="5">
        <v>94.3</v>
      </c>
      <c r="H3558" s="5">
        <v>94.1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95</v>
      </c>
      <c r="D3559" s="5">
        <v>0.1</v>
      </c>
      <c r="E3559" s="5">
        <v>95.1</v>
      </c>
      <c r="F3559" s="5">
        <v>189.8</v>
      </c>
      <c r="G3559" s="5">
        <v>94.3</v>
      </c>
      <c r="H3559" s="5">
        <v>94.1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95</v>
      </c>
      <c r="D3560" s="5">
        <v>0.1</v>
      </c>
      <c r="E3560" s="5">
        <v>95.1</v>
      </c>
      <c r="F3560" s="5">
        <v>189.8</v>
      </c>
      <c r="G3560" s="5">
        <v>94.3</v>
      </c>
      <c r="H3560" s="5">
        <v>94.1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97.1</v>
      </c>
      <c r="D3561" s="5">
        <v>0.1</v>
      </c>
      <c r="E3561" s="5">
        <v>97.2</v>
      </c>
      <c r="F3561" s="5">
        <v>189.5</v>
      </c>
      <c r="G3561" s="5">
        <v>94.2</v>
      </c>
      <c r="H3561" s="5">
        <v>94.1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97.1</v>
      </c>
      <c r="D3562" s="5">
        <v>0.1</v>
      </c>
      <c r="E3562" s="5">
        <v>97.2</v>
      </c>
      <c r="F3562" s="5">
        <v>189.5</v>
      </c>
      <c r="G3562" s="5">
        <v>94.2</v>
      </c>
      <c r="H3562" s="5">
        <v>94.1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97.1</v>
      </c>
      <c r="D3563" s="5">
        <v>0.1</v>
      </c>
      <c r="E3563" s="5">
        <v>97.2</v>
      </c>
      <c r="F3563" s="5">
        <v>189.5</v>
      </c>
      <c r="G3563" s="5">
        <v>94.2</v>
      </c>
      <c r="H3563" s="5">
        <v>94.1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97.1</v>
      </c>
      <c r="D3564" s="5">
        <v>0.1</v>
      </c>
      <c r="E3564" s="5">
        <v>97.2</v>
      </c>
      <c r="F3564" s="5">
        <v>189.5</v>
      </c>
      <c r="G3564" s="5">
        <v>94.2</v>
      </c>
      <c r="H3564" s="5">
        <v>94.1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97.1</v>
      </c>
      <c r="D3565" s="5">
        <v>0.1</v>
      </c>
      <c r="E3565" s="5">
        <v>97.2</v>
      </c>
      <c r="F3565" s="5">
        <v>189.5</v>
      </c>
      <c r="G3565" s="5">
        <v>94.2</v>
      </c>
      <c r="H3565" s="5">
        <v>94.1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97.1</v>
      </c>
      <c r="D3566" s="5">
        <v>0.1</v>
      </c>
      <c r="E3566" s="5">
        <v>97.2</v>
      </c>
      <c r="F3566" s="5">
        <v>189.5</v>
      </c>
      <c r="G3566" s="5">
        <v>94.2</v>
      </c>
      <c r="H3566" s="5">
        <v>94.1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97.1</v>
      </c>
      <c r="D3567" s="5">
        <v>0.1</v>
      </c>
      <c r="E3567" s="5">
        <v>97.2</v>
      </c>
      <c r="F3567" s="5">
        <v>189.5</v>
      </c>
      <c r="G3567" s="5">
        <v>94.2</v>
      </c>
      <c r="H3567" s="5">
        <v>94.1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97.1</v>
      </c>
      <c r="D3568" s="5">
        <v>0.1</v>
      </c>
      <c r="E3568" s="5">
        <v>97.2</v>
      </c>
      <c r="F3568" s="5">
        <v>189.5</v>
      </c>
      <c r="G3568" s="5">
        <v>94.2</v>
      </c>
      <c r="H3568" s="5">
        <v>94.1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97.1</v>
      </c>
      <c r="D3569" s="5">
        <v>0.1</v>
      </c>
      <c r="E3569" s="5">
        <v>97.2</v>
      </c>
      <c r="F3569" s="5">
        <v>189.5</v>
      </c>
      <c r="G3569" s="5">
        <v>94.2</v>
      </c>
      <c r="H3569" s="5">
        <v>94.1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97.1</v>
      </c>
      <c r="D3570" s="5">
        <v>0.1</v>
      </c>
      <c r="E3570" s="5">
        <v>97.2</v>
      </c>
      <c r="F3570" s="5">
        <v>189.5</v>
      </c>
      <c r="G3570" s="5">
        <v>94.2</v>
      </c>
      <c r="H3570" s="5">
        <v>94.1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97.1</v>
      </c>
      <c r="D3571" s="5">
        <v>0.1</v>
      </c>
      <c r="E3571" s="5">
        <v>97.2</v>
      </c>
      <c r="F3571" s="5">
        <v>189.5</v>
      </c>
      <c r="G3571" s="5">
        <v>94.2</v>
      </c>
      <c r="H3571" s="5">
        <v>94.1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97.1</v>
      </c>
      <c r="D3572" s="5">
        <v>0.1</v>
      </c>
      <c r="E3572" s="5">
        <v>97.2</v>
      </c>
      <c r="F3572" s="5">
        <v>189.5</v>
      </c>
      <c r="G3572" s="5">
        <v>94.2</v>
      </c>
      <c r="H3572" s="5">
        <v>94.1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97.1</v>
      </c>
      <c r="D3573" s="5">
        <v>0.1</v>
      </c>
      <c r="E3573" s="5">
        <v>97.2</v>
      </c>
      <c r="F3573" s="5">
        <v>189.5</v>
      </c>
      <c r="G3573" s="5">
        <v>94.2</v>
      </c>
      <c r="H3573" s="5">
        <v>94.1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97.1</v>
      </c>
      <c r="D3574" s="5">
        <v>0.1</v>
      </c>
      <c r="E3574" s="5">
        <v>97.2</v>
      </c>
      <c r="F3574" s="5">
        <v>189.5</v>
      </c>
      <c r="G3574" s="5">
        <v>94.2</v>
      </c>
      <c r="H3574" s="5">
        <v>94.1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97.1</v>
      </c>
      <c r="D3575" s="5">
        <v>0.1</v>
      </c>
      <c r="E3575" s="5">
        <v>97.2</v>
      </c>
      <c r="F3575" s="5">
        <v>189.5</v>
      </c>
      <c r="G3575" s="5">
        <v>94.2</v>
      </c>
      <c r="H3575" s="5">
        <v>94.1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97.1</v>
      </c>
      <c r="D3576" s="5">
        <v>0.1</v>
      </c>
      <c r="E3576" s="5">
        <v>97.2</v>
      </c>
      <c r="F3576" s="5">
        <v>189.5</v>
      </c>
      <c r="G3576" s="5">
        <v>94.2</v>
      </c>
      <c r="H3576" s="5">
        <v>94.1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97.1</v>
      </c>
      <c r="D3577" s="5">
        <v>0.1</v>
      </c>
      <c r="E3577" s="5">
        <v>97.2</v>
      </c>
      <c r="F3577" s="5">
        <v>189.5</v>
      </c>
      <c r="G3577" s="5">
        <v>94.2</v>
      </c>
      <c r="H3577" s="5">
        <v>94.1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97.1</v>
      </c>
      <c r="D3578" s="5">
        <v>0.1</v>
      </c>
      <c r="E3578" s="5">
        <v>97.2</v>
      </c>
      <c r="F3578" s="5">
        <v>189.5</v>
      </c>
      <c r="G3578" s="5">
        <v>94.2</v>
      </c>
      <c r="H3578" s="5">
        <v>94.1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97.1</v>
      </c>
      <c r="D3579" s="5">
        <v>0.1</v>
      </c>
      <c r="E3579" s="5">
        <v>97.2</v>
      </c>
      <c r="F3579" s="5">
        <v>189.5</v>
      </c>
      <c r="G3579" s="5">
        <v>94.2</v>
      </c>
      <c r="H3579" s="5">
        <v>94.1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97.1</v>
      </c>
      <c r="D3580" s="5">
        <v>0.1</v>
      </c>
      <c r="E3580" s="5">
        <v>97.2</v>
      </c>
      <c r="F3580" s="5">
        <v>189.5</v>
      </c>
      <c r="G3580" s="5">
        <v>94.2</v>
      </c>
      <c r="H3580" s="5">
        <v>94.1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97.1</v>
      </c>
      <c r="D3581" s="5">
        <v>0.1</v>
      </c>
      <c r="E3581" s="5">
        <v>97.2</v>
      </c>
      <c r="F3581" s="5">
        <v>189.5</v>
      </c>
      <c r="G3581" s="5">
        <v>94.2</v>
      </c>
      <c r="H3581" s="5">
        <v>94.1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97.1</v>
      </c>
      <c r="D3582" s="5">
        <v>0.1</v>
      </c>
      <c r="E3582" s="5">
        <v>97.2</v>
      </c>
      <c r="F3582" s="5">
        <v>189.5</v>
      </c>
      <c r="G3582" s="5">
        <v>94.2</v>
      </c>
      <c r="H3582" s="5">
        <v>94.1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97.1</v>
      </c>
      <c r="D3583" s="5">
        <v>0.1</v>
      </c>
      <c r="E3583" s="5">
        <v>97.2</v>
      </c>
      <c r="F3583" s="5">
        <v>189.5</v>
      </c>
      <c r="G3583" s="5">
        <v>94.2</v>
      </c>
      <c r="H3583" s="5">
        <v>94.1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97.1</v>
      </c>
      <c r="D3584" s="5">
        <v>0.1</v>
      </c>
      <c r="E3584" s="5">
        <v>97.2</v>
      </c>
      <c r="F3584" s="5">
        <v>189.5</v>
      </c>
      <c r="G3584" s="5">
        <v>94.2</v>
      </c>
      <c r="H3584" s="5">
        <v>94.1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97.1</v>
      </c>
      <c r="D3585" s="5">
        <v>0.1</v>
      </c>
      <c r="E3585" s="5">
        <v>97.2</v>
      </c>
      <c r="F3585" s="5">
        <v>189.5</v>
      </c>
      <c r="G3585" s="5">
        <v>94.2</v>
      </c>
      <c r="H3585" s="5">
        <v>94.1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97.1</v>
      </c>
      <c r="D3586" s="5">
        <v>0.1</v>
      </c>
      <c r="E3586" s="5">
        <v>97.2</v>
      </c>
      <c r="F3586" s="5">
        <v>189.5</v>
      </c>
      <c r="G3586" s="5">
        <v>94.2</v>
      </c>
      <c r="H3586" s="5">
        <v>94.1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97.1</v>
      </c>
      <c r="D3587" s="5">
        <v>0.1</v>
      </c>
      <c r="E3587" s="5">
        <v>97.2</v>
      </c>
      <c r="F3587" s="5">
        <v>189.5</v>
      </c>
      <c r="G3587" s="5">
        <v>94.2</v>
      </c>
      <c r="H3587" s="5">
        <v>94.1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97.1</v>
      </c>
      <c r="D3588" s="5">
        <v>0.1</v>
      </c>
      <c r="E3588" s="5">
        <v>97.2</v>
      </c>
      <c r="F3588" s="5">
        <v>189.5</v>
      </c>
      <c r="G3588" s="5">
        <v>94.2</v>
      </c>
      <c r="H3588" s="5">
        <v>94.1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102.4</v>
      </c>
      <c r="D3590" s="5">
        <v>0.1</v>
      </c>
      <c r="E3590" s="5">
        <v>102.6</v>
      </c>
      <c r="F3590" s="5">
        <v>202.9</v>
      </c>
      <c r="G3590" s="5">
        <v>100.8</v>
      </c>
      <c r="H3590" s="5">
        <v>100.7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102.4</v>
      </c>
      <c r="D3591" s="5">
        <v>0.1</v>
      </c>
      <c r="E3591" s="5">
        <v>102.6</v>
      </c>
      <c r="F3591" s="5">
        <v>202.9</v>
      </c>
      <c r="G3591" s="5">
        <v>100.8</v>
      </c>
      <c r="H3591" s="5">
        <v>100.7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95.4</v>
      </c>
      <c r="D3592" s="5">
        <v>0.1</v>
      </c>
      <c r="E3592" s="5">
        <v>95.4</v>
      </c>
      <c r="F3592" s="5">
        <v>192.2</v>
      </c>
      <c r="G3592" s="5">
        <v>95.5</v>
      </c>
      <c r="H3592" s="5">
        <v>95.4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95.4</v>
      </c>
      <c r="D3593" s="5">
        <v>0.1</v>
      </c>
      <c r="E3593" s="5">
        <v>95.4</v>
      </c>
      <c r="F3593" s="5">
        <v>192.2</v>
      </c>
      <c r="G3593" s="5">
        <v>95.5</v>
      </c>
      <c r="H3593" s="5">
        <v>95.4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102.1</v>
      </c>
      <c r="D3594" s="5">
        <v>0.1</v>
      </c>
      <c r="E3594" s="5">
        <v>102.3</v>
      </c>
      <c r="F3594" s="5">
        <v>202.5</v>
      </c>
      <c r="G3594" s="5">
        <v>100.7</v>
      </c>
      <c r="H3594" s="5">
        <v>100.5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102.1</v>
      </c>
      <c r="D3595" s="5">
        <v>0.1</v>
      </c>
      <c r="E3595" s="5">
        <v>102.3</v>
      </c>
      <c r="F3595" s="5">
        <v>202.5</v>
      </c>
      <c r="G3595" s="5">
        <v>100.7</v>
      </c>
      <c r="H3595" s="5">
        <v>100.5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102.1</v>
      </c>
      <c r="D3596" s="5">
        <v>0.1</v>
      </c>
      <c r="E3596" s="5">
        <v>96.5</v>
      </c>
      <c r="F3596" s="5">
        <v>191.1</v>
      </c>
      <c r="G3596" s="5">
        <v>94.9</v>
      </c>
      <c r="H3596" s="5">
        <v>94.8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96.4</v>
      </c>
      <c r="D3597" s="5">
        <v>0.1</v>
      </c>
      <c r="E3597" s="5">
        <v>96.5</v>
      </c>
      <c r="F3597" s="5">
        <v>191.1</v>
      </c>
      <c r="G3597" s="5">
        <v>94.9</v>
      </c>
      <c r="H3597" s="5">
        <v>94.8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96.4</v>
      </c>
      <c r="D3598" s="5">
        <v>0.1</v>
      </c>
      <c r="E3598" s="5">
        <v>96.5</v>
      </c>
      <c r="F3598" s="5">
        <v>191.1</v>
      </c>
      <c r="G3598" s="5">
        <v>94.9</v>
      </c>
      <c r="H3598" s="5">
        <v>94.8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96.4</v>
      </c>
      <c r="D3599" s="5">
        <v>0.1</v>
      </c>
      <c r="E3599" s="5">
        <v>96.5</v>
      </c>
      <c r="F3599" s="5">
        <v>191.1</v>
      </c>
      <c r="G3599" s="5">
        <v>94.9</v>
      </c>
      <c r="H3599" s="5">
        <v>94.8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96.3</v>
      </c>
      <c r="D3600" s="5">
        <v>0.1</v>
      </c>
      <c r="E3600" s="5">
        <v>96.4</v>
      </c>
      <c r="F3600" s="5">
        <v>191.5</v>
      </c>
      <c r="G3600" s="5">
        <v>94.4</v>
      </c>
      <c r="H3600" s="5">
        <v>94.4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96.3</v>
      </c>
      <c r="D3601" s="5">
        <v>0.1</v>
      </c>
      <c r="E3601" s="5">
        <v>96.4</v>
      </c>
      <c r="F3601" s="5">
        <v>191.5</v>
      </c>
      <c r="G3601" s="5">
        <v>94.4</v>
      </c>
      <c r="H3601" s="5">
        <v>94.4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100.9</v>
      </c>
      <c r="D3602" s="5">
        <v>0.1</v>
      </c>
      <c r="E3602" s="5">
        <v>101</v>
      </c>
      <c r="F3602" s="5">
        <v>201.6</v>
      </c>
      <c r="G3602" s="5">
        <v>100.3</v>
      </c>
      <c r="H3602" s="5">
        <v>100.4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100.9</v>
      </c>
      <c r="D3603" s="5">
        <v>0.1</v>
      </c>
      <c r="E3603" s="5">
        <v>101</v>
      </c>
      <c r="F3603" s="5">
        <v>201.6</v>
      </c>
      <c r="G3603" s="5">
        <v>100.3</v>
      </c>
      <c r="H3603" s="5">
        <v>100.4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102.4</v>
      </c>
      <c r="D3604" s="5">
        <v>0.1</v>
      </c>
      <c r="E3604" s="5">
        <v>102.6</v>
      </c>
      <c r="F3604" s="5">
        <v>202.8</v>
      </c>
      <c r="G3604" s="5">
        <v>101</v>
      </c>
      <c r="H3604" s="5">
        <v>101.1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102.4</v>
      </c>
      <c r="D3605" s="5">
        <v>0.1</v>
      </c>
      <c r="E3605" s="5">
        <v>102.6</v>
      </c>
      <c r="F3605" s="5">
        <v>202.8</v>
      </c>
      <c r="G3605" s="5">
        <v>101</v>
      </c>
      <c r="H3605" s="5">
        <v>101.1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101.7</v>
      </c>
      <c r="D3606" s="5">
        <v>0.1</v>
      </c>
      <c r="E3606" s="5">
        <v>101.8</v>
      </c>
      <c r="F3606" s="5">
        <v>202.4</v>
      </c>
      <c r="G3606" s="5">
        <v>100.5</v>
      </c>
      <c r="H3606" s="5">
        <v>100.3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101.7</v>
      </c>
      <c r="D3607" s="5">
        <v>0.1</v>
      </c>
      <c r="E3607" s="5">
        <v>101.8</v>
      </c>
      <c r="F3607" s="5">
        <v>202.4</v>
      </c>
      <c r="G3607" s="5">
        <v>100.5</v>
      </c>
      <c r="H3607" s="5">
        <v>100.3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101.7</v>
      </c>
      <c r="D3608" s="5">
        <v>0.1</v>
      </c>
      <c r="E3608" s="5">
        <v>101.8</v>
      </c>
      <c r="F3608" s="5">
        <v>202.4</v>
      </c>
      <c r="G3608" s="5">
        <v>100.5</v>
      </c>
      <c r="H3608" s="5">
        <v>100.3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101.7</v>
      </c>
      <c r="D3609" s="5">
        <v>0.1</v>
      </c>
      <c r="E3609" s="5">
        <v>101.8</v>
      </c>
      <c r="F3609" s="5">
        <v>202.4</v>
      </c>
      <c r="G3609" s="5">
        <v>100.5</v>
      </c>
      <c r="H3609" s="5">
        <v>100.3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96</v>
      </c>
      <c r="D3610" s="5">
        <v>0.1</v>
      </c>
      <c r="E3610" s="5">
        <v>96.1</v>
      </c>
      <c r="F3610" s="5">
        <v>191.5</v>
      </c>
      <c r="G3610" s="5">
        <v>95</v>
      </c>
      <c r="H3610" s="5">
        <v>94.8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96</v>
      </c>
      <c r="D3611" s="5">
        <v>0.1</v>
      </c>
      <c r="E3611" s="5">
        <v>96.1</v>
      </c>
      <c r="F3611" s="5">
        <v>191.5</v>
      </c>
      <c r="G3611" s="5">
        <v>95</v>
      </c>
      <c r="H3611" s="5">
        <v>94.8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98</v>
      </c>
      <c r="D3612" s="5">
        <v>0.1</v>
      </c>
      <c r="E3612" s="5">
        <v>98</v>
      </c>
      <c r="F3612" s="5">
        <v>200.1</v>
      </c>
      <c r="G3612" s="5">
        <v>99.1</v>
      </c>
      <c r="H3612" s="5">
        <v>98.7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98</v>
      </c>
      <c r="D3613" s="5">
        <v>0.1</v>
      </c>
      <c r="E3613" s="5">
        <v>98</v>
      </c>
      <c r="F3613" s="5">
        <v>200.1</v>
      </c>
      <c r="G3613" s="5">
        <v>99.1</v>
      </c>
      <c r="H3613" s="5">
        <v>98.7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102.5</v>
      </c>
      <c r="D3614" s="5">
        <v>0.1</v>
      </c>
      <c r="E3614" s="5">
        <v>102.7</v>
      </c>
      <c r="F3614" s="5">
        <v>199.7</v>
      </c>
      <c r="G3614" s="5">
        <v>99.5</v>
      </c>
      <c r="H3614" s="5">
        <v>99.6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102.5</v>
      </c>
      <c r="D3615" s="5">
        <v>0.1</v>
      </c>
      <c r="E3615" s="5">
        <v>102.7</v>
      </c>
      <c r="F3615" s="5">
        <v>199.7</v>
      </c>
      <c r="G3615" s="5">
        <v>99.5</v>
      </c>
      <c r="H3615" s="5">
        <v>99.6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99.7</v>
      </c>
      <c r="D3616" s="5">
        <v>0.1</v>
      </c>
      <c r="E3616" s="5">
        <v>99.9</v>
      </c>
      <c r="F3616" s="5">
        <v>197.2</v>
      </c>
      <c r="G3616" s="5">
        <v>97.9</v>
      </c>
      <c r="H3616" s="5">
        <v>97.8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99.7</v>
      </c>
      <c r="D3617" s="5">
        <v>0.1</v>
      </c>
      <c r="E3617" s="5">
        <v>99.9</v>
      </c>
      <c r="F3617" s="5">
        <v>197.2</v>
      </c>
      <c r="G3617" s="5">
        <v>97.9</v>
      </c>
      <c r="H3617" s="5">
        <v>97.8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99.7</v>
      </c>
      <c r="D3618" s="5">
        <v>0.1</v>
      </c>
      <c r="E3618" s="5">
        <v>99.9</v>
      </c>
      <c r="F3618" s="5">
        <v>197.2</v>
      </c>
      <c r="G3618" s="5">
        <v>97.9</v>
      </c>
      <c r="H3618" s="5">
        <v>97.8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99.7</v>
      </c>
      <c r="D3619" s="5">
        <v>0.1</v>
      </c>
      <c r="E3619" s="5">
        <v>99.9</v>
      </c>
      <c r="F3619" s="5">
        <v>197.2</v>
      </c>
      <c r="G3619" s="5">
        <v>97.9</v>
      </c>
      <c r="H3619" s="5">
        <v>97.8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99.7</v>
      </c>
      <c r="D3620" s="5">
        <v>0.1</v>
      </c>
      <c r="E3620" s="5">
        <v>99.9</v>
      </c>
      <c r="F3620" s="5">
        <v>197.2</v>
      </c>
      <c r="G3620" s="5">
        <v>97.9</v>
      </c>
      <c r="H3620" s="5">
        <v>97.8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99.7</v>
      </c>
      <c r="D3621" s="5">
        <v>0.1</v>
      </c>
      <c r="E3621" s="5">
        <v>99.9</v>
      </c>
      <c r="F3621" s="5">
        <v>197.2</v>
      </c>
      <c r="G3621" s="5">
        <v>97.9</v>
      </c>
      <c r="H3621" s="5">
        <v>97.8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101.8</v>
      </c>
      <c r="D3622" s="5">
        <v>0.1</v>
      </c>
      <c r="E3622" s="5">
        <v>101.9</v>
      </c>
      <c r="F3622" s="5">
        <v>197.8</v>
      </c>
      <c r="G3622" s="5">
        <v>98.4</v>
      </c>
      <c r="H3622" s="5">
        <v>98.5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101.8</v>
      </c>
      <c r="D3623" s="5">
        <v>0.1</v>
      </c>
      <c r="E3623" s="5">
        <v>101.9</v>
      </c>
      <c r="F3623" s="5">
        <v>197.8</v>
      </c>
      <c r="G3623" s="5">
        <v>98.4</v>
      </c>
      <c r="H3623" s="5">
        <v>98.5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96</v>
      </c>
      <c r="D3624" s="5">
        <v>0.1</v>
      </c>
      <c r="E3624" s="5">
        <v>96.2</v>
      </c>
      <c r="F3624" s="5">
        <v>195.3</v>
      </c>
      <c r="G3624" s="5">
        <v>96.9</v>
      </c>
      <c r="H3624" s="5">
        <v>96.6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96</v>
      </c>
      <c r="D3625" s="5">
        <v>0.1</v>
      </c>
      <c r="E3625" s="5">
        <v>96.2</v>
      </c>
      <c r="F3625" s="5">
        <v>195.3</v>
      </c>
      <c r="G3625" s="5">
        <v>96.9</v>
      </c>
      <c r="H3625" s="5">
        <v>96.6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96</v>
      </c>
      <c r="D3626" s="5">
        <v>0.1</v>
      </c>
      <c r="E3626" s="5">
        <v>96.2</v>
      </c>
      <c r="F3626" s="5">
        <v>196.3</v>
      </c>
      <c r="G3626" s="5">
        <v>97.3</v>
      </c>
      <c r="H3626" s="5">
        <v>96.9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96</v>
      </c>
      <c r="D3627" s="5">
        <v>0.1</v>
      </c>
      <c r="E3627" s="5">
        <v>96.2</v>
      </c>
      <c r="F3627" s="5">
        <v>196.3</v>
      </c>
      <c r="G3627" s="5">
        <v>97.3</v>
      </c>
      <c r="H3627" s="5">
        <v>96.9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96</v>
      </c>
      <c r="D3628" s="5">
        <v>0.1</v>
      </c>
      <c r="E3628" s="5">
        <v>96.2</v>
      </c>
      <c r="F3628" s="5">
        <v>196.3</v>
      </c>
      <c r="G3628" s="5">
        <v>97.3</v>
      </c>
      <c r="H3628" s="5">
        <v>96.9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96</v>
      </c>
      <c r="D3629" s="5">
        <v>0.1</v>
      </c>
      <c r="E3629" s="5">
        <v>96.2</v>
      </c>
      <c r="F3629" s="5">
        <v>196.3</v>
      </c>
      <c r="G3629" s="5">
        <v>97.3</v>
      </c>
      <c r="H3629" s="5">
        <v>96.9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101.7</v>
      </c>
      <c r="D3630" s="5">
        <v>0.1</v>
      </c>
      <c r="E3630" s="5">
        <v>101.8</v>
      </c>
      <c r="F3630" s="5">
        <v>201.8</v>
      </c>
      <c r="G3630" s="5">
        <v>100.2</v>
      </c>
      <c r="H3630" s="5">
        <v>100.1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101.7</v>
      </c>
      <c r="D3631" s="5">
        <v>0.1</v>
      </c>
      <c r="E3631" s="5">
        <v>101.8</v>
      </c>
      <c r="F3631" s="5">
        <v>201.8</v>
      </c>
      <c r="G3631" s="5">
        <v>100.2</v>
      </c>
      <c r="H3631" s="5">
        <v>100.1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102.4</v>
      </c>
      <c r="D3632" s="5">
        <v>0.1</v>
      </c>
      <c r="E3632" s="5">
        <v>102.4</v>
      </c>
      <c r="F3632" s="5">
        <v>193.2</v>
      </c>
      <c r="G3632" s="5">
        <v>95.8</v>
      </c>
      <c r="H3632" s="5">
        <v>95.6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102.4</v>
      </c>
      <c r="D3633" s="5">
        <v>0.1</v>
      </c>
      <c r="E3633" s="5">
        <v>102.4</v>
      </c>
      <c r="F3633" s="5">
        <v>193.2</v>
      </c>
      <c r="G3633" s="5">
        <v>95.8</v>
      </c>
      <c r="H3633" s="5">
        <v>95.6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99</v>
      </c>
      <c r="D3634" s="5">
        <v>0.1</v>
      </c>
      <c r="E3634" s="5">
        <v>99.2</v>
      </c>
      <c r="F3634" s="5">
        <v>194.9</v>
      </c>
      <c r="G3634" s="5">
        <v>97</v>
      </c>
      <c r="H3634" s="5">
        <v>97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99</v>
      </c>
      <c r="D3635" s="5">
        <v>0.1</v>
      </c>
      <c r="E3635" s="5">
        <v>99.2</v>
      </c>
      <c r="F3635" s="5">
        <v>194.9</v>
      </c>
      <c r="G3635" s="5">
        <v>97</v>
      </c>
      <c r="H3635" s="5">
        <v>97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102.7</v>
      </c>
      <c r="D3636" s="5">
        <v>0.1</v>
      </c>
      <c r="E3636" s="5">
        <v>102.8</v>
      </c>
      <c r="F3636" s="5">
        <v>202</v>
      </c>
      <c r="G3636" s="5">
        <v>100.4</v>
      </c>
      <c r="H3636" s="5">
        <v>100.3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102.7</v>
      </c>
      <c r="D3637" s="5">
        <v>0.1</v>
      </c>
      <c r="E3637" s="5">
        <v>102.8</v>
      </c>
      <c r="F3637" s="5">
        <v>202</v>
      </c>
      <c r="G3637" s="5">
        <v>100.4</v>
      </c>
      <c r="H3637" s="5">
        <v>100.3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102.7</v>
      </c>
      <c r="D3638" s="5">
        <v>0.1</v>
      </c>
      <c r="E3638" s="5">
        <v>102.8</v>
      </c>
      <c r="F3638" s="5">
        <v>202</v>
      </c>
      <c r="G3638" s="5">
        <v>100.4</v>
      </c>
      <c r="H3638" s="5">
        <v>100.3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102.7</v>
      </c>
      <c r="D3639" s="5">
        <v>0.1</v>
      </c>
      <c r="E3639" s="5">
        <v>102.8</v>
      </c>
      <c r="F3639" s="5">
        <v>202</v>
      </c>
      <c r="G3639" s="5">
        <v>100.4</v>
      </c>
      <c r="H3639" s="5">
        <v>100.3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97.5</v>
      </c>
      <c r="D3640" s="5">
        <v>0.1</v>
      </c>
      <c r="E3640" s="5">
        <v>97.6</v>
      </c>
      <c r="F3640" s="5">
        <v>195.9</v>
      </c>
      <c r="G3640" s="5">
        <v>97.3</v>
      </c>
      <c r="H3640" s="5">
        <v>97.1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97.5</v>
      </c>
      <c r="D3641" s="5">
        <v>0.1</v>
      </c>
      <c r="E3641" s="5">
        <v>97.6</v>
      </c>
      <c r="F3641" s="5">
        <v>195.9</v>
      </c>
      <c r="G3641" s="5">
        <v>97.3</v>
      </c>
      <c r="H3641" s="5">
        <v>97.1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97.6</v>
      </c>
      <c r="D3642" s="5">
        <v>0.1</v>
      </c>
      <c r="E3642" s="5">
        <v>97.7</v>
      </c>
      <c r="F3642" s="5">
        <v>194.9</v>
      </c>
      <c r="G3642" s="5">
        <v>96.8</v>
      </c>
      <c r="H3642" s="5">
        <v>96.7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97.6</v>
      </c>
      <c r="D3643" s="5">
        <v>0.1</v>
      </c>
      <c r="E3643" s="5">
        <v>97.7</v>
      </c>
      <c r="F3643" s="5">
        <v>194.9</v>
      </c>
      <c r="G3643" s="5">
        <v>96.8</v>
      </c>
      <c r="H3643" s="5">
        <v>96.7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97.3</v>
      </c>
      <c r="D3644" s="5">
        <v>0.1</v>
      </c>
      <c r="E3644" s="5">
        <v>97.4</v>
      </c>
      <c r="F3644" s="5">
        <v>194.8</v>
      </c>
      <c r="G3644" s="5">
        <v>96.7</v>
      </c>
      <c r="H3644" s="5">
        <v>96.5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97.3</v>
      </c>
      <c r="D3645" s="5">
        <v>0.1</v>
      </c>
      <c r="E3645" s="5">
        <v>97.4</v>
      </c>
      <c r="F3645" s="5">
        <v>194.8</v>
      </c>
      <c r="G3645" s="5">
        <v>96.7</v>
      </c>
      <c r="H3645" s="5">
        <v>96.5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95.6</v>
      </c>
      <c r="D3646" s="5">
        <v>0.1</v>
      </c>
      <c r="E3646" s="5">
        <v>95.7</v>
      </c>
      <c r="F3646" s="5">
        <v>192.5</v>
      </c>
      <c r="G3646" s="5">
        <v>95.5</v>
      </c>
      <c r="H3646" s="5">
        <v>95.3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95.6</v>
      </c>
      <c r="D3647" s="5">
        <v>0.1</v>
      </c>
      <c r="E3647" s="5">
        <v>95.7</v>
      </c>
      <c r="F3647" s="5">
        <v>192.5</v>
      </c>
      <c r="G3647" s="5">
        <v>95.5</v>
      </c>
      <c r="H3647" s="5">
        <v>95.3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95.6</v>
      </c>
      <c r="D3648" s="5">
        <v>0.1</v>
      </c>
      <c r="E3648" s="5">
        <v>95.7</v>
      </c>
      <c r="F3648" s="5">
        <v>192.5</v>
      </c>
      <c r="G3648" s="5">
        <v>95.5</v>
      </c>
      <c r="H3648" s="5">
        <v>95.3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95.6</v>
      </c>
      <c r="D3649" s="5">
        <v>0.1</v>
      </c>
      <c r="E3649" s="5">
        <v>95.7</v>
      </c>
      <c r="F3649" s="5">
        <v>192.5</v>
      </c>
      <c r="G3649" s="5">
        <v>95.5</v>
      </c>
      <c r="H3649" s="5">
        <v>95.3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96.7</v>
      </c>
      <c r="D3650" s="5">
        <v>0.1</v>
      </c>
      <c r="E3650" s="5">
        <v>96.9</v>
      </c>
      <c r="F3650" s="5">
        <v>193.3</v>
      </c>
      <c r="G3650" s="5">
        <v>96.1</v>
      </c>
      <c r="H3650" s="5">
        <v>96.1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96.7</v>
      </c>
      <c r="D3651" s="5">
        <v>0.1</v>
      </c>
      <c r="E3651" s="5">
        <v>96.9</v>
      </c>
      <c r="F3651" s="5">
        <v>193.3</v>
      </c>
      <c r="G3651" s="5">
        <v>96.1</v>
      </c>
      <c r="H3651" s="5">
        <v>96.1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96.4</v>
      </c>
      <c r="D3652" s="5">
        <v>0.1</v>
      </c>
      <c r="E3652" s="5">
        <v>96.6</v>
      </c>
      <c r="F3652" s="5">
        <v>202.5</v>
      </c>
      <c r="G3652" s="5">
        <v>100.4</v>
      </c>
      <c r="H3652" s="5">
        <v>99.9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96.4</v>
      </c>
      <c r="D3653" s="5">
        <v>0.1</v>
      </c>
      <c r="E3653" s="5">
        <v>96.6</v>
      </c>
      <c r="F3653" s="5">
        <v>202.5</v>
      </c>
      <c r="G3653" s="5">
        <v>100.4</v>
      </c>
      <c r="H3653" s="5">
        <v>99.9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96.6</v>
      </c>
      <c r="D3654" s="5">
        <v>0.1</v>
      </c>
      <c r="E3654" s="5">
        <v>96.7</v>
      </c>
      <c r="F3654" s="5">
        <v>198.4</v>
      </c>
      <c r="G3654" s="5">
        <v>98.7</v>
      </c>
      <c r="H3654" s="5">
        <v>98.7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96.6</v>
      </c>
      <c r="D3655" s="5">
        <v>0.1</v>
      </c>
      <c r="E3655" s="5">
        <v>96.7</v>
      </c>
      <c r="F3655" s="5">
        <v>198.4</v>
      </c>
      <c r="G3655" s="5">
        <v>98.7</v>
      </c>
      <c r="H3655" s="5">
        <v>98.7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101.9</v>
      </c>
      <c r="D3656" s="5">
        <v>0.1</v>
      </c>
      <c r="E3656" s="5">
        <v>102.1</v>
      </c>
      <c r="F3656" s="5">
        <v>203.5</v>
      </c>
      <c r="G3656" s="5">
        <v>101.1</v>
      </c>
      <c r="H3656" s="5">
        <v>100.9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101.9</v>
      </c>
      <c r="D3657" s="5">
        <v>0.1</v>
      </c>
      <c r="E3657" s="5">
        <v>102.1</v>
      </c>
      <c r="F3657" s="5">
        <v>203.5</v>
      </c>
      <c r="G3657" s="5">
        <v>101.1</v>
      </c>
      <c r="H3657" s="5">
        <v>100.9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101.9</v>
      </c>
      <c r="D3658" s="5">
        <v>0.1</v>
      </c>
      <c r="E3658" s="5">
        <v>102.1</v>
      </c>
      <c r="F3658" s="5">
        <v>203.5</v>
      </c>
      <c r="G3658" s="5">
        <v>101.1</v>
      </c>
      <c r="H3658" s="5">
        <v>100.9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101.9</v>
      </c>
      <c r="D3659" s="5">
        <v>0.1</v>
      </c>
      <c r="E3659" s="5">
        <v>102.1</v>
      </c>
      <c r="F3659" s="5">
        <v>203.5</v>
      </c>
      <c r="G3659" s="5">
        <v>101.1</v>
      </c>
      <c r="H3659" s="5">
        <v>100.9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96.8</v>
      </c>
      <c r="D3660" s="5">
        <v>0.1</v>
      </c>
      <c r="E3660" s="5">
        <v>97</v>
      </c>
      <c r="F3660" s="5">
        <v>200.2</v>
      </c>
      <c r="G3660" s="5">
        <v>99.1</v>
      </c>
      <c r="H3660" s="5">
        <v>98.7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96.8</v>
      </c>
      <c r="D3661" s="5">
        <v>0.1</v>
      </c>
      <c r="E3661" s="5">
        <v>97</v>
      </c>
      <c r="F3661" s="5">
        <v>200.2</v>
      </c>
      <c r="G3661" s="5">
        <v>99.1</v>
      </c>
      <c r="H3661" s="5">
        <v>98.7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97</v>
      </c>
      <c r="D3662" s="5">
        <v>0.1</v>
      </c>
      <c r="E3662" s="5">
        <v>97.1</v>
      </c>
      <c r="F3662" s="5">
        <v>193.2</v>
      </c>
      <c r="G3662" s="5">
        <v>96</v>
      </c>
      <c r="H3662" s="5">
        <v>95.8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97</v>
      </c>
      <c r="D3663" s="5">
        <v>0.1</v>
      </c>
      <c r="E3663" s="5">
        <v>97.1</v>
      </c>
      <c r="F3663" s="5">
        <v>193.2</v>
      </c>
      <c r="G3663" s="5">
        <v>96</v>
      </c>
      <c r="H3663" s="5">
        <v>95.8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95.4</v>
      </c>
      <c r="D3664" s="5">
        <v>0.1</v>
      </c>
      <c r="E3664" s="5">
        <v>95.5</v>
      </c>
      <c r="F3664" s="5">
        <v>190.6</v>
      </c>
      <c r="G3664" s="5">
        <v>94.7</v>
      </c>
      <c r="H3664" s="5">
        <v>94.5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95.4</v>
      </c>
      <c r="D3665" s="5">
        <v>0.1</v>
      </c>
      <c r="E3665" s="5">
        <v>95.5</v>
      </c>
      <c r="F3665" s="5">
        <v>190.6</v>
      </c>
      <c r="G3665" s="5">
        <v>94.7</v>
      </c>
      <c r="H3665" s="5">
        <v>94.5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102.4</v>
      </c>
      <c r="D3666" s="5">
        <v>0.1</v>
      </c>
      <c r="E3666" s="5">
        <v>102.5</v>
      </c>
      <c r="F3666" s="5">
        <v>202.8</v>
      </c>
      <c r="G3666" s="5">
        <v>100.8</v>
      </c>
      <c r="H3666" s="5">
        <v>100.6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102.4</v>
      </c>
      <c r="D3667" s="5">
        <v>0.1</v>
      </c>
      <c r="E3667" s="5">
        <v>102.5</v>
      </c>
      <c r="F3667" s="5">
        <v>202.8</v>
      </c>
      <c r="G3667" s="5">
        <v>100.8</v>
      </c>
      <c r="H3667" s="5">
        <v>100.6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102.4</v>
      </c>
      <c r="D3668" s="5">
        <v>0.1</v>
      </c>
      <c r="E3668" s="5">
        <v>102.5</v>
      </c>
      <c r="F3668" s="5">
        <v>202.8</v>
      </c>
      <c r="G3668" s="5">
        <v>100.8</v>
      </c>
      <c r="H3668" s="5">
        <v>100.6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100.2</v>
      </c>
      <c r="D3669" s="5">
        <v>0.1</v>
      </c>
      <c r="E3669" s="5">
        <v>100.3</v>
      </c>
      <c r="F3669" s="5">
        <v>195.4</v>
      </c>
      <c r="G3669" s="5">
        <v>97.2</v>
      </c>
      <c r="H3669" s="5">
        <v>100.6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100.2</v>
      </c>
      <c r="D3670" s="5">
        <v>0.1</v>
      </c>
      <c r="E3670" s="5">
        <v>100.3</v>
      </c>
      <c r="F3670" s="5">
        <v>195.4</v>
      </c>
      <c r="G3670" s="5">
        <v>97.2</v>
      </c>
      <c r="H3670" s="5">
        <v>97.2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102.2</v>
      </c>
      <c r="D3671" s="5">
        <v>0.1</v>
      </c>
      <c r="E3671" s="5">
        <v>102.4</v>
      </c>
      <c r="F3671" s="5">
        <v>195.4</v>
      </c>
      <c r="G3671" s="5">
        <v>97.2</v>
      </c>
      <c r="H3671" s="5">
        <v>97.2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102.2</v>
      </c>
      <c r="D3672" s="5">
        <v>0.1</v>
      </c>
      <c r="E3672" s="5">
        <v>102.4</v>
      </c>
      <c r="F3672" s="5">
        <v>203.5</v>
      </c>
      <c r="G3672" s="5">
        <v>101.1</v>
      </c>
      <c r="H3672" s="5">
        <v>101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102.2</v>
      </c>
      <c r="D3673" s="5">
        <v>0.1</v>
      </c>
      <c r="E3673" s="5">
        <v>102.4</v>
      </c>
      <c r="F3673" s="5">
        <v>203.5</v>
      </c>
      <c r="G3673" s="5">
        <v>101.1</v>
      </c>
      <c r="H3673" s="5">
        <v>101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102.2</v>
      </c>
      <c r="D3674" s="5">
        <v>0.1</v>
      </c>
      <c r="E3674" s="5">
        <v>102.4</v>
      </c>
      <c r="F3674" s="5">
        <v>202.3</v>
      </c>
      <c r="G3674" s="5">
        <v>100.5</v>
      </c>
      <c r="H3674" s="5">
        <v>100.4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102.2</v>
      </c>
      <c r="D3675" s="5">
        <v>0.1</v>
      </c>
      <c r="E3675" s="5">
        <v>102.4</v>
      </c>
      <c r="F3675" s="5">
        <v>202.3</v>
      </c>
      <c r="G3675" s="5">
        <v>100.5</v>
      </c>
      <c r="H3675" s="5">
        <v>100.4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102.7</v>
      </c>
      <c r="D3676" s="5">
        <v>0.1</v>
      </c>
      <c r="E3676" s="5">
        <v>102.8</v>
      </c>
      <c r="F3676" s="5">
        <v>204.5</v>
      </c>
      <c r="G3676" s="5">
        <v>101.6</v>
      </c>
      <c r="H3676" s="5">
        <v>101.5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102.7</v>
      </c>
      <c r="D3677" s="5">
        <v>0.1</v>
      </c>
      <c r="E3677" s="5">
        <v>102.8</v>
      </c>
      <c r="F3677" s="5">
        <v>204.5</v>
      </c>
      <c r="G3677" s="5">
        <v>101.6</v>
      </c>
      <c r="H3677" s="5">
        <v>101.5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102.7</v>
      </c>
      <c r="D3678" s="5">
        <v>0.1</v>
      </c>
      <c r="E3678" s="5">
        <v>102.8</v>
      </c>
      <c r="F3678" s="5">
        <v>204.5</v>
      </c>
      <c r="G3678" s="5">
        <v>101.6</v>
      </c>
      <c r="H3678" s="5">
        <v>101.5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102.7</v>
      </c>
      <c r="D3679" s="5">
        <v>0.1</v>
      </c>
      <c r="E3679" s="5">
        <v>102.8</v>
      </c>
      <c r="F3679" s="5">
        <v>204.5</v>
      </c>
      <c r="G3679" s="5">
        <v>101.6</v>
      </c>
      <c r="H3679" s="5">
        <v>101.5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102.7</v>
      </c>
      <c r="D3680" s="5">
        <v>0.1</v>
      </c>
      <c r="E3680" s="5">
        <v>102.8</v>
      </c>
      <c r="F3680" s="5">
        <v>204.5</v>
      </c>
      <c r="G3680" s="5">
        <v>101.6</v>
      </c>
      <c r="H3680" s="5">
        <v>101.5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102.7</v>
      </c>
      <c r="D3681" s="5">
        <v>0.1</v>
      </c>
      <c r="E3681" s="5">
        <v>102.8</v>
      </c>
      <c r="F3681" s="5">
        <v>204.5</v>
      </c>
      <c r="G3681" s="5">
        <v>101.6</v>
      </c>
      <c r="H3681" s="5">
        <v>101.5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103.2</v>
      </c>
      <c r="D3682" s="5">
        <v>0.1</v>
      </c>
      <c r="E3682" s="5">
        <v>103.3</v>
      </c>
      <c r="F3682" s="5">
        <v>205.2</v>
      </c>
      <c r="G3682" s="5">
        <v>101.9</v>
      </c>
      <c r="H3682" s="5">
        <v>101.8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103.2</v>
      </c>
      <c r="D3683" s="5">
        <v>0.1</v>
      </c>
      <c r="E3683" s="5">
        <v>103.3</v>
      </c>
      <c r="F3683" s="5">
        <v>205.2</v>
      </c>
      <c r="G3683" s="5">
        <v>101.9</v>
      </c>
      <c r="H3683" s="5">
        <v>101.8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103.2</v>
      </c>
      <c r="D3684" s="5">
        <v>0.1</v>
      </c>
      <c r="E3684" s="5">
        <v>103.3</v>
      </c>
      <c r="F3684" s="5">
        <v>205</v>
      </c>
      <c r="G3684" s="5">
        <v>101.9</v>
      </c>
      <c r="H3684" s="5">
        <v>101.7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103.2</v>
      </c>
      <c r="D3685" s="5">
        <v>0.1</v>
      </c>
      <c r="E3685" s="5">
        <v>103.3</v>
      </c>
      <c r="F3685" s="5">
        <v>205</v>
      </c>
      <c r="G3685" s="5">
        <v>101.9</v>
      </c>
      <c r="H3685" s="5">
        <v>101.7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102.8</v>
      </c>
      <c r="D3686" s="5">
        <v>0.1</v>
      </c>
      <c r="E3686" s="5">
        <v>103</v>
      </c>
      <c r="F3686" s="5">
        <v>204.8</v>
      </c>
      <c r="G3686" s="5">
        <v>101.8</v>
      </c>
      <c r="H3686" s="5">
        <v>101.6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102.8</v>
      </c>
      <c r="D3687" s="5">
        <v>0.1</v>
      </c>
      <c r="E3687" s="5">
        <v>103</v>
      </c>
      <c r="F3687" s="5">
        <v>204.8</v>
      </c>
      <c r="G3687" s="5">
        <v>101.8</v>
      </c>
      <c r="H3687" s="5">
        <v>101.6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102.8</v>
      </c>
      <c r="D3688" s="5">
        <v>0.1</v>
      </c>
      <c r="E3688" s="5">
        <v>103</v>
      </c>
      <c r="F3688" s="5">
        <v>204.8</v>
      </c>
      <c r="G3688" s="5">
        <v>101.8</v>
      </c>
      <c r="H3688" s="5">
        <v>101.6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103.4</v>
      </c>
      <c r="D3689" s="5">
        <v>0.1</v>
      </c>
      <c r="E3689" s="5">
        <v>103.4</v>
      </c>
      <c r="F3689" s="5">
        <v>205.7</v>
      </c>
      <c r="G3689" s="5">
        <v>102.2</v>
      </c>
      <c r="H3689" s="5">
        <v>102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103.4</v>
      </c>
      <c r="D3690" s="5">
        <v>0.1</v>
      </c>
      <c r="E3690" s="5">
        <v>103.4</v>
      </c>
      <c r="F3690" s="5">
        <v>205.7</v>
      </c>
      <c r="G3690" s="5">
        <v>102.2</v>
      </c>
      <c r="H3690" s="5">
        <v>102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103.3</v>
      </c>
      <c r="D3691" s="5">
        <v>0.1</v>
      </c>
      <c r="E3691" s="5">
        <v>103.4</v>
      </c>
      <c r="F3691" s="5">
        <v>205.7</v>
      </c>
      <c r="G3691" s="5">
        <v>102.2</v>
      </c>
      <c r="H3691" s="5">
        <v>102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103.3</v>
      </c>
      <c r="D3692" s="5">
        <v>0.1</v>
      </c>
      <c r="E3692" s="5">
        <v>103.4</v>
      </c>
      <c r="F3692" s="5">
        <v>205.7</v>
      </c>
      <c r="G3692" s="5">
        <v>102.2</v>
      </c>
      <c r="H3692" s="5">
        <v>102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103.1</v>
      </c>
      <c r="D3693" s="5">
        <v>0.1</v>
      </c>
      <c r="E3693" s="5">
        <v>103.3</v>
      </c>
      <c r="F3693" s="5">
        <v>205.4</v>
      </c>
      <c r="G3693" s="5">
        <v>102</v>
      </c>
      <c r="H3693" s="5">
        <v>101.8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103.1</v>
      </c>
      <c r="D3694" s="5">
        <v>0.1</v>
      </c>
      <c r="E3694" s="5">
        <v>103.3</v>
      </c>
      <c r="F3694" s="5">
        <v>205.4</v>
      </c>
      <c r="G3694" s="5">
        <v>102</v>
      </c>
      <c r="H3694" s="5">
        <v>101.8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103.3</v>
      </c>
      <c r="D3695" s="5">
        <v>0.1</v>
      </c>
      <c r="E3695" s="5">
        <v>103.4</v>
      </c>
      <c r="F3695" s="5">
        <v>205</v>
      </c>
      <c r="G3695" s="5">
        <v>101.9</v>
      </c>
      <c r="H3695" s="5">
        <v>101.7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103.3</v>
      </c>
      <c r="D3696" s="5">
        <v>0.1</v>
      </c>
      <c r="E3696" s="5">
        <v>103.4</v>
      </c>
      <c r="F3696" s="5">
        <v>205</v>
      </c>
      <c r="G3696" s="5">
        <v>101.9</v>
      </c>
      <c r="H3696" s="5">
        <v>101.7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103.3</v>
      </c>
      <c r="D3697" s="5">
        <v>0.1</v>
      </c>
      <c r="E3697" s="5">
        <v>103.4</v>
      </c>
      <c r="F3697" s="5">
        <v>205</v>
      </c>
      <c r="G3697" s="5">
        <v>101.9</v>
      </c>
      <c r="H3697" s="5">
        <v>101.7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103.3</v>
      </c>
      <c r="D3698" s="5">
        <v>0.1</v>
      </c>
      <c r="E3698" s="5">
        <v>103.4</v>
      </c>
      <c r="F3698" s="5">
        <v>205</v>
      </c>
      <c r="G3698" s="5">
        <v>101.9</v>
      </c>
      <c r="H3698" s="5">
        <v>101.7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101.5</v>
      </c>
      <c r="D3699" s="5">
        <v>0.1</v>
      </c>
      <c r="E3699" s="5">
        <v>101.6</v>
      </c>
      <c r="F3699" s="5">
        <v>203</v>
      </c>
      <c r="G3699" s="5">
        <v>100.8</v>
      </c>
      <c r="H3699" s="5">
        <v>100.7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101.5</v>
      </c>
      <c r="D3700" s="5">
        <v>0.1</v>
      </c>
      <c r="E3700" s="5">
        <v>101.6</v>
      </c>
      <c r="F3700" s="5">
        <v>203</v>
      </c>
      <c r="G3700" s="5">
        <v>100.8</v>
      </c>
      <c r="H3700" s="5">
        <v>100.7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102.4</v>
      </c>
      <c r="D3701" s="5">
        <v>0.1</v>
      </c>
      <c r="E3701" s="5">
        <v>102.6</v>
      </c>
      <c r="F3701" s="5">
        <v>203.7</v>
      </c>
      <c r="G3701" s="5">
        <v>101.2</v>
      </c>
      <c r="H3701" s="5">
        <v>101.1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102.4</v>
      </c>
      <c r="D3702" s="5">
        <v>0.1</v>
      </c>
      <c r="E3702" s="5">
        <v>102.6</v>
      </c>
      <c r="F3702" s="5">
        <v>203.7</v>
      </c>
      <c r="G3702" s="5">
        <v>101.2</v>
      </c>
      <c r="H3702" s="5">
        <v>101.1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102.8</v>
      </c>
      <c r="D3703" s="5">
        <v>0.1</v>
      </c>
      <c r="E3703" s="5">
        <v>103</v>
      </c>
      <c r="F3703" s="5">
        <v>204.7</v>
      </c>
      <c r="G3703" s="5">
        <v>101.7</v>
      </c>
      <c r="H3703" s="5">
        <v>101.5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102.8</v>
      </c>
      <c r="D3704" s="5">
        <v>0.1</v>
      </c>
      <c r="E3704" s="5">
        <v>103</v>
      </c>
      <c r="F3704" s="5">
        <v>204.7</v>
      </c>
      <c r="G3704" s="5">
        <v>101.7</v>
      </c>
      <c r="H3704" s="5">
        <v>101.5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103</v>
      </c>
      <c r="D3705" s="5">
        <v>0.1</v>
      </c>
      <c r="E3705" s="5">
        <v>103.1</v>
      </c>
      <c r="F3705" s="5">
        <v>205.1</v>
      </c>
      <c r="G3705" s="5">
        <v>101.9</v>
      </c>
      <c r="H3705" s="5">
        <v>101.7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103</v>
      </c>
      <c r="D3706" s="5">
        <v>0.1</v>
      </c>
      <c r="E3706" s="5">
        <v>103.1</v>
      </c>
      <c r="F3706" s="5">
        <v>205.1</v>
      </c>
      <c r="G3706" s="5">
        <v>101.9</v>
      </c>
      <c r="H3706" s="5">
        <v>101.7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103</v>
      </c>
      <c r="D3707" s="5">
        <v>0.1</v>
      </c>
      <c r="E3707" s="5">
        <v>103.1</v>
      </c>
      <c r="F3707" s="5">
        <v>205.1</v>
      </c>
      <c r="G3707" s="5">
        <v>101.9</v>
      </c>
      <c r="H3707" s="5">
        <v>101.7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103</v>
      </c>
      <c r="D3708" s="5">
        <v>0.1</v>
      </c>
      <c r="E3708" s="5">
        <v>103.1</v>
      </c>
      <c r="F3708" s="5">
        <v>205.1</v>
      </c>
      <c r="G3708" s="5">
        <v>101.9</v>
      </c>
      <c r="H3708" s="5">
        <v>101.7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103</v>
      </c>
      <c r="D3709" s="5">
        <v>0.1</v>
      </c>
      <c r="E3709" s="5">
        <v>103.1</v>
      </c>
      <c r="F3709" s="5">
        <v>205.3</v>
      </c>
      <c r="G3709" s="5">
        <v>102</v>
      </c>
      <c r="H3709" s="5">
        <v>101.8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103</v>
      </c>
      <c r="D3710" s="5">
        <v>0.1</v>
      </c>
      <c r="E3710" s="5">
        <v>103.1</v>
      </c>
      <c r="F3710" s="5">
        <v>205.3</v>
      </c>
      <c r="G3710" s="5">
        <v>102</v>
      </c>
      <c r="H3710" s="5">
        <v>101.8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103.2</v>
      </c>
      <c r="D3711" s="5">
        <v>0.1</v>
      </c>
      <c r="E3711" s="5">
        <v>103.1</v>
      </c>
      <c r="F3711" s="5">
        <v>205.5</v>
      </c>
      <c r="G3711" s="5">
        <v>102.2</v>
      </c>
      <c r="H3711" s="5">
        <v>102.1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103.2</v>
      </c>
      <c r="D3712" s="5">
        <v>0.1</v>
      </c>
      <c r="E3712" s="5">
        <v>103.4</v>
      </c>
      <c r="F3712" s="5">
        <v>205.5</v>
      </c>
      <c r="G3712" s="5">
        <v>102.2</v>
      </c>
      <c r="H3712" s="5">
        <v>102.1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103.2</v>
      </c>
      <c r="D3713" s="5">
        <v>0.1</v>
      </c>
      <c r="E3713" s="5">
        <v>103.4</v>
      </c>
      <c r="F3713" s="5">
        <v>205.5</v>
      </c>
      <c r="G3713" s="5">
        <v>102.1</v>
      </c>
      <c r="H3713" s="5">
        <v>102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103.4</v>
      </c>
      <c r="D3714" s="5">
        <v>0.1</v>
      </c>
      <c r="E3714" s="5">
        <v>103.5</v>
      </c>
      <c r="F3714" s="5">
        <v>205.3</v>
      </c>
      <c r="G3714" s="5">
        <v>102.1</v>
      </c>
      <c r="H3714" s="5">
        <v>102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103.4</v>
      </c>
      <c r="D3715" s="5">
        <v>0.1</v>
      </c>
      <c r="E3715" s="5">
        <v>103.5</v>
      </c>
      <c r="F3715" s="5">
        <v>205.3</v>
      </c>
      <c r="G3715" s="5">
        <v>103.1</v>
      </c>
      <c r="H3715" s="5">
        <v>103.1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104.4</v>
      </c>
      <c r="D3716" s="5">
        <v>0.1</v>
      </c>
      <c r="E3716" s="5">
        <v>104.6</v>
      </c>
      <c r="F3716" s="5">
        <v>206.7</v>
      </c>
      <c r="G3716" s="5">
        <v>103.1</v>
      </c>
      <c r="H3716" s="5">
        <v>103.1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104.4</v>
      </c>
      <c r="D3717" s="5">
        <v>0.1</v>
      </c>
      <c r="E3717" s="5">
        <v>104.6</v>
      </c>
      <c r="F3717" s="5">
        <v>206.7</v>
      </c>
      <c r="G3717" s="5">
        <v>103.1</v>
      </c>
      <c r="H3717" s="5">
        <v>103.1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104.4</v>
      </c>
      <c r="D3718" s="5">
        <v>0.1</v>
      </c>
      <c r="E3718" s="5">
        <v>104.6</v>
      </c>
      <c r="F3718" s="5">
        <v>206.7</v>
      </c>
      <c r="G3718" s="5">
        <v>103.1</v>
      </c>
      <c r="H3718" s="5">
        <v>103.1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102.8</v>
      </c>
      <c r="D3719" s="5">
        <v>0.1</v>
      </c>
      <c r="E3719" s="5">
        <v>102.9</v>
      </c>
      <c r="F3719" s="5">
        <v>204.9</v>
      </c>
      <c r="G3719" s="5">
        <v>101.8</v>
      </c>
      <c r="H3719" s="5">
        <v>101.6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102.8</v>
      </c>
      <c r="D3720" s="5">
        <v>0.1</v>
      </c>
      <c r="E3720" s="5">
        <v>102.9</v>
      </c>
      <c r="F3720" s="5">
        <v>204.9</v>
      </c>
      <c r="G3720" s="5">
        <v>101.8</v>
      </c>
      <c r="H3720" s="5">
        <v>101.6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103.1</v>
      </c>
      <c r="D3721" s="5">
        <v>0.1</v>
      </c>
      <c r="E3721" s="5">
        <v>103.3</v>
      </c>
      <c r="F3721" s="5">
        <v>205.5</v>
      </c>
      <c r="G3721" s="5">
        <v>102</v>
      </c>
      <c r="H3721" s="5">
        <v>101.9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103.1</v>
      </c>
      <c r="D3722" s="5">
        <v>0.1</v>
      </c>
      <c r="E3722" s="5">
        <v>103.3</v>
      </c>
      <c r="F3722" s="5">
        <v>205.5</v>
      </c>
      <c r="G3722" s="5">
        <v>102</v>
      </c>
      <c r="H3722" s="5">
        <v>101.9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103.4</v>
      </c>
      <c r="D3723" s="5">
        <v>0.1</v>
      </c>
      <c r="E3723" s="5">
        <v>103.6</v>
      </c>
      <c r="F3723" s="5">
        <v>205.4</v>
      </c>
      <c r="G3723" s="5">
        <v>102</v>
      </c>
      <c r="H3723" s="5">
        <v>101.9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103.4</v>
      </c>
      <c r="D3724" s="5">
        <v>0.1</v>
      </c>
      <c r="E3724" s="5">
        <v>103.6</v>
      </c>
      <c r="F3724" s="5">
        <v>205.4</v>
      </c>
      <c r="G3724" s="5">
        <v>102</v>
      </c>
      <c r="H3724" s="5">
        <v>101.9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103.7</v>
      </c>
      <c r="D3725" s="5">
        <v>0.1</v>
      </c>
      <c r="E3725" s="5">
        <v>103.9</v>
      </c>
      <c r="F3725" s="5">
        <v>205.4</v>
      </c>
      <c r="G3725" s="5">
        <v>102</v>
      </c>
      <c r="H3725" s="5">
        <v>101.9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103.7</v>
      </c>
      <c r="D3726" s="5">
        <v>0.1</v>
      </c>
      <c r="E3726" s="5">
        <v>103.9</v>
      </c>
      <c r="F3726" s="5">
        <v>205.4</v>
      </c>
      <c r="G3726" s="5">
        <v>102</v>
      </c>
      <c r="H3726" s="5">
        <v>101.9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103.7</v>
      </c>
      <c r="D3727" s="5">
        <v>0.1</v>
      </c>
      <c r="E3727" s="5">
        <v>103.9</v>
      </c>
      <c r="F3727" s="5">
        <v>205.4</v>
      </c>
      <c r="G3727" s="5">
        <v>102</v>
      </c>
      <c r="H3727" s="5">
        <v>101.9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103.7</v>
      </c>
      <c r="D3728" s="5">
        <v>0.1</v>
      </c>
      <c r="E3728" s="5">
        <v>103.9</v>
      </c>
      <c r="F3728" s="5">
        <v>205.4</v>
      </c>
      <c r="G3728" s="5">
        <v>102</v>
      </c>
      <c r="H3728" s="5">
        <v>101.9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103.9</v>
      </c>
      <c r="D3729" s="5">
        <v>0.1</v>
      </c>
      <c r="E3729" s="5">
        <v>104</v>
      </c>
      <c r="F3729" s="5">
        <v>205.9</v>
      </c>
      <c r="G3729" s="5">
        <v>102.3</v>
      </c>
      <c r="H3729" s="5">
        <v>102.1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103.9</v>
      </c>
      <c r="D3730" s="5">
        <v>0.1</v>
      </c>
      <c r="E3730" s="5">
        <v>104</v>
      </c>
      <c r="F3730" s="5">
        <v>205.9</v>
      </c>
      <c r="G3730" s="5">
        <v>102.3</v>
      </c>
      <c r="H3730" s="5">
        <v>102.1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103.9</v>
      </c>
      <c r="D3731" s="5">
        <v>0.1</v>
      </c>
      <c r="E3731" s="5">
        <v>104</v>
      </c>
      <c r="F3731" s="5">
        <v>206.6</v>
      </c>
      <c r="G3731" s="5">
        <v>102.5</v>
      </c>
      <c r="H3731" s="5">
        <v>102.4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103.9</v>
      </c>
      <c r="D3732" s="5">
        <v>0.1</v>
      </c>
      <c r="E3732" s="5">
        <v>104</v>
      </c>
      <c r="F3732" s="5">
        <v>206.6</v>
      </c>
      <c r="G3732" s="5">
        <v>102.5</v>
      </c>
      <c r="H3732" s="5">
        <v>102.4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103.2</v>
      </c>
      <c r="D3733" s="5">
        <v>0.1</v>
      </c>
      <c r="E3733" s="5">
        <v>103.4</v>
      </c>
      <c r="F3733" s="5">
        <v>205.3</v>
      </c>
      <c r="G3733" s="5">
        <v>102</v>
      </c>
      <c r="H3733" s="5">
        <v>101.9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103.2</v>
      </c>
      <c r="D3734" s="5">
        <v>0.1</v>
      </c>
      <c r="E3734" s="5">
        <v>103.4</v>
      </c>
      <c r="F3734" s="5">
        <v>205.3</v>
      </c>
      <c r="G3734" s="5">
        <v>102</v>
      </c>
      <c r="H3734" s="5">
        <v>101.9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103.7</v>
      </c>
      <c r="D3735" s="5">
        <v>0.1</v>
      </c>
      <c r="E3735" s="5">
        <v>103.9</v>
      </c>
      <c r="F3735" s="5">
        <v>206</v>
      </c>
      <c r="G3735" s="5">
        <v>102.3</v>
      </c>
      <c r="H3735" s="5">
        <v>102.2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103.7</v>
      </c>
      <c r="D3736" s="5">
        <v>0.1</v>
      </c>
      <c r="E3736" s="5">
        <v>103.9</v>
      </c>
      <c r="F3736" s="5">
        <v>206</v>
      </c>
      <c r="G3736" s="5">
        <v>102.3</v>
      </c>
      <c r="H3736" s="5">
        <v>102.2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103.7</v>
      </c>
      <c r="D3737" s="5">
        <v>0.1</v>
      </c>
      <c r="E3737" s="5">
        <v>103.9</v>
      </c>
      <c r="F3737" s="5">
        <v>206</v>
      </c>
      <c r="G3737" s="5">
        <v>102.3</v>
      </c>
      <c r="H3737" s="5">
        <v>102.2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103.7</v>
      </c>
      <c r="D3738" s="5">
        <v>0.1</v>
      </c>
      <c r="E3738" s="5">
        <v>103.9</v>
      </c>
      <c r="F3738" s="5">
        <v>206</v>
      </c>
      <c r="G3738" s="5">
        <v>102.3</v>
      </c>
      <c r="H3738" s="5">
        <v>102.2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103.7</v>
      </c>
      <c r="D3739" s="5">
        <v>0.1</v>
      </c>
      <c r="E3739" s="5">
        <v>103.8</v>
      </c>
      <c r="F3739" s="5">
        <v>205.8</v>
      </c>
      <c r="G3739" s="5">
        <v>102.2</v>
      </c>
      <c r="H3739" s="5">
        <v>102.1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103.7</v>
      </c>
      <c r="D3740" s="5">
        <v>0.1</v>
      </c>
      <c r="E3740" s="5">
        <v>103.8</v>
      </c>
      <c r="F3740" s="5">
        <v>205.8</v>
      </c>
      <c r="G3740" s="5">
        <v>102.2</v>
      </c>
      <c r="H3740" s="5">
        <v>102.1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103.5</v>
      </c>
      <c r="D3741" s="5">
        <v>0.1</v>
      </c>
      <c r="E3741" s="5">
        <v>103.7</v>
      </c>
      <c r="F3741" s="5">
        <v>205.8</v>
      </c>
      <c r="G3741" s="5">
        <v>102.2</v>
      </c>
      <c r="H3741" s="5">
        <v>102.1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103.5</v>
      </c>
      <c r="D3742" s="5">
        <v>0.1</v>
      </c>
      <c r="E3742" s="5">
        <v>103.7</v>
      </c>
      <c r="F3742" s="5">
        <v>205.8</v>
      </c>
      <c r="G3742" s="5">
        <v>102.2</v>
      </c>
      <c r="H3742" s="5">
        <v>102.1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103.1</v>
      </c>
      <c r="D3743" s="5">
        <v>0.1</v>
      </c>
      <c r="E3743" s="5">
        <v>103.3</v>
      </c>
      <c r="F3743" s="5">
        <v>205</v>
      </c>
      <c r="G3743" s="5">
        <v>101.9</v>
      </c>
      <c r="H3743" s="5">
        <v>101.7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103.1</v>
      </c>
      <c r="D3744" s="5">
        <v>0.1</v>
      </c>
      <c r="E3744" s="5">
        <v>103.3</v>
      </c>
      <c r="F3744" s="5">
        <v>205</v>
      </c>
      <c r="G3744" s="5">
        <v>101.9</v>
      </c>
      <c r="H3744" s="5">
        <v>101.7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103.3</v>
      </c>
      <c r="D3745" s="5">
        <v>0.1</v>
      </c>
      <c r="E3745" s="5">
        <v>103.4</v>
      </c>
      <c r="F3745" s="5">
        <v>205.3</v>
      </c>
      <c r="G3745" s="5">
        <v>101.9</v>
      </c>
      <c r="H3745" s="5">
        <v>101.8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103.3</v>
      </c>
      <c r="D3746" s="5">
        <v>0.1</v>
      </c>
      <c r="E3746" s="5">
        <v>103.4</v>
      </c>
      <c r="F3746" s="5">
        <v>205.3</v>
      </c>
      <c r="G3746" s="5">
        <v>101.9</v>
      </c>
      <c r="H3746" s="5">
        <v>101.8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103.3</v>
      </c>
      <c r="D3747" s="5">
        <v>0.1</v>
      </c>
      <c r="E3747" s="5">
        <v>103.4</v>
      </c>
      <c r="F3747" s="5">
        <v>205.3</v>
      </c>
      <c r="G3747" s="5">
        <v>101.9</v>
      </c>
      <c r="H3747" s="5">
        <v>101.8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103.3</v>
      </c>
      <c r="D3748" s="5">
        <v>0.1</v>
      </c>
      <c r="E3748" s="5">
        <v>103.4</v>
      </c>
      <c r="F3748" s="5">
        <v>205.3</v>
      </c>
      <c r="G3748" s="5">
        <v>101.9</v>
      </c>
      <c r="H3748" s="5">
        <v>101.8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102.8</v>
      </c>
      <c r="D3749" s="5">
        <v>0.1</v>
      </c>
      <c r="E3749" s="5">
        <v>103</v>
      </c>
      <c r="F3749" s="5">
        <v>204.4</v>
      </c>
      <c r="G3749" s="5">
        <v>101.6</v>
      </c>
      <c r="H3749" s="5">
        <v>101.4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102.8</v>
      </c>
      <c r="D3750" s="5">
        <v>0.1</v>
      </c>
      <c r="E3750" s="5">
        <v>103</v>
      </c>
      <c r="F3750" s="5">
        <v>204.4</v>
      </c>
      <c r="G3750" s="5">
        <v>101.6</v>
      </c>
      <c r="H3750" s="5">
        <v>101.4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103.9</v>
      </c>
      <c r="D3751" s="5">
        <v>0.1</v>
      </c>
      <c r="E3751" s="5">
        <v>104</v>
      </c>
      <c r="F3751" s="5">
        <v>206.2</v>
      </c>
      <c r="G3751" s="5">
        <v>102.4</v>
      </c>
      <c r="H3751" s="5">
        <v>102.3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103.9</v>
      </c>
      <c r="D3752" s="5">
        <v>0.1</v>
      </c>
      <c r="E3752" s="5">
        <v>104</v>
      </c>
      <c r="F3752" s="5">
        <v>206.2</v>
      </c>
      <c r="G3752" s="5">
        <v>102.4</v>
      </c>
      <c r="H3752" s="5">
        <v>102.3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101.6</v>
      </c>
      <c r="D3753" s="5">
        <v>0.1</v>
      </c>
      <c r="E3753" s="5">
        <v>101.8</v>
      </c>
      <c r="F3753" s="5">
        <v>205</v>
      </c>
      <c r="G3753" s="5">
        <v>101.8</v>
      </c>
      <c r="H3753" s="5">
        <v>101.6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101.6</v>
      </c>
      <c r="D3754" s="5">
        <v>0.1</v>
      </c>
      <c r="E3754" s="5">
        <v>101.8</v>
      </c>
      <c r="F3754" s="5">
        <v>205</v>
      </c>
      <c r="G3754" s="5">
        <v>101.8</v>
      </c>
      <c r="H3754" s="5">
        <v>101.6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103.9</v>
      </c>
      <c r="D3755" s="5">
        <v>0.1</v>
      </c>
      <c r="E3755" s="5">
        <v>104</v>
      </c>
      <c r="F3755" s="5">
        <v>207.5</v>
      </c>
      <c r="G3755" s="5">
        <v>103.1</v>
      </c>
      <c r="H3755" s="5">
        <v>102.9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103.9</v>
      </c>
      <c r="D3756" s="5">
        <v>0.1</v>
      </c>
      <c r="E3756" s="5">
        <v>104</v>
      </c>
      <c r="F3756" s="5">
        <v>207.5</v>
      </c>
      <c r="G3756" s="5">
        <v>103.1</v>
      </c>
      <c r="H3756" s="5">
        <v>102.9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103.9</v>
      </c>
      <c r="D3757" s="5">
        <v>0.1</v>
      </c>
      <c r="E3757" s="5">
        <v>104</v>
      </c>
      <c r="F3757" s="5">
        <v>207.5</v>
      </c>
      <c r="G3757" s="5">
        <v>103.1</v>
      </c>
      <c r="H3757" s="5">
        <v>102.9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103.9</v>
      </c>
      <c r="D3758" s="5">
        <v>0.1</v>
      </c>
      <c r="E3758" s="5">
        <v>104</v>
      </c>
      <c r="F3758" s="5">
        <v>207.5</v>
      </c>
      <c r="G3758" s="5">
        <v>103.1</v>
      </c>
      <c r="H3758" s="5">
        <v>102.9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103.8</v>
      </c>
      <c r="D3759" s="5">
        <v>0.1</v>
      </c>
      <c r="E3759" s="5">
        <v>103.9</v>
      </c>
      <c r="F3759" s="5">
        <v>205.8</v>
      </c>
      <c r="G3759" s="5">
        <v>102.3</v>
      </c>
      <c r="H3759" s="5">
        <v>102.1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103.8</v>
      </c>
      <c r="D3760" s="5">
        <v>0.1</v>
      </c>
      <c r="E3760" s="5">
        <v>103.9</v>
      </c>
      <c r="F3760" s="5">
        <v>205.8</v>
      </c>
      <c r="G3760" s="5">
        <v>102.3</v>
      </c>
      <c r="H3760" s="5">
        <v>102.1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103.4</v>
      </c>
      <c r="D3761" s="5">
        <v>0.1</v>
      </c>
      <c r="E3761" s="5">
        <v>103.5</v>
      </c>
      <c r="F3761" s="5">
        <v>205.9</v>
      </c>
      <c r="G3761" s="5">
        <v>102.3</v>
      </c>
      <c r="H3761" s="5">
        <v>102.1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103.4</v>
      </c>
      <c r="D3762" s="5">
        <v>0.1</v>
      </c>
      <c r="E3762" s="5">
        <v>103.5</v>
      </c>
      <c r="F3762" s="5">
        <v>205.9</v>
      </c>
      <c r="G3762" s="5">
        <v>102.3</v>
      </c>
      <c r="H3762" s="5">
        <v>102.1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103.5</v>
      </c>
      <c r="D3763" s="5">
        <v>0.1</v>
      </c>
      <c r="E3763" s="5">
        <v>103.7</v>
      </c>
      <c r="F3763" s="5">
        <v>204.8</v>
      </c>
      <c r="G3763" s="5">
        <v>101.8</v>
      </c>
      <c r="H3763" s="5">
        <v>101.6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103.5</v>
      </c>
      <c r="D3764" s="5">
        <v>0.1</v>
      </c>
      <c r="E3764" s="5">
        <v>103.7</v>
      </c>
      <c r="F3764" s="5">
        <v>204.8</v>
      </c>
      <c r="G3764" s="5">
        <v>101.8</v>
      </c>
      <c r="H3764" s="5">
        <v>101.6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103.4</v>
      </c>
      <c r="D3765" s="5">
        <v>0.1</v>
      </c>
      <c r="E3765" s="5">
        <v>103.5</v>
      </c>
      <c r="F3765" s="5">
        <v>205.7</v>
      </c>
      <c r="G3765" s="5">
        <v>102.2</v>
      </c>
      <c r="H3765" s="5">
        <v>102.1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103.4</v>
      </c>
      <c r="D3766" s="5">
        <v>0.1</v>
      </c>
      <c r="E3766" s="5">
        <v>103.5</v>
      </c>
      <c r="F3766" s="5">
        <v>205.7</v>
      </c>
      <c r="G3766" s="5">
        <v>102.2</v>
      </c>
      <c r="H3766" s="5">
        <v>102.1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103.4</v>
      </c>
      <c r="D3767" s="5">
        <v>0.1</v>
      </c>
      <c r="E3767" s="5">
        <v>103.5</v>
      </c>
      <c r="F3767" s="5">
        <v>205.7</v>
      </c>
      <c r="G3767" s="5">
        <v>102.2</v>
      </c>
      <c r="H3767" s="5">
        <v>102.1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103.4</v>
      </c>
      <c r="D3768" s="5">
        <v>0.1</v>
      </c>
      <c r="E3768" s="5">
        <v>103.5</v>
      </c>
      <c r="F3768" s="5">
        <v>205.7</v>
      </c>
      <c r="G3768" s="5">
        <v>102.2</v>
      </c>
      <c r="H3768" s="5">
        <v>102.1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103.1</v>
      </c>
      <c r="D3769" s="5">
        <v>0.1</v>
      </c>
      <c r="E3769" s="5">
        <v>103.2</v>
      </c>
      <c r="F3769" s="5">
        <v>205</v>
      </c>
      <c r="G3769" s="5">
        <v>101.8</v>
      </c>
      <c r="H3769" s="5">
        <v>101.7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103.1</v>
      </c>
      <c r="D3770" s="5">
        <v>0.1</v>
      </c>
      <c r="E3770" s="5">
        <v>103.2</v>
      </c>
      <c r="F3770" s="5">
        <v>205</v>
      </c>
      <c r="G3770" s="5">
        <v>101.8</v>
      </c>
      <c r="H3770" s="5">
        <v>101.7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102.8</v>
      </c>
      <c r="D3771" s="5">
        <v>0.1</v>
      </c>
      <c r="E3771" s="5">
        <v>102.9</v>
      </c>
      <c r="F3771" s="5">
        <v>205.4</v>
      </c>
      <c r="G3771" s="5">
        <v>102</v>
      </c>
      <c r="H3771" s="5">
        <v>101.9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102.8</v>
      </c>
      <c r="D3772" s="5">
        <v>0.1</v>
      </c>
      <c r="E3772" s="5">
        <v>102.9</v>
      </c>
      <c r="F3772" s="5">
        <v>205.4</v>
      </c>
      <c r="G3772" s="5">
        <v>102</v>
      </c>
      <c r="H3772" s="5">
        <v>101.9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102.7</v>
      </c>
      <c r="D3773" s="5">
        <v>0.1</v>
      </c>
      <c r="E3773" s="5">
        <v>102.8</v>
      </c>
      <c r="F3773" s="5">
        <v>205.3</v>
      </c>
      <c r="G3773" s="5">
        <v>102</v>
      </c>
      <c r="H3773" s="5">
        <v>101.8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102.7</v>
      </c>
      <c r="D3774" s="5">
        <v>0.1</v>
      </c>
      <c r="E3774" s="5">
        <v>102.8</v>
      </c>
      <c r="F3774" s="5">
        <v>205.3</v>
      </c>
      <c r="G3774" s="5">
        <v>102</v>
      </c>
      <c r="H3774" s="5">
        <v>101.8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104</v>
      </c>
      <c r="D3775" s="5">
        <v>0.1</v>
      </c>
      <c r="E3775" s="5">
        <v>104.2</v>
      </c>
      <c r="F3775" s="5">
        <v>206.6</v>
      </c>
      <c r="G3775" s="5">
        <v>102.6</v>
      </c>
      <c r="H3775" s="5">
        <v>102.5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104</v>
      </c>
      <c r="D3776" s="5">
        <v>0.1</v>
      </c>
      <c r="E3776" s="5">
        <v>104.2</v>
      </c>
      <c r="F3776" s="5">
        <v>206.6</v>
      </c>
      <c r="G3776" s="5">
        <v>102.6</v>
      </c>
      <c r="H3776" s="5">
        <v>102.5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104</v>
      </c>
      <c r="D3777" s="5">
        <v>0.1</v>
      </c>
      <c r="E3777" s="5">
        <v>104.2</v>
      </c>
      <c r="F3777" s="5">
        <v>206.6</v>
      </c>
      <c r="G3777" s="5">
        <v>102.6</v>
      </c>
      <c r="H3777" s="5">
        <v>102.5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104</v>
      </c>
      <c r="D3778" s="5">
        <v>0.1</v>
      </c>
      <c r="E3778" s="5">
        <v>104.2</v>
      </c>
      <c r="F3778" s="5">
        <v>206.6</v>
      </c>
      <c r="G3778" s="5">
        <v>102.6</v>
      </c>
      <c r="H3778" s="5">
        <v>102.5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102.6</v>
      </c>
      <c r="D3779" s="5">
        <v>0.1</v>
      </c>
      <c r="E3779" s="5">
        <v>102.7</v>
      </c>
      <c r="F3779" s="5">
        <v>205.8</v>
      </c>
      <c r="G3779" s="5">
        <v>102.3</v>
      </c>
      <c r="H3779" s="5">
        <v>102.1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102.6</v>
      </c>
      <c r="D3780" s="5">
        <v>0.1</v>
      </c>
      <c r="E3780" s="5">
        <v>102.7</v>
      </c>
      <c r="F3780" s="5">
        <v>205.8</v>
      </c>
      <c r="G3780" s="5">
        <v>102.3</v>
      </c>
      <c r="H3780" s="5">
        <v>102.1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103.1</v>
      </c>
      <c r="D3781" s="5">
        <v>0.1</v>
      </c>
      <c r="E3781" s="5">
        <v>103.2</v>
      </c>
      <c r="F3781" s="5">
        <v>204.3</v>
      </c>
      <c r="G3781" s="5">
        <v>101.5</v>
      </c>
      <c r="H3781" s="5">
        <v>101.4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103.1</v>
      </c>
      <c r="D3782" s="5">
        <v>0.1</v>
      </c>
      <c r="E3782" s="5">
        <v>103.2</v>
      </c>
      <c r="F3782" s="5">
        <v>204.3</v>
      </c>
      <c r="G3782" s="5">
        <v>101.5</v>
      </c>
      <c r="H3782" s="5">
        <v>101.4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103.5</v>
      </c>
      <c r="D3783" s="5">
        <v>0.1</v>
      </c>
      <c r="E3783" s="5">
        <v>103.7</v>
      </c>
      <c r="F3783" s="5">
        <v>205.8</v>
      </c>
      <c r="G3783" s="5">
        <v>102.3</v>
      </c>
      <c r="H3783" s="5">
        <v>102.2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103.5</v>
      </c>
      <c r="D3784" s="5">
        <v>0.1</v>
      </c>
      <c r="E3784" s="5">
        <v>103.7</v>
      </c>
      <c r="F3784" s="5">
        <v>205.8</v>
      </c>
      <c r="G3784" s="5">
        <v>102.3</v>
      </c>
      <c r="H3784" s="5">
        <v>102.2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103.4</v>
      </c>
      <c r="D3785" s="5">
        <v>0.1</v>
      </c>
      <c r="E3785" s="5">
        <v>103.6</v>
      </c>
      <c r="F3785" s="5">
        <v>205.9</v>
      </c>
      <c r="G3785" s="5">
        <v>102.3</v>
      </c>
      <c r="H3785" s="5">
        <v>102.2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103.4</v>
      </c>
      <c r="D3786" s="5">
        <v>0.1</v>
      </c>
      <c r="E3786" s="5">
        <v>103.6</v>
      </c>
      <c r="F3786" s="5">
        <v>205.9</v>
      </c>
      <c r="G3786" s="5">
        <v>102.3</v>
      </c>
      <c r="H3786" s="5">
        <v>102.2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103.4</v>
      </c>
      <c r="D3787" s="5">
        <v>0.1</v>
      </c>
      <c r="E3787" s="5">
        <v>103.6</v>
      </c>
      <c r="F3787" s="5">
        <v>205.9</v>
      </c>
      <c r="G3787" s="5">
        <v>102.3</v>
      </c>
      <c r="H3787" s="5">
        <v>102.2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103.4</v>
      </c>
      <c r="D3788" s="5">
        <v>0.1</v>
      </c>
      <c r="E3788" s="5">
        <v>103.5</v>
      </c>
      <c r="F3788" s="5">
        <v>205.3</v>
      </c>
      <c r="G3788" s="5">
        <v>102</v>
      </c>
      <c r="H3788" s="5">
        <v>101.9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103.4</v>
      </c>
      <c r="D3789" s="5">
        <v>0.1</v>
      </c>
      <c r="E3789" s="5">
        <v>103.5</v>
      </c>
      <c r="F3789" s="5">
        <v>205.3</v>
      </c>
      <c r="G3789" s="5">
        <v>102</v>
      </c>
      <c r="H3789" s="5">
        <v>101.9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103.4</v>
      </c>
      <c r="D3790" s="5">
        <v>0.1</v>
      </c>
      <c r="E3790" s="5">
        <v>103.6</v>
      </c>
      <c r="F3790" s="5">
        <v>205.4</v>
      </c>
      <c r="G3790" s="5">
        <v>102</v>
      </c>
      <c r="H3790" s="5">
        <v>101.9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103.4</v>
      </c>
      <c r="D3791" s="5">
        <v>0.1</v>
      </c>
      <c r="E3791" s="5">
        <v>103.6</v>
      </c>
      <c r="F3791" s="5">
        <v>205.4</v>
      </c>
      <c r="G3791" s="5">
        <v>102.1</v>
      </c>
      <c r="H3791" s="5">
        <v>102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104</v>
      </c>
      <c r="D3792" s="5">
        <v>0.1</v>
      </c>
      <c r="E3792" s="5">
        <v>103.6</v>
      </c>
      <c r="F3792" s="5">
        <v>205.4</v>
      </c>
      <c r="G3792" s="5">
        <v>102.1</v>
      </c>
      <c r="H3792" s="5">
        <v>102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104</v>
      </c>
      <c r="D3793" s="5">
        <v>0.1</v>
      </c>
      <c r="E3793" s="5">
        <v>104.1</v>
      </c>
      <c r="F3793" s="5">
        <v>205.7</v>
      </c>
      <c r="G3793" s="5">
        <v>102.2</v>
      </c>
      <c r="H3793" s="5">
        <v>102.1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104</v>
      </c>
      <c r="D3794" s="5">
        <v>0.1</v>
      </c>
      <c r="E3794" s="5">
        <v>104.1</v>
      </c>
      <c r="F3794" s="5">
        <v>205.7</v>
      </c>
      <c r="G3794" s="5">
        <v>102.2</v>
      </c>
      <c r="H3794" s="5">
        <v>102.1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103.5</v>
      </c>
      <c r="D3795" s="5">
        <v>0.1</v>
      </c>
      <c r="E3795" s="5">
        <v>103.7</v>
      </c>
      <c r="F3795" s="5">
        <v>205.7</v>
      </c>
      <c r="G3795" s="5">
        <v>102.2</v>
      </c>
      <c r="H3795" s="5">
        <v>102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103.5</v>
      </c>
      <c r="D3796" s="5">
        <v>0.1</v>
      </c>
      <c r="E3796" s="5">
        <v>103.7</v>
      </c>
      <c r="F3796" s="5">
        <v>205.7</v>
      </c>
      <c r="G3796" s="5">
        <v>102.2</v>
      </c>
      <c r="H3796" s="5">
        <v>102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103.5</v>
      </c>
      <c r="D3797" s="5">
        <v>0.1</v>
      </c>
      <c r="E3797" s="5">
        <v>103.7</v>
      </c>
      <c r="F3797" s="5">
        <v>205.7</v>
      </c>
      <c r="G3797" s="5">
        <v>102.2</v>
      </c>
      <c r="H3797" s="5">
        <v>102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103.5</v>
      </c>
      <c r="D3798" s="5">
        <v>0.1</v>
      </c>
      <c r="E3798" s="5">
        <v>103.7</v>
      </c>
      <c r="F3798" s="5">
        <v>205.7</v>
      </c>
      <c r="G3798" s="5">
        <v>102.2</v>
      </c>
      <c r="H3798" s="5">
        <v>102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103.4</v>
      </c>
      <c r="D3799" s="5">
        <v>0.1</v>
      </c>
      <c r="E3799" s="5">
        <v>103.5</v>
      </c>
      <c r="F3799" s="5">
        <v>206.3</v>
      </c>
      <c r="G3799" s="5">
        <v>102.5</v>
      </c>
      <c r="H3799" s="5">
        <v>102.3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103.4</v>
      </c>
      <c r="D3800" s="5">
        <v>0.1</v>
      </c>
      <c r="E3800" s="5">
        <v>103.5</v>
      </c>
      <c r="F3800" s="5">
        <v>206.3</v>
      </c>
      <c r="G3800" s="5">
        <v>102.5</v>
      </c>
      <c r="H3800" s="5">
        <v>102.3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103.4</v>
      </c>
      <c r="D3801" s="5">
        <v>0.1</v>
      </c>
      <c r="E3801" s="5">
        <v>103.4</v>
      </c>
      <c r="F3801" s="5">
        <v>206</v>
      </c>
      <c r="G3801" s="5">
        <v>102.4</v>
      </c>
      <c r="H3801" s="5">
        <v>102.2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103.4</v>
      </c>
      <c r="D3802" s="5">
        <v>0.1</v>
      </c>
      <c r="E3802" s="5">
        <v>103.4</v>
      </c>
      <c r="F3802" s="5">
        <v>206</v>
      </c>
      <c r="G3802" s="5">
        <v>102.4</v>
      </c>
      <c r="H3802" s="5">
        <v>102.2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103.1</v>
      </c>
      <c r="D3803" s="5">
        <v>0.1</v>
      </c>
      <c r="E3803" s="5">
        <v>103.3</v>
      </c>
      <c r="F3803" s="5">
        <v>205.8</v>
      </c>
      <c r="G3803" s="5">
        <v>102.3</v>
      </c>
      <c r="H3803" s="5">
        <v>102.1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103.1</v>
      </c>
      <c r="D3804" s="5">
        <v>0.1</v>
      </c>
      <c r="E3804" s="5">
        <v>103.3</v>
      </c>
      <c r="F3804" s="5">
        <v>205.8</v>
      </c>
      <c r="G3804" s="5">
        <v>102.3</v>
      </c>
      <c r="H3804" s="5">
        <v>102.1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103.2</v>
      </c>
      <c r="D3805" s="5">
        <v>0.1</v>
      </c>
      <c r="E3805" s="5">
        <v>103.4</v>
      </c>
      <c r="F3805" s="5">
        <v>205.7</v>
      </c>
      <c r="G3805" s="5">
        <v>102.1</v>
      </c>
      <c r="H3805" s="5">
        <v>102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103.2</v>
      </c>
      <c r="D3806" s="5">
        <v>0.1</v>
      </c>
      <c r="E3806" s="5">
        <v>103.4</v>
      </c>
      <c r="F3806" s="5">
        <v>205.7</v>
      </c>
      <c r="G3806" s="5">
        <v>102.1</v>
      </c>
      <c r="H3806" s="5">
        <v>102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103.2</v>
      </c>
      <c r="D3807" s="5">
        <v>0.1</v>
      </c>
      <c r="E3807" s="5">
        <v>103.4</v>
      </c>
      <c r="F3807" s="5">
        <v>205.7</v>
      </c>
      <c r="G3807" s="5">
        <v>102.1</v>
      </c>
      <c r="H3807" s="5">
        <v>102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103.2</v>
      </c>
      <c r="D3808" s="5">
        <v>0.1</v>
      </c>
      <c r="E3808" s="5">
        <v>103.5</v>
      </c>
      <c r="F3808" s="5">
        <v>205.6</v>
      </c>
      <c r="G3808" s="5">
        <v>102.2</v>
      </c>
      <c r="H3808" s="5">
        <v>102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103.4</v>
      </c>
      <c r="D3809" s="5">
        <v>0.1</v>
      </c>
      <c r="E3809" s="5">
        <v>103.5</v>
      </c>
      <c r="F3809" s="5">
        <v>205.6</v>
      </c>
      <c r="G3809" s="5">
        <v>102.2</v>
      </c>
      <c r="H3809" s="5">
        <v>102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103.4</v>
      </c>
      <c r="D3810" s="5">
        <v>0.1</v>
      </c>
      <c r="E3810" s="5">
        <v>104.2</v>
      </c>
      <c r="F3810" s="5">
        <v>206.7</v>
      </c>
      <c r="G3810" s="5">
        <v>102.7</v>
      </c>
      <c r="H3810" s="5">
        <v>102.6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104</v>
      </c>
      <c r="D3811" s="5">
        <v>0.1</v>
      </c>
      <c r="E3811" s="5">
        <v>104.2</v>
      </c>
      <c r="F3811" s="5">
        <v>206.7</v>
      </c>
      <c r="G3811" s="5">
        <v>102.7</v>
      </c>
      <c r="H3811" s="5">
        <v>102.6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104</v>
      </c>
      <c r="D3812" s="5">
        <v>0.1</v>
      </c>
      <c r="E3812" s="5">
        <v>103.7</v>
      </c>
      <c r="F3812" s="5">
        <v>205.9</v>
      </c>
      <c r="G3812" s="5">
        <v>102.3</v>
      </c>
      <c r="H3812" s="5">
        <v>102.2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103.6</v>
      </c>
      <c r="D3813" s="5">
        <v>0.1</v>
      </c>
      <c r="E3813" s="5">
        <v>103.7</v>
      </c>
      <c r="F3813" s="5">
        <v>205.9</v>
      </c>
      <c r="G3813" s="5">
        <v>102.3</v>
      </c>
      <c r="H3813" s="5">
        <v>102.2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103.6</v>
      </c>
      <c r="D3814" s="5">
        <v>0.1</v>
      </c>
      <c r="E3814" s="5">
        <v>103.5</v>
      </c>
      <c r="F3814" s="5">
        <v>206.1</v>
      </c>
      <c r="G3814" s="5">
        <v>102.4</v>
      </c>
      <c r="H3814" s="5">
        <v>102.2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103.4</v>
      </c>
      <c r="D3815" s="5">
        <v>0.1</v>
      </c>
      <c r="E3815" s="5">
        <v>103.5</v>
      </c>
      <c r="F3815" s="5">
        <v>206.1</v>
      </c>
      <c r="G3815" s="5">
        <v>102.4</v>
      </c>
      <c r="H3815" s="5">
        <v>102.2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103.4</v>
      </c>
      <c r="D3816" s="5">
        <v>0.1</v>
      </c>
      <c r="E3816" s="5">
        <v>103.5</v>
      </c>
      <c r="F3816" s="5">
        <v>206.1</v>
      </c>
      <c r="G3816" s="5">
        <v>102.4</v>
      </c>
      <c r="H3816" s="5">
        <v>102.2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103.4</v>
      </c>
      <c r="D3817" s="5">
        <v>0.1</v>
      </c>
      <c r="E3817" s="5">
        <v>103.5</v>
      </c>
      <c r="F3817" s="5">
        <v>206.1</v>
      </c>
      <c r="G3817" s="5">
        <v>102.4</v>
      </c>
      <c r="H3817" s="5">
        <v>102.2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103.7</v>
      </c>
      <c r="D3818" s="5">
        <v>0.1</v>
      </c>
      <c r="E3818" s="5">
        <v>103.9</v>
      </c>
      <c r="F3818" s="5">
        <v>205.4</v>
      </c>
      <c r="G3818" s="5">
        <v>102.1</v>
      </c>
      <c r="H3818" s="5">
        <v>101.9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103.7</v>
      </c>
      <c r="D3819" s="5">
        <v>0.1</v>
      </c>
      <c r="E3819" s="5">
        <v>103.9</v>
      </c>
      <c r="F3819" s="5">
        <v>205.4</v>
      </c>
      <c r="G3819" s="5">
        <v>102.1</v>
      </c>
      <c r="H3819" s="5">
        <v>101.9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104.1</v>
      </c>
      <c r="D3820" s="5">
        <v>0.1</v>
      </c>
      <c r="E3820" s="5">
        <v>104.3</v>
      </c>
      <c r="F3820" s="5">
        <v>207.2</v>
      </c>
      <c r="G3820" s="5">
        <v>102.9</v>
      </c>
      <c r="H3820" s="5">
        <v>102.8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104.1</v>
      </c>
      <c r="D3821" s="5">
        <v>0.1</v>
      </c>
      <c r="E3821" s="5">
        <v>104.3</v>
      </c>
      <c r="F3821" s="5">
        <v>207.2</v>
      </c>
      <c r="G3821" s="5">
        <v>102.9</v>
      </c>
      <c r="H3821" s="5">
        <v>102.8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105.1</v>
      </c>
      <c r="D3822" s="5">
        <v>0.1</v>
      </c>
      <c r="E3822" s="5">
        <v>105.3</v>
      </c>
      <c r="F3822" s="5">
        <v>209.8</v>
      </c>
      <c r="G3822" s="5">
        <v>104.2</v>
      </c>
      <c r="H3822" s="5">
        <v>104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105.1</v>
      </c>
      <c r="D3823" s="5">
        <v>0.1</v>
      </c>
      <c r="E3823" s="5">
        <v>105.3</v>
      </c>
      <c r="F3823" s="5">
        <v>209.8</v>
      </c>
      <c r="G3823" s="5">
        <v>104.2</v>
      </c>
      <c r="H3823" s="5">
        <v>104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104.5</v>
      </c>
      <c r="D3824" s="5">
        <v>0.1</v>
      </c>
      <c r="E3824" s="5">
        <v>104.6</v>
      </c>
      <c r="F3824" s="5">
        <v>207.6</v>
      </c>
      <c r="G3824" s="5">
        <v>103.1</v>
      </c>
      <c r="H3824" s="5">
        <v>103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104.5</v>
      </c>
      <c r="D3825" s="5">
        <v>0.1</v>
      </c>
      <c r="E3825" s="5">
        <v>104.6</v>
      </c>
      <c r="F3825" s="5">
        <v>207.6</v>
      </c>
      <c r="G3825" s="5">
        <v>103.1</v>
      </c>
      <c r="H3825" s="5">
        <v>103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104.5</v>
      </c>
      <c r="D3826" s="5">
        <v>0.1</v>
      </c>
      <c r="E3826" s="5">
        <v>104.6</v>
      </c>
      <c r="F3826" s="5">
        <v>207.6</v>
      </c>
      <c r="G3826" s="5">
        <v>103.1</v>
      </c>
      <c r="H3826" s="5">
        <v>103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104.5</v>
      </c>
      <c r="D3827" s="5">
        <v>0.1</v>
      </c>
      <c r="E3827" s="5">
        <v>104.6</v>
      </c>
      <c r="F3827" s="5">
        <v>207.6</v>
      </c>
      <c r="G3827" s="5">
        <v>103.1</v>
      </c>
      <c r="H3827" s="5">
        <v>103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104.1</v>
      </c>
      <c r="D3828" s="5">
        <v>0.1</v>
      </c>
      <c r="E3828" s="5">
        <v>104.3</v>
      </c>
      <c r="F3828" s="5">
        <v>207.6</v>
      </c>
      <c r="G3828" s="5">
        <v>103.1</v>
      </c>
      <c r="H3828" s="5">
        <v>103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104.1</v>
      </c>
      <c r="D3829" s="5">
        <v>0.1</v>
      </c>
      <c r="E3829" s="5">
        <v>104.3</v>
      </c>
      <c r="F3829" s="5">
        <v>207.4</v>
      </c>
      <c r="G3829" s="5">
        <v>103.1</v>
      </c>
      <c r="H3829" s="5">
        <v>102.9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103.1</v>
      </c>
      <c r="D3830" s="5">
        <v>0.1</v>
      </c>
      <c r="E3830" s="5">
        <v>104.3</v>
      </c>
      <c r="F3830" s="5">
        <v>207.4</v>
      </c>
      <c r="G3830" s="5">
        <v>103.1</v>
      </c>
      <c r="H3830" s="5">
        <v>102.9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103.1</v>
      </c>
      <c r="D3831" s="5">
        <v>0.1</v>
      </c>
      <c r="E3831" s="5">
        <v>103.3</v>
      </c>
      <c r="F3831" s="5">
        <v>205.9</v>
      </c>
      <c r="G3831" s="5">
        <v>102.3</v>
      </c>
      <c r="H3831" s="5">
        <v>102.2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103.1</v>
      </c>
      <c r="D3832" s="5">
        <v>0.1</v>
      </c>
      <c r="E3832" s="5">
        <v>103.3</v>
      </c>
      <c r="F3832" s="5">
        <v>205.9</v>
      </c>
      <c r="G3832" s="5">
        <v>102.3</v>
      </c>
      <c r="H3832" s="5">
        <v>102.2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103.4</v>
      </c>
      <c r="D3833" s="5">
        <v>0.1</v>
      </c>
      <c r="E3833" s="5">
        <v>103.5</v>
      </c>
      <c r="F3833" s="5">
        <v>206</v>
      </c>
      <c r="G3833" s="5">
        <v>102.4</v>
      </c>
      <c r="H3833" s="5">
        <v>102.2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103.4</v>
      </c>
      <c r="D3834" s="5">
        <v>0.1</v>
      </c>
      <c r="E3834" s="5">
        <v>103.5</v>
      </c>
      <c r="F3834" s="5">
        <v>206</v>
      </c>
      <c r="G3834" s="5">
        <v>102.4</v>
      </c>
      <c r="H3834" s="5">
        <v>102.2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103</v>
      </c>
      <c r="D3835" s="5">
        <v>0.1</v>
      </c>
      <c r="E3835" s="5">
        <v>103.1</v>
      </c>
      <c r="F3835" s="5">
        <v>205.3</v>
      </c>
      <c r="G3835" s="5">
        <v>102</v>
      </c>
      <c r="H3835" s="5">
        <v>101.8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103</v>
      </c>
      <c r="D3836" s="5">
        <v>0.1</v>
      </c>
      <c r="E3836" s="5">
        <v>103.1</v>
      </c>
      <c r="F3836" s="5">
        <v>205.3</v>
      </c>
      <c r="G3836" s="5">
        <v>102</v>
      </c>
      <c r="H3836" s="5">
        <v>101.8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103</v>
      </c>
      <c r="D3837" s="5">
        <v>0.1</v>
      </c>
      <c r="E3837" s="5">
        <v>103.1</v>
      </c>
      <c r="F3837" s="5">
        <v>205.3</v>
      </c>
      <c r="G3837" s="5">
        <v>102</v>
      </c>
      <c r="H3837" s="5">
        <v>101.8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102.7</v>
      </c>
      <c r="D3838" s="5">
        <v>0.1</v>
      </c>
      <c r="E3838" s="5">
        <v>102.8</v>
      </c>
      <c r="F3838" s="5">
        <v>204.3</v>
      </c>
      <c r="G3838" s="5">
        <v>101.4</v>
      </c>
      <c r="H3838" s="5">
        <v>101.2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102.7</v>
      </c>
      <c r="D3839" s="5">
        <v>0.1</v>
      </c>
      <c r="E3839" s="5">
        <v>102.8</v>
      </c>
      <c r="F3839" s="5">
        <v>204.3</v>
      </c>
      <c r="G3839" s="5">
        <v>101.4</v>
      </c>
      <c r="H3839" s="5">
        <v>101.2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104.3</v>
      </c>
      <c r="D3840" s="5">
        <v>0.1</v>
      </c>
      <c r="E3840" s="5">
        <v>104.4</v>
      </c>
      <c r="F3840" s="5">
        <v>207.1</v>
      </c>
      <c r="G3840" s="5">
        <v>102.7</v>
      </c>
      <c r="H3840" s="5">
        <v>102.6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104.3</v>
      </c>
      <c r="D3841" s="5">
        <v>0.1</v>
      </c>
      <c r="E3841" s="5">
        <v>104.4</v>
      </c>
      <c r="F3841" s="5">
        <v>207.1</v>
      </c>
      <c r="G3841" s="5">
        <v>102.7</v>
      </c>
      <c r="H3841" s="5">
        <v>102.6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100.2</v>
      </c>
      <c r="D3842" s="5">
        <v>0.1</v>
      </c>
      <c r="E3842" s="5">
        <v>100.3</v>
      </c>
      <c r="F3842" s="5">
        <v>203.8</v>
      </c>
      <c r="G3842" s="5">
        <v>102.7</v>
      </c>
      <c r="H3842" s="5">
        <v>102.6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100.2</v>
      </c>
      <c r="D3843" s="5">
        <v>0.1</v>
      </c>
      <c r="E3843" s="5">
        <v>100.3</v>
      </c>
      <c r="F3843" s="5">
        <v>203.8</v>
      </c>
      <c r="G3843" s="5">
        <v>102.7</v>
      </c>
      <c r="H3843" s="5">
        <v>102.6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104.6</v>
      </c>
      <c r="D3844" s="5">
        <v>0.1</v>
      </c>
      <c r="E3844" s="5">
        <v>104.8</v>
      </c>
      <c r="F3844" s="5">
        <v>207.4</v>
      </c>
      <c r="G3844" s="5">
        <v>103.1</v>
      </c>
      <c r="H3844" s="5">
        <v>102.9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104.6</v>
      </c>
      <c r="D3845" s="5">
        <v>0.1</v>
      </c>
      <c r="E3845" s="5">
        <v>104.8</v>
      </c>
      <c r="F3845" s="5">
        <v>207.4</v>
      </c>
      <c r="G3845" s="5">
        <v>103.1</v>
      </c>
      <c r="H3845" s="5">
        <v>102.9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104.6</v>
      </c>
      <c r="D3846" s="5">
        <v>0.1</v>
      </c>
      <c r="E3846" s="5">
        <v>104.8</v>
      </c>
      <c r="F3846" s="5">
        <v>207.4</v>
      </c>
      <c r="G3846" s="5">
        <v>103.1</v>
      </c>
      <c r="H3846" s="5">
        <v>102.9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104.6</v>
      </c>
      <c r="D3847" s="5">
        <v>0.1</v>
      </c>
      <c r="E3847" s="5">
        <v>104.8</v>
      </c>
      <c r="F3847" s="5">
        <v>207.4</v>
      </c>
      <c r="G3847" s="5">
        <v>103.1</v>
      </c>
      <c r="H3847" s="5">
        <v>102.9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103.2</v>
      </c>
      <c r="D3848" s="5">
        <v>0.1</v>
      </c>
      <c r="E3848" s="5">
        <v>103.3</v>
      </c>
      <c r="F3848" s="5">
        <v>205</v>
      </c>
      <c r="G3848" s="5">
        <v>101.9</v>
      </c>
      <c r="H3848" s="5">
        <v>101.8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103.2</v>
      </c>
      <c r="D3849" s="5">
        <v>0.1</v>
      </c>
      <c r="E3849" s="5">
        <v>103.3</v>
      </c>
      <c r="F3849" s="5">
        <v>205</v>
      </c>
      <c r="G3849" s="5">
        <v>101.9</v>
      </c>
      <c r="H3849" s="5">
        <v>101.8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104.3</v>
      </c>
      <c r="D3850" s="5">
        <v>0.1</v>
      </c>
      <c r="E3850" s="5">
        <v>104.5</v>
      </c>
      <c r="F3850" s="5">
        <v>207.2</v>
      </c>
      <c r="G3850" s="5">
        <v>102.9</v>
      </c>
      <c r="H3850" s="5">
        <v>102.8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104.3</v>
      </c>
      <c r="D3851" s="5">
        <v>0.1</v>
      </c>
      <c r="E3851" s="5">
        <v>104.5</v>
      </c>
      <c r="F3851" s="5">
        <v>207.2</v>
      </c>
      <c r="G3851" s="5">
        <v>102.9</v>
      </c>
      <c r="H3851" s="5">
        <v>102.8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100.8</v>
      </c>
      <c r="D3852" s="5">
        <v>0.1</v>
      </c>
      <c r="E3852" s="5">
        <v>100.9</v>
      </c>
      <c r="F3852" s="5">
        <v>203.5</v>
      </c>
      <c r="G3852" s="5">
        <v>101</v>
      </c>
      <c r="H3852" s="5">
        <v>100.8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100.8</v>
      </c>
      <c r="D3853" s="5">
        <v>0.1</v>
      </c>
      <c r="E3853" s="5">
        <v>100.9</v>
      </c>
      <c r="F3853" s="5">
        <v>203.5</v>
      </c>
      <c r="G3853" s="5">
        <v>101</v>
      </c>
      <c r="H3853" s="5">
        <v>100.8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104</v>
      </c>
      <c r="D3854" s="5">
        <v>0.1</v>
      </c>
      <c r="E3854" s="5">
        <v>104.1</v>
      </c>
      <c r="F3854" s="5">
        <v>206.5</v>
      </c>
      <c r="G3854" s="5">
        <v>102.6</v>
      </c>
      <c r="H3854" s="5">
        <v>102.5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104</v>
      </c>
      <c r="D3855" s="5">
        <v>0.1</v>
      </c>
      <c r="E3855" s="5">
        <v>104.1</v>
      </c>
      <c r="F3855" s="5">
        <v>206.5</v>
      </c>
      <c r="G3855" s="5">
        <v>102.6</v>
      </c>
      <c r="H3855" s="5">
        <v>102.5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104</v>
      </c>
      <c r="D3856" s="5">
        <v>0.1</v>
      </c>
      <c r="E3856" s="5">
        <v>104.1</v>
      </c>
      <c r="F3856" s="5">
        <v>206.5</v>
      </c>
      <c r="G3856" s="5">
        <v>102.6</v>
      </c>
      <c r="H3856" s="5">
        <v>102.5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104</v>
      </c>
      <c r="D3857" s="5">
        <v>0.1</v>
      </c>
      <c r="E3857" s="5">
        <v>104.1</v>
      </c>
      <c r="F3857" s="5">
        <v>206.5</v>
      </c>
      <c r="G3857" s="5">
        <v>102.6</v>
      </c>
      <c r="H3857" s="5">
        <v>102.5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103</v>
      </c>
      <c r="D3858" s="5">
        <v>0.1</v>
      </c>
      <c r="E3858" s="5">
        <v>103.1</v>
      </c>
      <c r="F3858" s="5">
        <v>205.5</v>
      </c>
      <c r="G3858" s="5">
        <v>101.6</v>
      </c>
      <c r="H3858" s="5">
        <v>101.4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103</v>
      </c>
      <c r="D3859" s="5">
        <v>0.1</v>
      </c>
      <c r="E3859" s="5">
        <v>103.1</v>
      </c>
      <c r="F3859" s="5">
        <v>205.5</v>
      </c>
      <c r="G3859" s="5">
        <v>101.6</v>
      </c>
      <c r="H3859" s="5">
        <v>101.4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103.6</v>
      </c>
      <c r="D3860" s="5">
        <v>0.1</v>
      </c>
      <c r="E3860" s="5">
        <v>103.7</v>
      </c>
      <c r="F3860" s="5">
        <v>206</v>
      </c>
      <c r="G3860" s="5">
        <v>102.4</v>
      </c>
      <c r="H3860" s="5">
        <v>102.2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103.6</v>
      </c>
      <c r="D3861" s="5">
        <v>0.1</v>
      </c>
      <c r="E3861" s="5">
        <v>103.7</v>
      </c>
      <c r="F3861" s="5">
        <v>206</v>
      </c>
      <c r="G3861" s="5">
        <v>102.4</v>
      </c>
      <c r="H3861" s="5">
        <v>102.2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103.5</v>
      </c>
      <c r="D3862" s="5">
        <v>0.1</v>
      </c>
      <c r="E3862" s="5">
        <v>103.7</v>
      </c>
      <c r="F3862" s="5">
        <v>206</v>
      </c>
      <c r="G3862" s="5">
        <v>102.4</v>
      </c>
      <c r="H3862" s="5">
        <v>102.3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103.5</v>
      </c>
      <c r="D3863" s="5">
        <v>0.1</v>
      </c>
      <c r="E3863" s="5">
        <v>103.7</v>
      </c>
      <c r="F3863" s="5">
        <v>206</v>
      </c>
      <c r="G3863" s="5">
        <v>102.4</v>
      </c>
      <c r="H3863" s="5">
        <v>102.3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103.4</v>
      </c>
      <c r="D3864" s="5">
        <v>0.1</v>
      </c>
      <c r="E3864" s="5">
        <v>103.5</v>
      </c>
      <c r="F3864" s="5">
        <v>205</v>
      </c>
      <c r="G3864" s="5">
        <v>101.9</v>
      </c>
      <c r="H3864" s="5">
        <v>101.7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103.4</v>
      </c>
      <c r="D3865" s="5">
        <v>0.1</v>
      </c>
      <c r="E3865" s="5">
        <v>103.5</v>
      </c>
      <c r="F3865" s="5">
        <v>205</v>
      </c>
      <c r="G3865" s="5">
        <v>101.9</v>
      </c>
      <c r="H3865" s="5">
        <v>101.7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103.4</v>
      </c>
      <c r="D3866" s="5">
        <v>0.1</v>
      </c>
      <c r="E3866" s="5">
        <v>103.5</v>
      </c>
      <c r="F3866" s="5">
        <v>205</v>
      </c>
      <c r="G3866" s="5">
        <v>101.9</v>
      </c>
      <c r="H3866" s="5">
        <v>101.7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103.4</v>
      </c>
      <c r="D3867" s="5">
        <v>0.1</v>
      </c>
      <c r="E3867" s="5">
        <v>103.5</v>
      </c>
      <c r="F3867" s="5">
        <v>205</v>
      </c>
      <c r="G3867" s="5">
        <v>101.9</v>
      </c>
      <c r="H3867" s="5">
        <v>101.7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103.7</v>
      </c>
      <c r="D3868" s="5">
        <v>0.1</v>
      </c>
      <c r="E3868" s="5">
        <v>103.9</v>
      </c>
      <c r="F3868" s="5">
        <v>206.2</v>
      </c>
      <c r="G3868" s="5">
        <v>102.4</v>
      </c>
      <c r="H3868" s="5">
        <v>102.3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103.7</v>
      </c>
      <c r="D3869" s="5">
        <v>0.1</v>
      </c>
      <c r="E3869" s="5">
        <v>103.9</v>
      </c>
      <c r="F3869" s="5">
        <v>206.2</v>
      </c>
      <c r="G3869" s="5">
        <v>102.4</v>
      </c>
      <c r="H3869" s="5">
        <v>102.3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103.7</v>
      </c>
      <c r="D3870" s="5">
        <v>0.1</v>
      </c>
      <c r="E3870" s="5">
        <v>103.7</v>
      </c>
      <c r="F3870" s="5">
        <v>206.6</v>
      </c>
      <c r="G3870" s="5">
        <v>102.6</v>
      </c>
      <c r="H3870" s="5">
        <v>102.5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103.7</v>
      </c>
      <c r="D3871" s="5">
        <v>0.1</v>
      </c>
      <c r="E3871" s="5">
        <v>103.7</v>
      </c>
      <c r="F3871" s="5">
        <v>206.6</v>
      </c>
      <c r="G3871" s="5">
        <v>102.6</v>
      </c>
      <c r="H3871" s="5">
        <v>102.5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102.6</v>
      </c>
      <c r="D3872" s="5">
        <v>0.1</v>
      </c>
      <c r="E3872" s="5">
        <v>102.7</v>
      </c>
      <c r="F3872" s="5">
        <v>203.5</v>
      </c>
      <c r="G3872" s="5">
        <v>101.2</v>
      </c>
      <c r="H3872" s="5">
        <v>101.1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102.6</v>
      </c>
      <c r="D3873" s="5">
        <v>0.1</v>
      </c>
      <c r="E3873" s="5">
        <v>102.7</v>
      </c>
      <c r="F3873" s="5">
        <v>203.5</v>
      </c>
      <c r="G3873" s="5">
        <v>101.2</v>
      </c>
      <c r="H3873" s="5">
        <v>101.1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103.3</v>
      </c>
      <c r="D3874" s="5">
        <v>0.1</v>
      </c>
      <c r="E3874" s="5">
        <v>103.4</v>
      </c>
      <c r="F3874" s="5">
        <v>205.6</v>
      </c>
      <c r="G3874" s="5">
        <v>102.1</v>
      </c>
      <c r="H3874" s="5">
        <v>102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103.3</v>
      </c>
      <c r="D3875" s="5">
        <v>0.1</v>
      </c>
      <c r="E3875" s="5">
        <v>103.4</v>
      </c>
      <c r="F3875" s="5">
        <v>205.6</v>
      </c>
      <c r="G3875" s="5">
        <v>102.1</v>
      </c>
      <c r="H3875" s="5">
        <v>102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103.3</v>
      </c>
      <c r="D3876" s="5">
        <v>0.1</v>
      </c>
      <c r="E3876" s="5">
        <v>103.4</v>
      </c>
      <c r="F3876" s="5">
        <v>205.6</v>
      </c>
      <c r="G3876" s="5">
        <v>102.1</v>
      </c>
      <c r="H3876" s="5">
        <v>102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103.3</v>
      </c>
      <c r="D3877" s="5">
        <v>0.1</v>
      </c>
      <c r="E3877" s="5">
        <v>103.4</v>
      </c>
      <c r="F3877" s="5">
        <v>205.6</v>
      </c>
      <c r="G3877" s="5">
        <v>102.1</v>
      </c>
      <c r="H3877" s="5">
        <v>102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103.9</v>
      </c>
      <c r="D3878" s="5">
        <v>0.1</v>
      </c>
      <c r="E3878" s="5">
        <v>104</v>
      </c>
      <c r="F3878" s="5">
        <v>206.8</v>
      </c>
      <c r="G3878" s="5">
        <v>102.7</v>
      </c>
      <c r="H3878" s="5">
        <v>102.8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103.9</v>
      </c>
      <c r="D3879" s="5">
        <v>0.1</v>
      </c>
      <c r="E3879" s="5">
        <v>104</v>
      </c>
      <c r="F3879" s="5">
        <v>206.8</v>
      </c>
      <c r="G3879" s="5">
        <v>102.7</v>
      </c>
      <c r="H3879" s="5">
        <v>102.8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103.7</v>
      </c>
      <c r="D3880" s="5">
        <v>0.1</v>
      </c>
      <c r="E3880" s="5">
        <v>103.8</v>
      </c>
      <c r="F3880" s="5">
        <v>206.6</v>
      </c>
      <c r="G3880" s="5">
        <v>102.7</v>
      </c>
      <c r="H3880" s="5">
        <v>102.5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103.7</v>
      </c>
      <c r="D3881" s="5">
        <v>0.1</v>
      </c>
      <c r="E3881" s="5">
        <v>103.8</v>
      </c>
      <c r="F3881" s="5">
        <v>206.6</v>
      </c>
      <c r="G3881" s="5">
        <v>102.7</v>
      </c>
      <c r="H3881" s="5">
        <v>102.5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104</v>
      </c>
      <c r="D3882" s="5">
        <v>0.1</v>
      </c>
      <c r="E3882" s="5">
        <v>104.2</v>
      </c>
      <c r="F3882" s="5">
        <v>206.7</v>
      </c>
      <c r="G3882" s="5">
        <v>102.7</v>
      </c>
      <c r="H3882" s="5">
        <v>102.5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104</v>
      </c>
      <c r="D3883" s="5">
        <v>0.1</v>
      </c>
      <c r="E3883" s="5">
        <v>104.2</v>
      </c>
      <c r="F3883" s="5">
        <v>206.7</v>
      </c>
      <c r="G3883" s="5">
        <v>102.7</v>
      </c>
      <c r="H3883" s="5">
        <v>102.5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104</v>
      </c>
      <c r="D3884" s="5">
        <v>0.1</v>
      </c>
      <c r="E3884" s="5">
        <v>104.1</v>
      </c>
      <c r="F3884" s="5">
        <v>207.2</v>
      </c>
      <c r="G3884" s="5">
        <v>102.9</v>
      </c>
      <c r="H3884" s="5">
        <v>102.8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104</v>
      </c>
      <c r="D3885" s="5">
        <v>0.1</v>
      </c>
      <c r="E3885" s="5">
        <v>104.1</v>
      </c>
      <c r="F3885" s="5">
        <v>207.2</v>
      </c>
      <c r="G3885" s="5">
        <v>102.9</v>
      </c>
      <c r="H3885" s="5">
        <v>102.8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104</v>
      </c>
      <c r="D3886" s="5">
        <v>0.1</v>
      </c>
      <c r="E3886" s="5">
        <v>104.1</v>
      </c>
      <c r="F3886" s="5">
        <v>207.2</v>
      </c>
      <c r="G3886" s="5">
        <v>102.9</v>
      </c>
      <c r="H3886" s="5">
        <v>102.8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104</v>
      </c>
      <c r="D3887" s="5">
        <v>0.1</v>
      </c>
      <c r="E3887" s="5">
        <v>104.1</v>
      </c>
      <c r="F3887" s="5">
        <v>207.2</v>
      </c>
      <c r="G3887" s="5">
        <v>102.9</v>
      </c>
      <c r="H3887" s="5">
        <v>102.8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104.1</v>
      </c>
      <c r="D3888" s="5">
        <v>0.1</v>
      </c>
      <c r="E3888" s="5">
        <v>104.3</v>
      </c>
      <c r="F3888" s="5">
        <v>208.6</v>
      </c>
      <c r="G3888" s="5">
        <v>103.6</v>
      </c>
      <c r="H3888" s="5">
        <v>103.5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104.1</v>
      </c>
      <c r="D3889" s="5">
        <v>0.1</v>
      </c>
      <c r="E3889" s="5">
        <v>104.3</v>
      </c>
      <c r="F3889" s="5">
        <v>208.6</v>
      </c>
      <c r="G3889" s="5">
        <v>103.6</v>
      </c>
      <c r="H3889" s="5">
        <v>103.5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103.7</v>
      </c>
      <c r="D3890" s="5">
        <v>0.1</v>
      </c>
      <c r="E3890" s="5">
        <v>103.8</v>
      </c>
      <c r="F3890" s="5">
        <v>208</v>
      </c>
      <c r="G3890" s="5">
        <v>103.3</v>
      </c>
      <c r="H3890" s="5">
        <v>103.2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103.7</v>
      </c>
      <c r="D3891" s="5">
        <v>0.1</v>
      </c>
      <c r="E3891" s="5">
        <v>103.8</v>
      </c>
      <c r="F3891" s="5">
        <v>208</v>
      </c>
      <c r="G3891" s="5">
        <v>103.3</v>
      </c>
      <c r="H3891" s="5">
        <v>103.2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103.7</v>
      </c>
      <c r="D3892" s="5">
        <v>0.1</v>
      </c>
      <c r="E3892" s="5">
        <v>103.9</v>
      </c>
      <c r="F3892" s="5">
        <v>208.1</v>
      </c>
      <c r="G3892" s="5">
        <v>103.3</v>
      </c>
      <c r="H3892" s="5">
        <v>103.1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103.7</v>
      </c>
      <c r="D3893" s="5">
        <v>0.1</v>
      </c>
      <c r="E3893" s="5">
        <v>103.9</v>
      </c>
      <c r="F3893" s="5">
        <v>208.1</v>
      </c>
      <c r="G3893" s="5">
        <v>103.3</v>
      </c>
      <c r="H3893" s="5">
        <v>103.1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103.6</v>
      </c>
      <c r="D3894" s="5">
        <v>0.1</v>
      </c>
      <c r="E3894" s="5">
        <v>103.7</v>
      </c>
      <c r="F3894" s="5">
        <v>208.6</v>
      </c>
      <c r="G3894" s="5">
        <v>103.6</v>
      </c>
      <c r="H3894" s="5">
        <v>103.4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103.6</v>
      </c>
      <c r="D3895" s="5">
        <v>0.1</v>
      </c>
      <c r="E3895" s="5">
        <v>103.7</v>
      </c>
      <c r="F3895" s="5">
        <v>208.6</v>
      </c>
      <c r="G3895" s="5">
        <v>103.6</v>
      </c>
      <c r="H3895" s="5">
        <v>103.4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103.6</v>
      </c>
      <c r="D3896" s="5">
        <v>0.1</v>
      </c>
      <c r="E3896" s="5">
        <v>103.7</v>
      </c>
      <c r="F3896" s="5">
        <v>208.6</v>
      </c>
      <c r="G3896" s="5">
        <v>103.6</v>
      </c>
      <c r="H3896" s="5">
        <v>103.4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103.6</v>
      </c>
      <c r="D3897" s="5">
        <v>0.1</v>
      </c>
      <c r="E3897" s="5">
        <v>103.7</v>
      </c>
      <c r="F3897" s="5">
        <v>208.6</v>
      </c>
      <c r="G3897" s="5">
        <v>103.6</v>
      </c>
      <c r="H3897" s="5">
        <v>103.4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104</v>
      </c>
      <c r="D3898" s="5">
        <v>0.1</v>
      </c>
      <c r="E3898" s="5">
        <v>104.1</v>
      </c>
      <c r="F3898" s="5">
        <v>206.8</v>
      </c>
      <c r="G3898" s="5">
        <v>102.8</v>
      </c>
      <c r="H3898" s="5">
        <v>102.6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104</v>
      </c>
      <c r="D3899" s="5">
        <v>0.1</v>
      </c>
      <c r="E3899" s="5">
        <v>104.1</v>
      </c>
      <c r="F3899" s="5">
        <v>206.8</v>
      </c>
      <c r="G3899" s="5">
        <v>102.8</v>
      </c>
      <c r="H3899" s="5">
        <v>102.6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104.1</v>
      </c>
      <c r="D3900" s="5">
        <v>0.1</v>
      </c>
      <c r="E3900" s="5">
        <v>104.3</v>
      </c>
      <c r="F3900" s="5">
        <v>206.9</v>
      </c>
      <c r="G3900" s="5">
        <v>102.8</v>
      </c>
      <c r="H3900" s="5">
        <v>102.7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104.1</v>
      </c>
      <c r="D3901" s="5">
        <v>0.1</v>
      </c>
      <c r="E3901" s="5">
        <v>104.3</v>
      </c>
      <c r="F3901" s="5">
        <v>206.9</v>
      </c>
      <c r="G3901" s="5">
        <v>102.8</v>
      </c>
      <c r="H3901" s="5">
        <v>102.7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103.7</v>
      </c>
      <c r="D3902" s="5">
        <v>0.1</v>
      </c>
      <c r="E3902" s="5">
        <v>103.8</v>
      </c>
      <c r="F3902" s="5">
        <v>206.5</v>
      </c>
      <c r="G3902" s="5">
        <v>102.6</v>
      </c>
      <c r="H3902" s="5">
        <v>102.5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103.7</v>
      </c>
      <c r="D3903" s="5">
        <v>0.1</v>
      </c>
      <c r="E3903" s="5">
        <v>103.8</v>
      </c>
      <c r="F3903" s="5">
        <v>206.5</v>
      </c>
      <c r="G3903" s="5">
        <v>102.6</v>
      </c>
      <c r="H3903" s="5">
        <v>102.5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102.7</v>
      </c>
      <c r="D3904" s="5">
        <v>0.1</v>
      </c>
      <c r="E3904" s="5">
        <v>102.8</v>
      </c>
      <c r="F3904" s="5">
        <v>205.1</v>
      </c>
      <c r="G3904" s="5">
        <v>101.9</v>
      </c>
      <c r="H3904" s="5">
        <v>101.7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102.7</v>
      </c>
      <c r="D3905" s="5">
        <v>0.1</v>
      </c>
      <c r="E3905" s="5">
        <v>102.8</v>
      </c>
      <c r="F3905" s="5">
        <v>205.1</v>
      </c>
      <c r="G3905" s="5">
        <v>101.9</v>
      </c>
      <c r="H3905" s="5">
        <v>101.7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102.7</v>
      </c>
      <c r="D3906" s="5">
        <v>0.1</v>
      </c>
      <c r="E3906" s="5">
        <v>102.8</v>
      </c>
      <c r="F3906" s="5">
        <v>205.1</v>
      </c>
      <c r="G3906" s="5">
        <v>101.9</v>
      </c>
      <c r="H3906" s="5">
        <v>101.7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102.7</v>
      </c>
      <c r="D3907" s="5">
        <v>0.1</v>
      </c>
      <c r="E3907" s="5">
        <v>102.8</v>
      </c>
      <c r="F3907" s="5">
        <v>205.1</v>
      </c>
      <c r="G3907" s="5">
        <v>101.9</v>
      </c>
      <c r="H3907" s="5">
        <v>101.7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103.4</v>
      </c>
      <c r="D3908" s="5">
        <v>0.1</v>
      </c>
      <c r="E3908" s="5">
        <v>103.6</v>
      </c>
      <c r="F3908" s="5">
        <v>206.6</v>
      </c>
      <c r="G3908" s="5">
        <v>102.7</v>
      </c>
      <c r="H3908" s="5">
        <v>102.6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103.4</v>
      </c>
      <c r="D3909" s="5">
        <v>0.1</v>
      </c>
      <c r="E3909" s="5">
        <v>103.6</v>
      </c>
      <c r="F3909" s="5">
        <v>206.6</v>
      </c>
      <c r="G3909" s="5">
        <v>102.7</v>
      </c>
      <c r="H3909" s="5">
        <v>102.6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102.4</v>
      </c>
      <c r="D3910" s="5">
        <v>0.1</v>
      </c>
      <c r="E3910" s="5">
        <v>102.6</v>
      </c>
      <c r="F3910" s="5">
        <v>208.1</v>
      </c>
      <c r="G3910" s="5">
        <v>103.4</v>
      </c>
      <c r="H3910" s="5">
        <v>103.2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102.4</v>
      </c>
      <c r="D3911" s="5">
        <v>0.1</v>
      </c>
      <c r="E3911" s="5">
        <v>102.6</v>
      </c>
      <c r="F3911" s="5">
        <v>208.1</v>
      </c>
      <c r="G3911" s="5">
        <v>103.4</v>
      </c>
      <c r="H3911" s="5">
        <v>103.2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103.4</v>
      </c>
      <c r="D3912" s="5">
        <v>0.1</v>
      </c>
      <c r="E3912" s="5">
        <v>103.6</v>
      </c>
      <c r="F3912" s="5">
        <v>207.6</v>
      </c>
      <c r="G3912" s="5">
        <v>103.2</v>
      </c>
      <c r="H3912" s="5">
        <v>103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103.4</v>
      </c>
      <c r="D3913" s="5">
        <v>0.1</v>
      </c>
      <c r="E3913" s="5">
        <v>103.6</v>
      </c>
      <c r="F3913" s="5">
        <v>207.6</v>
      </c>
      <c r="G3913" s="5">
        <v>103.2</v>
      </c>
      <c r="H3913" s="5">
        <v>103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103.4</v>
      </c>
      <c r="D3914" s="5">
        <v>0.1</v>
      </c>
      <c r="E3914" s="5">
        <v>103.5</v>
      </c>
      <c r="F3914" s="5">
        <v>207.6</v>
      </c>
      <c r="G3914" s="5">
        <v>103.1</v>
      </c>
      <c r="H3914" s="5">
        <v>103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103.4</v>
      </c>
      <c r="D3915" s="5">
        <v>0.1</v>
      </c>
      <c r="E3915" s="5">
        <v>103.5</v>
      </c>
      <c r="F3915" s="5">
        <v>207.6</v>
      </c>
      <c r="G3915" s="5">
        <v>103.1</v>
      </c>
      <c r="H3915" s="5">
        <v>103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103.4</v>
      </c>
      <c r="D3916" s="5">
        <v>0.1</v>
      </c>
      <c r="E3916" s="5">
        <v>103.5</v>
      </c>
      <c r="F3916" s="5">
        <v>207.6</v>
      </c>
      <c r="G3916" s="5">
        <v>103.1</v>
      </c>
      <c r="H3916" s="5">
        <v>103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103.4</v>
      </c>
      <c r="D3917" s="5">
        <v>0.1</v>
      </c>
      <c r="E3917" s="5">
        <v>103.7</v>
      </c>
      <c r="F3917" s="5">
        <v>206.3</v>
      </c>
      <c r="G3917" s="5">
        <v>102.5</v>
      </c>
      <c r="H3917" s="5">
        <v>102.4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103.5</v>
      </c>
      <c r="D3918" s="5">
        <v>0.1</v>
      </c>
      <c r="E3918" s="5">
        <v>103.7</v>
      </c>
      <c r="F3918" s="5">
        <v>206.3</v>
      </c>
      <c r="G3918" s="5">
        <v>102.5</v>
      </c>
      <c r="H3918" s="5">
        <v>102.4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103.5</v>
      </c>
      <c r="D3919" s="5">
        <v>0.1</v>
      </c>
      <c r="E3919" s="5">
        <v>104.3</v>
      </c>
      <c r="F3919" s="5">
        <v>207.8</v>
      </c>
      <c r="G3919" s="5">
        <v>103.3</v>
      </c>
      <c r="H3919" s="5">
        <v>103.1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104.1</v>
      </c>
      <c r="D3920" s="5">
        <v>0.1</v>
      </c>
      <c r="E3920" s="5">
        <v>104.3</v>
      </c>
      <c r="F3920" s="5">
        <v>207.8</v>
      </c>
      <c r="G3920" s="5">
        <v>103.3</v>
      </c>
      <c r="H3920" s="5">
        <v>103.1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104.1</v>
      </c>
      <c r="D3921" s="5">
        <v>0.1</v>
      </c>
      <c r="E3921" s="5">
        <v>104.3</v>
      </c>
      <c r="F3921" s="5">
        <v>207.7</v>
      </c>
      <c r="G3921" s="5">
        <v>103.3</v>
      </c>
      <c r="H3921" s="5">
        <v>103.1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104.2</v>
      </c>
      <c r="D3922" s="5">
        <v>0.1</v>
      </c>
      <c r="E3922" s="5">
        <v>104.3</v>
      </c>
      <c r="F3922" s="5">
        <v>207.7</v>
      </c>
      <c r="G3922" s="5">
        <v>103.2</v>
      </c>
      <c r="H3922" s="5">
        <v>103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104.2</v>
      </c>
      <c r="D3923" s="5">
        <v>0.1</v>
      </c>
      <c r="E3923" s="5">
        <v>104.3</v>
      </c>
      <c r="F3923" s="5">
        <v>207.7</v>
      </c>
      <c r="G3923" s="5">
        <v>103.2</v>
      </c>
      <c r="H3923" s="5">
        <v>103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104</v>
      </c>
      <c r="D3924" s="5">
        <v>0.1</v>
      </c>
      <c r="E3924" s="5">
        <v>104.1</v>
      </c>
      <c r="F3924" s="5">
        <v>206.8</v>
      </c>
      <c r="G3924" s="5">
        <v>102.8</v>
      </c>
      <c r="H3924" s="5">
        <v>102.6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104</v>
      </c>
      <c r="D3925" s="5">
        <v>0.1</v>
      </c>
      <c r="E3925" s="5">
        <v>104.1</v>
      </c>
      <c r="F3925" s="5">
        <v>206.8</v>
      </c>
      <c r="G3925" s="5">
        <v>102.8</v>
      </c>
      <c r="H3925" s="5">
        <v>102.6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104</v>
      </c>
      <c r="D3926" s="5">
        <v>0.1</v>
      </c>
      <c r="E3926" s="5">
        <v>104.1</v>
      </c>
      <c r="F3926" s="5">
        <v>206.8</v>
      </c>
      <c r="G3926" s="5">
        <v>102.8</v>
      </c>
      <c r="H3926" s="5">
        <v>102.6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104</v>
      </c>
      <c r="D3927" s="5">
        <v>0.1</v>
      </c>
      <c r="E3927" s="5">
        <v>104.1</v>
      </c>
      <c r="F3927" s="5">
        <v>206.8</v>
      </c>
      <c r="G3927" s="5">
        <v>102.8</v>
      </c>
      <c r="H3927" s="5">
        <v>102.6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103.3</v>
      </c>
      <c r="D3928" s="5">
        <v>0.1</v>
      </c>
      <c r="E3928" s="5">
        <v>103.4</v>
      </c>
      <c r="F3928" s="5">
        <v>204.9</v>
      </c>
      <c r="G3928" s="5">
        <v>102</v>
      </c>
      <c r="H3928" s="5">
        <v>102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103.3</v>
      </c>
      <c r="D3929" s="5">
        <v>0.1</v>
      </c>
      <c r="E3929" s="5">
        <v>103.4</v>
      </c>
      <c r="F3929" s="5">
        <v>204.9</v>
      </c>
      <c r="G3929" s="5">
        <v>102</v>
      </c>
      <c r="H3929" s="5">
        <v>102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102.6</v>
      </c>
      <c r="D3930" s="5">
        <v>0.1</v>
      </c>
      <c r="E3930" s="5">
        <v>102.7</v>
      </c>
      <c r="F3930" s="5">
        <v>205.2</v>
      </c>
      <c r="G3930" s="5">
        <v>102</v>
      </c>
      <c r="H3930" s="5">
        <v>101.9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102.6</v>
      </c>
      <c r="D3931" s="5">
        <v>0.1</v>
      </c>
      <c r="E3931" s="5">
        <v>102.7</v>
      </c>
      <c r="F3931" s="5">
        <v>205.2</v>
      </c>
      <c r="G3931" s="5">
        <v>102</v>
      </c>
      <c r="H3931" s="5">
        <v>101.9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103.4</v>
      </c>
      <c r="D3932" s="5">
        <v>0.1</v>
      </c>
      <c r="E3932" s="5">
        <v>103.5</v>
      </c>
      <c r="F3932" s="5">
        <v>204.5</v>
      </c>
      <c r="G3932" s="5">
        <v>101.6</v>
      </c>
      <c r="H3932" s="5">
        <v>101.4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103.4</v>
      </c>
      <c r="D3933" s="5">
        <v>0.1</v>
      </c>
      <c r="E3933" s="5">
        <v>103.5</v>
      </c>
      <c r="F3933" s="5">
        <v>204.5</v>
      </c>
      <c r="G3933" s="5">
        <v>101.6</v>
      </c>
      <c r="H3933" s="5">
        <v>101.4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103.7</v>
      </c>
      <c r="D3934" s="5">
        <v>0.1</v>
      </c>
      <c r="E3934" s="5">
        <v>103.9</v>
      </c>
      <c r="F3934" s="5">
        <v>206.4</v>
      </c>
      <c r="G3934" s="5">
        <v>102.6</v>
      </c>
      <c r="H3934" s="5">
        <v>102.4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103.7</v>
      </c>
      <c r="D3935" s="5">
        <v>0.1</v>
      </c>
      <c r="E3935" s="5">
        <v>103.9</v>
      </c>
      <c r="F3935" s="5">
        <v>206.4</v>
      </c>
      <c r="G3935" s="5">
        <v>102.6</v>
      </c>
      <c r="H3935" s="5">
        <v>102.4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103.7</v>
      </c>
      <c r="D3936" s="5">
        <v>0.1</v>
      </c>
      <c r="E3936" s="5">
        <v>103.9</v>
      </c>
      <c r="F3936" s="5">
        <v>206.4</v>
      </c>
      <c r="G3936" s="5">
        <v>102.6</v>
      </c>
      <c r="H3936" s="5">
        <v>102.4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103.7</v>
      </c>
      <c r="D3937" s="5">
        <v>0.1</v>
      </c>
      <c r="E3937" s="5">
        <v>103.9</v>
      </c>
      <c r="F3937" s="5">
        <v>206.4</v>
      </c>
      <c r="G3937" s="5">
        <v>102.6</v>
      </c>
      <c r="H3937" s="5">
        <v>102.4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103.7</v>
      </c>
      <c r="D3938" s="5">
        <v>0.1</v>
      </c>
      <c r="E3938" s="5">
        <v>103.8</v>
      </c>
      <c r="F3938" s="5">
        <v>206.4</v>
      </c>
      <c r="G3938" s="5">
        <v>102.6</v>
      </c>
      <c r="H3938" s="5">
        <v>102.4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103.7</v>
      </c>
      <c r="D3939" s="5">
        <v>0.1</v>
      </c>
      <c r="E3939" s="5">
        <v>103.8</v>
      </c>
      <c r="F3939" s="5">
        <v>206.4</v>
      </c>
      <c r="G3939" s="5">
        <v>102.6</v>
      </c>
      <c r="H3939" s="5">
        <v>102.4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104.2</v>
      </c>
      <c r="D3940" s="5">
        <v>0.1</v>
      </c>
      <c r="E3940" s="5">
        <v>104.3</v>
      </c>
      <c r="F3940" s="5">
        <v>206.9</v>
      </c>
      <c r="G3940" s="5">
        <v>102.9</v>
      </c>
      <c r="H3940" s="5">
        <v>102.8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104.2</v>
      </c>
      <c r="D3941" s="5">
        <v>0.1</v>
      </c>
      <c r="E3941" s="5">
        <v>104.3</v>
      </c>
      <c r="F3941" s="5">
        <v>206.9</v>
      </c>
      <c r="G3941" s="5">
        <v>102.9</v>
      </c>
      <c r="H3941" s="5">
        <v>102.8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104.5</v>
      </c>
      <c r="D3942" s="5">
        <v>0.1</v>
      </c>
      <c r="E3942" s="5">
        <v>104.6</v>
      </c>
      <c r="F3942" s="5">
        <v>207.4</v>
      </c>
      <c r="G3942" s="5">
        <v>103.1</v>
      </c>
      <c r="H3942" s="5">
        <v>102.9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104.5</v>
      </c>
      <c r="D3943" s="5">
        <v>0.1</v>
      </c>
      <c r="E3943" s="5">
        <v>104.6</v>
      </c>
      <c r="F3943" s="5">
        <v>207.4</v>
      </c>
      <c r="G3943" s="5">
        <v>103.1</v>
      </c>
      <c r="H3943" s="5">
        <v>102.9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103.9</v>
      </c>
      <c r="D3944" s="5">
        <v>0.1</v>
      </c>
      <c r="E3944" s="5">
        <v>104</v>
      </c>
      <c r="F3944" s="5">
        <v>205.4</v>
      </c>
      <c r="G3944" s="5">
        <v>102.1</v>
      </c>
      <c r="H3944" s="5">
        <v>102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103.9</v>
      </c>
      <c r="D3945" s="5">
        <v>0.1</v>
      </c>
      <c r="E3945" s="5">
        <v>104</v>
      </c>
      <c r="F3945" s="5">
        <v>205.4</v>
      </c>
      <c r="G3945" s="5">
        <v>102.1</v>
      </c>
      <c r="H3945" s="5">
        <v>102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103.9</v>
      </c>
      <c r="D3946" s="5">
        <v>0.1</v>
      </c>
      <c r="E3946" s="5">
        <v>104</v>
      </c>
      <c r="F3946" s="5">
        <v>205.4</v>
      </c>
      <c r="G3946" s="5">
        <v>102.1</v>
      </c>
      <c r="H3946" s="5">
        <v>102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104.1</v>
      </c>
      <c r="D3947" s="5">
        <v>0.1</v>
      </c>
      <c r="E3947" s="5">
        <v>104.3</v>
      </c>
      <c r="F3947" s="5">
        <v>206.9</v>
      </c>
      <c r="G3947" s="5">
        <v>102.8</v>
      </c>
      <c r="H3947" s="5">
        <v>102.7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104.1</v>
      </c>
      <c r="D3948" s="5">
        <v>0.1</v>
      </c>
      <c r="E3948" s="5">
        <v>104.3</v>
      </c>
      <c r="F3948" s="5">
        <v>206.9</v>
      </c>
      <c r="G3948" s="5">
        <v>102.8</v>
      </c>
      <c r="H3948" s="5">
        <v>102.7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104.4</v>
      </c>
      <c r="D3949" s="5">
        <v>0.1</v>
      </c>
      <c r="E3949" s="5">
        <v>104.6</v>
      </c>
      <c r="F3949" s="5">
        <v>206.5</v>
      </c>
      <c r="G3949" s="5">
        <v>102.6</v>
      </c>
      <c r="H3949" s="5">
        <v>102.5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104.4</v>
      </c>
      <c r="D3950" s="5">
        <v>0.1</v>
      </c>
      <c r="E3950" s="5">
        <v>104.6</v>
      </c>
      <c r="F3950" s="5">
        <v>206.5</v>
      </c>
      <c r="G3950" s="5">
        <v>102.6</v>
      </c>
      <c r="H3950" s="5">
        <v>102.5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104.3</v>
      </c>
      <c r="D3951" s="5">
        <v>0.1</v>
      </c>
      <c r="E3951" s="5">
        <v>104.5</v>
      </c>
      <c r="F3951" s="5">
        <v>207</v>
      </c>
      <c r="G3951" s="5">
        <v>102.9</v>
      </c>
      <c r="H3951" s="5">
        <v>102.8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104.3</v>
      </c>
      <c r="D3952" s="5">
        <v>0.1</v>
      </c>
      <c r="E3952" s="5">
        <v>104.5</v>
      </c>
      <c r="F3952" s="5">
        <v>207</v>
      </c>
      <c r="G3952" s="5">
        <v>102.9</v>
      </c>
      <c r="H3952" s="5">
        <v>102.8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104.1</v>
      </c>
      <c r="D3953" s="5">
        <v>0.1</v>
      </c>
      <c r="E3953" s="5">
        <v>104.2</v>
      </c>
      <c r="F3953" s="5">
        <v>207.1</v>
      </c>
      <c r="G3953" s="5">
        <v>102.9</v>
      </c>
      <c r="H3953" s="5">
        <v>102.8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104.1</v>
      </c>
      <c r="D3954" s="5">
        <v>0.1</v>
      </c>
      <c r="E3954" s="5">
        <v>104.2</v>
      </c>
      <c r="F3954" s="5">
        <v>207.1</v>
      </c>
      <c r="G3954" s="5">
        <v>102.9</v>
      </c>
      <c r="H3954" s="5">
        <v>102.8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104.1</v>
      </c>
      <c r="D3955" s="5">
        <v>0.1</v>
      </c>
      <c r="E3955" s="5">
        <v>104.2</v>
      </c>
      <c r="F3955" s="5">
        <v>207.1</v>
      </c>
      <c r="G3955" s="5">
        <v>102.9</v>
      </c>
      <c r="H3955" s="5">
        <v>102.8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104.1</v>
      </c>
      <c r="D3956" s="5">
        <v>0.1</v>
      </c>
      <c r="E3956" s="5">
        <v>104.2</v>
      </c>
      <c r="F3956" s="5">
        <v>207.1</v>
      </c>
      <c r="G3956" s="5">
        <v>102.9</v>
      </c>
      <c r="H3956" s="5">
        <v>102.8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104.2</v>
      </c>
      <c r="D3957" s="5">
        <v>0.1</v>
      </c>
      <c r="E3957" s="5">
        <v>104.3</v>
      </c>
      <c r="F3957" s="5">
        <v>207.3</v>
      </c>
      <c r="G3957" s="5">
        <v>103</v>
      </c>
      <c r="H3957" s="5">
        <v>102.8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104.2</v>
      </c>
      <c r="D3958" s="5">
        <v>0.1</v>
      </c>
      <c r="E3958" s="5">
        <v>104.3</v>
      </c>
      <c r="F3958" s="5">
        <v>207.3</v>
      </c>
      <c r="G3958" s="5">
        <v>103</v>
      </c>
      <c r="H3958" s="5">
        <v>102.9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102.5</v>
      </c>
      <c r="D3959" s="5">
        <v>0.1</v>
      </c>
      <c r="E3959" s="5">
        <v>102.6</v>
      </c>
      <c r="F3959" s="5">
        <v>207.3</v>
      </c>
      <c r="G3959" s="5">
        <v>103</v>
      </c>
      <c r="H3959" s="5">
        <v>102.9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102.5</v>
      </c>
      <c r="D3960" s="5">
        <v>0.1</v>
      </c>
      <c r="E3960" s="5">
        <v>102.6</v>
      </c>
      <c r="F3960" s="5">
        <v>204</v>
      </c>
      <c r="G3960" s="5">
        <v>101.4</v>
      </c>
      <c r="H3960" s="5">
        <v>101.2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103.2</v>
      </c>
      <c r="D3961" s="5">
        <v>0.1</v>
      </c>
      <c r="E3961" s="5">
        <v>102.6</v>
      </c>
      <c r="F3961" s="5">
        <v>204</v>
      </c>
      <c r="G3961" s="5">
        <v>101.4</v>
      </c>
      <c r="H3961" s="5">
        <v>101.2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103.2</v>
      </c>
      <c r="D3962" s="5">
        <v>0.1</v>
      </c>
      <c r="E3962" s="5">
        <v>103.4</v>
      </c>
      <c r="F3962" s="5">
        <v>204.7</v>
      </c>
      <c r="G3962" s="5">
        <v>101.8</v>
      </c>
      <c r="H3962" s="5">
        <v>101.7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103.2</v>
      </c>
      <c r="D3963" s="5">
        <v>0.1</v>
      </c>
      <c r="E3963" s="5">
        <v>103.4</v>
      </c>
      <c r="F3963" s="5">
        <v>204.7</v>
      </c>
      <c r="G3963" s="5">
        <v>101.8</v>
      </c>
      <c r="H3963" s="5">
        <v>101.7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104.8</v>
      </c>
      <c r="D3964" s="5">
        <v>0.1</v>
      </c>
      <c r="E3964" s="5">
        <v>105</v>
      </c>
      <c r="F3964" s="5">
        <v>208.4</v>
      </c>
      <c r="G3964" s="5">
        <v>103.6</v>
      </c>
      <c r="H3964" s="5">
        <v>103.4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104.8</v>
      </c>
      <c r="D3965" s="5">
        <v>0.1</v>
      </c>
      <c r="E3965" s="5">
        <v>105</v>
      </c>
      <c r="F3965" s="5">
        <v>208.4</v>
      </c>
      <c r="G3965" s="5">
        <v>103.6</v>
      </c>
      <c r="H3965" s="5">
        <v>103.4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104.8</v>
      </c>
      <c r="D3966" s="5">
        <v>0.1</v>
      </c>
      <c r="E3966" s="5">
        <v>105</v>
      </c>
      <c r="F3966" s="5">
        <v>208.4</v>
      </c>
      <c r="G3966" s="5">
        <v>103.6</v>
      </c>
      <c r="H3966" s="5">
        <v>103.4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104.2</v>
      </c>
      <c r="D3967" s="5">
        <v>0.1</v>
      </c>
      <c r="E3967" s="5">
        <v>104.3</v>
      </c>
      <c r="F3967" s="5">
        <v>206.4</v>
      </c>
      <c r="G3967" s="5">
        <v>102.6</v>
      </c>
      <c r="H3967" s="5">
        <v>102.4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104.2</v>
      </c>
      <c r="D3968" s="5">
        <v>0.1</v>
      </c>
      <c r="E3968" s="5">
        <v>104.3</v>
      </c>
      <c r="F3968" s="5">
        <v>206.4</v>
      </c>
      <c r="G3968" s="5">
        <v>102.6</v>
      </c>
      <c r="H3968" s="5">
        <v>102.4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104.2</v>
      </c>
      <c r="D3969" s="5">
        <v>0.1</v>
      </c>
      <c r="E3969" s="5">
        <v>104.4</v>
      </c>
      <c r="F3969" s="5">
        <v>205.6</v>
      </c>
      <c r="G3969" s="5">
        <v>102.2</v>
      </c>
      <c r="H3969" s="5">
        <v>102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104.3</v>
      </c>
      <c r="D3970" s="5">
        <v>0.1</v>
      </c>
      <c r="E3970" s="5">
        <v>104.4</v>
      </c>
      <c r="F3970" s="5">
        <v>205.6</v>
      </c>
      <c r="G3970" s="5">
        <v>102.2</v>
      </c>
      <c r="H3970" s="5">
        <v>102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104.3</v>
      </c>
      <c r="D3971" s="5">
        <v>0.1</v>
      </c>
      <c r="E3971" s="5">
        <v>104.4</v>
      </c>
      <c r="F3971" s="5">
        <v>205.6</v>
      </c>
      <c r="G3971" s="5">
        <v>102.1</v>
      </c>
      <c r="H3971" s="5">
        <v>101.9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104</v>
      </c>
      <c r="D3972" s="5">
        <v>0.1</v>
      </c>
      <c r="E3972" s="5">
        <v>104.2</v>
      </c>
      <c r="F3972" s="5">
        <v>206.3</v>
      </c>
      <c r="G3972" s="5">
        <v>102.1</v>
      </c>
      <c r="H3972" s="5">
        <v>101.9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104</v>
      </c>
      <c r="D3973" s="5">
        <v>0.1</v>
      </c>
      <c r="E3973" s="5">
        <v>104.2</v>
      </c>
      <c r="F3973" s="5">
        <v>206.3</v>
      </c>
      <c r="G3973" s="5">
        <v>102.3</v>
      </c>
      <c r="H3973" s="5">
        <v>101.9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103.9</v>
      </c>
      <c r="D3974" s="5">
        <v>0.1</v>
      </c>
      <c r="E3974" s="5">
        <v>104</v>
      </c>
      <c r="F3974" s="5">
        <v>206.8</v>
      </c>
      <c r="G3974" s="5">
        <v>102.3</v>
      </c>
      <c r="H3974" s="5">
        <v>101.9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103.9</v>
      </c>
      <c r="D3975" s="5">
        <v>0.1</v>
      </c>
      <c r="E3975" s="5">
        <v>104</v>
      </c>
      <c r="F3975" s="5">
        <v>206.8</v>
      </c>
      <c r="G3975" s="5">
        <v>102.3</v>
      </c>
      <c r="H3975" s="5">
        <v>101.9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103.9</v>
      </c>
      <c r="D3976" s="5">
        <v>0.1</v>
      </c>
      <c r="E3976" s="5">
        <v>104</v>
      </c>
      <c r="F3976" s="5">
        <v>206.8</v>
      </c>
      <c r="G3976" s="5">
        <v>102.3</v>
      </c>
      <c r="H3976" s="5">
        <v>101.9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102.8</v>
      </c>
      <c r="D3977" s="5">
        <v>0.1</v>
      </c>
      <c r="E3977" s="5">
        <v>103</v>
      </c>
      <c r="F3977" s="5">
        <v>204.6</v>
      </c>
      <c r="G3977" s="5">
        <v>101.7</v>
      </c>
      <c r="H3977" s="5">
        <v>101.6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102.8</v>
      </c>
      <c r="D3978" s="5">
        <v>0.1</v>
      </c>
      <c r="E3978" s="5">
        <v>103</v>
      </c>
      <c r="F3978" s="5">
        <v>204.6</v>
      </c>
      <c r="G3978" s="5">
        <v>101.7</v>
      </c>
      <c r="H3978" s="5">
        <v>101.6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103.8</v>
      </c>
      <c r="D3979" s="5">
        <v>0.1</v>
      </c>
      <c r="E3979" s="5">
        <v>104</v>
      </c>
      <c r="F3979" s="5">
        <v>206.2</v>
      </c>
      <c r="G3979" s="5">
        <v>102.5</v>
      </c>
      <c r="H3979" s="5">
        <v>102.4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103.8</v>
      </c>
      <c r="D3980" s="5">
        <v>0.1</v>
      </c>
      <c r="E3980" s="5">
        <v>104</v>
      </c>
      <c r="F3980" s="5">
        <v>206.2</v>
      </c>
      <c r="G3980" s="5">
        <v>102.5</v>
      </c>
      <c r="H3980" s="5">
        <v>102.4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103.3</v>
      </c>
      <c r="D3981" s="5">
        <v>0.1</v>
      </c>
      <c r="E3981" s="5">
        <v>103.4</v>
      </c>
      <c r="F3981" s="5">
        <v>205.5</v>
      </c>
      <c r="G3981" s="5">
        <v>102.1</v>
      </c>
      <c r="H3981" s="5">
        <v>102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103.3</v>
      </c>
      <c r="D3982" s="5">
        <v>0.1</v>
      </c>
      <c r="E3982" s="5">
        <v>103.4</v>
      </c>
      <c r="F3982" s="5">
        <v>205.5</v>
      </c>
      <c r="G3982" s="5">
        <v>102.1</v>
      </c>
      <c r="H3982" s="5">
        <v>102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104.2</v>
      </c>
      <c r="D3983" s="5">
        <v>0.1</v>
      </c>
      <c r="E3983" s="5">
        <v>104.3</v>
      </c>
      <c r="F3983" s="5">
        <v>206.4</v>
      </c>
      <c r="G3983" s="5">
        <v>102.6</v>
      </c>
      <c r="H3983" s="5">
        <v>102.4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104.2</v>
      </c>
      <c r="D3984" s="5">
        <v>0.1</v>
      </c>
      <c r="E3984" s="5">
        <v>104.3</v>
      </c>
      <c r="F3984" s="5">
        <v>206.4</v>
      </c>
      <c r="G3984" s="5">
        <v>102.6</v>
      </c>
      <c r="H3984" s="5">
        <v>102.4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104.2</v>
      </c>
      <c r="D3985" s="5">
        <v>0.1</v>
      </c>
      <c r="E3985" s="5">
        <v>104.3</v>
      </c>
      <c r="F3985" s="5">
        <v>206.4</v>
      </c>
      <c r="G3985" s="5">
        <v>102.6</v>
      </c>
      <c r="H3985" s="5">
        <v>102.4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104.2</v>
      </c>
      <c r="D3986" s="5">
        <v>0.1</v>
      </c>
      <c r="E3986" s="5">
        <v>104.3</v>
      </c>
      <c r="F3986" s="5">
        <v>206.4</v>
      </c>
      <c r="G3986" s="5">
        <v>102.6</v>
      </c>
      <c r="H3986" s="5">
        <v>102.4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103.3</v>
      </c>
      <c r="D3987" s="5">
        <v>0.1</v>
      </c>
      <c r="E3987" s="5">
        <v>103.4</v>
      </c>
      <c r="F3987" s="5">
        <v>206.8</v>
      </c>
      <c r="G3987" s="5">
        <v>102.8</v>
      </c>
      <c r="H3987" s="5">
        <v>102.6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103.3</v>
      </c>
      <c r="D3988" s="5">
        <v>0.1</v>
      </c>
      <c r="E3988" s="5">
        <v>103.4</v>
      </c>
      <c r="F3988" s="5">
        <v>206.8</v>
      </c>
      <c r="G3988" s="5">
        <v>102.8</v>
      </c>
      <c r="H3988" s="5">
        <v>102.6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104.6</v>
      </c>
      <c r="D3989" s="5">
        <v>0.1</v>
      </c>
      <c r="E3989" s="5">
        <v>104.7</v>
      </c>
      <c r="F3989" s="5">
        <v>206.7</v>
      </c>
      <c r="G3989" s="5">
        <v>102.9</v>
      </c>
      <c r="H3989" s="5">
        <v>102.8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104.6</v>
      </c>
      <c r="D3990" s="5">
        <v>0.1</v>
      </c>
      <c r="E3990" s="5">
        <v>104.7</v>
      </c>
      <c r="F3990" s="5">
        <v>206.7</v>
      </c>
      <c r="G3990" s="5">
        <v>102.9</v>
      </c>
      <c r="H3990" s="5">
        <v>102.8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103.9</v>
      </c>
      <c r="D3991" s="5">
        <v>0.1</v>
      </c>
      <c r="E3991" s="5">
        <v>104</v>
      </c>
      <c r="F3991" s="5">
        <v>205.9</v>
      </c>
      <c r="G3991" s="5">
        <v>102.3</v>
      </c>
      <c r="H3991" s="5">
        <v>102.4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103.9</v>
      </c>
      <c r="D3992" s="5">
        <v>0.1</v>
      </c>
      <c r="E3992" s="5">
        <v>104</v>
      </c>
      <c r="F3992" s="5">
        <v>205.9</v>
      </c>
      <c r="G3992" s="5">
        <v>102.3</v>
      </c>
      <c r="H3992" s="5">
        <v>102.4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104</v>
      </c>
      <c r="D3993" s="5">
        <v>0.1</v>
      </c>
      <c r="E3993" s="5">
        <v>104.2</v>
      </c>
      <c r="F3993" s="5">
        <v>206.4</v>
      </c>
      <c r="G3993" s="5">
        <v>102.5</v>
      </c>
      <c r="H3993" s="5">
        <v>102.4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104</v>
      </c>
      <c r="D3994" s="5">
        <v>0.1</v>
      </c>
      <c r="E3994" s="5">
        <v>104.2</v>
      </c>
      <c r="F3994" s="5">
        <v>206.4</v>
      </c>
      <c r="G3994" s="5">
        <v>102.5</v>
      </c>
      <c r="H3994" s="5">
        <v>102.4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104</v>
      </c>
      <c r="D3995" s="5">
        <v>0.1</v>
      </c>
      <c r="E3995" s="5">
        <v>104.2</v>
      </c>
      <c r="F3995" s="5">
        <v>206.4</v>
      </c>
      <c r="G3995" s="5">
        <v>102.5</v>
      </c>
      <c r="H3995" s="5">
        <v>102.4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104</v>
      </c>
      <c r="D3996" s="5">
        <v>0.1</v>
      </c>
      <c r="E3996" s="5">
        <v>104.2</v>
      </c>
      <c r="F3996" s="5">
        <v>206.4</v>
      </c>
      <c r="G3996" s="5">
        <v>102.5</v>
      </c>
      <c r="H3996" s="5">
        <v>102.4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103.4</v>
      </c>
      <c r="D3997" s="5">
        <v>0.1</v>
      </c>
      <c r="E3997" s="5">
        <v>103.5</v>
      </c>
      <c r="F3997" s="5">
        <v>206</v>
      </c>
      <c r="G3997" s="5">
        <v>102.4</v>
      </c>
      <c r="H3997" s="5">
        <v>102.3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103.4</v>
      </c>
      <c r="D3998" s="5">
        <v>0.1</v>
      </c>
      <c r="E3998" s="5">
        <v>103.5</v>
      </c>
      <c r="F3998" s="5">
        <v>206</v>
      </c>
      <c r="G3998" s="5">
        <v>102.4</v>
      </c>
      <c r="H3998" s="5">
        <v>102.3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103.1</v>
      </c>
      <c r="D3999" s="5">
        <v>0.1</v>
      </c>
      <c r="E3999" s="5">
        <v>103.3</v>
      </c>
      <c r="F3999" s="5">
        <v>205.2</v>
      </c>
      <c r="G3999" s="5">
        <v>102</v>
      </c>
      <c r="H3999" s="5">
        <v>101.8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103.1</v>
      </c>
      <c r="D4000" s="5">
        <v>0.1</v>
      </c>
      <c r="E4000" s="5">
        <v>103.3</v>
      </c>
      <c r="F4000" s="5">
        <v>205.2</v>
      </c>
      <c r="G4000" s="5">
        <v>102</v>
      </c>
      <c r="H4000" s="5">
        <v>101.8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102.8</v>
      </c>
      <c r="D4001" s="5">
        <v>0.1</v>
      </c>
      <c r="E4001" s="5">
        <v>103</v>
      </c>
      <c r="F4001" s="5">
        <v>205</v>
      </c>
      <c r="G4001" s="5">
        <v>101.9</v>
      </c>
      <c r="H4001" s="5">
        <v>101.8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102.8</v>
      </c>
      <c r="D4002" s="5">
        <v>0.1</v>
      </c>
      <c r="E4002" s="5">
        <v>103</v>
      </c>
      <c r="F4002" s="5">
        <v>205</v>
      </c>
      <c r="G4002" s="5">
        <v>101.9</v>
      </c>
      <c r="H4002" s="5">
        <v>101.8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103</v>
      </c>
      <c r="D4003" s="5">
        <v>0.1</v>
      </c>
      <c r="E4003" s="5">
        <v>103.1</v>
      </c>
      <c r="F4003" s="5">
        <v>205.2</v>
      </c>
      <c r="G4003" s="5">
        <v>102</v>
      </c>
      <c r="H4003" s="5">
        <v>101.9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103</v>
      </c>
      <c r="D4004" s="5">
        <v>0.1</v>
      </c>
      <c r="E4004" s="5">
        <v>103.1</v>
      </c>
      <c r="F4004" s="5">
        <v>205.2</v>
      </c>
      <c r="G4004" s="5">
        <v>102</v>
      </c>
      <c r="H4004" s="5">
        <v>101.9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103</v>
      </c>
      <c r="D4005" s="5">
        <v>0.1</v>
      </c>
      <c r="E4005" s="5">
        <v>103.1</v>
      </c>
      <c r="F4005" s="5">
        <v>205.2</v>
      </c>
      <c r="G4005" s="5">
        <v>102</v>
      </c>
      <c r="H4005" s="5">
        <v>101.9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103</v>
      </c>
      <c r="D4006" s="5">
        <v>0.1</v>
      </c>
      <c r="E4006" s="5">
        <v>103.1</v>
      </c>
      <c r="F4006" s="5">
        <v>205.2</v>
      </c>
      <c r="G4006" s="5">
        <v>102</v>
      </c>
      <c r="H4006" s="5">
        <v>101.9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103.8</v>
      </c>
      <c r="D4007" s="5">
        <v>0.1</v>
      </c>
      <c r="E4007" s="5">
        <v>104</v>
      </c>
      <c r="F4007" s="5">
        <v>206.1</v>
      </c>
      <c r="G4007" s="5">
        <v>102.5</v>
      </c>
      <c r="H4007" s="5">
        <v>102.3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103.8</v>
      </c>
      <c r="D4008" s="5">
        <v>0.1</v>
      </c>
      <c r="E4008" s="5">
        <v>104</v>
      </c>
      <c r="F4008" s="5">
        <v>206.1</v>
      </c>
      <c r="G4008" s="5">
        <v>102.5</v>
      </c>
      <c r="H4008" s="5">
        <v>102.3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104.1</v>
      </c>
      <c r="D4009" s="5">
        <v>0.1</v>
      </c>
      <c r="E4009" s="5">
        <v>104.3</v>
      </c>
      <c r="F4009" s="5">
        <v>207</v>
      </c>
      <c r="G4009" s="5">
        <v>102.7</v>
      </c>
      <c r="H4009" s="5">
        <v>102.5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104.1</v>
      </c>
      <c r="D4010" s="5">
        <v>0.1</v>
      </c>
      <c r="E4010" s="5">
        <v>104.3</v>
      </c>
      <c r="F4010" s="5">
        <v>207</v>
      </c>
      <c r="G4010" s="5">
        <v>102.7</v>
      </c>
      <c r="H4010" s="5">
        <v>102.5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104.2</v>
      </c>
      <c r="D4011" s="5">
        <v>0.1</v>
      </c>
      <c r="E4011" s="5">
        <v>104.3</v>
      </c>
      <c r="F4011" s="5">
        <v>207.1</v>
      </c>
      <c r="G4011" s="5">
        <v>102.9</v>
      </c>
      <c r="H4011" s="5">
        <v>102.7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104.2</v>
      </c>
      <c r="D4012" s="5">
        <v>0.1</v>
      </c>
      <c r="E4012" s="5">
        <v>104.3</v>
      </c>
      <c r="F4012" s="5">
        <v>207.1</v>
      </c>
      <c r="G4012" s="5">
        <v>102.9</v>
      </c>
      <c r="H4012" s="5">
        <v>102.7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104.5</v>
      </c>
      <c r="D4013" s="5">
        <v>0.1</v>
      </c>
      <c r="E4013" s="5">
        <v>104.6</v>
      </c>
      <c r="F4013" s="5">
        <v>206.9</v>
      </c>
      <c r="G4013" s="5">
        <v>102.8</v>
      </c>
      <c r="H4013" s="5">
        <v>102.7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104.5</v>
      </c>
      <c r="D4014" s="5">
        <v>0.1</v>
      </c>
      <c r="E4014" s="5">
        <v>104.6</v>
      </c>
      <c r="F4014" s="5">
        <v>206.9</v>
      </c>
      <c r="G4014" s="5">
        <v>102.8</v>
      </c>
      <c r="H4014" s="5">
        <v>102.7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104.5</v>
      </c>
      <c r="D4015" s="5">
        <v>0.1</v>
      </c>
      <c r="E4015" s="5">
        <v>104.6</v>
      </c>
      <c r="F4015" s="5">
        <v>206.9</v>
      </c>
      <c r="G4015" s="5">
        <v>102.8</v>
      </c>
      <c r="H4015" s="5">
        <v>102.7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104.5</v>
      </c>
      <c r="D4016" s="5">
        <v>0.1</v>
      </c>
      <c r="E4016" s="5">
        <v>104.6</v>
      </c>
      <c r="F4016" s="5">
        <v>206.9</v>
      </c>
      <c r="G4016" s="5">
        <v>102.8</v>
      </c>
      <c r="H4016" s="5">
        <v>102.7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104</v>
      </c>
      <c r="D4017" s="5">
        <v>0.1</v>
      </c>
      <c r="E4017" s="5">
        <v>104.2</v>
      </c>
      <c r="F4017" s="5">
        <v>203.5</v>
      </c>
      <c r="G4017" s="5">
        <v>101.3</v>
      </c>
      <c r="H4017" s="5">
        <v>101.2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104</v>
      </c>
      <c r="D4018" s="5">
        <v>0.1</v>
      </c>
      <c r="E4018" s="5">
        <v>104.2</v>
      </c>
      <c r="F4018" s="5">
        <v>203.5</v>
      </c>
      <c r="G4018" s="5">
        <v>101.3</v>
      </c>
      <c r="H4018" s="5">
        <v>101.2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103.5</v>
      </c>
      <c r="D4019" s="5">
        <v>0.1</v>
      </c>
      <c r="E4019" s="5">
        <v>103.7</v>
      </c>
      <c r="F4019" s="5">
        <v>205.6</v>
      </c>
      <c r="G4019" s="5">
        <v>102</v>
      </c>
      <c r="H4019" s="5">
        <v>101.6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103.5</v>
      </c>
      <c r="D4020" s="5">
        <v>0.1</v>
      </c>
      <c r="E4020" s="5">
        <v>103.7</v>
      </c>
      <c r="F4020" s="5">
        <v>205.6</v>
      </c>
      <c r="G4020" s="5">
        <v>102</v>
      </c>
      <c r="H4020" s="5">
        <v>101.6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103.4</v>
      </c>
      <c r="D4021" s="5">
        <v>0.1</v>
      </c>
      <c r="E4021" s="5">
        <v>103.5</v>
      </c>
      <c r="F4021" s="5">
        <v>206.1</v>
      </c>
      <c r="G4021" s="5">
        <v>102.5</v>
      </c>
      <c r="H4021" s="5">
        <v>102.3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103.4</v>
      </c>
      <c r="D4022" s="5">
        <v>0.1</v>
      </c>
      <c r="E4022" s="5">
        <v>103.5</v>
      </c>
      <c r="F4022" s="5">
        <v>206.1</v>
      </c>
      <c r="G4022" s="5">
        <v>102.5</v>
      </c>
      <c r="H4022" s="5">
        <v>102.3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103.3</v>
      </c>
      <c r="D4023" s="5">
        <v>0.1</v>
      </c>
      <c r="E4023" s="5">
        <v>103.4</v>
      </c>
      <c r="F4023" s="5">
        <v>205.8</v>
      </c>
      <c r="G4023" s="5">
        <v>102.3</v>
      </c>
      <c r="H4023" s="5">
        <v>102.2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103.3</v>
      </c>
      <c r="D4024" s="5">
        <v>0.1</v>
      </c>
      <c r="E4024" s="5">
        <v>103.4</v>
      </c>
      <c r="F4024" s="5">
        <v>205.8</v>
      </c>
      <c r="G4024" s="5">
        <v>102.3</v>
      </c>
      <c r="H4024" s="5">
        <v>102.2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103.3</v>
      </c>
      <c r="D4025" s="5">
        <v>0.1</v>
      </c>
      <c r="E4025" s="5">
        <v>103.4</v>
      </c>
      <c r="F4025" s="5">
        <v>205.8</v>
      </c>
      <c r="G4025" s="5">
        <v>102.3</v>
      </c>
      <c r="H4025" s="5">
        <v>102.2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103.3</v>
      </c>
      <c r="D4026" s="5">
        <v>0.1</v>
      </c>
      <c r="E4026" s="5">
        <v>103.4</v>
      </c>
      <c r="F4026" s="5">
        <v>205.8</v>
      </c>
      <c r="G4026" s="5">
        <v>102.3</v>
      </c>
      <c r="H4026" s="5">
        <v>102.2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103.1</v>
      </c>
      <c r="D4027" s="5">
        <v>0.1</v>
      </c>
      <c r="E4027" s="5">
        <v>103.1</v>
      </c>
      <c r="F4027" s="5">
        <v>204.7</v>
      </c>
      <c r="G4027" s="5">
        <v>101.7</v>
      </c>
      <c r="H4027" s="5">
        <v>101.6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103.1</v>
      </c>
      <c r="D4028" s="5">
        <v>0.1</v>
      </c>
      <c r="E4028" s="5">
        <v>103.1</v>
      </c>
      <c r="F4028" s="5">
        <v>204.7</v>
      </c>
      <c r="G4028" s="5">
        <v>101.7</v>
      </c>
      <c r="H4028" s="5">
        <v>101.6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103.3</v>
      </c>
      <c r="D4029" s="5">
        <v>0.1</v>
      </c>
      <c r="E4029" s="5">
        <v>103.4</v>
      </c>
      <c r="F4029" s="5">
        <v>205.1</v>
      </c>
      <c r="G4029" s="5">
        <v>101.9</v>
      </c>
      <c r="H4029" s="5">
        <v>101.8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103.3</v>
      </c>
      <c r="D4030" s="5">
        <v>0.1</v>
      </c>
      <c r="E4030" s="5">
        <v>103.4</v>
      </c>
      <c r="F4030" s="5">
        <v>205.1</v>
      </c>
      <c r="G4030" s="5">
        <v>101.9</v>
      </c>
      <c r="H4030" s="5">
        <v>101.8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101.2</v>
      </c>
      <c r="D4031" s="5">
        <v>0.1</v>
      </c>
      <c r="E4031" s="5">
        <v>101.4</v>
      </c>
      <c r="F4031" s="5">
        <v>203.5</v>
      </c>
      <c r="G4031" s="5">
        <v>101.1</v>
      </c>
      <c r="H4031" s="5">
        <v>100.8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101.2</v>
      </c>
      <c r="D4032" s="5">
        <v>0.1</v>
      </c>
      <c r="E4032" s="5">
        <v>101.4</v>
      </c>
      <c r="F4032" s="5">
        <v>203.5</v>
      </c>
      <c r="G4032" s="5">
        <v>101.1</v>
      </c>
      <c r="H4032" s="5">
        <v>100.8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103.5</v>
      </c>
      <c r="D4033" s="5">
        <v>0.1</v>
      </c>
      <c r="E4033" s="5">
        <v>103.6</v>
      </c>
      <c r="F4033" s="5">
        <v>205.5</v>
      </c>
      <c r="G4033" s="5">
        <v>102.2</v>
      </c>
      <c r="H4033" s="5">
        <v>102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103.5</v>
      </c>
      <c r="D4034" s="5">
        <v>0.1</v>
      </c>
      <c r="E4034" s="5">
        <v>103.6</v>
      </c>
      <c r="F4034" s="5">
        <v>205.5</v>
      </c>
      <c r="G4034" s="5">
        <v>102.2</v>
      </c>
      <c r="H4034" s="5">
        <v>102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103.5</v>
      </c>
      <c r="D4035" s="5">
        <v>0.1</v>
      </c>
      <c r="E4035" s="5">
        <v>103.6</v>
      </c>
      <c r="F4035" s="5">
        <v>205.5</v>
      </c>
      <c r="G4035" s="5">
        <v>102.2</v>
      </c>
      <c r="H4035" s="5">
        <v>102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103.5</v>
      </c>
      <c r="D4036" s="5">
        <v>0.1</v>
      </c>
      <c r="E4036" s="5">
        <v>103.6</v>
      </c>
      <c r="F4036" s="5">
        <v>205.5</v>
      </c>
      <c r="G4036" s="5">
        <v>102.2</v>
      </c>
      <c r="H4036" s="5">
        <v>102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103.1</v>
      </c>
      <c r="D4037" s="5">
        <v>0.1</v>
      </c>
      <c r="E4037" s="5">
        <v>103.2</v>
      </c>
      <c r="F4037" s="5">
        <v>205</v>
      </c>
      <c r="G4037" s="5">
        <v>101.9</v>
      </c>
      <c r="H4037" s="5">
        <v>101.8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103.1</v>
      </c>
      <c r="D4038" s="5">
        <v>0.1</v>
      </c>
      <c r="E4038" s="5">
        <v>103.2</v>
      </c>
      <c r="F4038" s="5">
        <v>205</v>
      </c>
      <c r="G4038" s="5">
        <v>101.9</v>
      </c>
      <c r="H4038" s="5">
        <v>101.8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103.7</v>
      </c>
      <c r="D4039" s="5">
        <v>0.1</v>
      </c>
      <c r="E4039" s="5">
        <v>103.7</v>
      </c>
      <c r="F4039" s="5">
        <v>204.9</v>
      </c>
      <c r="G4039" s="5">
        <v>102</v>
      </c>
      <c r="H4039" s="5">
        <v>102.1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103.7</v>
      </c>
      <c r="D4040" s="5">
        <v>0.1</v>
      </c>
      <c r="E4040" s="5">
        <v>103.7</v>
      </c>
      <c r="F4040" s="5">
        <v>204.9</v>
      </c>
      <c r="G4040" s="5">
        <v>102</v>
      </c>
      <c r="H4040" s="5">
        <v>102.1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102.9</v>
      </c>
      <c r="D4041" s="5">
        <v>0.1</v>
      </c>
      <c r="E4041" s="5">
        <v>103.1</v>
      </c>
      <c r="F4041" s="5">
        <v>203.8</v>
      </c>
      <c r="G4041" s="5">
        <v>101.3</v>
      </c>
      <c r="H4041" s="5">
        <v>101.1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102.9</v>
      </c>
      <c r="D4042" s="5">
        <v>0.1</v>
      </c>
      <c r="E4042" s="5">
        <v>103.1</v>
      </c>
      <c r="F4042" s="5">
        <v>203.8</v>
      </c>
      <c r="G4042" s="5">
        <v>101.3</v>
      </c>
      <c r="H4042" s="5">
        <v>101.1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103</v>
      </c>
      <c r="D4043" s="5">
        <v>0.1</v>
      </c>
      <c r="E4043" s="5">
        <v>103.1</v>
      </c>
      <c r="F4043" s="5">
        <v>205.8</v>
      </c>
      <c r="G4043" s="5">
        <v>102.2</v>
      </c>
      <c r="H4043" s="5">
        <v>102.1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103</v>
      </c>
      <c r="D4044" s="5">
        <v>0.1</v>
      </c>
      <c r="E4044" s="5">
        <v>103.1</v>
      </c>
      <c r="F4044" s="5">
        <v>205.8</v>
      </c>
      <c r="G4044" s="5">
        <v>102.2</v>
      </c>
      <c r="H4044" s="5">
        <v>102.1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103</v>
      </c>
      <c r="D4045" s="5">
        <v>0.1</v>
      </c>
      <c r="E4045" s="5">
        <v>103.1</v>
      </c>
      <c r="F4045" s="5">
        <v>205.8</v>
      </c>
      <c r="G4045" s="5">
        <v>102.2</v>
      </c>
      <c r="H4045" s="5">
        <v>102.1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103</v>
      </c>
      <c r="D4046" s="5">
        <v>0.1</v>
      </c>
      <c r="E4046" s="5">
        <v>103.1</v>
      </c>
      <c r="F4046" s="5">
        <v>205.8</v>
      </c>
      <c r="G4046" s="5">
        <v>102.2</v>
      </c>
      <c r="H4046" s="5">
        <v>102.1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103.1</v>
      </c>
      <c r="D4047" s="5">
        <v>0.1</v>
      </c>
      <c r="E4047" s="5">
        <v>103.2</v>
      </c>
      <c r="F4047" s="5">
        <v>205.1</v>
      </c>
      <c r="G4047" s="5">
        <v>101.9</v>
      </c>
      <c r="H4047" s="5">
        <v>101.7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103.1</v>
      </c>
      <c r="D4048" s="5">
        <v>0.1</v>
      </c>
      <c r="E4048" s="5">
        <v>103.2</v>
      </c>
      <c r="F4048" s="5">
        <v>205.1</v>
      </c>
      <c r="G4048" s="5">
        <v>101.9</v>
      </c>
      <c r="H4048" s="5">
        <v>101.7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103</v>
      </c>
      <c r="D4049" s="5">
        <v>0.1</v>
      </c>
      <c r="E4049" s="5">
        <v>103.1</v>
      </c>
      <c r="F4049" s="5">
        <v>204.7</v>
      </c>
      <c r="G4049" s="5">
        <v>101.7</v>
      </c>
      <c r="H4049" s="5">
        <v>101.6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103</v>
      </c>
      <c r="D4050" s="5">
        <v>0.1</v>
      </c>
      <c r="E4050" s="5">
        <v>103.1</v>
      </c>
      <c r="F4050" s="5">
        <v>204.7</v>
      </c>
      <c r="G4050" s="5">
        <v>101.7</v>
      </c>
      <c r="H4050" s="5">
        <v>101.6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103.2</v>
      </c>
      <c r="D4051" s="5">
        <v>0.1</v>
      </c>
      <c r="E4051" s="5">
        <v>103.4</v>
      </c>
      <c r="F4051" s="5">
        <v>205</v>
      </c>
      <c r="G4051" s="5">
        <v>101.9</v>
      </c>
      <c r="H4051" s="5">
        <v>101.7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103.2</v>
      </c>
      <c r="D4052" s="5">
        <v>0.1</v>
      </c>
      <c r="E4052" s="5">
        <v>103.4</v>
      </c>
      <c r="F4052" s="5">
        <v>205</v>
      </c>
      <c r="G4052" s="5">
        <v>101.9</v>
      </c>
      <c r="H4052" s="5">
        <v>101.7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102.7</v>
      </c>
      <c r="D4053" s="5">
        <v>0.1</v>
      </c>
      <c r="E4053" s="5">
        <v>102.7</v>
      </c>
      <c r="F4053" s="5">
        <v>204.1</v>
      </c>
      <c r="G4053" s="5">
        <v>101.4</v>
      </c>
      <c r="H4053" s="5">
        <v>101.3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102.7</v>
      </c>
      <c r="D4054" s="5">
        <v>0.1</v>
      </c>
      <c r="E4054" s="5">
        <v>102.7</v>
      </c>
      <c r="F4054" s="5">
        <v>204.1</v>
      </c>
      <c r="G4054" s="5">
        <v>101.4</v>
      </c>
      <c r="H4054" s="5">
        <v>101.3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102.7</v>
      </c>
      <c r="D4055" s="5">
        <v>0.1</v>
      </c>
      <c r="E4055" s="5">
        <v>102.7</v>
      </c>
      <c r="F4055" s="5">
        <v>204.1</v>
      </c>
      <c r="G4055" s="5">
        <v>101.4</v>
      </c>
      <c r="H4055" s="5">
        <v>101.3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102.7</v>
      </c>
      <c r="D4056" s="5">
        <v>0.1</v>
      </c>
      <c r="E4056" s="5">
        <v>102.7</v>
      </c>
      <c r="F4056" s="5">
        <v>204.1</v>
      </c>
      <c r="G4056" s="5">
        <v>101.4</v>
      </c>
      <c r="H4056" s="5">
        <v>101.3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102.7</v>
      </c>
      <c r="D4057" s="5">
        <v>0.1</v>
      </c>
      <c r="E4057" s="5">
        <v>102.8</v>
      </c>
      <c r="F4057" s="5">
        <v>204.6</v>
      </c>
      <c r="G4057" s="5">
        <v>101.7</v>
      </c>
      <c r="H4057" s="5">
        <v>101.5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102.7</v>
      </c>
      <c r="D4058" s="5">
        <v>0.1</v>
      </c>
      <c r="E4058" s="5">
        <v>102.8</v>
      </c>
      <c r="F4058" s="5">
        <v>204.6</v>
      </c>
      <c r="G4058" s="5">
        <v>101.7</v>
      </c>
      <c r="H4058" s="5">
        <v>101.5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102.7</v>
      </c>
      <c r="D4059" s="5">
        <v>0.1</v>
      </c>
      <c r="E4059" s="5">
        <v>102.7</v>
      </c>
      <c r="F4059" s="5">
        <v>204.4</v>
      </c>
      <c r="G4059" s="5">
        <v>101.6</v>
      </c>
      <c r="H4059" s="5">
        <v>101.5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102.7</v>
      </c>
      <c r="D4060" s="5">
        <v>0.1</v>
      </c>
      <c r="E4060" s="5">
        <v>102.7</v>
      </c>
      <c r="F4060" s="5">
        <v>204.4</v>
      </c>
      <c r="G4060" s="5">
        <v>101.6</v>
      </c>
      <c r="H4060" s="5">
        <v>101.5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104.1</v>
      </c>
      <c r="D4061" s="5">
        <v>0.1</v>
      </c>
      <c r="E4061" s="5">
        <v>104.2</v>
      </c>
      <c r="F4061" s="5">
        <v>206</v>
      </c>
      <c r="G4061" s="5">
        <v>102.4</v>
      </c>
      <c r="H4061" s="5">
        <v>102.2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104.1</v>
      </c>
      <c r="D4062" s="5">
        <v>0.1</v>
      </c>
      <c r="E4062" s="5">
        <v>104.2</v>
      </c>
      <c r="F4062" s="5">
        <v>206</v>
      </c>
      <c r="G4062" s="5">
        <v>102.4</v>
      </c>
      <c r="H4062" s="5">
        <v>102.2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102.2</v>
      </c>
      <c r="D4063" s="5">
        <v>0.1</v>
      </c>
      <c r="E4063" s="5">
        <v>102.4</v>
      </c>
      <c r="F4063" s="5">
        <v>205</v>
      </c>
      <c r="G4063" s="5">
        <v>101.9</v>
      </c>
      <c r="H4063" s="5">
        <v>101.6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102.2</v>
      </c>
      <c r="D4064" s="5">
        <v>0.1</v>
      </c>
      <c r="E4064" s="5">
        <v>102.4</v>
      </c>
      <c r="F4064" s="5">
        <v>205</v>
      </c>
      <c r="G4064" s="5">
        <v>101.9</v>
      </c>
      <c r="H4064" s="5">
        <v>101.6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102.2</v>
      </c>
      <c r="D4065" s="5">
        <v>0.1</v>
      </c>
      <c r="E4065" s="5">
        <v>102.4</v>
      </c>
      <c r="F4065" s="5">
        <v>205</v>
      </c>
      <c r="G4065" s="5">
        <v>101.9</v>
      </c>
      <c r="H4065" s="5">
        <v>101.6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102.2</v>
      </c>
      <c r="D4066" s="5">
        <v>0.1</v>
      </c>
      <c r="E4066" s="5">
        <v>102.4</v>
      </c>
      <c r="F4066" s="5">
        <v>205</v>
      </c>
      <c r="G4066" s="5">
        <v>101.9</v>
      </c>
      <c r="H4066" s="5">
        <v>101.6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103.6</v>
      </c>
      <c r="D4067" s="5">
        <v>0.1</v>
      </c>
      <c r="E4067" s="5">
        <v>103.7</v>
      </c>
      <c r="F4067" s="5">
        <v>206.3</v>
      </c>
      <c r="G4067" s="5">
        <v>102.5</v>
      </c>
      <c r="H4067" s="5">
        <v>102.4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103.6</v>
      </c>
      <c r="D4068" s="5">
        <v>0.1</v>
      </c>
      <c r="E4068" s="5">
        <v>103.7</v>
      </c>
      <c r="F4068" s="5">
        <v>206.3</v>
      </c>
      <c r="G4068" s="5">
        <v>102.5</v>
      </c>
      <c r="H4068" s="5">
        <v>102.4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103.5</v>
      </c>
      <c r="D4069" s="5">
        <v>0.1</v>
      </c>
      <c r="E4069" s="5">
        <v>103.7</v>
      </c>
      <c r="F4069" s="5">
        <v>205.8</v>
      </c>
      <c r="G4069" s="5">
        <v>102.3</v>
      </c>
      <c r="H4069" s="5">
        <v>102.2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103.5</v>
      </c>
      <c r="D4070" s="5">
        <v>0.1</v>
      </c>
      <c r="E4070" s="5">
        <v>103.7</v>
      </c>
      <c r="F4070" s="5">
        <v>205.8</v>
      </c>
      <c r="G4070" s="5">
        <v>102.3</v>
      </c>
      <c r="H4070" s="5">
        <v>102.2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104.3</v>
      </c>
      <c r="D4071" s="5">
        <v>0.1</v>
      </c>
      <c r="E4071" s="5">
        <v>104.5</v>
      </c>
      <c r="F4071" s="5">
        <v>207.3</v>
      </c>
      <c r="G4071" s="5">
        <v>103</v>
      </c>
      <c r="H4071" s="5">
        <v>102.9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104.3</v>
      </c>
      <c r="D4072" s="5">
        <v>0.1</v>
      </c>
      <c r="E4072" s="5">
        <v>104.5</v>
      </c>
      <c r="F4072" s="5">
        <v>207.3</v>
      </c>
      <c r="G4072" s="5">
        <v>103</v>
      </c>
      <c r="H4072" s="5">
        <v>102.9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104.2</v>
      </c>
      <c r="D4073" s="5">
        <v>0.1</v>
      </c>
      <c r="E4073" s="5">
        <v>104.3</v>
      </c>
      <c r="F4073" s="5">
        <v>207.4</v>
      </c>
      <c r="G4073" s="5">
        <v>103.1</v>
      </c>
      <c r="H4073" s="5">
        <v>102.9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104.2</v>
      </c>
      <c r="D4074" s="5">
        <v>0.1</v>
      </c>
      <c r="E4074" s="5">
        <v>104.3</v>
      </c>
      <c r="F4074" s="5">
        <v>207.4</v>
      </c>
      <c r="G4074" s="5">
        <v>103.1</v>
      </c>
      <c r="H4074" s="5">
        <v>102.9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104.2</v>
      </c>
      <c r="D4075" s="5">
        <v>0.1</v>
      </c>
      <c r="E4075" s="5">
        <v>104.3</v>
      </c>
      <c r="F4075" s="5">
        <v>207.4</v>
      </c>
      <c r="G4075" s="5">
        <v>103.1</v>
      </c>
      <c r="H4075" s="5">
        <v>102.9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104.2</v>
      </c>
      <c r="D4076" s="5">
        <v>0.1</v>
      </c>
      <c r="E4076" s="5">
        <v>104.3</v>
      </c>
      <c r="F4076" s="5">
        <v>207.4</v>
      </c>
      <c r="G4076" s="5">
        <v>102.7</v>
      </c>
      <c r="H4076" s="5">
        <v>102.6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104</v>
      </c>
      <c r="D4077" s="5">
        <v>0.1</v>
      </c>
      <c r="E4077" s="5">
        <v>104.1</v>
      </c>
      <c r="F4077" s="5">
        <v>206.5</v>
      </c>
      <c r="G4077" s="5">
        <v>102.7</v>
      </c>
      <c r="H4077" s="5">
        <v>102.6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104</v>
      </c>
      <c r="D4078" s="5">
        <v>0.1</v>
      </c>
      <c r="E4078" s="5">
        <v>104.1</v>
      </c>
      <c r="F4078" s="5">
        <v>206.5</v>
      </c>
      <c r="G4078" s="5">
        <v>102.7</v>
      </c>
      <c r="H4078" s="5">
        <v>102.6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104.3</v>
      </c>
      <c r="D4079" s="5">
        <v>0.1</v>
      </c>
      <c r="E4079" s="5">
        <v>104.5</v>
      </c>
      <c r="F4079" s="5">
        <v>206.4</v>
      </c>
      <c r="G4079" s="5">
        <v>102.7</v>
      </c>
      <c r="H4079" s="5">
        <v>102.6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104.3</v>
      </c>
      <c r="D4080" s="5">
        <v>0.1</v>
      </c>
      <c r="E4080" s="5">
        <v>104.5</v>
      </c>
      <c r="F4080" s="5">
        <v>206.4</v>
      </c>
      <c r="G4080" s="5">
        <v>102.7</v>
      </c>
      <c r="H4080" s="5">
        <v>102.6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103.8</v>
      </c>
      <c r="D4081" s="5">
        <v>0.1</v>
      </c>
      <c r="E4081" s="5">
        <v>104</v>
      </c>
      <c r="F4081" s="5">
        <v>206.3</v>
      </c>
      <c r="G4081" s="5">
        <v>102.5</v>
      </c>
      <c r="H4081" s="5">
        <v>102.4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103.8</v>
      </c>
      <c r="D4082" s="5">
        <v>0.1</v>
      </c>
      <c r="E4082" s="5">
        <v>104</v>
      </c>
      <c r="F4082" s="5">
        <v>206.3</v>
      </c>
      <c r="G4082" s="5">
        <v>102.5</v>
      </c>
      <c r="H4082" s="5">
        <v>102.4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103.5</v>
      </c>
      <c r="D4083" s="5">
        <v>0.1</v>
      </c>
      <c r="E4083" s="5">
        <v>103.7</v>
      </c>
      <c r="F4083" s="5">
        <v>206.7</v>
      </c>
      <c r="G4083" s="5">
        <v>102.8</v>
      </c>
      <c r="H4083" s="5">
        <v>102.7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103.5</v>
      </c>
      <c r="D4084" s="5">
        <v>0.1</v>
      </c>
      <c r="E4084" s="5">
        <v>103.7</v>
      </c>
      <c r="F4084" s="5">
        <v>206.7</v>
      </c>
      <c r="G4084" s="5">
        <v>102.8</v>
      </c>
      <c r="H4084" s="5">
        <v>102.7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103.5</v>
      </c>
      <c r="D4085" s="5">
        <v>0.1</v>
      </c>
      <c r="E4085" s="5">
        <v>103.7</v>
      </c>
      <c r="F4085" s="5">
        <v>206.7</v>
      </c>
      <c r="G4085" s="5">
        <v>102.8</v>
      </c>
      <c r="H4085" s="5">
        <v>102.7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103</v>
      </c>
      <c r="D4086" s="5">
        <v>0.1</v>
      </c>
      <c r="E4086" s="5">
        <v>103.1</v>
      </c>
      <c r="F4086" s="5">
        <v>205.8</v>
      </c>
      <c r="G4086" s="5">
        <v>102.2</v>
      </c>
      <c r="H4086" s="5">
        <v>102.1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103</v>
      </c>
      <c r="D4087" s="5">
        <v>0.1</v>
      </c>
      <c r="E4087" s="5">
        <v>103.1</v>
      </c>
      <c r="F4087" s="5">
        <v>205.8</v>
      </c>
      <c r="G4087" s="5">
        <v>102.2</v>
      </c>
      <c r="H4087" s="5">
        <v>102.1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102.5</v>
      </c>
      <c r="D4088" s="5">
        <v>0.1</v>
      </c>
      <c r="E4088" s="5">
        <v>102.7</v>
      </c>
      <c r="F4088" s="5">
        <v>204.8</v>
      </c>
      <c r="G4088" s="5">
        <v>101.7</v>
      </c>
      <c r="H4088" s="5">
        <v>101.6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102.5</v>
      </c>
      <c r="D4089" s="5">
        <v>0.1</v>
      </c>
      <c r="E4089" s="5">
        <v>102.7</v>
      </c>
      <c r="F4089" s="5">
        <v>204.8</v>
      </c>
      <c r="G4089" s="5">
        <v>101.7</v>
      </c>
      <c r="H4089" s="5">
        <v>101.6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103.7</v>
      </c>
      <c r="D4090" s="5">
        <v>0.1</v>
      </c>
      <c r="E4090" s="5">
        <v>103.8</v>
      </c>
      <c r="F4090" s="5">
        <v>206</v>
      </c>
      <c r="G4090" s="5">
        <v>102.4</v>
      </c>
      <c r="H4090" s="5">
        <v>102.3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103.7</v>
      </c>
      <c r="D4091" s="5">
        <v>0.1</v>
      </c>
      <c r="E4091" s="5">
        <v>103.8</v>
      </c>
      <c r="F4091" s="5">
        <v>206</v>
      </c>
      <c r="G4091" s="5">
        <v>102.4</v>
      </c>
      <c r="H4091" s="5">
        <v>102.3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102.4</v>
      </c>
      <c r="D4092" s="5">
        <v>0.1</v>
      </c>
      <c r="E4092" s="5">
        <v>102.6</v>
      </c>
      <c r="F4092" s="5">
        <v>205</v>
      </c>
      <c r="G4092" s="5">
        <v>101.8</v>
      </c>
      <c r="H4092" s="5">
        <v>101.6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102.4</v>
      </c>
      <c r="D4093" s="5">
        <v>0.1</v>
      </c>
      <c r="E4093" s="5">
        <v>102.6</v>
      </c>
      <c r="F4093" s="5">
        <v>205</v>
      </c>
      <c r="G4093" s="5">
        <v>101.8</v>
      </c>
      <c r="H4093" s="5">
        <v>101.6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102.4</v>
      </c>
      <c r="D4094" s="5">
        <v>0.1</v>
      </c>
      <c r="E4094" s="5">
        <v>102.6</v>
      </c>
      <c r="F4094" s="5">
        <v>205</v>
      </c>
      <c r="G4094" s="5">
        <v>101.8</v>
      </c>
      <c r="H4094" s="5">
        <v>101.6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102.4</v>
      </c>
      <c r="D4095" s="5">
        <v>0.1</v>
      </c>
      <c r="E4095" s="5">
        <v>102.6</v>
      </c>
      <c r="F4095" s="5">
        <v>205</v>
      </c>
      <c r="G4095" s="5">
        <v>101.8</v>
      </c>
      <c r="H4095" s="5">
        <v>101.6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103</v>
      </c>
      <c r="D4096" s="5">
        <v>0.1</v>
      </c>
      <c r="E4096" s="5">
        <v>103.1</v>
      </c>
      <c r="F4096" s="5">
        <v>204.7</v>
      </c>
      <c r="G4096" s="5">
        <v>101.6</v>
      </c>
      <c r="H4096" s="5">
        <v>101.3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103</v>
      </c>
      <c r="D4097" s="5">
        <v>0.1</v>
      </c>
      <c r="E4097" s="5">
        <v>103.1</v>
      </c>
      <c r="F4097" s="5">
        <v>204.7</v>
      </c>
      <c r="G4097" s="5">
        <v>101.6</v>
      </c>
      <c r="H4097" s="5">
        <v>101.3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103.7</v>
      </c>
      <c r="D4098" s="5">
        <v>0.1</v>
      </c>
      <c r="E4098" s="5">
        <v>103.9</v>
      </c>
      <c r="F4098" s="5">
        <v>205.8</v>
      </c>
      <c r="G4098" s="5">
        <v>102.3</v>
      </c>
      <c r="H4098" s="5">
        <v>101.3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103.7</v>
      </c>
      <c r="D4099" s="5">
        <v>0.1</v>
      </c>
      <c r="E4099" s="5">
        <v>103.9</v>
      </c>
      <c r="F4099" s="5">
        <v>205.8</v>
      </c>
      <c r="G4099" s="5">
        <v>102.3</v>
      </c>
      <c r="H4099" s="5">
        <v>102.3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103.4</v>
      </c>
      <c r="D4100" s="5">
        <v>0.1</v>
      </c>
      <c r="E4100" s="5">
        <v>103.5</v>
      </c>
      <c r="F4100" s="5">
        <v>205.8</v>
      </c>
      <c r="G4100" s="5">
        <v>102.3</v>
      </c>
      <c r="H4100" s="5">
        <v>102.3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103.4</v>
      </c>
      <c r="D4101" s="5">
        <v>0.1</v>
      </c>
      <c r="E4101" s="5">
        <v>103.5</v>
      </c>
      <c r="F4101" s="5">
        <v>205.8</v>
      </c>
      <c r="G4101" s="5">
        <v>102.3</v>
      </c>
      <c r="H4101" s="5">
        <v>102.1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103.5</v>
      </c>
      <c r="D4102" s="5">
        <v>0.1</v>
      </c>
      <c r="E4102" s="5">
        <v>103.5</v>
      </c>
      <c r="F4102" s="5">
        <v>205.8</v>
      </c>
      <c r="G4102" s="5">
        <v>102.3</v>
      </c>
      <c r="H4102" s="5">
        <v>102.1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103.5</v>
      </c>
      <c r="D4103" s="5">
        <v>0.1</v>
      </c>
      <c r="E4103" s="5">
        <v>103.7</v>
      </c>
      <c r="F4103" s="5">
        <v>206.5</v>
      </c>
      <c r="G4103" s="5">
        <v>102.6</v>
      </c>
      <c r="H4103" s="5">
        <v>102.4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103.5</v>
      </c>
      <c r="D4104" s="5">
        <v>0.1</v>
      </c>
      <c r="E4104" s="5">
        <v>103.7</v>
      </c>
      <c r="F4104" s="5">
        <v>206.5</v>
      </c>
      <c r="G4104" s="5">
        <v>102.6</v>
      </c>
      <c r="H4104" s="5">
        <v>102.4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103.5</v>
      </c>
      <c r="D4105" s="5">
        <v>0.1</v>
      </c>
      <c r="E4105" s="5">
        <v>103.7</v>
      </c>
      <c r="F4105" s="5">
        <v>206.5</v>
      </c>
      <c r="G4105" s="5">
        <v>102.6</v>
      </c>
      <c r="H4105" s="5">
        <v>102.4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103.5</v>
      </c>
      <c r="D4106" s="5">
        <v>0.1</v>
      </c>
      <c r="E4106" s="5">
        <v>103.7</v>
      </c>
      <c r="F4106" s="5">
        <v>206.5</v>
      </c>
      <c r="G4106" s="5">
        <v>102.6</v>
      </c>
      <c r="H4106" s="5">
        <v>102.4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103.3</v>
      </c>
      <c r="D4107" s="5">
        <v>0.1</v>
      </c>
      <c r="E4107" s="5">
        <v>103.4</v>
      </c>
      <c r="F4107" s="5">
        <v>205.5</v>
      </c>
      <c r="G4107" s="5">
        <v>102.1</v>
      </c>
      <c r="H4107" s="5">
        <v>102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103.3</v>
      </c>
      <c r="D4108" s="5">
        <v>0.1</v>
      </c>
      <c r="E4108" s="5">
        <v>103.4</v>
      </c>
      <c r="F4108" s="5">
        <v>205.5</v>
      </c>
      <c r="G4108" s="5">
        <v>102.1</v>
      </c>
      <c r="H4108" s="5">
        <v>102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103.7</v>
      </c>
      <c r="D4109" s="5">
        <v>0.1</v>
      </c>
      <c r="E4109" s="5">
        <v>103.8</v>
      </c>
      <c r="F4109" s="5">
        <v>206.4</v>
      </c>
      <c r="G4109" s="5">
        <v>102.6</v>
      </c>
      <c r="H4109" s="5">
        <v>102.4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103.7</v>
      </c>
      <c r="D4110" s="5">
        <v>0.1</v>
      </c>
      <c r="E4110" s="5">
        <v>103.8</v>
      </c>
      <c r="F4110" s="5">
        <v>206.4</v>
      </c>
      <c r="G4110" s="5">
        <v>102.6</v>
      </c>
      <c r="H4110" s="5">
        <v>102.4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103.4</v>
      </c>
      <c r="D4111" s="5">
        <v>0.1</v>
      </c>
      <c r="E4111" s="5">
        <v>103.6</v>
      </c>
      <c r="F4111" s="5">
        <v>205.6</v>
      </c>
      <c r="G4111" s="5">
        <v>102.2</v>
      </c>
      <c r="H4111" s="5">
        <v>102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103.4</v>
      </c>
      <c r="D4112" s="5">
        <v>0.1</v>
      </c>
      <c r="E4112" s="5">
        <v>103.6</v>
      </c>
      <c r="F4112" s="5">
        <v>205.6</v>
      </c>
      <c r="G4112" s="5">
        <v>102.2</v>
      </c>
      <c r="H4112" s="5">
        <v>102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103</v>
      </c>
      <c r="D4113" s="5">
        <v>0.1</v>
      </c>
      <c r="E4113" s="5">
        <v>103.1</v>
      </c>
      <c r="F4113" s="5">
        <v>204.9</v>
      </c>
      <c r="G4113" s="5">
        <v>101.9</v>
      </c>
      <c r="H4113" s="5">
        <v>101.8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103</v>
      </c>
      <c r="D4114" s="5">
        <v>0.1</v>
      </c>
      <c r="E4114" s="5">
        <v>103.1</v>
      </c>
      <c r="F4114" s="5">
        <v>204.9</v>
      </c>
      <c r="G4114" s="5">
        <v>101.9</v>
      </c>
      <c r="H4114" s="5">
        <v>101.8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103</v>
      </c>
      <c r="D4115" s="5">
        <v>0.1</v>
      </c>
      <c r="E4115" s="5">
        <v>103.1</v>
      </c>
      <c r="F4115" s="5">
        <v>204.9</v>
      </c>
      <c r="G4115" s="5">
        <v>101.9</v>
      </c>
      <c r="H4115" s="5">
        <v>101.8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103.6</v>
      </c>
      <c r="D4116" s="5">
        <v>0.1</v>
      </c>
      <c r="E4116" s="5">
        <v>103.7</v>
      </c>
      <c r="F4116" s="5">
        <v>206.3</v>
      </c>
      <c r="G4116" s="5">
        <v>102.6</v>
      </c>
      <c r="H4116" s="5">
        <v>102.4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103.6</v>
      </c>
      <c r="D4117" s="5">
        <v>0.1</v>
      </c>
      <c r="E4117" s="5">
        <v>103.7</v>
      </c>
      <c r="F4117" s="5">
        <v>206.3</v>
      </c>
      <c r="G4117" s="5">
        <v>102.6</v>
      </c>
      <c r="H4117" s="5">
        <v>102.4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103.4</v>
      </c>
      <c r="D4118" s="5">
        <v>0.1</v>
      </c>
      <c r="E4118" s="5">
        <v>103.6</v>
      </c>
      <c r="F4118" s="5">
        <v>205.4</v>
      </c>
      <c r="G4118" s="5">
        <v>102.2</v>
      </c>
      <c r="H4118" s="5">
        <v>102.1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103.4</v>
      </c>
      <c r="D4119" s="5">
        <v>0.1</v>
      </c>
      <c r="E4119" s="5">
        <v>103.6</v>
      </c>
      <c r="F4119" s="5">
        <v>205.4</v>
      </c>
      <c r="G4119" s="5">
        <v>102.2</v>
      </c>
      <c r="H4119" s="5">
        <v>102.1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103.4</v>
      </c>
      <c r="D4120" s="5">
        <v>0.1</v>
      </c>
      <c r="E4120" s="5">
        <v>103.6</v>
      </c>
      <c r="F4120" s="5">
        <v>205.9</v>
      </c>
      <c r="G4120" s="5">
        <v>102.3</v>
      </c>
      <c r="H4120" s="5">
        <v>102.2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103.4</v>
      </c>
      <c r="D4121" s="5">
        <v>0.1</v>
      </c>
      <c r="E4121" s="5">
        <v>103.6</v>
      </c>
      <c r="F4121" s="5">
        <v>205.9</v>
      </c>
      <c r="G4121" s="5">
        <v>102.3</v>
      </c>
      <c r="H4121" s="5">
        <v>102.2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103.4</v>
      </c>
      <c r="D4122" s="5">
        <v>0.1</v>
      </c>
      <c r="E4122" s="5">
        <v>102.1</v>
      </c>
      <c r="F4122" s="5">
        <v>204.3</v>
      </c>
      <c r="G4122" s="5">
        <v>101.7</v>
      </c>
      <c r="H4122" s="5">
        <v>101.5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101.9</v>
      </c>
      <c r="D4123" s="5">
        <v>0.1</v>
      </c>
      <c r="E4123" s="5">
        <v>102.1</v>
      </c>
      <c r="F4123" s="5">
        <v>204.3</v>
      </c>
      <c r="G4123" s="5">
        <v>101.7</v>
      </c>
      <c r="H4123" s="5">
        <v>101.5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101.9</v>
      </c>
      <c r="D4124" s="5">
        <v>0.1</v>
      </c>
      <c r="E4124" s="5">
        <v>102.1</v>
      </c>
      <c r="F4124" s="5">
        <v>204.3</v>
      </c>
      <c r="G4124" s="5">
        <v>101.7</v>
      </c>
      <c r="H4124" s="5">
        <v>101.5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101.9</v>
      </c>
      <c r="D4125" s="5">
        <v>0.1</v>
      </c>
      <c r="E4125" s="5">
        <v>102.1</v>
      </c>
      <c r="F4125" s="5">
        <v>204.3</v>
      </c>
      <c r="G4125" s="5">
        <v>101.7</v>
      </c>
      <c r="H4125" s="5">
        <v>101.5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104.2</v>
      </c>
      <c r="D4126" s="5">
        <v>0.1</v>
      </c>
      <c r="E4126" s="5">
        <v>104.3</v>
      </c>
      <c r="F4126" s="5">
        <v>207.1</v>
      </c>
      <c r="G4126" s="5">
        <v>102.9</v>
      </c>
      <c r="H4126" s="5">
        <v>102.7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104.2</v>
      </c>
      <c r="D4127" s="5">
        <v>0.1</v>
      </c>
      <c r="E4127" s="5">
        <v>104.3</v>
      </c>
      <c r="F4127" s="5">
        <v>207.1</v>
      </c>
      <c r="G4127" s="5">
        <v>102.9</v>
      </c>
      <c r="H4127" s="5">
        <v>102.7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103.7</v>
      </c>
      <c r="D4128" s="5">
        <v>0.1</v>
      </c>
      <c r="E4128" s="5">
        <v>103.9</v>
      </c>
      <c r="F4128" s="5">
        <v>206</v>
      </c>
      <c r="G4128" s="5">
        <v>102.4</v>
      </c>
      <c r="H4128" s="5">
        <v>102.3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103.7</v>
      </c>
      <c r="D4129" s="5">
        <v>0.1</v>
      </c>
      <c r="E4129" s="5">
        <v>103.9</v>
      </c>
      <c r="F4129" s="5">
        <v>206</v>
      </c>
      <c r="G4129" s="5">
        <v>102.4</v>
      </c>
      <c r="H4129" s="5">
        <v>102.3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102.7</v>
      </c>
      <c r="D4130" s="5">
        <v>0.1</v>
      </c>
      <c r="E4130" s="5">
        <v>102.8</v>
      </c>
      <c r="F4130" s="5">
        <v>205</v>
      </c>
      <c r="G4130" s="5">
        <v>101.9</v>
      </c>
      <c r="H4130" s="5">
        <v>101.7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102.7</v>
      </c>
      <c r="D4131" s="5">
        <v>0.1</v>
      </c>
      <c r="E4131" s="5">
        <v>102.8</v>
      </c>
      <c r="F4131" s="5">
        <v>205</v>
      </c>
      <c r="G4131" s="5">
        <v>101.9</v>
      </c>
      <c r="H4131" s="5">
        <v>101.7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102.8</v>
      </c>
      <c r="D4132" s="5">
        <v>0.1</v>
      </c>
      <c r="E4132" s="5">
        <v>103</v>
      </c>
      <c r="F4132" s="5">
        <v>204.2</v>
      </c>
      <c r="G4132" s="5">
        <v>101.5</v>
      </c>
      <c r="H4132" s="5">
        <v>101.3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102.8</v>
      </c>
      <c r="D4133" s="5">
        <v>0.1</v>
      </c>
      <c r="E4133" s="5">
        <v>103</v>
      </c>
      <c r="F4133" s="5">
        <v>204.2</v>
      </c>
      <c r="G4133" s="5">
        <v>101.5</v>
      </c>
      <c r="H4133" s="5">
        <v>101.3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102.8</v>
      </c>
      <c r="D4134" s="5">
        <v>0.1</v>
      </c>
      <c r="E4134" s="5">
        <v>103</v>
      </c>
      <c r="F4134" s="5">
        <v>204.2</v>
      </c>
      <c r="G4134" s="5">
        <v>101.5</v>
      </c>
      <c r="H4134" s="5">
        <v>101.3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102.8</v>
      </c>
      <c r="D4135" s="5">
        <v>0.1</v>
      </c>
      <c r="E4135" s="5">
        <v>103</v>
      </c>
      <c r="F4135" s="5">
        <v>204.2</v>
      </c>
      <c r="G4135" s="5">
        <v>101.5</v>
      </c>
      <c r="H4135" s="5">
        <v>101.3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102.8</v>
      </c>
      <c r="D4136" s="5">
        <v>0.1</v>
      </c>
      <c r="E4136" s="5">
        <v>103</v>
      </c>
      <c r="F4136" s="5">
        <v>204.9</v>
      </c>
      <c r="G4136" s="5">
        <v>101.8</v>
      </c>
      <c r="H4136" s="5">
        <v>101.7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102.8</v>
      </c>
      <c r="D4137" s="5">
        <v>0.1</v>
      </c>
      <c r="E4137" s="5">
        <v>103</v>
      </c>
      <c r="F4137" s="5">
        <v>204.9</v>
      </c>
      <c r="G4137" s="5">
        <v>101.8</v>
      </c>
      <c r="H4137" s="5">
        <v>101.7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103.6</v>
      </c>
      <c r="D4138" s="5">
        <v>0.1</v>
      </c>
      <c r="E4138" s="5">
        <v>103.7</v>
      </c>
      <c r="F4138" s="5">
        <v>206.6</v>
      </c>
      <c r="G4138" s="5">
        <v>102.7</v>
      </c>
      <c r="H4138" s="5">
        <v>102.5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103.6</v>
      </c>
      <c r="D4139" s="5">
        <v>0.1</v>
      </c>
      <c r="E4139" s="5">
        <v>103.7</v>
      </c>
      <c r="F4139" s="5">
        <v>206.6</v>
      </c>
      <c r="G4139" s="5">
        <v>102.7</v>
      </c>
      <c r="H4139" s="5">
        <v>102.5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103.6</v>
      </c>
      <c r="D4140" s="5">
        <v>0.1</v>
      </c>
      <c r="E4140" s="5">
        <v>103.7</v>
      </c>
      <c r="F4140" s="5">
        <v>206</v>
      </c>
      <c r="G4140" s="5">
        <v>102.4</v>
      </c>
      <c r="H4140" s="5">
        <v>102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103.6</v>
      </c>
      <c r="D4141" s="5">
        <v>0.1</v>
      </c>
      <c r="E4141" s="5">
        <v>103.7</v>
      </c>
      <c r="F4141" s="5">
        <v>206</v>
      </c>
      <c r="G4141" s="5">
        <v>102.4</v>
      </c>
      <c r="H4141" s="5">
        <v>102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104</v>
      </c>
      <c r="D4142" s="5">
        <v>0.1</v>
      </c>
      <c r="E4142" s="5">
        <v>104.2</v>
      </c>
      <c r="F4142" s="5">
        <v>207.3</v>
      </c>
      <c r="G4142" s="5">
        <v>103</v>
      </c>
      <c r="H4142" s="5">
        <v>102.9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104</v>
      </c>
      <c r="D4143" s="5">
        <v>0.1</v>
      </c>
      <c r="E4143" s="5">
        <v>104.2</v>
      </c>
      <c r="F4143" s="5">
        <v>207.3</v>
      </c>
      <c r="G4143" s="5">
        <v>103</v>
      </c>
      <c r="H4143" s="5">
        <v>102.9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104</v>
      </c>
      <c r="D4144" s="5">
        <v>0.1</v>
      </c>
      <c r="E4144" s="5">
        <v>104.2</v>
      </c>
      <c r="F4144" s="5">
        <v>207.3</v>
      </c>
      <c r="G4144" s="5">
        <v>103</v>
      </c>
      <c r="H4144" s="5">
        <v>102.9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104</v>
      </c>
      <c r="D4145" s="5">
        <v>0.1</v>
      </c>
      <c r="E4145" s="5">
        <v>104.2</v>
      </c>
      <c r="F4145" s="5">
        <v>207.3</v>
      </c>
      <c r="G4145" s="5">
        <v>103</v>
      </c>
      <c r="H4145" s="5">
        <v>102.9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103.1</v>
      </c>
      <c r="D4146" s="5">
        <v>0.1</v>
      </c>
      <c r="E4146" s="5">
        <v>103.3</v>
      </c>
      <c r="F4146" s="5">
        <v>205.6</v>
      </c>
      <c r="G4146" s="5">
        <v>102.2</v>
      </c>
      <c r="H4146" s="5">
        <v>102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103.1</v>
      </c>
      <c r="D4147" s="5">
        <v>0.1</v>
      </c>
      <c r="E4147" s="5">
        <v>103.3</v>
      </c>
      <c r="F4147" s="5">
        <v>205.6</v>
      </c>
      <c r="G4147" s="5">
        <v>102.2</v>
      </c>
      <c r="H4147" s="5">
        <v>102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103.4</v>
      </c>
      <c r="D4148" s="5">
        <v>0.1</v>
      </c>
      <c r="E4148" s="5">
        <v>103.6</v>
      </c>
      <c r="F4148" s="5">
        <v>205.9</v>
      </c>
      <c r="G4148" s="5">
        <v>102.3</v>
      </c>
      <c r="H4148" s="5">
        <v>102.2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103.4</v>
      </c>
      <c r="D4149" s="5">
        <v>0.1</v>
      </c>
      <c r="E4149" s="5">
        <v>103.6</v>
      </c>
      <c r="F4149" s="5">
        <v>205.9</v>
      </c>
      <c r="G4149" s="5">
        <v>102.3</v>
      </c>
      <c r="H4149" s="5">
        <v>102.2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103.8</v>
      </c>
      <c r="D4150" s="5">
        <v>0.1</v>
      </c>
      <c r="E4150" s="5">
        <v>104</v>
      </c>
      <c r="F4150" s="5">
        <v>205.3</v>
      </c>
      <c r="G4150" s="5">
        <v>102.1</v>
      </c>
      <c r="H4150" s="5">
        <v>101.9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103.8</v>
      </c>
      <c r="D4151" s="5">
        <v>0.1</v>
      </c>
      <c r="E4151" s="5">
        <v>104</v>
      </c>
      <c r="F4151" s="5">
        <v>205.3</v>
      </c>
      <c r="G4151" s="5">
        <v>102.1</v>
      </c>
      <c r="H4151" s="5">
        <v>101.9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104</v>
      </c>
      <c r="D4152" s="5">
        <v>0.1</v>
      </c>
      <c r="E4152" s="5">
        <v>104</v>
      </c>
      <c r="F4152" s="5">
        <v>203.5</v>
      </c>
      <c r="G4152" s="5">
        <v>101.2</v>
      </c>
      <c r="H4152" s="5">
        <v>101.2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104</v>
      </c>
      <c r="D4153" s="5">
        <v>0.1</v>
      </c>
      <c r="E4153" s="5">
        <v>104</v>
      </c>
      <c r="F4153" s="5">
        <v>203.5</v>
      </c>
      <c r="G4153" s="5">
        <v>101.2</v>
      </c>
      <c r="H4153" s="5">
        <v>101.2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104</v>
      </c>
      <c r="D4154" s="5">
        <v>0.1</v>
      </c>
      <c r="E4154" s="5">
        <v>104</v>
      </c>
      <c r="F4154" s="5">
        <v>203.5</v>
      </c>
      <c r="G4154" s="5">
        <v>101.2</v>
      </c>
      <c r="H4154" s="5">
        <v>101.2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104</v>
      </c>
      <c r="D4155" s="5">
        <v>0.1</v>
      </c>
      <c r="E4155" s="5">
        <v>104</v>
      </c>
      <c r="F4155" s="5">
        <v>203.5</v>
      </c>
      <c r="G4155" s="5">
        <v>101.2</v>
      </c>
      <c r="H4155" s="5">
        <v>101.2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104.3</v>
      </c>
      <c r="D4156" s="5">
        <v>0.1</v>
      </c>
      <c r="E4156" s="5">
        <v>104.4</v>
      </c>
      <c r="F4156" s="5">
        <v>206.6</v>
      </c>
      <c r="G4156" s="5">
        <v>102.7</v>
      </c>
      <c r="H4156" s="5">
        <v>102.6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104.3</v>
      </c>
      <c r="D4157" s="5">
        <v>0.1</v>
      </c>
      <c r="E4157" s="5">
        <v>104.4</v>
      </c>
      <c r="F4157" s="5">
        <v>206.6</v>
      </c>
      <c r="G4157" s="5">
        <v>102.7</v>
      </c>
      <c r="H4157" s="5">
        <v>102.6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103.4</v>
      </c>
      <c r="D4158" s="5">
        <v>0.1</v>
      </c>
      <c r="E4158" s="5">
        <v>103.5</v>
      </c>
      <c r="F4158" s="5">
        <v>205.6</v>
      </c>
      <c r="G4158" s="5">
        <v>102.2</v>
      </c>
      <c r="H4158" s="5">
        <v>102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103.4</v>
      </c>
      <c r="D4159" s="5">
        <v>0.1</v>
      </c>
      <c r="E4159" s="5">
        <v>103.5</v>
      </c>
      <c r="F4159" s="5">
        <v>205.6</v>
      </c>
      <c r="G4159" s="5">
        <v>102.2</v>
      </c>
      <c r="H4159" s="5">
        <v>102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103.7</v>
      </c>
      <c r="D4160" s="5">
        <v>0.1</v>
      </c>
      <c r="E4160" s="5">
        <v>103.7</v>
      </c>
      <c r="F4160" s="5">
        <v>206.4</v>
      </c>
      <c r="G4160" s="5">
        <v>102.6</v>
      </c>
      <c r="H4160" s="5">
        <v>102.4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103.7</v>
      </c>
      <c r="D4161" s="5">
        <v>0.1</v>
      </c>
      <c r="E4161" s="5">
        <v>103.7</v>
      </c>
      <c r="F4161" s="5">
        <v>206.4</v>
      </c>
      <c r="G4161" s="5">
        <v>102.6</v>
      </c>
      <c r="H4161" s="5">
        <v>102.4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103.4</v>
      </c>
      <c r="D4162" s="5">
        <v>0.1</v>
      </c>
      <c r="E4162" s="5">
        <v>103.4</v>
      </c>
      <c r="F4162" s="5">
        <v>205.7</v>
      </c>
      <c r="G4162" s="5">
        <v>102.2</v>
      </c>
      <c r="H4162" s="5">
        <v>102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103.4</v>
      </c>
      <c r="D4163" s="5">
        <v>0.1</v>
      </c>
      <c r="E4163" s="5">
        <v>103.4</v>
      </c>
      <c r="F4163" s="5">
        <v>205.7</v>
      </c>
      <c r="G4163" s="5">
        <v>102.2</v>
      </c>
      <c r="H4163" s="5">
        <v>102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103.4</v>
      </c>
      <c r="D4164" s="5">
        <v>0.1</v>
      </c>
      <c r="E4164" s="5">
        <v>103.4</v>
      </c>
      <c r="F4164" s="5">
        <v>205.7</v>
      </c>
      <c r="G4164" s="5">
        <v>102.2</v>
      </c>
      <c r="H4164" s="5">
        <v>102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103.4</v>
      </c>
      <c r="D4165" s="5">
        <v>0.1</v>
      </c>
      <c r="E4165" s="5">
        <v>103.4</v>
      </c>
      <c r="F4165" s="5">
        <v>205.7</v>
      </c>
      <c r="G4165" s="5">
        <v>102.2</v>
      </c>
      <c r="H4165" s="5">
        <v>102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102.9</v>
      </c>
      <c r="D4166" s="5">
        <v>0.1</v>
      </c>
      <c r="E4166" s="5">
        <v>103</v>
      </c>
      <c r="F4166" s="5">
        <v>205.7</v>
      </c>
      <c r="G4166" s="5">
        <v>102.2</v>
      </c>
      <c r="H4166" s="5">
        <v>102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102.9</v>
      </c>
      <c r="D4167" s="5">
        <v>0.1</v>
      </c>
      <c r="E4167" s="5">
        <v>103</v>
      </c>
      <c r="F4167" s="5">
        <v>205.7</v>
      </c>
      <c r="G4167" s="5">
        <v>102.2</v>
      </c>
      <c r="H4167" s="5">
        <v>102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102</v>
      </c>
      <c r="D4168" s="5">
        <v>0.1</v>
      </c>
      <c r="E4168" s="5">
        <v>102.1</v>
      </c>
      <c r="F4168" s="5">
        <v>205.1</v>
      </c>
      <c r="G4168" s="5">
        <v>101.9</v>
      </c>
      <c r="H4168" s="5">
        <v>101.8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102</v>
      </c>
      <c r="D4169" s="5">
        <v>0.1</v>
      </c>
      <c r="E4169" s="5">
        <v>102.1</v>
      </c>
      <c r="F4169" s="5">
        <v>205.1</v>
      </c>
      <c r="G4169" s="5">
        <v>101.9</v>
      </c>
      <c r="H4169" s="5">
        <v>101.8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103</v>
      </c>
      <c r="D4170" s="5">
        <v>0.1</v>
      </c>
      <c r="E4170" s="5">
        <v>103.1</v>
      </c>
      <c r="F4170" s="5">
        <v>204.3</v>
      </c>
      <c r="G4170" s="5">
        <v>101.5</v>
      </c>
      <c r="H4170" s="5">
        <v>101.3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103</v>
      </c>
      <c r="D4171" s="5">
        <v>0.1</v>
      </c>
      <c r="E4171" s="5">
        <v>103.1</v>
      </c>
      <c r="F4171" s="5">
        <v>204.3</v>
      </c>
      <c r="G4171" s="5">
        <v>101.5</v>
      </c>
      <c r="H4171" s="5">
        <v>101.3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102.4</v>
      </c>
      <c r="D4172" s="5">
        <v>0.1</v>
      </c>
      <c r="E4172" s="5">
        <v>102.6</v>
      </c>
      <c r="F4172" s="5">
        <v>204.6</v>
      </c>
      <c r="G4172" s="5">
        <v>101.7</v>
      </c>
      <c r="H4172" s="5">
        <v>101.6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102.4</v>
      </c>
      <c r="D4173" s="5">
        <v>0.1</v>
      </c>
      <c r="E4173" s="5">
        <v>102.6</v>
      </c>
      <c r="F4173" s="5">
        <v>204.6</v>
      </c>
      <c r="G4173" s="5">
        <v>101.7</v>
      </c>
      <c r="H4173" s="5">
        <v>101.6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102.4</v>
      </c>
      <c r="D4174" s="5">
        <v>0.1</v>
      </c>
      <c r="E4174" s="5">
        <v>102.6</v>
      </c>
      <c r="F4174" s="5">
        <v>204.6</v>
      </c>
      <c r="G4174" s="5">
        <v>101.7</v>
      </c>
      <c r="H4174" s="5">
        <v>101.6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102.4</v>
      </c>
      <c r="D4175" s="5">
        <v>0.1</v>
      </c>
      <c r="E4175" s="5">
        <v>102.6</v>
      </c>
      <c r="F4175" s="5">
        <v>204.6</v>
      </c>
      <c r="G4175" s="5">
        <v>101.7</v>
      </c>
      <c r="H4175" s="5">
        <v>101.6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103.3</v>
      </c>
      <c r="D4176" s="5">
        <v>0.1</v>
      </c>
      <c r="E4176" s="5">
        <v>103.4</v>
      </c>
      <c r="F4176" s="5">
        <v>205.2</v>
      </c>
      <c r="G4176" s="5">
        <v>102</v>
      </c>
      <c r="H4176" s="5">
        <v>101.9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103.3</v>
      </c>
      <c r="D4177" s="5">
        <v>0.1</v>
      </c>
      <c r="E4177" s="5">
        <v>103.4</v>
      </c>
      <c r="F4177" s="5">
        <v>205.2</v>
      </c>
      <c r="G4177" s="5">
        <v>102</v>
      </c>
      <c r="H4177" s="5">
        <v>101.9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103</v>
      </c>
      <c r="D4178" s="5">
        <v>0.1</v>
      </c>
      <c r="E4178" s="5">
        <v>103.1</v>
      </c>
      <c r="F4178" s="5">
        <v>205</v>
      </c>
      <c r="G4178" s="5">
        <v>101.9</v>
      </c>
      <c r="H4178" s="5">
        <v>101.7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103</v>
      </c>
      <c r="D4179" s="5">
        <v>0.1</v>
      </c>
      <c r="E4179" s="5">
        <v>103.1</v>
      </c>
      <c r="F4179" s="5">
        <v>205</v>
      </c>
      <c r="G4179" s="5">
        <v>101.9</v>
      </c>
      <c r="H4179" s="5">
        <v>101.7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102.4</v>
      </c>
      <c r="D4180" s="5">
        <v>0.1</v>
      </c>
      <c r="E4180" s="5">
        <v>102.6</v>
      </c>
      <c r="F4180" s="5">
        <v>203.9</v>
      </c>
      <c r="G4180" s="5">
        <v>101.3</v>
      </c>
      <c r="H4180" s="5">
        <v>101.2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102.4</v>
      </c>
      <c r="D4181" s="5">
        <v>0.1</v>
      </c>
      <c r="E4181" s="5">
        <v>102.6</v>
      </c>
      <c r="F4181" s="5">
        <v>203.9</v>
      </c>
      <c r="G4181" s="5">
        <v>101.3</v>
      </c>
      <c r="H4181" s="5">
        <v>101.2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102.9</v>
      </c>
      <c r="D4182" s="5">
        <v>0.1</v>
      </c>
      <c r="E4182" s="5">
        <v>103.1</v>
      </c>
      <c r="F4182" s="5">
        <v>204.5</v>
      </c>
      <c r="G4182" s="5">
        <v>101.6</v>
      </c>
      <c r="H4182" s="5">
        <v>101.5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102.9</v>
      </c>
      <c r="D4183" s="5">
        <v>0.1</v>
      </c>
      <c r="E4183" s="5">
        <v>103.1</v>
      </c>
      <c r="F4183" s="5">
        <v>204.5</v>
      </c>
      <c r="G4183" s="5">
        <v>101.6</v>
      </c>
      <c r="H4183" s="5">
        <v>101.5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102.9</v>
      </c>
      <c r="D4184" s="5">
        <v>0.1</v>
      </c>
      <c r="E4184" s="5">
        <v>103.1</v>
      </c>
      <c r="F4184" s="5">
        <v>204.5</v>
      </c>
      <c r="G4184" s="5">
        <v>101.6</v>
      </c>
      <c r="H4184" s="5">
        <v>101.5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102.9</v>
      </c>
      <c r="D4185" s="5">
        <v>0.1</v>
      </c>
      <c r="E4185" s="5">
        <v>103.1</v>
      </c>
      <c r="F4185" s="5">
        <v>204.5</v>
      </c>
      <c r="G4185" s="5">
        <v>101.6</v>
      </c>
      <c r="H4185" s="5">
        <v>101.5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103.1</v>
      </c>
      <c r="D4186" s="5">
        <v>0.1</v>
      </c>
      <c r="E4186" s="5">
        <v>103.1</v>
      </c>
      <c r="F4186" s="5">
        <v>204.3</v>
      </c>
      <c r="G4186" s="5">
        <v>101.6</v>
      </c>
      <c r="H4186" s="5">
        <v>101.4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103.1</v>
      </c>
      <c r="D4187" s="5">
        <v>0.1</v>
      </c>
      <c r="E4187" s="5">
        <v>103.1</v>
      </c>
      <c r="F4187" s="5">
        <v>204.3</v>
      </c>
      <c r="G4187" s="5">
        <v>101.6</v>
      </c>
      <c r="H4187" s="5">
        <v>101.4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102.8</v>
      </c>
      <c r="D4188" s="5">
        <v>0.1</v>
      </c>
      <c r="E4188" s="5">
        <v>103</v>
      </c>
      <c r="F4188" s="5">
        <v>205.5</v>
      </c>
      <c r="G4188" s="5">
        <v>102.1</v>
      </c>
      <c r="H4188" s="5">
        <v>102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102.8</v>
      </c>
      <c r="D4189" s="5">
        <v>0.1</v>
      </c>
      <c r="E4189" s="5">
        <v>103</v>
      </c>
      <c r="F4189" s="5">
        <v>205.5</v>
      </c>
      <c r="G4189" s="5">
        <v>102.1</v>
      </c>
      <c r="H4189" s="5">
        <v>102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103.1</v>
      </c>
      <c r="D4190" s="5">
        <v>0.1</v>
      </c>
      <c r="E4190" s="5">
        <v>103.3</v>
      </c>
      <c r="F4190" s="5">
        <v>205.5</v>
      </c>
      <c r="G4190" s="5">
        <v>102.2</v>
      </c>
      <c r="H4190" s="5">
        <v>102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103.1</v>
      </c>
      <c r="D4191" s="5">
        <v>0.1</v>
      </c>
      <c r="E4191" s="5">
        <v>103.3</v>
      </c>
      <c r="F4191" s="5">
        <v>205.5</v>
      </c>
      <c r="G4191" s="5">
        <v>102.2</v>
      </c>
      <c r="H4191" s="5">
        <v>102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103.2</v>
      </c>
      <c r="D4192" s="5">
        <v>0.1</v>
      </c>
      <c r="E4192" s="5">
        <v>103.4</v>
      </c>
      <c r="F4192" s="5">
        <v>205.2</v>
      </c>
      <c r="G4192" s="5">
        <v>101.8</v>
      </c>
      <c r="H4192" s="5">
        <v>101.6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103.2</v>
      </c>
      <c r="D4193" s="5">
        <v>0.1</v>
      </c>
      <c r="E4193" s="5">
        <v>103.4</v>
      </c>
      <c r="F4193" s="5">
        <v>205.2</v>
      </c>
      <c r="G4193" s="5">
        <v>101.8</v>
      </c>
      <c r="H4193" s="5">
        <v>101.6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103.2</v>
      </c>
      <c r="D4194" s="5">
        <v>0.1</v>
      </c>
      <c r="E4194" s="5">
        <v>103.4</v>
      </c>
      <c r="F4194" s="5">
        <v>205.2</v>
      </c>
      <c r="G4194" s="5">
        <v>101.8</v>
      </c>
      <c r="H4194" s="5">
        <v>101.6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103.2</v>
      </c>
      <c r="D4195" s="5">
        <v>0.1</v>
      </c>
      <c r="E4195" s="5">
        <v>103.4</v>
      </c>
      <c r="F4195" s="5">
        <v>205.2</v>
      </c>
      <c r="G4195" s="5">
        <v>101.8</v>
      </c>
      <c r="H4195" s="5">
        <v>101.6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103.8</v>
      </c>
      <c r="D4196" s="5">
        <v>0.1</v>
      </c>
      <c r="E4196" s="5">
        <v>104</v>
      </c>
      <c r="F4196" s="5">
        <v>206.5</v>
      </c>
      <c r="G4196" s="5">
        <v>102.6</v>
      </c>
      <c r="H4196" s="5">
        <v>102.5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103.8</v>
      </c>
      <c r="D4197" s="5">
        <v>0.1</v>
      </c>
      <c r="E4197" s="5">
        <v>104</v>
      </c>
      <c r="F4197" s="5">
        <v>206.5</v>
      </c>
      <c r="G4197" s="5">
        <v>102.6</v>
      </c>
      <c r="H4197" s="5">
        <v>102.5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103.9</v>
      </c>
      <c r="D4198" s="5">
        <v>0.1</v>
      </c>
      <c r="E4198" s="5">
        <v>104</v>
      </c>
      <c r="F4198" s="5">
        <v>207.1</v>
      </c>
      <c r="G4198" s="5">
        <v>102.9</v>
      </c>
      <c r="H4198" s="5">
        <v>102.7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103.9</v>
      </c>
      <c r="D4199" s="5">
        <v>0.1</v>
      </c>
      <c r="E4199" s="5">
        <v>104</v>
      </c>
      <c r="F4199" s="5">
        <v>207.1</v>
      </c>
      <c r="G4199" s="5">
        <v>102.9</v>
      </c>
      <c r="H4199" s="5">
        <v>102.7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104.2</v>
      </c>
      <c r="D4200" s="5">
        <v>0.1</v>
      </c>
      <c r="E4200" s="5">
        <v>104.3</v>
      </c>
      <c r="F4200" s="5">
        <v>207.3</v>
      </c>
      <c r="G4200" s="5">
        <v>103</v>
      </c>
      <c r="H4200" s="5">
        <v>102.9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104.2</v>
      </c>
      <c r="D4201" s="5">
        <v>0.1</v>
      </c>
      <c r="E4201" s="5">
        <v>104.3</v>
      </c>
      <c r="F4201" s="5">
        <v>207.3</v>
      </c>
      <c r="G4201" s="5">
        <v>103</v>
      </c>
      <c r="H4201" s="5">
        <v>102.9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104</v>
      </c>
      <c r="D4202" s="5">
        <v>0.1</v>
      </c>
      <c r="E4202" s="5">
        <v>104.1</v>
      </c>
      <c r="F4202" s="5">
        <v>206.8</v>
      </c>
      <c r="G4202" s="5">
        <v>102.8</v>
      </c>
      <c r="H4202" s="5">
        <v>102.7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104</v>
      </c>
      <c r="D4203" s="5">
        <v>0.1</v>
      </c>
      <c r="E4203" s="5">
        <v>104.1</v>
      </c>
      <c r="F4203" s="5">
        <v>206.8</v>
      </c>
      <c r="G4203" s="5">
        <v>102.8</v>
      </c>
      <c r="H4203" s="5">
        <v>102.7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104</v>
      </c>
      <c r="D4204" s="5">
        <v>0.1</v>
      </c>
      <c r="E4204" s="5">
        <v>104.1</v>
      </c>
      <c r="F4204" s="5">
        <v>206.8</v>
      </c>
      <c r="G4204" s="5">
        <v>102.8</v>
      </c>
      <c r="H4204" s="5">
        <v>102.7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104</v>
      </c>
      <c r="D4205" s="5">
        <v>0.1</v>
      </c>
      <c r="E4205" s="5">
        <v>104.1</v>
      </c>
      <c r="F4205" s="5">
        <v>206.8</v>
      </c>
      <c r="G4205" s="5">
        <v>102.8</v>
      </c>
      <c r="H4205" s="5">
        <v>102.7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103.7</v>
      </c>
      <c r="D4206" s="5">
        <v>0.1</v>
      </c>
      <c r="E4206" s="5">
        <v>103.7</v>
      </c>
      <c r="F4206" s="5">
        <v>206.6</v>
      </c>
      <c r="G4206" s="5">
        <v>102.7</v>
      </c>
      <c r="H4206" s="5">
        <v>102.5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103.7</v>
      </c>
      <c r="D4207" s="5">
        <v>0.1</v>
      </c>
      <c r="E4207" s="5">
        <v>103.7</v>
      </c>
      <c r="F4207" s="5">
        <v>206.6</v>
      </c>
      <c r="G4207" s="5">
        <v>102.7</v>
      </c>
      <c r="H4207" s="5">
        <v>102.5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104.3</v>
      </c>
      <c r="D4208" s="5">
        <v>0.1</v>
      </c>
      <c r="E4208" s="5">
        <v>104.5</v>
      </c>
      <c r="F4208" s="5">
        <v>207.9</v>
      </c>
      <c r="G4208" s="5">
        <v>103.4</v>
      </c>
      <c r="H4208" s="5">
        <v>103.2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104.3</v>
      </c>
      <c r="D4209" s="5">
        <v>0.1</v>
      </c>
      <c r="E4209" s="5">
        <v>104.5</v>
      </c>
      <c r="F4209" s="5">
        <v>207.9</v>
      </c>
      <c r="G4209" s="5">
        <v>103.4</v>
      </c>
      <c r="H4209" s="5">
        <v>103.2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103.9</v>
      </c>
      <c r="D4210" s="5">
        <v>0.1</v>
      </c>
      <c r="E4210" s="5">
        <v>104</v>
      </c>
      <c r="F4210" s="5">
        <v>205.8</v>
      </c>
      <c r="G4210" s="5">
        <v>102.4</v>
      </c>
      <c r="H4210" s="5">
        <v>102.3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103.9</v>
      </c>
      <c r="D4211" s="5">
        <v>0.1</v>
      </c>
      <c r="E4211" s="5">
        <v>104</v>
      </c>
      <c r="F4211" s="5">
        <v>205.8</v>
      </c>
      <c r="G4211" s="5">
        <v>102.4</v>
      </c>
      <c r="H4211" s="5">
        <v>102.3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103.1</v>
      </c>
      <c r="D4212" s="5">
        <v>0.1</v>
      </c>
      <c r="E4212" s="5">
        <v>103.3</v>
      </c>
      <c r="F4212" s="5">
        <v>206.3</v>
      </c>
      <c r="G4212" s="5">
        <v>102.5</v>
      </c>
      <c r="H4212" s="5">
        <v>102.3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103.1</v>
      </c>
      <c r="D4213" s="5">
        <v>0.1</v>
      </c>
      <c r="E4213" s="5">
        <v>103.3</v>
      </c>
      <c r="F4213" s="5">
        <v>206.3</v>
      </c>
      <c r="G4213" s="5">
        <v>102.5</v>
      </c>
      <c r="H4213" s="5">
        <v>102.3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103.1</v>
      </c>
      <c r="D4214" s="5">
        <v>0.1</v>
      </c>
      <c r="E4214" s="5">
        <v>103.3</v>
      </c>
      <c r="F4214" s="5">
        <v>206.3</v>
      </c>
      <c r="G4214" s="5">
        <v>102.5</v>
      </c>
      <c r="H4214" s="5">
        <v>102.3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103.1</v>
      </c>
      <c r="D4215" s="5">
        <v>0.1</v>
      </c>
      <c r="E4215" s="5">
        <v>103.3</v>
      </c>
      <c r="F4215" s="5">
        <v>206.3</v>
      </c>
      <c r="G4215" s="5">
        <v>102.5</v>
      </c>
      <c r="H4215" s="5">
        <v>102.3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101.4</v>
      </c>
      <c r="D4216" s="5">
        <v>0.1</v>
      </c>
      <c r="E4216" s="5">
        <v>101.5</v>
      </c>
      <c r="F4216" s="5">
        <v>203.4</v>
      </c>
      <c r="G4216" s="5">
        <v>101</v>
      </c>
      <c r="H4216" s="5">
        <v>100.8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101.4</v>
      </c>
      <c r="D4217" s="5">
        <v>0.1</v>
      </c>
      <c r="E4217" s="5">
        <v>101.5</v>
      </c>
      <c r="F4217" s="5">
        <v>203.4</v>
      </c>
      <c r="G4217" s="5">
        <v>101</v>
      </c>
      <c r="H4217" s="5">
        <v>100.8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103.4</v>
      </c>
      <c r="D4218" s="5">
        <v>0.1</v>
      </c>
      <c r="E4218" s="5">
        <v>103.6</v>
      </c>
      <c r="F4218" s="5">
        <v>206.1</v>
      </c>
      <c r="G4218" s="5">
        <v>102.5</v>
      </c>
      <c r="H4218" s="5">
        <v>102.3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103.4</v>
      </c>
      <c r="D4219" s="5">
        <v>0.1</v>
      </c>
      <c r="E4219" s="5">
        <v>103.6</v>
      </c>
      <c r="F4219" s="5">
        <v>206.1</v>
      </c>
      <c r="G4219" s="5">
        <v>102.5</v>
      </c>
      <c r="H4219" s="5">
        <v>102.3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103.1</v>
      </c>
      <c r="D4220" s="5">
        <v>0.1</v>
      </c>
      <c r="E4220" s="5">
        <v>103.3</v>
      </c>
      <c r="F4220" s="5">
        <v>205.4</v>
      </c>
      <c r="G4220" s="5">
        <v>102.1</v>
      </c>
      <c r="H4220" s="5">
        <v>101.9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103.1</v>
      </c>
      <c r="D4221" s="5">
        <v>0.1</v>
      </c>
      <c r="E4221" s="5">
        <v>103.3</v>
      </c>
      <c r="F4221" s="5">
        <v>205.4</v>
      </c>
      <c r="G4221" s="5">
        <v>102.1</v>
      </c>
      <c r="H4221" s="5">
        <v>101.9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103.5</v>
      </c>
      <c r="D4222" s="5">
        <v>0.1</v>
      </c>
      <c r="E4222" s="5">
        <v>103.7</v>
      </c>
      <c r="F4222" s="5">
        <v>205.5</v>
      </c>
      <c r="G4222" s="5">
        <v>102.1</v>
      </c>
      <c r="H4222" s="5">
        <v>102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103.5</v>
      </c>
      <c r="D4223" s="5">
        <v>0.1</v>
      </c>
      <c r="E4223" s="5">
        <v>103.7</v>
      </c>
      <c r="F4223" s="5">
        <v>205.5</v>
      </c>
      <c r="G4223" s="5">
        <v>102.1</v>
      </c>
      <c r="H4223" s="5">
        <v>102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103.5</v>
      </c>
      <c r="D4224" s="5">
        <v>0.1</v>
      </c>
      <c r="E4224" s="5">
        <v>103.7</v>
      </c>
      <c r="F4224" s="5">
        <v>205.5</v>
      </c>
      <c r="G4224" s="5">
        <v>102.1</v>
      </c>
      <c r="H4224" s="5">
        <v>102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103.5</v>
      </c>
      <c r="D4225" s="5">
        <v>0.1</v>
      </c>
      <c r="E4225" s="5">
        <v>103.7</v>
      </c>
      <c r="F4225" s="5">
        <v>205.8</v>
      </c>
      <c r="G4225" s="5">
        <v>102.3</v>
      </c>
      <c r="H4225" s="5">
        <v>102.2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103.7</v>
      </c>
      <c r="D4226" s="5">
        <v>0.1</v>
      </c>
      <c r="E4226" s="5">
        <v>103.9</v>
      </c>
      <c r="F4226" s="5">
        <v>205.8</v>
      </c>
      <c r="G4226" s="5">
        <v>102.3</v>
      </c>
      <c r="H4226" s="5">
        <v>102.2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103.7</v>
      </c>
      <c r="D4227" s="5">
        <v>0.1</v>
      </c>
      <c r="E4227" s="5">
        <v>103.9</v>
      </c>
      <c r="F4227" s="5">
        <v>205.8</v>
      </c>
      <c r="G4227" s="5">
        <v>102.5</v>
      </c>
      <c r="H4227" s="5">
        <v>102.3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103.4</v>
      </c>
      <c r="D4228" s="5">
        <v>0.1</v>
      </c>
      <c r="E4228" s="5">
        <v>103.5</v>
      </c>
      <c r="F4228" s="5">
        <v>206.1</v>
      </c>
      <c r="G4228" s="5">
        <v>102.5</v>
      </c>
      <c r="H4228" s="5">
        <v>102.3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103.4</v>
      </c>
      <c r="D4229" s="5">
        <v>0.1</v>
      </c>
      <c r="E4229" s="5">
        <v>103.5</v>
      </c>
      <c r="F4229" s="5">
        <v>206.1</v>
      </c>
      <c r="G4229" s="5">
        <v>102.5</v>
      </c>
      <c r="H4229" s="5">
        <v>101.1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103</v>
      </c>
      <c r="D4230" s="5">
        <v>0.1</v>
      </c>
      <c r="E4230" s="5">
        <v>103.1</v>
      </c>
      <c r="F4230" s="5">
        <v>203.4</v>
      </c>
      <c r="G4230" s="5">
        <v>101.2</v>
      </c>
      <c r="H4230" s="5">
        <v>101.1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103</v>
      </c>
      <c r="D4231" s="5">
        <v>0.1</v>
      </c>
      <c r="E4231" s="5">
        <v>103.1</v>
      </c>
      <c r="F4231" s="5">
        <v>203.4</v>
      </c>
      <c r="G4231" s="5">
        <v>102.1</v>
      </c>
      <c r="H4231" s="5">
        <v>102.1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102.7</v>
      </c>
      <c r="D4232" s="5">
        <v>0.1</v>
      </c>
      <c r="E4232" s="5">
        <v>102.9</v>
      </c>
      <c r="F4232" s="5">
        <v>205.4</v>
      </c>
      <c r="G4232" s="5">
        <v>102.1</v>
      </c>
      <c r="H4232" s="5">
        <v>102.1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102.7</v>
      </c>
      <c r="D4233" s="5">
        <v>0.1</v>
      </c>
      <c r="E4233" s="5">
        <v>102.9</v>
      </c>
      <c r="F4233" s="5">
        <v>205.4</v>
      </c>
      <c r="G4233" s="5">
        <v>102.1</v>
      </c>
      <c r="H4233" s="5">
        <v>102.1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102.7</v>
      </c>
      <c r="D4234" s="5">
        <v>0.1</v>
      </c>
      <c r="E4234" s="5">
        <v>102.9</v>
      </c>
      <c r="F4234" s="5">
        <v>205.4</v>
      </c>
      <c r="G4234" s="5">
        <v>102.1</v>
      </c>
      <c r="H4234" s="5">
        <v>102.1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102.6</v>
      </c>
      <c r="D4235" s="5">
        <v>0.1</v>
      </c>
      <c r="E4235" s="5">
        <v>102.7</v>
      </c>
      <c r="F4235" s="5">
        <v>204</v>
      </c>
      <c r="G4235" s="5">
        <v>101.4</v>
      </c>
      <c r="H4235" s="5">
        <v>102.1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102.6</v>
      </c>
      <c r="D4236" s="5">
        <v>0.1</v>
      </c>
      <c r="E4236" s="5">
        <v>102.7</v>
      </c>
      <c r="F4236" s="5">
        <v>204</v>
      </c>
      <c r="G4236" s="5">
        <v>101.4</v>
      </c>
      <c r="H4236" s="5">
        <v>101.3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103</v>
      </c>
      <c r="D4237" s="5">
        <v>0.1</v>
      </c>
      <c r="E4237" s="5">
        <v>103.1</v>
      </c>
      <c r="F4237" s="5">
        <v>204</v>
      </c>
      <c r="G4237" s="5">
        <v>101.4</v>
      </c>
      <c r="H4237" s="5">
        <v>101.3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103</v>
      </c>
      <c r="D4238" s="5">
        <v>0.1</v>
      </c>
      <c r="E4238" s="5">
        <v>103.1</v>
      </c>
      <c r="F4238" s="5">
        <v>204.4</v>
      </c>
      <c r="G4238" s="5">
        <v>101.6</v>
      </c>
      <c r="H4238" s="5">
        <v>101.5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102.6</v>
      </c>
      <c r="D4239" s="5">
        <v>0.1</v>
      </c>
      <c r="E4239" s="5">
        <v>103.1</v>
      </c>
      <c r="F4239" s="5">
        <v>204.4</v>
      </c>
      <c r="G4239" s="5">
        <v>101.6</v>
      </c>
      <c r="H4239" s="5">
        <v>101.5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102.6</v>
      </c>
      <c r="D4240" s="5">
        <v>0.1</v>
      </c>
      <c r="E4240" s="5">
        <v>102.7</v>
      </c>
      <c r="F4240" s="5">
        <v>204.3</v>
      </c>
      <c r="G4240" s="5">
        <v>101.5</v>
      </c>
      <c r="H4240" s="5">
        <v>101.4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102.6</v>
      </c>
      <c r="D4241" s="5">
        <v>0.1</v>
      </c>
      <c r="E4241" s="5">
        <v>102.7</v>
      </c>
      <c r="F4241" s="5">
        <v>204.3</v>
      </c>
      <c r="G4241" s="5">
        <v>101.5</v>
      </c>
      <c r="H4241" s="5">
        <v>101.4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102.7</v>
      </c>
      <c r="D4242" s="5">
        <v>0.1</v>
      </c>
      <c r="E4242" s="5">
        <v>102.9</v>
      </c>
      <c r="F4242" s="5">
        <v>204.2</v>
      </c>
      <c r="G4242" s="5">
        <v>101.5</v>
      </c>
      <c r="H4242" s="5">
        <v>101.4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102.7</v>
      </c>
      <c r="D4243" s="5">
        <v>0.1</v>
      </c>
      <c r="E4243" s="5">
        <v>102.9</v>
      </c>
      <c r="F4243" s="5">
        <v>204.2</v>
      </c>
      <c r="G4243" s="5">
        <v>101.5</v>
      </c>
      <c r="H4243" s="5">
        <v>101.4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102.7</v>
      </c>
      <c r="D4244" s="5">
        <v>0.1</v>
      </c>
      <c r="E4244" s="5">
        <v>102.9</v>
      </c>
      <c r="F4244" s="5">
        <v>204.2</v>
      </c>
      <c r="G4244" s="5">
        <v>101.5</v>
      </c>
      <c r="H4244" s="5">
        <v>101.4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102.7</v>
      </c>
      <c r="D4245" s="5">
        <v>0.1</v>
      </c>
      <c r="E4245" s="5">
        <v>102.9</v>
      </c>
      <c r="F4245" s="5">
        <v>204.2</v>
      </c>
      <c r="G4245" s="5">
        <v>101.5</v>
      </c>
      <c r="H4245" s="5">
        <v>101.4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102.6</v>
      </c>
      <c r="D4246" s="5">
        <v>0.1</v>
      </c>
      <c r="E4246" s="5">
        <v>102.7</v>
      </c>
      <c r="F4246" s="5">
        <v>204</v>
      </c>
      <c r="G4246" s="5">
        <v>101.4</v>
      </c>
      <c r="H4246" s="5">
        <v>101.3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102.6</v>
      </c>
      <c r="D4247" s="5">
        <v>0.1</v>
      </c>
      <c r="E4247" s="5">
        <v>102.7</v>
      </c>
      <c r="F4247" s="5">
        <v>204</v>
      </c>
      <c r="G4247" s="5">
        <v>101.4</v>
      </c>
      <c r="H4247" s="5">
        <v>101.3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102.5</v>
      </c>
      <c r="D4248" s="5">
        <v>0.1</v>
      </c>
      <c r="E4248" s="5">
        <v>102.7</v>
      </c>
      <c r="F4248" s="5">
        <v>204.1</v>
      </c>
      <c r="G4248" s="5">
        <v>101.5</v>
      </c>
      <c r="H4248" s="5">
        <v>101.3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102.5</v>
      </c>
      <c r="D4249" s="5">
        <v>0.1</v>
      </c>
      <c r="E4249" s="5">
        <v>102.7</v>
      </c>
      <c r="F4249" s="5">
        <v>204.1</v>
      </c>
      <c r="G4249" s="5">
        <v>101.5</v>
      </c>
      <c r="H4249" s="5">
        <v>101.3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102.6</v>
      </c>
      <c r="D4250" s="5">
        <v>0.1</v>
      </c>
      <c r="E4250" s="5">
        <v>102.7</v>
      </c>
      <c r="F4250" s="5">
        <v>203.5</v>
      </c>
      <c r="G4250" s="5">
        <v>101.3</v>
      </c>
      <c r="H4250" s="5">
        <v>101.2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102.6</v>
      </c>
      <c r="D4251" s="5">
        <v>0.1</v>
      </c>
      <c r="E4251" s="5">
        <v>102.7</v>
      </c>
      <c r="F4251" s="5">
        <v>203.5</v>
      </c>
      <c r="G4251" s="5">
        <v>101.3</v>
      </c>
      <c r="H4251" s="5">
        <v>101.2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103.1</v>
      </c>
      <c r="D4252" s="5">
        <v>0.1</v>
      </c>
      <c r="E4252" s="5">
        <v>103.2</v>
      </c>
      <c r="F4252" s="5">
        <v>204.6</v>
      </c>
      <c r="G4252" s="5">
        <v>101.8</v>
      </c>
      <c r="H4252" s="5">
        <v>101.7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103.1</v>
      </c>
      <c r="D4253" s="5">
        <v>0.1</v>
      </c>
      <c r="E4253" s="5">
        <v>103.2</v>
      </c>
      <c r="F4253" s="5">
        <v>204.6</v>
      </c>
      <c r="G4253" s="5">
        <v>101.8</v>
      </c>
      <c r="H4253" s="5">
        <v>101.7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103.1</v>
      </c>
      <c r="D4254" s="5">
        <v>0.1</v>
      </c>
      <c r="E4254" s="5">
        <v>103.2</v>
      </c>
      <c r="F4254" s="5">
        <v>204.6</v>
      </c>
      <c r="G4254" s="5">
        <v>101.8</v>
      </c>
      <c r="H4254" s="5">
        <v>101.7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101.5</v>
      </c>
      <c r="D4255" s="5">
        <v>0.1</v>
      </c>
      <c r="E4255" s="5">
        <v>101.7</v>
      </c>
      <c r="F4255" s="5">
        <v>201.9</v>
      </c>
      <c r="G4255" s="5">
        <v>100.3</v>
      </c>
      <c r="H4255" s="5">
        <v>100.2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101.5</v>
      </c>
      <c r="D4256" s="5">
        <v>0.1</v>
      </c>
      <c r="E4256" s="5">
        <v>101.7</v>
      </c>
      <c r="F4256" s="5">
        <v>201.9</v>
      </c>
      <c r="G4256" s="5">
        <v>100.3</v>
      </c>
      <c r="H4256" s="5">
        <v>100.2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100.9</v>
      </c>
      <c r="D4257" s="5">
        <v>0.1</v>
      </c>
      <c r="E4257" s="5">
        <v>101.1</v>
      </c>
      <c r="F4257" s="5">
        <v>200.8</v>
      </c>
      <c r="G4257" s="5">
        <v>99.8</v>
      </c>
      <c r="H4257" s="5">
        <v>99.6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100.9</v>
      </c>
      <c r="D4258" s="5">
        <v>0.1</v>
      </c>
      <c r="E4258" s="5">
        <v>101.1</v>
      </c>
      <c r="F4258" s="5">
        <v>200.8</v>
      </c>
      <c r="G4258" s="5">
        <v>99.8</v>
      </c>
      <c r="H4258" s="5">
        <v>99.6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100.9</v>
      </c>
      <c r="D4259" s="5">
        <v>0.1</v>
      </c>
      <c r="E4259" s="5">
        <v>101.1</v>
      </c>
      <c r="F4259" s="5">
        <v>200.8</v>
      </c>
      <c r="G4259" s="5">
        <v>99.8</v>
      </c>
      <c r="H4259" s="5">
        <v>99.6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100.9</v>
      </c>
      <c r="D4260" s="5">
        <v>0.1</v>
      </c>
      <c r="E4260" s="5">
        <v>101.1</v>
      </c>
      <c r="F4260" s="5">
        <v>200.8</v>
      </c>
      <c r="G4260" s="5">
        <v>99.8</v>
      </c>
      <c r="H4260" s="5">
        <v>99.6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101.2</v>
      </c>
      <c r="D4261" s="5">
        <v>0.1</v>
      </c>
      <c r="E4261" s="5">
        <v>101.4</v>
      </c>
      <c r="F4261" s="5">
        <v>201.1</v>
      </c>
      <c r="G4261" s="5">
        <v>99.9</v>
      </c>
      <c r="H4261" s="5">
        <v>99.8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101.2</v>
      </c>
      <c r="D4262" s="5">
        <v>0.1</v>
      </c>
      <c r="E4262" s="5">
        <v>101.4</v>
      </c>
      <c r="F4262" s="5">
        <v>201.1</v>
      </c>
      <c r="G4262" s="5">
        <v>99.9</v>
      </c>
      <c r="H4262" s="5">
        <v>99.8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101.2</v>
      </c>
      <c r="D4263" s="5">
        <v>0.1</v>
      </c>
      <c r="E4263" s="5">
        <v>101.4</v>
      </c>
      <c r="F4263" s="5">
        <v>201.1</v>
      </c>
      <c r="G4263" s="5">
        <v>99.9</v>
      </c>
      <c r="H4263" s="5">
        <v>99.8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101.2</v>
      </c>
      <c r="D4264" s="5">
        <v>0.1</v>
      </c>
      <c r="E4264" s="5">
        <v>101.4</v>
      </c>
      <c r="F4264" s="5">
        <v>201.1</v>
      </c>
      <c r="G4264" s="5">
        <v>99.9</v>
      </c>
      <c r="H4264" s="5">
        <v>99.8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101.2</v>
      </c>
      <c r="D4265" s="5">
        <v>0.1</v>
      </c>
      <c r="E4265" s="5">
        <v>101.3</v>
      </c>
      <c r="F4265" s="5">
        <v>201.9</v>
      </c>
      <c r="G4265" s="5">
        <v>100.3</v>
      </c>
      <c r="H4265" s="5">
        <v>100.2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101.2</v>
      </c>
      <c r="D4266" s="5">
        <v>0.1</v>
      </c>
      <c r="E4266" s="5">
        <v>101.3</v>
      </c>
      <c r="F4266" s="5">
        <v>201.9</v>
      </c>
      <c r="G4266" s="5">
        <v>100.3</v>
      </c>
      <c r="H4266" s="5">
        <v>100.2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100.5</v>
      </c>
      <c r="D4267" s="5">
        <v>0.1</v>
      </c>
      <c r="E4267" s="5">
        <v>100.6</v>
      </c>
      <c r="F4267" s="5">
        <v>200.4</v>
      </c>
      <c r="G4267" s="5">
        <v>99.5</v>
      </c>
      <c r="H4267" s="5">
        <v>99.4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100.5</v>
      </c>
      <c r="D4268" s="5">
        <v>0.1</v>
      </c>
      <c r="E4268" s="5">
        <v>100.6</v>
      </c>
      <c r="F4268" s="5">
        <v>200.4</v>
      </c>
      <c r="G4268" s="5">
        <v>99.5</v>
      </c>
      <c r="H4268" s="5">
        <v>99.4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101.1</v>
      </c>
      <c r="D4269" s="5">
        <v>0.1</v>
      </c>
      <c r="E4269" s="5">
        <v>101.2</v>
      </c>
      <c r="F4269" s="5">
        <v>201</v>
      </c>
      <c r="G4269" s="5">
        <v>99.9</v>
      </c>
      <c r="H4269" s="5">
        <v>100.4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101.1</v>
      </c>
      <c r="D4270" s="5">
        <v>0.1</v>
      </c>
      <c r="E4270" s="5">
        <v>101.2</v>
      </c>
      <c r="F4270" s="5">
        <v>201</v>
      </c>
      <c r="G4270" s="5">
        <v>99.9</v>
      </c>
      <c r="H4270" s="5">
        <v>100.4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100.7</v>
      </c>
      <c r="D4271" s="5">
        <v>0.1</v>
      </c>
      <c r="E4271" s="5">
        <v>100.8</v>
      </c>
      <c r="F4271" s="5">
        <v>200.7</v>
      </c>
      <c r="G4271" s="5">
        <v>99.7</v>
      </c>
      <c r="H4271" s="5">
        <v>100.4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100.7</v>
      </c>
      <c r="D4272" s="5">
        <v>0.1</v>
      </c>
      <c r="E4272" s="5">
        <v>100.8</v>
      </c>
      <c r="F4272" s="5">
        <v>200.7</v>
      </c>
      <c r="G4272" s="5">
        <v>99.7</v>
      </c>
      <c r="H4272" s="5">
        <v>99.6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100.7</v>
      </c>
      <c r="D4273" s="5">
        <v>0.1</v>
      </c>
      <c r="E4273" s="5">
        <v>100.8</v>
      </c>
      <c r="F4273" s="5">
        <v>200.7</v>
      </c>
      <c r="G4273" s="5">
        <v>99.7</v>
      </c>
      <c r="H4273" s="5">
        <v>99.6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100.7</v>
      </c>
      <c r="D4274" s="5">
        <v>0.1</v>
      </c>
      <c r="E4274" s="5">
        <v>100.8</v>
      </c>
      <c r="F4274" s="5">
        <v>200.7</v>
      </c>
      <c r="G4274" s="5">
        <v>99.7</v>
      </c>
      <c r="H4274" s="5">
        <v>99.6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102.2</v>
      </c>
      <c r="D4275" s="5">
        <v>0.1</v>
      </c>
      <c r="E4275" s="5">
        <v>102.3</v>
      </c>
      <c r="F4275" s="5">
        <v>201.5</v>
      </c>
      <c r="G4275" s="5">
        <v>100.1</v>
      </c>
      <c r="H4275" s="5">
        <v>100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102.2</v>
      </c>
      <c r="D4276" s="5">
        <v>0.1</v>
      </c>
      <c r="E4276" s="5">
        <v>102.3</v>
      </c>
      <c r="F4276" s="5">
        <v>201.5</v>
      </c>
      <c r="G4276" s="5">
        <v>100.1</v>
      </c>
      <c r="H4276" s="5">
        <v>100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102.2</v>
      </c>
      <c r="D4277" s="5">
        <v>0.1</v>
      </c>
      <c r="E4277" s="5">
        <v>103.1</v>
      </c>
      <c r="F4277" s="5">
        <v>203.5</v>
      </c>
      <c r="G4277" s="5">
        <v>101.2</v>
      </c>
      <c r="H4277" s="5">
        <v>101.1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102.9</v>
      </c>
      <c r="D4278" s="5">
        <v>0.1</v>
      </c>
      <c r="E4278" s="5">
        <v>103.1</v>
      </c>
      <c r="F4278" s="5">
        <v>203.5</v>
      </c>
      <c r="G4278" s="5">
        <v>101.2</v>
      </c>
      <c r="H4278" s="5">
        <v>101.1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102.9</v>
      </c>
      <c r="D4279" s="5">
        <v>0.1</v>
      </c>
      <c r="E4279" s="5">
        <v>102.6</v>
      </c>
      <c r="F4279" s="5">
        <v>204.3</v>
      </c>
      <c r="G4279" s="5">
        <v>101.5</v>
      </c>
      <c r="H4279" s="5">
        <v>101.4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102.4</v>
      </c>
      <c r="D4280" s="5">
        <v>0.1</v>
      </c>
      <c r="E4280" s="5">
        <v>102.6</v>
      </c>
      <c r="F4280" s="5">
        <v>204.3</v>
      </c>
      <c r="G4280" s="5">
        <v>101.5</v>
      </c>
      <c r="H4280" s="5">
        <v>101.4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102.4</v>
      </c>
      <c r="D4281" s="5">
        <v>0.1</v>
      </c>
      <c r="E4281" s="5">
        <v>102.6</v>
      </c>
      <c r="F4281" s="5">
        <v>204.4</v>
      </c>
      <c r="G4281" s="5">
        <v>101.6</v>
      </c>
      <c r="H4281" s="5">
        <v>101.5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102.1</v>
      </c>
      <c r="D4282" s="5">
        <v>0.1</v>
      </c>
      <c r="E4282" s="5">
        <v>102.2</v>
      </c>
      <c r="F4282" s="5">
        <v>204.4</v>
      </c>
      <c r="G4282" s="5">
        <v>101.6</v>
      </c>
      <c r="H4282" s="5">
        <v>101.5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102.1</v>
      </c>
      <c r="D4283" s="5">
        <v>0.1</v>
      </c>
      <c r="E4283" s="5">
        <v>102.2</v>
      </c>
      <c r="F4283" s="5">
        <v>204.4</v>
      </c>
      <c r="G4283" s="5">
        <v>101.6</v>
      </c>
      <c r="H4283" s="5">
        <v>101.5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102.1</v>
      </c>
      <c r="D4284" s="5">
        <v>0.1</v>
      </c>
      <c r="E4284" s="5">
        <v>102.2</v>
      </c>
      <c r="F4284" s="5">
        <v>204.4</v>
      </c>
      <c r="G4284" s="5">
        <v>101.6</v>
      </c>
      <c r="H4284" s="5">
        <v>101.5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102</v>
      </c>
      <c r="D4285" s="5">
        <v>0.1</v>
      </c>
      <c r="E4285" s="5">
        <v>102.1</v>
      </c>
      <c r="F4285" s="5">
        <v>203</v>
      </c>
      <c r="G4285" s="5">
        <v>100.9</v>
      </c>
      <c r="H4285" s="5">
        <v>100.7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102</v>
      </c>
      <c r="D4286" s="5">
        <v>0.1</v>
      </c>
      <c r="E4286" s="5">
        <v>102.1</v>
      </c>
      <c r="F4286" s="5">
        <v>203</v>
      </c>
      <c r="G4286" s="5">
        <v>100.9</v>
      </c>
      <c r="H4286" s="5">
        <v>100.7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102.4</v>
      </c>
      <c r="D4287" s="5">
        <v>0.1</v>
      </c>
      <c r="E4287" s="5">
        <v>102.5</v>
      </c>
      <c r="F4287" s="5">
        <v>203.3</v>
      </c>
      <c r="G4287" s="5">
        <v>101</v>
      </c>
      <c r="H4287" s="5">
        <v>100.9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102.4</v>
      </c>
      <c r="D4288" s="5">
        <v>0.1</v>
      </c>
      <c r="E4288" s="5">
        <v>102.5</v>
      </c>
      <c r="F4288" s="5">
        <v>203.3</v>
      </c>
      <c r="G4288" s="5">
        <v>101</v>
      </c>
      <c r="H4288" s="5">
        <v>100.9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101.3</v>
      </c>
      <c r="D4289" s="5">
        <v>0.1</v>
      </c>
      <c r="E4289" s="5">
        <v>101.5</v>
      </c>
      <c r="F4289" s="5">
        <v>200.6</v>
      </c>
      <c r="G4289" s="5">
        <v>99.8</v>
      </c>
      <c r="H4289" s="5">
        <v>99.7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101.3</v>
      </c>
      <c r="D4290" s="5">
        <v>0.1</v>
      </c>
      <c r="E4290" s="5">
        <v>101.5</v>
      </c>
      <c r="F4290" s="5">
        <v>200.6</v>
      </c>
      <c r="G4290" s="5">
        <v>99.8</v>
      </c>
      <c r="H4290" s="5">
        <v>99.7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102.4</v>
      </c>
      <c r="D4291" s="5">
        <v>0.1</v>
      </c>
      <c r="E4291" s="5">
        <v>102.5</v>
      </c>
      <c r="F4291" s="5">
        <v>203.5</v>
      </c>
      <c r="G4291" s="5">
        <v>101.1</v>
      </c>
      <c r="H4291" s="5">
        <v>101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102.4</v>
      </c>
      <c r="D4292" s="5">
        <v>0.1</v>
      </c>
      <c r="E4292" s="5">
        <v>102.5</v>
      </c>
      <c r="F4292" s="5">
        <v>203.5</v>
      </c>
      <c r="G4292" s="5">
        <v>101.1</v>
      </c>
      <c r="H4292" s="5">
        <v>101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102.4</v>
      </c>
      <c r="D4293" s="5">
        <v>0.1</v>
      </c>
      <c r="E4293" s="5">
        <v>102.5</v>
      </c>
      <c r="F4293" s="5">
        <v>203.5</v>
      </c>
      <c r="G4293" s="5">
        <v>101.1</v>
      </c>
      <c r="H4293" s="5">
        <v>101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102.4</v>
      </c>
      <c r="D4294" s="5">
        <v>0.1</v>
      </c>
      <c r="E4294" s="5">
        <v>102.5</v>
      </c>
      <c r="F4294" s="5">
        <v>203.5</v>
      </c>
      <c r="G4294" s="5">
        <v>101.1</v>
      </c>
      <c r="H4294" s="5">
        <v>101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100.3</v>
      </c>
      <c r="D4295" s="5">
        <v>0.1</v>
      </c>
      <c r="E4295" s="5">
        <v>100.5</v>
      </c>
      <c r="F4295" s="5">
        <v>203.2</v>
      </c>
      <c r="G4295" s="5">
        <v>101</v>
      </c>
      <c r="H4295" s="5">
        <v>100.9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100.3</v>
      </c>
      <c r="D4296" s="5">
        <v>0.1</v>
      </c>
      <c r="E4296" s="5">
        <v>100.5</v>
      </c>
      <c r="F4296" s="5">
        <v>203.2</v>
      </c>
      <c r="G4296" s="5">
        <v>101</v>
      </c>
      <c r="H4296" s="5">
        <v>100.9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102.2</v>
      </c>
      <c r="D4297" s="5">
        <v>0.1</v>
      </c>
      <c r="E4297" s="5">
        <v>102.4</v>
      </c>
      <c r="F4297" s="5">
        <v>203.6</v>
      </c>
      <c r="G4297" s="5">
        <v>101.2</v>
      </c>
      <c r="H4297" s="5">
        <v>101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102.2</v>
      </c>
      <c r="D4298" s="5">
        <v>0.1</v>
      </c>
      <c r="E4298" s="5">
        <v>102.4</v>
      </c>
      <c r="F4298" s="5">
        <v>203.6</v>
      </c>
      <c r="G4298" s="5">
        <v>101.2</v>
      </c>
      <c r="H4298" s="5">
        <v>101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101.7</v>
      </c>
      <c r="D4299" s="5">
        <v>0.1</v>
      </c>
      <c r="E4299" s="5">
        <v>101.8</v>
      </c>
      <c r="F4299" s="5">
        <v>200.9</v>
      </c>
      <c r="G4299" s="5">
        <v>99.8</v>
      </c>
      <c r="H4299" s="5">
        <v>99.8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101.7</v>
      </c>
      <c r="D4300" s="5">
        <v>0.1</v>
      </c>
      <c r="E4300" s="5">
        <v>101.8</v>
      </c>
      <c r="F4300" s="5">
        <v>200.9</v>
      </c>
      <c r="G4300" s="5">
        <v>99.8</v>
      </c>
      <c r="H4300" s="5">
        <v>99.8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101.7</v>
      </c>
      <c r="D4301" s="5">
        <v>0.1</v>
      </c>
      <c r="E4301" s="5">
        <v>101.8</v>
      </c>
      <c r="F4301" s="5">
        <v>201.4</v>
      </c>
      <c r="G4301" s="5">
        <v>100.1</v>
      </c>
      <c r="H4301" s="5">
        <v>99.9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101.7</v>
      </c>
      <c r="D4302" s="5">
        <v>0.1</v>
      </c>
      <c r="E4302" s="5">
        <v>101.8</v>
      </c>
      <c r="F4302" s="5">
        <v>201.4</v>
      </c>
      <c r="G4302" s="5">
        <v>100.1</v>
      </c>
      <c r="H4302" s="5">
        <v>99.9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101.7</v>
      </c>
      <c r="D4303" s="5">
        <v>0.1</v>
      </c>
      <c r="E4303" s="5">
        <v>101.8</v>
      </c>
      <c r="F4303" s="5">
        <v>201.4</v>
      </c>
      <c r="G4303" s="5">
        <v>100.1</v>
      </c>
      <c r="H4303" s="5">
        <v>99.9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101.7</v>
      </c>
      <c r="D4304" s="5">
        <v>0.1</v>
      </c>
      <c r="E4304" s="5">
        <v>101.8</v>
      </c>
      <c r="F4304" s="5">
        <v>201.4</v>
      </c>
      <c r="G4304" s="5">
        <v>100.1</v>
      </c>
      <c r="H4304" s="5">
        <v>99.9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100.2</v>
      </c>
      <c r="D4305" s="5">
        <v>0.1</v>
      </c>
      <c r="E4305" s="5">
        <v>100.4</v>
      </c>
      <c r="F4305" s="5">
        <v>201.5</v>
      </c>
      <c r="G4305" s="5">
        <v>100.1</v>
      </c>
      <c r="H4305" s="5">
        <v>99.9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100.2</v>
      </c>
      <c r="D4306" s="5">
        <v>0.1</v>
      </c>
      <c r="E4306" s="5">
        <v>100.4</v>
      </c>
      <c r="F4306" s="5">
        <v>201.5</v>
      </c>
      <c r="G4306" s="5">
        <v>100.1</v>
      </c>
      <c r="H4306" s="5">
        <v>99.9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106.2</v>
      </c>
      <c r="D4307" s="5">
        <v>0.1</v>
      </c>
      <c r="E4307" s="5">
        <v>106.3</v>
      </c>
      <c r="F4307" s="5">
        <v>211.4</v>
      </c>
      <c r="G4307" s="5">
        <v>105</v>
      </c>
      <c r="H4307" s="5">
        <v>104.9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106.2</v>
      </c>
      <c r="D4308" s="5">
        <v>0.1</v>
      </c>
      <c r="E4308" s="5">
        <v>106.3</v>
      </c>
      <c r="F4308" s="5">
        <v>211.4</v>
      </c>
      <c r="G4308" s="5">
        <v>105</v>
      </c>
      <c r="H4308" s="5">
        <v>104.9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106.5</v>
      </c>
      <c r="D4309" s="5">
        <v>0.1</v>
      </c>
      <c r="E4309" s="5">
        <v>106.6</v>
      </c>
      <c r="F4309" s="5">
        <v>211.8</v>
      </c>
      <c r="G4309" s="5">
        <v>105.3</v>
      </c>
      <c r="H4309" s="5">
        <v>105.1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106.5</v>
      </c>
      <c r="D4310" s="5">
        <v>0.1</v>
      </c>
      <c r="E4310" s="5">
        <v>106.6</v>
      </c>
      <c r="F4310" s="5">
        <v>211.8</v>
      </c>
      <c r="G4310" s="5">
        <v>105.3</v>
      </c>
      <c r="H4310" s="5">
        <v>105.1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106.7</v>
      </c>
      <c r="D4311" s="5">
        <v>0.1</v>
      </c>
      <c r="E4311" s="5">
        <v>106.9</v>
      </c>
      <c r="F4311" s="5">
        <v>211.7</v>
      </c>
      <c r="G4311" s="5">
        <v>105.2</v>
      </c>
      <c r="H4311" s="5">
        <v>105.1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106.7</v>
      </c>
      <c r="D4312" s="5">
        <v>0.1</v>
      </c>
      <c r="E4312" s="5">
        <v>106.9</v>
      </c>
      <c r="F4312" s="5">
        <v>211.7</v>
      </c>
      <c r="G4312" s="5">
        <v>105.2</v>
      </c>
      <c r="H4312" s="5">
        <v>105.1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106.7</v>
      </c>
      <c r="D4313" s="5">
        <v>0.1</v>
      </c>
      <c r="E4313" s="5">
        <v>106.9</v>
      </c>
      <c r="F4313" s="5">
        <v>211.7</v>
      </c>
      <c r="G4313" s="5">
        <v>105.2</v>
      </c>
      <c r="H4313" s="5">
        <v>105.1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106.7</v>
      </c>
      <c r="D4314" s="5">
        <v>0.1</v>
      </c>
      <c r="E4314" s="5">
        <v>106.9</v>
      </c>
      <c r="F4314" s="5">
        <v>211.7</v>
      </c>
      <c r="G4314" s="5">
        <v>105.2</v>
      </c>
      <c r="H4314" s="5">
        <v>105.1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106.9</v>
      </c>
      <c r="D4315" s="5">
        <v>0.1</v>
      </c>
      <c r="E4315" s="5">
        <v>106.9</v>
      </c>
      <c r="F4315" s="5">
        <v>212.5</v>
      </c>
      <c r="G4315" s="5">
        <v>105.6</v>
      </c>
      <c r="H4315" s="5">
        <v>105.5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106.9</v>
      </c>
      <c r="D4316" s="5">
        <v>0.1</v>
      </c>
      <c r="E4316" s="5">
        <v>106.9</v>
      </c>
      <c r="F4316" s="5">
        <v>212.5</v>
      </c>
      <c r="G4316" s="5">
        <v>105.6</v>
      </c>
      <c r="H4316" s="5">
        <v>105.5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106</v>
      </c>
      <c r="D4317" s="5">
        <v>0.1</v>
      </c>
      <c r="E4317" s="5">
        <v>106.1</v>
      </c>
      <c r="F4317" s="5">
        <v>210.4</v>
      </c>
      <c r="G4317" s="5">
        <v>104.6</v>
      </c>
      <c r="H4317" s="5">
        <v>104.5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106</v>
      </c>
      <c r="D4318" s="5">
        <v>0.1</v>
      </c>
      <c r="E4318" s="5">
        <v>106.1</v>
      </c>
      <c r="F4318" s="5">
        <v>210.4</v>
      </c>
      <c r="G4318" s="5">
        <v>104.6</v>
      </c>
      <c r="H4318" s="5">
        <v>104.5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106.1</v>
      </c>
      <c r="D4319" s="5">
        <v>0.1</v>
      </c>
      <c r="E4319" s="5">
        <v>106.2</v>
      </c>
      <c r="F4319" s="5">
        <v>210.9</v>
      </c>
      <c r="G4319" s="5">
        <v>104.8</v>
      </c>
      <c r="H4319" s="5">
        <v>104.6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106.1</v>
      </c>
      <c r="D4320" s="5">
        <v>0.1</v>
      </c>
      <c r="E4320" s="5">
        <v>106.2</v>
      </c>
      <c r="F4320" s="5">
        <v>210.9</v>
      </c>
      <c r="G4320" s="5">
        <v>104.8</v>
      </c>
      <c r="H4320" s="5">
        <v>104.6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105.9</v>
      </c>
      <c r="D4321" s="5">
        <v>0.1</v>
      </c>
      <c r="E4321" s="5">
        <v>106</v>
      </c>
      <c r="F4321" s="5">
        <v>210.7</v>
      </c>
      <c r="G4321" s="5">
        <v>104.7</v>
      </c>
      <c r="H4321" s="5">
        <v>104.5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105.9</v>
      </c>
      <c r="D4322" s="5">
        <v>0.1</v>
      </c>
      <c r="E4322" s="5">
        <v>106</v>
      </c>
      <c r="F4322" s="5">
        <v>210.7</v>
      </c>
      <c r="G4322" s="5">
        <v>104.7</v>
      </c>
      <c r="H4322" s="5">
        <v>104.5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105.9</v>
      </c>
      <c r="D4323" s="5">
        <v>0.1</v>
      </c>
      <c r="E4323" s="5">
        <v>106</v>
      </c>
      <c r="F4323" s="5">
        <v>210.7</v>
      </c>
      <c r="G4323" s="5">
        <v>104.7</v>
      </c>
      <c r="H4323" s="5">
        <v>104.5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105.9</v>
      </c>
      <c r="D4324" s="5">
        <v>0.1</v>
      </c>
      <c r="E4324" s="5">
        <v>106</v>
      </c>
      <c r="F4324" s="5">
        <v>210.7</v>
      </c>
      <c r="G4324" s="5">
        <v>104.7</v>
      </c>
      <c r="H4324" s="5">
        <v>104.5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105.6</v>
      </c>
      <c r="D4325" s="5">
        <v>0.1</v>
      </c>
      <c r="E4325" s="5">
        <v>105.8</v>
      </c>
      <c r="F4325" s="5">
        <v>210.5</v>
      </c>
      <c r="G4325" s="5">
        <v>104.6</v>
      </c>
      <c r="H4325" s="5">
        <v>104.5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105.6</v>
      </c>
      <c r="D4326" s="5">
        <v>0.1</v>
      </c>
      <c r="E4326" s="5">
        <v>105.8</v>
      </c>
      <c r="F4326" s="5">
        <v>210.5</v>
      </c>
      <c r="G4326" s="5">
        <v>104.6</v>
      </c>
      <c r="H4326" s="5">
        <v>104.5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105.9</v>
      </c>
      <c r="D4327" s="5">
        <v>0.1</v>
      </c>
      <c r="E4327" s="5">
        <v>106</v>
      </c>
      <c r="F4327" s="5">
        <v>210.9</v>
      </c>
      <c r="G4327" s="5">
        <v>104.8</v>
      </c>
      <c r="H4327" s="5">
        <v>104.6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105.9</v>
      </c>
      <c r="D4328" s="5">
        <v>0.1</v>
      </c>
      <c r="E4328" s="5">
        <v>106</v>
      </c>
      <c r="F4328" s="5">
        <v>210.9</v>
      </c>
      <c r="G4328" s="5">
        <v>104.8</v>
      </c>
      <c r="H4328" s="5">
        <v>104.6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106</v>
      </c>
      <c r="D4329" s="5">
        <v>0.1</v>
      </c>
      <c r="E4329" s="5">
        <v>106.1</v>
      </c>
      <c r="F4329" s="5">
        <v>210.8</v>
      </c>
      <c r="G4329" s="5">
        <v>104.7</v>
      </c>
      <c r="H4329" s="5">
        <v>104.6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106</v>
      </c>
      <c r="D4330" s="5">
        <v>0.1</v>
      </c>
      <c r="E4330" s="5">
        <v>106.1</v>
      </c>
      <c r="F4330" s="5">
        <v>210.8</v>
      </c>
      <c r="G4330" s="5">
        <v>104.7</v>
      </c>
      <c r="H4330" s="5">
        <v>104.6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105.9</v>
      </c>
      <c r="D4331" s="5">
        <v>0.1</v>
      </c>
      <c r="E4331" s="5">
        <v>106.1</v>
      </c>
      <c r="F4331" s="5">
        <v>211.3</v>
      </c>
      <c r="G4331" s="5">
        <v>105</v>
      </c>
      <c r="H4331" s="5">
        <v>104.8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105.9</v>
      </c>
      <c r="D4332" s="5">
        <v>0.1</v>
      </c>
      <c r="E4332" s="5">
        <v>106.1</v>
      </c>
      <c r="F4332" s="5">
        <v>211.3</v>
      </c>
      <c r="G4332" s="5">
        <v>105</v>
      </c>
      <c r="H4332" s="5">
        <v>104.8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105.9</v>
      </c>
      <c r="D4333" s="5">
        <v>0.1</v>
      </c>
      <c r="E4333" s="5">
        <v>106.1</v>
      </c>
      <c r="F4333" s="5">
        <v>211.3</v>
      </c>
      <c r="G4333" s="5">
        <v>105</v>
      </c>
      <c r="H4333" s="5">
        <v>104.8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105.9</v>
      </c>
      <c r="D4334" s="5">
        <v>0.1</v>
      </c>
      <c r="E4334" s="5">
        <v>106.1</v>
      </c>
      <c r="F4334" s="5">
        <v>211.3</v>
      </c>
      <c r="G4334" s="5">
        <v>105</v>
      </c>
      <c r="H4334" s="5">
        <v>104.8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105.9</v>
      </c>
      <c r="D4335" s="5">
        <v>0.1</v>
      </c>
      <c r="E4335" s="5">
        <v>106.1</v>
      </c>
      <c r="F4335" s="5">
        <v>210.2</v>
      </c>
      <c r="G4335" s="5">
        <v>104.4</v>
      </c>
      <c r="H4335" s="5">
        <v>104.3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105.9</v>
      </c>
      <c r="D4336" s="5">
        <v>0.1</v>
      </c>
      <c r="E4336" s="5">
        <v>106.1</v>
      </c>
      <c r="F4336" s="5">
        <v>210.2</v>
      </c>
      <c r="G4336" s="5">
        <v>104.4</v>
      </c>
      <c r="H4336" s="5">
        <v>104.3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105.7</v>
      </c>
      <c r="D4337" s="5">
        <v>0.1</v>
      </c>
      <c r="E4337" s="5">
        <v>105.9</v>
      </c>
      <c r="F4337" s="5">
        <v>210</v>
      </c>
      <c r="G4337" s="5">
        <v>104.4</v>
      </c>
      <c r="H4337" s="5">
        <v>104.2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105.7</v>
      </c>
      <c r="D4338" s="5">
        <v>0.1</v>
      </c>
      <c r="E4338" s="5">
        <v>105.9</v>
      </c>
      <c r="F4338" s="5">
        <v>210</v>
      </c>
      <c r="G4338" s="5">
        <v>104.4</v>
      </c>
      <c r="H4338" s="5">
        <v>104.2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105.8</v>
      </c>
      <c r="D4339" s="5">
        <v>0.1</v>
      </c>
      <c r="E4339" s="5">
        <v>105.9</v>
      </c>
      <c r="F4339" s="5">
        <v>210.6</v>
      </c>
      <c r="G4339" s="5">
        <v>104.4</v>
      </c>
      <c r="H4339" s="5">
        <v>104.1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105.8</v>
      </c>
      <c r="D4340" s="5">
        <v>0.1</v>
      </c>
      <c r="E4340" s="5">
        <v>105.9</v>
      </c>
      <c r="F4340" s="5">
        <v>210.6</v>
      </c>
      <c r="G4340" s="5">
        <v>104.4</v>
      </c>
      <c r="H4340" s="5">
        <v>104.1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104</v>
      </c>
      <c r="D4341" s="5">
        <v>0.1</v>
      </c>
      <c r="E4341" s="5">
        <v>104.1</v>
      </c>
      <c r="F4341" s="5">
        <v>210.2</v>
      </c>
      <c r="G4341" s="5">
        <v>104.4</v>
      </c>
      <c r="H4341" s="5">
        <v>104.3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104</v>
      </c>
      <c r="D4342" s="5">
        <v>0.1</v>
      </c>
      <c r="E4342" s="5">
        <v>104.1</v>
      </c>
      <c r="F4342" s="5">
        <v>210.2</v>
      </c>
      <c r="G4342" s="5">
        <v>104.4</v>
      </c>
      <c r="H4342" s="5">
        <v>104.3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104</v>
      </c>
      <c r="D4343" s="5">
        <v>0.1</v>
      </c>
      <c r="E4343" s="5">
        <v>104.1</v>
      </c>
      <c r="F4343" s="5">
        <v>210.2</v>
      </c>
      <c r="G4343" s="5">
        <v>104.4</v>
      </c>
      <c r="H4343" s="5">
        <v>104.3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104</v>
      </c>
      <c r="D4344" s="5">
        <v>0.1</v>
      </c>
      <c r="E4344" s="5">
        <v>104.1</v>
      </c>
      <c r="F4344" s="5">
        <v>210.2</v>
      </c>
      <c r="G4344" s="5">
        <v>104.4</v>
      </c>
      <c r="H4344" s="5">
        <v>104.3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105.9</v>
      </c>
      <c r="D4345" s="5">
        <v>0.1</v>
      </c>
      <c r="E4345" s="5">
        <v>106</v>
      </c>
      <c r="F4345" s="5">
        <v>210.5</v>
      </c>
      <c r="G4345" s="5">
        <v>104.6</v>
      </c>
      <c r="H4345" s="5">
        <v>104.5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105.9</v>
      </c>
      <c r="D4346" s="5">
        <v>0.1</v>
      </c>
      <c r="E4346" s="5">
        <v>106</v>
      </c>
      <c r="F4346" s="5">
        <v>210.5</v>
      </c>
      <c r="G4346" s="5">
        <v>104.6</v>
      </c>
      <c r="H4346" s="5">
        <v>104.5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105.1</v>
      </c>
      <c r="D4347" s="5">
        <v>0.1</v>
      </c>
      <c r="E4347" s="5">
        <v>105.3</v>
      </c>
      <c r="F4347" s="5">
        <v>209.5</v>
      </c>
      <c r="G4347" s="5">
        <v>104.1</v>
      </c>
      <c r="H4347" s="5">
        <v>103.9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105.1</v>
      </c>
      <c r="D4348" s="5">
        <v>0.1</v>
      </c>
      <c r="E4348" s="5">
        <v>105.3</v>
      </c>
      <c r="F4348" s="5">
        <v>209.5</v>
      </c>
      <c r="G4348" s="5">
        <v>104.1</v>
      </c>
      <c r="H4348" s="5">
        <v>103.9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106.3</v>
      </c>
      <c r="D4349" s="5">
        <v>0.1</v>
      </c>
      <c r="E4349" s="5">
        <v>106.4</v>
      </c>
      <c r="F4349" s="5">
        <v>211</v>
      </c>
      <c r="G4349" s="5">
        <v>104.8</v>
      </c>
      <c r="H4349" s="5">
        <v>104.7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106.3</v>
      </c>
      <c r="D4350" s="5">
        <v>0.1</v>
      </c>
      <c r="E4350" s="5">
        <v>106.4</v>
      </c>
      <c r="F4350" s="5">
        <v>211</v>
      </c>
      <c r="G4350" s="5">
        <v>104.8</v>
      </c>
      <c r="H4350" s="5">
        <v>104.7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106.9</v>
      </c>
      <c r="D4351" s="5">
        <v>0.1</v>
      </c>
      <c r="E4351" s="5">
        <v>107.1</v>
      </c>
      <c r="F4351" s="5">
        <v>212.6</v>
      </c>
      <c r="G4351" s="5">
        <v>105.7</v>
      </c>
      <c r="H4351" s="5">
        <v>105.5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106.9</v>
      </c>
      <c r="D4352" s="5">
        <v>0.1</v>
      </c>
      <c r="E4352" s="5">
        <v>107.1</v>
      </c>
      <c r="F4352" s="5">
        <v>212.6</v>
      </c>
      <c r="G4352" s="5">
        <v>105.7</v>
      </c>
      <c r="H4352" s="5">
        <v>105.5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106.9</v>
      </c>
      <c r="D4353" s="5">
        <v>0.1</v>
      </c>
      <c r="E4353" s="5">
        <v>107.1</v>
      </c>
      <c r="F4353" s="5">
        <v>212.6</v>
      </c>
      <c r="G4353" s="5">
        <v>105.7</v>
      </c>
      <c r="H4353" s="5">
        <v>105.5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106.9</v>
      </c>
      <c r="D4354" s="5">
        <v>0.1</v>
      </c>
      <c r="E4354" s="5">
        <v>107.1</v>
      </c>
      <c r="F4354" s="5">
        <v>212.6</v>
      </c>
      <c r="G4354" s="5">
        <v>105.7</v>
      </c>
      <c r="H4354" s="5">
        <v>105.5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107</v>
      </c>
      <c r="D4355" s="5">
        <v>0.1</v>
      </c>
      <c r="E4355" s="5">
        <v>107.2</v>
      </c>
      <c r="F4355" s="5">
        <v>212.3</v>
      </c>
      <c r="G4355" s="5">
        <v>105.5</v>
      </c>
      <c r="H4355" s="5">
        <v>105.4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107</v>
      </c>
      <c r="D4356" s="5">
        <v>0.1</v>
      </c>
      <c r="E4356" s="5">
        <v>107.2</v>
      </c>
      <c r="F4356" s="5">
        <v>212.3</v>
      </c>
      <c r="G4356" s="5">
        <v>105.5</v>
      </c>
      <c r="H4356" s="5">
        <v>105.4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108.1</v>
      </c>
      <c r="D4357" s="5">
        <v>0.1</v>
      </c>
      <c r="E4357" s="5">
        <v>108.3</v>
      </c>
      <c r="F4357" s="5">
        <v>214.3</v>
      </c>
      <c r="G4357" s="5">
        <v>106.5</v>
      </c>
      <c r="H4357" s="5">
        <v>106.4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108.1</v>
      </c>
      <c r="D4358" s="5">
        <v>0.1</v>
      </c>
      <c r="E4358" s="5">
        <v>108.3</v>
      </c>
      <c r="F4358" s="5">
        <v>214.3</v>
      </c>
      <c r="G4358" s="5">
        <v>106.5</v>
      </c>
      <c r="H4358" s="5">
        <v>106.4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107.8</v>
      </c>
      <c r="D4359" s="5">
        <v>0.1</v>
      </c>
      <c r="E4359" s="5">
        <v>108</v>
      </c>
      <c r="F4359" s="5">
        <v>213.6</v>
      </c>
      <c r="G4359" s="5">
        <v>106.2</v>
      </c>
      <c r="H4359" s="5">
        <v>106.1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107.8</v>
      </c>
      <c r="D4360" s="5">
        <v>0.1</v>
      </c>
      <c r="E4360" s="5">
        <v>108</v>
      </c>
      <c r="F4360" s="5">
        <v>213.6</v>
      </c>
      <c r="G4360" s="5">
        <v>106.2</v>
      </c>
      <c r="H4360" s="5">
        <v>106.1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107.5</v>
      </c>
      <c r="D4361" s="5">
        <v>0.1</v>
      </c>
      <c r="E4361" s="5">
        <v>107.7</v>
      </c>
      <c r="F4361" s="5">
        <v>213.7</v>
      </c>
      <c r="G4361" s="5">
        <v>106.2</v>
      </c>
      <c r="H4361" s="5">
        <v>106.1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107.5</v>
      </c>
      <c r="D4362" s="5">
        <v>0.1</v>
      </c>
      <c r="E4362" s="5">
        <v>107.7</v>
      </c>
      <c r="F4362" s="5">
        <v>213.7</v>
      </c>
      <c r="G4362" s="5">
        <v>106.2</v>
      </c>
      <c r="H4362" s="5">
        <v>106.1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107.5</v>
      </c>
      <c r="D4363" s="5">
        <v>0.1</v>
      </c>
      <c r="E4363" s="5">
        <v>107.7</v>
      </c>
      <c r="F4363" s="5">
        <v>213.7</v>
      </c>
      <c r="G4363" s="5">
        <v>106.2</v>
      </c>
      <c r="H4363" s="5">
        <v>106.1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107.5</v>
      </c>
      <c r="D4364" s="5">
        <v>0.1</v>
      </c>
      <c r="E4364" s="5">
        <v>107.7</v>
      </c>
      <c r="F4364" s="5">
        <v>213.7</v>
      </c>
      <c r="G4364" s="5">
        <v>106.2</v>
      </c>
      <c r="H4364" s="5">
        <v>106.1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106.2</v>
      </c>
      <c r="D4365" s="5">
        <v>0.1</v>
      </c>
      <c r="E4365" s="5">
        <v>106.4</v>
      </c>
      <c r="F4365" s="5">
        <v>210.3</v>
      </c>
      <c r="G4365" s="5">
        <v>104.6</v>
      </c>
      <c r="H4365" s="5">
        <v>104.5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106.2</v>
      </c>
      <c r="D4366" s="5">
        <v>0.1</v>
      </c>
      <c r="E4366" s="5">
        <v>106.4</v>
      </c>
      <c r="F4366" s="5">
        <v>210.3</v>
      </c>
      <c r="G4366" s="5">
        <v>104.6</v>
      </c>
      <c r="H4366" s="5">
        <v>104.5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106.3</v>
      </c>
      <c r="D4367" s="5">
        <v>0.1</v>
      </c>
      <c r="E4367" s="5">
        <v>106.5</v>
      </c>
      <c r="F4367" s="5">
        <v>209.7</v>
      </c>
      <c r="G4367" s="5">
        <v>104.4</v>
      </c>
      <c r="H4367" s="5">
        <v>104.3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106.3</v>
      </c>
      <c r="D4368" s="5">
        <v>0.1</v>
      </c>
      <c r="E4368" s="5">
        <v>106.5</v>
      </c>
      <c r="F4368" s="5">
        <v>209.7</v>
      </c>
      <c r="G4368" s="5">
        <v>104.4</v>
      </c>
      <c r="H4368" s="5">
        <v>104.3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106.3</v>
      </c>
      <c r="D4369" s="5">
        <v>0.1</v>
      </c>
      <c r="E4369" s="5">
        <v>106.5</v>
      </c>
      <c r="F4369" s="5">
        <v>211.5</v>
      </c>
      <c r="G4369" s="5">
        <v>105.1</v>
      </c>
      <c r="H4369" s="5">
        <v>104.9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106.3</v>
      </c>
      <c r="D4370" s="5">
        <v>0.1</v>
      </c>
      <c r="E4370" s="5">
        <v>106.5</v>
      </c>
      <c r="F4370" s="5">
        <v>211.5</v>
      </c>
      <c r="G4370" s="5">
        <v>105.1</v>
      </c>
      <c r="H4370" s="5">
        <v>104.9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106.4</v>
      </c>
      <c r="D4371" s="5">
        <v>0.1</v>
      </c>
      <c r="E4371" s="5">
        <v>106.6</v>
      </c>
      <c r="F4371" s="5">
        <v>211.4</v>
      </c>
      <c r="G4371" s="5">
        <v>105.1</v>
      </c>
      <c r="H4371" s="5">
        <v>104.9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106.4</v>
      </c>
      <c r="D4372" s="5">
        <v>0.1</v>
      </c>
      <c r="E4372" s="5">
        <v>106.6</v>
      </c>
      <c r="F4372" s="5">
        <v>211.4</v>
      </c>
      <c r="G4372" s="5">
        <v>105.1</v>
      </c>
      <c r="H4372" s="5">
        <v>104.9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106.4</v>
      </c>
      <c r="D4373" s="5">
        <v>0.1</v>
      </c>
      <c r="E4373" s="5">
        <v>106.6</v>
      </c>
      <c r="F4373" s="5">
        <v>211.4</v>
      </c>
      <c r="G4373" s="5">
        <v>105.1</v>
      </c>
      <c r="H4373" s="5">
        <v>104.9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106.4</v>
      </c>
      <c r="D4374" s="5">
        <v>0.1</v>
      </c>
      <c r="E4374" s="5">
        <v>106</v>
      </c>
      <c r="F4374" s="5">
        <v>210.7</v>
      </c>
      <c r="G4374" s="5">
        <v>104.7</v>
      </c>
      <c r="H4374" s="5">
        <v>104.5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105.9</v>
      </c>
      <c r="D4375" s="5">
        <v>0.1</v>
      </c>
      <c r="E4375" s="5">
        <v>106</v>
      </c>
      <c r="F4375" s="5">
        <v>210.7</v>
      </c>
      <c r="G4375" s="5">
        <v>104.7</v>
      </c>
      <c r="H4375" s="5">
        <v>104.5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105.9</v>
      </c>
      <c r="D4376" s="5">
        <v>0.1</v>
      </c>
      <c r="E4376" s="5">
        <v>105.6</v>
      </c>
      <c r="F4376" s="5">
        <v>209.2</v>
      </c>
      <c r="G4376" s="5">
        <v>103.9</v>
      </c>
      <c r="H4376" s="5">
        <v>103.7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105.5</v>
      </c>
      <c r="D4377" s="5">
        <v>0.1</v>
      </c>
      <c r="E4377" s="5">
        <v>105.6</v>
      </c>
      <c r="F4377" s="5">
        <v>209.2</v>
      </c>
      <c r="G4377" s="5">
        <v>103.9</v>
      </c>
      <c r="H4377" s="5">
        <v>103.7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105.5</v>
      </c>
      <c r="D4378" s="5">
        <v>0.1</v>
      </c>
      <c r="E4378" s="5">
        <v>106.6</v>
      </c>
      <c r="F4378" s="5">
        <v>211.5</v>
      </c>
      <c r="G4378" s="5">
        <v>105.2</v>
      </c>
      <c r="H4378" s="5">
        <v>105.1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106.5</v>
      </c>
      <c r="D4379" s="5">
        <v>0.1</v>
      </c>
      <c r="E4379" s="5">
        <v>106.6</v>
      </c>
      <c r="F4379" s="5">
        <v>211.5</v>
      </c>
      <c r="G4379" s="5">
        <v>105.2</v>
      </c>
      <c r="H4379" s="5">
        <v>105.1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106.5</v>
      </c>
      <c r="D4380" s="5">
        <v>0.1</v>
      </c>
      <c r="E4380" s="5">
        <v>105.3</v>
      </c>
      <c r="F4380" s="5">
        <v>210.7</v>
      </c>
      <c r="G4380" s="5">
        <v>104.6</v>
      </c>
      <c r="H4380" s="5">
        <v>104.4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105.1</v>
      </c>
      <c r="D4381" s="5">
        <v>0.1</v>
      </c>
      <c r="E4381" s="5">
        <v>105.3</v>
      </c>
      <c r="F4381" s="5">
        <v>210.7</v>
      </c>
      <c r="G4381" s="5">
        <v>104.6</v>
      </c>
      <c r="H4381" s="5">
        <v>104.4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105.1</v>
      </c>
      <c r="D4382" s="5">
        <v>0.1</v>
      </c>
      <c r="E4382" s="5">
        <v>105.3</v>
      </c>
      <c r="F4382" s="5">
        <v>210.7</v>
      </c>
      <c r="G4382" s="5">
        <v>104.6</v>
      </c>
      <c r="H4382" s="5">
        <v>104.4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105.1</v>
      </c>
      <c r="D4383" s="5">
        <v>0.1</v>
      </c>
      <c r="E4383" s="5">
        <v>105.3</v>
      </c>
      <c r="F4383" s="5">
        <v>210.7</v>
      </c>
      <c r="G4383" s="5">
        <v>104.6</v>
      </c>
      <c r="H4383" s="5">
        <v>104.4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106.8</v>
      </c>
      <c r="D4384" s="5">
        <v>0.1</v>
      </c>
      <c r="E4384" s="5">
        <v>106.9</v>
      </c>
      <c r="F4384" s="5">
        <v>212.1</v>
      </c>
      <c r="G4384" s="5">
        <v>105.3</v>
      </c>
      <c r="H4384" s="5">
        <v>105.1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106.8</v>
      </c>
      <c r="D4385" s="5">
        <v>0.1</v>
      </c>
      <c r="E4385" s="5">
        <v>106.9</v>
      </c>
      <c r="F4385" s="5">
        <v>212.1</v>
      </c>
      <c r="G4385" s="5">
        <v>105.3</v>
      </c>
      <c r="H4385" s="5">
        <v>105.1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105.4</v>
      </c>
      <c r="D4386" s="5">
        <v>0.1</v>
      </c>
      <c r="E4386" s="5">
        <v>105.6</v>
      </c>
      <c r="F4386" s="5">
        <v>209.5</v>
      </c>
      <c r="G4386" s="5">
        <v>104.1</v>
      </c>
      <c r="H4386" s="5">
        <v>105.1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105.4</v>
      </c>
      <c r="D4387" s="5">
        <v>0.1</v>
      </c>
      <c r="E4387" s="5">
        <v>105.6</v>
      </c>
      <c r="F4387" s="5">
        <v>209.5</v>
      </c>
      <c r="G4387" s="5">
        <v>104.1</v>
      </c>
      <c r="H4387" s="5">
        <v>104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105.3</v>
      </c>
      <c r="D4388" s="5">
        <v>0.1</v>
      </c>
      <c r="E4388" s="5">
        <v>105.6</v>
      </c>
      <c r="F4388" s="5">
        <v>209.5</v>
      </c>
      <c r="G4388" s="5">
        <v>104.1</v>
      </c>
      <c r="H4388" s="5">
        <v>104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105.3</v>
      </c>
      <c r="D4389" s="5">
        <v>0.1</v>
      </c>
      <c r="E4389" s="5">
        <v>105.5</v>
      </c>
      <c r="F4389" s="5">
        <v>209.7</v>
      </c>
      <c r="G4389" s="5">
        <v>104.2</v>
      </c>
      <c r="H4389" s="5">
        <v>104.1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105.6</v>
      </c>
      <c r="D4390" s="5">
        <v>0.1</v>
      </c>
      <c r="E4390" s="5">
        <v>105.5</v>
      </c>
      <c r="F4390" s="5">
        <v>209.7</v>
      </c>
      <c r="G4390" s="5">
        <v>104.2</v>
      </c>
      <c r="H4390" s="5">
        <v>104.1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105.6</v>
      </c>
      <c r="D4391" s="5">
        <v>0.1</v>
      </c>
      <c r="E4391" s="5">
        <v>105.6</v>
      </c>
      <c r="F4391" s="5">
        <v>209.7</v>
      </c>
      <c r="G4391" s="5">
        <v>104.2</v>
      </c>
      <c r="H4391" s="5">
        <v>104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105.6</v>
      </c>
      <c r="D4392" s="5">
        <v>0.1</v>
      </c>
      <c r="E4392" s="5">
        <v>105.6</v>
      </c>
      <c r="F4392" s="5">
        <v>209.7</v>
      </c>
      <c r="G4392" s="5">
        <v>104.2</v>
      </c>
      <c r="H4392" s="5">
        <v>104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105.6</v>
      </c>
      <c r="D4393" s="5">
        <v>0.1</v>
      </c>
      <c r="E4393" s="5">
        <v>105.6</v>
      </c>
      <c r="F4393" s="5">
        <v>209.7</v>
      </c>
      <c r="G4393" s="5">
        <v>104.2</v>
      </c>
      <c r="H4393" s="5">
        <v>104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105.6</v>
      </c>
      <c r="D4394" s="5">
        <v>0.1</v>
      </c>
      <c r="E4394" s="5">
        <v>105.6</v>
      </c>
      <c r="F4394" s="5">
        <v>209.7</v>
      </c>
      <c r="G4394" s="5">
        <v>104.2</v>
      </c>
      <c r="H4394" s="5">
        <v>104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105.4</v>
      </c>
      <c r="D4395" s="5">
        <v>0.1</v>
      </c>
      <c r="E4395" s="5">
        <v>105.6</v>
      </c>
      <c r="F4395" s="5">
        <v>209.7</v>
      </c>
      <c r="G4395" s="5">
        <v>104.2</v>
      </c>
      <c r="H4395" s="5">
        <v>104.1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105.4</v>
      </c>
      <c r="D4396" s="5">
        <v>0.1</v>
      </c>
      <c r="E4396" s="5">
        <v>105.6</v>
      </c>
      <c r="F4396" s="5">
        <v>209.7</v>
      </c>
      <c r="G4396" s="5">
        <v>104.2</v>
      </c>
      <c r="H4396" s="5">
        <v>104.1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105.9</v>
      </c>
      <c r="D4397" s="5">
        <v>0.1</v>
      </c>
      <c r="E4397" s="5">
        <v>106.1</v>
      </c>
      <c r="F4397" s="5">
        <v>210.3</v>
      </c>
      <c r="G4397" s="5">
        <v>104.5</v>
      </c>
      <c r="H4397" s="5">
        <v>104.4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105.9</v>
      </c>
      <c r="D4398" s="5">
        <v>0.1</v>
      </c>
      <c r="E4398" s="5">
        <v>106.1</v>
      </c>
      <c r="F4398" s="5">
        <v>210.3</v>
      </c>
      <c r="G4398" s="5">
        <v>104.5</v>
      </c>
      <c r="H4398" s="5">
        <v>104.4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105.2</v>
      </c>
      <c r="D4399" s="5">
        <v>0.1</v>
      </c>
      <c r="E4399" s="5">
        <v>105.3</v>
      </c>
      <c r="F4399" s="5">
        <v>209</v>
      </c>
      <c r="G4399" s="5">
        <v>103.9</v>
      </c>
      <c r="H4399" s="5">
        <v>103.8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105.2</v>
      </c>
      <c r="D4400" s="5">
        <v>0.1</v>
      </c>
      <c r="E4400" s="5">
        <v>105.3</v>
      </c>
      <c r="F4400" s="5">
        <v>209</v>
      </c>
      <c r="G4400" s="5">
        <v>103.9</v>
      </c>
      <c r="H4400" s="5">
        <v>103.8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105.5</v>
      </c>
      <c r="D4401" s="5">
        <v>0.1</v>
      </c>
      <c r="E4401" s="5">
        <v>105.6</v>
      </c>
      <c r="F4401" s="5">
        <v>210.2</v>
      </c>
      <c r="G4401" s="5">
        <v>104.4</v>
      </c>
      <c r="H4401" s="5">
        <v>104.3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105.5</v>
      </c>
      <c r="D4402" s="5">
        <v>0.1</v>
      </c>
      <c r="E4402" s="5">
        <v>105.6</v>
      </c>
      <c r="F4402" s="5">
        <v>210.2</v>
      </c>
      <c r="G4402" s="5">
        <v>104.4</v>
      </c>
      <c r="H4402" s="5">
        <v>104.3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105.5</v>
      </c>
      <c r="D4403" s="5">
        <v>0.1</v>
      </c>
      <c r="E4403" s="5">
        <v>105.6</v>
      </c>
      <c r="F4403" s="5">
        <v>210.2</v>
      </c>
      <c r="G4403" s="5">
        <v>104.4</v>
      </c>
      <c r="H4403" s="5">
        <v>104.3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107</v>
      </c>
      <c r="D4404" s="5">
        <v>0.1</v>
      </c>
      <c r="E4404" s="5">
        <v>107.2</v>
      </c>
      <c r="F4404" s="5">
        <v>213.3</v>
      </c>
      <c r="G4404" s="5">
        <v>106</v>
      </c>
      <c r="H4404" s="5">
        <v>105.8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107</v>
      </c>
      <c r="D4405" s="5">
        <v>0.1</v>
      </c>
      <c r="E4405" s="5">
        <v>107.2</v>
      </c>
      <c r="F4405" s="5">
        <v>213.3</v>
      </c>
      <c r="G4405" s="5">
        <v>106</v>
      </c>
      <c r="H4405" s="5">
        <v>105.8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107.2</v>
      </c>
      <c r="D4406" s="5">
        <v>0.1</v>
      </c>
      <c r="E4406" s="5">
        <v>107.3</v>
      </c>
      <c r="F4406" s="5">
        <v>212.6</v>
      </c>
      <c r="G4406" s="5">
        <v>105.6</v>
      </c>
      <c r="H4406" s="5">
        <v>105.5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107.2</v>
      </c>
      <c r="D4407" s="5">
        <v>0.1</v>
      </c>
      <c r="E4407" s="5">
        <v>107.3</v>
      </c>
      <c r="F4407" s="5">
        <v>212.6</v>
      </c>
      <c r="G4407" s="5">
        <v>105.6</v>
      </c>
      <c r="H4407" s="5">
        <v>105.5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107.3</v>
      </c>
      <c r="D4408" s="5">
        <v>0.1</v>
      </c>
      <c r="E4408" s="5">
        <v>107.5</v>
      </c>
      <c r="F4408" s="5">
        <v>213.9</v>
      </c>
      <c r="G4408" s="5">
        <v>106.3</v>
      </c>
      <c r="H4408" s="5">
        <v>106.1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107.3</v>
      </c>
      <c r="D4409" s="5">
        <v>0.1</v>
      </c>
      <c r="E4409" s="5">
        <v>107.5</v>
      </c>
      <c r="F4409" s="5">
        <v>213.9</v>
      </c>
      <c r="G4409" s="5">
        <v>106.3</v>
      </c>
      <c r="H4409" s="5">
        <v>106.1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107.4</v>
      </c>
      <c r="D4410" s="5">
        <v>0.1</v>
      </c>
      <c r="E4410" s="5">
        <v>107.5</v>
      </c>
      <c r="F4410" s="5">
        <v>212.6</v>
      </c>
      <c r="G4410" s="5">
        <v>105.6</v>
      </c>
      <c r="H4410" s="5">
        <v>105.5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107.4</v>
      </c>
      <c r="D4411" s="5">
        <v>0.1</v>
      </c>
      <c r="E4411" s="5">
        <v>107.5</v>
      </c>
      <c r="F4411" s="5">
        <v>212.6</v>
      </c>
      <c r="G4411" s="5">
        <v>105.6</v>
      </c>
      <c r="H4411" s="5">
        <v>105.5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107.4</v>
      </c>
      <c r="D4412" s="5">
        <v>0.1</v>
      </c>
      <c r="E4412" s="5">
        <v>107.5</v>
      </c>
      <c r="F4412" s="5">
        <v>212.6</v>
      </c>
      <c r="G4412" s="5">
        <v>105.6</v>
      </c>
      <c r="H4412" s="5">
        <v>105.5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107.4</v>
      </c>
      <c r="D4413" s="5">
        <v>0.1</v>
      </c>
      <c r="E4413" s="5">
        <v>107.5</v>
      </c>
      <c r="F4413" s="5">
        <v>212.6</v>
      </c>
      <c r="G4413" s="5">
        <v>105.6</v>
      </c>
      <c r="H4413" s="5">
        <v>105.5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106.9</v>
      </c>
      <c r="D4414" s="5">
        <v>0.1</v>
      </c>
      <c r="E4414" s="5">
        <v>107.1</v>
      </c>
      <c r="F4414" s="5">
        <v>212.5</v>
      </c>
      <c r="G4414" s="5">
        <v>105.5</v>
      </c>
      <c r="H4414" s="5">
        <v>105.4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106.9</v>
      </c>
      <c r="D4415" s="5">
        <v>0.1</v>
      </c>
      <c r="E4415" s="5">
        <v>107.1</v>
      </c>
      <c r="F4415" s="5">
        <v>212.5</v>
      </c>
      <c r="G4415" s="5">
        <v>105.5</v>
      </c>
      <c r="H4415" s="5">
        <v>105.4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107.2</v>
      </c>
      <c r="D4416" s="5">
        <v>0.1</v>
      </c>
      <c r="E4416" s="5">
        <v>107.4</v>
      </c>
      <c r="F4416" s="5">
        <v>213.4</v>
      </c>
      <c r="G4416" s="5">
        <v>106.1</v>
      </c>
      <c r="H4416" s="5">
        <v>106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107.2</v>
      </c>
      <c r="D4417" s="5">
        <v>0.1</v>
      </c>
      <c r="E4417" s="5">
        <v>107.4</v>
      </c>
      <c r="F4417" s="5">
        <v>213.4</v>
      </c>
      <c r="G4417" s="5">
        <v>106.1</v>
      </c>
      <c r="H4417" s="5">
        <v>106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106.6</v>
      </c>
      <c r="D4418" s="5">
        <v>0.1</v>
      </c>
      <c r="E4418" s="5">
        <v>106.7</v>
      </c>
      <c r="F4418" s="5">
        <v>211.8</v>
      </c>
      <c r="G4418" s="5">
        <v>105.2</v>
      </c>
      <c r="H4418" s="5">
        <v>105.1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106.6</v>
      </c>
      <c r="D4419" s="5">
        <v>0.1</v>
      </c>
      <c r="E4419" s="5">
        <v>106.7</v>
      </c>
      <c r="F4419" s="5">
        <v>211.8</v>
      </c>
      <c r="G4419" s="5">
        <v>105.2</v>
      </c>
      <c r="H4419" s="5">
        <v>105.1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106.8</v>
      </c>
      <c r="D4420" s="5">
        <v>0.1</v>
      </c>
      <c r="E4420" s="5">
        <v>106.9</v>
      </c>
      <c r="F4420" s="5">
        <v>212.1</v>
      </c>
      <c r="G4420" s="5">
        <v>105.4</v>
      </c>
      <c r="H4420" s="5">
        <v>105.2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106.8</v>
      </c>
      <c r="D4421" s="5">
        <v>0.1</v>
      </c>
      <c r="E4421" s="5">
        <v>106.9</v>
      </c>
      <c r="F4421" s="5">
        <v>212.1</v>
      </c>
      <c r="G4421" s="5">
        <v>105.4</v>
      </c>
      <c r="H4421" s="5">
        <v>105.2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106.8</v>
      </c>
      <c r="D4422" s="5">
        <v>0.1</v>
      </c>
      <c r="E4422" s="5">
        <v>106.9</v>
      </c>
      <c r="F4422" s="5">
        <v>212.1</v>
      </c>
      <c r="G4422" s="5">
        <v>105.4</v>
      </c>
      <c r="H4422" s="5">
        <v>105.2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106.8</v>
      </c>
      <c r="D4423" s="5">
        <v>0.1</v>
      </c>
      <c r="E4423" s="5">
        <v>106.9</v>
      </c>
      <c r="F4423" s="5">
        <v>212.1</v>
      </c>
      <c r="G4423" s="5">
        <v>105.4</v>
      </c>
      <c r="H4423" s="5">
        <v>105.2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106.3</v>
      </c>
      <c r="D4424" s="5">
        <v>0.1</v>
      </c>
      <c r="E4424" s="5">
        <v>106.5</v>
      </c>
      <c r="F4424" s="5">
        <v>212.9</v>
      </c>
      <c r="G4424" s="5">
        <v>105.7</v>
      </c>
      <c r="H4424" s="5">
        <v>105.5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106.3</v>
      </c>
      <c r="D4425" s="5">
        <v>0.1</v>
      </c>
      <c r="E4425" s="5">
        <v>106.5</v>
      </c>
      <c r="F4425" s="5">
        <v>212.9</v>
      </c>
      <c r="G4425" s="5">
        <v>105.7</v>
      </c>
      <c r="H4425" s="5">
        <v>105.5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107.8</v>
      </c>
      <c r="D4426" s="5">
        <v>0.1</v>
      </c>
      <c r="E4426" s="5">
        <v>107.8</v>
      </c>
      <c r="F4426" s="5">
        <v>214.3</v>
      </c>
      <c r="G4426" s="5">
        <v>106.5</v>
      </c>
      <c r="H4426" s="5">
        <v>106.4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107.8</v>
      </c>
      <c r="D4427" s="5">
        <v>0.1</v>
      </c>
      <c r="E4427" s="5">
        <v>107.8</v>
      </c>
      <c r="F4427" s="5">
        <v>214.3</v>
      </c>
      <c r="G4427" s="5">
        <v>106.5</v>
      </c>
      <c r="H4427" s="5">
        <v>106.4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106.6</v>
      </c>
      <c r="D4428" s="5">
        <v>0.1</v>
      </c>
      <c r="E4428" s="5">
        <v>106.7</v>
      </c>
      <c r="F4428" s="5">
        <v>211.6</v>
      </c>
      <c r="G4428" s="5">
        <v>105.2</v>
      </c>
      <c r="H4428" s="5">
        <v>105.2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106.6</v>
      </c>
      <c r="D4429" s="5">
        <v>0.1</v>
      </c>
      <c r="E4429" s="5">
        <v>106.7</v>
      </c>
      <c r="F4429" s="5">
        <v>211.6</v>
      </c>
      <c r="G4429" s="5">
        <v>105.2</v>
      </c>
      <c r="H4429" s="5">
        <v>105.2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106.3</v>
      </c>
      <c r="D4430" s="5">
        <v>0.1</v>
      </c>
      <c r="E4430" s="5">
        <v>106.5</v>
      </c>
      <c r="F4430" s="5">
        <v>212.3</v>
      </c>
      <c r="G4430" s="5">
        <v>105.5</v>
      </c>
      <c r="H4430" s="5">
        <v>105.4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106.3</v>
      </c>
      <c r="D4431" s="5">
        <v>0.1</v>
      </c>
      <c r="E4431" s="5">
        <v>106.5</v>
      </c>
      <c r="F4431" s="5">
        <v>212.3</v>
      </c>
      <c r="G4431" s="5">
        <v>105.5</v>
      </c>
      <c r="H4431" s="5">
        <v>105.4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106.3</v>
      </c>
      <c r="D4432" s="5">
        <v>0.1</v>
      </c>
      <c r="E4432" s="5">
        <v>106.5</v>
      </c>
      <c r="F4432" s="5">
        <v>212.3</v>
      </c>
      <c r="G4432" s="5">
        <v>105.5</v>
      </c>
      <c r="H4432" s="5">
        <v>105.4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106.3</v>
      </c>
      <c r="D4433" s="5">
        <v>0.1</v>
      </c>
      <c r="E4433" s="5">
        <v>106.5</v>
      </c>
      <c r="F4433" s="5">
        <v>212.3</v>
      </c>
      <c r="G4433" s="5">
        <v>105.5</v>
      </c>
      <c r="H4433" s="5">
        <v>105.4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106.3</v>
      </c>
      <c r="D4434" s="5">
        <v>0.1</v>
      </c>
      <c r="E4434" s="5">
        <v>106.5</v>
      </c>
      <c r="F4434" s="5">
        <v>212</v>
      </c>
      <c r="G4434" s="5">
        <v>105.3</v>
      </c>
      <c r="H4434" s="5">
        <v>105.2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106.3</v>
      </c>
      <c r="D4435" s="5">
        <v>0.1</v>
      </c>
      <c r="E4435" s="5">
        <v>106.5</v>
      </c>
      <c r="F4435" s="5">
        <v>212</v>
      </c>
      <c r="G4435" s="5">
        <v>105.3</v>
      </c>
      <c r="H4435" s="5">
        <v>105.2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106</v>
      </c>
      <c r="D4436" s="5">
        <v>0.1</v>
      </c>
      <c r="E4436" s="5">
        <v>106.2</v>
      </c>
      <c r="F4436" s="5">
        <v>211.6</v>
      </c>
      <c r="G4436" s="5">
        <v>105.1</v>
      </c>
      <c r="H4436" s="5">
        <v>105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106</v>
      </c>
      <c r="D4437" s="5">
        <v>0.1</v>
      </c>
      <c r="E4437" s="5">
        <v>106.2</v>
      </c>
      <c r="F4437" s="5">
        <v>211.6</v>
      </c>
      <c r="G4437" s="5">
        <v>105.1</v>
      </c>
      <c r="H4437" s="5">
        <v>105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106.9</v>
      </c>
      <c r="D4438" s="5">
        <v>0.1</v>
      </c>
      <c r="E4438" s="5">
        <v>106.9</v>
      </c>
      <c r="F4438" s="5">
        <v>212.8</v>
      </c>
      <c r="G4438" s="5">
        <v>105.8</v>
      </c>
      <c r="H4438" s="5">
        <v>105.6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106.9</v>
      </c>
      <c r="D4439" s="5">
        <v>0.1</v>
      </c>
      <c r="E4439" s="5">
        <v>106.9</v>
      </c>
      <c r="F4439" s="5">
        <v>212.8</v>
      </c>
      <c r="G4439" s="5">
        <v>105.8</v>
      </c>
      <c r="H4439" s="5">
        <v>105.6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107.2</v>
      </c>
      <c r="D4440" s="5">
        <v>0.1</v>
      </c>
      <c r="E4440" s="5">
        <v>107.3</v>
      </c>
      <c r="F4440" s="5">
        <v>212.9</v>
      </c>
      <c r="G4440" s="5">
        <v>105.8</v>
      </c>
      <c r="H4440" s="5">
        <v>105.7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107.2</v>
      </c>
      <c r="D4441" s="5">
        <v>0.1</v>
      </c>
      <c r="E4441" s="5">
        <v>107.3</v>
      </c>
      <c r="F4441" s="5">
        <v>212.9</v>
      </c>
      <c r="G4441" s="5">
        <v>105.8</v>
      </c>
      <c r="H4441" s="5">
        <v>105.7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107.2</v>
      </c>
      <c r="D4442" s="5">
        <v>0.1</v>
      </c>
      <c r="E4442" s="5">
        <v>107.3</v>
      </c>
      <c r="F4442" s="5">
        <v>212.9</v>
      </c>
      <c r="G4442" s="5">
        <v>105.8</v>
      </c>
      <c r="H4442" s="5">
        <v>105.7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107.2</v>
      </c>
      <c r="D4443" s="5">
        <v>0.1</v>
      </c>
      <c r="E4443" s="5">
        <v>107.3</v>
      </c>
      <c r="F4443" s="5">
        <v>212.9</v>
      </c>
      <c r="G4443" s="5">
        <v>105.8</v>
      </c>
      <c r="H4443" s="5">
        <v>105.7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107.5</v>
      </c>
      <c r="D4444" s="5">
        <v>0.1</v>
      </c>
      <c r="E4444" s="5">
        <v>107.6</v>
      </c>
      <c r="F4444" s="5">
        <v>214.6</v>
      </c>
      <c r="G4444" s="5">
        <v>106.6</v>
      </c>
      <c r="H4444" s="5">
        <v>106.5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107.5</v>
      </c>
      <c r="D4445" s="5">
        <v>0.1</v>
      </c>
      <c r="E4445" s="5">
        <v>107.6</v>
      </c>
      <c r="F4445" s="5">
        <v>214.6</v>
      </c>
      <c r="G4445" s="5">
        <v>106.6</v>
      </c>
      <c r="H4445" s="5">
        <v>106.5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106.9</v>
      </c>
      <c r="D4446" s="5">
        <v>0.1</v>
      </c>
      <c r="E4446" s="5">
        <v>107</v>
      </c>
      <c r="F4446" s="5">
        <v>214.3</v>
      </c>
      <c r="G4446" s="5">
        <v>106.4</v>
      </c>
      <c r="H4446" s="5">
        <v>106.2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106.9</v>
      </c>
      <c r="D4447" s="5">
        <v>0.1</v>
      </c>
      <c r="E4447" s="5">
        <v>107</v>
      </c>
      <c r="F4447" s="5">
        <v>214.3</v>
      </c>
      <c r="G4447" s="5">
        <v>106.4</v>
      </c>
      <c r="H4447" s="5">
        <v>106.2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107.4</v>
      </c>
      <c r="D4448" s="5">
        <v>0.1</v>
      </c>
      <c r="E4448" s="5">
        <v>107.5</v>
      </c>
      <c r="F4448" s="5">
        <v>213.9</v>
      </c>
      <c r="G4448" s="5">
        <v>106.2</v>
      </c>
      <c r="H4448" s="5">
        <v>106.1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107.4</v>
      </c>
      <c r="D4449" s="5">
        <v>0.1</v>
      </c>
      <c r="E4449" s="5">
        <v>107.5</v>
      </c>
      <c r="F4449" s="5">
        <v>213.9</v>
      </c>
      <c r="G4449" s="5">
        <v>106.2</v>
      </c>
      <c r="H4449" s="5">
        <v>106.1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107.2</v>
      </c>
      <c r="D4450" s="5">
        <v>0.1</v>
      </c>
      <c r="E4450" s="5">
        <v>107.4</v>
      </c>
      <c r="F4450" s="5">
        <v>213.2</v>
      </c>
      <c r="G4450" s="5">
        <v>105.8</v>
      </c>
      <c r="H4450" s="5">
        <v>105.7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107.2</v>
      </c>
      <c r="D4451" s="5">
        <v>0.1</v>
      </c>
      <c r="E4451" s="5">
        <v>107.4</v>
      </c>
      <c r="F4451" s="5">
        <v>213.2</v>
      </c>
      <c r="G4451" s="5">
        <v>105.8</v>
      </c>
      <c r="H4451" s="5">
        <v>105.7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107.2</v>
      </c>
      <c r="D4452" s="5">
        <v>0.1</v>
      </c>
      <c r="E4452" s="5">
        <v>107.4</v>
      </c>
      <c r="F4452" s="5">
        <v>213.2</v>
      </c>
      <c r="G4452" s="5">
        <v>105.8</v>
      </c>
      <c r="H4452" s="5">
        <v>105.7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107.2</v>
      </c>
      <c r="D4453" s="5">
        <v>0.1</v>
      </c>
      <c r="E4453" s="5">
        <v>107.4</v>
      </c>
      <c r="F4453" s="5">
        <v>213.2</v>
      </c>
      <c r="G4453" s="5">
        <v>105.8</v>
      </c>
      <c r="H4453" s="5">
        <v>105.7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107.5</v>
      </c>
      <c r="D4454" s="5">
        <v>0.1</v>
      </c>
      <c r="E4454" s="5">
        <v>107.7</v>
      </c>
      <c r="F4454" s="5">
        <v>213.3</v>
      </c>
      <c r="G4454" s="5">
        <v>106</v>
      </c>
      <c r="H4454" s="5">
        <v>105.9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107.5</v>
      </c>
      <c r="D4455" s="5">
        <v>0.1</v>
      </c>
      <c r="E4455" s="5">
        <v>107.7</v>
      </c>
      <c r="F4455" s="5">
        <v>213.3</v>
      </c>
      <c r="G4455" s="5">
        <v>106</v>
      </c>
      <c r="H4455" s="5">
        <v>105.9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107.2</v>
      </c>
      <c r="D4456" s="5">
        <v>0.1</v>
      </c>
      <c r="E4456" s="5">
        <v>107.3</v>
      </c>
      <c r="F4456" s="5">
        <v>212.7</v>
      </c>
      <c r="G4456" s="5">
        <v>105.7</v>
      </c>
      <c r="H4456" s="5">
        <v>105.5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107.2</v>
      </c>
      <c r="D4457" s="5">
        <v>0.1</v>
      </c>
      <c r="E4457" s="5">
        <v>107.3</v>
      </c>
      <c r="F4457" s="5">
        <v>212.7</v>
      </c>
      <c r="G4457" s="5">
        <v>105.7</v>
      </c>
      <c r="H4457" s="5">
        <v>105.5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108.1</v>
      </c>
      <c r="D4458" s="5">
        <v>0.1</v>
      </c>
      <c r="E4458" s="5">
        <v>108.2</v>
      </c>
      <c r="F4458" s="5">
        <v>214</v>
      </c>
      <c r="G4458" s="5">
        <v>106.3</v>
      </c>
      <c r="H4458" s="5">
        <v>106.2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108.1</v>
      </c>
      <c r="D4459" s="5">
        <v>0.1</v>
      </c>
      <c r="E4459" s="5">
        <v>108.2</v>
      </c>
      <c r="F4459" s="5">
        <v>214</v>
      </c>
      <c r="G4459" s="5">
        <v>106.3</v>
      </c>
      <c r="H4459" s="5">
        <v>106.2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107.8</v>
      </c>
      <c r="D4460" s="5">
        <v>0.1</v>
      </c>
      <c r="E4460" s="5">
        <v>108</v>
      </c>
      <c r="F4460" s="5">
        <v>214</v>
      </c>
      <c r="G4460" s="5">
        <v>106.3</v>
      </c>
      <c r="H4460" s="5">
        <v>106.2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107.8</v>
      </c>
      <c r="D4461" s="5">
        <v>0.1</v>
      </c>
      <c r="E4461" s="5">
        <v>108</v>
      </c>
      <c r="F4461" s="5">
        <v>214</v>
      </c>
      <c r="G4461" s="5">
        <v>106.3</v>
      </c>
      <c r="H4461" s="5">
        <v>106.2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107.8</v>
      </c>
      <c r="D4462" s="5">
        <v>0.1</v>
      </c>
      <c r="E4462" s="5">
        <v>108</v>
      </c>
      <c r="F4462" s="5">
        <v>214</v>
      </c>
      <c r="G4462" s="5">
        <v>106.3</v>
      </c>
      <c r="H4462" s="5">
        <v>106.2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107.8</v>
      </c>
      <c r="D4463" s="5">
        <v>0.1</v>
      </c>
      <c r="E4463" s="5">
        <v>108</v>
      </c>
      <c r="F4463" s="5">
        <v>214</v>
      </c>
      <c r="G4463" s="5">
        <v>106.3</v>
      </c>
      <c r="H4463" s="5">
        <v>106.2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107.7</v>
      </c>
      <c r="D4464" s="5">
        <v>0.1</v>
      </c>
      <c r="E4464" s="5">
        <v>107.8</v>
      </c>
      <c r="F4464" s="5">
        <v>213.4</v>
      </c>
      <c r="G4464" s="5">
        <v>106.1</v>
      </c>
      <c r="H4464" s="5">
        <v>106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107.7</v>
      </c>
      <c r="D4465" s="5">
        <v>0.1</v>
      </c>
      <c r="E4465" s="5">
        <v>107.8</v>
      </c>
      <c r="F4465" s="5">
        <v>213.4</v>
      </c>
      <c r="G4465" s="5">
        <v>106.1</v>
      </c>
      <c r="H4465" s="5">
        <v>106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108.3</v>
      </c>
      <c r="D4466" s="5">
        <v>0.1</v>
      </c>
      <c r="E4466" s="5">
        <v>108.5</v>
      </c>
      <c r="F4466" s="5">
        <v>215.4</v>
      </c>
      <c r="G4466" s="5">
        <v>107</v>
      </c>
      <c r="H4466" s="5">
        <v>106.9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108.3</v>
      </c>
      <c r="D4467" s="5">
        <v>0.1</v>
      </c>
      <c r="E4467" s="5">
        <v>108.5</v>
      </c>
      <c r="F4467" s="5">
        <v>215.4</v>
      </c>
      <c r="G4467" s="5">
        <v>107</v>
      </c>
      <c r="H4467" s="5">
        <v>106.9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107</v>
      </c>
      <c r="D4468" s="5">
        <v>0.1</v>
      </c>
      <c r="E4468" s="5">
        <v>107.2</v>
      </c>
      <c r="F4468" s="5">
        <v>213.3</v>
      </c>
      <c r="G4468" s="5">
        <v>106</v>
      </c>
      <c r="H4468" s="5">
        <v>105.8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107</v>
      </c>
      <c r="D4469" s="5">
        <v>0.1</v>
      </c>
      <c r="E4469" s="5">
        <v>107.2</v>
      </c>
      <c r="F4469" s="5">
        <v>213.3</v>
      </c>
      <c r="G4469" s="5">
        <v>106</v>
      </c>
      <c r="H4469" s="5">
        <v>105.8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107.7</v>
      </c>
      <c r="D4470" s="5">
        <v>0.1</v>
      </c>
      <c r="E4470" s="5">
        <v>107.8</v>
      </c>
      <c r="F4470" s="5">
        <v>213.5</v>
      </c>
      <c r="G4470" s="5">
        <v>106.1</v>
      </c>
      <c r="H4470" s="5">
        <v>106.1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107.7</v>
      </c>
      <c r="D4471" s="5">
        <v>0.1</v>
      </c>
      <c r="E4471" s="5">
        <v>107.8</v>
      </c>
      <c r="F4471" s="5">
        <v>213.5</v>
      </c>
      <c r="G4471" s="5">
        <v>106.1</v>
      </c>
      <c r="H4471" s="5">
        <v>106.1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107.7</v>
      </c>
      <c r="D4472" s="5">
        <v>0.1</v>
      </c>
      <c r="E4472" s="5">
        <v>107.8</v>
      </c>
      <c r="F4472" s="5">
        <v>213.5</v>
      </c>
      <c r="G4472" s="5">
        <v>106.1</v>
      </c>
      <c r="H4472" s="5">
        <v>106.1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107.7</v>
      </c>
      <c r="D4473" s="5">
        <v>0.1</v>
      </c>
      <c r="E4473" s="5">
        <v>107.8</v>
      </c>
      <c r="F4473" s="5">
        <v>213.5</v>
      </c>
      <c r="G4473" s="5">
        <v>106.1</v>
      </c>
      <c r="H4473" s="5">
        <v>106.1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107.5</v>
      </c>
      <c r="D4474" s="5">
        <v>0.1</v>
      </c>
      <c r="E4474" s="5">
        <v>107.7</v>
      </c>
      <c r="F4474" s="5">
        <v>213.7</v>
      </c>
      <c r="G4474" s="5">
        <v>106.2</v>
      </c>
      <c r="H4474" s="5">
        <v>106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107.5</v>
      </c>
      <c r="D4475" s="5">
        <v>0.1</v>
      </c>
      <c r="E4475" s="5">
        <v>107.7</v>
      </c>
      <c r="F4475" s="5">
        <v>213.7</v>
      </c>
      <c r="G4475" s="5">
        <v>106.2</v>
      </c>
      <c r="H4475" s="5">
        <v>106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107.2</v>
      </c>
      <c r="D4476" s="5">
        <v>0.1</v>
      </c>
      <c r="E4476" s="5">
        <v>107.3</v>
      </c>
      <c r="F4476" s="5">
        <v>212.4</v>
      </c>
      <c r="G4476" s="5">
        <v>105.6</v>
      </c>
      <c r="H4476" s="5">
        <v>105.5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107.2</v>
      </c>
      <c r="D4477" s="5">
        <v>0.1</v>
      </c>
      <c r="E4477" s="5">
        <v>107.3</v>
      </c>
      <c r="F4477" s="5">
        <v>212.4</v>
      </c>
      <c r="G4477" s="5">
        <v>105.6</v>
      </c>
      <c r="H4477" s="5">
        <v>105.5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105.9</v>
      </c>
      <c r="D4478" s="5">
        <v>0.1</v>
      </c>
      <c r="E4478" s="5">
        <v>106.1</v>
      </c>
      <c r="F4478" s="5">
        <v>211.8</v>
      </c>
      <c r="G4478" s="5">
        <v>105.1</v>
      </c>
      <c r="H4478" s="5">
        <v>104.7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105.9</v>
      </c>
      <c r="D4479" s="5">
        <v>0.1</v>
      </c>
      <c r="E4479" s="5">
        <v>106.1</v>
      </c>
      <c r="F4479" s="5">
        <v>211.8</v>
      </c>
      <c r="G4479" s="5">
        <v>105.1</v>
      </c>
      <c r="H4479" s="5">
        <v>104.7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106.1</v>
      </c>
      <c r="D4480" s="5">
        <v>0.1</v>
      </c>
      <c r="E4480" s="5">
        <v>106.2</v>
      </c>
      <c r="F4480" s="5">
        <v>211.3</v>
      </c>
      <c r="G4480" s="5">
        <v>105</v>
      </c>
      <c r="H4480" s="5">
        <v>104.8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106.1</v>
      </c>
      <c r="D4481" s="5">
        <v>0.1</v>
      </c>
      <c r="E4481" s="5">
        <v>106.2</v>
      </c>
      <c r="F4481" s="5">
        <v>211.3</v>
      </c>
      <c r="G4481" s="5">
        <v>105</v>
      </c>
      <c r="H4481" s="5">
        <v>104.8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106.1</v>
      </c>
      <c r="D4482" s="5">
        <v>0.1</v>
      </c>
      <c r="E4482" s="5">
        <v>106.2</v>
      </c>
      <c r="F4482" s="5">
        <v>211.3</v>
      </c>
      <c r="G4482" s="5">
        <v>105</v>
      </c>
      <c r="H4482" s="5">
        <v>104.8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106.1</v>
      </c>
      <c r="D4483" s="5">
        <v>0.1</v>
      </c>
      <c r="E4483" s="5">
        <v>106.9</v>
      </c>
      <c r="F4483" s="5">
        <v>212</v>
      </c>
      <c r="G4483" s="5">
        <v>105.4</v>
      </c>
      <c r="H4483" s="5">
        <v>104.8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106.7</v>
      </c>
      <c r="D4484" s="5">
        <v>0.1</v>
      </c>
      <c r="E4484" s="5">
        <v>106.9</v>
      </c>
      <c r="F4484" s="5">
        <v>212</v>
      </c>
      <c r="G4484" s="5">
        <v>105.4</v>
      </c>
      <c r="H4484" s="5">
        <v>105.2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106.7</v>
      </c>
      <c r="D4485" s="5">
        <v>0.1</v>
      </c>
      <c r="E4485" s="5">
        <v>107.2</v>
      </c>
      <c r="F4485" s="5">
        <v>212</v>
      </c>
      <c r="G4485" s="5">
        <v>105.4</v>
      </c>
      <c r="H4485" s="5">
        <v>105.2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107.1</v>
      </c>
      <c r="D4486" s="5">
        <v>0.1</v>
      </c>
      <c r="E4486" s="5">
        <v>107.2</v>
      </c>
      <c r="F4486" s="5">
        <v>212.4</v>
      </c>
      <c r="G4486" s="5">
        <v>105.6</v>
      </c>
      <c r="H4486" s="5">
        <v>105.5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107.1</v>
      </c>
      <c r="D4487" s="5">
        <v>0.1</v>
      </c>
      <c r="E4487" s="5">
        <v>107.2</v>
      </c>
      <c r="F4487" s="5">
        <v>212.4</v>
      </c>
      <c r="G4487" s="5">
        <v>105.6</v>
      </c>
      <c r="H4487" s="5">
        <v>105.5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107</v>
      </c>
      <c r="D4488" s="5">
        <v>0.1</v>
      </c>
      <c r="E4488" s="5">
        <v>107.2</v>
      </c>
      <c r="F4488" s="5">
        <v>212.7</v>
      </c>
      <c r="G4488" s="5">
        <v>105.7</v>
      </c>
      <c r="H4488" s="5">
        <v>105.6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107</v>
      </c>
      <c r="D4489" s="5">
        <v>0.1</v>
      </c>
      <c r="E4489" s="5">
        <v>107.2</v>
      </c>
      <c r="F4489" s="5">
        <v>212.7</v>
      </c>
      <c r="G4489" s="5">
        <v>105.7</v>
      </c>
      <c r="H4489" s="5">
        <v>105.6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106.6</v>
      </c>
      <c r="D4490" s="5">
        <v>0.1</v>
      </c>
      <c r="E4490" s="5">
        <v>106.7</v>
      </c>
      <c r="F4490" s="5">
        <v>212.1</v>
      </c>
      <c r="G4490" s="5">
        <v>105.4</v>
      </c>
      <c r="H4490" s="5">
        <v>105.3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106.6</v>
      </c>
      <c r="D4491" s="5">
        <v>0.1</v>
      </c>
      <c r="E4491" s="5">
        <v>106.7</v>
      </c>
      <c r="F4491" s="5">
        <v>212.1</v>
      </c>
      <c r="G4491" s="5">
        <v>105.4</v>
      </c>
      <c r="H4491" s="5">
        <v>105.3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106.6</v>
      </c>
      <c r="D4492" s="5">
        <v>0.1</v>
      </c>
      <c r="E4492" s="5">
        <v>106.7</v>
      </c>
      <c r="F4492" s="5">
        <v>212.1</v>
      </c>
      <c r="G4492" s="5">
        <v>105.4</v>
      </c>
      <c r="H4492" s="5">
        <v>105.3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106.6</v>
      </c>
      <c r="D4493" s="5">
        <v>0.1</v>
      </c>
      <c r="E4493" s="5">
        <v>106.7</v>
      </c>
      <c r="F4493" s="5">
        <v>212.1</v>
      </c>
      <c r="G4493" s="5">
        <v>105.4</v>
      </c>
      <c r="H4493" s="5">
        <v>105.3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106.5</v>
      </c>
      <c r="D4494" s="5">
        <v>0.1</v>
      </c>
      <c r="E4494" s="5">
        <v>106.6</v>
      </c>
      <c r="F4494" s="5">
        <v>211.6</v>
      </c>
      <c r="G4494" s="5">
        <v>105.2</v>
      </c>
      <c r="H4494" s="5">
        <v>105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106.5</v>
      </c>
      <c r="D4495" s="5">
        <v>0.1</v>
      </c>
      <c r="E4495" s="5">
        <v>106.6</v>
      </c>
      <c r="F4495" s="5">
        <v>211.6</v>
      </c>
      <c r="G4495" s="5">
        <v>105.2</v>
      </c>
      <c r="H4495" s="5">
        <v>105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106.9</v>
      </c>
      <c r="D4496" s="5">
        <v>0.1</v>
      </c>
      <c r="E4496" s="5">
        <v>107</v>
      </c>
      <c r="F4496" s="5">
        <v>213</v>
      </c>
      <c r="G4496" s="5">
        <v>105.8</v>
      </c>
      <c r="H4496" s="5">
        <v>105.6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106.9</v>
      </c>
      <c r="D4497" s="5">
        <v>0.1</v>
      </c>
      <c r="E4497" s="5">
        <v>107</v>
      </c>
      <c r="F4497" s="5">
        <v>213</v>
      </c>
      <c r="G4497" s="5">
        <v>105.8</v>
      </c>
      <c r="H4497" s="5">
        <v>105.6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107.2</v>
      </c>
      <c r="D4498" s="5">
        <v>0.1</v>
      </c>
      <c r="E4498" s="5">
        <v>107.3</v>
      </c>
      <c r="F4498" s="5">
        <v>213.3</v>
      </c>
      <c r="G4498" s="5">
        <v>106</v>
      </c>
      <c r="H4498" s="5">
        <v>105.9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107.2</v>
      </c>
      <c r="D4499" s="5">
        <v>0.1</v>
      </c>
      <c r="E4499" s="5">
        <v>107.3</v>
      </c>
      <c r="F4499" s="5">
        <v>213.3</v>
      </c>
      <c r="G4499" s="5">
        <v>106</v>
      </c>
      <c r="H4499" s="5">
        <v>105.9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107.2</v>
      </c>
      <c r="D4500" s="5">
        <v>0.1</v>
      </c>
      <c r="E4500" s="5">
        <v>107.3</v>
      </c>
      <c r="F4500" s="5">
        <v>213.2</v>
      </c>
      <c r="G4500" s="5">
        <v>105.9</v>
      </c>
      <c r="H4500" s="5">
        <v>105.8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107.2</v>
      </c>
      <c r="D4501" s="5">
        <v>0.1</v>
      </c>
      <c r="E4501" s="5">
        <v>107.3</v>
      </c>
      <c r="F4501" s="5">
        <v>213.2</v>
      </c>
      <c r="G4501" s="5">
        <v>105.9</v>
      </c>
      <c r="H4501" s="5">
        <v>105.8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107.2</v>
      </c>
      <c r="D4502" s="5">
        <v>0.1</v>
      </c>
      <c r="E4502" s="5">
        <v>107.3</v>
      </c>
      <c r="F4502" s="5">
        <v>213.2</v>
      </c>
      <c r="G4502" s="5">
        <v>105.9</v>
      </c>
      <c r="H4502" s="5">
        <v>105.8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107.2</v>
      </c>
      <c r="D4503" s="5">
        <v>0.1</v>
      </c>
      <c r="E4503" s="5">
        <v>107.3</v>
      </c>
      <c r="F4503" s="5">
        <v>213.2</v>
      </c>
      <c r="G4503" s="5">
        <v>105.9</v>
      </c>
      <c r="H4503" s="5">
        <v>105.8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106</v>
      </c>
      <c r="D4504" s="5">
        <v>0.1</v>
      </c>
      <c r="E4504" s="5">
        <v>106.2</v>
      </c>
      <c r="F4504" s="5">
        <v>210.9</v>
      </c>
      <c r="G4504" s="5">
        <v>104.8</v>
      </c>
      <c r="H4504" s="5">
        <v>104.7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106</v>
      </c>
      <c r="D4505" s="5">
        <v>0.1</v>
      </c>
      <c r="E4505" s="5">
        <v>106.2</v>
      </c>
      <c r="F4505" s="5">
        <v>210.9</v>
      </c>
      <c r="G4505" s="5">
        <v>104.8</v>
      </c>
      <c r="H4505" s="5">
        <v>104.7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107.4</v>
      </c>
      <c r="D4506" s="5">
        <v>0.1</v>
      </c>
      <c r="E4506" s="5">
        <v>107.5</v>
      </c>
      <c r="F4506" s="5">
        <v>213.1</v>
      </c>
      <c r="G4506" s="5">
        <v>105.9</v>
      </c>
      <c r="H4506" s="5">
        <v>105.8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107.4</v>
      </c>
      <c r="D4507" s="5">
        <v>0.1</v>
      </c>
      <c r="E4507" s="5">
        <v>107.5</v>
      </c>
      <c r="F4507" s="5">
        <v>213.1</v>
      </c>
      <c r="G4507" s="5">
        <v>105.9</v>
      </c>
      <c r="H4507" s="5">
        <v>105.8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107.3</v>
      </c>
      <c r="D4508" s="5">
        <v>0.1</v>
      </c>
      <c r="E4508" s="5">
        <v>107.5</v>
      </c>
      <c r="F4508" s="5">
        <v>213.1</v>
      </c>
      <c r="G4508" s="5">
        <v>106</v>
      </c>
      <c r="H4508" s="5">
        <v>105.8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107.3</v>
      </c>
      <c r="D4509" s="5">
        <v>0.1</v>
      </c>
      <c r="E4509" s="5">
        <v>107.5</v>
      </c>
      <c r="F4509" s="5">
        <v>213.1</v>
      </c>
      <c r="G4509" s="5">
        <v>106</v>
      </c>
      <c r="H4509" s="5">
        <v>105.8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107.7</v>
      </c>
      <c r="D4510" s="5">
        <v>0.1</v>
      </c>
      <c r="E4510" s="5">
        <v>107.8</v>
      </c>
      <c r="F4510" s="5">
        <v>213.9</v>
      </c>
      <c r="G4510" s="5">
        <v>106.3</v>
      </c>
      <c r="H4510" s="5">
        <v>106.2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107.7</v>
      </c>
      <c r="D4511" s="5">
        <v>0.1</v>
      </c>
      <c r="E4511" s="5">
        <v>107.8</v>
      </c>
      <c r="F4511" s="5">
        <v>213.9</v>
      </c>
      <c r="G4511" s="5">
        <v>106.3</v>
      </c>
      <c r="H4511" s="5">
        <v>106.2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107.7</v>
      </c>
      <c r="D4512" s="5">
        <v>0.1</v>
      </c>
      <c r="E4512" s="5">
        <v>107.8</v>
      </c>
      <c r="F4512" s="5">
        <v>213.9</v>
      </c>
      <c r="G4512" s="5">
        <v>106.3</v>
      </c>
      <c r="H4512" s="5">
        <v>106.2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107.7</v>
      </c>
      <c r="D4513" s="5">
        <v>0.1</v>
      </c>
      <c r="E4513" s="5">
        <v>107.8</v>
      </c>
      <c r="F4513" s="5">
        <v>213.9</v>
      </c>
      <c r="G4513" s="5">
        <v>106.3</v>
      </c>
      <c r="H4513" s="5">
        <v>105.8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107.2</v>
      </c>
      <c r="D4514" s="5">
        <v>0.1</v>
      </c>
      <c r="E4514" s="5">
        <v>107.3</v>
      </c>
      <c r="F4514" s="5">
        <v>213.1</v>
      </c>
      <c r="G4514" s="5">
        <v>105.9</v>
      </c>
      <c r="H4514" s="5">
        <v>105.8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107.2</v>
      </c>
      <c r="D4515" s="5">
        <v>0.1</v>
      </c>
      <c r="E4515" s="5">
        <v>107.3</v>
      </c>
      <c r="F4515" s="5">
        <v>213.1</v>
      </c>
      <c r="G4515" s="5">
        <v>105.9</v>
      </c>
      <c r="H4515" s="5">
        <v>105.8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107.4</v>
      </c>
      <c r="D4516" s="5">
        <v>0.1</v>
      </c>
      <c r="E4516" s="5">
        <v>107.5</v>
      </c>
      <c r="F4516" s="5">
        <v>213.8</v>
      </c>
      <c r="G4516" s="5">
        <v>106.2</v>
      </c>
      <c r="H4516" s="5">
        <v>106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107.4</v>
      </c>
      <c r="D4517" s="5">
        <v>0.1</v>
      </c>
      <c r="E4517" s="5">
        <v>107.5</v>
      </c>
      <c r="F4517" s="5">
        <v>213.8</v>
      </c>
      <c r="G4517" s="5">
        <v>106.2</v>
      </c>
      <c r="H4517" s="5">
        <v>106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107.3</v>
      </c>
      <c r="D4518" s="5">
        <v>0.1</v>
      </c>
      <c r="E4518" s="5">
        <v>107.5</v>
      </c>
      <c r="F4518" s="5">
        <v>213.4</v>
      </c>
      <c r="G4518" s="5">
        <v>106.1</v>
      </c>
      <c r="H4518" s="5">
        <v>106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107.3</v>
      </c>
      <c r="D4519" s="5">
        <v>0.1</v>
      </c>
      <c r="E4519" s="5">
        <v>107.5</v>
      </c>
      <c r="F4519" s="5">
        <v>213.4</v>
      </c>
      <c r="G4519" s="5">
        <v>106.1</v>
      </c>
      <c r="H4519" s="5">
        <v>106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107.7</v>
      </c>
      <c r="D4520" s="5">
        <v>0.1</v>
      </c>
      <c r="E4520" s="5">
        <v>107.8</v>
      </c>
      <c r="F4520" s="5">
        <v>214.8</v>
      </c>
      <c r="G4520" s="5">
        <v>106.7</v>
      </c>
      <c r="H4520" s="5">
        <v>106.5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107.7</v>
      </c>
      <c r="D4521" s="5">
        <v>0.1</v>
      </c>
      <c r="E4521" s="5">
        <v>107.8</v>
      </c>
      <c r="F4521" s="5">
        <v>214.8</v>
      </c>
      <c r="G4521" s="5">
        <v>106.7</v>
      </c>
      <c r="H4521" s="5">
        <v>106.5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107.7</v>
      </c>
      <c r="D4522" s="5">
        <v>0.1</v>
      </c>
      <c r="E4522" s="5">
        <v>107.8</v>
      </c>
      <c r="F4522" s="5">
        <v>214.8</v>
      </c>
      <c r="G4522" s="5">
        <v>106.7</v>
      </c>
      <c r="H4522" s="5">
        <v>106.5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106.1</v>
      </c>
      <c r="D4523" s="5">
        <v>0.1</v>
      </c>
      <c r="E4523" s="5">
        <v>106.2</v>
      </c>
      <c r="F4523" s="5">
        <v>213.1</v>
      </c>
      <c r="G4523" s="5">
        <v>105.8</v>
      </c>
      <c r="H4523" s="5">
        <v>106.3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106.1</v>
      </c>
      <c r="D4524" s="5">
        <v>0.1</v>
      </c>
      <c r="E4524" s="5">
        <v>106.2</v>
      </c>
      <c r="F4524" s="5">
        <v>213.1</v>
      </c>
      <c r="G4524" s="5">
        <v>105.8</v>
      </c>
      <c r="H4524" s="5">
        <v>106.3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108</v>
      </c>
      <c r="D4525" s="5">
        <v>0.1</v>
      </c>
      <c r="E4525" s="5">
        <v>108.1</v>
      </c>
      <c r="F4525" s="5">
        <v>214.7</v>
      </c>
      <c r="G4525" s="5">
        <v>106.7</v>
      </c>
      <c r="H4525" s="5">
        <v>106.5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108</v>
      </c>
      <c r="D4526" s="5">
        <v>0.1</v>
      </c>
      <c r="E4526" s="5">
        <v>108.1</v>
      </c>
      <c r="F4526" s="5">
        <v>214.7</v>
      </c>
      <c r="G4526" s="5">
        <v>106.7</v>
      </c>
      <c r="H4526" s="5">
        <v>106.5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107.8</v>
      </c>
      <c r="D4527" s="5">
        <v>0.1</v>
      </c>
      <c r="E4527" s="5">
        <v>108</v>
      </c>
      <c r="F4527" s="5">
        <v>214.8</v>
      </c>
      <c r="G4527" s="5">
        <v>106.7</v>
      </c>
      <c r="H4527" s="5">
        <v>106.6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107.8</v>
      </c>
      <c r="D4528" s="5">
        <v>0.1</v>
      </c>
      <c r="E4528" s="5">
        <v>108</v>
      </c>
      <c r="F4528" s="5">
        <v>214.8</v>
      </c>
      <c r="G4528" s="5">
        <v>106.7</v>
      </c>
      <c r="H4528" s="5">
        <v>106.6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106.2</v>
      </c>
      <c r="D4529" s="5">
        <v>0.1</v>
      </c>
      <c r="E4529" s="5">
        <v>106.4</v>
      </c>
      <c r="F4529" s="5">
        <v>212.9</v>
      </c>
      <c r="G4529" s="5">
        <v>105.7</v>
      </c>
      <c r="H4529" s="5">
        <v>105.7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106.2</v>
      </c>
      <c r="D4530" s="5">
        <v>0.1</v>
      </c>
      <c r="E4530" s="5">
        <v>106.4</v>
      </c>
      <c r="F4530" s="5">
        <v>212.9</v>
      </c>
      <c r="G4530" s="5">
        <v>105.7</v>
      </c>
      <c r="H4530" s="5">
        <v>105.7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106.2</v>
      </c>
      <c r="D4531" s="5">
        <v>0.1</v>
      </c>
      <c r="E4531" s="5">
        <v>106.4</v>
      </c>
      <c r="F4531" s="5">
        <v>212.9</v>
      </c>
      <c r="G4531" s="5">
        <v>105.7</v>
      </c>
      <c r="H4531" s="5">
        <v>105.7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106.2</v>
      </c>
      <c r="D4532" s="5">
        <v>0.1</v>
      </c>
      <c r="E4532" s="5">
        <v>106.4</v>
      </c>
      <c r="F4532" s="5">
        <v>212.9</v>
      </c>
      <c r="G4532" s="5">
        <v>105.7</v>
      </c>
      <c r="H4532" s="5">
        <v>105.7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107.5</v>
      </c>
      <c r="D4533" s="5">
        <v>0.1</v>
      </c>
      <c r="E4533" s="5">
        <v>107.7</v>
      </c>
      <c r="F4533" s="5">
        <v>214.1</v>
      </c>
      <c r="G4533" s="5">
        <v>106.3</v>
      </c>
      <c r="H4533" s="5">
        <v>106.2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107.5</v>
      </c>
      <c r="D4534" s="5">
        <v>0.1</v>
      </c>
      <c r="E4534" s="5">
        <v>107.7</v>
      </c>
      <c r="F4534" s="5">
        <v>214.1</v>
      </c>
      <c r="G4534" s="5">
        <v>106.3</v>
      </c>
      <c r="H4534" s="5">
        <v>106.2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107.9</v>
      </c>
      <c r="D4535" s="5">
        <v>0.1</v>
      </c>
      <c r="E4535" s="5">
        <v>108.1</v>
      </c>
      <c r="F4535" s="5">
        <v>213.7</v>
      </c>
      <c r="G4535" s="5">
        <v>106.2</v>
      </c>
      <c r="H4535" s="5">
        <v>106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107.9</v>
      </c>
      <c r="D4536" s="5">
        <v>0.1</v>
      </c>
      <c r="E4536" s="5">
        <v>108.1</v>
      </c>
      <c r="F4536" s="5">
        <v>213.7</v>
      </c>
      <c r="G4536" s="5">
        <v>106.2</v>
      </c>
      <c r="H4536" s="5">
        <v>106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107.9</v>
      </c>
      <c r="D4537" s="5">
        <v>0.1</v>
      </c>
      <c r="E4537" s="5">
        <v>108.1</v>
      </c>
      <c r="F4537" s="5">
        <v>213.5</v>
      </c>
      <c r="G4537" s="5">
        <v>106</v>
      </c>
      <c r="H4537" s="5">
        <v>106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107.9</v>
      </c>
      <c r="D4538" s="5">
        <v>0.1</v>
      </c>
      <c r="E4538" s="5">
        <v>108.1</v>
      </c>
      <c r="F4538" s="5">
        <v>213.5</v>
      </c>
      <c r="G4538" s="5">
        <v>106</v>
      </c>
      <c r="H4538" s="5">
        <v>105.9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107.7</v>
      </c>
      <c r="D4539" s="5">
        <v>0.1</v>
      </c>
      <c r="E4539" s="5">
        <v>107.8</v>
      </c>
      <c r="F4539" s="5">
        <v>213.5</v>
      </c>
      <c r="G4539" s="5">
        <v>106</v>
      </c>
      <c r="H4539" s="5">
        <v>105.9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107.7</v>
      </c>
      <c r="D4540" s="5">
        <v>0.1</v>
      </c>
      <c r="E4540" s="5">
        <v>107.8</v>
      </c>
      <c r="F4540" s="5">
        <v>213.9</v>
      </c>
      <c r="G4540" s="5">
        <v>106.3</v>
      </c>
      <c r="H4540" s="5">
        <v>106.1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107.7</v>
      </c>
      <c r="D4541" s="5">
        <v>0.1</v>
      </c>
      <c r="E4541" s="5">
        <v>107.8</v>
      </c>
      <c r="F4541" s="5">
        <v>213.9</v>
      </c>
      <c r="G4541" s="5">
        <v>106.3</v>
      </c>
      <c r="H4541" s="5">
        <v>106.1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107.7</v>
      </c>
      <c r="D4542" s="5">
        <v>0.1</v>
      </c>
      <c r="E4542" s="5">
        <v>107.8</v>
      </c>
      <c r="F4542" s="5">
        <v>213.9</v>
      </c>
      <c r="G4542" s="5">
        <v>106.3</v>
      </c>
      <c r="H4542" s="5">
        <v>106.1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107.6</v>
      </c>
      <c r="D4543" s="5">
        <v>0.1</v>
      </c>
      <c r="E4543" s="5">
        <v>107.8</v>
      </c>
      <c r="F4543" s="5">
        <v>213.9</v>
      </c>
      <c r="G4543" s="5">
        <v>106.3</v>
      </c>
      <c r="H4543" s="5">
        <v>106.1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107.6</v>
      </c>
      <c r="D4544" s="5">
        <v>0.1</v>
      </c>
      <c r="E4544" s="5">
        <v>107.8</v>
      </c>
      <c r="F4544" s="5">
        <v>214.3</v>
      </c>
      <c r="G4544" s="5">
        <v>106.4</v>
      </c>
      <c r="H4544" s="5">
        <v>106.3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107.6</v>
      </c>
      <c r="D4545" s="5">
        <v>0.1</v>
      </c>
      <c r="E4545" s="5">
        <v>107.8</v>
      </c>
      <c r="F4545" s="5">
        <v>214.3</v>
      </c>
      <c r="G4545" s="5">
        <v>106.4</v>
      </c>
      <c r="H4545" s="5">
        <v>106.3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108.5</v>
      </c>
      <c r="D4546" s="5">
        <v>0.1</v>
      </c>
      <c r="E4546" s="5">
        <v>108.5</v>
      </c>
      <c r="F4546" s="5">
        <v>215.4</v>
      </c>
      <c r="G4546" s="5">
        <v>107</v>
      </c>
      <c r="H4546" s="5">
        <v>106.8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108.5</v>
      </c>
      <c r="D4547" s="5">
        <v>0.1</v>
      </c>
      <c r="E4547" s="5">
        <v>108.5</v>
      </c>
      <c r="F4547" s="5">
        <v>215.4</v>
      </c>
      <c r="G4547" s="5">
        <v>107</v>
      </c>
      <c r="H4547" s="5">
        <v>106.8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108.6</v>
      </c>
      <c r="D4548" s="5">
        <v>0.1</v>
      </c>
      <c r="E4548" s="5">
        <v>108.8</v>
      </c>
      <c r="F4548" s="5">
        <v>215.3</v>
      </c>
      <c r="G4548" s="5">
        <v>106.9</v>
      </c>
      <c r="H4548" s="5">
        <v>106.8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108.6</v>
      </c>
      <c r="D4549" s="5">
        <v>0.1</v>
      </c>
      <c r="E4549" s="5">
        <v>108.8</v>
      </c>
      <c r="F4549" s="5">
        <v>215.3</v>
      </c>
      <c r="G4549" s="5">
        <v>106.9</v>
      </c>
      <c r="H4549" s="5">
        <v>106.8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108.2</v>
      </c>
      <c r="D4550" s="5">
        <v>0.1</v>
      </c>
      <c r="E4550" s="5">
        <v>108.4</v>
      </c>
      <c r="F4550" s="5">
        <v>214.7</v>
      </c>
      <c r="G4550" s="5">
        <v>106.7</v>
      </c>
      <c r="H4550" s="5">
        <v>106.6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108.2</v>
      </c>
      <c r="D4551" s="5">
        <v>0.1</v>
      </c>
      <c r="E4551" s="5">
        <v>108.4</v>
      </c>
      <c r="F4551" s="5">
        <v>214.7</v>
      </c>
      <c r="G4551" s="5">
        <v>106.7</v>
      </c>
      <c r="H4551" s="5">
        <v>106.6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108.2</v>
      </c>
      <c r="D4552" s="5">
        <v>0.1</v>
      </c>
      <c r="E4552" s="5">
        <v>108.4</v>
      </c>
      <c r="F4552" s="5">
        <v>214.7</v>
      </c>
      <c r="G4552" s="5">
        <v>106.7</v>
      </c>
      <c r="H4552" s="5">
        <v>106.6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108.2</v>
      </c>
      <c r="D4553" s="5">
        <v>0.1</v>
      </c>
      <c r="E4553" s="5">
        <v>108.4</v>
      </c>
      <c r="F4553" s="5">
        <v>214.7</v>
      </c>
      <c r="G4553" s="5">
        <v>106.7</v>
      </c>
      <c r="H4553" s="5">
        <v>106.6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107.5</v>
      </c>
      <c r="D4554" s="5">
        <v>0.1</v>
      </c>
      <c r="E4554" s="5">
        <v>107.6</v>
      </c>
      <c r="F4554" s="5">
        <v>213.8</v>
      </c>
      <c r="G4554" s="5">
        <v>106.3</v>
      </c>
      <c r="H4554" s="5">
        <v>106.1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107.5</v>
      </c>
      <c r="D4555" s="5">
        <v>0.1</v>
      </c>
      <c r="E4555" s="5">
        <v>107.6</v>
      </c>
      <c r="F4555" s="5">
        <v>213.8</v>
      </c>
      <c r="G4555" s="5">
        <v>106.3</v>
      </c>
      <c r="H4555" s="5">
        <v>106.1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107.9</v>
      </c>
      <c r="D4556" s="5">
        <v>0.1</v>
      </c>
      <c r="E4556" s="5">
        <v>108</v>
      </c>
      <c r="F4556" s="5">
        <v>213.9</v>
      </c>
      <c r="G4556" s="5">
        <v>106.2</v>
      </c>
      <c r="H4556" s="5">
        <v>106.1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107.9</v>
      </c>
      <c r="D4557" s="5">
        <v>0.1</v>
      </c>
      <c r="E4557" s="5">
        <v>108</v>
      </c>
      <c r="F4557" s="5">
        <v>213.9</v>
      </c>
      <c r="G4557" s="5">
        <v>106.2</v>
      </c>
      <c r="H4557" s="5">
        <v>106.1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107.9</v>
      </c>
      <c r="D4558" s="5">
        <v>0.1</v>
      </c>
      <c r="E4558" s="5">
        <v>108</v>
      </c>
      <c r="F4558" s="5">
        <v>213.9</v>
      </c>
      <c r="G4558" s="5">
        <v>106.2</v>
      </c>
      <c r="H4558" s="5">
        <v>106.1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107.9</v>
      </c>
      <c r="D4559" s="5">
        <v>0.1</v>
      </c>
      <c r="E4559" s="5">
        <v>108</v>
      </c>
      <c r="F4559" s="5">
        <v>213.9</v>
      </c>
      <c r="G4559" s="5">
        <v>106.2</v>
      </c>
      <c r="H4559" s="5">
        <v>106.1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107.6</v>
      </c>
      <c r="D4560" s="5">
        <v>0.1</v>
      </c>
      <c r="E4560" s="5">
        <v>107.8</v>
      </c>
      <c r="F4560" s="5">
        <v>213.5</v>
      </c>
      <c r="G4560" s="5">
        <v>106</v>
      </c>
      <c r="H4560" s="5">
        <v>105.9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107.6</v>
      </c>
      <c r="D4561" s="5">
        <v>0.1</v>
      </c>
      <c r="E4561" s="5">
        <v>107.8</v>
      </c>
      <c r="F4561" s="5">
        <v>213.5</v>
      </c>
      <c r="G4561" s="5">
        <v>106</v>
      </c>
      <c r="H4561" s="5">
        <v>105.9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107.8</v>
      </c>
      <c r="D4562" s="5">
        <v>0.1</v>
      </c>
      <c r="E4562" s="5">
        <v>107.9</v>
      </c>
      <c r="F4562" s="5">
        <v>213.7</v>
      </c>
      <c r="G4562" s="5">
        <v>106.2</v>
      </c>
      <c r="H4562" s="5">
        <v>106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107.8</v>
      </c>
      <c r="D4563" s="5">
        <v>0.1</v>
      </c>
      <c r="E4563" s="5">
        <v>107.9</v>
      </c>
      <c r="F4563" s="5">
        <v>213.7</v>
      </c>
      <c r="G4563" s="5">
        <v>106.2</v>
      </c>
      <c r="H4563" s="5">
        <v>106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107.1</v>
      </c>
      <c r="D4564" s="5">
        <v>0.1</v>
      </c>
      <c r="E4564" s="5">
        <v>107.2</v>
      </c>
      <c r="F4564" s="5">
        <v>213.2</v>
      </c>
      <c r="G4564" s="5">
        <v>105.9</v>
      </c>
      <c r="H4564" s="5">
        <v>105.7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107.1</v>
      </c>
      <c r="D4565" s="5">
        <v>0.1</v>
      </c>
      <c r="E4565" s="5">
        <v>107.2</v>
      </c>
      <c r="F4565" s="5">
        <v>213.2</v>
      </c>
      <c r="G4565" s="5">
        <v>105.9</v>
      </c>
      <c r="H4565" s="5">
        <v>105.7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107.1</v>
      </c>
      <c r="D4566" s="5">
        <v>0.1</v>
      </c>
      <c r="E4566" s="5">
        <v>107.2</v>
      </c>
      <c r="F4566" s="5">
        <v>212.8</v>
      </c>
      <c r="G4566" s="5">
        <v>105.7</v>
      </c>
      <c r="H4566" s="5">
        <v>105.6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107.1</v>
      </c>
      <c r="D4567" s="5">
        <v>0.1</v>
      </c>
      <c r="E4567" s="5">
        <v>107.2</v>
      </c>
      <c r="F4567" s="5">
        <v>212.8</v>
      </c>
      <c r="G4567" s="5">
        <v>105.7</v>
      </c>
      <c r="H4567" s="5">
        <v>105.6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107.1</v>
      </c>
      <c r="D4568" s="5">
        <v>0.1</v>
      </c>
      <c r="E4568" s="5">
        <v>107.2</v>
      </c>
      <c r="F4568" s="5">
        <v>212.8</v>
      </c>
      <c r="G4568" s="5">
        <v>105.7</v>
      </c>
      <c r="H4568" s="5">
        <v>105.6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107.1</v>
      </c>
      <c r="D4569" s="5">
        <v>0.1</v>
      </c>
      <c r="E4569" s="5">
        <v>107.2</v>
      </c>
      <c r="F4569" s="5">
        <v>212.8</v>
      </c>
      <c r="G4569" s="5">
        <v>105.7</v>
      </c>
      <c r="H4569" s="5">
        <v>105.6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107.8</v>
      </c>
      <c r="D4570" s="5">
        <v>0.1</v>
      </c>
      <c r="E4570" s="5">
        <v>108</v>
      </c>
      <c r="F4570" s="5">
        <v>213.6</v>
      </c>
      <c r="G4570" s="5">
        <v>106.1</v>
      </c>
      <c r="H4570" s="5">
        <v>105.9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107.8</v>
      </c>
      <c r="D4571" s="5">
        <v>0.1</v>
      </c>
      <c r="E4571" s="5">
        <v>108</v>
      </c>
      <c r="F4571" s="5">
        <v>213.6</v>
      </c>
      <c r="G4571" s="5">
        <v>106.1</v>
      </c>
      <c r="H4571" s="5">
        <v>105.9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107.3</v>
      </c>
      <c r="D4572" s="5">
        <v>0.1</v>
      </c>
      <c r="E4572" s="5">
        <v>107.5</v>
      </c>
      <c r="F4572" s="5">
        <v>213.3</v>
      </c>
      <c r="G4572" s="5">
        <v>105.9</v>
      </c>
      <c r="H4572" s="5">
        <v>105.8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107.3</v>
      </c>
      <c r="D4573" s="5">
        <v>0.1</v>
      </c>
      <c r="E4573" s="5">
        <v>107.5</v>
      </c>
      <c r="F4573" s="5">
        <v>213.3</v>
      </c>
      <c r="G4573" s="5">
        <v>105.9</v>
      </c>
      <c r="H4573" s="5">
        <v>105.8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106.8</v>
      </c>
      <c r="D4574" s="5">
        <v>0.1</v>
      </c>
      <c r="E4574" s="5">
        <v>106.9</v>
      </c>
      <c r="F4574" s="5">
        <v>212.6</v>
      </c>
      <c r="G4574" s="5">
        <v>105.6</v>
      </c>
      <c r="H4574" s="5">
        <v>105.5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106.8</v>
      </c>
      <c r="D4575" s="5">
        <v>0.1</v>
      </c>
      <c r="E4575" s="5">
        <v>106.9</v>
      </c>
      <c r="F4575" s="5">
        <v>212.6</v>
      </c>
      <c r="G4575" s="5">
        <v>105.6</v>
      </c>
      <c r="H4575" s="5">
        <v>105.5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107.3</v>
      </c>
      <c r="D4576" s="5">
        <v>0.1</v>
      </c>
      <c r="E4576" s="5">
        <v>107.5</v>
      </c>
      <c r="F4576" s="5">
        <v>212.8</v>
      </c>
      <c r="G4576" s="5">
        <v>105.7</v>
      </c>
      <c r="H4576" s="5">
        <v>105.5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107.3</v>
      </c>
      <c r="D4577" s="5">
        <v>0.1</v>
      </c>
      <c r="E4577" s="5">
        <v>107.5</v>
      </c>
      <c r="F4577" s="5">
        <v>212.8</v>
      </c>
      <c r="G4577" s="5">
        <v>105.7</v>
      </c>
      <c r="H4577" s="5">
        <v>105.5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107.3</v>
      </c>
      <c r="D4578" s="5">
        <v>0.1</v>
      </c>
      <c r="E4578" s="5">
        <v>107.5</v>
      </c>
      <c r="F4578" s="5">
        <v>212.8</v>
      </c>
      <c r="G4578" s="5">
        <v>105.7</v>
      </c>
      <c r="H4578" s="5">
        <v>105.5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107.3</v>
      </c>
      <c r="D4579" s="5">
        <v>0.1</v>
      </c>
      <c r="E4579" s="5">
        <v>107.5</v>
      </c>
      <c r="F4579" s="5">
        <v>212.8</v>
      </c>
      <c r="G4579" s="5">
        <v>105.7</v>
      </c>
      <c r="H4579" s="5">
        <v>105.5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107.3</v>
      </c>
      <c r="D4580" s="5">
        <v>0.1</v>
      </c>
      <c r="E4580" s="5">
        <v>107.5</v>
      </c>
      <c r="F4580" s="5">
        <v>213</v>
      </c>
      <c r="G4580" s="5">
        <v>105.8</v>
      </c>
      <c r="H4580" s="5">
        <v>105.6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107.3</v>
      </c>
      <c r="D4581" s="5">
        <v>0.1</v>
      </c>
      <c r="E4581" s="5">
        <v>107.5</v>
      </c>
      <c r="F4581" s="5">
        <v>213</v>
      </c>
      <c r="G4581" s="5">
        <v>105.8</v>
      </c>
      <c r="H4581" s="5">
        <v>105.6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107.8</v>
      </c>
      <c r="D4582" s="5">
        <v>0.1</v>
      </c>
      <c r="E4582" s="5">
        <v>107.9</v>
      </c>
      <c r="F4582" s="5">
        <v>214.4</v>
      </c>
      <c r="G4582" s="5">
        <v>106.5</v>
      </c>
      <c r="H4582" s="5">
        <v>106.2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107.8</v>
      </c>
      <c r="D4583" s="5">
        <v>0.1</v>
      </c>
      <c r="E4583" s="5">
        <v>107.9</v>
      </c>
      <c r="F4583" s="5">
        <v>214.4</v>
      </c>
      <c r="G4583" s="5">
        <v>106.5</v>
      </c>
      <c r="H4583" s="5">
        <v>106.2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107.2</v>
      </c>
      <c r="D4584" s="5">
        <v>0.1</v>
      </c>
      <c r="E4584" s="5">
        <v>107.3</v>
      </c>
      <c r="F4584" s="5">
        <v>213.5</v>
      </c>
      <c r="G4584" s="5">
        <v>106</v>
      </c>
      <c r="H4584" s="5">
        <v>105.9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107.2</v>
      </c>
      <c r="D4585" s="5">
        <v>0.1</v>
      </c>
      <c r="E4585" s="5">
        <v>107.3</v>
      </c>
      <c r="F4585" s="5">
        <v>213.5</v>
      </c>
      <c r="G4585" s="5">
        <v>106</v>
      </c>
      <c r="H4585" s="5">
        <v>105.9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107.7</v>
      </c>
      <c r="D4586" s="5">
        <v>0.1</v>
      </c>
      <c r="E4586" s="5">
        <v>107.8</v>
      </c>
      <c r="F4586" s="5">
        <v>213.7</v>
      </c>
      <c r="G4586" s="5">
        <v>106.2</v>
      </c>
      <c r="H4586" s="5">
        <v>106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107.7</v>
      </c>
      <c r="D4587" s="5">
        <v>0.1</v>
      </c>
      <c r="E4587" s="5">
        <v>107.8</v>
      </c>
      <c r="F4587" s="5">
        <v>213.7</v>
      </c>
      <c r="G4587" s="5">
        <v>106.2</v>
      </c>
      <c r="H4587" s="5">
        <v>106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107.7</v>
      </c>
      <c r="D4588" s="5">
        <v>0.1</v>
      </c>
      <c r="E4588" s="5">
        <v>107.8</v>
      </c>
      <c r="F4588" s="5">
        <v>213.7</v>
      </c>
      <c r="G4588" s="5">
        <v>106.2</v>
      </c>
      <c r="H4588" s="5">
        <v>106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107.7</v>
      </c>
      <c r="D4589" s="5">
        <v>0.1</v>
      </c>
      <c r="E4589" s="5">
        <v>107.8</v>
      </c>
      <c r="F4589" s="5">
        <v>213.7</v>
      </c>
      <c r="G4589" s="5">
        <v>106.2</v>
      </c>
      <c r="H4589" s="5">
        <v>106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108.3</v>
      </c>
      <c r="D4590" s="5">
        <v>0.1</v>
      </c>
      <c r="E4590" s="5">
        <v>108.5</v>
      </c>
      <c r="F4590" s="5">
        <v>214.4</v>
      </c>
      <c r="G4590" s="5">
        <v>106.6</v>
      </c>
      <c r="H4590" s="5">
        <v>106.4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108.3</v>
      </c>
      <c r="D4591" s="5">
        <v>0.1</v>
      </c>
      <c r="E4591" s="5">
        <v>108.5</v>
      </c>
      <c r="F4591" s="5">
        <v>214.4</v>
      </c>
      <c r="G4591" s="5">
        <v>106.6</v>
      </c>
      <c r="H4591" s="5">
        <v>106.4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107.2</v>
      </c>
      <c r="D4592" s="5">
        <v>0.1</v>
      </c>
      <c r="E4592" s="5">
        <v>107.3</v>
      </c>
      <c r="F4592" s="5">
        <v>214</v>
      </c>
      <c r="G4592" s="5">
        <v>106.3</v>
      </c>
      <c r="H4592" s="5">
        <v>106.1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107.2</v>
      </c>
      <c r="D4593" s="5">
        <v>0.1</v>
      </c>
      <c r="E4593" s="5">
        <v>107.3</v>
      </c>
      <c r="F4593" s="5">
        <v>214</v>
      </c>
      <c r="G4593" s="5">
        <v>106.3</v>
      </c>
      <c r="H4593" s="5">
        <v>106.1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107</v>
      </c>
      <c r="D4594" s="5">
        <v>0.1</v>
      </c>
      <c r="E4594" s="5">
        <v>107.2</v>
      </c>
      <c r="F4594" s="5">
        <v>211.5</v>
      </c>
      <c r="G4594" s="5">
        <v>105</v>
      </c>
      <c r="H4594" s="5">
        <v>104.9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107</v>
      </c>
      <c r="D4595" s="5">
        <v>0.1</v>
      </c>
      <c r="E4595" s="5">
        <v>107.2</v>
      </c>
      <c r="F4595" s="5">
        <v>211.5</v>
      </c>
      <c r="G4595" s="5">
        <v>105</v>
      </c>
      <c r="H4595" s="5">
        <v>104.9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108.1</v>
      </c>
      <c r="D4596" s="5">
        <v>0.1</v>
      </c>
      <c r="E4596" s="5">
        <v>108.3</v>
      </c>
      <c r="F4596" s="5">
        <v>214.6</v>
      </c>
      <c r="G4596" s="5">
        <v>106.6</v>
      </c>
      <c r="H4596" s="5">
        <v>106.4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108.1</v>
      </c>
      <c r="D4597" s="5">
        <v>0.1</v>
      </c>
      <c r="E4597" s="5">
        <v>108.3</v>
      </c>
      <c r="F4597" s="5">
        <v>214.6</v>
      </c>
      <c r="G4597" s="5">
        <v>106.6</v>
      </c>
      <c r="H4597" s="5">
        <v>106.4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108.1</v>
      </c>
      <c r="D4598" s="5">
        <v>0.1</v>
      </c>
      <c r="E4598" s="5">
        <v>108.3</v>
      </c>
      <c r="F4598" s="5">
        <v>214.6</v>
      </c>
      <c r="G4598" s="5">
        <v>106.6</v>
      </c>
      <c r="H4598" s="5">
        <v>106.4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108.1</v>
      </c>
      <c r="D4599" s="5">
        <v>0.1</v>
      </c>
      <c r="E4599" s="5">
        <v>107.5</v>
      </c>
      <c r="F4599" s="5">
        <v>213.5</v>
      </c>
      <c r="G4599" s="5">
        <v>106</v>
      </c>
      <c r="H4599" s="5">
        <v>105.7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107.4</v>
      </c>
      <c r="D4600" s="5">
        <v>0.1</v>
      </c>
      <c r="E4600" s="5">
        <v>107.5</v>
      </c>
      <c r="F4600" s="5">
        <v>213.5</v>
      </c>
      <c r="G4600" s="5">
        <v>106</v>
      </c>
      <c r="H4600" s="5">
        <v>105.7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107.4</v>
      </c>
      <c r="D4601" s="5">
        <v>0.1</v>
      </c>
      <c r="E4601" s="5">
        <v>107.5</v>
      </c>
      <c r="F4601" s="5">
        <v>214.3</v>
      </c>
      <c r="G4601" s="5">
        <v>106.4</v>
      </c>
      <c r="H4601" s="5">
        <v>106.2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107.5</v>
      </c>
      <c r="D4602" s="5">
        <v>0.1</v>
      </c>
      <c r="E4602" s="5">
        <v>107.6</v>
      </c>
      <c r="F4602" s="5">
        <v>214.3</v>
      </c>
      <c r="G4602" s="5">
        <v>106.4</v>
      </c>
      <c r="H4602" s="5">
        <v>106.2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107.5</v>
      </c>
      <c r="D4603" s="5">
        <v>0.1</v>
      </c>
      <c r="E4603" s="5">
        <v>107.6</v>
      </c>
      <c r="F4603" s="5">
        <v>214.3</v>
      </c>
      <c r="G4603" s="5">
        <v>106.4</v>
      </c>
      <c r="H4603" s="5">
        <v>106.2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107.2</v>
      </c>
      <c r="D4604" s="5">
        <v>0.1</v>
      </c>
      <c r="E4604" s="5">
        <v>107.4</v>
      </c>
      <c r="F4604" s="5">
        <v>213.2</v>
      </c>
      <c r="G4604" s="5">
        <v>105.9</v>
      </c>
      <c r="H4604" s="5">
        <v>105.7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107.2</v>
      </c>
      <c r="D4605" s="5">
        <v>0.1</v>
      </c>
      <c r="E4605" s="5">
        <v>107.4</v>
      </c>
      <c r="F4605" s="5">
        <v>213.2</v>
      </c>
      <c r="G4605" s="5">
        <v>105.9</v>
      </c>
      <c r="H4605" s="5">
        <v>105.7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107.3</v>
      </c>
      <c r="D4606" s="5">
        <v>0.1</v>
      </c>
      <c r="E4606" s="5">
        <v>107.5</v>
      </c>
      <c r="F4606" s="5">
        <v>213.7</v>
      </c>
      <c r="G4606" s="5">
        <v>106.1</v>
      </c>
      <c r="H4606" s="5">
        <v>106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107.3</v>
      </c>
      <c r="D4607" s="5">
        <v>0.1</v>
      </c>
      <c r="E4607" s="5">
        <v>107.5</v>
      </c>
      <c r="F4607" s="5">
        <v>213.7</v>
      </c>
      <c r="G4607" s="5">
        <v>106.1</v>
      </c>
      <c r="H4607" s="5">
        <v>106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107.3</v>
      </c>
      <c r="D4608" s="5">
        <v>0.1</v>
      </c>
      <c r="E4608" s="5">
        <v>107.5</v>
      </c>
      <c r="F4608" s="5">
        <v>213.7</v>
      </c>
      <c r="G4608" s="5">
        <v>106.1</v>
      </c>
      <c r="H4608" s="5">
        <v>106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107.3</v>
      </c>
      <c r="D4609" s="5">
        <v>0.1</v>
      </c>
      <c r="E4609" s="5">
        <v>107.5</v>
      </c>
      <c r="F4609" s="5">
        <v>213.7</v>
      </c>
      <c r="G4609" s="5">
        <v>106.1</v>
      </c>
      <c r="H4609" s="5">
        <v>106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106.9</v>
      </c>
      <c r="D4610" s="5">
        <v>0.1</v>
      </c>
      <c r="E4610" s="5">
        <v>107</v>
      </c>
      <c r="F4610" s="5">
        <v>213</v>
      </c>
      <c r="G4610" s="5">
        <v>105.8</v>
      </c>
      <c r="H4610" s="5">
        <v>105.6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106.9</v>
      </c>
      <c r="D4611" s="5">
        <v>0.1</v>
      </c>
      <c r="E4611" s="5">
        <v>107</v>
      </c>
      <c r="F4611" s="5">
        <v>213</v>
      </c>
      <c r="G4611" s="5">
        <v>105.8</v>
      </c>
      <c r="H4611" s="5">
        <v>105.6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107.5</v>
      </c>
      <c r="D4612" s="5">
        <v>0.1</v>
      </c>
      <c r="E4612" s="5">
        <v>107.7</v>
      </c>
      <c r="F4612" s="5">
        <v>213.9</v>
      </c>
      <c r="G4612" s="5">
        <v>106.2</v>
      </c>
      <c r="H4612" s="5">
        <v>106.1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107.5</v>
      </c>
      <c r="D4613" s="5">
        <v>0.1</v>
      </c>
      <c r="E4613" s="5">
        <v>107.7</v>
      </c>
      <c r="F4613" s="5">
        <v>213.9</v>
      </c>
      <c r="G4613" s="5">
        <v>106.2</v>
      </c>
      <c r="H4613" s="5">
        <v>106.1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106.8</v>
      </c>
      <c r="D4614" s="5">
        <v>0.1</v>
      </c>
      <c r="E4614" s="5">
        <v>106.9</v>
      </c>
      <c r="F4614" s="5">
        <v>212.4</v>
      </c>
      <c r="G4614" s="5">
        <v>105.5</v>
      </c>
      <c r="H4614" s="5">
        <v>105.3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106.8</v>
      </c>
      <c r="D4615" s="5">
        <v>0.1</v>
      </c>
      <c r="E4615" s="5">
        <v>106.9</v>
      </c>
      <c r="F4615" s="5">
        <v>212.4</v>
      </c>
      <c r="G4615" s="5">
        <v>105.5</v>
      </c>
      <c r="H4615" s="5">
        <v>105.3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107.5</v>
      </c>
      <c r="D4616" s="5">
        <v>0.1</v>
      </c>
      <c r="E4616" s="5">
        <v>107.7</v>
      </c>
      <c r="F4616" s="5">
        <v>213.3</v>
      </c>
      <c r="G4616" s="5">
        <v>106</v>
      </c>
      <c r="H4616" s="5">
        <v>105.8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107.5</v>
      </c>
      <c r="D4617" s="5">
        <v>0.1</v>
      </c>
      <c r="E4617" s="5">
        <v>107.7</v>
      </c>
      <c r="F4617" s="5">
        <v>213.3</v>
      </c>
      <c r="G4617" s="5">
        <v>106</v>
      </c>
      <c r="H4617" s="5">
        <v>105.8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107.5</v>
      </c>
      <c r="D4618" s="5">
        <v>0.1</v>
      </c>
      <c r="E4618" s="5">
        <v>107.7</v>
      </c>
      <c r="F4618" s="5">
        <v>213.3</v>
      </c>
      <c r="G4618" s="5">
        <v>106</v>
      </c>
      <c r="H4618" s="5">
        <v>105.8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107.5</v>
      </c>
      <c r="D4619" s="5">
        <v>0.1</v>
      </c>
      <c r="E4619" s="5">
        <v>107.7</v>
      </c>
      <c r="F4619" s="5">
        <v>213.3</v>
      </c>
      <c r="G4619" s="5">
        <v>106</v>
      </c>
      <c r="H4619" s="5">
        <v>105.8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107.2</v>
      </c>
      <c r="D4620" s="5">
        <v>0.1</v>
      </c>
      <c r="E4620" s="5">
        <v>107.3</v>
      </c>
      <c r="F4620" s="5">
        <v>212.5</v>
      </c>
      <c r="G4620" s="5">
        <v>105.5</v>
      </c>
      <c r="H4620" s="5">
        <v>105.4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107.2</v>
      </c>
      <c r="D4621" s="5">
        <v>0.1</v>
      </c>
      <c r="E4621" s="5">
        <v>107.3</v>
      </c>
      <c r="F4621" s="5">
        <v>212.5</v>
      </c>
      <c r="G4621" s="5">
        <v>105.5</v>
      </c>
      <c r="H4621" s="5">
        <v>105.4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106.5</v>
      </c>
      <c r="D4622" s="5">
        <v>0.1</v>
      </c>
      <c r="E4622" s="5">
        <v>106.6</v>
      </c>
      <c r="F4622" s="5">
        <v>211.6</v>
      </c>
      <c r="G4622" s="5">
        <v>105.1</v>
      </c>
      <c r="H4622" s="5">
        <v>104.9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106.5</v>
      </c>
      <c r="D4623" s="5">
        <v>0.1</v>
      </c>
      <c r="E4623" s="5">
        <v>106.6</v>
      </c>
      <c r="F4623" s="5">
        <v>211.6</v>
      </c>
      <c r="G4623" s="5">
        <v>105.1</v>
      </c>
      <c r="H4623" s="5">
        <v>104.9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106.8</v>
      </c>
      <c r="D4624" s="5">
        <v>0.1</v>
      </c>
      <c r="E4624" s="5">
        <v>106.9</v>
      </c>
      <c r="F4624" s="5">
        <v>212.3</v>
      </c>
      <c r="G4624" s="5">
        <v>105.4</v>
      </c>
      <c r="H4624" s="5">
        <v>105.2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106.8</v>
      </c>
      <c r="D4625" s="5">
        <v>0.1</v>
      </c>
      <c r="E4625" s="5">
        <v>106.9</v>
      </c>
      <c r="F4625" s="5">
        <v>212.3</v>
      </c>
      <c r="G4625" s="5">
        <v>105.4</v>
      </c>
      <c r="H4625" s="5">
        <v>105.2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106.8</v>
      </c>
      <c r="D4626" s="5">
        <v>0.1</v>
      </c>
      <c r="E4626" s="5">
        <v>106.9</v>
      </c>
      <c r="F4626" s="5">
        <v>212.3</v>
      </c>
      <c r="G4626" s="5">
        <v>105.4</v>
      </c>
      <c r="H4626" s="5">
        <v>105.2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106.8</v>
      </c>
      <c r="D4627" s="5">
        <v>0.1</v>
      </c>
      <c r="E4627" s="5">
        <v>106.9</v>
      </c>
      <c r="F4627" s="5">
        <v>212.3</v>
      </c>
      <c r="G4627" s="5">
        <v>105.4</v>
      </c>
      <c r="H4627" s="5">
        <v>105.2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106.8</v>
      </c>
      <c r="D4628" s="5">
        <v>0.1</v>
      </c>
      <c r="E4628" s="5">
        <v>106.9</v>
      </c>
      <c r="F4628" s="5">
        <v>212.3</v>
      </c>
      <c r="G4628" s="5">
        <v>105.4</v>
      </c>
      <c r="H4628" s="5">
        <v>105.2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106.8</v>
      </c>
      <c r="D4629" s="5">
        <v>0.1</v>
      </c>
      <c r="E4629" s="5">
        <v>106.9</v>
      </c>
      <c r="F4629" s="5">
        <v>212.2</v>
      </c>
      <c r="G4629" s="5">
        <v>105.3</v>
      </c>
      <c r="H4629" s="5">
        <v>105.2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106.8</v>
      </c>
      <c r="D4630" s="5">
        <v>0.1</v>
      </c>
      <c r="E4630" s="5">
        <v>106.9</v>
      </c>
      <c r="F4630" s="5">
        <v>212.2</v>
      </c>
      <c r="G4630" s="5">
        <v>105.3</v>
      </c>
      <c r="H4630" s="5">
        <v>105.2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107.1</v>
      </c>
      <c r="D4631" s="5">
        <v>0.1</v>
      </c>
      <c r="E4631" s="5">
        <v>107.2</v>
      </c>
      <c r="F4631" s="5">
        <v>213</v>
      </c>
      <c r="G4631" s="5">
        <v>105.7</v>
      </c>
      <c r="H4631" s="5">
        <v>105.6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107.1</v>
      </c>
      <c r="D4632" s="5">
        <v>0.1</v>
      </c>
      <c r="E4632" s="5">
        <v>107.2</v>
      </c>
      <c r="F4632" s="5">
        <v>213</v>
      </c>
      <c r="G4632" s="5">
        <v>105.7</v>
      </c>
      <c r="H4632" s="5">
        <v>105.6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106.4</v>
      </c>
      <c r="D4633" s="5">
        <v>0.1</v>
      </c>
      <c r="E4633" s="5">
        <v>106.6</v>
      </c>
      <c r="F4633" s="5">
        <v>211.6</v>
      </c>
      <c r="G4633" s="5">
        <v>105.2</v>
      </c>
      <c r="H4633" s="5">
        <v>105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106.4</v>
      </c>
      <c r="D4634" s="5">
        <v>0.1</v>
      </c>
      <c r="E4634" s="5">
        <v>106.6</v>
      </c>
      <c r="F4634" s="5">
        <v>211.6</v>
      </c>
      <c r="G4634" s="5">
        <v>105.2</v>
      </c>
      <c r="H4634" s="5">
        <v>105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106.8</v>
      </c>
      <c r="D4635" s="5">
        <v>0.1</v>
      </c>
      <c r="E4635" s="5">
        <v>106.9</v>
      </c>
      <c r="F4635" s="5">
        <v>211.9</v>
      </c>
      <c r="G4635" s="5">
        <v>105.3</v>
      </c>
      <c r="H4635" s="5">
        <v>105.2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106.8</v>
      </c>
      <c r="D4636" s="5">
        <v>0.1</v>
      </c>
      <c r="E4636" s="5">
        <v>106.9</v>
      </c>
      <c r="F4636" s="5">
        <v>211.9</v>
      </c>
      <c r="G4636" s="5">
        <v>105.3</v>
      </c>
      <c r="H4636" s="5">
        <v>105.2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106.8</v>
      </c>
      <c r="D4637" s="5">
        <v>0.1</v>
      </c>
      <c r="E4637" s="5">
        <v>106.9</v>
      </c>
      <c r="F4637" s="5">
        <v>211.9</v>
      </c>
      <c r="G4637" s="5">
        <v>105.3</v>
      </c>
      <c r="H4637" s="5">
        <v>105.2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106.8</v>
      </c>
      <c r="D4638" s="5">
        <v>0.1</v>
      </c>
      <c r="E4638" s="5">
        <v>106.9</v>
      </c>
      <c r="F4638" s="5">
        <v>211.9</v>
      </c>
      <c r="G4638" s="5">
        <v>105.3</v>
      </c>
      <c r="H4638" s="5">
        <v>105.2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105.3</v>
      </c>
      <c r="D4639" s="5">
        <v>0.1</v>
      </c>
      <c r="E4639" s="5">
        <v>105.5</v>
      </c>
      <c r="F4639" s="5">
        <v>210.1</v>
      </c>
      <c r="G4639" s="5">
        <v>104.3</v>
      </c>
      <c r="H4639" s="5">
        <v>104.3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105.3</v>
      </c>
      <c r="D4640" s="5">
        <v>0.1</v>
      </c>
      <c r="E4640" s="5">
        <v>105.5</v>
      </c>
      <c r="F4640" s="5">
        <v>210.1</v>
      </c>
      <c r="G4640" s="5">
        <v>104.3</v>
      </c>
      <c r="H4640" s="5">
        <v>104.3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105.3</v>
      </c>
      <c r="D4641" s="5">
        <v>0.1</v>
      </c>
      <c r="E4641" s="5">
        <v>105.5</v>
      </c>
      <c r="F4641" s="5">
        <v>210.1</v>
      </c>
      <c r="G4641" s="5">
        <v>104.3</v>
      </c>
      <c r="H4641" s="5">
        <v>104.3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105.3</v>
      </c>
      <c r="D4642" s="5">
        <v>0.1</v>
      </c>
      <c r="E4642" s="5">
        <v>105.5</v>
      </c>
      <c r="F4642" s="5">
        <v>210.1</v>
      </c>
      <c r="G4642" s="5">
        <v>104.3</v>
      </c>
      <c r="H4642" s="5">
        <v>104.3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104</v>
      </c>
      <c r="D4643" s="5">
        <v>0.1</v>
      </c>
      <c r="E4643" s="5">
        <v>105.5</v>
      </c>
      <c r="F4643" s="5">
        <v>210.1</v>
      </c>
      <c r="G4643" s="5">
        <v>104.3</v>
      </c>
      <c r="H4643" s="5">
        <v>104.3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104</v>
      </c>
      <c r="D4644" s="5">
        <v>0.1</v>
      </c>
      <c r="E4644" s="5">
        <v>104.1</v>
      </c>
      <c r="F4644" s="5">
        <v>206.9</v>
      </c>
      <c r="G4644" s="5">
        <v>102.7</v>
      </c>
      <c r="H4644" s="5">
        <v>102.6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104</v>
      </c>
      <c r="D4645" s="5">
        <v>0.1</v>
      </c>
      <c r="E4645" s="5">
        <v>104.1</v>
      </c>
      <c r="F4645" s="5">
        <v>206.9</v>
      </c>
      <c r="G4645" s="5">
        <v>102.7</v>
      </c>
      <c r="H4645" s="5">
        <v>102.6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104.9</v>
      </c>
      <c r="D4646" s="5">
        <v>0.1</v>
      </c>
      <c r="E4646" s="5">
        <v>105</v>
      </c>
      <c r="F4646" s="5">
        <v>208.6</v>
      </c>
      <c r="G4646" s="5">
        <v>103.6</v>
      </c>
      <c r="H4646" s="5">
        <v>103.5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104.9</v>
      </c>
      <c r="D4647" s="5">
        <v>0.1</v>
      </c>
      <c r="E4647" s="5">
        <v>105</v>
      </c>
      <c r="F4647" s="5">
        <v>208.6</v>
      </c>
      <c r="G4647" s="5">
        <v>103.6</v>
      </c>
      <c r="H4647" s="5">
        <v>103.5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104.9</v>
      </c>
      <c r="D4648" s="5">
        <v>0.1</v>
      </c>
      <c r="E4648" s="5">
        <v>105</v>
      </c>
      <c r="F4648" s="5">
        <v>208.6</v>
      </c>
      <c r="G4648" s="5">
        <v>103.6</v>
      </c>
      <c r="H4648" s="5">
        <v>103.5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104.9</v>
      </c>
      <c r="D4649" s="5">
        <v>0.1</v>
      </c>
      <c r="E4649" s="5">
        <v>105</v>
      </c>
      <c r="F4649" s="5">
        <v>208.6</v>
      </c>
      <c r="G4649" s="5">
        <v>103.6</v>
      </c>
      <c r="H4649" s="5">
        <v>103.5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105</v>
      </c>
      <c r="D4650" s="5">
        <v>0.1</v>
      </c>
      <c r="E4650" s="5">
        <v>105.2</v>
      </c>
      <c r="F4650" s="5">
        <v>208.3</v>
      </c>
      <c r="G4650" s="5">
        <v>103.5</v>
      </c>
      <c r="H4650" s="5">
        <v>103.4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105</v>
      </c>
      <c r="D4651" s="5">
        <v>0.1</v>
      </c>
      <c r="E4651" s="5">
        <v>105.2</v>
      </c>
      <c r="F4651" s="5">
        <v>208.3</v>
      </c>
      <c r="G4651" s="5">
        <v>103.5</v>
      </c>
      <c r="H4651" s="5">
        <v>103.4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105.9</v>
      </c>
      <c r="D4652" s="5">
        <v>0.1</v>
      </c>
      <c r="E4652" s="5">
        <v>106.1</v>
      </c>
      <c r="F4652" s="5">
        <v>210.4</v>
      </c>
      <c r="G4652" s="5">
        <v>104.5</v>
      </c>
      <c r="H4652" s="5">
        <v>104.1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105.9</v>
      </c>
      <c r="D4653" s="5">
        <v>0.1</v>
      </c>
      <c r="E4653" s="5">
        <v>106.1</v>
      </c>
      <c r="F4653" s="5">
        <v>210.4</v>
      </c>
      <c r="G4653" s="5">
        <v>104.5</v>
      </c>
      <c r="H4653" s="5">
        <v>104.1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105.7</v>
      </c>
      <c r="D4654" s="5">
        <v>0.1</v>
      </c>
      <c r="E4654" s="5">
        <v>105.9</v>
      </c>
      <c r="F4654" s="5">
        <v>209.6</v>
      </c>
      <c r="G4654" s="5">
        <v>104.1</v>
      </c>
      <c r="H4654" s="5">
        <v>103.9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105.7</v>
      </c>
      <c r="D4655" s="5">
        <v>0.1</v>
      </c>
      <c r="E4655" s="5">
        <v>105.9</v>
      </c>
      <c r="F4655" s="5">
        <v>209.6</v>
      </c>
      <c r="G4655" s="5">
        <v>104.1</v>
      </c>
      <c r="H4655" s="5">
        <v>103.9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105.9</v>
      </c>
      <c r="D4656" s="5">
        <v>0.1</v>
      </c>
      <c r="E4656" s="5">
        <v>106</v>
      </c>
      <c r="F4656" s="5">
        <v>210.7</v>
      </c>
      <c r="G4656" s="5">
        <v>104.6</v>
      </c>
      <c r="H4656" s="5">
        <v>104.5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105.9</v>
      </c>
      <c r="D4657" s="5">
        <v>0.1</v>
      </c>
      <c r="E4657" s="5">
        <v>106</v>
      </c>
      <c r="F4657" s="5">
        <v>210.7</v>
      </c>
      <c r="G4657" s="5">
        <v>104.6</v>
      </c>
      <c r="H4657" s="5">
        <v>104.5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105.9</v>
      </c>
      <c r="D4658" s="5">
        <v>0.1</v>
      </c>
      <c r="E4658" s="5">
        <v>106</v>
      </c>
      <c r="F4658" s="5">
        <v>210.7</v>
      </c>
      <c r="G4658" s="5">
        <v>104.6</v>
      </c>
      <c r="H4658" s="5">
        <v>104.5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105.9</v>
      </c>
      <c r="D4659" s="5">
        <v>0.1</v>
      </c>
      <c r="E4659" s="5">
        <v>105.6</v>
      </c>
      <c r="F4659" s="5">
        <v>209</v>
      </c>
      <c r="G4659" s="5">
        <v>103.8</v>
      </c>
      <c r="H4659" s="5">
        <v>103.7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105.4</v>
      </c>
      <c r="D4660" s="5">
        <v>0.1</v>
      </c>
      <c r="E4660" s="5">
        <v>105.6</v>
      </c>
      <c r="F4660" s="5">
        <v>209</v>
      </c>
      <c r="G4660" s="5">
        <v>103.8</v>
      </c>
      <c r="H4660" s="5">
        <v>103.7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105.4</v>
      </c>
      <c r="D4661" s="5">
        <v>0.1</v>
      </c>
      <c r="E4661" s="5">
        <v>104.9</v>
      </c>
      <c r="F4661" s="5">
        <v>208</v>
      </c>
      <c r="G4661" s="5">
        <v>103.3</v>
      </c>
      <c r="H4661" s="5">
        <v>103.1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104.7</v>
      </c>
      <c r="D4662" s="5">
        <v>0.1</v>
      </c>
      <c r="E4662" s="5">
        <v>104.9</v>
      </c>
      <c r="F4662" s="5">
        <v>208</v>
      </c>
      <c r="G4662" s="5">
        <v>103.3</v>
      </c>
      <c r="H4662" s="5">
        <v>103.1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104.7</v>
      </c>
      <c r="D4663" s="5">
        <v>0.1</v>
      </c>
      <c r="E4663" s="5">
        <v>105.9</v>
      </c>
      <c r="F4663" s="5">
        <v>209</v>
      </c>
      <c r="G4663" s="5">
        <v>103.8</v>
      </c>
      <c r="H4663" s="5">
        <v>103.7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105.8</v>
      </c>
      <c r="D4664" s="5">
        <v>0.1</v>
      </c>
      <c r="E4664" s="5">
        <v>105.9</v>
      </c>
      <c r="F4664" s="5">
        <v>209</v>
      </c>
      <c r="G4664" s="5">
        <v>103.8</v>
      </c>
      <c r="H4664" s="5">
        <v>103.7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105.8</v>
      </c>
      <c r="D4665" s="5">
        <v>0.1</v>
      </c>
      <c r="E4665" s="5">
        <v>105.9</v>
      </c>
      <c r="F4665" s="5">
        <v>209</v>
      </c>
      <c r="G4665" s="5">
        <v>103.8</v>
      </c>
      <c r="H4665" s="5">
        <v>103.9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105.4</v>
      </c>
      <c r="D4666" s="5">
        <v>0.1</v>
      </c>
      <c r="E4666" s="5">
        <v>105.6</v>
      </c>
      <c r="F4666" s="5">
        <v>209.5</v>
      </c>
      <c r="G4666" s="5">
        <v>104</v>
      </c>
      <c r="H4666" s="5">
        <v>103.9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105.4</v>
      </c>
      <c r="D4667" s="5">
        <v>0.1</v>
      </c>
      <c r="E4667" s="5">
        <v>105.6</v>
      </c>
      <c r="F4667" s="5">
        <v>209.5</v>
      </c>
      <c r="G4667" s="5">
        <v>104</v>
      </c>
      <c r="H4667" s="5">
        <v>103.9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105.4</v>
      </c>
      <c r="D4668" s="5">
        <v>0.1</v>
      </c>
      <c r="E4668" s="5">
        <v>105.6</v>
      </c>
      <c r="F4668" s="5">
        <v>209.5</v>
      </c>
      <c r="G4668" s="5">
        <v>104</v>
      </c>
      <c r="H4668" s="5">
        <v>103.9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105.7</v>
      </c>
      <c r="D4669" s="5">
        <v>0.1</v>
      </c>
      <c r="E4669" s="5">
        <v>105.8</v>
      </c>
      <c r="F4669" s="5">
        <v>209.3</v>
      </c>
      <c r="G4669" s="5">
        <v>104</v>
      </c>
      <c r="H4669" s="5">
        <v>103.9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105.7</v>
      </c>
      <c r="D4670" s="5">
        <v>0.1</v>
      </c>
      <c r="E4670" s="5">
        <v>105.8</v>
      </c>
      <c r="F4670" s="5">
        <v>209.3</v>
      </c>
      <c r="G4670" s="5">
        <v>104</v>
      </c>
      <c r="H4670" s="5">
        <v>103.9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105.3</v>
      </c>
      <c r="D4671" s="5">
        <v>0.1</v>
      </c>
      <c r="E4671" s="5">
        <v>105.4</v>
      </c>
      <c r="F4671" s="5">
        <v>209.5</v>
      </c>
      <c r="G4671" s="5">
        <v>104</v>
      </c>
      <c r="H4671" s="5">
        <v>103.9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105.3</v>
      </c>
      <c r="D4672" s="5">
        <v>0.1</v>
      </c>
      <c r="E4672" s="5">
        <v>105.4</v>
      </c>
      <c r="F4672" s="5">
        <v>209.5</v>
      </c>
      <c r="G4672" s="5">
        <v>104</v>
      </c>
      <c r="H4672" s="5">
        <v>103.9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104.7</v>
      </c>
      <c r="D4673" s="5">
        <v>0.1</v>
      </c>
      <c r="E4673" s="5">
        <v>104.9</v>
      </c>
      <c r="F4673" s="5">
        <v>208.3</v>
      </c>
      <c r="G4673" s="5">
        <v>103.4</v>
      </c>
      <c r="H4673" s="5">
        <v>103.3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104.7</v>
      </c>
      <c r="D4674" s="5">
        <v>0.1</v>
      </c>
      <c r="E4674" s="5">
        <v>104.9</v>
      </c>
      <c r="F4674" s="5">
        <v>208.3</v>
      </c>
      <c r="G4674" s="5">
        <v>103.4</v>
      </c>
      <c r="H4674" s="5">
        <v>103.3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104.9</v>
      </c>
      <c r="D4675" s="5">
        <v>0.1</v>
      </c>
      <c r="E4675" s="5">
        <v>105</v>
      </c>
      <c r="F4675" s="5">
        <v>208.3</v>
      </c>
      <c r="G4675" s="5">
        <v>103.5</v>
      </c>
      <c r="H4675" s="5">
        <v>103.3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104.9</v>
      </c>
      <c r="D4676" s="5">
        <v>0.1</v>
      </c>
      <c r="E4676" s="5">
        <v>105</v>
      </c>
      <c r="F4676" s="5">
        <v>208.3</v>
      </c>
      <c r="G4676" s="5">
        <v>103.5</v>
      </c>
      <c r="H4676" s="5">
        <v>103.3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104.9</v>
      </c>
      <c r="D4677" s="5">
        <v>0.1</v>
      </c>
      <c r="E4677" s="5">
        <v>105</v>
      </c>
      <c r="F4677" s="5">
        <v>208.3</v>
      </c>
      <c r="G4677" s="5">
        <v>103.5</v>
      </c>
      <c r="H4677" s="5">
        <v>103.3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104.9</v>
      </c>
      <c r="D4678" s="5">
        <v>0.1</v>
      </c>
      <c r="E4678" s="5">
        <v>105</v>
      </c>
      <c r="F4678" s="5">
        <v>208.3</v>
      </c>
      <c r="G4678" s="5">
        <v>103.5</v>
      </c>
      <c r="H4678" s="5">
        <v>103.3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105.8</v>
      </c>
      <c r="D4679" s="5">
        <v>0.1</v>
      </c>
      <c r="E4679" s="5">
        <v>105.9</v>
      </c>
      <c r="F4679" s="5">
        <v>209.6</v>
      </c>
      <c r="G4679" s="5">
        <v>104.1</v>
      </c>
      <c r="H4679" s="5">
        <v>103.9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105.8</v>
      </c>
      <c r="D4680" s="5">
        <v>0.1</v>
      </c>
      <c r="E4680" s="5">
        <v>105.9</v>
      </c>
      <c r="F4680" s="5">
        <v>209.6</v>
      </c>
      <c r="G4680" s="5">
        <v>104.1</v>
      </c>
      <c r="H4680" s="5">
        <v>103.9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105.6</v>
      </c>
      <c r="D4681" s="5">
        <v>0.1</v>
      </c>
      <c r="E4681" s="5">
        <v>105.7</v>
      </c>
      <c r="F4681" s="5">
        <v>209.1</v>
      </c>
      <c r="G4681" s="5">
        <v>103.9</v>
      </c>
      <c r="H4681" s="5">
        <v>103.7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105.6</v>
      </c>
      <c r="D4682" s="5">
        <v>0.1</v>
      </c>
      <c r="E4682" s="5">
        <v>105.7</v>
      </c>
      <c r="F4682" s="5">
        <v>209.1</v>
      </c>
      <c r="G4682" s="5">
        <v>103.9</v>
      </c>
      <c r="H4682" s="5">
        <v>103.7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105.9</v>
      </c>
      <c r="D4683" s="5">
        <v>0.1</v>
      </c>
      <c r="E4683" s="5">
        <v>106</v>
      </c>
      <c r="F4683" s="5">
        <v>210</v>
      </c>
      <c r="G4683" s="5">
        <v>104.3</v>
      </c>
      <c r="H4683" s="5">
        <v>104.2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105.9</v>
      </c>
      <c r="D4684" s="5">
        <v>0.1</v>
      </c>
      <c r="E4684" s="5">
        <v>106</v>
      </c>
      <c r="F4684" s="5">
        <v>210</v>
      </c>
      <c r="G4684" s="5">
        <v>104.3</v>
      </c>
      <c r="H4684" s="5">
        <v>104.2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104.4</v>
      </c>
      <c r="D4685" s="5">
        <v>0.1</v>
      </c>
      <c r="E4685" s="5">
        <v>104.6</v>
      </c>
      <c r="F4685" s="5">
        <v>208.5</v>
      </c>
      <c r="G4685" s="5">
        <v>103.5</v>
      </c>
      <c r="H4685" s="5">
        <v>103.3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104.4</v>
      </c>
      <c r="D4686" s="5">
        <v>0.1</v>
      </c>
      <c r="E4686" s="5">
        <v>104.6</v>
      </c>
      <c r="F4686" s="5">
        <v>208.5</v>
      </c>
      <c r="G4686" s="5">
        <v>103.5</v>
      </c>
      <c r="H4686" s="5">
        <v>103.3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104.4</v>
      </c>
      <c r="D4687" s="5">
        <v>0.1</v>
      </c>
      <c r="E4687" s="5">
        <v>104.6</v>
      </c>
      <c r="F4687" s="5">
        <v>208.5</v>
      </c>
      <c r="G4687" s="5">
        <v>103.5</v>
      </c>
      <c r="H4687" s="5">
        <v>103.3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104.4</v>
      </c>
      <c r="D4688" s="5">
        <v>0.1</v>
      </c>
      <c r="E4688" s="5">
        <v>104.6</v>
      </c>
      <c r="F4688" s="5">
        <v>208.5</v>
      </c>
      <c r="G4688" s="5">
        <v>103.5</v>
      </c>
      <c r="H4688" s="5">
        <v>103.3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104.8</v>
      </c>
      <c r="D4689" s="5">
        <v>0.1</v>
      </c>
      <c r="E4689" s="5">
        <v>104.9</v>
      </c>
      <c r="F4689" s="5">
        <v>208.3</v>
      </c>
      <c r="G4689" s="5">
        <v>103.4</v>
      </c>
      <c r="H4689" s="5">
        <v>103.2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104.8</v>
      </c>
      <c r="D4690" s="5">
        <v>0.1</v>
      </c>
      <c r="E4690" s="5">
        <v>104.9</v>
      </c>
      <c r="F4690" s="5">
        <v>208.3</v>
      </c>
      <c r="G4690" s="5">
        <v>103.4</v>
      </c>
      <c r="H4690" s="5">
        <v>103.2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104.8</v>
      </c>
      <c r="D4691" s="5">
        <v>0.1</v>
      </c>
      <c r="E4691" s="5">
        <v>104.9</v>
      </c>
      <c r="F4691" s="5">
        <v>207.8</v>
      </c>
      <c r="G4691" s="5">
        <v>103.2</v>
      </c>
      <c r="H4691" s="5">
        <v>103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104.8</v>
      </c>
      <c r="D4692" s="5">
        <v>0.1</v>
      </c>
      <c r="E4692" s="5">
        <v>104.9</v>
      </c>
      <c r="F4692" s="5">
        <v>207.8</v>
      </c>
      <c r="G4692" s="5">
        <v>103.2</v>
      </c>
      <c r="H4692" s="5">
        <v>103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104.4</v>
      </c>
      <c r="D4693" s="5">
        <v>0.1</v>
      </c>
      <c r="E4693" s="5">
        <v>104.6</v>
      </c>
      <c r="F4693" s="5">
        <v>207.7</v>
      </c>
      <c r="G4693" s="5">
        <v>103.1</v>
      </c>
      <c r="H4693" s="5">
        <v>103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104.4</v>
      </c>
      <c r="D4694" s="5">
        <v>0.1</v>
      </c>
      <c r="E4694" s="5">
        <v>104.6</v>
      </c>
      <c r="F4694" s="5">
        <v>207.7</v>
      </c>
      <c r="G4694" s="5">
        <v>103.1</v>
      </c>
      <c r="H4694" s="5">
        <v>103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105.2</v>
      </c>
      <c r="D4695" s="5">
        <v>0.1</v>
      </c>
      <c r="E4695" s="5">
        <v>105.3</v>
      </c>
      <c r="F4695" s="5">
        <v>208.8</v>
      </c>
      <c r="G4695" s="5">
        <v>103.7</v>
      </c>
      <c r="H4695" s="5">
        <v>103.6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105.2</v>
      </c>
      <c r="D4696" s="5">
        <v>0.1</v>
      </c>
      <c r="E4696" s="5">
        <v>105.3</v>
      </c>
      <c r="F4696" s="5">
        <v>208.8</v>
      </c>
      <c r="G4696" s="5">
        <v>103.7</v>
      </c>
      <c r="H4696" s="5">
        <v>103.6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105.2</v>
      </c>
      <c r="D4697" s="5">
        <v>0.1</v>
      </c>
      <c r="E4697" s="5">
        <v>105.3</v>
      </c>
      <c r="F4697" s="5">
        <v>208.8</v>
      </c>
      <c r="G4697" s="5">
        <v>103.7</v>
      </c>
      <c r="H4697" s="5">
        <v>103.6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105.2</v>
      </c>
      <c r="D4698" s="5">
        <v>0.1</v>
      </c>
      <c r="E4698" s="5">
        <v>105.3</v>
      </c>
      <c r="F4698" s="5">
        <v>208.8</v>
      </c>
      <c r="G4698" s="5">
        <v>103.7</v>
      </c>
      <c r="H4698" s="5">
        <v>103.6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105.6</v>
      </c>
      <c r="D4699" s="5">
        <v>0.1</v>
      </c>
      <c r="E4699" s="5">
        <v>105.8</v>
      </c>
      <c r="F4699" s="5">
        <v>208.9</v>
      </c>
      <c r="G4699" s="5">
        <v>103.8</v>
      </c>
      <c r="H4699" s="5">
        <v>103.7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105.6</v>
      </c>
      <c r="D4700" s="5">
        <v>0.1</v>
      </c>
      <c r="E4700" s="5">
        <v>105.8</v>
      </c>
      <c r="F4700" s="5">
        <v>208.9</v>
      </c>
      <c r="G4700" s="5">
        <v>103.8</v>
      </c>
      <c r="H4700" s="5">
        <v>103.7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104.7</v>
      </c>
      <c r="D4701" s="5">
        <v>0.1</v>
      </c>
      <c r="E4701" s="5">
        <v>104.9</v>
      </c>
      <c r="F4701" s="5">
        <v>208</v>
      </c>
      <c r="G4701" s="5">
        <v>103.3</v>
      </c>
      <c r="H4701" s="5">
        <v>103.2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104.7</v>
      </c>
      <c r="D4702" s="5">
        <v>0.1</v>
      </c>
      <c r="E4702" s="5">
        <v>104.9</v>
      </c>
      <c r="F4702" s="5">
        <v>208</v>
      </c>
      <c r="G4702" s="5">
        <v>103.3</v>
      </c>
      <c r="H4702" s="5">
        <v>103.2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105</v>
      </c>
      <c r="D4703" s="5">
        <v>0.1</v>
      </c>
      <c r="E4703" s="5">
        <v>105.1</v>
      </c>
      <c r="F4703" s="5">
        <v>208.3</v>
      </c>
      <c r="G4703" s="5">
        <v>103.5</v>
      </c>
      <c r="H4703" s="5">
        <v>103.3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105</v>
      </c>
      <c r="D4704" s="5">
        <v>0.1</v>
      </c>
      <c r="E4704" s="5">
        <v>105.1</v>
      </c>
      <c r="F4704" s="5">
        <v>208.3</v>
      </c>
      <c r="G4704" s="5">
        <v>103.5</v>
      </c>
      <c r="H4704" s="5">
        <v>103.3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104.6</v>
      </c>
      <c r="D4705" s="5">
        <v>0.1</v>
      </c>
      <c r="E4705" s="5">
        <v>104.6</v>
      </c>
      <c r="F4705" s="5">
        <v>207.3</v>
      </c>
      <c r="G4705" s="5">
        <v>102.9</v>
      </c>
      <c r="H4705" s="5">
        <v>102.7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104.6</v>
      </c>
      <c r="D4706" s="5">
        <v>0.1</v>
      </c>
      <c r="E4706" s="5">
        <v>104.6</v>
      </c>
      <c r="F4706" s="5">
        <v>207.3</v>
      </c>
      <c r="G4706" s="5">
        <v>102.9</v>
      </c>
      <c r="H4706" s="5">
        <v>102.7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104.6</v>
      </c>
      <c r="D4707" s="5">
        <v>0.1</v>
      </c>
      <c r="E4707" s="5">
        <v>104.6</v>
      </c>
      <c r="F4707" s="5">
        <v>207.3</v>
      </c>
      <c r="G4707" s="5">
        <v>102.9</v>
      </c>
      <c r="H4707" s="5">
        <v>102.7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104.6</v>
      </c>
      <c r="D4708" s="5">
        <v>0.1</v>
      </c>
      <c r="E4708" s="5">
        <v>104.6</v>
      </c>
      <c r="F4708" s="5">
        <v>207.3</v>
      </c>
      <c r="G4708" s="5">
        <v>102.9</v>
      </c>
      <c r="H4708" s="5">
        <v>102.7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105.9</v>
      </c>
      <c r="D4709" s="5">
        <v>0.1</v>
      </c>
      <c r="E4709" s="5">
        <v>106.1</v>
      </c>
      <c r="F4709" s="5">
        <v>210.1</v>
      </c>
      <c r="G4709" s="5">
        <v>104.3</v>
      </c>
      <c r="H4709" s="5">
        <v>104.2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105.9</v>
      </c>
      <c r="D4710" s="5">
        <v>0.1</v>
      </c>
      <c r="E4710" s="5">
        <v>106.1</v>
      </c>
      <c r="F4710" s="5">
        <v>210.1</v>
      </c>
      <c r="G4710" s="5">
        <v>104.3</v>
      </c>
      <c r="H4710" s="5">
        <v>104.2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105.6</v>
      </c>
      <c r="D4711" s="5">
        <v>0.1</v>
      </c>
      <c r="E4711" s="5">
        <v>105.7</v>
      </c>
      <c r="F4711" s="5">
        <v>210.4</v>
      </c>
      <c r="G4711" s="5">
        <v>104.5</v>
      </c>
      <c r="H4711" s="5">
        <v>104.3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105.6</v>
      </c>
      <c r="D4712" s="5">
        <v>0.1</v>
      </c>
      <c r="E4712" s="5">
        <v>105.7</v>
      </c>
      <c r="F4712" s="5">
        <v>210.4</v>
      </c>
      <c r="G4712" s="5">
        <v>104.5</v>
      </c>
      <c r="H4712" s="5">
        <v>104.3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105.3</v>
      </c>
      <c r="D4713" s="5">
        <v>0.1</v>
      </c>
      <c r="E4713" s="5">
        <v>105.5</v>
      </c>
      <c r="F4713" s="5">
        <v>209.2</v>
      </c>
      <c r="G4713" s="5">
        <v>103.9</v>
      </c>
      <c r="H4713" s="5">
        <v>103.7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105.3</v>
      </c>
      <c r="D4714" s="5">
        <v>0.1</v>
      </c>
      <c r="E4714" s="5">
        <v>105.5</v>
      </c>
      <c r="F4714" s="5">
        <v>209.2</v>
      </c>
      <c r="G4714" s="5">
        <v>103.9</v>
      </c>
      <c r="H4714" s="5">
        <v>103.7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105.1</v>
      </c>
      <c r="D4715" s="5">
        <v>0.1</v>
      </c>
      <c r="E4715" s="5">
        <v>105.3</v>
      </c>
      <c r="F4715" s="5">
        <v>208.6</v>
      </c>
      <c r="G4715" s="5">
        <v>103.6</v>
      </c>
      <c r="H4715" s="5">
        <v>103.5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105.1</v>
      </c>
      <c r="D4716" s="5">
        <v>0.1</v>
      </c>
      <c r="E4716" s="5">
        <v>105.3</v>
      </c>
      <c r="F4716" s="5">
        <v>208.6</v>
      </c>
      <c r="G4716" s="5">
        <v>103.6</v>
      </c>
      <c r="H4716" s="5">
        <v>103.5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105.1</v>
      </c>
      <c r="D4717" s="5">
        <v>0.1</v>
      </c>
      <c r="E4717" s="5">
        <v>105.3</v>
      </c>
      <c r="F4717" s="5">
        <v>208.6</v>
      </c>
      <c r="G4717" s="5">
        <v>103.6</v>
      </c>
      <c r="H4717" s="5">
        <v>103.5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105.1</v>
      </c>
      <c r="D4718" s="5">
        <v>0.1</v>
      </c>
      <c r="E4718" s="5">
        <v>105.3</v>
      </c>
      <c r="F4718" s="5">
        <v>208.6</v>
      </c>
      <c r="G4718" s="5">
        <v>103.6</v>
      </c>
      <c r="H4718" s="5">
        <v>103.5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105.6</v>
      </c>
      <c r="D4719" s="5">
        <v>0.1</v>
      </c>
      <c r="E4719" s="5">
        <v>105.8</v>
      </c>
      <c r="F4719" s="5">
        <v>208.8</v>
      </c>
      <c r="G4719" s="5">
        <v>103.8</v>
      </c>
      <c r="H4719" s="5">
        <v>103.6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105.6</v>
      </c>
      <c r="D4720" s="5">
        <v>0.1</v>
      </c>
      <c r="E4720" s="5">
        <v>105.8</v>
      </c>
      <c r="F4720" s="5">
        <v>208.8</v>
      </c>
      <c r="G4720" s="5">
        <v>103.8</v>
      </c>
      <c r="H4720" s="5">
        <v>103.6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104.3</v>
      </c>
      <c r="D4721" s="5">
        <v>0.1</v>
      </c>
      <c r="E4721" s="5">
        <v>104.4</v>
      </c>
      <c r="F4721" s="5">
        <v>208</v>
      </c>
      <c r="G4721" s="5">
        <v>103.2</v>
      </c>
      <c r="H4721" s="5">
        <v>103.1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104.3</v>
      </c>
      <c r="D4722" s="5">
        <v>0.1</v>
      </c>
      <c r="E4722" s="5">
        <v>104.4</v>
      </c>
      <c r="F4722" s="5">
        <v>208</v>
      </c>
      <c r="G4722" s="5">
        <v>103.2</v>
      </c>
      <c r="H4722" s="5">
        <v>103.1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104.6</v>
      </c>
      <c r="D4723" s="5">
        <v>0.1</v>
      </c>
      <c r="E4723" s="5">
        <v>104.8</v>
      </c>
      <c r="F4723" s="5">
        <v>208.1</v>
      </c>
      <c r="G4723" s="5">
        <v>103.4</v>
      </c>
      <c r="H4723" s="5">
        <v>103.2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104.6</v>
      </c>
      <c r="D4724" s="5">
        <v>0.1</v>
      </c>
      <c r="E4724" s="5">
        <v>104.8</v>
      </c>
      <c r="F4724" s="5">
        <v>208.1</v>
      </c>
      <c r="G4724" s="5">
        <v>103.4</v>
      </c>
      <c r="H4724" s="5">
        <v>103.2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105.2</v>
      </c>
      <c r="D4725" s="5">
        <v>0.1</v>
      </c>
      <c r="E4725" s="5">
        <v>105.3</v>
      </c>
      <c r="F4725" s="5">
        <v>208.3</v>
      </c>
      <c r="G4725" s="5">
        <v>103.4</v>
      </c>
      <c r="H4725" s="5">
        <v>103.3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105.2</v>
      </c>
      <c r="D4726" s="5">
        <v>0.1</v>
      </c>
      <c r="E4726" s="5">
        <v>105.3</v>
      </c>
      <c r="F4726" s="5">
        <v>208.3</v>
      </c>
      <c r="G4726" s="5">
        <v>103.4</v>
      </c>
      <c r="H4726" s="5">
        <v>103.3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105.2</v>
      </c>
      <c r="D4727" s="5">
        <v>0.1</v>
      </c>
      <c r="E4727" s="5">
        <v>105.3</v>
      </c>
      <c r="F4727" s="5">
        <v>208.3</v>
      </c>
      <c r="G4727" s="5">
        <v>103.4</v>
      </c>
      <c r="H4727" s="5">
        <v>103.3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105.2</v>
      </c>
      <c r="D4728" s="5">
        <v>0.1</v>
      </c>
      <c r="E4728" s="5">
        <v>105.3</v>
      </c>
      <c r="F4728" s="5">
        <v>208.3</v>
      </c>
      <c r="G4728" s="5">
        <v>103.4</v>
      </c>
      <c r="H4728" s="5">
        <v>103.3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105.3</v>
      </c>
      <c r="D4729" s="5">
        <v>0.1</v>
      </c>
      <c r="E4729" s="5">
        <v>105.4</v>
      </c>
      <c r="F4729" s="5">
        <v>209.7</v>
      </c>
      <c r="G4729" s="5">
        <v>103.9</v>
      </c>
      <c r="H4729" s="5">
        <v>103.7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105.3</v>
      </c>
      <c r="D4730" s="5">
        <v>0.1</v>
      </c>
      <c r="E4730" s="5">
        <v>105.4</v>
      </c>
      <c r="F4730" s="5">
        <v>209.7</v>
      </c>
      <c r="G4730" s="5">
        <v>103.9</v>
      </c>
      <c r="H4730" s="5">
        <v>103.7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105.3</v>
      </c>
      <c r="D4731" s="5">
        <v>0.1</v>
      </c>
      <c r="E4731" s="5">
        <v>105.4</v>
      </c>
      <c r="F4731" s="5">
        <v>209.7</v>
      </c>
      <c r="G4731" s="5">
        <v>104.2</v>
      </c>
      <c r="H4731" s="5">
        <v>104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105.3</v>
      </c>
      <c r="D4732" s="5">
        <v>0.1</v>
      </c>
      <c r="E4732" s="5">
        <v>105.4</v>
      </c>
      <c r="F4732" s="5">
        <v>209.7</v>
      </c>
      <c r="G4732" s="5">
        <v>104.2</v>
      </c>
      <c r="H4732" s="5">
        <v>104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106.5</v>
      </c>
      <c r="D4733" s="5">
        <v>0.1</v>
      </c>
      <c r="E4733" s="5">
        <v>106.6</v>
      </c>
      <c r="F4733" s="5">
        <v>211.7</v>
      </c>
      <c r="G4733" s="5">
        <v>105.1</v>
      </c>
      <c r="H4733" s="5">
        <v>104.9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106.5</v>
      </c>
      <c r="D4734" s="5">
        <v>0.1</v>
      </c>
      <c r="E4734" s="5">
        <v>106.6</v>
      </c>
      <c r="F4734" s="5">
        <v>211.7</v>
      </c>
      <c r="G4734" s="5">
        <v>105.1</v>
      </c>
      <c r="H4734" s="5">
        <v>104.9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106.3</v>
      </c>
      <c r="D4735" s="5">
        <v>0.1</v>
      </c>
      <c r="E4735" s="5">
        <v>106.5</v>
      </c>
      <c r="F4735" s="5">
        <v>211.4</v>
      </c>
      <c r="G4735" s="5">
        <v>104.9</v>
      </c>
      <c r="H4735" s="5">
        <v>104.8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106.3</v>
      </c>
      <c r="D4736" s="5">
        <v>0.1</v>
      </c>
      <c r="E4736" s="5">
        <v>106.5</v>
      </c>
      <c r="F4736" s="5">
        <v>211.4</v>
      </c>
      <c r="G4736" s="5">
        <v>104.9</v>
      </c>
      <c r="H4736" s="5">
        <v>104.8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106.3</v>
      </c>
      <c r="D4737" s="5">
        <v>0.1</v>
      </c>
      <c r="E4737" s="5">
        <v>106.5</v>
      </c>
      <c r="F4737" s="5">
        <v>211.4</v>
      </c>
      <c r="G4737" s="5">
        <v>104.9</v>
      </c>
      <c r="H4737" s="5">
        <v>104.8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106.3</v>
      </c>
      <c r="D4738" s="5">
        <v>0.1</v>
      </c>
      <c r="E4738" s="5">
        <v>106.5</v>
      </c>
      <c r="F4738" s="5">
        <v>211.4</v>
      </c>
      <c r="G4738" s="5">
        <v>104.9</v>
      </c>
      <c r="H4738" s="5">
        <v>104.8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106.5</v>
      </c>
      <c r="D4739" s="5">
        <v>0.1</v>
      </c>
      <c r="E4739" s="5">
        <v>106.6</v>
      </c>
      <c r="F4739" s="5">
        <v>211.9</v>
      </c>
      <c r="G4739" s="5">
        <v>105.3</v>
      </c>
      <c r="H4739" s="5">
        <v>105.1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106.5</v>
      </c>
      <c r="D4740" s="5">
        <v>0.1</v>
      </c>
      <c r="E4740" s="5">
        <v>106.6</v>
      </c>
      <c r="F4740" s="5">
        <v>211.9</v>
      </c>
      <c r="G4740" s="5">
        <v>105.3</v>
      </c>
      <c r="H4740" s="5">
        <v>105.1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106.4</v>
      </c>
      <c r="D4741" s="5">
        <v>0.1</v>
      </c>
      <c r="E4741" s="5">
        <v>106.6</v>
      </c>
      <c r="F4741" s="5">
        <v>211.6</v>
      </c>
      <c r="G4741" s="5">
        <v>105.1</v>
      </c>
      <c r="H4741" s="5">
        <v>104.9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106.4</v>
      </c>
      <c r="D4742" s="5">
        <v>0.1</v>
      </c>
      <c r="E4742" s="5">
        <v>106.6</v>
      </c>
      <c r="F4742" s="5">
        <v>211.6</v>
      </c>
      <c r="G4742" s="5">
        <v>105.1</v>
      </c>
      <c r="H4742" s="5">
        <v>104.9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105.7</v>
      </c>
      <c r="D4743" s="5">
        <v>0.1</v>
      </c>
      <c r="E4743" s="5">
        <v>105.8</v>
      </c>
      <c r="F4743" s="5">
        <v>210.3</v>
      </c>
      <c r="G4743" s="5">
        <v>104.5</v>
      </c>
      <c r="H4743" s="5">
        <v>104.3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105.7</v>
      </c>
      <c r="D4744" s="5">
        <v>0.1</v>
      </c>
      <c r="E4744" s="5">
        <v>105.8</v>
      </c>
      <c r="F4744" s="5">
        <v>210.3</v>
      </c>
      <c r="G4744" s="5">
        <v>104.5</v>
      </c>
      <c r="H4744" s="5">
        <v>104.3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105.5</v>
      </c>
      <c r="D4745" s="5">
        <v>0.1</v>
      </c>
      <c r="E4745" s="5">
        <v>105.6</v>
      </c>
      <c r="F4745" s="5">
        <v>210.1</v>
      </c>
      <c r="G4745" s="5">
        <v>104.4</v>
      </c>
      <c r="H4745" s="5">
        <v>104.3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105.5</v>
      </c>
      <c r="D4746" s="5">
        <v>0.1</v>
      </c>
      <c r="E4746" s="5">
        <v>105.6</v>
      </c>
      <c r="F4746" s="5">
        <v>210.1</v>
      </c>
      <c r="G4746" s="5">
        <v>104.4</v>
      </c>
      <c r="H4746" s="5">
        <v>104.3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105.5</v>
      </c>
      <c r="D4747" s="5">
        <v>0.1</v>
      </c>
      <c r="E4747" s="5">
        <v>105.6</v>
      </c>
      <c r="F4747" s="5">
        <v>210.1</v>
      </c>
      <c r="G4747" s="5">
        <v>104.4</v>
      </c>
      <c r="H4747" s="5">
        <v>104.3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105.5</v>
      </c>
      <c r="D4748" s="5">
        <v>0.1</v>
      </c>
      <c r="E4748" s="5">
        <v>105.6</v>
      </c>
      <c r="F4748" s="5">
        <v>210.1</v>
      </c>
      <c r="G4748" s="5">
        <v>104.4</v>
      </c>
      <c r="H4748" s="5">
        <v>104.3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105.5</v>
      </c>
      <c r="D4749" s="5">
        <v>0.1</v>
      </c>
      <c r="E4749" s="5">
        <v>105.6</v>
      </c>
      <c r="F4749" s="5">
        <v>210.3</v>
      </c>
      <c r="G4749" s="5">
        <v>104.4</v>
      </c>
      <c r="H4749" s="5">
        <v>104.2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105.5</v>
      </c>
      <c r="D4750" s="5">
        <v>0.1</v>
      </c>
      <c r="E4750" s="5">
        <v>105.6</v>
      </c>
      <c r="F4750" s="5">
        <v>210.3</v>
      </c>
      <c r="G4750" s="5">
        <v>104.4</v>
      </c>
      <c r="H4750" s="5">
        <v>104.2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105.9</v>
      </c>
      <c r="D4751" s="5">
        <v>0.1</v>
      </c>
      <c r="E4751" s="5">
        <v>106.1</v>
      </c>
      <c r="F4751" s="5">
        <v>211</v>
      </c>
      <c r="G4751" s="5">
        <v>104.9</v>
      </c>
      <c r="H4751" s="5">
        <v>104.8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105.9</v>
      </c>
      <c r="D4752" s="5">
        <v>0.1</v>
      </c>
      <c r="E4752" s="5">
        <v>106.1</v>
      </c>
      <c r="F4752" s="5">
        <v>211</v>
      </c>
      <c r="G4752" s="5">
        <v>104.9</v>
      </c>
      <c r="H4752" s="5">
        <v>104.8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106.5</v>
      </c>
      <c r="D4753" s="5">
        <v>0.1</v>
      </c>
      <c r="E4753" s="5">
        <v>106.6</v>
      </c>
      <c r="F4753" s="5">
        <v>211.6</v>
      </c>
      <c r="G4753" s="5">
        <v>105.1</v>
      </c>
      <c r="H4753" s="5">
        <v>104.9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106.5</v>
      </c>
      <c r="D4754" s="5">
        <v>0.1</v>
      </c>
      <c r="E4754" s="5">
        <v>106.6</v>
      </c>
      <c r="F4754" s="5">
        <v>211.6</v>
      </c>
      <c r="G4754" s="5">
        <v>105.1</v>
      </c>
      <c r="H4754" s="5">
        <v>104.9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106.2</v>
      </c>
      <c r="D4755" s="5">
        <v>0.1</v>
      </c>
      <c r="E4755" s="5">
        <v>106.4</v>
      </c>
      <c r="F4755" s="5">
        <v>211.5</v>
      </c>
      <c r="G4755" s="5">
        <v>105.1</v>
      </c>
      <c r="H4755" s="5">
        <v>104.9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106.2</v>
      </c>
      <c r="D4756" s="5">
        <v>0.1</v>
      </c>
      <c r="E4756" s="5">
        <v>106.4</v>
      </c>
      <c r="F4756" s="5">
        <v>211.5</v>
      </c>
      <c r="G4756" s="5">
        <v>105.1</v>
      </c>
      <c r="H4756" s="5">
        <v>104.9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106.2</v>
      </c>
      <c r="D4757" s="5">
        <v>0.1</v>
      </c>
      <c r="E4757" s="5">
        <v>106.4</v>
      </c>
      <c r="F4757" s="5">
        <v>211.5</v>
      </c>
      <c r="G4757" s="5">
        <v>105.1</v>
      </c>
      <c r="H4757" s="5">
        <v>104.9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106.2</v>
      </c>
      <c r="D4758" s="5">
        <v>0.1</v>
      </c>
      <c r="E4758" s="5">
        <v>106.4</v>
      </c>
      <c r="F4758" s="5">
        <v>211.5</v>
      </c>
      <c r="G4758" s="5">
        <v>105.1</v>
      </c>
      <c r="H4758" s="5">
        <v>104.9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106.7</v>
      </c>
      <c r="D4759" s="5">
        <v>0.1</v>
      </c>
      <c r="E4759" s="5">
        <v>106.9</v>
      </c>
      <c r="F4759" s="5">
        <v>212.1</v>
      </c>
      <c r="G4759" s="5">
        <v>105.3</v>
      </c>
      <c r="H4759" s="5">
        <v>105.2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106.7</v>
      </c>
      <c r="D4760" s="5">
        <v>0.1</v>
      </c>
      <c r="E4760" s="5">
        <v>106.9</v>
      </c>
      <c r="F4760" s="5">
        <v>212.1</v>
      </c>
      <c r="G4760" s="5">
        <v>105.3</v>
      </c>
      <c r="H4760" s="5">
        <v>105.2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106.6</v>
      </c>
      <c r="D4761" s="5">
        <v>0.1</v>
      </c>
      <c r="E4761" s="5">
        <v>106.7</v>
      </c>
      <c r="F4761" s="5">
        <v>211.4</v>
      </c>
      <c r="G4761" s="5">
        <v>104.8</v>
      </c>
      <c r="H4761" s="5">
        <v>104.8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106.6</v>
      </c>
      <c r="D4762" s="5">
        <v>0.1</v>
      </c>
      <c r="E4762" s="5">
        <v>106.7</v>
      </c>
      <c r="F4762" s="5">
        <v>211.4</v>
      </c>
      <c r="G4762" s="5">
        <v>104.8</v>
      </c>
      <c r="H4762" s="5">
        <v>104.8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106.5</v>
      </c>
      <c r="D4763" s="5">
        <v>0.1</v>
      </c>
      <c r="E4763" s="5">
        <v>106.7</v>
      </c>
      <c r="F4763" s="5">
        <v>212</v>
      </c>
      <c r="G4763" s="5">
        <v>105.3</v>
      </c>
      <c r="H4763" s="5">
        <v>105.1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106.5</v>
      </c>
      <c r="D4764" s="5">
        <v>0.1</v>
      </c>
      <c r="E4764" s="5">
        <v>106.7</v>
      </c>
      <c r="F4764" s="5">
        <v>212</v>
      </c>
      <c r="G4764" s="5">
        <v>105.3</v>
      </c>
      <c r="H4764" s="5">
        <v>105.1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107.4</v>
      </c>
      <c r="D4765" s="5">
        <v>0.1</v>
      </c>
      <c r="E4765" s="5">
        <v>107.6</v>
      </c>
      <c r="F4765" s="5">
        <v>212.7</v>
      </c>
      <c r="G4765" s="5">
        <v>105.6</v>
      </c>
      <c r="H4765" s="5">
        <v>105.5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107.4</v>
      </c>
      <c r="D4766" s="5">
        <v>0.1</v>
      </c>
      <c r="E4766" s="5">
        <v>107.6</v>
      </c>
      <c r="F4766" s="5">
        <v>212.7</v>
      </c>
      <c r="G4766" s="5">
        <v>105.6</v>
      </c>
      <c r="H4766" s="5">
        <v>105.5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107.4</v>
      </c>
      <c r="D4767" s="5">
        <v>0.1</v>
      </c>
      <c r="E4767" s="5">
        <v>107.6</v>
      </c>
      <c r="F4767" s="5">
        <v>212.7</v>
      </c>
      <c r="G4767" s="5">
        <v>105.6</v>
      </c>
      <c r="H4767" s="5">
        <v>105.5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107.2</v>
      </c>
      <c r="D4768" s="5">
        <v>0.1</v>
      </c>
      <c r="E4768" s="5">
        <v>107.4</v>
      </c>
      <c r="F4768" s="5">
        <v>212.7</v>
      </c>
      <c r="G4768" s="5">
        <v>105.6</v>
      </c>
      <c r="H4768" s="5">
        <v>105.5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107.2</v>
      </c>
      <c r="D4769" s="5">
        <v>0.1</v>
      </c>
      <c r="E4769" s="5">
        <v>107.4</v>
      </c>
      <c r="F4769" s="5">
        <v>213.3</v>
      </c>
      <c r="G4769" s="5">
        <v>106</v>
      </c>
      <c r="H4769" s="5">
        <v>105.8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106.6</v>
      </c>
      <c r="D4770" s="5">
        <v>0.1</v>
      </c>
      <c r="E4770" s="5">
        <v>107.4</v>
      </c>
      <c r="F4770" s="5">
        <v>213.3</v>
      </c>
      <c r="G4770" s="5">
        <v>106</v>
      </c>
      <c r="H4770" s="5">
        <v>105.8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106.6</v>
      </c>
      <c r="D4771" s="5">
        <v>0.1</v>
      </c>
      <c r="E4771" s="5">
        <v>106.8</v>
      </c>
      <c r="F4771" s="5">
        <v>211.9</v>
      </c>
      <c r="G4771" s="5">
        <v>105.3</v>
      </c>
      <c r="H4771" s="5">
        <v>105.1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106.6</v>
      </c>
      <c r="D4772" s="5">
        <v>0.1</v>
      </c>
      <c r="E4772" s="5">
        <v>106.8</v>
      </c>
      <c r="F4772" s="5">
        <v>211.9</v>
      </c>
      <c r="G4772" s="5">
        <v>105.3</v>
      </c>
      <c r="H4772" s="5">
        <v>105.1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107.8</v>
      </c>
      <c r="D4773" s="5">
        <v>0.1</v>
      </c>
      <c r="E4773" s="5">
        <v>107.8</v>
      </c>
      <c r="F4773" s="5">
        <v>212.9</v>
      </c>
      <c r="G4773" s="5">
        <v>105.8</v>
      </c>
      <c r="H4773" s="5">
        <v>105.6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107.8</v>
      </c>
      <c r="D4774" s="5">
        <v>0.1</v>
      </c>
      <c r="E4774" s="5">
        <v>107.8</v>
      </c>
      <c r="F4774" s="5">
        <v>212.9</v>
      </c>
      <c r="G4774" s="5">
        <v>105.8</v>
      </c>
      <c r="H4774" s="5">
        <v>105.6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107.8</v>
      </c>
      <c r="D4775" s="5">
        <v>0.1</v>
      </c>
      <c r="E4775" s="5">
        <v>107.8</v>
      </c>
      <c r="F4775" s="5">
        <v>212.9</v>
      </c>
      <c r="G4775" s="5">
        <v>105.8</v>
      </c>
      <c r="H4775" s="5">
        <v>105.6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107.8</v>
      </c>
      <c r="D4776" s="5">
        <v>0.1</v>
      </c>
      <c r="E4776" s="5">
        <v>107.8</v>
      </c>
      <c r="F4776" s="5">
        <v>212.9</v>
      </c>
      <c r="G4776" s="5">
        <v>105.8</v>
      </c>
      <c r="H4776" s="5">
        <v>105.6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107.8</v>
      </c>
      <c r="D4777" s="5">
        <v>0.1</v>
      </c>
      <c r="E4777" s="5">
        <v>107.8</v>
      </c>
      <c r="F4777" s="5">
        <v>212.9</v>
      </c>
      <c r="G4777" s="5">
        <v>105.8</v>
      </c>
      <c r="H4777" s="5">
        <v>105.6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107.8</v>
      </c>
      <c r="D4778" s="5">
        <v>0.1</v>
      </c>
      <c r="E4778" s="5">
        <v>107.8</v>
      </c>
      <c r="F4778" s="5">
        <v>212.9</v>
      </c>
      <c r="G4778" s="5">
        <v>105.8</v>
      </c>
      <c r="H4778" s="5">
        <v>105.6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106.6</v>
      </c>
      <c r="D4779" s="5">
        <v>0.1</v>
      </c>
      <c r="E4779" s="5">
        <v>106.7</v>
      </c>
      <c r="F4779" s="5">
        <v>212</v>
      </c>
      <c r="G4779" s="5">
        <v>105.3</v>
      </c>
      <c r="H4779" s="5">
        <v>105.4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106.6</v>
      </c>
      <c r="D4780" s="5">
        <v>0.1</v>
      </c>
      <c r="E4780" s="5">
        <v>106.7</v>
      </c>
      <c r="F4780" s="5">
        <v>212</v>
      </c>
      <c r="G4780" s="5">
        <v>105.3</v>
      </c>
      <c r="H4780" s="5">
        <v>105.4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106.9</v>
      </c>
      <c r="D4781" s="5">
        <v>0.1</v>
      </c>
      <c r="E4781" s="5">
        <v>107.1</v>
      </c>
      <c r="F4781" s="5">
        <v>212.8</v>
      </c>
      <c r="G4781" s="5">
        <v>105.7</v>
      </c>
      <c r="H4781" s="5">
        <v>105.5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106.9</v>
      </c>
      <c r="D4782" s="5">
        <v>0.1</v>
      </c>
      <c r="E4782" s="5">
        <v>107.1</v>
      </c>
      <c r="F4782" s="5">
        <v>212.8</v>
      </c>
      <c r="G4782" s="5">
        <v>105.7</v>
      </c>
      <c r="H4782" s="5">
        <v>105.5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107.5</v>
      </c>
      <c r="D4783" s="5">
        <v>0.1</v>
      </c>
      <c r="E4783" s="5">
        <v>107.6</v>
      </c>
      <c r="F4783" s="5">
        <v>213.7</v>
      </c>
      <c r="G4783" s="5">
        <v>106.2</v>
      </c>
      <c r="H4783" s="5">
        <v>106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107.5</v>
      </c>
      <c r="D4784" s="5">
        <v>0.1</v>
      </c>
      <c r="E4784" s="5">
        <v>107.6</v>
      </c>
      <c r="F4784" s="5">
        <v>213.7</v>
      </c>
      <c r="G4784" s="5">
        <v>106.2</v>
      </c>
      <c r="H4784" s="5">
        <v>106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107.3</v>
      </c>
      <c r="D4785" s="5">
        <v>0.1</v>
      </c>
      <c r="E4785" s="5">
        <v>107.5</v>
      </c>
      <c r="F4785" s="5">
        <v>213.4</v>
      </c>
      <c r="G4785" s="5">
        <v>106</v>
      </c>
      <c r="H4785" s="5">
        <v>105.9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107.3</v>
      </c>
      <c r="D4786" s="5">
        <v>0.1</v>
      </c>
      <c r="E4786" s="5">
        <v>107.5</v>
      </c>
      <c r="F4786" s="5">
        <v>213.4</v>
      </c>
      <c r="G4786" s="5">
        <v>106</v>
      </c>
      <c r="H4786" s="5">
        <v>105.9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107.3</v>
      </c>
      <c r="D4787" s="5">
        <v>0.1</v>
      </c>
      <c r="E4787" s="5">
        <v>107.5</v>
      </c>
      <c r="F4787" s="5">
        <v>213.4</v>
      </c>
      <c r="G4787" s="5">
        <v>106</v>
      </c>
      <c r="H4787" s="5">
        <v>105.9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107.3</v>
      </c>
      <c r="D4788" s="5">
        <v>0.1</v>
      </c>
      <c r="E4788" s="5">
        <v>107.5</v>
      </c>
      <c r="F4788" s="5">
        <v>213.4</v>
      </c>
      <c r="G4788" s="5">
        <v>106</v>
      </c>
      <c r="H4788" s="5">
        <v>105.9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106.9</v>
      </c>
      <c r="D4789" s="5">
        <v>0.1</v>
      </c>
      <c r="E4789" s="5">
        <v>107.1</v>
      </c>
      <c r="F4789" s="5">
        <v>212.1</v>
      </c>
      <c r="G4789" s="5">
        <v>105.4</v>
      </c>
      <c r="H4789" s="5">
        <v>105.3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106.9</v>
      </c>
      <c r="D4790" s="5">
        <v>0.1</v>
      </c>
      <c r="E4790" s="5">
        <v>107.1</v>
      </c>
      <c r="F4790" s="5">
        <v>212.1</v>
      </c>
      <c r="G4790" s="5">
        <v>105.4</v>
      </c>
      <c r="H4790" s="5">
        <v>105.3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106.7</v>
      </c>
      <c r="D4791" s="5">
        <v>0.1</v>
      </c>
      <c r="E4791" s="5">
        <v>106.9</v>
      </c>
      <c r="F4791" s="5">
        <v>212.5</v>
      </c>
      <c r="G4791" s="5">
        <v>105.6</v>
      </c>
      <c r="H4791" s="5">
        <v>105.4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106.7</v>
      </c>
      <c r="D4792" s="5">
        <v>0.1</v>
      </c>
      <c r="E4792" s="5">
        <v>106.9</v>
      </c>
      <c r="F4792" s="5">
        <v>212.5</v>
      </c>
      <c r="G4792" s="5">
        <v>105.6</v>
      </c>
      <c r="H4792" s="5">
        <v>105.4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106.5</v>
      </c>
      <c r="D4793" s="5">
        <v>0.1</v>
      </c>
      <c r="E4793" s="5">
        <v>106.6</v>
      </c>
      <c r="F4793" s="5">
        <v>212</v>
      </c>
      <c r="G4793" s="5">
        <v>105.3</v>
      </c>
      <c r="H4793" s="5">
        <v>105.1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106.5</v>
      </c>
      <c r="D4794" s="5">
        <v>0.1</v>
      </c>
      <c r="E4794" s="5">
        <v>106.6</v>
      </c>
      <c r="F4794" s="5">
        <v>212</v>
      </c>
      <c r="G4794" s="5">
        <v>105.3</v>
      </c>
      <c r="H4794" s="5">
        <v>105.1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107.5</v>
      </c>
      <c r="D4795" s="5">
        <v>0.1</v>
      </c>
      <c r="E4795" s="5">
        <v>107.6</v>
      </c>
      <c r="F4795" s="5">
        <v>213</v>
      </c>
      <c r="G4795" s="5">
        <v>105.8</v>
      </c>
      <c r="H4795" s="5">
        <v>105.7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107.5</v>
      </c>
      <c r="D4796" s="5">
        <v>0.1</v>
      </c>
      <c r="E4796" s="5">
        <v>107.6</v>
      </c>
      <c r="F4796" s="5">
        <v>213</v>
      </c>
      <c r="G4796" s="5">
        <v>105.8</v>
      </c>
      <c r="H4796" s="5">
        <v>105.7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107.5</v>
      </c>
      <c r="D4797" s="5">
        <v>0.1</v>
      </c>
      <c r="E4797" s="5">
        <v>107.6</v>
      </c>
      <c r="F4797" s="5">
        <v>213</v>
      </c>
      <c r="G4797" s="5">
        <v>105.8</v>
      </c>
      <c r="H4797" s="5">
        <v>105.7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107.5</v>
      </c>
      <c r="D4798" s="5">
        <v>0.1</v>
      </c>
      <c r="E4798" s="5">
        <v>107.6</v>
      </c>
      <c r="F4798" s="5">
        <v>213</v>
      </c>
      <c r="G4798" s="5">
        <v>105.8</v>
      </c>
      <c r="H4798" s="5">
        <v>105.7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107.3</v>
      </c>
      <c r="D4799" s="5">
        <v>0.1</v>
      </c>
      <c r="E4799" s="5">
        <v>107.5</v>
      </c>
      <c r="F4799" s="5">
        <v>213.5</v>
      </c>
      <c r="G4799" s="5">
        <v>106.1</v>
      </c>
      <c r="H4799" s="5">
        <v>105.9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107.3</v>
      </c>
      <c r="D4800" s="5">
        <v>0.1</v>
      </c>
      <c r="E4800" s="5">
        <v>107.5</v>
      </c>
      <c r="F4800" s="5">
        <v>213.5</v>
      </c>
      <c r="G4800" s="5">
        <v>106.1</v>
      </c>
      <c r="H4800" s="5">
        <v>105.9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107.1</v>
      </c>
      <c r="D4801" s="5">
        <v>0.1</v>
      </c>
      <c r="E4801" s="5">
        <v>107.2</v>
      </c>
      <c r="F4801" s="5">
        <v>212.4</v>
      </c>
      <c r="G4801" s="5">
        <v>105.5</v>
      </c>
      <c r="H4801" s="5">
        <v>105.4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107.1</v>
      </c>
      <c r="D4802" s="5">
        <v>0.1</v>
      </c>
      <c r="E4802" s="5">
        <v>107.2</v>
      </c>
      <c r="F4802" s="5">
        <v>212.4</v>
      </c>
      <c r="G4802" s="5">
        <v>105.5</v>
      </c>
      <c r="H4802" s="5">
        <v>105.4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107.4</v>
      </c>
      <c r="D4803" s="5">
        <v>0.1</v>
      </c>
      <c r="E4803" s="5">
        <v>107.5</v>
      </c>
      <c r="F4803" s="5">
        <v>213.3</v>
      </c>
      <c r="G4803" s="5">
        <v>106</v>
      </c>
      <c r="H4803" s="5">
        <v>105.8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107.4</v>
      </c>
      <c r="D4804" s="5">
        <v>0.1</v>
      </c>
      <c r="E4804" s="5">
        <v>107.5</v>
      </c>
      <c r="F4804" s="5">
        <v>213.3</v>
      </c>
      <c r="G4804" s="5">
        <v>106</v>
      </c>
      <c r="H4804" s="5">
        <v>105.8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107.4</v>
      </c>
      <c r="D4805" s="5">
        <v>0.1</v>
      </c>
      <c r="E4805" s="5">
        <v>107.5</v>
      </c>
      <c r="F4805" s="5">
        <v>212.9</v>
      </c>
      <c r="G4805" s="5">
        <v>105.9</v>
      </c>
      <c r="H4805" s="5">
        <v>105.8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107.4</v>
      </c>
      <c r="D4806" s="5">
        <v>0.1</v>
      </c>
      <c r="E4806" s="5">
        <v>107.5</v>
      </c>
      <c r="F4806" s="5">
        <v>212.9</v>
      </c>
      <c r="G4806" s="5">
        <v>105.9</v>
      </c>
      <c r="H4806" s="5">
        <v>105.8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107.4</v>
      </c>
      <c r="D4807" s="5">
        <v>0.1</v>
      </c>
      <c r="E4807" s="5">
        <v>107.5</v>
      </c>
      <c r="F4807" s="5">
        <v>212.9</v>
      </c>
      <c r="G4807" s="5">
        <v>105.9</v>
      </c>
      <c r="H4807" s="5">
        <v>105.8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107.4</v>
      </c>
      <c r="D4808" s="5">
        <v>0.1</v>
      </c>
      <c r="E4808" s="5">
        <v>108.1</v>
      </c>
      <c r="F4808" s="5">
        <v>213.9</v>
      </c>
      <c r="G4808" s="5">
        <v>106.3</v>
      </c>
      <c r="H4808" s="5">
        <v>106.2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108</v>
      </c>
      <c r="D4809" s="5">
        <v>0.1</v>
      </c>
      <c r="E4809" s="5">
        <v>108.1</v>
      </c>
      <c r="F4809" s="5">
        <v>213.9</v>
      </c>
      <c r="G4809" s="5">
        <v>106.3</v>
      </c>
      <c r="H4809" s="5">
        <v>106.2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108</v>
      </c>
      <c r="D4810" s="5">
        <v>0.1</v>
      </c>
      <c r="E4810" s="5">
        <v>107.8</v>
      </c>
      <c r="F4810" s="5">
        <v>213.9</v>
      </c>
      <c r="G4810" s="5">
        <v>106.3</v>
      </c>
      <c r="H4810" s="5">
        <v>106.1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107.6</v>
      </c>
      <c r="D4811" s="5">
        <v>0.1</v>
      </c>
      <c r="E4811" s="5">
        <v>107.8</v>
      </c>
      <c r="F4811" s="5">
        <v>213.9</v>
      </c>
      <c r="G4811" s="5">
        <v>106.3</v>
      </c>
      <c r="H4811" s="5">
        <v>106.1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107.6</v>
      </c>
      <c r="D4812" s="5">
        <v>0.1</v>
      </c>
      <c r="E4812" s="5">
        <v>107.8</v>
      </c>
      <c r="F4812" s="5">
        <v>212.7</v>
      </c>
      <c r="G4812" s="5">
        <v>105.7</v>
      </c>
      <c r="H4812" s="5">
        <v>105.5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106.9</v>
      </c>
      <c r="D4813" s="5">
        <v>0.1</v>
      </c>
      <c r="E4813" s="5">
        <v>107.1</v>
      </c>
      <c r="F4813" s="5">
        <v>212.7</v>
      </c>
      <c r="G4813" s="5">
        <v>105.7</v>
      </c>
      <c r="H4813" s="5">
        <v>105.5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106.9</v>
      </c>
      <c r="D4814" s="5">
        <v>0.1</v>
      </c>
      <c r="E4814" s="5">
        <v>107.1</v>
      </c>
      <c r="F4814" s="5">
        <v>212.7</v>
      </c>
      <c r="G4814" s="5">
        <v>106.7</v>
      </c>
      <c r="H4814" s="5">
        <v>106.6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107.8</v>
      </c>
      <c r="D4815" s="5">
        <v>0.1</v>
      </c>
      <c r="E4815" s="5">
        <v>107.8</v>
      </c>
      <c r="F4815" s="5">
        <v>214.8</v>
      </c>
      <c r="G4815" s="5">
        <v>106.7</v>
      </c>
      <c r="H4815" s="5">
        <v>106.6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107.8</v>
      </c>
      <c r="D4816" s="5">
        <v>0.1</v>
      </c>
      <c r="E4816" s="5">
        <v>107.8</v>
      </c>
      <c r="F4816" s="5">
        <v>214.8</v>
      </c>
      <c r="G4816" s="5">
        <v>106.7</v>
      </c>
      <c r="H4816" s="5">
        <v>106.6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107.8</v>
      </c>
      <c r="D4817" s="5">
        <v>0.1</v>
      </c>
      <c r="E4817" s="5">
        <v>107.8</v>
      </c>
      <c r="F4817" s="5">
        <v>214.8</v>
      </c>
      <c r="G4817" s="5">
        <v>106.7</v>
      </c>
      <c r="H4817" s="5">
        <v>106.6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107.5</v>
      </c>
      <c r="D4818" s="5">
        <v>0.1</v>
      </c>
      <c r="E4818" s="5">
        <v>107.7</v>
      </c>
      <c r="F4818" s="5">
        <v>214.4</v>
      </c>
      <c r="G4818" s="5">
        <v>106.6</v>
      </c>
      <c r="H4818" s="5">
        <v>106.5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107.5</v>
      </c>
      <c r="D4819" s="5">
        <v>0.1</v>
      </c>
      <c r="E4819" s="5">
        <v>107.7</v>
      </c>
      <c r="F4819" s="5">
        <v>214.4</v>
      </c>
      <c r="G4819" s="5">
        <v>106.6</v>
      </c>
      <c r="H4819" s="5">
        <v>106.5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108.3</v>
      </c>
      <c r="D4820" s="5">
        <v>0.1</v>
      </c>
      <c r="E4820" s="5">
        <v>108.5</v>
      </c>
      <c r="F4820" s="5">
        <v>215.3</v>
      </c>
      <c r="G4820" s="5">
        <v>107</v>
      </c>
      <c r="H4820" s="5">
        <v>106.9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108.3</v>
      </c>
      <c r="D4821" s="5">
        <v>0.1</v>
      </c>
      <c r="E4821" s="5">
        <v>108.5</v>
      </c>
      <c r="F4821" s="5">
        <v>215.3</v>
      </c>
      <c r="G4821" s="5">
        <v>107</v>
      </c>
      <c r="H4821" s="5">
        <v>106.9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108</v>
      </c>
      <c r="D4822" s="5">
        <v>0.1</v>
      </c>
      <c r="E4822" s="5">
        <v>108.1</v>
      </c>
      <c r="F4822" s="5">
        <v>214.8</v>
      </c>
      <c r="G4822" s="5">
        <v>106.7</v>
      </c>
      <c r="H4822" s="5">
        <v>106.6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108</v>
      </c>
      <c r="D4823" s="5">
        <v>0.1</v>
      </c>
      <c r="E4823" s="5">
        <v>108.1</v>
      </c>
      <c r="F4823" s="5">
        <v>214.8</v>
      </c>
      <c r="G4823" s="5">
        <v>106.7</v>
      </c>
      <c r="H4823" s="5">
        <v>106.6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107.5</v>
      </c>
      <c r="D4824" s="5">
        <v>0.1</v>
      </c>
      <c r="E4824" s="5">
        <v>107.7</v>
      </c>
      <c r="F4824" s="5">
        <v>214.6</v>
      </c>
      <c r="G4824" s="5">
        <v>106.6</v>
      </c>
      <c r="H4824" s="5">
        <v>106.4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107.5</v>
      </c>
      <c r="D4825" s="5">
        <v>0.1</v>
      </c>
      <c r="E4825" s="5">
        <v>107.7</v>
      </c>
      <c r="F4825" s="5">
        <v>214.6</v>
      </c>
      <c r="G4825" s="5">
        <v>106.6</v>
      </c>
      <c r="H4825" s="5">
        <v>106.4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107.5</v>
      </c>
      <c r="D4826" s="5">
        <v>0.1</v>
      </c>
      <c r="E4826" s="5">
        <v>107.7</v>
      </c>
      <c r="F4826" s="5">
        <v>214.6</v>
      </c>
      <c r="G4826" s="5">
        <v>106.6</v>
      </c>
      <c r="H4826" s="5">
        <v>106.4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107.5</v>
      </c>
      <c r="D4827" s="5">
        <v>0.1</v>
      </c>
      <c r="E4827" s="5">
        <v>107.7</v>
      </c>
      <c r="F4827" s="5">
        <v>214.6</v>
      </c>
      <c r="G4827" s="5">
        <v>106.6</v>
      </c>
      <c r="H4827" s="5">
        <v>106.4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108.1</v>
      </c>
      <c r="D4828" s="5">
        <v>0.1</v>
      </c>
      <c r="E4828" s="5">
        <v>108.2</v>
      </c>
      <c r="F4828" s="5">
        <v>214.9</v>
      </c>
      <c r="G4828" s="5">
        <v>106.8</v>
      </c>
      <c r="H4828" s="5">
        <v>106.7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108.1</v>
      </c>
      <c r="D4829" s="5">
        <v>0.1</v>
      </c>
      <c r="E4829" s="5">
        <v>108.2</v>
      </c>
      <c r="F4829" s="5">
        <v>214.9</v>
      </c>
      <c r="G4829" s="5">
        <v>106.8</v>
      </c>
      <c r="H4829" s="5">
        <v>106.7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106.5</v>
      </c>
      <c r="D4830" s="5">
        <v>0.1</v>
      </c>
      <c r="E4830" s="5">
        <v>106.6</v>
      </c>
      <c r="F4830" s="5">
        <v>213.7</v>
      </c>
      <c r="G4830" s="5">
        <v>106</v>
      </c>
      <c r="H4830" s="5">
        <v>105.8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106.5</v>
      </c>
      <c r="D4831" s="5">
        <v>0.1</v>
      </c>
      <c r="E4831" s="5">
        <v>106.6</v>
      </c>
      <c r="F4831" s="5">
        <v>213.7</v>
      </c>
      <c r="G4831" s="5">
        <v>106</v>
      </c>
      <c r="H4831" s="5">
        <v>105.8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108.1</v>
      </c>
      <c r="D4832" s="5">
        <v>0.1</v>
      </c>
      <c r="E4832" s="5">
        <v>108.3</v>
      </c>
      <c r="F4832" s="5">
        <v>214.4</v>
      </c>
      <c r="G4832" s="5">
        <v>106.5</v>
      </c>
      <c r="H4832" s="5">
        <v>106.4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108.1</v>
      </c>
      <c r="D4833" s="5">
        <v>0.1</v>
      </c>
      <c r="E4833" s="5">
        <v>108.3</v>
      </c>
      <c r="F4833" s="5">
        <v>214.4</v>
      </c>
      <c r="G4833" s="5">
        <v>106.5</v>
      </c>
      <c r="H4833" s="5">
        <v>106.4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106.5</v>
      </c>
      <c r="D4834" s="5">
        <v>0.1</v>
      </c>
      <c r="E4834" s="5">
        <v>106.6</v>
      </c>
      <c r="F4834" s="5">
        <v>211.7</v>
      </c>
      <c r="G4834" s="5">
        <v>105.2</v>
      </c>
      <c r="H4834" s="5">
        <v>106.4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106.5</v>
      </c>
      <c r="D4835" s="5">
        <v>0.1</v>
      </c>
      <c r="E4835" s="5">
        <v>106.6</v>
      </c>
      <c r="F4835" s="5">
        <v>211.7</v>
      </c>
      <c r="G4835" s="5">
        <v>105.2</v>
      </c>
      <c r="H4835" s="5">
        <v>105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106.5</v>
      </c>
      <c r="D4836" s="5">
        <v>0.1</v>
      </c>
      <c r="E4836" s="5">
        <v>106.6</v>
      </c>
      <c r="F4836" s="5">
        <v>211.7</v>
      </c>
      <c r="G4836" s="5">
        <v>105.2</v>
      </c>
      <c r="H4836" s="5">
        <v>105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106.5</v>
      </c>
      <c r="D4837" s="5">
        <v>0.1</v>
      </c>
      <c r="E4837" s="5">
        <v>106.6</v>
      </c>
      <c r="F4837" s="5">
        <v>211.7</v>
      </c>
      <c r="G4837" s="5">
        <v>105.2</v>
      </c>
      <c r="H4837" s="5">
        <v>105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108.1</v>
      </c>
      <c r="D4838" s="5">
        <v>0.1</v>
      </c>
      <c r="E4838" s="5">
        <v>108.1</v>
      </c>
      <c r="F4838" s="5">
        <v>212.2</v>
      </c>
      <c r="G4838" s="5">
        <v>105.7</v>
      </c>
      <c r="H4838" s="5">
        <v>106.6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108.1</v>
      </c>
      <c r="D4839" s="5">
        <v>0.1</v>
      </c>
      <c r="E4839" s="5">
        <v>108.1</v>
      </c>
      <c r="F4839" s="5">
        <v>212.2</v>
      </c>
      <c r="G4839" s="5">
        <v>105.7</v>
      </c>
      <c r="H4839" s="5">
        <v>106.6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107.7</v>
      </c>
      <c r="D4840" s="5">
        <v>0.1</v>
      </c>
      <c r="E4840" s="5">
        <v>107.8</v>
      </c>
      <c r="F4840" s="5">
        <v>214.2</v>
      </c>
      <c r="G4840" s="5">
        <v>106.4</v>
      </c>
      <c r="H4840" s="5">
        <v>106.3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107.7</v>
      </c>
      <c r="D4841" s="5">
        <v>0.1</v>
      </c>
      <c r="E4841" s="5">
        <v>107.8</v>
      </c>
      <c r="F4841" s="5">
        <v>214.2</v>
      </c>
      <c r="G4841" s="5">
        <v>106.4</v>
      </c>
      <c r="H4841" s="5">
        <v>106.3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108.5</v>
      </c>
      <c r="D4842" s="5">
        <v>0.1</v>
      </c>
      <c r="E4842" s="5">
        <v>108.7</v>
      </c>
      <c r="F4842" s="5">
        <v>214.9</v>
      </c>
      <c r="G4842" s="5">
        <v>106.8</v>
      </c>
      <c r="H4842" s="5">
        <v>106.6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108.5</v>
      </c>
      <c r="D4843" s="5">
        <v>0.1</v>
      </c>
      <c r="E4843" s="5">
        <v>108.7</v>
      </c>
      <c r="F4843" s="5">
        <v>214.9</v>
      </c>
      <c r="G4843" s="5">
        <v>106.8</v>
      </c>
      <c r="H4843" s="5">
        <v>106.6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108.5</v>
      </c>
      <c r="D4844" s="5">
        <v>0.1</v>
      </c>
      <c r="E4844" s="5">
        <v>108</v>
      </c>
      <c r="F4844" s="5">
        <v>213.9</v>
      </c>
      <c r="G4844" s="5">
        <v>106.3</v>
      </c>
      <c r="H4844" s="5">
        <v>106.2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107.8</v>
      </c>
      <c r="D4845" s="5">
        <v>0.1</v>
      </c>
      <c r="E4845" s="5">
        <v>108</v>
      </c>
      <c r="F4845" s="5">
        <v>213.9</v>
      </c>
      <c r="G4845" s="5">
        <v>106.3</v>
      </c>
      <c r="H4845" s="5">
        <v>106.2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107.8</v>
      </c>
      <c r="D4846" s="5">
        <v>0.1</v>
      </c>
      <c r="E4846" s="5">
        <v>108</v>
      </c>
      <c r="F4846" s="5">
        <v>213.9</v>
      </c>
      <c r="G4846" s="5">
        <v>106.3</v>
      </c>
      <c r="H4846" s="5">
        <v>106.2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107.8</v>
      </c>
      <c r="D4847" s="5">
        <v>0.1</v>
      </c>
      <c r="E4847" s="5">
        <v>108</v>
      </c>
      <c r="F4847" s="5">
        <v>213.9</v>
      </c>
      <c r="G4847" s="5">
        <v>106.3</v>
      </c>
      <c r="H4847" s="5">
        <v>106.2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107.9</v>
      </c>
      <c r="D4848" s="5">
        <v>0.1</v>
      </c>
      <c r="E4848" s="5">
        <v>108.1</v>
      </c>
      <c r="F4848" s="5">
        <v>214.4</v>
      </c>
      <c r="G4848" s="5">
        <v>106.5</v>
      </c>
      <c r="H4848" s="5">
        <v>106.4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107.9</v>
      </c>
      <c r="D4849" s="5">
        <v>0.1</v>
      </c>
      <c r="E4849" s="5">
        <v>108.1</v>
      </c>
      <c r="F4849" s="5">
        <v>214.4</v>
      </c>
      <c r="G4849" s="5">
        <v>106.5</v>
      </c>
      <c r="H4849" s="5">
        <v>106.4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108.1</v>
      </c>
      <c r="D4850" s="5">
        <v>0.1</v>
      </c>
      <c r="E4850" s="5">
        <v>108.2</v>
      </c>
      <c r="F4850" s="5">
        <v>214.9</v>
      </c>
      <c r="G4850" s="5">
        <v>106.8</v>
      </c>
      <c r="H4850" s="5">
        <v>106.6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108.1</v>
      </c>
      <c r="D4851" s="5">
        <v>0.1</v>
      </c>
      <c r="E4851" s="5">
        <v>108.2</v>
      </c>
      <c r="F4851" s="5">
        <v>214.9</v>
      </c>
      <c r="G4851" s="5">
        <v>106.8</v>
      </c>
      <c r="H4851" s="5">
        <v>106.6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107.8</v>
      </c>
      <c r="D4852" s="5">
        <v>0.1</v>
      </c>
      <c r="E4852" s="5">
        <v>107.8</v>
      </c>
      <c r="F4852" s="5">
        <v>214.2</v>
      </c>
      <c r="G4852" s="5">
        <v>106.4</v>
      </c>
      <c r="H4852" s="5">
        <v>106.2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107.8</v>
      </c>
      <c r="D4853" s="5">
        <v>0.1</v>
      </c>
      <c r="E4853" s="5">
        <v>107.8</v>
      </c>
      <c r="F4853" s="5">
        <v>214.2</v>
      </c>
      <c r="G4853" s="5">
        <v>106.4</v>
      </c>
      <c r="H4853" s="5">
        <v>106.2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108</v>
      </c>
      <c r="D4854" s="5">
        <v>0.1</v>
      </c>
      <c r="E4854" s="5">
        <v>108.1</v>
      </c>
      <c r="F4854" s="5">
        <v>214.2</v>
      </c>
      <c r="G4854" s="5">
        <v>106.5</v>
      </c>
      <c r="H4854" s="5">
        <v>106.3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108</v>
      </c>
      <c r="D4855" s="5">
        <v>0.1</v>
      </c>
      <c r="E4855" s="5">
        <v>108.1</v>
      </c>
      <c r="F4855" s="5">
        <v>214.2</v>
      </c>
      <c r="G4855" s="5">
        <v>106.5</v>
      </c>
      <c r="H4855" s="5">
        <v>106.3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108</v>
      </c>
      <c r="D4856" s="5">
        <v>0.1</v>
      </c>
      <c r="E4856" s="5">
        <v>108.1</v>
      </c>
      <c r="F4856" s="5">
        <v>214.2</v>
      </c>
      <c r="G4856" s="5">
        <v>106.5</v>
      </c>
      <c r="H4856" s="5">
        <v>106.3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108</v>
      </c>
      <c r="D4857" s="5">
        <v>0.1</v>
      </c>
      <c r="E4857" s="5">
        <v>108.1</v>
      </c>
      <c r="F4857" s="5">
        <v>214.2</v>
      </c>
      <c r="G4857" s="5">
        <v>106.5</v>
      </c>
      <c r="H4857" s="5">
        <v>106.3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108.1</v>
      </c>
      <c r="D4858" s="5">
        <v>0.1</v>
      </c>
      <c r="E4858" s="5">
        <v>108.2</v>
      </c>
      <c r="F4858" s="5">
        <v>214.9</v>
      </c>
      <c r="G4858" s="5">
        <v>106.7</v>
      </c>
      <c r="H4858" s="5">
        <v>106.5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108.1</v>
      </c>
      <c r="D4859" s="5">
        <v>0.1</v>
      </c>
      <c r="E4859" s="5">
        <v>108.2</v>
      </c>
      <c r="F4859" s="5">
        <v>214.9</v>
      </c>
      <c r="G4859" s="5">
        <v>106.7</v>
      </c>
      <c r="H4859" s="5">
        <v>106.5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107.3</v>
      </c>
      <c r="D4860" s="5">
        <v>0.1</v>
      </c>
      <c r="E4860" s="5">
        <v>107.5</v>
      </c>
      <c r="F4860" s="5">
        <v>213.8</v>
      </c>
      <c r="G4860" s="5">
        <v>106.2</v>
      </c>
      <c r="H4860" s="5">
        <v>106.1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107.3</v>
      </c>
      <c r="D4861" s="5">
        <v>0.1</v>
      </c>
      <c r="E4861" s="5">
        <v>107.5</v>
      </c>
      <c r="F4861" s="5">
        <v>213.8</v>
      </c>
      <c r="G4861" s="5">
        <v>106.2</v>
      </c>
      <c r="H4861" s="5">
        <v>106.1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108.2</v>
      </c>
      <c r="D4862" s="5">
        <v>0.1</v>
      </c>
      <c r="E4862" s="5">
        <v>108.4</v>
      </c>
      <c r="F4862" s="5">
        <v>214.6</v>
      </c>
      <c r="G4862" s="5">
        <v>106.6</v>
      </c>
      <c r="H4862" s="5">
        <v>106.4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108.2</v>
      </c>
      <c r="D4863" s="5">
        <v>0.1</v>
      </c>
      <c r="E4863" s="5">
        <v>108.4</v>
      </c>
      <c r="F4863" s="5">
        <v>214.6</v>
      </c>
      <c r="G4863" s="5">
        <v>106.6</v>
      </c>
      <c r="H4863" s="5">
        <v>106.4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108</v>
      </c>
      <c r="D4864" s="5">
        <v>0.1</v>
      </c>
      <c r="E4864" s="5">
        <v>108.1</v>
      </c>
      <c r="F4864" s="5">
        <v>214.6</v>
      </c>
      <c r="G4864" s="5">
        <v>106.6</v>
      </c>
      <c r="H4864" s="5">
        <v>106.5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108</v>
      </c>
      <c r="D4865" s="5">
        <v>0.1</v>
      </c>
      <c r="E4865" s="5">
        <v>108.1</v>
      </c>
      <c r="F4865" s="5">
        <v>214.6</v>
      </c>
      <c r="G4865" s="5">
        <v>106.6</v>
      </c>
      <c r="H4865" s="5">
        <v>106.5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108</v>
      </c>
      <c r="D4866" s="5">
        <v>0.1</v>
      </c>
      <c r="E4866" s="5">
        <v>108.1</v>
      </c>
      <c r="F4866" s="5">
        <v>214.6</v>
      </c>
      <c r="G4866" s="5">
        <v>106.6</v>
      </c>
      <c r="H4866" s="5">
        <v>106.5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108</v>
      </c>
      <c r="D4867" s="5">
        <v>0.1</v>
      </c>
      <c r="E4867" s="5">
        <v>108.1</v>
      </c>
      <c r="F4867" s="5">
        <v>214.6</v>
      </c>
      <c r="G4867" s="5">
        <v>106.6</v>
      </c>
      <c r="H4867" s="5">
        <v>106.5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107.3</v>
      </c>
      <c r="D4868" s="5">
        <v>0.1</v>
      </c>
      <c r="E4868" s="5">
        <v>107.5</v>
      </c>
      <c r="F4868" s="5">
        <v>212.9</v>
      </c>
      <c r="G4868" s="5">
        <v>105.9</v>
      </c>
      <c r="H4868" s="5">
        <v>105.7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107.3</v>
      </c>
      <c r="D4869" s="5">
        <v>0.1</v>
      </c>
      <c r="E4869" s="5">
        <v>107.5</v>
      </c>
      <c r="F4869" s="5">
        <v>212.9</v>
      </c>
      <c r="G4869" s="5">
        <v>105.9</v>
      </c>
      <c r="H4869" s="5">
        <v>105.7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107.5</v>
      </c>
      <c r="D4870" s="5">
        <v>0.1</v>
      </c>
      <c r="E4870" s="5">
        <v>107.6</v>
      </c>
      <c r="F4870" s="5">
        <v>214.4</v>
      </c>
      <c r="G4870" s="5">
        <v>106.6</v>
      </c>
      <c r="H4870" s="5">
        <v>106.4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107.5</v>
      </c>
      <c r="D4871" s="5">
        <v>0.1</v>
      </c>
      <c r="E4871" s="5">
        <v>107.6</v>
      </c>
      <c r="F4871" s="5">
        <v>214.4</v>
      </c>
      <c r="G4871" s="5">
        <v>106.6</v>
      </c>
      <c r="H4871" s="5">
        <v>106.4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107.6</v>
      </c>
      <c r="D4872" s="5">
        <v>0.1</v>
      </c>
      <c r="E4872" s="5">
        <v>107.8</v>
      </c>
      <c r="F4872" s="5">
        <v>213.8</v>
      </c>
      <c r="G4872" s="5">
        <v>106.3</v>
      </c>
      <c r="H4872" s="5">
        <v>106.2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107.6</v>
      </c>
      <c r="D4873" s="5">
        <v>0.1</v>
      </c>
      <c r="E4873" s="5">
        <v>107.8</v>
      </c>
      <c r="F4873" s="5">
        <v>213.8</v>
      </c>
      <c r="G4873" s="5">
        <v>106.3</v>
      </c>
      <c r="H4873" s="5">
        <v>106.2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106.7</v>
      </c>
      <c r="D4874" s="5">
        <v>0.1</v>
      </c>
      <c r="E4874" s="5">
        <v>106.9</v>
      </c>
      <c r="F4874" s="5">
        <v>213.3</v>
      </c>
      <c r="G4874" s="5">
        <v>106</v>
      </c>
      <c r="H4874" s="5">
        <v>105.8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106.7</v>
      </c>
      <c r="D4875" s="5">
        <v>0.1</v>
      </c>
      <c r="E4875" s="5">
        <v>106.9</v>
      </c>
      <c r="F4875" s="5">
        <v>213.3</v>
      </c>
      <c r="G4875" s="5">
        <v>106</v>
      </c>
      <c r="H4875" s="5">
        <v>105.8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106.7</v>
      </c>
      <c r="D4876" s="5">
        <v>0.1</v>
      </c>
      <c r="E4876" s="5">
        <v>106.9</v>
      </c>
      <c r="F4876" s="5">
        <v>213.3</v>
      </c>
      <c r="G4876" s="5">
        <v>106</v>
      </c>
      <c r="H4876" s="5">
        <v>105.8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106.7</v>
      </c>
      <c r="D4877" s="5">
        <v>0.1</v>
      </c>
      <c r="E4877" s="5">
        <v>106.9</v>
      </c>
      <c r="F4877" s="5">
        <v>213.3</v>
      </c>
      <c r="G4877" s="5">
        <v>106</v>
      </c>
      <c r="H4877" s="5">
        <v>105.8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108.1</v>
      </c>
      <c r="D4878" s="5">
        <v>0.1</v>
      </c>
      <c r="E4878" s="5">
        <v>108.2</v>
      </c>
      <c r="F4878" s="5">
        <v>213.2</v>
      </c>
      <c r="G4878" s="5">
        <v>106</v>
      </c>
      <c r="H4878" s="5">
        <v>106.5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108.1</v>
      </c>
      <c r="D4879" s="5">
        <v>0.1</v>
      </c>
      <c r="E4879" s="5">
        <v>108.2</v>
      </c>
      <c r="F4879" s="5">
        <v>213.2</v>
      </c>
      <c r="G4879" s="5">
        <v>106</v>
      </c>
      <c r="H4879" s="5">
        <v>106.5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106.9</v>
      </c>
      <c r="D4880" s="5">
        <v>0.1</v>
      </c>
      <c r="E4880" s="5">
        <v>107</v>
      </c>
      <c r="F4880" s="5">
        <v>213.1</v>
      </c>
      <c r="G4880" s="5">
        <v>106</v>
      </c>
      <c r="H4880" s="5">
        <v>105.8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106.9</v>
      </c>
      <c r="D4881" s="5">
        <v>0.1</v>
      </c>
      <c r="E4881" s="5">
        <v>107</v>
      </c>
      <c r="F4881" s="5">
        <v>213.1</v>
      </c>
      <c r="G4881" s="5">
        <v>106</v>
      </c>
      <c r="H4881" s="5">
        <v>105.8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107.3</v>
      </c>
      <c r="D4882" s="5">
        <v>0.1</v>
      </c>
      <c r="E4882" s="5">
        <v>107.5</v>
      </c>
      <c r="F4882" s="5">
        <v>213.1</v>
      </c>
      <c r="G4882" s="5">
        <v>106</v>
      </c>
      <c r="H4882" s="5">
        <v>105.9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107.3</v>
      </c>
      <c r="D4883" s="5">
        <v>0.1</v>
      </c>
      <c r="E4883" s="5">
        <v>107.5</v>
      </c>
      <c r="F4883" s="5">
        <v>213.1</v>
      </c>
      <c r="G4883" s="5">
        <v>106</v>
      </c>
      <c r="H4883" s="5">
        <v>105.9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107.5</v>
      </c>
      <c r="D4884" s="5">
        <v>0.1</v>
      </c>
      <c r="E4884" s="5">
        <v>107.6</v>
      </c>
      <c r="F4884" s="5">
        <v>214.2</v>
      </c>
      <c r="G4884" s="5">
        <v>106.6</v>
      </c>
      <c r="H4884" s="5">
        <v>106.4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107.5</v>
      </c>
      <c r="D4885" s="5">
        <v>0.1</v>
      </c>
      <c r="E4885" s="5">
        <v>107.6</v>
      </c>
      <c r="F4885" s="5">
        <v>214.2</v>
      </c>
      <c r="G4885" s="5">
        <v>106.6</v>
      </c>
      <c r="H4885" s="5">
        <v>106.4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107.5</v>
      </c>
      <c r="D4886" s="5">
        <v>0.1</v>
      </c>
      <c r="E4886" s="5">
        <v>107.6</v>
      </c>
      <c r="F4886" s="5">
        <v>214.2</v>
      </c>
      <c r="G4886" s="5">
        <v>106.6</v>
      </c>
      <c r="H4886" s="5">
        <v>106.4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107.5</v>
      </c>
      <c r="D4887" s="5">
        <v>0.1</v>
      </c>
      <c r="E4887" s="5">
        <v>107.6</v>
      </c>
      <c r="F4887" s="5">
        <v>214.2</v>
      </c>
      <c r="G4887" s="5">
        <v>106.6</v>
      </c>
      <c r="H4887" s="5">
        <v>106.4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107.5</v>
      </c>
      <c r="D4888" s="5">
        <v>0.1</v>
      </c>
      <c r="E4888" s="5">
        <v>107.5</v>
      </c>
      <c r="F4888" s="5">
        <v>213.5</v>
      </c>
      <c r="G4888" s="5">
        <v>106.1</v>
      </c>
      <c r="H4888" s="5">
        <v>106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107.5</v>
      </c>
      <c r="D4889" s="5">
        <v>0.1</v>
      </c>
      <c r="E4889" s="5">
        <v>107.5</v>
      </c>
      <c r="F4889" s="5">
        <v>213.5</v>
      </c>
      <c r="G4889" s="5">
        <v>106.1</v>
      </c>
      <c r="H4889" s="5">
        <v>106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106.9</v>
      </c>
      <c r="D4890" s="5">
        <v>0.1</v>
      </c>
      <c r="E4890" s="5">
        <v>107.1</v>
      </c>
      <c r="F4890" s="5">
        <v>213.8</v>
      </c>
      <c r="G4890" s="5">
        <v>106.2</v>
      </c>
      <c r="H4890" s="5">
        <v>106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106.9</v>
      </c>
      <c r="D4891" s="5">
        <v>0.1</v>
      </c>
      <c r="E4891" s="5">
        <v>107.1</v>
      </c>
      <c r="F4891" s="5">
        <v>213.8</v>
      </c>
      <c r="G4891" s="5">
        <v>106.2</v>
      </c>
      <c r="H4891" s="5">
        <v>106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107.3</v>
      </c>
      <c r="D4892" s="5">
        <v>0.1</v>
      </c>
      <c r="E4892" s="5">
        <v>107.5</v>
      </c>
      <c r="F4892" s="5">
        <v>213.1</v>
      </c>
      <c r="G4892" s="5">
        <v>105.9</v>
      </c>
      <c r="H4892" s="5">
        <v>105.8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107.3</v>
      </c>
      <c r="D4893" s="5">
        <v>0.1</v>
      </c>
      <c r="E4893" s="5">
        <v>107.5</v>
      </c>
      <c r="F4893" s="5">
        <v>213.1</v>
      </c>
      <c r="G4893" s="5">
        <v>105.9</v>
      </c>
      <c r="H4893" s="5">
        <v>105.8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107</v>
      </c>
      <c r="D4894" s="5">
        <v>0.1</v>
      </c>
      <c r="E4894" s="5">
        <v>107.2</v>
      </c>
      <c r="F4894" s="5">
        <v>212.8</v>
      </c>
      <c r="G4894" s="5">
        <v>105.8</v>
      </c>
      <c r="H4894" s="5">
        <v>105.8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107</v>
      </c>
      <c r="D4895" s="5">
        <v>0.1</v>
      </c>
      <c r="E4895" s="5">
        <v>107.2</v>
      </c>
      <c r="F4895" s="5">
        <v>212.8</v>
      </c>
      <c r="G4895" s="5">
        <v>105.8</v>
      </c>
      <c r="H4895" s="5">
        <v>105.8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107</v>
      </c>
      <c r="D4896" s="5">
        <v>0.1</v>
      </c>
      <c r="E4896" s="5">
        <v>107.2</v>
      </c>
      <c r="F4896" s="5">
        <v>212.8</v>
      </c>
      <c r="G4896" s="5">
        <v>105.8</v>
      </c>
      <c r="H4896" s="5">
        <v>105.8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107</v>
      </c>
      <c r="D4897" s="5">
        <v>0.1</v>
      </c>
      <c r="E4897" s="5">
        <v>107.2</v>
      </c>
      <c r="F4897" s="5">
        <v>212.8</v>
      </c>
      <c r="G4897" s="5">
        <v>105.8</v>
      </c>
      <c r="H4897" s="5">
        <v>105.8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107.1</v>
      </c>
      <c r="D4898" s="5">
        <v>0.1</v>
      </c>
      <c r="E4898" s="5">
        <v>107.2</v>
      </c>
      <c r="F4898" s="5">
        <v>212.5</v>
      </c>
      <c r="G4898" s="5">
        <v>105.6</v>
      </c>
      <c r="H4898" s="5">
        <v>105.6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107.1</v>
      </c>
      <c r="D4899" s="5">
        <v>0.1</v>
      </c>
      <c r="E4899" s="5">
        <v>107.2</v>
      </c>
      <c r="F4899" s="5">
        <v>212.5</v>
      </c>
      <c r="G4899" s="5">
        <v>105.6</v>
      </c>
      <c r="H4899" s="5">
        <v>105.6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106.9</v>
      </c>
      <c r="D4900" s="5">
        <v>0.1</v>
      </c>
      <c r="E4900" s="5">
        <v>106.9</v>
      </c>
      <c r="F4900" s="5">
        <v>212.7</v>
      </c>
      <c r="G4900" s="5">
        <v>105.7</v>
      </c>
      <c r="H4900" s="5">
        <v>105.6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106.9</v>
      </c>
      <c r="D4901" s="5">
        <v>0.1</v>
      </c>
      <c r="E4901" s="5">
        <v>106.9</v>
      </c>
      <c r="F4901" s="5">
        <v>212.7</v>
      </c>
      <c r="G4901" s="5">
        <v>105.7</v>
      </c>
      <c r="H4901" s="5">
        <v>105.6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106.9</v>
      </c>
      <c r="D4902" s="5">
        <v>0.1</v>
      </c>
      <c r="E4902" s="5">
        <v>106.9</v>
      </c>
      <c r="F4902" s="5">
        <v>212.7</v>
      </c>
      <c r="G4902" s="5">
        <v>105.7</v>
      </c>
      <c r="H4902" s="5">
        <v>105.6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106.9</v>
      </c>
      <c r="D4903" s="5">
        <v>0.1</v>
      </c>
      <c r="E4903" s="5">
        <v>106.9</v>
      </c>
      <c r="F4903" s="5">
        <v>212.7</v>
      </c>
      <c r="G4903" s="5">
        <v>105.7</v>
      </c>
      <c r="H4903" s="5">
        <v>105.6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106.9</v>
      </c>
      <c r="D4904" s="5">
        <v>0.1</v>
      </c>
      <c r="E4904" s="5">
        <v>106.9</v>
      </c>
      <c r="F4904" s="5">
        <v>212.7</v>
      </c>
      <c r="G4904" s="5">
        <v>105.7</v>
      </c>
      <c r="H4904" s="5">
        <v>105.6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106.9</v>
      </c>
      <c r="D4905" s="5">
        <v>0.1</v>
      </c>
      <c r="E4905" s="5">
        <v>106.9</v>
      </c>
      <c r="F4905" s="5">
        <v>212.7</v>
      </c>
      <c r="G4905" s="5">
        <v>105.7</v>
      </c>
      <c r="H4905" s="5">
        <v>105.6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106.9</v>
      </c>
      <c r="D4906" s="5">
        <v>0.1</v>
      </c>
      <c r="E4906" s="5">
        <v>106.9</v>
      </c>
      <c r="F4906" s="5">
        <v>212.7</v>
      </c>
      <c r="G4906" s="5">
        <v>105.7</v>
      </c>
      <c r="H4906" s="5">
        <v>105.6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106.8</v>
      </c>
      <c r="D4907" s="5">
        <v>0.1</v>
      </c>
      <c r="E4907" s="5">
        <v>106.9</v>
      </c>
      <c r="F4907" s="5">
        <v>212.7</v>
      </c>
      <c r="G4907" s="5">
        <v>105.8</v>
      </c>
      <c r="H4907" s="5">
        <v>105.7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107.2</v>
      </c>
      <c r="D4908" s="5">
        <v>0.1</v>
      </c>
      <c r="E4908" s="5">
        <v>107.2</v>
      </c>
      <c r="F4908" s="5">
        <v>212.7</v>
      </c>
      <c r="G4908" s="5">
        <v>105.7</v>
      </c>
      <c r="H4908" s="5">
        <v>105.6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107.2</v>
      </c>
      <c r="D4909" s="5">
        <v>0.1</v>
      </c>
      <c r="E4909" s="5">
        <v>107.2</v>
      </c>
      <c r="F4909" s="5">
        <v>212.7</v>
      </c>
      <c r="G4909" s="5">
        <v>105.7</v>
      </c>
      <c r="H4909" s="5">
        <v>105.6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106.5</v>
      </c>
      <c r="D4910" s="5">
        <v>0.1</v>
      </c>
      <c r="E4910" s="5">
        <v>106.6</v>
      </c>
      <c r="F4910" s="5">
        <v>212.5</v>
      </c>
      <c r="G4910" s="5">
        <v>105.7</v>
      </c>
      <c r="H4910" s="5">
        <v>105.6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106.5</v>
      </c>
      <c r="D4911" s="5">
        <v>0.1</v>
      </c>
      <c r="E4911" s="5">
        <v>106.6</v>
      </c>
      <c r="F4911" s="5">
        <v>212.5</v>
      </c>
      <c r="G4911" s="5">
        <v>105.7</v>
      </c>
      <c r="H4911" s="5">
        <v>105.6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106.5</v>
      </c>
      <c r="D4912" s="5">
        <v>0.1</v>
      </c>
      <c r="E4912" s="5">
        <v>106.6</v>
      </c>
      <c r="F4912" s="5">
        <v>212.5</v>
      </c>
      <c r="G4912" s="5">
        <v>105.7</v>
      </c>
      <c r="H4912" s="5">
        <v>105.6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106.5</v>
      </c>
      <c r="D4913" s="5">
        <v>0.1</v>
      </c>
      <c r="E4913" s="5">
        <v>106.6</v>
      </c>
      <c r="F4913" s="5">
        <v>212.5</v>
      </c>
      <c r="G4913" s="5">
        <v>105.7</v>
      </c>
      <c r="H4913" s="5">
        <v>105.6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107.3</v>
      </c>
      <c r="D4914" s="5">
        <v>0.1</v>
      </c>
      <c r="E4914" s="5">
        <v>107.5</v>
      </c>
      <c r="F4914" s="5">
        <v>213.4</v>
      </c>
      <c r="G4914" s="5">
        <v>106.1</v>
      </c>
      <c r="H4914" s="5">
        <v>105.9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107.3</v>
      </c>
      <c r="D4915" s="5">
        <v>0.1</v>
      </c>
      <c r="E4915" s="5">
        <v>107.5</v>
      </c>
      <c r="F4915" s="5">
        <v>213.4</v>
      </c>
      <c r="G4915" s="5">
        <v>106.1</v>
      </c>
      <c r="H4915" s="5">
        <v>105.9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107.3</v>
      </c>
      <c r="D4916" s="5">
        <v>0.1</v>
      </c>
      <c r="E4916" s="5">
        <v>107.5</v>
      </c>
      <c r="F4916" s="5">
        <v>212.8</v>
      </c>
      <c r="G4916" s="5">
        <v>105.8</v>
      </c>
      <c r="H4916" s="5">
        <v>105.7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107.3</v>
      </c>
      <c r="D4917" s="5">
        <v>0.1</v>
      </c>
      <c r="E4917" s="5">
        <v>107.5</v>
      </c>
      <c r="F4917" s="5">
        <v>212.8</v>
      </c>
      <c r="G4917" s="5">
        <v>105.8</v>
      </c>
      <c r="H4917" s="5">
        <v>105.7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106.8</v>
      </c>
      <c r="D4918" s="5">
        <v>0.1</v>
      </c>
      <c r="E4918" s="5">
        <v>106.9</v>
      </c>
      <c r="F4918" s="5">
        <v>211.9</v>
      </c>
      <c r="G4918" s="5">
        <v>105.4</v>
      </c>
      <c r="H4918" s="5">
        <v>105.3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106.8</v>
      </c>
      <c r="D4919" s="5">
        <v>0.1</v>
      </c>
      <c r="E4919" s="5">
        <v>106.9</v>
      </c>
      <c r="F4919" s="5">
        <v>211.9</v>
      </c>
      <c r="G4919" s="5">
        <v>105.4</v>
      </c>
      <c r="H4919" s="5">
        <v>105.3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106.6</v>
      </c>
      <c r="D4920" s="5">
        <v>0.1</v>
      </c>
      <c r="E4920" s="5">
        <v>106.8</v>
      </c>
      <c r="F4920" s="5">
        <v>213.1</v>
      </c>
      <c r="G4920" s="5">
        <v>105.9</v>
      </c>
      <c r="H4920" s="5">
        <v>105.8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106.6</v>
      </c>
      <c r="D4921" s="5">
        <v>0.1</v>
      </c>
      <c r="E4921" s="5">
        <v>106.8</v>
      </c>
      <c r="F4921" s="5">
        <v>213.1</v>
      </c>
      <c r="G4921" s="5">
        <v>105.9</v>
      </c>
      <c r="H4921" s="5">
        <v>105.8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106.6</v>
      </c>
      <c r="D4922" s="5">
        <v>0.1</v>
      </c>
      <c r="E4922" s="5">
        <v>106.8</v>
      </c>
      <c r="F4922" s="5">
        <v>213.1</v>
      </c>
      <c r="G4922" s="5">
        <v>105.9</v>
      </c>
      <c r="H4922" s="5">
        <v>105.8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106.6</v>
      </c>
      <c r="D4923" s="5">
        <v>0.1</v>
      </c>
      <c r="E4923" s="5">
        <v>106.8</v>
      </c>
      <c r="F4923" s="5">
        <v>213.1</v>
      </c>
      <c r="G4923" s="5">
        <v>105.9</v>
      </c>
      <c r="H4923" s="5">
        <v>105.8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107.5</v>
      </c>
      <c r="D4924" s="5">
        <v>0.1</v>
      </c>
      <c r="E4924" s="5">
        <v>107.6</v>
      </c>
      <c r="F4924" s="5">
        <v>213.9</v>
      </c>
      <c r="G4924" s="5">
        <v>106.4</v>
      </c>
      <c r="H4924" s="5">
        <v>106.3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107.5</v>
      </c>
      <c r="D4925" s="5">
        <v>0.1</v>
      </c>
      <c r="E4925" s="5">
        <v>107.6</v>
      </c>
      <c r="F4925" s="5">
        <v>213.9</v>
      </c>
      <c r="G4925" s="5">
        <v>106.4</v>
      </c>
      <c r="H4925" s="5">
        <v>106.3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107.8</v>
      </c>
      <c r="D4926" s="5">
        <v>0.1</v>
      </c>
      <c r="E4926" s="5">
        <v>108</v>
      </c>
      <c r="F4926" s="5">
        <v>214.1</v>
      </c>
      <c r="G4926" s="5">
        <v>106.5</v>
      </c>
      <c r="H4926" s="5">
        <v>106.3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107.8</v>
      </c>
      <c r="D4927" s="5">
        <v>0.1</v>
      </c>
      <c r="E4927" s="5">
        <v>108</v>
      </c>
      <c r="F4927" s="5">
        <v>214.1</v>
      </c>
      <c r="G4927" s="5">
        <v>106.5</v>
      </c>
      <c r="H4927" s="5">
        <v>106.3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107.5</v>
      </c>
      <c r="D4928" s="5">
        <v>0.1</v>
      </c>
      <c r="E4928" s="5">
        <v>107.6</v>
      </c>
      <c r="F4928" s="5">
        <v>213.7</v>
      </c>
      <c r="G4928" s="5">
        <v>106.3</v>
      </c>
      <c r="H4928" s="5">
        <v>106.1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107.5</v>
      </c>
      <c r="D4929" s="5">
        <v>0.1</v>
      </c>
      <c r="E4929" s="5">
        <v>107.6</v>
      </c>
      <c r="F4929" s="5">
        <v>213.7</v>
      </c>
      <c r="G4929" s="5">
        <v>106.3</v>
      </c>
      <c r="H4929" s="5">
        <v>106.1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107.5</v>
      </c>
      <c r="D4930" s="5">
        <v>0.1</v>
      </c>
      <c r="E4930" s="5">
        <v>107.6</v>
      </c>
      <c r="F4930" s="5">
        <v>213.7</v>
      </c>
      <c r="G4930" s="5">
        <v>106.3</v>
      </c>
      <c r="H4930" s="5">
        <v>106.1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107.5</v>
      </c>
      <c r="D4931" s="5">
        <v>0.1</v>
      </c>
      <c r="E4931" s="5">
        <v>107.6</v>
      </c>
      <c r="F4931" s="5">
        <v>213.7</v>
      </c>
      <c r="G4931" s="5">
        <v>106.3</v>
      </c>
      <c r="H4931" s="5">
        <v>106.1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107.5</v>
      </c>
      <c r="D4932" s="5">
        <v>0.1</v>
      </c>
      <c r="E4932" s="5">
        <v>107.6</v>
      </c>
      <c r="F4932" s="5">
        <v>213.7</v>
      </c>
      <c r="G4932" s="5">
        <v>106.3</v>
      </c>
      <c r="H4932" s="5">
        <v>106.1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107.5</v>
      </c>
      <c r="D4933" s="5">
        <v>0.1</v>
      </c>
      <c r="E4933" s="5">
        <v>107.6</v>
      </c>
      <c r="F4933" s="5">
        <v>213.7</v>
      </c>
      <c r="G4933" s="5">
        <v>106.3</v>
      </c>
      <c r="H4933" s="5">
        <v>106.1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107.2</v>
      </c>
      <c r="D4934" s="5">
        <v>0.1</v>
      </c>
      <c r="E4934" s="5">
        <v>107.3</v>
      </c>
      <c r="F4934" s="5">
        <v>213.4</v>
      </c>
      <c r="G4934" s="5">
        <v>106.1</v>
      </c>
      <c r="H4934" s="5">
        <v>105.9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107.2</v>
      </c>
      <c r="D4935" s="5">
        <v>0.1</v>
      </c>
      <c r="E4935" s="5">
        <v>107.3</v>
      </c>
      <c r="F4935" s="5">
        <v>213.4</v>
      </c>
      <c r="G4935" s="5">
        <v>106.1</v>
      </c>
      <c r="H4935" s="5">
        <v>105.9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107.5</v>
      </c>
      <c r="D4936" s="5">
        <v>0.1</v>
      </c>
      <c r="E4936" s="5">
        <v>107.6</v>
      </c>
      <c r="F4936" s="5">
        <v>213.8</v>
      </c>
      <c r="G4936" s="5">
        <v>106.3</v>
      </c>
      <c r="H4936" s="5">
        <v>106.1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107.5</v>
      </c>
      <c r="D4937" s="5">
        <v>0.1</v>
      </c>
      <c r="E4937" s="5">
        <v>107.6</v>
      </c>
      <c r="F4937" s="5">
        <v>213.8</v>
      </c>
      <c r="G4937" s="5">
        <v>106.3</v>
      </c>
      <c r="H4937" s="5">
        <v>106.1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107.6</v>
      </c>
      <c r="D4938" s="5">
        <v>0.1</v>
      </c>
      <c r="E4938" s="5">
        <v>107.8</v>
      </c>
      <c r="F4938" s="5">
        <v>214.3</v>
      </c>
      <c r="G4938" s="5">
        <v>106.5</v>
      </c>
      <c r="H4938" s="5">
        <v>106.4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107.6</v>
      </c>
      <c r="D4939" s="5">
        <v>0.1</v>
      </c>
      <c r="E4939" s="5">
        <v>107.8</v>
      </c>
      <c r="F4939" s="5">
        <v>214.3</v>
      </c>
      <c r="G4939" s="5">
        <v>106.5</v>
      </c>
      <c r="H4939" s="5">
        <v>106.4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108.2</v>
      </c>
      <c r="D4940" s="5">
        <v>0.1</v>
      </c>
      <c r="E4940" s="5">
        <v>108.4</v>
      </c>
      <c r="F4940" s="5">
        <v>215.2</v>
      </c>
      <c r="G4940" s="5">
        <v>107</v>
      </c>
      <c r="H4940" s="5">
        <v>106.9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108.2</v>
      </c>
      <c r="D4941" s="5">
        <v>0.1</v>
      </c>
      <c r="E4941" s="5">
        <v>108.4</v>
      </c>
      <c r="F4941" s="5">
        <v>215.2</v>
      </c>
      <c r="G4941" s="5">
        <v>107</v>
      </c>
      <c r="H4941" s="5">
        <v>106.9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108.2</v>
      </c>
      <c r="D4942" s="5">
        <v>0.1</v>
      </c>
      <c r="E4942" s="5">
        <v>108.4</v>
      </c>
      <c r="F4942" s="5">
        <v>215.2</v>
      </c>
      <c r="G4942" s="5">
        <v>107</v>
      </c>
      <c r="H4942" s="5">
        <v>106.9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108.2</v>
      </c>
      <c r="D4943" s="5">
        <v>0.1</v>
      </c>
      <c r="E4943" s="5">
        <v>108.4</v>
      </c>
      <c r="F4943" s="5">
        <v>215.2</v>
      </c>
      <c r="G4943" s="5">
        <v>107</v>
      </c>
      <c r="H4943" s="5">
        <v>106.9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106.1</v>
      </c>
      <c r="D4944" s="5">
        <v>0.1</v>
      </c>
      <c r="E4944" s="5">
        <v>106.2</v>
      </c>
      <c r="F4944" s="5">
        <v>211.2</v>
      </c>
      <c r="G4944" s="5">
        <v>105.3</v>
      </c>
      <c r="H4944" s="5">
        <v>105.1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106.1</v>
      </c>
      <c r="D4945" s="5">
        <v>0.1</v>
      </c>
      <c r="E4945" s="5">
        <v>106.2</v>
      </c>
      <c r="F4945" s="5">
        <v>211.2</v>
      </c>
      <c r="G4945" s="5">
        <v>105.3</v>
      </c>
      <c r="H4945" s="5">
        <v>105.1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105.9</v>
      </c>
      <c r="D4946" s="5">
        <v>0.1</v>
      </c>
      <c r="E4946" s="5">
        <v>106.1</v>
      </c>
      <c r="F4946" s="5">
        <v>210.2</v>
      </c>
      <c r="G4946" s="5">
        <v>104.5</v>
      </c>
      <c r="H4946" s="5">
        <v>104.4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105.9</v>
      </c>
      <c r="D4947" s="5">
        <v>0.1</v>
      </c>
      <c r="E4947" s="5">
        <v>106.1</v>
      </c>
      <c r="F4947" s="5">
        <v>210.2</v>
      </c>
      <c r="G4947" s="5">
        <v>104.5</v>
      </c>
      <c r="H4947" s="5">
        <v>104.4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105.9</v>
      </c>
      <c r="D4948" s="5">
        <v>0.1</v>
      </c>
      <c r="E4948" s="5">
        <v>106</v>
      </c>
      <c r="F4948" s="5">
        <v>211</v>
      </c>
      <c r="G4948" s="5">
        <v>104.9</v>
      </c>
      <c r="H4948" s="5">
        <v>104.7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105.9</v>
      </c>
      <c r="D4949" s="5">
        <v>0.1</v>
      </c>
      <c r="E4949" s="5">
        <v>106</v>
      </c>
      <c r="F4949" s="5">
        <v>211</v>
      </c>
      <c r="G4949" s="5">
        <v>104.9</v>
      </c>
      <c r="H4949" s="5">
        <v>104.7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105.3</v>
      </c>
      <c r="D4950" s="5">
        <v>0.1</v>
      </c>
      <c r="E4950" s="5">
        <v>105.4</v>
      </c>
      <c r="F4950" s="5">
        <v>210.2</v>
      </c>
      <c r="G4950" s="5">
        <v>104.5</v>
      </c>
      <c r="H4950" s="5">
        <v>104.3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105.3</v>
      </c>
      <c r="D4951" s="5">
        <v>0.1</v>
      </c>
      <c r="E4951" s="5">
        <v>105.4</v>
      </c>
      <c r="F4951" s="5">
        <v>210.2</v>
      </c>
      <c r="G4951" s="5">
        <v>104.5</v>
      </c>
      <c r="H4951" s="5">
        <v>104.3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105.3</v>
      </c>
      <c r="D4952" s="5">
        <v>0.1</v>
      </c>
      <c r="E4952" s="5">
        <v>105.4</v>
      </c>
      <c r="F4952" s="5">
        <v>210.2</v>
      </c>
      <c r="G4952" s="5">
        <v>104.5</v>
      </c>
      <c r="H4952" s="5">
        <v>104.3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105.3</v>
      </c>
      <c r="D4953" s="5">
        <v>0.1</v>
      </c>
      <c r="E4953" s="5">
        <v>106.4</v>
      </c>
      <c r="F4953" s="5">
        <v>210.6</v>
      </c>
      <c r="G4953" s="5">
        <v>104.7</v>
      </c>
      <c r="H4953" s="5">
        <v>104.7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106.2</v>
      </c>
      <c r="D4954" s="5">
        <v>0.1</v>
      </c>
      <c r="E4954" s="5">
        <v>106.4</v>
      </c>
      <c r="F4954" s="5">
        <v>210.6</v>
      </c>
      <c r="G4954" s="5">
        <v>104.7</v>
      </c>
      <c r="H4954" s="5">
        <v>104.7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106.2</v>
      </c>
      <c r="D4955" s="5">
        <v>0.1</v>
      </c>
      <c r="E4955" s="5">
        <v>106</v>
      </c>
      <c r="F4955" s="5">
        <v>210.7</v>
      </c>
      <c r="G4955" s="5">
        <v>104.7</v>
      </c>
      <c r="H4955" s="5">
        <v>104.7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105.9</v>
      </c>
      <c r="D4956" s="5">
        <v>0.1</v>
      </c>
      <c r="E4956" s="5">
        <v>106</v>
      </c>
      <c r="F4956" s="5">
        <v>210.7</v>
      </c>
      <c r="G4956" s="5">
        <v>104.7</v>
      </c>
      <c r="H4956" s="5">
        <v>104.6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105.9</v>
      </c>
      <c r="D4957" s="5">
        <v>0.1</v>
      </c>
      <c r="E4957" s="5">
        <v>105.7</v>
      </c>
      <c r="F4957" s="5">
        <v>210.7</v>
      </c>
      <c r="G4957" s="5">
        <v>104.7</v>
      </c>
      <c r="H4957" s="5">
        <v>104.6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105.6</v>
      </c>
      <c r="D4958" s="5">
        <v>0.1</v>
      </c>
      <c r="E4958" s="5">
        <v>105.7</v>
      </c>
      <c r="F4958" s="5">
        <v>210.7</v>
      </c>
      <c r="G4958" s="5">
        <v>104.7</v>
      </c>
      <c r="H4958" s="5">
        <v>104.6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105.6</v>
      </c>
      <c r="D4959" s="5">
        <v>0.1</v>
      </c>
      <c r="E4959" s="5">
        <v>105.7</v>
      </c>
      <c r="F4959" s="5">
        <v>210.7</v>
      </c>
      <c r="G4959" s="5">
        <v>104.7</v>
      </c>
      <c r="H4959" s="5">
        <v>104.6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106.8</v>
      </c>
      <c r="D4960" s="5">
        <v>0.1</v>
      </c>
      <c r="E4960" s="5">
        <v>106.9</v>
      </c>
      <c r="F4960" s="5">
        <v>211.4</v>
      </c>
      <c r="G4960" s="5">
        <v>105.1</v>
      </c>
      <c r="H4960" s="5">
        <v>105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106.8</v>
      </c>
      <c r="D4961" s="5">
        <v>0.1</v>
      </c>
      <c r="E4961" s="5">
        <v>106.9</v>
      </c>
      <c r="F4961" s="5">
        <v>211.4</v>
      </c>
      <c r="G4961" s="5">
        <v>105.1</v>
      </c>
      <c r="H4961" s="5">
        <v>105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106.8</v>
      </c>
      <c r="D4962" s="5">
        <v>0.1</v>
      </c>
      <c r="E4962" s="5">
        <v>106.9</v>
      </c>
      <c r="F4962" s="5">
        <v>211.4</v>
      </c>
      <c r="G4962" s="5">
        <v>105.1</v>
      </c>
      <c r="H4962" s="5">
        <v>105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106.8</v>
      </c>
      <c r="D4963" s="5">
        <v>0.1</v>
      </c>
      <c r="E4963" s="5">
        <v>106.9</v>
      </c>
      <c r="F4963" s="5">
        <v>211.4</v>
      </c>
      <c r="G4963" s="5">
        <v>105.1</v>
      </c>
      <c r="H4963" s="5">
        <v>105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105.5</v>
      </c>
      <c r="D4964" s="5">
        <v>0.1</v>
      </c>
      <c r="E4964" s="5">
        <v>105.6</v>
      </c>
      <c r="F4964" s="5">
        <v>210.4</v>
      </c>
      <c r="G4964" s="5">
        <v>104.7</v>
      </c>
      <c r="H4964" s="5">
        <v>104.6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105.5</v>
      </c>
      <c r="D4965" s="5">
        <v>0.1</v>
      </c>
      <c r="E4965" s="5">
        <v>105.6</v>
      </c>
      <c r="F4965" s="5">
        <v>210.4</v>
      </c>
      <c r="G4965" s="5">
        <v>104.7</v>
      </c>
      <c r="H4965" s="5">
        <v>104.6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106.2</v>
      </c>
      <c r="D4966" s="5">
        <v>0.1</v>
      </c>
      <c r="E4966" s="5">
        <v>106.3</v>
      </c>
      <c r="F4966" s="5">
        <v>210</v>
      </c>
      <c r="G4966" s="5">
        <v>104.4</v>
      </c>
      <c r="H4966" s="5">
        <v>104.4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106.2</v>
      </c>
      <c r="D4967" s="5">
        <v>0.1</v>
      </c>
      <c r="E4967" s="5">
        <v>106.3</v>
      </c>
      <c r="F4967" s="5">
        <v>210</v>
      </c>
      <c r="G4967" s="5">
        <v>104.4</v>
      </c>
      <c r="H4967" s="5">
        <v>104.4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108.6</v>
      </c>
      <c r="D4968" s="5">
        <v>0.1</v>
      </c>
      <c r="E4968" s="5">
        <v>108.8</v>
      </c>
      <c r="F4968" s="5">
        <v>216.7</v>
      </c>
      <c r="G4968" s="5">
        <v>107.8</v>
      </c>
      <c r="H4968" s="5">
        <v>107.7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108.6</v>
      </c>
      <c r="D4969" s="5">
        <v>0.1</v>
      </c>
      <c r="E4969" s="5">
        <v>108.8</v>
      </c>
      <c r="F4969" s="5">
        <v>216.7</v>
      </c>
      <c r="G4969" s="5">
        <v>107.8</v>
      </c>
      <c r="H4969" s="5">
        <v>107.7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108.9</v>
      </c>
      <c r="D4970" s="5">
        <v>0.1</v>
      </c>
      <c r="E4970" s="5">
        <v>109.1</v>
      </c>
      <c r="F4970" s="5">
        <v>216.3</v>
      </c>
      <c r="G4970" s="5">
        <v>107.6</v>
      </c>
      <c r="H4970" s="5">
        <v>107.4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108.9</v>
      </c>
      <c r="D4971" s="5">
        <v>0.1</v>
      </c>
      <c r="E4971" s="5">
        <v>109.1</v>
      </c>
      <c r="F4971" s="5">
        <v>216.3</v>
      </c>
      <c r="G4971" s="5">
        <v>107.6</v>
      </c>
      <c r="H4971" s="5">
        <v>107.4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108.9</v>
      </c>
      <c r="D4972" s="5">
        <v>0.1</v>
      </c>
      <c r="E4972" s="5">
        <v>109.1</v>
      </c>
      <c r="F4972" s="5">
        <v>216.3</v>
      </c>
      <c r="G4972" s="5">
        <v>107.6</v>
      </c>
      <c r="H4972" s="5">
        <v>107.4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108.9</v>
      </c>
      <c r="D4973" s="5">
        <v>0.1</v>
      </c>
      <c r="E4973" s="5">
        <v>109.1</v>
      </c>
      <c r="F4973" s="5">
        <v>216.3</v>
      </c>
      <c r="G4973" s="5">
        <v>107.6</v>
      </c>
      <c r="H4973" s="5">
        <v>104.3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105.5</v>
      </c>
      <c r="D4974" s="5">
        <v>0.1</v>
      </c>
      <c r="E4974" s="5">
        <v>105.6</v>
      </c>
      <c r="F4974" s="5">
        <v>210.4</v>
      </c>
      <c r="G4974" s="5">
        <v>104.5</v>
      </c>
      <c r="H4974" s="5">
        <v>104.3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105.5</v>
      </c>
      <c r="D4975" s="5">
        <v>0.1</v>
      </c>
      <c r="E4975" s="5">
        <v>105.6</v>
      </c>
      <c r="F4975" s="5">
        <v>210.4</v>
      </c>
      <c r="G4975" s="5">
        <v>104.5</v>
      </c>
      <c r="H4975" s="5">
        <v>104.6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106.1</v>
      </c>
      <c r="D4976" s="5">
        <v>0.1</v>
      </c>
      <c r="E4976" s="5">
        <v>106.2</v>
      </c>
      <c r="F4976" s="5">
        <v>210.8</v>
      </c>
      <c r="G4976" s="5">
        <v>104.7</v>
      </c>
      <c r="H4976" s="5">
        <v>104.6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106.1</v>
      </c>
      <c r="D4977" s="5">
        <v>0.1</v>
      </c>
      <c r="E4977" s="5">
        <v>106.2</v>
      </c>
      <c r="F4977" s="5">
        <v>210.8</v>
      </c>
      <c r="G4977" s="5">
        <v>104.7</v>
      </c>
      <c r="H4977" s="5">
        <v>101.7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103.3</v>
      </c>
      <c r="D4978" s="5">
        <v>0.1</v>
      </c>
      <c r="E4978" s="5">
        <v>103.4</v>
      </c>
      <c r="F4978" s="5">
        <v>205</v>
      </c>
      <c r="G4978" s="5">
        <v>101.9</v>
      </c>
      <c r="H4978" s="5">
        <v>101.7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103.3</v>
      </c>
      <c r="D4979" s="5">
        <v>0.1</v>
      </c>
      <c r="E4979" s="5">
        <v>103.4</v>
      </c>
      <c r="F4979" s="5">
        <v>205</v>
      </c>
      <c r="G4979" s="5">
        <v>101.9</v>
      </c>
      <c r="H4979" s="5">
        <v>101.7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105.6</v>
      </c>
      <c r="D4980" s="5">
        <v>0.1</v>
      </c>
      <c r="E4980" s="5">
        <v>105.8</v>
      </c>
      <c r="F4980" s="5">
        <v>210</v>
      </c>
      <c r="G4980" s="5">
        <v>104.5</v>
      </c>
      <c r="H4980" s="5">
        <v>104.4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105.6</v>
      </c>
      <c r="D4981" s="5">
        <v>0.1</v>
      </c>
      <c r="E4981" s="5">
        <v>105.8</v>
      </c>
      <c r="F4981" s="5">
        <v>210</v>
      </c>
      <c r="G4981" s="5">
        <v>104.5</v>
      </c>
      <c r="H4981" s="5">
        <v>104.4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105.6</v>
      </c>
      <c r="D4982" s="5">
        <v>0.1</v>
      </c>
      <c r="E4982" s="5">
        <v>105.8</v>
      </c>
      <c r="F4982" s="5">
        <v>210</v>
      </c>
      <c r="G4982" s="5">
        <v>104.5</v>
      </c>
      <c r="H4982" s="5">
        <v>104.4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106.6</v>
      </c>
      <c r="D4983" s="5">
        <v>0.1</v>
      </c>
      <c r="E4983" s="5">
        <v>106.7</v>
      </c>
      <c r="F4983" s="5">
        <v>212.2</v>
      </c>
      <c r="G4983" s="5">
        <v>105.5</v>
      </c>
      <c r="H4983" s="5">
        <v>105.4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106.6</v>
      </c>
      <c r="D4984" s="5">
        <v>0.1</v>
      </c>
      <c r="E4984" s="5">
        <v>106.7</v>
      </c>
      <c r="F4984" s="5">
        <v>212.2</v>
      </c>
      <c r="G4984" s="5">
        <v>105.5</v>
      </c>
      <c r="H4984" s="5">
        <v>105.4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108.7</v>
      </c>
      <c r="D4985" s="5">
        <v>0.1</v>
      </c>
      <c r="E4985" s="5">
        <v>108.8</v>
      </c>
      <c r="F4985" s="5">
        <v>216.4</v>
      </c>
      <c r="G4985" s="5">
        <v>107.6</v>
      </c>
      <c r="H4985" s="5">
        <v>107.4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108.7</v>
      </c>
      <c r="D4986" s="5">
        <v>0.1</v>
      </c>
      <c r="E4986" s="5">
        <v>108.8</v>
      </c>
      <c r="F4986" s="5">
        <v>216.4</v>
      </c>
      <c r="G4986" s="5">
        <v>107.6</v>
      </c>
      <c r="H4986" s="5">
        <v>107.4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107.9</v>
      </c>
      <c r="D4987" s="5">
        <v>0.1</v>
      </c>
      <c r="E4987" s="5">
        <v>108.1</v>
      </c>
      <c r="F4987" s="5">
        <v>215.7</v>
      </c>
      <c r="G4987" s="5">
        <v>107.4</v>
      </c>
      <c r="H4987" s="5">
        <v>107.2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107.9</v>
      </c>
      <c r="D4988" s="5">
        <v>0.1</v>
      </c>
      <c r="E4988" s="5">
        <v>108.1</v>
      </c>
      <c r="F4988" s="5">
        <v>215.7</v>
      </c>
      <c r="G4988" s="5">
        <v>107.4</v>
      </c>
      <c r="H4988" s="5">
        <v>107.2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107.4</v>
      </c>
      <c r="D4989" s="5">
        <v>0.1</v>
      </c>
      <c r="E4989" s="5">
        <v>107.5</v>
      </c>
      <c r="F4989" s="5">
        <v>212.6</v>
      </c>
      <c r="G4989" s="5">
        <v>105.7</v>
      </c>
      <c r="H4989" s="5">
        <v>105.6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107.4</v>
      </c>
      <c r="D4990" s="5">
        <v>0.1</v>
      </c>
      <c r="E4990" s="5">
        <v>107.5</v>
      </c>
      <c r="F4990" s="5">
        <v>212.6</v>
      </c>
      <c r="G4990" s="5">
        <v>105.7</v>
      </c>
      <c r="H4990" s="5">
        <v>105.6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107.4</v>
      </c>
      <c r="D4991" s="5">
        <v>0.1</v>
      </c>
      <c r="E4991" s="5">
        <v>107.5</v>
      </c>
      <c r="F4991" s="5">
        <v>212.6</v>
      </c>
      <c r="G4991" s="5">
        <v>105.7</v>
      </c>
      <c r="H4991" s="5">
        <v>105.6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107.4</v>
      </c>
      <c r="D4992" s="5">
        <v>0.1</v>
      </c>
      <c r="E4992" s="5">
        <v>107.5</v>
      </c>
      <c r="F4992" s="5">
        <v>212.6</v>
      </c>
      <c r="G4992" s="5">
        <v>105.7</v>
      </c>
      <c r="H4992" s="5">
        <v>105.6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105.5</v>
      </c>
      <c r="D4993" s="5">
        <v>0.1</v>
      </c>
      <c r="E4993" s="5">
        <v>105.6</v>
      </c>
      <c r="F4993" s="5">
        <v>212.6</v>
      </c>
      <c r="G4993" s="5">
        <v>105.7</v>
      </c>
      <c r="H4993" s="5">
        <v>105.6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105.5</v>
      </c>
      <c r="D4994" s="5">
        <v>0.1</v>
      </c>
      <c r="E4994" s="5">
        <v>105.6</v>
      </c>
      <c r="F4994" s="5">
        <v>209.9</v>
      </c>
      <c r="G4994" s="5">
        <v>104.3</v>
      </c>
      <c r="H4994" s="5">
        <v>104.2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104.8</v>
      </c>
      <c r="D4995" s="5">
        <v>0.1</v>
      </c>
      <c r="E4995" s="5">
        <v>105.6</v>
      </c>
      <c r="F4995" s="5">
        <v>209.9</v>
      </c>
      <c r="G4995" s="5">
        <v>104.3</v>
      </c>
      <c r="H4995" s="5">
        <v>104.2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104.8</v>
      </c>
      <c r="D4996" s="5">
        <v>0.1</v>
      </c>
      <c r="E4996" s="5">
        <v>105</v>
      </c>
      <c r="F4996" s="5">
        <v>208.8</v>
      </c>
      <c r="G4996" s="5">
        <v>103.8</v>
      </c>
      <c r="H4996" s="5">
        <v>103.7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104.8</v>
      </c>
      <c r="D4997" s="5">
        <v>0.1</v>
      </c>
      <c r="E4997" s="5">
        <v>105</v>
      </c>
      <c r="F4997" s="5">
        <v>208.8</v>
      </c>
      <c r="G4997" s="5">
        <v>103.8</v>
      </c>
      <c r="H4997" s="5">
        <v>103.7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105.7</v>
      </c>
      <c r="D4998" s="5">
        <v>0.1</v>
      </c>
      <c r="E4998" s="5">
        <v>105.9</v>
      </c>
      <c r="F4998" s="5">
        <v>209.9</v>
      </c>
      <c r="G4998" s="5">
        <v>104.3</v>
      </c>
      <c r="H4998" s="5">
        <v>104.2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105.7</v>
      </c>
      <c r="D4999" s="5">
        <v>0.1</v>
      </c>
      <c r="E4999" s="5">
        <v>105.9</v>
      </c>
      <c r="F4999" s="5">
        <v>209.9</v>
      </c>
      <c r="G4999" s="5">
        <v>104.3</v>
      </c>
      <c r="H4999" s="5">
        <v>104.2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106.1</v>
      </c>
      <c r="D5000" s="5">
        <v>0.1</v>
      </c>
      <c r="E5000" s="5">
        <v>106.2</v>
      </c>
      <c r="F5000" s="5">
        <v>211.2</v>
      </c>
      <c r="G5000" s="5">
        <v>105</v>
      </c>
      <c r="H5000" s="5">
        <v>104.8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106.1</v>
      </c>
      <c r="D5001" s="5">
        <v>0.1</v>
      </c>
      <c r="E5001" s="5">
        <v>106.2</v>
      </c>
      <c r="F5001" s="5">
        <v>211.2</v>
      </c>
      <c r="G5001" s="5">
        <v>105</v>
      </c>
      <c r="H5001" s="5">
        <v>104.8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106.1</v>
      </c>
      <c r="D5002" s="5">
        <v>0.1</v>
      </c>
      <c r="E5002" s="5">
        <v>106.2</v>
      </c>
      <c r="F5002" s="5">
        <v>211.2</v>
      </c>
      <c r="G5002" s="5">
        <v>105</v>
      </c>
      <c r="H5002" s="5">
        <v>104.8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106.1</v>
      </c>
      <c r="D5003" s="5">
        <v>0.1</v>
      </c>
      <c r="E5003" s="5">
        <v>106.6</v>
      </c>
      <c r="F5003" s="5">
        <v>210.5</v>
      </c>
      <c r="G5003" s="5">
        <v>104.6</v>
      </c>
      <c r="H5003" s="5">
        <v>104.5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106.4</v>
      </c>
      <c r="D5004" s="5">
        <v>0.1</v>
      </c>
      <c r="E5004" s="5">
        <v>106.6</v>
      </c>
      <c r="F5004" s="5">
        <v>210.5</v>
      </c>
      <c r="G5004" s="5">
        <v>104.6</v>
      </c>
      <c r="H5004" s="5">
        <v>104.5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106.4</v>
      </c>
      <c r="D5005" s="5">
        <v>0.1</v>
      </c>
      <c r="E5005" s="5">
        <v>106.6</v>
      </c>
      <c r="F5005" s="5">
        <v>210.5</v>
      </c>
      <c r="G5005" s="5">
        <v>104.7</v>
      </c>
      <c r="H5005" s="5">
        <v>104.6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105.6</v>
      </c>
      <c r="D5006" s="5">
        <v>0.1</v>
      </c>
      <c r="E5006" s="5">
        <v>105.7</v>
      </c>
      <c r="F5006" s="5">
        <v>210.5</v>
      </c>
      <c r="G5006" s="5">
        <v>104.7</v>
      </c>
      <c r="H5006" s="5">
        <v>104.6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105.6</v>
      </c>
      <c r="D5007" s="5">
        <v>0.1</v>
      </c>
      <c r="E5007" s="5">
        <v>105.7</v>
      </c>
      <c r="F5007" s="5">
        <v>211.2</v>
      </c>
      <c r="G5007" s="5">
        <v>105</v>
      </c>
      <c r="H5007" s="5">
        <v>104.9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106.6</v>
      </c>
      <c r="D5008" s="5">
        <v>0.1</v>
      </c>
      <c r="E5008" s="5">
        <v>106.7</v>
      </c>
      <c r="F5008" s="5">
        <v>211.2</v>
      </c>
      <c r="G5008" s="5">
        <v>105</v>
      </c>
      <c r="H5008" s="5">
        <v>104.9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106.6</v>
      </c>
      <c r="D5009" s="5">
        <v>0.1</v>
      </c>
      <c r="E5009" s="5">
        <v>106.7</v>
      </c>
      <c r="F5009" s="5">
        <v>211.2</v>
      </c>
      <c r="G5009" s="5">
        <v>104.2</v>
      </c>
      <c r="H5009" s="5">
        <v>104.1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105.3</v>
      </c>
      <c r="D5010" s="5">
        <v>0.1</v>
      </c>
      <c r="E5010" s="5">
        <v>105.4</v>
      </c>
      <c r="F5010" s="5">
        <v>209.5</v>
      </c>
      <c r="G5010" s="5">
        <v>104.2</v>
      </c>
      <c r="H5010" s="5">
        <v>104.1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105.3</v>
      </c>
      <c r="D5011" s="5">
        <v>0.1</v>
      </c>
      <c r="E5011" s="5">
        <v>105.4</v>
      </c>
      <c r="F5011" s="5">
        <v>209.5</v>
      </c>
      <c r="G5011" s="5">
        <v>104.2</v>
      </c>
      <c r="H5011" s="5">
        <v>104.1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105.3</v>
      </c>
      <c r="D5012" s="5">
        <v>0.1</v>
      </c>
      <c r="E5012" s="5">
        <v>105.4</v>
      </c>
      <c r="F5012" s="5">
        <v>209.5</v>
      </c>
      <c r="G5012" s="5">
        <v>104.2</v>
      </c>
      <c r="H5012" s="5">
        <v>104.1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106</v>
      </c>
      <c r="D5013" s="5">
        <v>0.1</v>
      </c>
      <c r="E5013" s="5">
        <v>106.2</v>
      </c>
      <c r="F5013" s="5">
        <v>210.6</v>
      </c>
      <c r="G5013" s="5">
        <v>104.7</v>
      </c>
      <c r="H5013" s="5">
        <v>104.6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106</v>
      </c>
      <c r="D5014" s="5">
        <v>0.1</v>
      </c>
      <c r="E5014" s="5">
        <v>106.2</v>
      </c>
      <c r="F5014" s="5">
        <v>210.6</v>
      </c>
      <c r="G5014" s="5">
        <v>104.7</v>
      </c>
      <c r="H5014" s="5">
        <v>104.6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106.5</v>
      </c>
      <c r="D5015" s="5">
        <v>0.1</v>
      </c>
      <c r="E5015" s="5">
        <v>106.6</v>
      </c>
      <c r="F5015" s="5">
        <v>211</v>
      </c>
      <c r="G5015" s="5">
        <v>105</v>
      </c>
      <c r="H5015" s="5">
        <v>104.8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106.5</v>
      </c>
      <c r="D5016" s="5">
        <v>0.1</v>
      </c>
      <c r="E5016" s="5">
        <v>106.6</v>
      </c>
      <c r="F5016" s="5">
        <v>211</v>
      </c>
      <c r="G5016" s="5">
        <v>105</v>
      </c>
      <c r="H5016" s="5">
        <v>104.8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105.7</v>
      </c>
      <c r="D5017" s="5">
        <v>0.1</v>
      </c>
      <c r="E5017" s="5">
        <v>105.8</v>
      </c>
      <c r="F5017" s="5">
        <v>210.3</v>
      </c>
      <c r="G5017" s="5">
        <v>104.6</v>
      </c>
      <c r="H5017" s="5">
        <v>104.4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105.7</v>
      </c>
      <c r="D5018" s="5">
        <v>0.1</v>
      </c>
      <c r="E5018" s="5">
        <v>105.8</v>
      </c>
      <c r="F5018" s="5">
        <v>210.3</v>
      </c>
      <c r="G5018" s="5">
        <v>104.6</v>
      </c>
      <c r="H5018" s="5">
        <v>104.4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106.3</v>
      </c>
      <c r="D5019" s="5">
        <v>0.1</v>
      </c>
      <c r="E5019" s="5">
        <v>106.4</v>
      </c>
      <c r="F5019" s="5">
        <v>211</v>
      </c>
      <c r="G5019" s="5">
        <v>104.8</v>
      </c>
      <c r="H5019" s="5">
        <v>104.7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106.3</v>
      </c>
      <c r="D5020" s="5">
        <v>0.1</v>
      </c>
      <c r="E5020" s="5">
        <v>106.4</v>
      </c>
      <c r="F5020" s="5">
        <v>211</v>
      </c>
      <c r="G5020" s="5">
        <v>104.8</v>
      </c>
      <c r="H5020" s="5">
        <v>104.7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106.3</v>
      </c>
      <c r="D5021" s="5">
        <v>0.1</v>
      </c>
      <c r="E5021" s="5">
        <v>106.4</v>
      </c>
      <c r="F5021" s="5">
        <v>211</v>
      </c>
      <c r="G5021" s="5">
        <v>104.8</v>
      </c>
      <c r="H5021" s="5">
        <v>104.7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106.3</v>
      </c>
      <c r="D5022" s="5">
        <v>0.1</v>
      </c>
      <c r="E5022" s="5">
        <v>106.4</v>
      </c>
      <c r="F5022" s="5">
        <v>211</v>
      </c>
      <c r="G5022" s="5">
        <v>104.8</v>
      </c>
      <c r="H5022" s="5">
        <v>104.7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106.4</v>
      </c>
      <c r="D5023" s="5">
        <v>0.1</v>
      </c>
      <c r="E5023" s="5">
        <v>106.2</v>
      </c>
      <c r="F5023" s="5">
        <v>210.8</v>
      </c>
      <c r="G5023" s="5">
        <v>104.8</v>
      </c>
      <c r="H5023" s="5">
        <v>104.7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106.4</v>
      </c>
      <c r="D5024" s="5">
        <v>0.1</v>
      </c>
      <c r="E5024" s="5">
        <v>106.2</v>
      </c>
      <c r="F5024" s="5">
        <v>210.8</v>
      </c>
      <c r="G5024" s="5">
        <v>104.8</v>
      </c>
      <c r="H5024" s="5">
        <v>104.7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106.3</v>
      </c>
      <c r="D5025" s="5">
        <v>0.1</v>
      </c>
      <c r="E5025" s="5">
        <v>106.6</v>
      </c>
      <c r="F5025" s="5">
        <v>211.4</v>
      </c>
      <c r="G5025" s="5">
        <v>105.1</v>
      </c>
      <c r="H5025" s="5">
        <v>104.9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106.3</v>
      </c>
      <c r="D5026" s="5">
        <v>0.1</v>
      </c>
      <c r="E5026" s="5">
        <v>106.6</v>
      </c>
      <c r="F5026" s="5">
        <v>211.4</v>
      </c>
      <c r="G5026" s="5">
        <v>105.1</v>
      </c>
      <c r="H5026" s="5">
        <v>104.9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106.1</v>
      </c>
      <c r="D5027" s="5">
        <v>0.1</v>
      </c>
      <c r="E5027" s="5">
        <v>106.2</v>
      </c>
      <c r="F5027" s="5">
        <v>211.2</v>
      </c>
      <c r="G5027" s="5">
        <v>104.9</v>
      </c>
      <c r="H5027" s="5">
        <v>104.8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106.1</v>
      </c>
      <c r="D5028" s="5">
        <v>0.1</v>
      </c>
      <c r="E5028" s="5">
        <v>106.2</v>
      </c>
      <c r="F5028" s="5">
        <v>211.2</v>
      </c>
      <c r="G5028" s="5">
        <v>104.9</v>
      </c>
      <c r="H5028" s="5">
        <v>104.8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106.6</v>
      </c>
      <c r="D5029" s="5">
        <v>0.1</v>
      </c>
      <c r="E5029" s="5">
        <v>106.7</v>
      </c>
      <c r="F5029" s="5">
        <v>211.4</v>
      </c>
      <c r="G5029" s="5">
        <v>105.1</v>
      </c>
      <c r="H5029" s="5">
        <v>104.9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106.6</v>
      </c>
      <c r="D5030" s="5">
        <v>0.1</v>
      </c>
      <c r="E5030" s="5">
        <v>106.7</v>
      </c>
      <c r="F5030" s="5">
        <v>211.4</v>
      </c>
      <c r="G5030" s="5">
        <v>105.1</v>
      </c>
      <c r="H5030" s="5">
        <v>104.9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106.6</v>
      </c>
      <c r="D5031" s="5">
        <v>0.1</v>
      </c>
      <c r="E5031" s="5">
        <v>106.7</v>
      </c>
      <c r="F5031" s="5">
        <v>211.4</v>
      </c>
      <c r="G5031" s="5">
        <v>105.1</v>
      </c>
      <c r="H5031" s="5">
        <v>104.9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106.6</v>
      </c>
      <c r="D5032" s="5">
        <v>0.1</v>
      </c>
      <c r="E5032" s="5">
        <v>106.7</v>
      </c>
      <c r="F5032" s="5">
        <v>211.4</v>
      </c>
      <c r="G5032" s="5">
        <v>105.1</v>
      </c>
      <c r="H5032" s="5">
        <v>104.9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107</v>
      </c>
      <c r="D5033" s="5">
        <v>0.1</v>
      </c>
      <c r="E5033" s="5">
        <v>107.2</v>
      </c>
      <c r="F5033" s="5">
        <v>211.6</v>
      </c>
      <c r="G5033" s="5">
        <v>105.2</v>
      </c>
      <c r="H5033" s="5">
        <v>105.2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107</v>
      </c>
      <c r="D5034" s="5">
        <v>0.1</v>
      </c>
      <c r="E5034" s="5">
        <v>107.2</v>
      </c>
      <c r="F5034" s="5">
        <v>211.6</v>
      </c>
      <c r="G5034" s="5">
        <v>105.2</v>
      </c>
      <c r="H5034" s="5">
        <v>105.2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106.6</v>
      </c>
      <c r="D5035" s="5">
        <v>0.1</v>
      </c>
      <c r="E5035" s="5">
        <v>106.8</v>
      </c>
      <c r="F5035" s="5">
        <v>212.3</v>
      </c>
      <c r="G5035" s="5">
        <v>105.4</v>
      </c>
      <c r="H5035" s="5">
        <v>105.1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106.6</v>
      </c>
      <c r="D5036" s="5">
        <v>0.1</v>
      </c>
      <c r="E5036" s="5">
        <v>106.8</v>
      </c>
      <c r="F5036" s="5">
        <v>212.3</v>
      </c>
      <c r="G5036" s="5">
        <v>105.4</v>
      </c>
      <c r="H5036" s="5">
        <v>105.1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106</v>
      </c>
      <c r="D5037" s="5">
        <v>0.1</v>
      </c>
      <c r="E5037" s="5">
        <v>106.2</v>
      </c>
      <c r="F5037" s="5">
        <v>211.1</v>
      </c>
      <c r="G5037" s="5">
        <v>104.9</v>
      </c>
      <c r="H5037" s="5">
        <v>104.8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106</v>
      </c>
      <c r="D5038" s="5">
        <v>0.1</v>
      </c>
      <c r="E5038" s="5">
        <v>106.2</v>
      </c>
      <c r="F5038" s="5">
        <v>211.1</v>
      </c>
      <c r="G5038" s="5">
        <v>104.9</v>
      </c>
      <c r="H5038" s="5">
        <v>104.8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106.2</v>
      </c>
      <c r="D5039" s="5">
        <v>0.1</v>
      </c>
      <c r="E5039" s="5">
        <v>106.5</v>
      </c>
      <c r="F5039" s="5">
        <v>211.4</v>
      </c>
      <c r="G5039" s="5">
        <v>105.1</v>
      </c>
      <c r="H5039" s="5">
        <v>104.9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106.2</v>
      </c>
      <c r="D5040" s="5">
        <v>0.1</v>
      </c>
      <c r="E5040" s="5">
        <v>106.5</v>
      </c>
      <c r="F5040" s="5">
        <v>211.4</v>
      </c>
      <c r="G5040" s="5">
        <v>105.1</v>
      </c>
      <c r="H5040" s="5">
        <v>104.9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106.2</v>
      </c>
      <c r="D5041" s="5">
        <v>0.1</v>
      </c>
      <c r="E5041" s="5">
        <v>106.5</v>
      </c>
      <c r="F5041" s="5">
        <v>211.4</v>
      </c>
      <c r="G5041" s="5">
        <v>105.1</v>
      </c>
      <c r="H5041" s="5">
        <v>104.9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106.2</v>
      </c>
      <c r="D5042" s="5">
        <v>0.1</v>
      </c>
      <c r="E5042" s="5">
        <v>106.5</v>
      </c>
      <c r="F5042" s="5">
        <v>211.4</v>
      </c>
      <c r="G5042" s="5">
        <v>105.1</v>
      </c>
      <c r="H5042" s="5">
        <v>104.9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106.3</v>
      </c>
      <c r="D5043" s="5">
        <v>0.1</v>
      </c>
      <c r="E5043" s="5">
        <v>106.5</v>
      </c>
      <c r="F5043" s="5">
        <v>211.3</v>
      </c>
      <c r="G5043" s="5">
        <v>105</v>
      </c>
      <c r="H5043" s="5">
        <v>104.8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106.3</v>
      </c>
      <c r="D5044" s="5">
        <v>0.1</v>
      </c>
      <c r="E5044" s="5">
        <v>106.5</v>
      </c>
      <c r="F5044" s="5">
        <v>211.3</v>
      </c>
      <c r="G5044" s="5">
        <v>105</v>
      </c>
      <c r="H5044" s="5">
        <v>104.8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106.2</v>
      </c>
      <c r="D5045" s="5">
        <v>0.1</v>
      </c>
      <c r="E5045" s="5">
        <v>106.4</v>
      </c>
      <c r="F5045" s="5">
        <v>211.5</v>
      </c>
      <c r="G5045" s="5">
        <v>105.1</v>
      </c>
      <c r="H5045" s="5">
        <v>105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106.2</v>
      </c>
      <c r="D5046" s="5">
        <v>0.1</v>
      </c>
      <c r="E5046" s="5">
        <v>106.4</v>
      </c>
      <c r="F5046" s="5">
        <v>211.5</v>
      </c>
      <c r="G5046" s="5">
        <v>105.1</v>
      </c>
      <c r="H5046" s="5">
        <v>105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106.6</v>
      </c>
      <c r="D5047" s="5">
        <v>0.1</v>
      </c>
      <c r="E5047" s="5">
        <v>106.8</v>
      </c>
      <c r="F5047" s="5">
        <v>212.1</v>
      </c>
      <c r="G5047" s="5">
        <v>105.4</v>
      </c>
      <c r="H5047" s="5">
        <v>105.2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106.6</v>
      </c>
      <c r="D5048" s="5">
        <v>0.1</v>
      </c>
      <c r="E5048" s="5">
        <v>106.8</v>
      </c>
      <c r="F5048" s="5">
        <v>212.1</v>
      </c>
      <c r="G5048" s="5">
        <v>105.4</v>
      </c>
      <c r="H5048" s="5">
        <v>105.2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106.7</v>
      </c>
      <c r="D5049" s="5">
        <v>0.1</v>
      </c>
      <c r="E5049" s="5">
        <v>106.9</v>
      </c>
      <c r="F5049" s="5">
        <v>211.7</v>
      </c>
      <c r="G5049" s="5">
        <v>105.2</v>
      </c>
      <c r="H5049" s="5">
        <v>105.1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106.7</v>
      </c>
      <c r="D5050" s="5">
        <v>0.1</v>
      </c>
      <c r="E5050" s="5">
        <v>106.9</v>
      </c>
      <c r="F5050" s="5">
        <v>211.7</v>
      </c>
      <c r="G5050" s="5">
        <v>105.2</v>
      </c>
      <c r="H5050" s="5">
        <v>105.1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106.7</v>
      </c>
      <c r="D5051" s="5">
        <v>0.1</v>
      </c>
      <c r="E5051" s="5">
        <v>106.9</v>
      </c>
      <c r="F5051" s="5">
        <v>211.7</v>
      </c>
      <c r="G5051" s="5">
        <v>105.2</v>
      </c>
      <c r="H5051" s="5">
        <v>105.1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106.7</v>
      </c>
      <c r="D5052" s="5">
        <v>0.1</v>
      </c>
      <c r="E5052" s="5">
        <v>106.9</v>
      </c>
      <c r="F5052" s="5">
        <v>211.7</v>
      </c>
      <c r="G5052" s="5">
        <v>105.2</v>
      </c>
      <c r="H5052" s="5">
        <v>105.1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106.7</v>
      </c>
      <c r="D5053" s="5">
        <v>0.1</v>
      </c>
      <c r="E5053" s="5">
        <v>106.9</v>
      </c>
      <c r="F5053" s="5">
        <v>211.7</v>
      </c>
      <c r="G5053" s="5">
        <v>105.2</v>
      </c>
      <c r="H5053" s="5">
        <v>105.1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106.7</v>
      </c>
      <c r="D5054" s="5">
        <v>0.1</v>
      </c>
      <c r="E5054" s="5">
        <v>106.9</v>
      </c>
      <c r="F5054" s="5">
        <v>211.7</v>
      </c>
      <c r="G5054" s="5">
        <v>105.2</v>
      </c>
      <c r="H5054" s="5">
        <v>105.1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106.6</v>
      </c>
      <c r="D5055" s="5">
        <v>0.1</v>
      </c>
      <c r="E5055" s="5">
        <v>106.7</v>
      </c>
      <c r="F5055" s="5">
        <v>212</v>
      </c>
      <c r="G5055" s="5">
        <v>105.3</v>
      </c>
      <c r="H5055" s="5">
        <v>105.2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106.6</v>
      </c>
      <c r="D5056" s="5">
        <v>0.1</v>
      </c>
      <c r="E5056" s="5">
        <v>106.7</v>
      </c>
      <c r="F5056" s="5">
        <v>212</v>
      </c>
      <c r="G5056" s="5">
        <v>105.3</v>
      </c>
      <c r="H5056" s="5">
        <v>105.2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106.6</v>
      </c>
      <c r="D5057" s="5">
        <v>0.1</v>
      </c>
      <c r="E5057" s="5">
        <v>106.8</v>
      </c>
      <c r="F5057" s="5">
        <v>212.3</v>
      </c>
      <c r="G5057" s="5">
        <v>105.5</v>
      </c>
      <c r="H5057" s="5">
        <v>105.3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106.6</v>
      </c>
      <c r="D5058" s="5">
        <v>0.1</v>
      </c>
      <c r="E5058" s="5">
        <v>106.8</v>
      </c>
      <c r="F5058" s="5">
        <v>212.3</v>
      </c>
      <c r="G5058" s="5">
        <v>105.5</v>
      </c>
      <c r="H5058" s="5">
        <v>105.3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106.6</v>
      </c>
      <c r="D5059" s="5">
        <v>0.1</v>
      </c>
      <c r="E5059" s="5">
        <v>106.8</v>
      </c>
      <c r="F5059" s="5">
        <v>212.3</v>
      </c>
      <c r="G5059" s="5">
        <v>105.5</v>
      </c>
      <c r="H5059" s="5">
        <v>105.3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106.6</v>
      </c>
      <c r="D5060" s="5">
        <v>0.1</v>
      </c>
      <c r="E5060" s="5">
        <v>106.8</v>
      </c>
      <c r="F5060" s="5">
        <v>212.3</v>
      </c>
      <c r="G5060" s="5">
        <v>105.5</v>
      </c>
      <c r="H5060" s="5">
        <v>105.3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106.6</v>
      </c>
      <c r="D5061" s="5">
        <v>0.1</v>
      </c>
      <c r="E5061" s="5">
        <v>106.8</v>
      </c>
      <c r="F5061" s="5">
        <v>212.3</v>
      </c>
      <c r="G5061" s="5">
        <v>105.5</v>
      </c>
      <c r="H5061" s="5">
        <v>105.3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106.6</v>
      </c>
      <c r="D5062" s="5">
        <v>0.1</v>
      </c>
      <c r="E5062" s="5">
        <v>106.8</v>
      </c>
      <c r="F5062" s="5">
        <v>212.3</v>
      </c>
      <c r="G5062" s="5">
        <v>105.5</v>
      </c>
      <c r="H5062" s="5">
        <v>105.3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106.9</v>
      </c>
      <c r="D5063" s="5">
        <v>0.1</v>
      </c>
      <c r="E5063" s="5">
        <v>107.1</v>
      </c>
      <c r="F5063" s="5">
        <v>212.2</v>
      </c>
      <c r="G5063" s="5">
        <v>105.5</v>
      </c>
      <c r="H5063" s="5">
        <v>105.4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106.9</v>
      </c>
      <c r="D5064" s="5">
        <v>0.1</v>
      </c>
      <c r="E5064" s="5">
        <v>107.1</v>
      </c>
      <c r="F5064" s="5">
        <v>212.2</v>
      </c>
      <c r="G5064" s="5">
        <v>105.5</v>
      </c>
      <c r="H5064" s="5">
        <v>105.4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106.7</v>
      </c>
      <c r="D5065" s="5">
        <v>0.1</v>
      </c>
      <c r="E5065" s="5">
        <v>106.9</v>
      </c>
      <c r="F5065" s="5">
        <v>212.1</v>
      </c>
      <c r="G5065" s="5">
        <v>105.4</v>
      </c>
      <c r="H5065" s="5">
        <v>105.3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106.7</v>
      </c>
      <c r="D5066" s="5">
        <v>0.1</v>
      </c>
      <c r="E5066" s="5">
        <v>106.9</v>
      </c>
      <c r="F5066" s="5">
        <v>212.1</v>
      </c>
      <c r="G5066" s="5">
        <v>105.4</v>
      </c>
      <c r="H5066" s="5">
        <v>105.3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106.3</v>
      </c>
      <c r="D5067" s="5">
        <v>0.1</v>
      </c>
      <c r="E5067" s="5">
        <v>106.5</v>
      </c>
      <c r="F5067" s="5">
        <v>211.5</v>
      </c>
      <c r="G5067" s="5">
        <v>105.1</v>
      </c>
      <c r="H5067" s="5">
        <v>104.9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106.3</v>
      </c>
      <c r="D5068" s="5">
        <v>0.1</v>
      </c>
      <c r="E5068" s="5">
        <v>106.5</v>
      </c>
      <c r="F5068" s="5">
        <v>211.5</v>
      </c>
      <c r="G5068" s="5">
        <v>105.1</v>
      </c>
      <c r="H5068" s="5">
        <v>104.9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106.6</v>
      </c>
      <c r="D5069" s="5">
        <v>0.1</v>
      </c>
      <c r="E5069" s="5">
        <v>106.8</v>
      </c>
      <c r="F5069" s="5">
        <v>211.4</v>
      </c>
      <c r="G5069" s="5">
        <v>105.1</v>
      </c>
      <c r="H5069" s="5">
        <v>104.9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106.6</v>
      </c>
      <c r="D5070" s="5">
        <v>0.1</v>
      </c>
      <c r="E5070" s="5">
        <v>106.8</v>
      </c>
      <c r="F5070" s="5">
        <v>211.4</v>
      </c>
      <c r="G5070" s="5">
        <v>105.1</v>
      </c>
      <c r="H5070" s="5">
        <v>104.9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106.6</v>
      </c>
      <c r="D5071" s="5">
        <v>0.1</v>
      </c>
      <c r="E5071" s="5">
        <v>106.8</v>
      </c>
      <c r="F5071" s="5">
        <v>211.4</v>
      </c>
      <c r="G5071" s="5">
        <v>105.1</v>
      </c>
      <c r="H5071" s="5">
        <v>104.9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106.6</v>
      </c>
      <c r="D5072" s="5">
        <v>0.1</v>
      </c>
      <c r="E5072" s="5">
        <v>106.8</v>
      </c>
      <c r="F5072" s="5">
        <v>211.4</v>
      </c>
      <c r="G5072" s="5">
        <v>105.1</v>
      </c>
      <c r="H5072" s="5">
        <v>104.9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105.9</v>
      </c>
      <c r="D5073" s="5">
        <v>0.1</v>
      </c>
      <c r="E5073" s="5">
        <v>106.1</v>
      </c>
      <c r="F5073" s="5">
        <v>210.9</v>
      </c>
      <c r="G5073" s="5">
        <v>104.8</v>
      </c>
      <c r="H5073" s="5">
        <v>104.6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105.9</v>
      </c>
      <c r="D5074" s="5">
        <v>0.1</v>
      </c>
      <c r="E5074" s="5">
        <v>106.1</v>
      </c>
      <c r="F5074" s="5">
        <v>210.9</v>
      </c>
      <c r="G5074" s="5">
        <v>104.8</v>
      </c>
      <c r="H5074" s="5">
        <v>104.6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106</v>
      </c>
      <c r="D5075" s="5">
        <v>0.1</v>
      </c>
      <c r="E5075" s="5">
        <v>106.2</v>
      </c>
      <c r="F5075" s="5">
        <v>210.9</v>
      </c>
      <c r="G5075" s="5">
        <v>104.8</v>
      </c>
      <c r="H5075" s="5">
        <v>104.7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106</v>
      </c>
      <c r="D5076" s="5">
        <v>0.1</v>
      </c>
      <c r="E5076" s="5">
        <v>106.2</v>
      </c>
      <c r="F5076" s="5">
        <v>210.9</v>
      </c>
      <c r="G5076" s="5">
        <v>104.8</v>
      </c>
      <c r="H5076" s="5">
        <v>104.7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105.6</v>
      </c>
      <c r="D5077" s="5">
        <v>0.1</v>
      </c>
      <c r="E5077" s="5">
        <v>105.8</v>
      </c>
      <c r="F5077" s="5">
        <v>210.5</v>
      </c>
      <c r="G5077" s="5">
        <v>104.7</v>
      </c>
      <c r="H5077" s="5">
        <v>104.6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105.6</v>
      </c>
      <c r="D5078" s="5">
        <v>0.1</v>
      </c>
      <c r="E5078" s="5">
        <v>105.8</v>
      </c>
      <c r="F5078" s="5">
        <v>210.5</v>
      </c>
      <c r="G5078" s="5">
        <v>104.7</v>
      </c>
      <c r="H5078" s="5">
        <v>104.6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105.9</v>
      </c>
      <c r="D5079" s="5">
        <v>0.1</v>
      </c>
      <c r="E5079" s="5">
        <v>106.1</v>
      </c>
      <c r="F5079" s="5">
        <v>211</v>
      </c>
      <c r="G5079" s="5">
        <v>104.8</v>
      </c>
      <c r="H5079" s="5">
        <v>104.7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105.9</v>
      </c>
      <c r="D5080" s="5">
        <v>0.1</v>
      </c>
      <c r="E5080" s="5">
        <v>106.1</v>
      </c>
      <c r="F5080" s="5">
        <v>211</v>
      </c>
      <c r="G5080" s="5">
        <v>104.8</v>
      </c>
      <c r="H5080" s="5">
        <v>104.7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105.9</v>
      </c>
      <c r="D5081" s="5">
        <v>0.1</v>
      </c>
      <c r="E5081" s="5">
        <v>106.1</v>
      </c>
      <c r="F5081" s="5">
        <v>211</v>
      </c>
      <c r="G5081" s="5">
        <v>104.8</v>
      </c>
      <c r="H5081" s="5">
        <v>104.7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105.9</v>
      </c>
      <c r="D5082" s="5">
        <v>0.1</v>
      </c>
      <c r="E5082" s="5">
        <v>106.1</v>
      </c>
      <c r="F5082" s="5">
        <v>211</v>
      </c>
      <c r="G5082" s="5">
        <v>104.8</v>
      </c>
      <c r="H5082" s="5">
        <v>104.7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106.7</v>
      </c>
      <c r="D5083" s="5">
        <v>0.1</v>
      </c>
      <c r="E5083" s="5">
        <v>106.9</v>
      </c>
      <c r="F5083" s="5">
        <v>212.3</v>
      </c>
      <c r="G5083" s="5">
        <v>105.5</v>
      </c>
      <c r="H5083" s="5">
        <v>105.3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106.7</v>
      </c>
      <c r="D5084" s="5">
        <v>0.1</v>
      </c>
      <c r="E5084" s="5">
        <v>106.9</v>
      </c>
      <c r="F5084" s="5">
        <v>212.3</v>
      </c>
      <c r="G5084" s="5">
        <v>105.5</v>
      </c>
      <c r="H5084" s="5">
        <v>105.3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106.5</v>
      </c>
      <c r="D5085" s="5">
        <v>0.1</v>
      </c>
      <c r="E5085" s="5">
        <v>106.6</v>
      </c>
      <c r="F5085" s="5">
        <v>212</v>
      </c>
      <c r="G5085" s="5">
        <v>105.3</v>
      </c>
      <c r="H5085" s="5">
        <v>105.2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106.5</v>
      </c>
      <c r="D5086" s="5">
        <v>0.1</v>
      </c>
      <c r="E5086" s="5">
        <v>106.6</v>
      </c>
      <c r="F5086" s="5">
        <v>212</v>
      </c>
      <c r="G5086" s="5">
        <v>105.3</v>
      </c>
      <c r="H5086" s="5">
        <v>105.2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106.1</v>
      </c>
      <c r="D5087" s="5">
        <v>0.1</v>
      </c>
      <c r="E5087" s="5">
        <v>106.2</v>
      </c>
      <c r="F5087" s="5">
        <v>211.6</v>
      </c>
      <c r="G5087" s="5">
        <v>105.1</v>
      </c>
      <c r="H5087" s="5">
        <v>104.9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106.1</v>
      </c>
      <c r="D5088" s="5">
        <v>0.1</v>
      </c>
      <c r="E5088" s="5">
        <v>106.2</v>
      </c>
      <c r="F5088" s="5">
        <v>211.6</v>
      </c>
      <c r="G5088" s="5">
        <v>105.1</v>
      </c>
      <c r="H5088" s="5">
        <v>104.9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106.8</v>
      </c>
      <c r="D5089" s="5">
        <v>0.1</v>
      </c>
      <c r="E5089" s="5">
        <v>106.9</v>
      </c>
      <c r="F5089" s="5">
        <v>212.1</v>
      </c>
      <c r="G5089" s="5">
        <v>105.4</v>
      </c>
      <c r="H5089" s="5">
        <v>105.2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106.8</v>
      </c>
      <c r="D5090" s="5">
        <v>0.1</v>
      </c>
      <c r="E5090" s="5">
        <v>106.9</v>
      </c>
      <c r="F5090" s="5">
        <v>212.1</v>
      </c>
      <c r="G5090" s="5">
        <v>105.4</v>
      </c>
      <c r="H5090" s="5">
        <v>105.2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106.8</v>
      </c>
      <c r="D5091" s="5">
        <v>0.1</v>
      </c>
      <c r="E5091" s="5">
        <v>106.9</v>
      </c>
      <c r="F5091" s="5">
        <v>212.1</v>
      </c>
      <c r="G5091" s="5">
        <v>105.4</v>
      </c>
      <c r="H5091" s="5">
        <v>105.2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106.8</v>
      </c>
      <c r="D5092" s="5">
        <v>0.1</v>
      </c>
      <c r="E5092" s="5">
        <v>106.9</v>
      </c>
      <c r="F5092" s="5">
        <v>212.1</v>
      </c>
      <c r="G5092" s="5">
        <v>105.4</v>
      </c>
      <c r="H5092" s="5">
        <v>105.3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106.9</v>
      </c>
      <c r="D5093" s="5">
        <v>0.1</v>
      </c>
      <c r="E5093" s="5">
        <v>107</v>
      </c>
      <c r="F5093" s="5">
        <v>212.1</v>
      </c>
      <c r="G5093" s="5">
        <v>105.4</v>
      </c>
      <c r="H5093" s="5">
        <v>105.3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106.9</v>
      </c>
      <c r="D5094" s="5">
        <v>0.1</v>
      </c>
      <c r="E5094" s="5">
        <v>107</v>
      </c>
      <c r="F5094" s="5">
        <v>212.1</v>
      </c>
      <c r="G5094" s="5">
        <v>105.4</v>
      </c>
      <c r="H5094" s="5">
        <v>105.3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107.2</v>
      </c>
      <c r="D5095" s="5">
        <v>0.1</v>
      </c>
      <c r="E5095" s="5">
        <v>107.4</v>
      </c>
      <c r="F5095" s="5">
        <v>212.3</v>
      </c>
      <c r="G5095" s="5">
        <v>105.4</v>
      </c>
      <c r="H5095" s="5">
        <v>105.3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107.2</v>
      </c>
      <c r="D5096" s="5">
        <v>0.1</v>
      </c>
      <c r="E5096" s="5">
        <v>107.4</v>
      </c>
      <c r="F5096" s="5">
        <v>212.3</v>
      </c>
      <c r="G5096" s="5">
        <v>105.4</v>
      </c>
      <c r="H5096" s="5">
        <v>105.3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106.8</v>
      </c>
      <c r="D5097" s="5">
        <v>0.1</v>
      </c>
      <c r="E5097" s="5">
        <v>106.9</v>
      </c>
      <c r="F5097" s="5">
        <v>212.4</v>
      </c>
      <c r="G5097" s="5">
        <v>105.5</v>
      </c>
      <c r="H5097" s="5">
        <v>105.4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106.8</v>
      </c>
      <c r="D5098" s="5">
        <v>0.1</v>
      </c>
      <c r="E5098" s="5">
        <v>106.9</v>
      </c>
      <c r="F5098" s="5">
        <v>212.4</v>
      </c>
      <c r="G5098" s="5">
        <v>105.5</v>
      </c>
      <c r="H5098" s="5">
        <v>105.4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107</v>
      </c>
      <c r="D5099" s="5">
        <v>0.1</v>
      </c>
      <c r="E5099" s="5">
        <v>107.2</v>
      </c>
      <c r="F5099" s="5">
        <v>212.8</v>
      </c>
      <c r="G5099" s="5">
        <v>105.8</v>
      </c>
      <c r="H5099" s="5">
        <v>105.7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107</v>
      </c>
      <c r="D5100" s="5">
        <v>0.1</v>
      </c>
      <c r="E5100" s="5">
        <v>107.2</v>
      </c>
      <c r="F5100" s="5">
        <v>212.8</v>
      </c>
      <c r="G5100" s="5">
        <v>105.8</v>
      </c>
      <c r="H5100" s="5">
        <v>105.7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107</v>
      </c>
      <c r="D5101" s="5">
        <v>0.1</v>
      </c>
      <c r="E5101" s="5">
        <v>107.2</v>
      </c>
      <c r="F5101" s="5">
        <v>212.8</v>
      </c>
      <c r="G5101" s="5">
        <v>105.8</v>
      </c>
      <c r="H5101" s="5">
        <v>105.7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107</v>
      </c>
      <c r="D5102" s="5">
        <v>0.1</v>
      </c>
      <c r="E5102" s="5">
        <v>107.2</v>
      </c>
      <c r="F5102" s="5">
        <v>212.8</v>
      </c>
      <c r="G5102" s="5">
        <v>105.8</v>
      </c>
      <c r="H5102" s="5">
        <v>105.7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107.1</v>
      </c>
      <c r="D5103" s="5">
        <v>0.1</v>
      </c>
      <c r="E5103" s="5">
        <v>107.2</v>
      </c>
      <c r="F5103" s="5">
        <v>213</v>
      </c>
      <c r="G5103" s="5">
        <v>105.8</v>
      </c>
      <c r="H5103" s="5">
        <v>105.7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107.1</v>
      </c>
      <c r="D5104" s="5">
        <v>0.1</v>
      </c>
      <c r="E5104" s="5">
        <v>107.2</v>
      </c>
      <c r="F5104" s="5">
        <v>213</v>
      </c>
      <c r="G5104" s="5">
        <v>105.8</v>
      </c>
      <c r="H5104" s="5">
        <v>105.7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106.6</v>
      </c>
      <c r="D5105" s="5">
        <v>0.1</v>
      </c>
      <c r="E5105" s="5">
        <v>106.8</v>
      </c>
      <c r="F5105" s="5">
        <v>212.6</v>
      </c>
      <c r="G5105" s="5">
        <v>105.7</v>
      </c>
      <c r="H5105" s="5">
        <v>105.6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106.6</v>
      </c>
      <c r="D5106" s="5">
        <v>0.1</v>
      </c>
      <c r="E5106" s="5">
        <v>106.8</v>
      </c>
      <c r="F5106" s="5">
        <v>212.6</v>
      </c>
      <c r="G5106" s="5">
        <v>105.7</v>
      </c>
      <c r="H5106" s="5">
        <v>105.6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107.8</v>
      </c>
      <c r="D5107" s="5">
        <v>0.1</v>
      </c>
      <c r="E5107" s="5">
        <v>107.9</v>
      </c>
      <c r="F5107" s="5">
        <v>214.2</v>
      </c>
      <c r="G5107" s="5">
        <v>106.5</v>
      </c>
      <c r="H5107" s="5">
        <v>106.4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107.8</v>
      </c>
      <c r="D5108" s="5">
        <v>0.1</v>
      </c>
      <c r="E5108" s="5">
        <v>107.9</v>
      </c>
      <c r="F5108" s="5">
        <v>214.2</v>
      </c>
      <c r="G5108" s="5">
        <v>106.5</v>
      </c>
      <c r="H5108" s="5">
        <v>106.4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108.1</v>
      </c>
      <c r="D5109" s="5">
        <v>0.1</v>
      </c>
      <c r="E5109" s="5">
        <v>108.3</v>
      </c>
      <c r="F5109" s="5">
        <v>214.4</v>
      </c>
      <c r="G5109" s="5">
        <v>106.6</v>
      </c>
      <c r="H5109" s="5">
        <v>106.5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108.1</v>
      </c>
      <c r="D5110" s="5">
        <v>0.1</v>
      </c>
      <c r="E5110" s="5">
        <v>108.3</v>
      </c>
      <c r="F5110" s="5">
        <v>214.4</v>
      </c>
      <c r="G5110" s="5">
        <v>106.6</v>
      </c>
      <c r="H5110" s="5">
        <v>106.5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108.1</v>
      </c>
      <c r="D5111" s="5">
        <v>0.1</v>
      </c>
      <c r="E5111" s="5">
        <v>108.3</v>
      </c>
      <c r="F5111" s="5">
        <v>214.4</v>
      </c>
      <c r="G5111" s="5">
        <v>106.6</v>
      </c>
      <c r="H5111" s="5">
        <v>106.5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108.1</v>
      </c>
      <c r="D5112" s="5">
        <v>0.1</v>
      </c>
      <c r="E5112" s="5">
        <v>108.3</v>
      </c>
      <c r="F5112" s="5">
        <v>214.4</v>
      </c>
      <c r="G5112" s="5">
        <v>106.6</v>
      </c>
      <c r="H5112" s="5">
        <v>106.5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111.9</v>
      </c>
      <c r="D5113" s="5">
        <v>0.1</v>
      </c>
      <c r="E5113" s="5">
        <v>112</v>
      </c>
      <c r="F5113" s="5">
        <v>223.2</v>
      </c>
      <c r="G5113" s="5">
        <v>110.9</v>
      </c>
      <c r="H5113" s="5">
        <v>110.8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111.9</v>
      </c>
      <c r="D5114" s="5">
        <v>0.1</v>
      </c>
      <c r="E5114" s="5">
        <v>112</v>
      </c>
      <c r="F5114" s="5">
        <v>223.2</v>
      </c>
      <c r="G5114" s="5">
        <v>110.9</v>
      </c>
      <c r="H5114" s="5">
        <v>110.8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111.8</v>
      </c>
      <c r="D5115" s="5">
        <v>0.1</v>
      </c>
      <c r="E5115" s="5">
        <v>112</v>
      </c>
      <c r="F5115" s="5">
        <v>222.8</v>
      </c>
      <c r="G5115" s="5">
        <v>110.9</v>
      </c>
      <c r="H5115" s="5">
        <v>110.8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111.8</v>
      </c>
      <c r="D5116" s="5">
        <v>0.1</v>
      </c>
      <c r="E5116" s="5">
        <v>112</v>
      </c>
      <c r="F5116" s="5">
        <v>222.8</v>
      </c>
      <c r="G5116" s="5">
        <v>110.9</v>
      </c>
      <c r="H5116" s="5">
        <v>110.8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112.2</v>
      </c>
      <c r="D5117" s="5">
        <v>0.1</v>
      </c>
      <c r="E5117" s="5">
        <v>112.3</v>
      </c>
      <c r="F5117" s="5">
        <v>223.4</v>
      </c>
      <c r="G5117" s="5">
        <v>111.1</v>
      </c>
      <c r="H5117" s="5">
        <v>110.9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112.2</v>
      </c>
      <c r="D5118" s="5">
        <v>0.1</v>
      </c>
      <c r="E5118" s="5">
        <v>112.3</v>
      </c>
      <c r="F5118" s="5">
        <v>223.4</v>
      </c>
      <c r="G5118" s="5">
        <v>111.1</v>
      </c>
      <c r="H5118" s="5">
        <v>110.9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112.8</v>
      </c>
      <c r="D5119" s="5">
        <v>0.1</v>
      </c>
      <c r="E5119" s="5">
        <v>112.9</v>
      </c>
      <c r="F5119" s="5">
        <v>224</v>
      </c>
      <c r="G5119" s="5">
        <v>111.4</v>
      </c>
      <c r="H5119" s="5">
        <v>111.2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112.8</v>
      </c>
      <c r="D5120" s="5">
        <v>0.1</v>
      </c>
      <c r="E5120" s="5">
        <v>112.9</v>
      </c>
      <c r="F5120" s="5">
        <v>224</v>
      </c>
      <c r="G5120" s="5">
        <v>111.4</v>
      </c>
      <c r="H5120" s="5">
        <v>111.2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112.8</v>
      </c>
      <c r="D5121" s="5">
        <v>0.1</v>
      </c>
      <c r="E5121" s="5">
        <v>112.9</v>
      </c>
      <c r="F5121" s="5">
        <v>224</v>
      </c>
      <c r="G5121" s="5">
        <v>111.4</v>
      </c>
      <c r="H5121" s="5">
        <v>111.2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112.8</v>
      </c>
      <c r="D5122" s="5">
        <v>0.1</v>
      </c>
      <c r="E5122" s="5">
        <v>112.9</v>
      </c>
      <c r="F5122" s="5">
        <v>224</v>
      </c>
      <c r="G5122" s="5">
        <v>111.4</v>
      </c>
      <c r="H5122" s="5">
        <v>111.2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112.4</v>
      </c>
      <c r="D5123" s="5">
        <v>0.1</v>
      </c>
      <c r="E5123" s="5">
        <v>112.6</v>
      </c>
      <c r="F5123" s="5">
        <v>223.7</v>
      </c>
      <c r="G5123" s="5">
        <v>111.2</v>
      </c>
      <c r="H5123" s="5">
        <v>111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112.4</v>
      </c>
      <c r="D5124" s="5">
        <v>0.1</v>
      </c>
      <c r="E5124" s="5">
        <v>112.6</v>
      </c>
      <c r="F5124" s="5">
        <v>223.7</v>
      </c>
      <c r="G5124" s="5">
        <v>111.2</v>
      </c>
      <c r="H5124" s="5">
        <v>111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112.8</v>
      </c>
      <c r="D5125" s="5">
        <v>0.1</v>
      </c>
      <c r="E5125" s="5">
        <v>112.9</v>
      </c>
      <c r="F5125" s="5">
        <v>224.6</v>
      </c>
      <c r="G5125" s="5">
        <v>111.6</v>
      </c>
      <c r="H5125" s="5">
        <v>111.4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112.8</v>
      </c>
      <c r="D5126" s="5">
        <v>0.1</v>
      </c>
      <c r="E5126" s="5">
        <v>112.9</v>
      </c>
      <c r="F5126" s="5">
        <v>224.6</v>
      </c>
      <c r="G5126" s="5">
        <v>111.6</v>
      </c>
      <c r="H5126" s="5">
        <v>111.4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112.3</v>
      </c>
      <c r="D5127" s="5">
        <v>0.1</v>
      </c>
      <c r="E5127" s="5">
        <v>112.5</v>
      </c>
      <c r="F5127" s="5">
        <v>223.7</v>
      </c>
      <c r="G5127" s="5">
        <v>111.3</v>
      </c>
      <c r="H5127" s="5">
        <v>111.2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112.3</v>
      </c>
      <c r="D5128" s="5">
        <v>0.1</v>
      </c>
      <c r="E5128" s="5">
        <v>112.5</v>
      </c>
      <c r="F5128" s="5">
        <v>223.7</v>
      </c>
      <c r="G5128" s="5">
        <v>111.3</v>
      </c>
      <c r="H5128" s="5">
        <v>111.2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112.2</v>
      </c>
      <c r="D5129" s="5">
        <v>0.1</v>
      </c>
      <c r="E5129" s="5">
        <v>112.3</v>
      </c>
      <c r="F5129" s="5">
        <v>223.7</v>
      </c>
      <c r="G5129" s="5">
        <v>111.1</v>
      </c>
      <c r="H5129" s="5">
        <v>110.9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112.2</v>
      </c>
      <c r="D5130" s="5">
        <v>0.1</v>
      </c>
      <c r="E5130" s="5">
        <v>112.3</v>
      </c>
      <c r="F5130" s="5">
        <v>223.7</v>
      </c>
      <c r="G5130" s="5">
        <v>111.1</v>
      </c>
      <c r="H5130" s="5">
        <v>110.9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112.2</v>
      </c>
      <c r="D5131" s="5">
        <v>0.1</v>
      </c>
      <c r="E5131" s="5">
        <v>112.3</v>
      </c>
      <c r="F5131" s="5">
        <v>223.7</v>
      </c>
      <c r="G5131" s="5">
        <v>111.1</v>
      </c>
      <c r="H5131" s="5">
        <v>110.9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112.6</v>
      </c>
      <c r="D5132" s="5">
        <v>0.1</v>
      </c>
      <c r="E5132" s="5">
        <v>112.7</v>
      </c>
      <c r="F5132" s="5">
        <v>223.3</v>
      </c>
      <c r="G5132" s="5">
        <v>111</v>
      </c>
      <c r="H5132" s="5">
        <v>110.8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112.6</v>
      </c>
      <c r="D5133" s="5">
        <v>0.1</v>
      </c>
      <c r="E5133" s="5">
        <v>112.7</v>
      </c>
      <c r="F5133" s="5">
        <v>223.3</v>
      </c>
      <c r="G5133" s="5">
        <v>111</v>
      </c>
      <c r="H5133" s="5">
        <v>110.8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112.9</v>
      </c>
      <c r="D5134" s="5">
        <v>0.1</v>
      </c>
      <c r="E5134" s="5">
        <v>113</v>
      </c>
      <c r="F5134" s="5">
        <v>223.4</v>
      </c>
      <c r="G5134" s="5">
        <v>111.3</v>
      </c>
      <c r="H5134" s="5">
        <v>111.4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112.9</v>
      </c>
      <c r="D5135" s="5">
        <v>0.1</v>
      </c>
      <c r="E5135" s="5">
        <v>113</v>
      </c>
      <c r="F5135" s="5">
        <v>223.4</v>
      </c>
      <c r="G5135" s="5">
        <v>111.3</v>
      </c>
      <c r="H5135" s="5">
        <v>111.4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113.2</v>
      </c>
      <c r="D5136" s="5">
        <v>0.1</v>
      </c>
      <c r="E5136" s="5">
        <v>113.4</v>
      </c>
      <c r="F5136" s="5">
        <v>224.4</v>
      </c>
      <c r="G5136" s="5">
        <v>111.5</v>
      </c>
      <c r="H5136" s="5">
        <v>111.3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113.2</v>
      </c>
      <c r="D5137" s="5">
        <v>0.1</v>
      </c>
      <c r="E5137" s="5">
        <v>113.4</v>
      </c>
      <c r="F5137" s="5">
        <v>224.4</v>
      </c>
      <c r="G5137" s="5">
        <v>111.5</v>
      </c>
      <c r="H5137" s="5">
        <v>111.3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112.3</v>
      </c>
      <c r="D5138" s="5">
        <v>0.1</v>
      </c>
      <c r="E5138" s="5">
        <v>112.5</v>
      </c>
      <c r="F5138" s="5">
        <v>222.9</v>
      </c>
      <c r="G5138" s="5">
        <v>110.8</v>
      </c>
      <c r="H5138" s="5">
        <v>110.6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112.3</v>
      </c>
      <c r="D5139" s="5">
        <v>0.1</v>
      </c>
      <c r="E5139" s="5">
        <v>112.5</v>
      </c>
      <c r="F5139" s="5">
        <v>222.9</v>
      </c>
      <c r="G5139" s="5">
        <v>110.8</v>
      </c>
      <c r="H5139" s="5">
        <v>110.6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112.3</v>
      </c>
      <c r="D5140" s="5">
        <v>0.1</v>
      </c>
      <c r="E5140" s="5">
        <v>112.5</v>
      </c>
      <c r="F5140" s="5">
        <v>222.9</v>
      </c>
      <c r="G5140" s="5">
        <v>110.8</v>
      </c>
      <c r="H5140" s="5">
        <v>110.6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112.3</v>
      </c>
      <c r="D5141" s="5">
        <v>0.1</v>
      </c>
      <c r="E5141" s="5">
        <v>112.5</v>
      </c>
      <c r="F5141" s="5">
        <v>222.9</v>
      </c>
      <c r="G5141" s="5">
        <v>110.8</v>
      </c>
      <c r="H5141" s="5">
        <v>110.6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223.1</v>
      </c>
      <c r="G5142" s="5">
        <v>110.9</v>
      </c>
      <c r="H5142" s="5">
        <v>110.7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223.1</v>
      </c>
      <c r="G5143" s="5">
        <v>110.9</v>
      </c>
      <c r="H5143" s="5">
        <v>110.7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112.9</v>
      </c>
      <c r="D5144" s="5">
        <v>0.1</v>
      </c>
      <c r="E5144" s="5">
        <v>113.1</v>
      </c>
      <c r="F5144" s="5">
        <v>224</v>
      </c>
      <c r="G5144" s="5">
        <v>111.3</v>
      </c>
      <c r="H5144" s="5">
        <v>111.1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112.9</v>
      </c>
      <c r="D5145" s="5">
        <v>0.1</v>
      </c>
      <c r="E5145" s="5">
        <v>113.1</v>
      </c>
      <c r="F5145" s="5">
        <v>224</v>
      </c>
      <c r="G5145" s="5">
        <v>111.3</v>
      </c>
      <c r="H5145" s="5">
        <v>111.1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111.8</v>
      </c>
      <c r="D5146" s="5">
        <v>0.1</v>
      </c>
      <c r="E5146" s="5">
        <v>112</v>
      </c>
      <c r="F5146" s="5">
        <v>222.6</v>
      </c>
      <c r="G5146" s="5">
        <v>110.6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111.8</v>
      </c>
      <c r="D5147" s="5">
        <v>0.1</v>
      </c>
      <c r="E5147" s="5">
        <v>112</v>
      </c>
      <c r="F5147" s="5">
        <v>222.6</v>
      </c>
      <c r="G5147" s="5">
        <v>110.6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111.5</v>
      </c>
      <c r="D5148" s="5">
        <v>0.1</v>
      </c>
      <c r="E5148" s="5">
        <v>111.6</v>
      </c>
      <c r="F5148" s="5">
        <v>222.4</v>
      </c>
      <c r="G5148" s="5">
        <v>110.6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111.5</v>
      </c>
      <c r="D5149" s="5">
        <v>0.1</v>
      </c>
      <c r="E5149" s="5">
        <v>111.6</v>
      </c>
      <c r="F5149" s="5">
        <v>222.4</v>
      </c>
      <c r="G5149" s="5">
        <v>110.5</v>
      </c>
      <c r="H5149" s="5">
        <v>110.3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111.5</v>
      </c>
      <c r="D5150" s="5">
        <v>0.1</v>
      </c>
      <c r="E5150" s="5">
        <v>111.6</v>
      </c>
      <c r="F5150" s="5">
        <v>222.4</v>
      </c>
      <c r="G5150" s="5">
        <v>110.5</v>
      </c>
      <c r="H5150" s="5">
        <v>110.3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111.5</v>
      </c>
      <c r="D5151" s="5">
        <v>0.1</v>
      </c>
      <c r="E5151" s="5">
        <v>111.6</v>
      </c>
      <c r="F5151" s="5">
        <v>222.4</v>
      </c>
      <c r="G5151" s="5">
        <v>110.5</v>
      </c>
      <c r="H5151" s="5">
        <v>110.3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111.9</v>
      </c>
      <c r="D5152" s="5">
        <v>0.1</v>
      </c>
      <c r="E5152" s="5">
        <v>112.1</v>
      </c>
      <c r="F5152" s="5">
        <v>222.9</v>
      </c>
      <c r="G5152" s="5">
        <v>110.5</v>
      </c>
      <c r="H5152" s="5">
        <v>110.3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111.9</v>
      </c>
      <c r="D5153" s="5">
        <v>0.1</v>
      </c>
      <c r="E5153" s="5">
        <v>112.1</v>
      </c>
      <c r="F5153" s="5">
        <v>222.9</v>
      </c>
      <c r="G5153" s="5">
        <v>110.8</v>
      </c>
      <c r="H5153" s="5">
        <v>110.8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112.1</v>
      </c>
      <c r="D5154" s="5">
        <v>0.1</v>
      </c>
      <c r="E5154" s="5">
        <v>112.3</v>
      </c>
      <c r="F5154" s="5">
        <v>222.9</v>
      </c>
      <c r="G5154" s="5">
        <v>110.8</v>
      </c>
      <c r="H5154" s="5">
        <v>110.8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112.1</v>
      </c>
      <c r="D5155" s="5">
        <v>0.1</v>
      </c>
      <c r="E5155" s="5">
        <v>112.3</v>
      </c>
      <c r="F5155" s="5">
        <v>223.2</v>
      </c>
      <c r="G5155" s="5">
        <v>110.9</v>
      </c>
      <c r="H5155" s="5">
        <v>110.9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112.4</v>
      </c>
      <c r="D5156" s="5">
        <v>0.1</v>
      </c>
      <c r="E5156" s="5">
        <v>112.3</v>
      </c>
      <c r="F5156" s="5">
        <v>223.2</v>
      </c>
      <c r="G5156" s="5">
        <v>110.9</v>
      </c>
      <c r="H5156" s="5">
        <v>110.9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112.4</v>
      </c>
      <c r="D5157" s="5">
        <v>0.1</v>
      </c>
      <c r="E5157" s="5">
        <v>112.6</v>
      </c>
      <c r="F5157" s="5">
        <v>223.9</v>
      </c>
      <c r="G5157" s="5">
        <v>111.2</v>
      </c>
      <c r="H5157" s="5">
        <v>111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112.4</v>
      </c>
      <c r="D5158" s="5">
        <v>0.1</v>
      </c>
      <c r="E5158" s="5">
        <v>112.6</v>
      </c>
      <c r="F5158" s="5">
        <v>223.9</v>
      </c>
      <c r="G5158" s="5">
        <v>111.2</v>
      </c>
      <c r="H5158" s="5">
        <v>111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111.6</v>
      </c>
      <c r="D5159" s="5">
        <v>0.1</v>
      </c>
      <c r="E5159" s="5">
        <v>111.7</v>
      </c>
      <c r="F5159" s="5">
        <v>223.6</v>
      </c>
      <c r="G5159" s="5">
        <v>111.1</v>
      </c>
      <c r="H5159" s="5">
        <v>110.9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111.6</v>
      </c>
      <c r="D5160" s="5">
        <v>0.1</v>
      </c>
      <c r="E5160" s="5">
        <v>111.7</v>
      </c>
      <c r="F5160" s="5">
        <v>223.6</v>
      </c>
      <c r="G5160" s="5">
        <v>111.1</v>
      </c>
      <c r="H5160" s="5">
        <v>110.9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111.6</v>
      </c>
      <c r="D5161" s="5">
        <v>0.1</v>
      </c>
      <c r="E5161" s="5">
        <v>111.7</v>
      </c>
      <c r="F5161" s="5">
        <v>223.6</v>
      </c>
      <c r="G5161" s="5">
        <v>111.1</v>
      </c>
      <c r="H5161" s="5">
        <v>110.9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111.6</v>
      </c>
      <c r="D5162" s="5">
        <v>0.1</v>
      </c>
      <c r="E5162" s="5">
        <v>112.6</v>
      </c>
      <c r="F5162" s="5">
        <v>223.2</v>
      </c>
      <c r="G5162" s="5">
        <v>110.9</v>
      </c>
      <c r="H5162" s="5">
        <v>110.8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112.4</v>
      </c>
      <c r="D5163" s="5">
        <v>0.1</v>
      </c>
      <c r="E5163" s="5">
        <v>112.6</v>
      </c>
      <c r="F5163" s="5">
        <v>223.2</v>
      </c>
      <c r="G5163" s="5">
        <v>110.9</v>
      </c>
      <c r="H5163" s="5">
        <v>110.8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112.4</v>
      </c>
      <c r="D5164" s="5">
        <v>0.1</v>
      </c>
      <c r="E5164" s="5">
        <v>112.6</v>
      </c>
      <c r="F5164" s="5">
        <v>223.6</v>
      </c>
      <c r="G5164" s="5">
        <v>111.1</v>
      </c>
      <c r="H5164" s="5">
        <v>111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112.3</v>
      </c>
      <c r="D5165" s="5">
        <v>0.1</v>
      </c>
      <c r="E5165" s="5">
        <v>112.5</v>
      </c>
      <c r="F5165" s="5">
        <v>223.6</v>
      </c>
      <c r="G5165" s="5">
        <v>111.1</v>
      </c>
      <c r="H5165" s="5">
        <v>111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112.3</v>
      </c>
      <c r="D5166" s="5">
        <v>0.1</v>
      </c>
      <c r="E5166" s="5">
        <v>112.5</v>
      </c>
      <c r="F5166" s="5">
        <v>223.6</v>
      </c>
      <c r="G5166" s="5">
        <v>111.1</v>
      </c>
      <c r="H5166" s="5">
        <v>111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112.3</v>
      </c>
      <c r="D5167" s="5">
        <v>0.1</v>
      </c>
      <c r="E5167" s="5">
        <v>112.5</v>
      </c>
      <c r="F5167" s="5">
        <v>223.6</v>
      </c>
      <c r="G5167" s="5">
        <v>111.1</v>
      </c>
      <c r="H5167" s="5">
        <v>111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112.3</v>
      </c>
      <c r="D5168" s="5">
        <v>0.1</v>
      </c>
      <c r="E5168" s="5">
        <v>112.5</v>
      </c>
      <c r="F5168" s="5">
        <v>223.6</v>
      </c>
      <c r="G5168" s="5">
        <v>111.1</v>
      </c>
      <c r="H5168" s="5">
        <v>111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112.5</v>
      </c>
      <c r="D5169" s="5">
        <v>0.1</v>
      </c>
      <c r="E5169" s="5">
        <v>112.6</v>
      </c>
      <c r="F5169" s="5">
        <v>223</v>
      </c>
      <c r="G5169" s="5">
        <v>110.8</v>
      </c>
      <c r="H5169" s="5">
        <v>110.6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112.5</v>
      </c>
      <c r="D5170" s="5">
        <v>0.1</v>
      </c>
      <c r="E5170" s="5">
        <v>112.6</v>
      </c>
      <c r="F5170" s="5">
        <v>223</v>
      </c>
      <c r="G5170" s="5">
        <v>110.8</v>
      </c>
      <c r="H5170" s="5">
        <v>110.6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112.5</v>
      </c>
      <c r="D5171" s="5">
        <v>0.1</v>
      </c>
      <c r="E5171" s="5">
        <v>112.6</v>
      </c>
      <c r="F5171" s="5">
        <v>223</v>
      </c>
      <c r="G5171" s="5">
        <v>110.8</v>
      </c>
      <c r="H5171" s="5">
        <v>110.6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222.9</v>
      </c>
      <c r="G5172" s="5">
        <v>110.7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222.9</v>
      </c>
      <c r="G5173" s="5">
        <v>110.7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112.6</v>
      </c>
      <c r="D5174" s="5">
        <v>0.1</v>
      </c>
      <c r="E5174" s="5">
        <v>112.7</v>
      </c>
      <c r="F5174" s="5">
        <v>223.8</v>
      </c>
      <c r="G5174" s="5">
        <v>111.2</v>
      </c>
      <c r="H5174" s="5">
        <v>111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112.6</v>
      </c>
      <c r="D5175" s="5">
        <v>0.1</v>
      </c>
      <c r="E5175" s="5">
        <v>112.7</v>
      </c>
      <c r="F5175" s="5">
        <v>223.8</v>
      </c>
      <c r="G5175" s="5">
        <v>111.2</v>
      </c>
      <c r="H5175" s="5">
        <v>111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112.8</v>
      </c>
      <c r="D5176" s="5">
        <v>0.1</v>
      </c>
      <c r="E5176" s="5">
        <v>112.9</v>
      </c>
      <c r="F5176" s="5">
        <v>223.2</v>
      </c>
      <c r="G5176" s="5">
        <v>110.9</v>
      </c>
      <c r="H5176" s="5">
        <v>110.9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112.8</v>
      </c>
      <c r="D5177" s="5">
        <v>0.1</v>
      </c>
      <c r="E5177" s="5">
        <v>112.9</v>
      </c>
      <c r="F5177" s="5">
        <v>223.2</v>
      </c>
      <c r="G5177" s="5">
        <v>110.9</v>
      </c>
      <c r="H5177" s="5">
        <v>110.9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112.6</v>
      </c>
      <c r="D5178" s="5">
        <v>0.1</v>
      </c>
      <c r="E5178" s="5">
        <v>112.7</v>
      </c>
      <c r="F5178" s="5">
        <v>224</v>
      </c>
      <c r="G5178" s="5">
        <v>111.3</v>
      </c>
      <c r="H5178" s="5">
        <v>111.1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112.6</v>
      </c>
      <c r="D5179" s="5">
        <v>0.1</v>
      </c>
      <c r="E5179" s="5">
        <v>112.7</v>
      </c>
      <c r="F5179" s="5">
        <v>224</v>
      </c>
      <c r="G5179" s="5">
        <v>111.3</v>
      </c>
      <c r="H5179" s="5">
        <v>111.1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112.6</v>
      </c>
      <c r="D5180" s="5">
        <v>0.1</v>
      </c>
      <c r="E5180" s="5">
        <v>112.7</v>
      </c>
      <c r="F5180" s="5">
        <v>224</v>
      </c>
      <c r="G5180" s="5">
        <v>111.3</v>
      </c>
      <c r="H5180" s="5">
        <v>111.1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112.6</v>
      </c>
      <c r="D5181" s="5">
        <v>0.1</v>
      </c>
      <c r="E5181" s="5">
        <v>112.7</v>
      </c>
      <c r="F5181" s="5">
        <v>224</v>
      </c>
      <c r="G5181" s="5">
        <v>111.3</v>
      </c>
      <c r="H5181" s="5">
        <v>111.1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112.6</v>
      </c>
      <c r="D5182" s="5">
        <v>0.1</v>
      </c>
      <c r="E5182" s="5">
        <v>112.7</v>
      </c>
      <c r="F5182" s="5">
        <v>223.9</v>
      </c>
      <c r="G5182" s="5">
        <v>111.2</v>
      </c>
      <c r="H5182" s="5">
        <v>111.1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112.6</v>
      </c>
      <c r="D5183" s="5">
        <v>0.1</v>
      </c>
      <c r="E5183" s="5">
        <v>112.7</v>
      </c>
      <c r="F5183" s="5">
        <v>223.9</v>
      </c>
      <c r="G5183" s="5">
        <v>111.2</v>
      </c>
      <c r="H5183" s="5">
        <v>111.1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112.3</v>
      </c>
      <c r="D5184" s="5">
        <v>0.1</v>
      </c>
      <c r="E5184" s="5">
        <v>112.5</v>
      </c>
      <c r="F5184" s="5">
        <v>223.3</v>
      </c>
      <c r="G5184" s="5">
        <v>110.9</v>
      </c>
      <c r="H5184" s="5">
        <v>110.8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112.3</v>
      </c>
      <c r="D5185" s="5">
        <v>0.1</v>
      </c>
      <c r="E5185" s="5">
        <v>112.5</v>
      </c>
      <c r="F5185" s="5">
        <v>223.3</v>
      </c>
      <c r="G5185" s="5">
        <v>110.9</v>
      </c>
      <c r="H5185" s="5">
        <v>110.8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111.8</v>
      </c>
      <c r="D5186" s="5">
        <v>0.1</v>
      </c>
      <c r="E5186" s="5">
        <v>112</v>
      </c>
      <c r="F5186" s="5">
        <v>222.2</v>
      </c>
      <c r="G5186" s="5">
        <v>110.4</v>
      </c>
      <c r="H5186" s="5">
        <v>110.3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111.8</v>
      </c>
      <c r="D5187" s="5">
        <v>0.1</v>
      </c>
      <c r="E5187" s="5">
        <v>112</v>
      </c>
      <c r="F5187" s="5">
        <v>222.2</v>
      </c>
      <c r="G5187" s="5">
        <v>110.4</v>
      </c>
      <c r="H5187" s="5">
        <v>110.3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112.2</v>
      </c>
      <c r="F5188" s="5">
        <v>223.4</v>
      </c>
      <c r="G5188" s="5">
        <v>111.1</v>
      </c>
      <c r="H5188" s="5">
        <v>110.9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112.2</v>
      </c>
      <c r="F5189" s="5">
        <v>223.4</v>
      </c>
      <c r="G5189" s="5">
        <v>111.1</v>
      </c>
      <c r="H5189" s="5">
        <v>110.9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112.2</v>
      </c>
      <c r="F5190" s="5">
        <v>223.4</v>
      </c>
      <c r="G5190" s="5">
        <v>111.1</v>
      </c>
      <c r="H5190" s="5">
        <v>110.9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112.2</v>
      </c>
      <c r="F5191" s="5">
        <v>223.4</v>
      </c>
      <c r="G5191" s="5">
        <v>111.1</v>
      </c>
      <c r="H5191" s="5">
        <v>110.9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112.6</v>
      </c>
      <c r="D5192" s="5">
        <v>0.1</v>
      </c>
      <c r="E5192" s="5">
        <v>112.8</v>
      </c>
      <c r="F5192" s="5">
        <v>223.7</v>
      </c>
      <c r="G5192" s="5">
        <v>111.2</v>
      </c>
      <c r="H5192" s="5">
        <v>111.1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112.6</v>
      </c>
      <c r="D5193" s="5">
        <v>0.1</v>
      </c>
      <c r="E5193" s="5">
        <v>112.8</v>
      </c>
      <c r="F5193" s="5">
        <v>223.7</v>
      </c>
      <c r="G5193" s="5">
        <v>111.2</v>
      </c>
      <c r="H5193" s="5">
        <v>111.1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111.4</v>
      </c>
      <c r="D5194" s="5">
        <v>0.1</v>
      </c>
      <c r="E5194" s="5">
        <v>111.6</v>
      </c>
      <c r="F5194" s="5">
        <v>221.7</v>
      </c>
      <c r="G5194" s="5">
        <v>110.2</v>
      </c>
      <c r="H5194" s="5">
        <v>110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111.4</v>
      </c>
      <c r="D5195" s="5">
        <v>0.1</v>
      </c>
      <c r="E5195" s="5">
        <v>111.6</v>
      </c>
      <c r="F5195" s="5">
        <v>221.7</v>
      </c>
      <c r="G5195" s="5">
        <v>110.2</v>
      </c>
      <c r="H5195" s="5">
        <v>110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112.3</v>
      </c>
      <c r="D5196" s="5">
        <v>0.1</v>
      </c>
      <c r="E5196" s="5">
        <v>112.5</v>
      </c>
      <c r="F5196" s="5">
        <v>223.6</v>
      </c>
      <c r="G5196" s="5">
        <v>111.1</v>
      </c>
      <c r="H5196" s="5">
        <v>110.9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112.3</v>
      </c>
      <c r="D5197" s="5">
        <v>0.1</v>
      </c>
      <c r="E5197" s="5">
        <v>112.5</v>
      </c>
      <c r="F5197" s="5">
        <v>223.6</v>
      </c>
      <c r="G5197" s="5">
        <v>111.1</v>
      </c>
      <c r="H5197" s="5">
        <v>110.9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112.7</v>
      </c>
      <c r="D5198" s="5">
        <v>0.1</v>
      </c>
      <c r="E5198" s="5">
        <v>112.9</v>
      </c>
      <c r="F5198" s="5">
        <v>224.1</v>
      </c>
      <c r="G5198" s="5">
        <v>111.3</v>
      </c>
      <c r="H5198" s="5">
        <v>111.2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112.7</v>
      </c>
      <c r="D5199" s="5">
        <v>0.1</v>
      </c>
      <c r="E5199" s="5">
        <v>112.9</v>
      </c>
      <c r="F5199" s="5">
        <v>224.1</v>
      </c>
      <c r="G5199" s="5">
        <v>111.3</v>
      </c>
      <c r="H5199" s="5">
        <v>111.2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112.7</v>
      </c>
      <c r="D5200" s="5">
        <v>0.1</v>
      </c>
      <c r="E5200" s="5">
        <v>112.9</v>
      </c>
      <c r="F5200" s="5">
        <v>224.1</v>
      </c>
      <c r="G5200" s="5">
        <v>111.3</v>
      </c>
      <c r="H5200" s="5">
        <v>111.2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112.7</v>
      </c>
      <c r="D5201" s="5">
        <v>0.1</v>
      </c>
      <c r="E5201" s="5">
        <v>112.9</v>
      </c>
      <c r="F5201" s="5">
        <v>224.1</v>
      </c>
      <c r="G5201" s="5">
        <v>111.3</v>
      </c>
      <c r="H5201" s="5">
        <v>111.2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112.2</v>
      </c>
      <c r="D5202" s="5">
        <v>0.1</v>
      </c>
      <c r="E5202" s="5">
        <v>112.3</v>
      </c>
      <c r="F5202" s="5">
        <v>222.9</v>
      </c>
      <c r="G5202" s="5">
        <v>110.8</v>
      </c>
      <c r="H5202" s="5">
        <v>110.6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112.2</v>
      </c>
      <c r="D5203" s="5">
        <v>0.1</v>
      </c>
      <c r="E5203" s="5">
        <v>112.3</v>
      </c>
      <c r="F5203" s="5">
        <v>222.9</v>
      </c>
      <c r="G5203" s="5">
        <v>110.8</v>
      </c>
      <c r="H5203" s="5">
        <v>110.6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112.2</v>
      </c>
      <c r="D5204" s="5">
        <v>0.1</v>
      </c>
      <c r="E5204" s="5">
        <v>112.3</v>
      </c>
      <c r="F5204" s="5">
        <v>223</v>
      </c>
      <c r="G5204" s="5">
        <v>110.8</v>
      </c>
      <c r="H5204" s="5">
        <v>110.7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112.2</v>
      </c>
      <c r="D5205" s="5">
        <v>0.1</v>
      </c>
      <c r="E5205" s="5">
        <v>112.3</v>
      </c>
      <c r="F5205" s="5">
        <v>223</v>
      </c>
      <c r="G5205" s="5">
        <v>110.8</v>
      </c>
      <c r="H5205" s="5">
        <v>110.7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112.4</v>
      </c>
      <c r="D5206" s="5">
        <v>0.1</v>
      </c>
      <c r="E5206" s="5">
        <v>112.6</v>
      </c>
      <c r="F5206" s="5">
        <v>223.4</v>
      </c>
      <c r="G5206" s="5">
        <v>111</v>
      </c>
      <c r="H5206" s="5">
        <v>110.9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112.4</v>
      </c>
      <c r="D5207" s="5">
        <v>0.1</v>
      </c>
      <c r="E5207" s="5">
        <v>112.6</v>
      </c>
      <c r="F5207" s="5">
        <v>223.4</v>
      </c>
      <c r="G5207" s="5">
        <v>111</v>
      </c>
      <c r="H5207" s="5">
        <v>110.9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112.7</v>
      </c>
      <c r="D5208" s="5">
        <v>0.1</v>
      </c>
      <c r="E5208" s="5">
        <v>112.9</v>
      </c>
      <c r="F5208" s="5">
        <v>223.9</v>
      </c>
      <c r="G5208" s="5">
        <v>111.3</v>
      </c>
      <c r="H5208" s="5">
        <v>111.1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112.7</v>
      </c>
      <c r="D5209" s="5">
        <v>0.1</v>
      </c>
      <c r="E5209" s="5">
        <v>112.9</v>
      </c>
      <c r="F5209" s="5">
        <v>223.9</v>
      </c>
      <c r="G5209" s="5">
        <v>111.3</v>
      </c>
      <c r="H5209" s="5">
        <v>111.1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112.7</v>
      </c>
      <c r="D5210" s="5">
        <v>0.1</v>
      </c>
      <c r="E5210" s="5">
        <v>112.9</v>
      </c>
      <c r="F5210" s="5">
        <v>223.9</v>
      </c>
      <c r="G5210" s="5">
        <v>111.3</v>
      </c>
      <c r="H5210" s="5">
        <v>111.1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112.7</v>
      </c>
      <c r="D5211" s="5">
        <v>0.1</v>
      </c>
      <c r="E5211" s="5">
        <v>112.9</v>
      </c>
      <c r="F5211" s="5">
        <v>223.9</v>
      </c>
      <c r="G5211" s="5">
        <v>111.3</v>
      </c>
      <c r="H5211" s="5">
        <v>111.1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112.7</v>
      </c>
      <c r="D5212" s="5">
        <v>0.1</v>
      </c>
      <c r="E5212" s="5">
        <v>112.9</v>
      </c>
      <c r="F5212" s="5">
        <v>224.4</v>
      </c>
      <c r="G5212" s="5">
        <v>111.6</v>
      </c>
      <c r="H5212" s="5">
        <v>111.4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112.7</v>
      </c>
      <c r="D5213" s="5">
        <v>0.1</v>
      </c>
      <c r="E5213" s="5">
        <v>112.9</v>
      </c>
      <c r="F5213" s="5">
        <v>224.4</v>
      </c>
      <c r="G5213" s="5">
        <v>111.6</v>
      </c>
      <c r="H5213" s="5">
        <v>111.4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112.7</v>
      </c>
      <c r="D5214" s="5">
        <v>0.1</v>
      </c>
      <c r="E5214" s="5">
        <v>112.9</v>
      </c>
      <c r="F5214" s="5">
        <v>224.8</v>
      </c>
      <c r="G5214" s="5">
        <v>111.7</v>
      </c>
      <c r="H5214" s="5">
        <v>111.5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112.7</v>
      </c>
      <c r="D5215" s="5">
        <v>0.1</v>
      </c>
      <c r="E5215" s="5">
        <v>112.9</v>
      </c>
      <c r="F5215" s="5">
        <v>224.8</v>
      </c>
      <c r="G5215" s="5">
        <v>111.7</v>
      </c>
      <c r="H5215" s="5">
        <v>111.5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113.6</v>
      </c>
      <c r="D5216" s="5">
        <v>0.1</v>
      </c>
      <c r="E5216" s="5">
        <v>113.7</v>
      </c>
      <c r="F5216" s="5">
        <v>224.9</v>
      </c>
      <c r="G5216" s="5">
        <v>111.8</v>
      </c>
      <c r="H5216" s="5">
        <v>111.6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113.6</v>
      </c>
      <c r="D5217" s="5">
        <v>0.1</v>
      </c>
      <c r="E5217" s="5">
        <v>113.7</v>
      </c>
      <c r="F5217" s="5">
        <v>224.9</v>
      </c>
      <c r="G5217" s="5">
        <v>111.8</v>
      </c>
      <c r="H5217" s="5">
        <v>111.6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113.1</v>
      </c>
      <c r="D5218" s="5">
        <v>0.1</v>
      </c>
      <c r="E5218" s="5">
        <v>113.2</v>
      </c>
      <c r="F5218" s="5">
        <v>225.6</v>
      </c>
      <c r="G5218" s="5">
        <v>112.1</v>
      </c>
      <c r="H5218" s="5">
        <v>111.9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113.1</v>
      </c>
      <c r="D5219" s="5">
        <v>0.1</v>
      </c>
      <c r="E5219" s="5">
        <v>113.2</v>
      </c>
      <c r="F5219" s="5">
        <v>225.6</v>
      </c>
      <c r="G5219" s="5">
        <v>112.1</v>
      </c>
      <c r="H5219" s="5">
        <v>111.9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113.1</v>
      </c>
      <c r="D5220" s="5">
        <v>0.1</v>
      </c>
      <c r="E5220" s="5">
        <v>113.2</v>
      </c>
      <c r="F5220" s="5">
        <v>225.6</v>
      </c>
      <c r="G5220" s="5">
        <v>112.1</v>
      </c>
      <c r="H5220" s="5">
        <v>111.9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113.1</v>
      </c>
      <c r="D5221" s="5">
        <v>0.1</v>
      </c>
      <c r="E5221" s="5">
        <v>113.2</v>
      </c>
      <c r="F5221" s="5">
        <v>225.6</v>
      </c>
      <c r="G5221" s="5">
        <v>112.1</v>
      </c>
      <c r="H5221" s="5">
        <v>111.9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113.2</v>
      </c>
      <c r="D5222" s="5">
        <v>0.1</v>
      </c>
      <c r="E5222" s="5">
        <v>113.4</v>
      </c>
      <c r="F5222" s="5">
        <v>225</v>
      </c>
      <c r="G5222" s="5">
        <v>111.8</v>
      </c>
      <c r="H5222" s="5">
        <v>111.7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113.2</v>
      </c>
      <c r="D5223" s="5">
        <v>0.1</v>
      </c>
      <c r="E5223" s="5">
        <v>113.4</v>
      </c>
      <c r="F5223" s="5">
        <v>225</v>
      </c>
      <c r="G5223" s="5">
        <v>111.8</v>
      </c>
      <c r="H5223" s="5">
        <v>111.7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113.3</v>
      </c>
      <c r="D5224" s="5">
        <v>0.1</v>
      </c>
      <c r="E5224" s="5">
        <v>113.5</v>
      </c>
      <c r="F5224" s="5">
        <v>224.8</v>
      </c>
      <c r="G5224" s="5">
        <v>111.7</v>
      </c>
      <c r="H5224" s="5">
        <v>111.5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113.3</v>
      </c>
      <c r="D5225" s="5">
        <v>0.1</v>
      </c>
      <c r="E5225" s="5">
        <v>113.5</v>
      </c>
      <c r="F5225" s="5">
        <v>224.8</v>
      </c>
      <c r="G5225" s="5">
        <v>111.7</v>
      </c>
      <c r="H5225" s="5">
        <v>111.5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111.8</v>
      </c>
      <c r="D5226" s="5">
        <v>0.1</v>
      </c>
      <c r="E5226" s="5">
        <v>112</v>
      </c>
      <c r="F5226" s="5">
        <v>223.6</v>
      </c>
      <c r="G5226" s="5">
        <v>111.1</v>
      </c>
      <c r="H5226" s="5">
        <v>110.9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111.8</v>
      </c>
      <c r="D5227" s="5">
        <v>0.1</v>
      </c>
      <c r="E5227" s="5">
        <v>112</v>
      </c>
      <c r="F5227" s="5">
        <v>223.6</v>
      </c>
      <c r="G5227" s="5">
        <v>111.1</v>
      </c>
      <c r="H5227" s="5">
        <v>110.9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113.4</v>
      </c>
      <c r="D5228" s="5">
        <v>0.1</v>
      </c>
      <c r="E5228" s="5">
        <v>113.6</v>
      </c>
      <c r="F5228" s="5">
        <v>224.9</v>
      </c>
      <c r="G5228" s="5">
        <v>111.8</v>
      </c>
      <c r="H5228" s="5">
        <v>111.7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113.4</v>
      </c>
      <c r="D5229" s="5">
        <v>0.1</v>
      </c>
      <c r="E5229" s="5">
        <v>113.6</v>
      </c>
      <c r="F5229" s="5">
        <v>224.9</v>
      </c>
      <c r="G5229" s="5">
        <v>111.8</v>
      </c>
      <c r="H5229" s="5">
        <v>111.7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113.4</v>
      </c>
      <c r="D5230" s="5">
        <v>0.1</v>
      </c>
      <c r="E5230" s="5">
        <v>113.6</v>
      </c>
      <c r="F5230" s="5">
        <v>224.9</v>
      </c>
      <c r="G5230" s="5">
        <v>111.8</v>
      </c>
      <c r="H5230" s="5">
        <v>111.7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113.4</v>
      </c>
      <c r="D5231" s="5">
        <v>0.1</v>
      </c>
      <c r="E5231" s="5">
        <v>113.6</v>
      </c>
      <c r="F5231" s="5">
        <v>224.9</v>
      </c>
      <c r="G5231" s="5">
        <v>111.8</v>
      </c>
      <c r="H5231" s="5">
        <v>111.7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113</v>
      </c>
      <c r="D5232" s="5">
        <v>0.1</v>
      </c>
      <c r="E5232" s="5">
        <v>113.2</v>
      </c>
      <c r="F5232" s="5">
        <v>224.8</v>
      </c>
      <c r="G5232" s="5">
        <v>111.6</v>
      </c>
      <c r="H5232" s="5">
        <v>111.3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113</v>
      </c>
      <c r="D5233" s="5">
        <v>0.1</v>
      </c>
      <c r="E5233" s="5">
        <v>113.2</v>
      </c>
      <c r="F5233" s="5">
        <v>224.8</v>
      </c>
      <c r="G5233" s="5">
        <v>111.6</v>
      </c>
      <c r="H5233" s="5">
        <v>111.3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113.2</v>
      </c>
      <c r="D5234" s="5">
        <v>0.1</v>
      </c>
      <c r="E5234" s="5">
        <v>113.4</v>
      </c>
      <c r="F5234" s="5">
        <v>225.5</v>
      </c>
      <c r="G5234" s="5">
        <v>112.1</v>
      </c>
      <c r="H5234" s="5">
        <v>111.9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113.2</v>
      </c>
      <c r="D5235" s="5">
        <v>0.1</v>
      </c>
      <c r="E5235" s="5">
        <v>113.4</v>
      </c>
      <c r="F5235" s="5">
        <v>225.5</v>
      </c>
      <c r="G5235" s="5">
        <v>112.1</v>
      </c>
      <c r="H5235" s="5">
        <v>111.9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113.6</v>
      </c>
      <c r="D5236" s="5">
        <v>0.1</v>
      </c>
      <c r="E5236" s="5">
        <v>113.8</v>
      </c>
      <c r="F5236" s="5">
        <v>225.1</v>
      </c>
      <c r="G5236" s="5">
        <v>111.8</v>
      </c>
      <c r="H5236" s="5">
        <v>111.6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113.6</v>
      </c>
      <c r="D5237" s="5">
        <v>0.1</v>
      </c>
      <c r="E5237" s="5">
        <v>113.8</v>
      </c>
      <c r="F5237" s="5">
        <v>225.1</v>
      </c>
      <c r="G5237" s="5">
        <v>111.8</v>
      </c>
      <c r="H5237" s="5">
        <v>111.6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112.9</v>
      </c>
      <c r="D5238" s="5">
        <v>0.1</v>
      </c>
      <c r="E5238" s="5">
        <v>112.9</v>
      </c>
      <c r="F5238" s="5">
        <v>224.3</v>
      </c>
      <c r="G5238" s="5">
        <v>111.5</v>
      </c>
      <c r="H5238" s="5">
        <v>111.3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112.9</v>
      </c>
      <c r="D5239" s="5">
        <v>0.1</v>
      </c>
      <c r="E5239" s="5">
        <v>112.9</v>
      </c>
      <c r="F5239" s="5">
        <v>224.3</v>
      </c>
      <c r="G5239" s="5">
        <v>111.5</v>
      </c>
      <c r="H5239" s="5">
        <v>111.3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112.9</v>
      </c>
      <c r="D5240" s="5">
        <v>0.1</v>
      </c>
      <c r="E5240" s="5">
        <v>112.9</v>
      </c>
      <c r="F5240" s="5">
        <v>224.3</v>
      </c>
      <c r="G5240" s="5">
        <v>111.5</v>
      </c>
      <c r="H5240" s="5">
        <v>111.3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112.9</v>
      </c>
      <c r="D5241" s="5">
        <v>0.1</v>
      </c>
      <c r="E5241" s="5">
        <v>112.9</v>
      </c>
      <c r="F5241" s="5">
        <v>224.3</v>
      </c>
      <c r="G5241" s="5">
        <v>111.5</v>
      </c>
      <c r="H5241" s="5">
        <v>111.3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112.9</v>
      </c>
      <c r="D5242" s="5">
        <v>0.1</v>
      </c>
      <c r="E5242" s="5">
        <v>113</v>
      </c>
      <c r="F5242" s="5">
        <v>224.7</v>
      </c>
      <c r="G5242" s="5">
        <v>111.7</v>
      </c>
      <c r="H5242" s="5">
        <v>111.5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112.9</v>
      </c>
      <c r="D5243" s="5">
        <v>0.1</v>
      </c>
      <c r="E5243" s="5">
        <v>113</v>
      </c>
      <c r="F5243" s="5">
        <v>224.7</v>
      </c>
      <c r="G5243" s="5">
        <v>111.7</v>
      </c>
      <c r="H5243" s="5">
        <v>111.5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113.4</v>
      </c>
      <c r="D5244" s="5">
        <v>0.1</v>
      </c>
      <c r="E5244" s="5">
        <v>113.5</v>
      </c>
      <c r="F5244" s="5">
        <v>225.3</v>
      </c>
      <c r="G5244" s="5">
        <v>112.1</v>
      </c>
      <c r="H5244" s="5">
        <v>111.9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113.4</v>
      </c>
      <c r="D5245" s="5">
        <v>0.1</v>
      </c>
      <c r="E5245" s="5">
        <v>113.5</v>
      </c>
      <c r="F5245" s="5">
        <v>225.3</v>
      </c>
      <c r="G5245" s="5">
        <v>112.1</v>
      </c>
      <c r="H5245" s="5">
        <v>111.9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113.2</v>
      </c>
      <c r="D5246" s="5">
        <v>0.1</v>
      </c>
      <c r="E5246" s="5">
        <v>113.4</v>
      </c>
      <c r="F5246" s="5">
        <v>224.6</v>
      </c>
      <c r="G5246" s="5">
        <v>111.8</v>
      </c>
      <c r="H5246" s="5">
        <v>112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113.2</v>
      </c>
      <c r="D5247" s="5">
        <v>0.1</v>
      </c>
      <c r="E5247" s="5">
        <v>113.4</v>
      </c>
      <c r="F5247" s="5">
        <v>224.6</v>
      </c>
      <c r="G5247" s="5">
        <v>111.8</v>
      </c>
      <c r="H5247" s="5">
        <v>112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113</v>
      </c>
      <c r="D5248" s="5">
        <v>0.1</v>
      </c>
      <c r="E5248" s="5">
        <v>113.2</v>
      </c>
      <c r="F5248" s="5">
        <v>225.2</v>
      </c>
      <c r="G5248" s="5">
        <v>111.9</v>
      </c>
      <c r="H5248" s="5">
        <v>111.8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113</v>
      </c>
      <c r="D5249" s="5">
        <v>0.1</v>
      </c>
      <c r="E5249" s="5">
        <v>113.2</v>
      </c>
      <c r="F5249" s="5">
        <v>225.2</v>
      </c>
      <c r="G5249" s="5">
        <v>111.9</v>
      </c>
      <c r="H5249" s="5">
        <v>111.8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113</v>
      </c>
      <c r="D5250" s="5">
        <v>0.1</v>
      </c>
      <c r="E5250" s="5">
        <v>113.2</v>
      </c>
      <c r="F5250" s="5">
        <v>225.2</v>
      </c>
      <c r="G5250" s="5">
        <v>111.9</v>
      </c>
      <c r="H5250" s="5">
        <v>111.8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113</v>
      </c>
      <c r="D5251" s="5">
        <v>0.1</v>
      </c>
      <c r="E5251" s="5">
        <v>113.2</v>
      </c>
      <c r="F5251" s="5">
        <v>225.2</v>
      </c>
      <c r="G5251" s="5">
        <v>111.9</v>
      </c>
      <c r="H5251" s="5">
        <v>111.8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112.6</v>
      </c>
      <c r="D5252" s="5">
        <v>0.1</v>
      </c>
      <c r="E5252" s="5">
        <v>112.7</v>
      </c>
      <c r="F5252" s="5">
        <v>224.5</v>
      </c>
      <c r="G5252" s="5">
        <v>111.6</v>
      </c>
      <c r="H5252" s="5">
        <v>111.5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112.6</v>
      </c>
      <c r="D5253" s="5">
        <v>0.1</v>
      </c>
      <c r="E5253" s="5">
        <v>112.7</v>
      </c>
      <c r="F5253" s="5">
        <v>224.5</v>
      </c>
      <c r="G5253" s="5">
        <v>111.6</v>
      </c>
      <c r="H5253" s="5">
        <v>111.5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113.7</v>
      </c>
      <c r="D5254" s="5">
        <v>0.1</v>
      </c>
      <c r="E5254" s="5">
        <v>113.9</v>
      </c>
      <c r="F5254" s="5">
        <v>225.5</v>
      </c>
      <c r="G5254" s="5">
        <v>112.1</v>
      </c>
      <c r="H5254" s="5">
        <v>111.9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113.7</v>
      </c>
      <c r="D5255" s="5">
        <v>0.1</v>
      </c>
      <c r="E5255" s="5">
        <v>113.9</v>
      </c>
      <c r="F5255" s="5">
        <v>225.5</v>
      </c>
      <c r="G5255" s="5">
        <v>112.1</v>
      </c>
      <c r="H5255" s="5">
        <v>111.9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114</v>
      </c>
      <c r="D5256" s="5">
        <v>0.1</v>
      </c>
      <c r="E5256" s="5">
        <v>114.2</v>
      </c>
      <c r="F5256" s="5">
        <v>226.2</v>
      </c>
      <c r="G5256" s="5">
        <v>112.4</v>
      </c>
      <c r="H5256" s="5">
        <v>112.3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114</v>
      </c>
      <c r="D5257" s="5">
        <v>0.1</v>
      </c>
      <c r="E5257" s="5">
        <v>114.2</v>
      </c>
      <c r="F5257" s="5">
        <v>226.2</v>
      </c>
      <c r="G5257" s="5">
        <v>112.4</v>
      </c>
      <c r="H5257" s="5">
        <v>112.3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113.6</v>
      </c>
      <c r="D5258" s="5">
        <v>0.1</v>
      </c>
      <c r="E5258" s="5">
        <v>113.8</v>
      </c>
      <c r="F5258" s="5">
        <v>226.2</v>
      </c>
      <c r="G5258" s="5">
        <v>112.4</v>
      </c>
      <c r="H5258" s="5">
        <v>112.2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113.6</v>
      </c>
      <c r="D5259" s="5">
        <v>0.1</v>
      </c>
      <c r="E5259" s="5">
        <v>113.8</v>
      </c>
      <c r="F5259" s="5">
        <v>226.2</v>
      </c>
      <c r="G5259" s="5">
        <v>112.4</v>
      </c>
      <c r="H5259" s="5">
        <v>112.2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113.6</v>
      </c>
      <c r="D5260" s="5">
        <v>0.1</v>
      </c>
      <c r="E5260" s="5">
        <v>113.8</v>
      </c>
      <c r="F5260" s="5">
        <v>226.2</v>
      </c>
      <c r="G5260" s="5">
        <v>112.4</v>
      </c>
      <c r="H5260" s="5">
        <v>112.2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113.6</v>
      </c>
      <c r="D5261" s="5">
        <v>0.1</v>
      </c>
      <c r="E5261" s="5">
        <v>113.8</v>
      </c>
      <c r="F5261" s="5">
        <v>226.2</v>
      </c>
      <c r="G5261" s="5">
        <v>112.4</v>
      </c>
      <c r="H5261" s="5">
        <v>112.2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113.5</v>
      </c>
      <c r="D5262" s="5">
        <v>0.1</v>
      </c>
      <c r="E5262" s="5">
        <v>113.6</v>
      </c>
      <c r="F5262" s="5">
        <v>224.8</v>
      </c>
      <c r="G5262" s="5">
        <v>111.8</v>
      </c>
      <c r="H5262" s="5">
        <v>111.7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113.5</v>
      </c>
      <c r="D5263" s="5">
        <v>0.1</v>
      </c>
      <c r="E5263" s="5">
        <v>113.6</v>
      </c>
      <c r="F5263" s="5">
        <v>224.8</v>
      </c>
      <c r="G5263" s="5">
        <v>111.8</v>
      </c>
      <c r="H5263" s="5">
        <v>111.7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113.6</v>
      </c>
      <c r="D5264" s="5">
        <v>0.1</v>
      </c>
      <c r="E5264" s="5">
        <v>113.7</v>
      </c>
      <c r="F5264" s="5">
        <v>225.9</v>
      </c>
      <c r="G5264" s="5">
        <v>112.4</v>
      </c>
      <c r="H5264" s="5">
        <v>112.3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113.6</v>
      </c>
      <c r="D5265" s="5">
        <v>0.1</v>
      </c>
      <c r="E5265" s="5">
        <v>113.7</v>
      </c>
      <c r="F5265" s="5">
        <v>225.9</v>
      </c>
      <c r="G5265" s="5">
        <v>112.4</v>
      </c>
      <c r="H5265" s="5">
        <v>112.3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114.4</v>
      </c>
      <c r="D5266" s="5">
        <v>0.1</v>
      </c>
      <c r="E5266" s="5">
        <v>114.5</v>
      </c>
      <c r="F5266" s="5">
        <v>227.3</v>
      </c>
      <c r="G5266" s="5">
        <v>112.9</v>
      </c>
      <c r="H5266" s="5">
        <v>112.6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114.4</v>
      </c>
      <c r="D5267" s="5">
        <v>0.1</v>
      </c>
      <c r="E5267" s="5">
        <v>114.5</v>
      </c>
      <c r="F5267" s="5">
        <v>227.3</v>
      </c>
      <c r="G5267" s="5">
        <v>112.9</v>
      </c>
      <c r="H5267" s="5">
        <v>112.6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113.9</v>
      </c>
      <c r="D5268" s="5">
        <v>0.1</v>
      </c>
      <c r="E5268" s="5">
        <v>114</v>
      </c>
      <c r="F5268" s="5">
        <v>226.3</v>
      </c>
      <c r="G5268" s="5">
        <v>112.5</v>
      </c>
      <c r="H5268" s="5">
        <v>112.3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113.9</v>
      </c>
      <c r="D5269" s="5">
        <v>0.1</v>
      </c>
      <c r="E5269" s="5">
        <v>114</v>
      </c>
      <c r="F5269" s="5">
        <v>226.3</v>
      </c>
      <c r="G5269" s="5">
        <v>112.5</v>
      </c>
      <c r="H5269" s="5">
        <v>112.3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113.9</v>
      </c>
      <c r="D5270" s="5">
        <v>0.1</v>
      </c>
      <c r="E5270" s="5">
        <v>114</v>
      </c>
      <c r="F5270" s="5">
        <v>226.3</v>
      </c>
      <c r="G5270" s="5">
        <v>112.5</v>
      </c>
      <c r="H5270" s="5">
        <v>112.3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113.6</v>
      </c>
      <c r="D5271" s="5">
        <v>0.1</v>
      </c>
      <c r="E5271" s="5">
        <v>113.8</v>
      </c>
      <c r="F5271" s="5">
        <v>225.6</v>
      </c>
      <c r="G5271" s="5">
        <v>112.1</v>
      </c>
      <c r="H5271" s="5">
        <v>112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113.6</v>
      </c>
      <c r="D5272" s="5">
        <v>0.1</v>
      </c>
      <c r="E5272" s="5">
        <v>113.8</v>
      </c>
      <c r="F5272" s="5">
        <v>225.6</v>
      </c>
      <c r="G5272" s="5">
        <v>112.1</v>
      </c>
      <c r="H5272" s="5">
        <v>112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113.3</v>
      </c>
      <c r="D5273" s="5">
        <v>0.1</v>
      </c>
      <c r="E5273" s="5">
        <v>113.5</v>
      </c>
      <c r="F5273" s="5">
        <v>226.2</v>
      </c>
      <c r="G5273" s="5">
        <v>112.5</v>
      </c>
      <c r="H5273" s="5">
        <v>112.3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113.3</v>
      </c>
      <c r="D5274" s="5">
        <v>0.1</v>
      </c>
      <c r="E5274" s="5">
        <v>113.5</v>
      </c>
      <c r="F5274" s="5">
        <v>226.2</v>
      </c>
      <c r="G5274" s="5">
        <v>112.5</v>
      </c>
      <c r="H5274" s="5">
        <v>112.3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113.6</v>
      </c>
      <c r="D5275" s="5">
        <v>0.1</v>
      </c>
      <c r="E5275" s="5">
        <v>113.8</v>
      </c>
      <c r="F5275" s="5">
        <v>225.7</v>
      </c>
      <c r="G5275" s="5">
        <v>112.2</v>
      </c>
      <c r="H5275" s="5">
        <v>112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113.6</v>
      </c>
      <c r="D5276" s="5">
        <v>0.1</v>
      </c>
      <c r="E5276" s="5">
        <v>113.8</v>
      </c>
      <c r="F5276" s="5">
        <v>225.7</v>
      </c>
      <c r="G5276" s="5">
        <v>112.2</v>
      </c>
      <c r="H5276" s="5">
        <v>112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112.8</v>
      </c>
      <c r="D5277" s="5">
        <v>0.1</v>
      </c>
      <c r="E5277" s="5">
        <v>112.9</v>
      </c>
      <c r="F5277" s="5">
        <v>225.3</v>
      </c>
      <c r="G5277" s="5">
        <v>112</v>
      </c>
      <c r="H5277" s="5">
        <v>111.9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112.8</v>
      </c>
      <c r="D5278" s="5">
        <v>0.1</v>
      </c>
      <c r="E5278" s="5">
        <v>112.9</v>
      </c>
      <c r="F5278" s="5">
        <v>225.3</v>
      </c>
      <c r="G5278" s="5">
        <v>112</v>
      </c>
      <c r="H5278" s="5">
        <v>111.9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112.8</v>
      </c>
      <c r="D5279" s="5">
        <v>0.1</v>
      </c>
      <c r="E5279" s="5">
        <v>112.9</v>
      </c>
      <c r="F5279" s="5">
        <v>225.3</v>
      </c>
      <c r="G5279" s="5">
        <v>112</v>
      </c>
      <c r="H5279" s="5">
        <v>111.9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112.8</v>
      </c>
      <c r="D5280" s="5">
        <v>0.1</v>
      </c>
      <c r="E5280" s="5">
        <v>112.9</v>
      </c>
      <c r="F5280" s="5">
        <v>225.3</v>
      </c>
      <c r="G5280" s="5">
        <v>112</v>
      </c>
      <c r="H5280" s="5">
        <v>111.9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112.4</v>
      </c>
      <c r="D5281" s="5">
        <v>0.1</v>
      </c>
      <c r="E5281" s="5">
        <v>112.9</v>
      </c>
      <c r="F5281" s="5">
        <v>225.3</v>
      </c>
      <c r="G5281" s="5">
        <v>112</v>
      </c>
      <c r="H5281" s="5">
        <v>111.9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112.4</v>
      </c>
      <c r="D5282" s="5">
        <v>0.1</v>
      </c>
      <c r="E5282" s="5">
        <v>112.6</v>
      </c>
      <c r="F5282" s="5">
        <v>225.2</v>
      </c>
      <c r="G5282" s="5">
        <v>111.9</v>
      </c>
      <c r="H5282" s="5">
        <v>111.8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112.4</v>
      </c>
      <c r="D5283" s="5">
        <v>0.1</v>
      </c>
      <c r="E5283" s="5">
        <v>112.6</v>
      </c>
      <c r="F5283" s="5">
        <v>225.2</v>
      </c>
      <c r="G5283" s="5">
        <v>111.9</v>
      </c>
      <c r="H5283" s="5">
        <v>111.8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113.3</v>
      </c>
      <c r="D5284" s="5">
        <v>0.1</v>
      </c>
      <c r="E5284" s="5">
        <v>113.5</v>
      </c>
      <c r="F5284" s="5">
        <v>225.3</v>
      </c>
      <c r="G5284" s="5">
        <v>111.8</v>
      </c>
      <c r="H5284" s="5">
        <v>111.4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113.3</v>
      </c>
      <c r="D5285" s="5">
        <v>0.1</v>
      </c>
      <c r="E5285" s="5">
        <v>113.5</v>
      </c>
      <c r="F5285" s="5">
        <v>225.3</v>
      </c>
      <c r="G5285" s="5">
        <v>111.8</v>
      </c>
      <c r="H5285" s="5">
        <v>111.4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113.2</v>
      </c>
      <c r="D5286" s="5">
        <v>0.1</v>
      </c>
      <c r="E5286" s="5">
        <v>113.3</v>
      </c>
      <c r="F5286" s="5">
        <v>225.1</v>
      </c>
      <c r="G5286" s="5">
        <v>111.8</v>
      </c>
      <c r="H5286" s="5">
        <v>111.6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113.2</v>
      </c>
      <c r="D5287" s="5">
        <v>0.1</v>
      </c>
      <c r="E5287" s="5">
        <v>113.3</v>
      </c>
      <c r="F5287" s="5">
        <v>225.1</v>
      </c>
      <c r="G5287" s="5">
        <v>111.8</v>
      </c>
      <c r="H5287" s="5">
        <v>111.6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112.3</v>
      </c>
      <c r="D5288" s="5">
        <v>0.1</v>
      </c>
      <c r="E5288" s="5">
        <v>112.5</v>
      </c>
      <c r="F5288" s="5">
        <v>224.4</v>
      </c>
      <c r="G5288" s="5">
        <v>111.5</v>
      </c>
      <c r="H5288" s="5">
        <v>111.4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112.3</v>
      </c>
      <c r="D5289" s="5">
        <v>0.1</v>
      </c>
      <c r="E5289" s="5">
        <v>112.5</v>
      </c>
      <c r="F5289" s="5">
        <v>224.4</v>
      </c>
      <c r="G5289" s="5">
        <v>111.5</v>
      </c>
      <c r="H5289" s="5">
        <v>111.4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112.3</v>
      </c>
      <c r="D5290" s="5">
        <v>0.1</v>
      </c>
      <c r="E5290" s="5">
        <v>112.5</v>
      </c>
      <c r="F5290" s="5">
        <v>224.4</v>
      </c>
      <c r="G5290" s="5">
        <v>111.5</v>
      </c>
      <c r="H5290" s="5">
        <v>111.4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110.8</v>
      </c>
      <c r="D5291" s="5">
        <v>0.1</v>
      </c>
      <c r="E5291" s="5">
        <v>111</v>
      </c>
      <c r="F5291" s="5">
        <v>219.7</v>
      </c>
      <c r="G5291" s="5">
        <v>109.2</v>
      </c>
      <c r="H5291" s="5">
        <v>109.1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110.8</v>
      </c>
      <c r="D5292" s="5">
        <v>0.1</v>
      </c>
      <c r="E5292" s="5">
        <v>111</v>
      </c>
      <c r="F5292" s="5">
        <v>219.7</v>
      </c>
      <c r="G5292" s="5">
        <v>109.2</v>
      </c>
      <c r="H5292" s="5">
        <v>109.1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109.5</v>
      </c>
      <c r="D5293" s="5">
        <v>0.1</v>
      </c>
      <c r="E5293" s="5">
        <v>109.7</v>
      </c>
      <c r="F5293" s="5">
        <v>217.7</v>
      </c>
      <c r="G5293" s="5">
        <v>108.2</v>
      </c>
      <c r="H5293" s="5">
        <v>108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109.5</v>
      </c>
      <c r="D5294" s="5">
        <v>0.1</v>
      </c>
      <c r="E5294" s="5">
        <v>109.7</v>
      </c>
      <c r="F5294" s="5">
        <v>217.7</v>
      </c>
      <c r="G5294" s="5">
        <v>108.2</v>
      </c>
      <c r="H5294" s="5">
        <v>108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108.9</v>
      </c>
      <c r="D5295" s="5">
        <v>0.1</v>
      </c>
      <c r="E5295" s="5">
        <v>109.1</v>
      </c>
      <c r="F5295" s="5">
        <v>216</v>
      </c>
      <c r="G5295" s="5">
        <v>107.4</v>
      </c>
      <c r="H5295" s="5">
        <v>107.3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108.9</v>
      </c>
      <c r="D5296" s="5">
        <v>0.1</v>
      </c>
      <c r="E5296" s="5">
        <v>109.1</v>
      </c>
      <c r="F5296" s="5">
        <v>216</v>
      </c>
      <c r="G5296" s="5">
        <v>107.4</v>
      </c>
      <c r="H5296" s="5">
        <v>107.3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108.9</v>
      </c>
      <c r="D5297" s="5">
        <v>0.1</v>
      </c>
      <c r="E5297" s="5">
        <v>108.5</v>
      </c>
      <c r="F5297" s="5">
        <v>215.1</v>
      </c>
      <c r="G5297" s="5">
        <v>106.9</v>
      </c>
      <c r="H5297" s="5">
        <v>106.8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108.4</v>
      </c>
      <c r="D5298" s="5">
        <v>0.1</v>
      </c>
      <c r="E5298" s="5">
        <v>108.5</v>
      </c>
      <c r="F5298" s="5">
        <v>215.1</v>
      </c>
      <c r="G5298" s="5">
        <v>106.9</v>
      </c>
      <c r="H5298" s="5">
        <v>106.8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108.4</v>
      </c>
      <c r="D5299" s="5">
        <v>0.1</v>
      </c>
      <c r="E5299" s="5">
        <v>108.5</v>
      </c>
      <c r="F5299" s="5">
        <v>215.1</v>
      </c>
      <c r="G5299" s="5">
        <v>106.9</v>
      </c>
      <c r="H5299" s="5">
        <v>106.8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108.4</v>
      </c>
      <c r="D5300" s="5">
        <v>0.1</v>
      </c>
      <c r="E5300" s="5">
        <v>108.5</v>
      </c>
      <c r="F5300" s="5">
        <v>215.1</v>
      </c>
      <c r="G5300" s="5">
        <v>106.9</v>
      </c>
      <c r="H5300" s="5">
        <v>106.8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108.1</v>
      </c>
      <c r="D5301" s="5">
        <v>0.1</v>
      </c>
      <c r="E5301" s="5">
        <v>108.2</v>
      </c>
      <c r="F5301" s="5">
        <v>214.9</v>
      </c>
      <c r="G5301" s="5">
        <v>106.8</v>
      </c>
      <c r="H5301" s="5">
        <v>106.7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108.1</v>
      </c>
      <c r="D5302" s="5">
        <v>0.1</v>
      </c>
      <c r="E5302" s="5">
        <v>108.2</v>
      </c>
      <c r="F5302" s="5">
        <v>214.9</v>
      </c>
      <c r="G5302" s="5">
        <v>106.8</v>
      </c>
      <c r="H5302" s="5">
        <v>106.7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108.5</v>
      </c>
      <c r="D5303" s="5">
        <v>0.1</v>
      </c>
      <c r="E5303" s="5">
        <v>108.6</v>
      </c>
      <c r="F5303" s="5">
        <v>214.8</v>
      </c>
      <c r="G5303" s="5">
        <v>106.7</v>
      </c>
      <c r="H5303" s="5">
        <v>106.2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108.5</v>
      </c>
      <c r="D5304" s="5">
        <v>0.1</v>
      </c>
      <c r="E5304" s="5">
        <v>108.6</v>
      </c>
      <c r="F5304" s="5">
        <v>214.8</v>
      </c>
      <c r="G5304" s="5">
        <v>106.7</v>
      </c>
      <c r="H5304" s="5">
        <v>106.2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108.2</v>
      </c>
      <c r="D5305" s="5">
        <v>0.1</v>
      </c>
      <c r="E5305" s="5">
        <v>108.4</v>
      </c>
      <c r="F5305" s="5">
        <v>215.1</v>
      </c>
      <c r="G5305" s="5">
        <v>106.9</v>
      </c>
      <c r="H5305" s="5">
        <v>106.7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108.2</v>
      </c>
      <c r="D5306" s="5">
        <v>0.1</v>
      </c>
      <c r="E5306" s="5">
        <v>108.4</v>
      </c>
      <c r="F5306" s="5">
        <v>215.1</v>
      </c>
      <c r="G5306" s="5">
        <v>106.9</v>
      </c>
      <c r="H5306" s="5">
        <v>106.7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108.4</v>
      </c>
      <c r="D5307" s="5">
        <v>0.1</v>
      </c>
      <c r="E5307" s="5">
        <v>108.5</v>
      </c>
      <c r="F5307" s="5">
        <v>215.4</v>
      </c>
      <c r="G5307" s="5">
        <v>107.1</v>
      </c>
      <c r="H5307" s="5">
        <v>107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108.4</v>
      </c>
      <c r="D5308" s="5">
        <v>0.1</v>
      </c>
      <c r="E5308" s="5">
        <v>108.5</v>
      </c>
      <c r="F5308" s="5">
        <v>215.4</v>
      </c>
      <c r="G5308" s="5">
        <v>107.1</v>
      </c>
      <c r="H5308" s="5">
        <v>107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108.4</v>
      </c>
      <c r="D5309" s="5">
        <v>0.1</v>
      </c>
      <c r="E5309" s="5">
        <v>108.5</v>
      </c>
      <c r="F5309" s="5">
        <v>215.4</v>
      </c>
      <c r="G5309" s="5">
        <v>107.1</v>
      </c>
      <c r="H5309" s="5">
        <v>107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108.4</v>
      </c>
      <c r="D5310" s="5">
        <v>0.1</v>
      </c>
      <c r="E5310" s="5">
        <v>108.5</v>
      </c>
      <c r="F5310" s="5">
        <v>215.4</v>
      </c>
      <c r="G5310" s="5">
        <v>107.1</v>
      </c>
      <c r="H5310" s="5">
        <v>107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108.6</v>
      </c>
      <c r="D5311" s="5">
        <v>0.1</v>
      </c>
      <c r="E5311" s="5">
        <v>108.8</v>
      </c>
      <c r="F5311" s="5">
        <v>216.1</v>
      </c>
      <c r="G5311" s="5">
        <v>107.4</v>
      </c>
      <c r="H5311" s="5">
        <v>107.2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108.6</v>
      </c>
      <c r="D5312" s="5">
        <v>0.1</v>
      </c>
      <c r="E5312" s="5">
        <v>108.8</v>
      </c>
      <c r="F5312" s="5">
        <v>216.1</v>
      </c>
      <c r="G5312" s="5">
        <v>107.4</v>
      </c>
      <c r="H5312" s="5">
        <v>107.2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108.5</v>
      </c>
      <c r="D5313" s="5">
        <v>0.1</v>
      </c>
      <c r="E5313" s="5">
        <v>108.6</v>
      </c>
      <c r="F5313" s="5">
        <v>215.9</v>
      </c>
      <c r="G5313" s="5">
        <v>107.3</v>
      </c>
      <c r="H5313" s="5">
        <v>107.1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108.5</v>
      </c>
      <c r="D5314" s="5">
        <v>0.1</v>
      </c>
      <c r="E5314" s="5">
        <v>108.6</v>
      </c>
      <c r="F5314" s="5">
        <v>215.9</v>
      </c>
      <c r="G5314" s="5">
        <v>107.3</v>
      </c>
      <c r="H5314" s="5">
        <v>107.1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108.9</v>
      </c>
      <c r="D5315" s="5">
        <v>0.1</v>
      </c>
      <c r="E5315" s="5">
        <v>109</v>
      </c>
      <c r="F5315" s="5">
        <v>215.9</v>
      </c>
      <c r="G5315" s="5">
        <v>107.3</v>
      </c>
      <c r="H5315" s="5">
        <v>107.2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108.9</v>
      </c>
      <c r="D5316" s="5">
        <v>0.1</v>
      </c>
      <c r="E5316" s="5">
        <v>109</v>
      </c>
      <c r="F5316" s="5">
        <v>215.9</v>
      </c>
      <c r="G5316" s="5">
        <v>107.3</v>
      </c>
      <c r="H5316" s="5">
        <v>107.2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108.1</v>
      </c>
      <c r="D5317" s="5">
        <v>0.1</v>
      </c>
      <c r="E5317" s="5">
        <v>108.2</v>
      </c>
      <c r="F5317" s="5">
        <v>215.9</v>
      </c>
      <c r="G5317" s="5">
        <v>107.3</v>
      </c>
      <c r="H5317" s="5">
        <v>106.7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108.1</v>
      </c>
      <c r="D5318" s="5">
        <v>0.1</v>
      </c>
      <c r="E5318" s="5">
        <v>108.2</v>
      </c>
      <c r="F5318" s="5">
        <v>215.2</v>
      </c>
      <c r="G5318" s="5">
        <v>106.9</v>
      </c>
      <c r="H5318" s="5">
        <v>106.7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108.1</v>
      </c>
      <c r="D5319" s="5">
        <v>0.1</v>
      </c>
      <c r="E5319" s="5">
        <v>108.2</v>
      </c>
      <c r="F5319" s="5">
        <v>215.2</v>
      </c>
      <c r="G5319" s="5">
        <v>106.9</v>
      </c>
      <c r="H5319" s="5">
        <v>106.7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108.1</v>
      </c>
      <c r="D5320" s="5">
        <v>0.1</v>
      </c>
      <c r="E5320" s="5">
        <v>108.2</v>
      </c>
      <c r="F5320" s="5">
        <v>215.2</v>
      </c>
      <c r="G5320" s="5">
        <v>106.9</v>
      </c>
      <c r="H5320" s="5">
        <v>106.7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108.6</v>
      </c>
      <c r="D5321" s="5">
        <v>0.1</v>
      </c>
      <c r="E5321" s="5">
        <v>108.8</v>
      </c>
      <c r="F5321" s="5">
        <v>215.1</v>
      </c>
      <c r="G5321" s="5">
        <v>106.8</v>
      </c>
      <c r="H5321" s="5">
        <v>106.6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108.6</v>
      </c>
      <c r="D5322" s="5">
        <v>0.1</v>
      </c>
      <c r="E5322" s="5">
        <v>108.8</v>
      </c>
      <c r="F5322" s="5">
        <v>215.1</v>
      </c>
      <c r="G5322" s="5">
        <v>106.8</v>
      </c>
      <c r="H5322" s="5">
        <v>106.6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108.1</v>
      </c>
      <c r="D5323" s="5">
        <v>0.1</v>
      </c>
      <c r="E5323" s="5">
        <v>108.3</v>
      </c>
      <c r="F5323" s="5">
        <v>215.5</v>
      </c>
      <c r="G5323" s="5">
        <v>107.2</v>
      </c>
      <c r="H5323" s="5">
        <v>107.2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108.1</v>
      </c>
      <c r="D5324" s="5">
        <v>0.1</v>
      </c>
      <c r="E5324" s="5">
        <v>108.3</v>
      </c>
      <c r="F5324" s="5">
        <v>215.5</v>
      </c>
      <c r="G5324" s="5">
        <v>107.2</v>
      </c>
      <c r="H5324" s="5">
        <v>107.2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108.5</v>
      </c>
      <c r="D5325" s="5">
        <v>0.1</v>
      </c>
      <c r="E5325" s="5">
        <v>108.7</v>
      </c>
      <c r="F5325" s="5">
        <v>215.8</v>
      </c>
      <c r="G5325" s="5">
        <v>107.3</v>
      </c>
      <c r="H5325" s="5">
        <v>107.2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108.5</v>
      </c>
      <c r="D5326" s="5">
        <v>0.1</v>
      </c>
      <c r="E5326" s="5">
        <v>108.7</v>
      </c>
      <c r="F5326" s="5">
        <v>215.8</v>
      </c>
      <c r="G5326" s="5">
        <v>107.3</v>
      </c>
      <c r="H5326" s="5">
        <v>107.2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108.5</v>
      </c>
      <c r="D5327" s="5">
        <v>0.1</v>
      </c>
      <c r="E5327" s="5">
        <v>108.6</v>
      </c>
      <c r="F5327" s="5">
        <v>215.3</v>
      </c>
      <c r="G5327" s="5">
        <v>107</v>
      </c>
      <c r="H5327" s="5">
        <v>106.9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108.5</v>
      </c>
      <c r="D5328" s="5">
        <v>0.1</v>
      </c>
      <c r="E5328" s="5">
        <v>108.6</v>
      </c>
      <c r="F5328" s="5">
        <v>215.3</v>
      </c>
      <c r="G5328" s="5">
        <v>107</v>
      </c>
      <c r="H5328" s="5">
        <v>106.9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108.5</v>
      </c>
      <c r="D5329" s="5">
        <v>0.1</v>
      </c>
      <c r="E5329" s="5">
        <v>108.6</v>
      </c>
      <c r="F5329" s="5">
        <v>215.3</v>
      </c>
      <c r="G5329" s="5">
        <v>107</v>
      </c>
      <c r="H5329" s="5">
        <v>106.9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108.5</v>
      </c>
      <c r="D5330" s="5">
        <v>0.1</v>
      </c>
      <c r="E5330" s="5">
        <v>108.6</v>
      </c>
      <c r="F5330" s="5">
        <v>215.3</v>
      </c>
      <c r="G5330" s="5">
        <v>107</v>
      </c>
      <c r="H5330" s="5">
        <v>106.9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109.1</v>
      </c>
      <c r="D5331" s="5">
        <v>0.1</v>
      </c>
      <c r="E5331" s="5">
        <v>109.2</v>
      </c>
      <c r="F5331" s="5">
        <v>217</v>
      </c>
      <c r="G5331" s="5">
        <v>107.9</v>
      </c>
      <c r="H5331" s="5">
        <v>107.7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109.1</v>
      </c>
      <c r="D5332" s="5">
        <v>0.1</v>
      </c>
      <c r="E5332" s="5">
        <v>109.2</v>
      </c>
      <c r="F5332" s="5">
        <v>217</v>
      </c>
      <c r="G5332" s="5">
        <v>107.9</v>
      </c>
      <c r="H5332" s="5">
        <v>107.7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109.6</v>
      </c>
      <c r="D5333" s="5">
        <v>0.1</v>
      </c>
      <c r="E5333" s="5">
        <v>109.7</v>
      </c>
      <c r="F5333" s="5">
        <v>217.2</v>
      </c>
      <c r="G5333" s="5">
        <v>107.9</v>
      </c>
      <c r="H5333" s="5">
        <v>107.8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109.6</v>
      </c>
      <c r="D5334" s="5">
        <v>0.1</v>
      </c>
      <c r="E5334" s="5">
        <v>109.7</v>
      </c>
      <c r="F5334" s="5">
        <v>217.2</v>
      </c>
      <c r="G5334" s="5">
        <v>107.9</v>
      </c>
      <c r="H5334" s="5">
        <v>107.8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109.1</v>
      </c>
      <c r="D5335" s="5">
        <v>0.1</v>
      </c>
      <c r="E5335" s="5">
        <v>109.2</v>
      </c>
      <c r="F5335" s="5">
        <v>216.8</v>
      </c>
      <c r="G5335" s="5">
        <v>107.7</v>
      </c>
      <c r="H5335" s="5">
        <v>107.5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109.1</v>
      </c>
      <c r="D5336" s="5">
        <v>0.1</v>
      </c>
      <c r="E5336" s="5">
        <v>109.2</v>
      </c>
      <c r="F5336" s="5">
        <v>216.8</v>
      </c>
      <c r="G5336" s="5">
        <v>107.7</v>
      </c>
      <c r="H5336" s="5">
        <v>107.5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109.1</v>
      </c>
      <c r="D5337" s="5">
        <v>0.1</v>
      </c>
      <c r="E5337" s="5">
        <v>109.3</v>
      </c>
      <c r="F5337" s="5">
        <v>216.5</v>
      </c>
      <c r="G5337" s="5">
        <v>107.6</v>
      </c>
      <c r="H5337" s="5">
        <v>107.5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109.1</v>
      </c>
      <c r="D5338" s="5">
        <v>0.1</v>
      </c>
      <c r="E5338" s="5">
        <v>109.3</v>
      </c>
      <c r="F5338" s="5">
        <v>216.5</v>
      </c>
      <c r="G5338" s="5">
        <v>107.6</v>
      </c>
      <c r="H5338" s="5">
        <v>107.5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109.1</v>
      </c>
      <c r="D5339" s="5">
        <v>0.1</v>
      </c>
      <c r="E5339" s="5">
        <v>109.3</v>
      </c>
      <c r="F5339" s="5">
        <v>216.5</v>
      </c>
      <c r="G5339" s="5">
        <v>107.6</v>
      </c>
      <c r="H5339" s="5">
        <v>107.5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109.1</v>
      </c>
      <c r="D5340" s="5">
        <v>0.1</v>
      </c>
      <c r="E5340" s="5">
        <v>109.3</v>
      </c>
      <c r="F5340" s="5">
        <v>216.5</v>
      </c>
      <c r="G5340" s="5">
        <v>107.6</v>
      </c>
      <c r="H5340" s="5">
        <v>107.5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108.8</v>
      </c>
      <c r="D5341" s="5">
        <v>0.1</v>
      </c>
      <c r="E5341" s="5">
        <v>108.9</v>
      </c>
      <c r="F5341" s="5">
        <v>215.8</v>
      </c>
      <c r="G5341" s="5">
        <v>107.3</v>
      </c>
      <c r="H5341" s="5">
        <v>107.2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108.8</v>
      </c>
      <c r="D5342" s="5">
        <v>0.1</v>
      </c>
      <c r="E5342" s="5">
        <v>108.9</v>
      </c>
      <c r="F5342" s="5">
        <v>215.8</v>
      </c>
      <c r="G5342" s="5">
        <v>107.3</v>
      </c>
      <c r="H5342" s="5">
        <v>107.2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110.1</v>
      </c>
      <c r="D5343" s="5">
        <v>0.1</v>
      </c>
      <c r="E5343" s="5">
        <v>110.2</v>
      </c>
      <c r="F5343" s="5">
        <v>218.9</v>
      </c>
      <c r="G5343" s="5">
        <v>108.6</v>
      </c>
      <c r="H5343" s="5">
        <v>108.4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110.1</v>
      </c>
      <c r="D5344" s="5">
        <v>0.1</v>
      </c>
      <c r="E5344" s="5">
        <v>110.2</v>
      </c>
      <c r="F5344" s="5">
        <v>218.9</v>
      </c>
      <c r="G5344" s="5">
        <v>108.6</v>
      </c>
      <c r="H5344" s="5">
        <v>108.4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110.6</v>
      </c>
      <c r="D5345" s="5">
        <v>0.1</v>
      </c>
      <c r="E5345" s="5">
        <v>110.7</v>
      </c>
      <c r="F5345" s="5">
        <v>220</v>
      </c>
      <c r="G5345" s="5">
        <v>109.3</v>
      </c>
      <c r="H5345" s="5">
        <v>109.2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110.6</v>
      </c>
      <c r="D5346" s="5">
        <v>0.1</v>
      </c>
      <c r="E5346" s="5">
        <v>110.7</v>
      </c>
      <c r="F5346" s="5">
        <v>220</v>
      </c>
      <c r="G5346" s="5">
        <v>109.3</v>
      </c>
      <c r="H5346" s="5">
        <v>109.2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110.4</v>
      </c>
      <c r="D5347" s="5">
        <v>0.1</v>
      </c>
      <c r="E5347" s="5">
        <v>110.5</v>
      </c>
      <c r="F5347" s="5">
        <v>219.2</v>
      </c>
      <c r="G5347" s="5">
        <v>108.9</v>
      </c>
      <c r="H5347" s="5">
        <v>108.8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110.4</v>
      </c>
      <c r="D5348" s="5">
        <v>0.1</v>
      </c>
      <c r="E5348" s="5">
        <v>110.5</v>
      </c>
      <c r="F5348" s="5">
        <v>219.2</v>
      </c>
      <c r="G5348" s="5">
        <v>108.9</v>
      </c>
      <c r="H5348" s="5">
        <v>108.8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110.4</v>
      </c>
      <c r="D5349" s="5">
        <v>0.1</v>
      </c>
      <c r="E5349" s="5">
        <v>110.5</v>
      </c>
      <c r="F5349" s="5">
        <v>219.2</v>
      </c>
      <c r="G5349" s="5">
        <v>108.9</v>
      </c>
      <c r="H5349" s="5">
        <v>108.8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110.4</v>
      </c>
      <c r="D5350" s="5">
        <v>0.1</v>
      </c>
      <c r="E5350" s="5">
        <v>110.5</v>
      </c>
      <c r="F5350" s="5">
        <v>219.2</v>
      </c>
      <c r="G5350" s="5">
        <v>108.9</v>
      </c>
      <c r="H5350" s="5">
        <v>108.8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110.5</v>
      </c>
      <c r="D5351" s="5">
        <v>0.1</v>
      </c>
      <c r="E5351" s="5">
        <v>110.7</v>
      </c>
      <c r="F5351" s="5">
        <v>219.2</v>
      </c>
      <c r="G5351" s="5">
        <v>109</v>
      </c>
      <c r="H5351" s="5">
        <v>108.8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110.5</v>
      </c>
      <c r="D5352" s="5">
        <v>0.1</v>
      </c>
      <c r="E5352" s="5">
        <v>110.7</v>
      </c>
      <c r="F5352" s="5">
        <v>219.2</v>
      </c>
      <c r="G5352" s="5">
        <v>109</v>
      </c>
      <c r="H5352" s="5">
        <v>108.8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110.7</v>
      </c>
      <c r="D5353" s="5">
        <v>0.1</v>
      </c>
      <c r="E5353" s="5">
        <v>110.7</v>
      </c>
      <c r="F5353" s="5">
        <v>219.7</v>
      </c>
      <c r="G5353" s="5">
        <v>109</v>
      </c>
      <c r="H5353" s="5">
        <v>108.9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110.7</v>
      </c>
      <c r="D5354" s="5">
        <v>0.1</v>
      </c>
      <c r="E5354" s="5">
        <v>110.7</v>
      </c>
      <c r="F5354" s="5">
        <v>219.7</v>
      </c>
      <c r="G5354" s="5">
        <v>109</v>
      </c>
      <c r="H5354" s="5">
        <v>108.9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110</v>
      </c>
      <c r="D5355" s="5">
        <v>0.1</v>
      </c>
      <c r="E5355" s="5">
        <v>110.1</v>
      </c>
      <c r="F5355" s="5">
        <v>218.5</v>
      </c>
      <c r="G5355" s="5">
        <v>108.2</v>
      </c>
      <c r="H5355" s="5">
        <v>107.9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110</v>
      </c>
      <c r="D5356" s="5">
        <v>0.1</v>
      </c>
      <c r="E5356" s="5">
        <v>110.1</v>
      </c>
      <c r="F5356" s="5">
        <v>218.5</v>
      </c>
      <c r="G5356" s="5">
        <v>108.2</v>
      </c>
      <c r="H5356" s="5">
        <v>107.9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110.2</v>
      </c>
      <c r="D5357" s="5">
        <v>0.1</v>
      </c>
      <c r="E5357" s="5">
        <v>110.4</v>
      </c>
      <c r="F5357" s="5">
        <v>218.7</v>
      </c>
      <c r="G5357" s="5">
        <v>108.7</v>
      </c>
      <c r="H5357" s="5">
        <v>108.5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110.2</v>
      </c>
      <c r="D5358" s="5">
        <v>0.1</v>
      </c>
      <c r="E5358" s="5">
        <v>110.4</v>
      </c>
      <c r="F5358" s="5">
        <v>218.7</v>
      </c>
      <c r="G5358" s="5">
        <v>108.7</v>
      </c>
      <c r="H5358" s="5">
        <v>108.5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110.2</v>
      </c>
      <c r="D5359" s="5">
        <v>0.1</v>
      </c>
      <c r="E5359" s="5">
        <v>110.4</v>
      </c>
      <c r="F5359" s="5">
        <v>218.7</v>
      </c>
      <c r="G5359" s="5">
        <v>108.7</v>
      </c>
      <c r="H5359" s="5">
        <v>108.5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110.2</v>
      </c>
      <c r="D5360" s="5">
        <v>0.1</v>
      </c>
      <c r="E5360" s="5">
        <v>110.4</v>
      </c>
      <c r="F5360" s="5">
        <v>218.7</v>
      </c>
      <c r="G5360" s="5">
        <v>108.7</v>
      </c>
      <c r="H5360" s="5">
        <v>108.5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110.1</v>
      </c>
      <c r="D5361" s="5">
        <v>0.1</v>
      </c>
      <c r="E5361" s="5">
        <v>110.3</v>
      </c>
      <c r="F5361" s="5">
        <v>219.3</v>
      </c>
      <c r="G5361" s="5">
        <v>108.8</v>
      </c>
      <c r="H5361" s="5">
        <v>108.6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110.1</v>
      </c>
      <c r="D5362" s="5">
        <v>0.1</v>
      </c>
      <c r="E5362" s="5">
        <v>110.3</v>
      </c>
      <c r="F5362" s="5">
        <v>219.3</v>
      </c>
      <c r="G5362" s="5">
        <v>108.8</v>
      </c>
      <c r="H5362" s="5">
        <v>108.6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110.2</v>
      </c>
      <c r="D5363" s="5">
        <v>0.1</v>
      </c>
      <c r="E5363" s="5">
        <v>110.4</v>
      </c>
      <c r="F5363" s="5">
        <v>219.6</v>
      </c>
      <c r="G5363" s="5">
        <v>109.1</v>
      </c>
      <c r="H5363" s="5">
        <v>109.4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110.2</v>
      </c>
      <c r="D5364" s="5">
        <v>0.1</v>
      </c>
      <c r="E5364" s="5">
        <v>110.4</v>
      </c>
      <c r="F5364" s="5">
        <v>219.6</v>
      </c>
      <c r="G5364" s="5">
        <v>109.1</v>
      </c>
      <c r="H5364" s="5">
        <v>109.4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110.1</v>
      </c>
      <c r="D5365" s="5">
        <v>0.1</v>
      </c>
      <c r="E5365" s="5">
        <v>110.3</v>
      </c>
      <c r="F5365" s="5">
        <v>219.3</v>
      </c>
      <c r="G5365" s="5">
        <v>109</v>
      </c>
      <c r="H5365" s="5">
        <v>108.8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110.1</v>
      </c>
      <c r="D5366" s="5">
        <v>0.1</v>
      </c>
      <c r="E5366" s="5">
        <v>110.3</v>
      </c>
      <c r="F5366" s="5">
        <v>219.3</v>
      </c>
      <c r="G5366" s="5">
        <v>109</v>
      </c>
      <c r="H5366" s="5">
        <v>108.8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110.1</v>
      </c>
      <c r="D5367" s="5">
        <v>0.1</v>
      </c>
      <c r="E5367" s="5">
        <v>110.3</v>
      </c>
      <c r="F5367" s="5">
        <v>218.4</v>
      </c>
      <c r="G5367" s="5">
        <v>108.6</v>
      </c>
      <c r="H5367" s="5">
        <v>108.6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110.1</v>
      </c>
      <c r="D5368" s="5">
        <v>0.1</v>
      </c>
      <c r="E5368" s="5">
        <v>110.3</v>
      </c>
      <c r="F5368" s="5">
        <v>218.4</v>
      </c>
      <c r="G5368" s="5">
        <v>108.6</v>
      </c>
      <c r="H5368" s="5">
        <v>108.6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110.1</v>
      </c>
      <c r="D5369" s="5">
        <v>0.1</v>
      </c>
      <c r="E5369" s="5">
        <v>110.3</v>
      </c>
      <c r="F5369" s="5">
        <v>218.4</v>
      </c>
      <c r="G5369" s="5">
        <v>108.6</v>
      </c>
      <c r="H5369" s="5">
        <v>108.6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110.1</v>
      </c>
      <c r="D5370" s="5">
        <v>0.1</v>
      </c>
      <c r="E5370" s="5">
        <v>110.3</v>
      </c>
      <c r="F5370" s="5">
        <v>218.4</v>
      </c>
      <c r="G5370" s="5">
        <v>108.6</v>
      </c>
      <c r="H5370" s="5">
        <v>108.6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110.4</v>
      </c>
      <c r="D5371" s="5">
        <v>0.1</v>
      </c>
      <c r="E5371" s="5">
        <v>110.5</v>
      </c>
      <c r="F5371" s="5">
        <v>218.7</v>
      </c>
      <c r="G5371" s="5">
        <v>108.7</v>
      </c>
      <c r="H5371" s="5">
        <v>108.5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110.4</v>
      </c>
      <c r="D5372" s="5">
        <v>0.1</v>
      </c>
      <c r="E5372" s="5">
        <v>110.5</v>
      </c>
      <c r="F5372" s="5">
        <v>218.7</v>
      </c>
      <c r="G5372" s="5">
        <v>108.7</v>
      </c>
      <c r="H5372" s="5">
        <v>108.5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110</v>
      </c>
      <c r="D5373" s="5">
        <v>0.1</v>
      </c>
      <c r="E5373" s="5">
        <v>110.1</v>
      </c>
      <c r="F5373" s="5">
        <v>219</v>
      </c>
      <c r="G5373" s="5">
        <v>108.6</v>
      </c>
      <c r="H5373" s="5">
        <v>108.5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110</v>
      </c>
      <c r="D5374" s="5">
        <v>0.1</v>
      </c>
      <c r="E5374" s="5">
        <v>110.1</v>
      </c>
      <c r="F5374" s="5">
        <v>219</v>
      </c>
      <c r="G5374" s="5">
        <v>108.6</v>
      </c>
      <c r="H5374" s="5">
        <v>108.5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110.4</v>
      </c>
      <c r="D5375" s="5">
        <v>0.1</v>
      </c>
      <c r="E5375" s="5">
        <v>110.6</v>
      </c>
      <c r="F5375" s="5">
        <v>219.5</v>
      </c>
      <c r="G5375" s="5">
        <v>109</v>
      </c>
      <c r="H5375" s="5">
        <v>108.8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110.4</v>
      </c>
      <c r="D5376" s="5">
        <v>0.1</v>
      </c>
      <c r="E5376" s="5">
        <v>110.6</v>
      </c>
      <c r="F5376" s="5">
        <v>219.5</v>
      </c>
      <c r="G5376" s="5">
        <v>109</v>
      </c>
      <c r="H5376" s="5">
        <v>108.8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110.1</v>
      </c>
      <c r="D5377" s="5">
        <v>0.1</v>
      </c>
      <c r="E5377" s="5">
        <v>110.2</v>
      </c>
      <c r="F5377" s="5">
        <v>219</v>
      </c>
      <c r="G5377" s="5">
        <v>108.7</v>
      </c>
      <c r="H5377" s="5">
        <v>108.6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110.1</v>
      </c>
      <c r="D5378" s="5">
        <v>0.1</v>
      </c>
      <c r="E5378" s="5">
        <v>110.2</v>
      </c>
      <c r="F5378" s="5">
        <v>219</v>
      </c>
      <c r="G5378" s="5">
        <v>108.7</v>
      </c>
      <c r="H5378" s="5">
        <v>108.6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110.1</v>
      </c>
      <c r="D5379" s="5">
        <v>0.1</v>
      </c>
      <c r="E5379" s="5">
        <v>110.2</v>
      </c>
      <c r="F5379" s="5">
        <v>219</v>
      </c>
      <c r="G5379" s="5">
        <v>108.7</v>
      </c>
      <c r="H5379" s="5">
        <v>108.6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110.1</v>
      </c>
      <c r="D5380" s="5">
        <v>0.1</v>
      </c>
      <c r="E5380" s="5">
        <v>110.2</v>
      </c>
      <c r="F5380" s="5">
        <v>219</v>
      </c>
      <c r="G5380" s="5">
        <v>108.7</v>
      </c>
      <c r="H5380" s="5">
        <v>108.6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110.7</v>
      </c>
      <c r="D5381" s="5">
        <v>0.1</v>
      </c>
      <c r="E5381" s="5">
        <v>110.8</v>
      </c>
      <c r="F5381" s="5">
        <v>219.8</v>
      </c>
      <c r="G5381" s="5">
        <v>109.2</v>
      </c>
      <c r="H5381" s="5">
        <v>109.1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110.7</v>
      </c>
      <c r="D5382" s="5">
        <v>0.1</v>
      </c>
      <c r="E5382" s="5">
        <v>110.8</v>
      </c>
      <c r="F5382" s="5">
        <v>219.8</v>
      </c>
      <c r="G5382" s="5">
        <v>109.2</v>
      </c>
      <c r="H5382" s="5">
        <v>109.1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110.6</v>
      </c>
      <c r="D5383" s="5">
        <v>0.1</v>
      </c>
      <c r="E5383" s="5">
        <v>110.7</v>
      </c>
      <c r="F5383" s="5">
        <v>220.3</v>
      </c>
      <c r="G5383" s="5">
        <v>109.5</v>
      </c>
      <c r="H5383" s="5">
        <v>109.3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110.6</v>
      </c>
      <c r="D5384" s="5">
        <v>0.1</v>
      </c>
      <c r="E5384" s="5">
        <v>110.7</v>
      </c>
      <c r="F5384" s="5">
        <v>220.3</v>
      </c>
      <c r="G5384" s="5">
        <v>109.5</v>
      </c>
      <c r="H5384" s="5">
        <v>109.3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110.5</v>
      </c>
      <c r="D5385" s="5">
        <v>0.1</v>
      </c>
      <c r="E5385" s="5">
        <v>110.7</v>
      </c>
      <c r="F5385" s="5">
        <v>219.7</v>
      </c>
      <c r="G5385" s="5">
        <v>109.2</v>
      </c>
      <c r="H5385" s="5">
        <v>109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110.5</v>
      </c>
      <c r="D5386" s="5">
        <v>0.1</v>
      </c>
      <c r="E5386" s="5">
        <v>110.7</v>
      </c>
      <c r="F5386" s="5">
        <v>219.7</v>
      </c>
      <c r="G5386" s="5">
        <v>109.2</v>
      </c>
      <c r="H5386" s="5">
        <v>109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110.7</v>
      </c>
      <c r="D5387" s="5">
        <v>0.1</v>
      </c>
      <c r="E5387" s="5">
        <v>110.9</v>
      </c>
      <c r="F5387" s="5">
        <v>220.3</v>
      </c>
      <c r="G5387" s="5">
        <v>109.5</v>
      </c>
      <c r="H5387" s="5">
        <v>109.3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110.7</v>
      </c>
      <c r="D5388" s="5">
        <v>0.1</v>
      </c>
      <c r="E5388" s="5">
        <v>110.9</v>
      </c>
      <c r="F5388" s="5">
        <v>220.3</v>
      </c>
      <c r="G5388" s="5">
        <v>109.5</v>
      </c>
      <c r="H5388" s="5">
        <v>109.3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110.7</v>
      </c>
      <c r="D5389" s="5">
        <v>0.1</v>
      </c>
      <c r="E5389" s="5">
        <v>110.9</v>
      </c>
      <c r="F5389" s="5">
        <v>220.3</v>
      </c>
      <c r="G5389" s="5">
        <v>109.5</v>
      </c>
      <c r="H5389" s="5">
        <v>109.3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110.7</v>
      </c>
      <c r="D5390" s="5">
        <v>0.1</v>
      </c>
      <c r="E5390" s="5">
        <v>110.9</v>
      </c>
      <c r="F5390" s="5">
        <v>221</v>
      </c>
      <c r="G5390" s="5">
        <v>109.8</v>
      </c>
      <c r="H5390" s="5">
        <v>109.6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110.7</v>
      </c>
      <c r="D5391" s="5">
        <v>0.1</v>
      </c>
      <c r="E5391" s="5">
        <v>110.9</v>
      </c>
      <c r="F5391" s="5">
        <v>221</v>
      </c>
      <c r="G5391" s="5">
        <v>109.8</v>
      </c>
      <c r="H5391" s="5">
        <v>109.6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110.7</v>
      </c>
      <c r="D5392" s="5">
        <v>0.1</v>
      </c>
      <c r="E5392" s="5">
        <v>110.8</v>
      </c>
      <c r="F5392" s="5">
        <v>220.2</v>
      </c>
      <c r="G5392" s="5">
        <v>109.6</v>
      </c>
      <c r="H5392" s="5">
        <v>109.4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110.7</v>
      </c>
      <c r="D5393" s="5">
        <v>0.1</v>
      </c>
      <c r="E5393" s="5">
        <v>110.8</v>
      </c>
      <c r="F5393" s="5">
        <v>220.2</v>
      </c>
      <c r="G5393" s="5">
        <v>109.6</v>
      </c>
      <c r="H5393" s="5">
        <v>109.4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110.7</v>
      </c>
      <c r="D5394" s="5">
        <v>0.1</v>
      </c>
      <c r="E5394" s="5">
        <v>110.7</v>
      </c>
      <c r="F5394" s="5">
        <v>219.8</v>
      </c>
      <c r="G5394" s="5">
        <v>109.2</v>
      </c>
      <c r="H5394" s="5">
        <v>109.1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110.5</v>
      </c>
      <c r="D5395" s="5">
        <v>0.1</v>
      </c>
      <c r="E5395" s="5">
        <v>110.7</v>
      </c>
      <c r="F5395" s="5">
        <v>219.8</v>
      </c>
      <c r="G5395" s="5">
        <v>109.2</v>
      </c>
      <c r="H5395" s="5">
        <v>109.1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110.5</v>
      </c>
      <c r="D5396" s="5">
        <v>0.1</v>
      </c>
      <c r="E5396" s="5">
        <v>111</v>
      </c>
      <c r="F5396" s="5">
        <v>219</v>
      </c>
      <c r="G5396" s="5">
        <v>108.8</v>
      </c>
      <c r="H5396" s="5">
        <v>109.1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110.8</v>
      </c>
      <c r="D5397" s="5">
        <v>0.1</v>
      </c>
      <c r="E5397" s="5">
        <v>111</v>
      </c>
      <c r="F5397" s="5">
        <v>219</v>
      </c>
      <c r="G5397" s="5">
        <v>108.8</v>
      </c>
      <c r="H5397" s="5">
        <v>108.7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110.8</v>
      </c>
      <c r="D5398" s="5">
        <v>0.1</v>
      </c>
      <c r="E5398" s="5">
        <v>111</v>
      </c>
      <c r="F5398" s="5">
        <v>219</v>
      </c>
      <c r="G5398" s="5">
        <v>108.8</v>
      </c>
      <c r="H5398" s="5">
        <v>108.7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110.8</v>
      </c>
      <c r="D5399" s="5">
        <v>0.1</v>
      </c>
      <c r="E5399" s="5">
        <v>111</v>
      </c>
      <c r="F5399" s="5">
        <v>219</v>
      </c>
      <c r="G5399" s="5">
        <v>108.8</v>
      </c>
      <c r="H5399" s="5">
        <v>108.7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110.3</v>
      </c>
      <c r="D5400" s="5">
        <v>0.1</v>
      </c>
      <c r="E5400" s="5">
        <v>111</v>
      </c>
      <c r="F5400" s="5">
        <v>219</v>
      </c>
      <c r="G5400" s="5">
        <v>108.8</v>
      </c>
      <c r="H5400" s="5">
        <v>108.7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110.3</v>
      </c>
      <c r="D5401" s="5">
        <v>0.1</v>
      </c>
      <c r="E5401" s="5">
        <v>110.4</v>
      </c>
      <c r="F5401" s="5">
        <v>219.5</v>
      </c>
      <c r="G5401" s="5">
        <v>109.1</v>
      </c>
      <c r="H5401" s="5">
        <v>108.9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110.3</v>
      </c>
      <c r="D5402" s="5">
        <v>0.1</v>
      </c>
      <c r="E5402" s="5">
        <v>110.4</v>
      </c>
      <c r="F5402" s="5">
        <v>219.5</v>
      </c>
      <c r="G5402" s="5">
        <v>109.1</v>
      </c>
      <c r="H5402" s="5">
        <v>108.9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110.4</v>
      </c>
      <c r="D5403" s="5">
        <v>0.1</v>
      </c>
      <c r="E5403" s="5">
        <v>110.5</v>
      </c>
      <c r="F5403" s="5">
        <v>218.8</v>
      </c>
      <c r="G5403" s="5">
        <v>108.7</v>
      </c>
      <c r="H5403" s="5">
        <v>108.6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110.4</v>
      </c>
      <c r="D5404" s="5">
        <v>0.1</v>
      </c>
      <c r="E5404" s="5">
        <v>110.5</v>
      </c>
      <c r="F5404" s="5">
        <v>218.8</v>
      </c>
      <c r="G5404" s="5">
        <v>108.7</v>
      </c>
      <c r="H5404" s="5">
        <v>108.6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110.4</v>
      </c>
      <c r="D5405" s="5">
        <v>0.1</v>
      </c>
      <c r="E5405" s="5">
        <v>110.5</v>
      </c>
      <c r="F5405" s="5">
        <v>219</v>
      </c>
      <c r="G5405" s="5">
        <v>108.8</v>
      </c>
      <c r="H5405" s="5">
        <v>108.7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110.4</v>
      </c>
      <c r="D5406" s="5">
        <v>0.1</v>
      </c>
      <c r="E5406" s="5">
        <v>110.5</v>
      </c>
      <c r="F5406" s="5">
        <v>219</v>
      </c>
      <c r="G5406" s="5">
        <v>108.8</v>
      </c>
      <c r="H5406" s="5">
        <v>108.7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106.3</v>
      </c>
      <c r="D5407" s="5">
        <v>0.1</v>
      </c>
      <c r="E5407" s="5">
        <v>106.5</v>
      </c>
      <c r="F5407" s="5">
        <v>216.1</v>
      </c>
      <c r="G5407" s="5">
        <v>107.5</v>
      </c>
      <c r="H5407" s="5">
        <v>107.4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106.3</v>
      </c>
      <c r="D5408" s="5">
        <v>0.1</v>
      </c>
      <c r="E5408" s="5">
        <v>106.5</v>
      </c>
      <c r="F5408" s="5">
        <v>216.1</v>
      </c>
      <c r="G5408" s="5">
        <v>107.5</v>
      </c>
      <c r="H5408" s="5">
        <v>107.4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106.3</v>
      </c>
      <c r="D5409" s="5">
        <v>0.1</v>
      </c>
      <c r="E5409" s="5">
        <v>106.5</v>
      </c>
      <c r="F5409" s="5">
        <v>216.1</v>
      </c>
      <c r="G5409" s="5">
        <v>107.5</v>
      </c>
      <c r="H5409" s="5">
        <v>107.4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106.3</v>
      </c>
      <c r="D5410" s="5">
        <v>0.1</v>
      </c>
      <c r="E5410" s="5">
        <v>106.5</v>
      </c>
      <c r="F5410" s="5">
        <v>216.1</v>
      </c>
      <c r="G5410" s="5">
        <v>107.5</v>
      </c>
      <c r="H5410" s="5">
        <v>107.4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109.1</v>
      </c>
      <c r="D5411" s="5">
        <v>0.1</v>
      </c>
      <c r="E5411" s="5">
        <v>109.3</v>
      </c>
      <c r="F5411" s="5">
        <v>218.9</v>
      </c>
      <c r="G5411" s="5">
        <v>108.7</v>
      </c>
      <c r="H5411" s="5">
        <v>108.6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109.1</v>
      </c>
      <c r="D5412" s="5">
        <v>0.1</v>
      </c>
      <c r="E5412" s="5">
        <v>109.3</v>
      </c>
      <c r="F5412" s="5">
        <v>218.9</v>
      </c>
      <c r="G5412" s="5">
        <v>108.7</v>
      </c>
      <c r="H5412" s="5">
        <v>108.6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109.4</v>
      </c>
      <c r="D5413" s="5">
        <v>0.1</v>
      </c>
      <c r="E5413" s="5">
        <v>109.6</v>
      </c>
      <c r="F5413" s="5">
        <v>218.1</v>
      </c>
      <c r="G5413" s="5">
        <v>108.4</v>
      </c>
      <c r="H5413" s="5">
        <v>108.2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109.4</v>
      </c>
      <c r="D5414" s="5">
        <v>0.1</v>
      </c>
      <c r="E5414" s="5">
        <v>109.6</v>
      </c>
      <c r="F5414" s="5">
        <v>218.1</v>
      </c>
      <c r="G5414" s="5">
        <v>108.4</v>
      </c>
      <c r="H5414" s="5">
        <v>108.2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109.4</v>
      </c>
      <c r="D5415" s="5">
        <v>0.1</v>
      </c>
      <c r="E5415" s="5">
        <v>109.6</v>
      </c>
      <c r="F5415" s="5">
        <v>218</v>
      </c>
      <c r="G5415" s="5">
        <v>108.3</v>
      </c>
      <c r="H5415" s="5">
        <v>108.2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109.4</v>
      </c>
      <c r="D5416" s="5">
        <v>0.1</v>
      </c>
      <c r="E5416" s="5">
        <v>109.6</v>
      </c>
      <c r="F5416" s="5">
        <v>218</v>
      </c>
      <c r="G5416" s="5">
        <v>108.3</v>
      </c>
      <c r="H5416" s="5">
        <v>108.2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110</v>
      </c>
      <c r="D5417" s="5">
        <v>0.1</v>
      </c>
      <c r="E5417" s="5">
        <v>110.2</v>
      </c>
      <c r="F5417" s="5">
        <v>218.9</v>
      </c>
      <c r="G5417" s="5">
        <v>108.7</v>
      </c>
      <c r="H5417" s="5">
        <v>108.6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110</v>
      </c>
      <c r="D5418" s="5">
        <v>0.1</v>
      </c>
      <c r="E5418" s="5">
        <v>110.2</v>
      </c>
      <c r="F5418" s="5">
        <v>218.9</v>
      </c>
      <c r="G5418" s="5">
        <v>108.7</v>
      </c>
      <c r="H5418" s="5">
        <v>108.6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110</v>
      </c>
      <c r="D5419" s="5">
        <v>0.1</v>
      </c>
      <c r="E5419" s="5">
        <v>110.2</v>
      </c>
      <c r="F5419" s="5">
        <v>218.9</v>
      </c>
      <c r="G5419" s="5">
        <v>108.7</v>
      </c>
      <c r="H5419" s="5">
        <v>108.6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109.8</v>
      </c>
      <c r="D5420" s="5">
        <v>0.1</v>
      </c>
      <c r="E5420" s="5">
        <v>110</v>
      </c>
      <c r="F5420" s="5">
        <v>218.7</v>
      </c>
      <c r="G5420" s="5">
        <v>108.7</v>
      </c>
      <c r="H5420" s="5">
        <v>108.5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109.8</v>
      </c>
      <c r="D5421" s="5">
        <v>0.1</v>
      </c>
      <c r="E5421" s="5">
        <v>110</v>
      </c>
      <c r="F5421" s="5">
        <v>218.7</v>
      </c>
      <c r="G5421" s="5">
        <v>108.7</v>
      </c>
      <c r="H5421" s="5">
        <v>108.5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110.5</v>
      </c>
      <c r="D5422" s="5">
        <v>0.1</v>
      </c>
      <c r="E5422" s="5">
        <v>110.7</v>
      </c>
      <c r="F5422" s="5">
        <v>220</v>
      </c>
      <c r="G5422" s="5">
        <v>109.4</v>
      </c>
      <c r="H5422" s="5">
        <v>109.2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110.5</v>
      </c>
      <c r="D5423" s="5">
        <v>0.1</v>
      </c>
      <c r="E5423" s="5">
        <v>110.7</v>
      </c>
      <c r="F5423" s="5">
        <v>220</v>
      </c>
      <c r="G5423" s="5">
        <v>109.4</v>
      </c>
      <c r="H5423" s="5">
        <v>109.2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110.6</v>
      </c>
      <c r="D5424" s="5">
        <v>0.1</v>
      </c>
      <c r="E5424" s="5">
        <v>110.7</v>
      </c>
      <c r="F5424" s="5">
        <v>219.9</v>
      </c>
      <c r="G5424" s="5">
        <v>109.2</v>
      </c>
      <c r="H5424" s="5">
        <v>109.1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110.6</v>
      </c>
      <c r="D5425" s="5">
        <v>0.1</v>
      </c>
      <c r="E5425" s="5">
        <v>110.7</v>
      </c>
      <c r="F5425" s="5">
        <v>219.9</v>
      </c>
      <c r="G5425" s="5">
        <v>109.2</v>
      </c>
      <c r="H5425" s="5">
        <v>109.1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110.5</v>
      </c>
      <c r="D5426" s="5">
        <v>0.1</v>
      </c>
      <c r="E5426" s="5">
        <v>110.7</v>
      </c>
      <c r="F5426" s="5">
        <v>219</v>
      </c>
      <c r="G5426" s="5">
        <v>108.9</v>
      </c>
      <c r="H5426" s="5">
        <v>108.7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110.5</v>
      </c>
      <c r="D5427" s="5">
        <v>0.1</v>
      </c>
      <c r="E5427" s="5">
        <v>110.7</v>
      </c>
      <c r="F5427" s="5">
        <v>219</v>
      </c>
      <c r="G5427" s="5">
        <v>108.9</v>
      </c>
      <c r="H5427" s="5">
        <v>108.7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110.5</v>
      </c>
      <c r="D5428" s="5">
        <v>0.1</v>
      </c>
      <c r="E5428" s="5">
        <v>110.7</v>
      </c>
      <c r="F5428" s="5">
        <v>219</v>
      </c>
      <c r="G5428" s="5">
        <v>108.9</v>
      </c>
      <c r="H5428" s="5">
        <v>108.7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110.5</v>
      </c>
      <c r="D5429" s="5">
        <v>0.1</v>
      </c>
      <c r="E5429" s="5">
        <v>110.7</v>
      </c>
      <c r="F5429" s="5">
        <v>219</v>
      </c>
      <c r="G5429" s="5">
        <v>108.9</v>
      </c>
      <c r="H5429" s="5">
        <v>108.7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110.4</v>
      </c>
      <c r="D5430" s="5">
        <v>0.1</v>
      </c>
      <c r="E5430" s="5">
        <v>110.5</v>
      </c>
      <c r="F5430" s="5">
        <v>220.3</v>
      </c>
      <c r="G5430" s="5">
        <v>109.5</v>
      </c>
      <c r="H5430" s="5">
        <v>109.4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110.4</v>
      </c>
      <c r="D5431" s="5">
        <v>0.1</v>
      </c>
      <c r="E5431" s="5">
        <v>110.5</v>
      </c>
      <c r="F5431" s="5">
        <v>220.3</v>
      </c>
      <c r="G5431" s="5">
        <v>109.5</v>
      </c>
      <c r="H5431" s="5">
        <v>109.4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110.6</v>
      </c>
      <c r="D5432" s="5">
        <v>0.1</v>
      </c>
      <c r="E5432" s="5">
        <v>110.7</v>
      </c>
      <c r="F5432" s="5">
        <v>220.2</v>
      </c>
      <c r="G5432" s="5">
        <v>109.4</v>
      </c>
      <c r="H5432" s="5">
        <v>109.2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110.6</v>
      </c>
      <c r="D5433" s="5">
        <v>0.1</v>
      </c>
      <c r="E5433" s="5">
        <v>110.7</v>
      </c>
      <c r="F5433" s="5">
        <v>220.2</v>
      </c>
      <c r="G5433" s="5">
        <v>109.4</v>
      </c>
      <c r="H5433" s="5">
        <v>109.2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110.2</v>
      </c>
      <c r="D5434" s="5">
        <v>0.1</v>
      </c>
      <c r="E5434" s="5">
        <v>110.4</v>
      </c>
      <c r="F5434" s="5">
        <v>219.1</v>
      </c>
      <c r="G5434" s="5">
        <v>108.9</v>
      </c>
      <c r="H5434" s="5">
        <v>108.7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110.2</v>
      </c>
      <c r="D5435" s="5">
        <v>0.1</v>
      </c>
      <c r="E5435" s="5">
        <v>110.4</v>
      </c>
      <c r="F5435" s="5">
        <v>219.1</v>
      </c>
      <c r="G5435" s="5">
        <v>108.9</v>
      </c>
      <c r="H5435" s="5">
        <v>108.7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110.1</v>
      </c>
      <c r="D5436" s="5">
        <v>0.1</v>
      </c>
      <c r="E5436" s="5">
        <v>110.2</v>
      </c>
      <c r="F5436" s="5">
        <v>218.7</v>
      </c>
      <c r="G5436" s="5">
        <v>108.7</v>
      </c>
      <c r="H5436" s="5">
        <v>108.5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110.1</v>
      </c>
      <c r="D5437" s="5">
        <v>0.1</v>
      </c>
      <c r="E5437" s="5">
        <v>110.2</v>
      </c>
      <c r="F5437" s="5">
        <v>218.7</v>
      </c>
      <c r="G5437" s="5">
        <v>108.7</v>
      </c>
      <c r="H5437" s="5">
        <v>108.5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110.1</v>
      </c>
      <c r="D5438" s="5">
        <v>0.1</v>
      </c>
      <c r="E5438" s="5">
        <v>110.2</v>
      </c>
      <c r="F5438" s="5">
        <v>218.7</v>
      </c>
      <c r="G5438" s="5">
        <v>108.7</v>
      </c>
      <c r="H5438" s="5">
        <v>108.5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110.1</v>
      </c>
      <c r="D5439" s="5">
        <v>0.1</v>
      </c>
      <c r="E5439" s="5">
        <v>110.2</v>
      </c>
      <c r="F5439" s="5">
        <v>218.7</v>
      </c>
      <c r="G5439" s="5">
        <v>108.7</v>
      </c>
      <c r="H5439" s="5">
        <v>108.5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110.3</v>
      </c>
      <c r="D5440" s="5">
        <v>0.1</v>
      </c>
      <c r="E5440" s="5">
        <v>110.5</v>
      </c>
      <c r="F5440" s="5">
        <v>218.3</v>
      </c>
      <c r="G5440" s="5">
        <v>108.6</v>
      </c>
      <c r="H5440" s="5">
        <v>108.4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110.3</v>
      </c>
      <c r="D5441" s="5">
        <v>0.1</v>
      </c>
      <c r="E5441" s="5">
        <v>110.5</v>
      </c>
      <c r="F5441" s="5">
        <v>218.3</v>
      </c>
      <c r="G5441" s="5">
        <v>108.6</v>
      </c>
      <c r="H5441" s="5">
        <v>108.4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110.3</v>
      </c>
      <c r="D5442" s="5">
        <v>0.1</v>
      </c>
      <c r="E5442" s="5">
        <v>110.5</v>
      </c>
      <c r="F5442" s="5">
        <v>218.3</v>
      </c>
      <c r="G5442" s="5">
        <v>108.6</v>
      </c>
      <c r="H5442" s="5">
        <v>108.4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110.3</v>
      </c>
      <c r="D5443" s="5">
        <v>0.1</v>
      </c>
      <c r="E5443" s="5">
        <v>110.5</v>
      </c>
      <c r="F5443" s="5">
        <v>218.3</v>
      </c>
      <c r="G5443" s="5">
        <v>108.6</v>
      </c>
      <c r="H5443" s="5">
        <v>108.4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109</v>
      </c>
      <c r="D5444" s="5">
        <v>0.1</v>
      </c>
      <c r="E5444" s="5">
        <v>109.1</v>
      </c>
      <c r="F5444" s="5">
        <v>217.6</v>
      </c>
      <c r="G5444" s="5">
        <v>108.1</v>
      </c>
      <c r="H5444" s="5">
        <v>107.9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109</v>
      </c>
      <c r="D5445" s="5">
        <v>0.1</v>
      </c>
      <c r="E5445" s="5">
        <v>109.1</v>
      </c>
      <c r="F5445" s="5">
        <v>217.6</v>
      </c>
      <c r="G5445" s="5">
        <v>108.1</v>
      </c>
      <c r="H5445" s="5">
        <v>107.9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109.7</v>
      </c>
      <c r="D5446" s="5">
        <v>0.1</v>
      </c>
      <c r="E5446" s="5">
        <v>109.9</v>
      </c>
      <c r="F5446" s="5">
        <v>218.1</v>
      </c>
      <c r="G5446" s="5">
        <v>108.4</v>
      </c>
      <c r="H5446" s="5">
        <v>108.2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109.7</v>
      </c>
      <c r="D5447" s="5">
        <v>0.1</v>
      </c>
      <c r="E5447" s="5">
        <v>109.9</v>
      </c>
      <c r="F5447" s="5">
        <v>218.1</v>
      </c>
      <c r="G5447" s="5">
        <v>108.4</v>
      </c>
      <c r="H5447" s="5">
        <v>108.2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109.7</v>
      </c>
      <c r="D5448" s="5">
        <v>0.1</v>
      </c>
      <c r="E5448" s="5">
        <v>109.9</v>
      </c>
      <c r="F5448" s="5">
        <v>218.1</v>
      </c>
      <c r="G5448" s="5">
        <v>108.4</v>
      </c>
      <c r="H5448" s="5">
        <v>108.2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109.7</v>
      </c>
      <c r="D5449" s="5">
        <v>0.1</v>
      </c>
      <c r="E5449" s="5">
        <v>109.9</v>
      </c>
      <c r="F5449" s="5">
        <v>218.1</v>
      </c>
      <c r="G5449" s="5">
        <v>108.4</v>
      </c>
      <c r="H5449" s="5">
        <v>108.2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110.1</v>
      </c>
      <c r="D5450" s="5">
        <v>0.1</v>
      </c>
      <c r="E5450" s="5">
        <v>110.3</v>
      </c>
      <c r="F5450" s="5">
        <v>219.4</v>
      </c>
      <c r="G5450" s="5">
        <v>109</v>
      </c>
      <c r="H5450" s="5">
        <v>108.9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110.1</v>
      </c>
      <c r="D5451" s="5">
        <v>0.1</v>
      </c>
      <c r="E5451" s="5">
        <v>110.3</v>
      </c>
      <c r="F5451" s="5">
        <v>219.4</v>
      </c>
      <c r="G5451" s="5">
        <v>109</v>
      </c>
      <c r="H5451" s="5">
        <v>108.9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109.9</v>
      </c>
      <c r="D5452" s="5">
        <v>0.1</v>
      </c>
      <c r="E5452" s="5">
        <v>110.1</v>
      </c>
      <c r="F5452" s="5">
        <v>219.1</v>
      </c>
      <c r="G5452" s="5">
        <v>108.9</v>
      </c>
      <c r="H5452" s="5">
        <v>108.7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109.9</v>
      </c>
      <c r="D5453" s="5">
        <v>0.1</v>
      </c>
      <c r="E5453" s="5">
        <v>110.1</v>
      </c>
      <c r="F5453" s="5">
        <v>219.1</v>
      </c>
      <c r="G5453" s="5">
        <v>108.9</v>
      </c>
      <c r="H5453" s="5">
        <v>108.7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110.5</v>
      </c>
      <c r="D5454" s="5">
        <v>0.1</v>
      </c>
      <c r="E5454" s="5">
        <v>110.7</v>
      </c>
      <c r="F5454" s="5">
        <v>219.4</v>
      </c>
      <c r="G5454" s="5">
        <v>109</v>
      </c>
      <c r="H5454" s="5">
        <v>108.8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110.5</v>
      </c>
      <c r="D5455" s="5">
        <v>0.1</v>
      </c>
      <c r="E5455" s="5">
        <v>110.7</v>
      </c>
      <c r="F5455" s="5">
        <v>219.4</v>
      </c>
      <c r="G5455" s="5">
        <v>109</v>
      </c>
      <c r="H5455" s="5">
        <v>108.8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110.1</v>
      </c>
      <c r="D5456" s="5">
        <v>0.1</v>
      </c>
      <c r="E5456" s="5">
        <v>110.3</v>
      </c>
      <c r="F5456" s="5">
        <v>218.7</v>
      </c>
      <c r="G5456" s="5">
        <v>108.6</v>
      </c>
      <c r="H5456" s="5">
        <v>108.4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110.1</v>
      </c>
      <c r="D5457" s="5">
        <v>0.1</v>
      </c>
      <c r="E5457" s="5">
        <v>110.3</v>
      </c>
      <c r="F5457" s="5">
        <v>218.7</v>
      </c>
      <c r="G5457" s="5">
        <v>108.6</v>
      </c>
      <c r="H5457" s="5">
        <v>108.4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110.1</v>
      </c>
      <c r="D5458" s="5">
        <v>0.1</v>
      </c>
      <c r="E5458" s="5">
        <v>110.3</v>
      </c>
      <c r="F5458" s="5">
        <v>218.7</v>
      </c>
      <c r="G5458" s="5">
        <v>108.6</v>
      </c>
      <c r="H5458" s="5">
        <v>108.4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110.1</v>
      </c>
      <c r="D5459" s="5">
        <v>0.1</v>
      </c>
      <c r="E5459" s="5">
        <v>110.3</v>
      </c>
      <c r="F5459" s="5">
        <v>218.7</v>
      </c>
      <c r="G5459" s="5">
        <v>108.6</v>
      </c>
      <c r="H5459" s="5">
        <v>108.4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109.7</v>
      </c>
      <c r="D5460" s="5">
        <v>0.1</v>
      </c>
      <c r="E5460" s="5">
        <v>109.8</v>
      </c>
      <c r="F5460" s="5">
        <v>218.5</v>
      </c>
      <c r="G5460" s="5">
        <v>108.5</v>
      </c>
      <c r="H5460" s="5">
        <v>108.4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109.7</v>
      </c>
      <c r="D5461" s="5">
        <v>0.1</v>
      </c>
      <c r="E5461" s="5">
        <v>109.8</v>
      </c>
      <c r="F5461" s="5">
        <v>218.5</v>
      </c>
      <c r="G5461" s="5">
        <v>108.5</v>
      </c>
      <c r="H5461" s="5">
        <v>108.4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109.8</v>
      </c>
      <c r="D5462" s="5">
        <v>0.1</v>
      </c>
      <c r="E5462" s="5">
        <v>110</v>
      </c>
      <c r="F5462" s="5">
        <v>219</v>
      </c>
      <c r="G5462" s="5">
        <v>108.8</v>
      </c>
      <c r="H5462" s="5">
        <v>108.6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109.8</v>
      </c>
      <c r="D5463" s="5">
        <v>0.1</v>
      </c>
      <c r="E5463" s="5">
        <v>110</v>
      </c>
      <c r="F5463" s="5">
        <v>219</v>
      </c>
      <c r="G5463" s="5">
        <v>108.8</v>
      </c>
      <c r="H5463" s="5">
        <v>108.6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110.5</v>
      </c>
      <c r="D5464" s="5">
        <v>0.1</v>
      </c>
      <c r="E5464" s="5">
        <v>110.7</v>
      </c>
      <c r="F5464" s="5">
        <v>219.4</v>
      </c>
      <c r="G5464" s="5">
        <v>109</v>
      </c>
      <c r="H5464" s="5">
        <v>108.9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110.5</v>
      </c>
      <c r="D5465" s="5">
        <v>0.1</v>
      </c>
      <c r="E5465" s="5">
        <v>110.7</v>
      </c>
      <c r="F5465" s="5">
        <v>219.4</v>
      </c>
      <c r="G5465" s="5">
        <v>109</v>
      </c>
      <c r="H5465" s="5">
        <v>108.9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110.7</v>
      </c>
      <c r="D5466" s="5">
        <v>0.1</v>
      </c>
      <c r="E5466" s="5">
        <v>110.8</v>
      </c>
      <c r="F5466" s="5">
        <v>219.7</v>
      </c>
      <c r="G5466" s="5">
        <v>109.2</v>
      </c>
      <c r="H5466" s="5">
        <v>109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110.7</v>
      </c>
      <c r="D5467" s="5">
        <v>0.1</v>
      </c>
      <c r="E5467" s="5">
        <v>110.8</v>
      </c>
      <c r="F5467" s="5">
        <v>219.7</v>
      </c>
      <c r="G5467" s="5">
        <v>109.2</v>
      </c>
      <c r="H5467" s="5">
        <v>109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110.7</v>
      </c>
      <c r="D5468" s="5">
        <v>0.1</v>
      </c>
      <c r="E5468" s="5">
        <v>110.8</v>
      </c>
      <c r="F5468" s="5">
        <v>219.7</v>
      </c>
      <c r="G5468" s="5">
        <v>109.2</v>
      </c>
      <c r="H5468" s="5">
        <v>109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110.7</v>
      </c>
      <c r="D5469" s="5">
        <v>0.1</v>
      </c>
      <c r="E5469" s="5">
        <v>110.8</v>
      </c>
      <c r="F5469" s="5">
        <v>219.7</v>
      </c>
      <c r="G5469" s="5">
        <v>109.2</v>
      </c>
      <c r="H5469" s="5">
        <v>109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110.3</v>
      </c>
      <c r="D5470" s="5">
        <v>0.1</v>
      </c>
      <c r="E5470" s="5">
        <v>110.4</v>
      </c>
      <c r="F5470" s="5">
        <v>219</v>
      </c>
      <c r="G5470" s="5">
        <v>108.8</v>
      </c>
      <c r="H5470" s="5">
        <v>108.6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110.3</v>
      </c>
      <c r="D5471" s="5">
        <v>0.1</v>
      </c>
      <c r="E5471" s="5">
        <v>110.4</v>
      </c>
      <c r="F5471" s="5">
        <v>219</v>
      </c>
      <c r="G5471" s="5">
        <v>108.8</v>
      </c>
      <c r="H5471" s="5">
        <v>108.6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109.8</v>
      </c>
      <c r="D5472" s="5">
        <v>0.1</v>
      </c>
      <c r="E5472" s="5">
        <v>110</v>
      </c>
      <c r="F5472" s="5">
        <v>219</v>
      </c>
      <c r="G5472" s="5">
        <v>108.8</v>
      </c>
      <c r="H5472" s="5">
        <v>108.7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109.8</v>
      </c>
      <c r="D5473" s="5">
        <v>0.1</v>
      </c>
      <c r="E5473" s="5">
        <v>110</v>
      </c>
      <c r="F5473" s="5">
        <v>219</v>
      </c>
      <c r="G5473" s="5">
        <v>108.8</v>
      </c>
      <c r="H5473" s="5">
        <v>108.7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109.7</v>
      </c>
      <c r="D5474" s="5">
        <v>0.1</v>
      </c>
      <c r="E5474" s="5">
        <v>109.9</v>
      </c>
      <c r="F5474" s="5">
        <v>217.7</v>
      </c>
      <c r="G5474" s="5">
        <v>108.8</v>
      </c>
      <c r="H5474" s="5">
        <v>109.1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109.7</v>
      </c>
      <c r="D5475" s="5">
        <v>0.1</v>
      </c>
      <c r="E5475" s="5">
        <v>109.9</v>
      </c>
      <c r="F5475" s="5">
        <v>217.7</v>
      </c>
      <c r="G5475" s="5">
        <v>108.8</v>
      </c>
      <c r="H5475" s="5">
        <v>109.1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109.9</v>
      </c>
      <c r="D5476" s="5">
        <v>0.1</v>
      </c>
      <c r="E5476" s="5">
        <v>110.1</v>
      </c>
      <c r="F5476" s="5">
        <v>218.9</v>
      </c>
      <c r="G5476" s="5">
        <v>108.8</v>
      </c>
      <c r="H5476" s="5">
        <v>108.7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109.9</v>
      </c>
      <c r="D5477" s="5">
        <v>0.1</v>
      </c>
      <c r="E5477" s="5">
        <v>110.1</v>
      </c>
      <c r="F5477" s="5">
        <v>218.9</v>
      </c>
      <c r="G5477" s="5">
        <v>108.8</v>
      </c>
      <c r="H5477" s="5">
        <v>108.7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109.9</v>
      </c>
      <c r="D5478" s="5">
        <v>0.1</v>
      </c>
      <c r="E5478" s="5">
        <v>110.1</v>
      </c>
      <c r="F5478" s="5">
        <v>218.9</v>
      </c>
      <c r="G5478" s="5">
        <v>108.8</v>
      </c>
      <c r="H5478" s="5">
        <v>108.7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109.9</v>
      </c>
      <c r="D5479" s="5">
        <v>0.1</v>
      </c>
      <c r="E5479" s="5">
        <v>110.1</v>
      </c>
      <c r="F5479" s="5">
        <v>218.9</v>
      </c>
      <c r="G5479" s="5">
        <v>108.8</v>
      </c>
      <c r="H5479" s="5">
        <v>108.7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110.4</v>
      </c>
      <c r="D5480" s="5">
        <v>0.1</v>
      </c>
      <c r="E5480" s="5">
        <v>110.6</v>
      </c>
      <c r="F5480" s="5">
        <v>220.5</v>
      </c>
      <c r="G5480" s="5">
        <v>109.6</v>
      </c>
      <c r="H5480" s="5">
        <v>109.4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110.4</v>
      </c>
      <c r="D5481" s="5">
        <v>0.1</v>
      </c>
      <c r="E5481" s="5">
        <v>110.6</v>
      </c>
      <c r="F5481" s="5">
        <v>220.5</v>
      </c>
      <c r="G5481" s="5">
        <v>109.6</v>
      </c>
      <c r="H5481" s="5">
        <v>109.4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110.7</v>
      </c>
      <c r="D5482" s="5">
        <v>0.1</v>
      </c>
      <c r="E5482" s="5">
        <v>110.9</v>
      </c>
      <c r="F5482" s="5">
        <v>220.4</v>
      </c>
      <c r="G5482" s="5">
        <v>109.6</v>
      </c>
      <c r="H5482" s="5">
        <v>109.5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110.7</v>
      </c>
      <c r="D5483" s="5">
        <v>0.1</v>
      </c>
      <c r="E5483" s="5">
        <v>110.9</v>
      </c>
      <c r="F5483" s="5">
        <v>220.4</v>
      </c>
      <c r="G5483" s="5">
        <v>109.6</v>
      </c>
      <c r="H5483" s="5">
        <v>109.5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109.7</v>
      </c>
      <c r="D5484" s="5">
        <v>0.1</v>
      </c>
      <c r="E5484" s="5">
        <v>109.9</v>
      </c>
      <c r="F5484" s="5">
        <v>218.1</v>
      </c>
      <c r="G5484" s="5">
        <v>108.4</v>
      </c>
      <c r="H5484" s="5">
        <v>108.2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109.7</v>
      </c>
      <c r="D5485" s="5">
        <v>0.1</v>
      </c>
      <c r="E5485" s="5">
        <v>109.9</v>
      </c>
      <c r="F5485" s="5">
        <v>218.1</v>
      </c>
      <c r="G5485" s="5">
        <v>108.4</v>
      </c>
      <c r="H5485" s="5">
        <v>108.2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109.7</v>
      </c>
      <c r="D5486" s="5">
        <v>0.1</v>
      </c>
      <c r="E5486" s="5">
        <v>109.8</v>
      </c>
      <c r="F5486" s="5">
        <v>217.3</v>
      </c>
      <c r="G5486" s="5">
        <v>108</v>
      </c>
      <c r="H5486" s="5">
        <v>107.8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109.7</v>
      </c>
      <c r="D5487" s="5">
        <v>0.1</v>
      </c>
      <c r="E5487" s="5">
        <v>109.8</v>
      </c>
      <c r="F5487" s="5">
        <v>217.3</v>
      </c>
      <c r="G5487" s="5">
        <v>108</v>
      </c>
      <c r="H5487" s="5">
        <v>107.8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109.7</v>
      </c>
      <c r="D5488" s="5">
        <v>0.1</v>
      </c>
      <c r="E5488" s="5">
        <v>109.8</v>
      </c>
      <c r="F5488" s="5">
        <v>217.3</v>
      </c>
      <c r="G5488" s="5">
        <v>108</v>
      </c>
      <c r="H5488" s="5">
        <v>107.8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109.7</v>
      </c>
      <c r="D5489" s="5">
        <v>0.1</v>
      </c>
      <c r="E5489" s="5">
        <v>109.8</v>
      </c>
      <c r="F5489" s="5">
        <v>217.3</v>
      </c>
      <c r="G5489" s="5">
        <v>108</v>
      </c>
      <c r="H5489" s="5">
        <v>107.8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109.5</v>
      </c>
      <c r="D5490" s="5">
        <v>0.1</v>
      </c>
      <c r="E5490" s="5">
        <v>109.6</v>
      </c>
      <c r="F5490" s="5">
        <v>215.7</v>
      </c>
      <c r="G5490" s="5">
        <v>107.2</v>
      </c>
      <c r="H5490" s="5">
        <v>107.1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109.5</v>
      </c>
      <c r="D5491" s="5">
        <v>0.1</v>
      </c>
      <c r="E5491" s="5">
        <v>109.6</v>
      </c>
      <c r="F5491" s="5">
        <v>215.7</v>
      </c>
      <c r="G5491" s="5">
        <v>107.2</v>
      </c>
      <c r="H5491" s="5">
        <v>107.1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109.4</v>
      </c>
      <c r="D5492" s="5">
        <v>0.1</v>
      </c>
      <c r="E5492" s="5">
        <v>109.6</v>
      </c>
      <c r="F5492" s="5">
        <v>217.4</v>
      </c>
      <c r="G5492" s="5">
        <v>107.9</v>
      </c>
      <c r="H5492" s="5">
        <v>107.7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109.4</v>
      </c>
      <c r="D5493" s="5">
        <v>0.1</v>
      </c>
      <c r="E5493" s="5">
        <v>109.6</v>
      </c>
      <c r="F5493" s="5">
        <v>217.4</v>
      </c>
      <c r="G5493" s="5">
        <v>107.9</v>
      </c>
      <c r="H5493" s="5">
        <v>107.7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109.2</v>
      </c>
      <c r="D5494" s="5">
        <v>0.1</v>
      </c>
      <c r="E5494" s="5">
        <v>109.4</v>
      </c>
      <c r="F5494" s="5">
        <v>217.5</v>
      </c>
      <c r="G5494" s="5">
        <v>108.1</v>
      </c>
      <c r="H5494" s="5">
        <v>107.8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109.2</v>
      </c>
      <c r="D5495" s="5">
        <v>0.1</v>
      </c>
      <c r="E5495" s="5">
        <v>109.4</v>
      </c>
      <c r="F5495" s="5">
        <v>217.5</v>
      </c>
      <c r="G5495" s="5">
        <v>108.1</v>
      </c>
      <c r="H5495" s="5">
        <v>107.8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108.9</v>
      </c>
      <c r="D5496" s="5">
        <v>0.1</v>
      </c>
      <c r="E5496" s="5">
        <v>109.1</v>
      </c>
      <c r="F5496" s="5">
        <v>213.6</v>
      </c>
      <c r="G5496" s="5">
        <v>105.8</v>
      </c>
      <c r="H5496" s="5">
        <v>105.6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108.9</v>
      </c>
      <c r="D5497" s="5">
        <v>0.1</v>
      </c>
      <c r="E5497" s="5">
        <v>109.1</v>
      </c>
      <c r="F5497" s="5">
        <v>213.6</v>
      </c>
      <c r="G5497" s="5">
        <v>105.8</v>
      </c>
      <c r="H5497" s="5">
        <v>105.6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108.9</v>
      </c>
      <c r="D5498" s="5">
        <v>0.1</v>
      </c>
      <c r="E5498" s="5">
        <v>109.1</v>
      </c>
      <c r="F5498" s="5">
        <v>213.6</v>
      </c>
      <c r="G5498" s="5">
        <v>105.8</v>
      </c>
      <c r="H5498" s="5">
        <v>105.6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108.9</v>
      </c>
      <c r="D5499" s="5">
        <v>0.1</v>
      </c>
      <c r="E5499" s="5">
        <v>109.1</v>
      </c>
      <c r="F5499" s="5">
        <v>213.6</v>
      </c>
      <c r="G5499" s="5">
        <v>105.8</v>
      </c>
      <c r="H5499" s="5">
        <v>105.6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108.4</v>
      </c>
      <c r="D5500" s="5">
        <v>0.1</v>
      </c>
      <c r="E5500" s="5">
        <v>108.5</v>
      </c>
      <c r="F5500" s="5">
        <v>215.6</v>
      </c>
      <c r="G5500" s="5">
        <v>107.1</v>
      </c>
      <c r="H5500" s="5">
        <v>107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108.4</v>
      </c>
      <c r="D5501" s="5">
        <v>0.1</v>
      </c>
      <c r="E5501" s="5">
        <v>108.5</v>
      </c>
      <c r="F5501" s="5">
        <v>215.6</v>
      </c>
      <c r="G5501" s="5">
        <v>107.1</v>
      </c>
      <c r="H5501" s="5">
        <v>107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108.5</v>
      </c>
      <c r="D5502" s="5">
        <v>0.1</v>
      </c>
      <c r="E5502" s="5">
        <v>108.7</v>
      </c>
      <c r="F5502" s="5">
        <v>215.6</v>
      </c>
      <c r="G5502" s="5">
        <v>107.1</v>
      </c>
      <c r="H5502" s="5">
        <v>107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108.5</v>
      </c>
      <c r="D5503" s="5">
        <v>0.1</v>
      </c>
      <c r="E5503" s="5">
        <v>108.7</v>
      </c>
      <c r="F5503" s="5">
        <v>215.6</v>
      </c>
      <c r="G5503" s="5">
        <v>107.1</v>
      </c>
      <c r="H5503" s="5">
        <v>107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108.5</v>
      </c>
      <c r="D5504" s="5">
        <v>0.1</v>
      </c>
      <c r="E5504" s="5">
        <v>108.6</v>
      </c>
      <c r="F5504" s="5">
        <v>215.5</v>
      </c>
      <c r="G5504" s="5">
        <v>106.8</v>
      </c>
      <c r="H5504" s="5">
        <v>106.6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108.5</v>
      </c>
      <c r="D5505" s="5">
        <v>0.1</v>
      </c>
      <c r="E5505" s="5">
        <v>108.6</v>
      </c>
      <c r="F5505" s="5">
        <v>215.5</v>
      </c>
      <c r="G5505" s="5">
        <v>106.8</v>
      </c>
      <c r="H5505" s="5">
        <v>106.6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108.4</v>
      </c>
      <c r="D5506" s="5">
        <v>0.1</v>
      </c>
      <c r="E5506" s="5">
        <v>108.5</v>
      </c>
      <c r="F5506" s="5">
        <v>215.6</v>
      </c>
      <c r="G5506" s="5">
        <v>107.2</v>
      </c>
      <c r="H5506" s="5">
        <v>107.1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108.4</v>
      </c>
      <c r="D5507" s="5">
        <v>0.1</v>
      </c>
      <c r="E5507" s="5">
        <v>108.5</v>
      </c>
      <c r="F5507" s="5">
        <v>215.6</v>
      </c>
      <c r="G5507" s="5">
        <v>107.2</v>
      </c>
      <c r="H5507" s="5">
        <v>107.1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108.4</v>
      </c>
      <c r="D5508" s="5">
        <v>0.1</v>
      </c>
      <c r="E5508" s="5">
        <v>108.5</v>
      </c>
      <c r="F5508" s="5">
        <v>215.6</v>
      </c>
      <c r="G5508" s="5">
        <v>107.2</v>
      </c>
      <c r="H5508" s="5">
        <v>107.1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108.4</v>
      </c>
      <c r="D5509" s="5">
        <v>0.1</v>
      </c>
      <c r="E5509" s="5">
        <v>108.5</v>
      </c>
      <c r="F5509" s="5">
        <v>215.6</v>
      </c>
      <c r="G5509" s="5">
        <v>107.2</v>
      </c>
      <c r="H5509" s="5">
        <v>107.1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108.7</v>
      </c>
      <c r="D5510" s="5">
        <v>0.1</v>
      </c>
      <c r="E5510" s="5">
        <v>108.8</v>
      </c>
      <c r="F5510" s="5">
        <v>216.5</v>
      </c>
      <c r="G5510" s="5">
        <v>107.6</v>
      </c>
      <c r="H5510" s="5">
        <v>107.5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108.7</v>
      </c>
      <c r="D5511" s="5">
        <v>0.1</v>
      </c>
      <c r="E5511" s="5">
        <v>108.8</v>
      </c>
      <c r="F5511" s="5">
        <v>216.5</v>
      </c>
      <c r="G5511" s="5">
        <v>107.6</v>
      </c>
      <c r="H5511" s="5">
        <v>107.5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109.4</v>
      </c>
      <c r="D5512" s="5">
        <v>0.1</v>
      </c>
      <c r="E5512" s="5">
        <v>109.6</v>
      </c>
      <c r="F5512" s="5">
        <v>217.2</v>
      </c>
      <c r="G5512" s="5">
        <v>107.8</v>
      </c>
      <c r="H5512" s="5">
        <v>107.6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109.4</v>
      </c>
      <c r="D5513" s="5">
        <v>0.1</v>
      </c>
      <c r="E5513" s="5">
        <v>109.6</v>
      </c>
      <c r="F5513" s="5">
        <v>217.2</v>
      </c>
      <c r="G5513" s="5">
        <v>107.8</v>
      </c>
      <c r="H5513" s="5">
        <v>107.6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109.4</v>
      </c>
      <c r="D5514" s="5">
        <v>0.1</v>
      </c>
      <c r="E5514" s="5">
        <v>109.6</v>
      </c>
      <c r="F5514" s="5">
        <v>217</v>
      </c>
      <c r="G5514" s="5">
        <v>107.8</v>
      </c>
      <c r="H5514" s="5">
        <v>107.6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109.4</v>
      </c>
      <c r="D5515" s="5">
        <v>0.1</v>
      </c>
      <c r="E5515" s="5">
        <v>109.6</v>
      </c>
      <c r="F5515" s="5">
        <v>217</v>
      </c>
      <c r="G5515" s="5">
        <v>107.8</v>
      </c>
      <c r="H5515" s="5">
        <v>107.6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108.5</v>
      </c>
      <c r="D5516" s="5">
        <v>0.1</v>
      </c>
      <c r="E5516" s="5">
        <v>108.7</v>
      </c>
      <c r="F5516" s="5">
        <v>215.6</v>
      </c>
      <c r="G5516" s="5">
        <v>107.1</v>
      </c>
      <c r="H5516" s="5">
        <v>107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108.5</v>
      </c>
      <c r="D5517" s="5">
        <v>0.1</v>
      </c>
      <c r="E5517" s="5">
        <v>108.7</v>
      </c>
      <c r="F5517" s="5">
        <v>215.6</v>
      </c>
      <c r="G5517" s="5">
        <v>107.1</v>
      </c>
      <c r="H5517" s="5">
        <v>107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108.5</v>
      </c>
      <c r="D5518" s="5">
        <v>0.1</v>
      </c>
      <c r="E5518" s="5">
        <v>108.7</v>
      </c>
      <c r="F5518" s="5">
        <v>215.6</v>
      </c>
      <c r="G5518" s="5">
        <v>107.1</v>
      </c>
      <c r="H5518" s="5">
        <v>107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110.2</v>
      </c>
      <c r="D5519" s="5">
        <v>0.1</v>
      </c>
      <c r="E5519" s="5">
        <v>108.7</v>
      </c>
      <c r="F5519" s="5">
        <v>215.6</v>
      </c>
      <c r="G5519" s="5">
        <v>107.1</v>
      </c>
      <c r="H5519" s="5">
        <v>107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110.2</v>
      </c>
      <c r="D5520" s="5">
        <v>0.1</v>
      </c>
      <c r="E5520" s="5">
        <v>110.4</v>
      </c>
      <c r="F5520" s="5">
        <v>218.1</v>
      </c>
      <c r="G5520" s="5">
        <v>108.4</v>
      </c>
      <c r="H5520" s="5">
        <v>108.3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110.2</v>
      </c>
      <c r="D5521" s="5">
        <v>0.1</v>
      </c>
      <c r="E5521" s="5">
        <v>110.4</v>
      </c>
      <c r="F5521" s="5">
        <v>218.1</v>
      </c>
      <c r="G5521" s="5">
        <v>108.4</v>
      </c>
      <c r="H5521" s="5">
        <v>108.3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109</v>
      </c>
      <c r="D5522" s="5">
        <v>0.1</v>
      </c>
      <c r="E5522" s="5">
        <v>109.1</v>
      </c>
      <c r="F5522" s="5">
        <v>217</v>
      </c>
      <c r="G5522" s="5">
        <v>107.8</v>
      </c>
      <c r="H5522" s="5">
        <v>107.6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109</v>
      </c>
      <c r="D5523" s="5">
        <v>0.1</v>
      </c>
      <c r="E5523" s="5">
        <v>109.1</v>
      </c>
      <c r="F5523" s="5">
        <v>217</v>
      </c>
      <c r="G5523" s="5">
        <v>107.8</v>
      </c>
      <c r="H5523" s="5">
        <v>107.6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108.8</v>
      </c>
      <c r="D5524" s="5">
        <v>0.1</v>
      </c>
      <c r="E5524" s="5">
        <v>109</v>
      </c>
      <c r="F5524" s="5">
        <v>216.1</v>
      </c>
      <c r="G5524" s="5">
        <v>107.6</v>
      </c>
      <c r="H5524" s="5">
        <v>107.5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108.8</v>
      </c>
      <c r="D5525" s="5">
        <v>0.1</v>
      </c>
      <c r="E5525" s="5">
        <v>109</v>
      </c>
      <c r="F5525" s="5">
        <v>216.1</v>
      </c>
      <c r="G5525" s="5">
        <v>107.6</v>
      </c>
      <c r="H5525" s="5">
        <v>107.5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109</v>
      </c>
      <c r="D5526" s="5">
        <v>0.1</v>
      </c>
      <c r="E5526" s="5">
        <v>109.1</v>
      </c>
      <c r="F5526" s="5">
        <v>216.7</v>
      </c>
      <c r="G5526" s="5">
        <v>107.6</v>
      </c>
      <c r="H5526" s="5">
        <v>107.5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109</v>
      </c>
      <c r="D5527" s="5">
        <v>0.1</v>
      </c>
      <c r="E5527" s="5">
        <v>109.1</v>
      </c>
      <c r="F5527" s="5">
        <v>216.7</v>
      </c>
      <c r="G5527" s="5">
        <v>107.6</v>
      </c>
      <c r="H5527" s="5">
        <v>107.5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109</v>
      </c>
      <c r="D5528" s="5">
        <v>0.1</v>
      </c>
      <c r="E5528" s="5">
        <v>109.1</v>
      </c>
      <c r="F5528" s="5">
        <v>216.7</v>
      </c>
      <c r="G5528" s="5">
        <v>107.6</v>
      </c>
      <c r="H5528" s="5">
        <v>107.5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109</v>
      </c>
      <c r="D5529" s="5">
        <v>0.1</v>
      </c>
      <c r="E5529" s="5">
        <v>109.1</v>
      </c>
      <c r="F5529" s="5">
        <v>216.7</v>
      </c>
      <c r="G5529" s="5">
        <v>107.6</v>
      </c>
      <c r="H5529" s="5">
        <v>107.5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109</v>
      </c>
      <c r="D5530" s="5">
        <v>0.1</v>
      </c>
      <c r="E5530" s="5">
        <v>109.1</v>
      </c>
      <c r="F5530" s="5">
        <v>216.6</v>
      </c>
      <c r="G5530" s="5">
        <v>107.6</v>
      </c>
      <c r="H5530" s="5">
        <v>107.5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109</v>
      </c>
      <c r="D5531" s="5">
        <v>0.1</v>
      </c>
      <c r="E5531" s="5">
        <v>109.1</v>
      </c>
      <c r="F5531" s="5">
        <v>216.6</v>
      </c>
      <c r="G5531" s="5">
        <v>107.6</v>
      </c>
      <c r="H5531" s="5">
        <v>107.5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109.1</v>
      </c>
      <c r="D5532" s="5">
        <v>0.1</v>
      </c>
      <c r="E5532" s="5">
        <v>109.3</v>
      </c>
      <c r="F5532" s="5">
        <v>217.2</v>
      </c>
      <c r="G5532" s="5">
        <v>107.9</v>
      </c>
      <c r="H5532" s="5">
        <v>107.8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109.1</v>
      </c>
      <c r="D5533" s="5">
        <v>0.1</v>
      </c>
      <c r="E5533" s="5">
        <v>109.3</v>
      </c>
      <c r="F5533" s="5">
        <v>217.2</v>
      </c>
      <c r="G5533" s="5">
        <v>107.9</v>
      </c>
      <c r="H5533" s="5">
        <v>107.8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109.4</v>
      </c>
      <c r="D5534" s="5">
        <v>0.1</v>
      </c>
      <c r="E5534" s="5">
        <v>109.5</v>
      </c>
      <c r="F5534" s="5">
        <v>217.2</v>
      </c>
      <c r="G5534" s="5">
        <v>107.9</v>
      </c>
      <c r="H5534" s="5">
        <v>107.7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109.4</v>
      </c>
      <c r="D5535" s="5">
        <v>0.1</v>
      </c>
      <c r="E5535" s="5">
        <v>109.5</v>
      </c>
      <c r="F5535" s="5">
        <v>217.2</v>
      </c>
      <c r="G5535" s="5">
        <v>107.9</v>
      </c>
      <c r="H5535" s="5">
        <v>107.7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109.6</v>
      </c>
      <c r="D5536" s="5">
        <v>0.1</v>
      </c>
      <c r="E5536" s="5">
        <v>109.7</v>
      </c>
      <c r="F5536" s="5">
        <v>217.4</v>
      </c>
      <c r="G5536" s="5">
        <v>108</v>
      </c>
      <c r="H5536" s="5">
        <v>107.8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109.6</v>
      </c>
      <c r="D5537" s="5">
        <v>0.1</v>
      </c>
      <c r="E5537" s="5">
        <v>109.7</v>
      </c>
      <c r="F5537" s="5">
        <v>217.4</v>
      </c>
      <c r="G5537" s="5">
        <v>108</v>
      </c>
      <c r="H5537" s="5">
        <v>107.8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109.6</v>
      </c>
      <c r="D5538" s="5">
        <v>0.1</v>
      </c>
      <c r="E5538" s="5">
        <v>109.7</v>
      </c>
      <c r="F5538" s="5">
        <v>217.4</v>
      </c>
      <c r="G5538" s="5">
        <v>108</v>
      </c>
      <c r="H5538" s="5">
        <v>107.8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109.6</v>
      </c>
      <c r="D5539" s="5">
        <v>0.1</v>
      </c>
      <c r="E5539" s="5">
        <v>109.1</v>
      </c>
      <c r="F5539" s="5">
        <v>216.3</v>
      </c>
      <c r="G5539" s="5">
        <v>107.4</v>
      </c>
      <c r="H5539" s="5">
        <v>107.3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109</v>
      </c>
      <c r="D5540" s="5">
        <v>0.1</v>
      </c>
      <c r="E5540" s="5">
        <v>109.1</v>
      </c>
      <c r="F5540" s="5">
        <v>216.3</v>
      </c>
      <c r="G5540" s="5">
        <v>107.4</v>
      </c>
      <c r="H5540" s="5">
        <v>107.3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109</v>
      </c>
      <c r="D5541" s="5">
        <v>0.1</v>
      </c>
      <c r="E5541" s="5">
        <v>109.4</v>
      </c>
      <c r="F5541" s="5">
        <v>217.1</v>
      </c>
      <c r="G5541" s="5">
        <v>107.8</v>
      </c>
      <c r="H5541" s="5">
        <v>107.6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109.3</v>
      </c>
      <c r="D5542" s="5">
        <v>0.1</v>
      </c>
      <c r="E5542" s="5">
        <v>109.4</v>
      </c>
      <c r="F5542" s="5">
        <v>217.1</v>
      </c>
      <c r="G5542" s="5">
        <v>107.8</v>
      </c>
      <c r="H5542" s="5">
        <v>107.6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109.3</v>
      </c>
      <c r="D5543" s="5">
        <v>0.1</v>
      </c>
      <c r="E5543" s="5">
        <v>109.6</v>
      </c>
      <c r="F5543" s="5">
        <v>216.8</v>
      </c>
      <c r="G5543" s="5">
        <v>107.7</v>
      </c>
      <c r="H5543" s="5">
        <v>107.6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109.4</v>
      </c>
      <c r="D5544" s="5">
        <v>0.1</v>
      </c>
      <c r="E5544" s="5">
        <v>109.6</v>
      </c>
      <c r="F5544" s="5">
        <v>216.8</v>
      </c>
      <c r="G5544" s="5">
        <v>107.7</v>
      </c>
      <c r="H5544" s="5">
        <v>107.6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109.4</v>
      </c>
      <c r="D5545" s="5">
        <v>0.1</v>
      </c>
      <c r="E5545" s="5">
        <v>109</v>
      </c>
      <c r="F5545" s="5">
        <v>216.7</v>
      </c>
      <c r="G5545" s="5">
        <v>107.7</v>
      </c>
      <c r="H5545" s="5">
        <v>107.9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108.8</v>
      </c>
      <c r="D5546" s="5">
        <v>0.1</v>
      </c>
      <c r="E5546" s="5">
        <v>109</v>
      </c>
      <c r="F5546" s="5">
        <v>216.7</v>
      </c>
      <c r="G5546" s="5">
        <v>107.7</v>
      </c>
      <c r="H5546" s="5">
        <v>107.9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108.8</v>
      </c>
      <c r="D5547" s="5">
        <v>0.1</v>
      </c>
      <c r="E5547" s="5">
        <v>109</v>
      </c>
      <c r="F5547" s="5">
        <v>216.7</v>
      </c>
      <c r="G5547" s="5">
        <v>107.7</v>
      </c>
      <c r="H5547" s="5">
        <v>107.9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108.8</v>
      </c>
      <c r="D5548" s="5">
        <v>0.1</v>
      </c>
      <c r="E5548" s="5">
        <v>109</v>
      </c>
      <c r="F5548" s="5">
        <v>216.7</v>
      </c>
      <c r="G5548" s="5">
        <v>107.7</v>
      </c>
      <c r="H5548" s="5">
        <v>107.9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108.8</v>
      </c>
      <c r="D5549" s="5">
        <v>0.1</v>
      </c>
      <c r="E5549" s="5">
        <v>108.9</v>
      </c>
      <c r="F5549" s="5">
        <v>216.9</v>
      </c>
      <c r="G5549" s="5">
        <v>107.8</v>
      </c>
      <c r="H5549" s="5">
        <v>107.6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108.8</v>
      </c>
      <c r="D5550" s="5">
        <v>0.1</v>
      </c>
      <c r="E5550" s="5">
        <v>108.9</v>
      </c>
      <c r="F5550" s="5">
        <v>216.9</v>
      </c>
      <c r="G5550" s="5">
        <v>107.8</v>
      </c>
      <c r="H5550" s="5">
        <v>107.6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109.9</v>
      </c>
      <c r="D5551" s="5">
        <v>0.1</v>
      </c>
      <c r="E5551" s="5">
        <v>110.1</v>
      </c>
      <c r="F5551" s="5">
        <v>218.5</v>
      </c>
      <c r="G5551" s="5">
        <v>108.5</v>
      </c>
      <c r="H5551" s="5">
        <v>108.4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109.9</v>
      </c>
      <c r="D5552" s="5">
        <v>0.1</v>
      </c>
      <c r="E5552" s="5">
        <v>110.1</v>
      </c>
      <c r="F5552" s="5">
        <v>218.5</v>
      </c>
      <c r="G5552" s="5">
        <v>108.5</v>
      </c>
      <c r="H5552" s="5">
        <v>108.4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108.8</v>
      </c>
      <c r="D5553" s="5">
        <v>0.1</v>
      </c>
      <c r="E5553" s="5">
        <v>109</v>
      </c>
      <c r="F5553" s="5">
        <v>217.5</v>
      </c>
      <c r="G5553" s="5">
        <v>108.1</v>
      </c>
      <c r="H5553" s="5">
        <v>107.9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108.8</v>
      </c>
      <c r="D5554" s="5">
        <v>0.1</v>
      </c>
      <c r="E5554" s="5">
        <v>109</v>
      </c>
      <c r="F5554" s="5">
        <v>217.5</v>
      </c>
      <c r="G5554" s="5">
        <v>108.1</v>
      </c>
      <c r="H5554" s="5">
        <v>107.9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108.7</v>
      </c>
      <c r="D5555" s="5">
        <v>0.1</v>
      </c>
      <c r="E5555" s="5">
        <v>108.8</v>
      </c>
      <c r="F5555" s="5">
        <v>215.2</v>
      </c>
      <c r="G5555" s="5">
        <v>107</v>
      </c>
      <c r="H5555" s="5">
        <v>106.9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108.7</v>
      </c>
      <c r="D5556" s="5">
        <v>0.1</v>
      </c>
      <c r="E5556" s="5">
        <v>108.8</v>
      </c>
      <c r="F5556" s="5">
        <v>215.2</v>
      </c>
      <c r="G5556" s="5">
        <v>107</v>
      </c>
      <c r="H5556" s="5">
        <v>106.9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108.7</v>
      </c>
      <c r="D5557" s="5">
        <v>0.1</v>
      </c>
      <c r="E5557" s="5">
        <v>108.8</v>
      </c>
      <c r="F5557" s="5">
        <v>215.2</v>
      </c>
      <c r="G5557" s="5">
        <v>107</v>
      </c>
      <c r="H5557" s="5">
        <v>106.9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108.7</v>
      </c>
      <c r="D5558" s="5">
        <v>0.1</v>
      </c>
      <c r="E5558" s="5">
        <v>108.8</v>
      </c>
      <c r="F5558" s="5">
        <v>215.2</v>
      </c>
      <c r="G5558" s="5">
        <v>107</v>
      </c>
      <c r="H5558" s="5">
        <v>106.9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108.5</v>
      </c>
      <c r="D5559" s="5">
        <v>0.1</v>
      </c>
      <c r="E5559" s="5">
        <v>108.7</v>
      </c>
      <c r="F5559" s="5">
        <v>215.5</v>
      </c>
      <c r="G5559" s="5">
        <v>107.1</v>
      </c>
      <c r="H5559" s="5">
        <v>106.9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108.5</v>
      </c>
      <c r="D5560" s="5">
        <v>0.1</v>
      </c>
      <c r="E5560" s="5">
        <v>108.7</v>
      </c>
      <c r="F5560" s="5">
        <v>215.5</v>
      </c>
      <c r="G5560" s="5">
        <v>107.1</v>
      </c>
      <c r="H5560" s="5">
        <v>106.9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108.7</v>
      </c>
      <c r="D5561" s="5">
        <v>0.1</v>
      </c>
      <c r="E5561" s="5">
        <v>108.7</v>
      </c>
      <c r="F5561" s="5">
        <v>215.5</v>
      </c>
      <c r="G5561" s="5">
        <v>107.1</v>
      </c>
      <c r="H5561" s="5">
        <v>106.9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108.7</v>
      </c>
      <c r="D5562" s="5">
        <v>0.1</v>
      </c>
      <c r="E5562" s="5">
        <v>108.8</v>
      </c>
      <c r="F5562" s="5">
        <v>216.1</v>
      </c>
      <c r="G5562" s="5">
        <v>107.4</v>
      </c>
      <c r="H5562" s="5">
        <v>107.3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108.7</v>
      </c>
      <c r="D5563" s="5">
        <v>0.1</v>
      </c>
      <c r="E5563" s="5">
        <v>108.8</v>
      </c>
      <c r="F5563" s="5">
        <v>216.1</v>
      </c>
      <c r="G5563" s="5">
        <v>107.4</v>
      </c>
      <c r="H5563" s="5">
        <v>107.3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108.8</v>
      </c>
      <c r="D5564" s="5">
        <v>0.1</v>
      </c>
      <c r="E5564" s="5">
        <v>109</v>
      </c>
      <c r="F5564" s="5">
        <v>216.4</v>
      </c>
      <c r="G5564" s="5">
        <v>107.5</v>
      </c>
      <c r="H5564" s="5">
        <v>107.4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108.8</v>
      </c>
      <c r="D5565" s="5">
        <v>0.1</v>
      </c>
      <c r="E5565" s="5">
        <v>109</v>
      </c>
      <c r="F5565" s="5">
        <v>216.4</v>
      </c>
      <c r="G5565" s="5">
        <v>107.5</v>
      </c>
      <c r="H5565" s="5">
        <v>107.4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109.2</v>
      </c>
      <c r="D5566" s="5">
        <v>0.1</v>
      </c>
      <c r="E5566" s="5">
        <v>109.4</v>
      </c>
      <c r="F5566" s="5">
        <v>216.7</v>
      </c>
      <c r="G5566" s="5">
        <v>107.7</v>
      </c>
      <c r="H5566" s="5">
        <v>107.4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109.2</v>
      </c>
      <c r="D5567" s="5">
        <v>0.1</v>
      </c>
      <c r="E5567" s="5">
        <v>109.4</v>
      </c>
      <c r="F5567" s="5">
        <v>216.7</v>
      </c>
      <c r="G5567" s="5">
        <v>107.7</v>
      </c>
      <c r="H5567" s="5">
        <v>107.4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109.2</v>
      </c>
      <c r="D5568" s="5">
        <v>0.1</v>
      </c>
      <c r="E5568" s="5">
        <v>109.4</v>
      </c>
      <c r="F5568" s="5">
        <v>216.7</v>
      </c>
      <c r="G5568" s="5">
        <v>107.7</v>
      </c>
      <c r="H5568" s="5">
        <v>107.4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109.2</v>
      </c>
      <c r="D5569" s="5">
        <v>0.1</v>
      </c>
      <c r="E5569" s="5">
        <v>109.4</v>
      </c>
      <c r="F5569" s="5">
        <v>216.7</v>
      </c>
      <c r="G5569" s="5">
        <v>107.7</v>
      </c>
      <c r="H5569" s="5">
        <v>107.4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109.2</v>
      </c>
      <c r="D5570" s="5">
        <v>0.1</v>
      </c>
      <c r="E5570" s="5">
        <v>109.4</v>
      </c>
      <c r="F5570" s="5">
        <v>216.7</v>
      </c>
      <c r="G5570" s="5">
        <v>107.7</v>
      </c>
      <c r="H5570" s="5">
        <v>107.4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108.9</v>
      </c>
      <c r="D5571" s="5">
        <v>0.1</v>
      </c>
      <c r="E5571" s="5">
        <v>109.1</v>
      </c>
      <c r="F5571" s="5">
        <v>216.1</v>
      </c>
      <c r="G5571" s="5">
        <v>107.4</v>
      </c>
      <c r="H5571" s="5">
        <v>107.2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108.9</v>
      </c>
      <c r="D5572" s="5">
        <v>0.1</v>
      </c>
      <c r="E5572" s="5">
        <v>109.1</v>
      </c>
      <c r="F5572" s="5">
        <v>216.1</v>
      </c>
      <c r="G5572" s="5">
        <v>107.4</v>
      </c>
      <c r="H5572" s="5">
        <v>107.2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109</v>
      </c>
      <c r="D5573" s="5">
        <v>0.1</v>
      </c>
      <c r="E5573" s="5">
        <v>109.1</v>
      </c>
      <c r="F5573" s="5">
        <v>216.2</v>
      </c>
      <c r="G5573" s="5">
        <v>107.4</v>
      </c>
      <c r="H5573" s="5">
        <v>107.3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109</v>
      </c>
      <c r="D5574" s="5">
        <v>0.1</v>
      </c>
      <c r="E5574" s="5">
        <v>109.1</v>
      </c>
      <c r="F5574" s="5">
        <v>216.2</v>
      </c>
      <c r="G5574" s="5">
        <v>107.4</v>
      </c>
      <c r="H5574" s="5">
        <v>107.3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107.3</v>
      </c>
      <c r="D5575" s="5">
        <v>0.1</v>
      </c>
      <c r="E5575" s="5">
        <v>107.5</v>
      </c>
      <c r="F5575" s="5">
        <v>212.1</v>
      </c>
      <c r="G5575" s="5">
        <v>105.4</v>
      </c>
      <c r="H5575" s="5">
        <v>105.3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107.3</v>
      </c>
      <c r="D5576" s="5">
        <v>0.1</v>
      </c>
      <c r="E5576" s="5">
        <v>107.5</v>
      </c>
      <c r="F5576" s="5">
        <v>212.1</v>
      </c>
      <c r="G5576" s="5">
        <v>105.4</v>
      </c>
      <c r="H5576" s="5">
        <v>105.3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107.3</v>
      </c>
      <c r="D5577" s="5">
        <v>0.1</v>
      </c>
      <c r="E5577" s="5">
        <v>107.5</v>
      </c>
      <c r="F5577" s="5">
        <v>212.1</v>
      </c>
      <c r="G5577" s="5">
        <v>105.4</v>
      </c>
      <c r="H5577" s="5">
        <v>105.3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107.3</v>
      </c>
      <c r="D5578" s="5">
        <v>0.1</v>
      </c>
      <c r="E5578" s="5">
        <v>107.5</v>
      </c>
      <c r="F5578" s="5">
        <v>212.1</v>
      </c>
      <c r="G5578" s="5">
        <v>105.4</v>
      </c>
      <c r="H5578" s="5">
        <v>105.3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107.9</v>
      </c>
      <c r="D5579" s="5">
        <v>0.1</v>
      </c>
      <c r="E5579" s="5">
        <v>108</v>
      </c>
      <c r="F5579" s="5">
        <v>212.7</v>
      </c>
      <c r="G5579" s="5">
        <v>105.7</v>
      </c>
      <c r="H5579" s="5">
        <v>105.5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107.9</v>
      </c>
      <c r="D5580" s="5">
        <v>0.1</v>
      </c>
      <c r="E5580" s="5">
        <v>108</v>
      </c>
      <c r="F5580" s="5">
        <v>212.7</v>
      </c>
      <c r="G5580" s="5">
        <v>105.7</v>
      </c>
      <c r="H5580" s="5">
        <v>105.5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107.1</v>
      </c>
      <c r="D5581" s="5">
        <v>0.1</v>
      </c>
      <c r="E5581" s="5">
        <v>107.2</v>
      </c>
      <c r="F5581" s="5">
        <v>212.7</v>
      </c>
      <c r="G5581" s="5">
        <v>105.6</v>
      </c>
      <c r="H5581" s="5">
        <v>105.5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107.1</v>
      </c>
      <c r="D5582" s="5">
        <v>0.1</v>
      </c>
      <c r="E5582" s="5">
        <v>107.2</v>
      </c>
      <c r="F5582" s="5">
        <v>212.7</v>
      </c>
      <c r="G5582" s="5">
        <v>105.6</v>
      </c>
      <c r="H5582" s="5">
        <v>105.5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109.1</v>
      </c>
      <c r="D5583" s="5">
        <v>0.1</v>
      </c>
      <c r="E5583" s="5">
        <v>109.2</v>
      </c>
      <c r="F5583" s="5">
        <v>215.7</v>
      </c>
      <c r="G5583" s="5">
        <v>106.6</v>
      </c>
      <c r="H5583" s="5">
        <v>106.5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109.1</v>
      </c>
      <c r="D5584" s="5">
        <v>0.1</v>
      </c>
      <c r="E5584" s="5">
        <v>109.2</v>
      </c>
      <c r="F5584" s="5">
        <v>215.7</v>
      </c>
      <c r="G5584" s="5">
        <v>106.6</v>
      </c>
      <c r="H5584" s="5">
        <v>106.5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109.2</v>
      </c>
      <c r="D5585" s="5">
        <v>0.1</v>
      </c>
      <c r="E5585" s="5">
        <v>109.4</v>
      </c>
      <c r="F5585" s="5">
        <v>216.8</v>
      </c>
      <c r="G5585" s="5">
        <v>107.8</v>
      </c>
      <c r="H5585" s="5">
        <v>107.5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109.2</v>
      </c>
      <c r="D5586" s="5">
        <v>0.1</v>
      </c>
      <c r="E5586" s="5">
        <v>109.4</v>
      </c>
      <c r="F5586" s="5">
        <v>216.8</v>
      </c>
      <c r="G5586" s="5">
        <v>107.8</v>
      </c>
      <c r="H5586" s="5">
        <v>107.5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109.2</v>
      </c>
      <c r="D5587" s="5">
        <v>0.1</v>
      </c>
      <c r="E5587" s="5">
        <v>109.4</v>
      </c>
      <c r="F5587" s="5">
        <v>216.8</v>
      </c>
      <c r="G5587" s="5">
        <v>107.8</v>
      </c>
      <c r="H5587" s="5">
        <v>107.5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109.2</v>
      </c>
      <c r="D5588" s="5">
        <v>0.1</v>
      </c>
      <c r="E5588" s="5">
        <v>109.4</v>
      </c>
      <c r="F5588" s="5">
        <v>216.8</v>
      </c>
      <c r="G5588" s="5">
        <v>107.8</v>
      </c>
      <c r="H5588" s="5">
        <v>107.5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108.7</v>
      </c>
      <c r="D5589" s="5">
        <v>0.1</v>
      </c>
      <c r="E5589" s="5">
        <v>108.8</v>
      </c>
      <c r="F5589" s="5">
        <v>215.9</v>
      </c>
      <c r="G5589" s="5">
        <v>107.3</v>
      </c>
      <c r="H5589" s="5">
        <v>107.1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108.7</v>
      </c>
      <c r="D5590" s="5">
        <v>0.1</v>
      </c>
      <c r="E5590" s="5">
        <v>108.8</v>
      </c>
      <c r="F5590" s="5">
        <v>215.9</v>
      </c>
      <c r="G5590" s="5">
        <v>107.3</v>
      </c>
      <c r="H5590" s="5">
        <v>107.1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109</v>
      </c>
      <c r="D5591" s="5">
        <v>0.1</v>
      </c>
      <c r="E5591" s="5">
        <v>109.1</v>
      </c>
      <c r="F5591" s="5">
        <v>216.4</v>
      </c>
      <c r="G5591" s="5">
        <v>107.5</v>
      </c>
      <c r="H5591" s="5">
        <v>107.3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109</v>
      </c>
      <c r="D5592" s="5">
        <v>0.1</v>
      </c>
      <c r="E5592" s="5">
        <v>109.1</v>
      </c>
      <c r="F5592" s="5">
        <v>216.4</v>
      </c>
      <c r="G5592" s="5">
        <v>107.5</v>
      </c>
      <c r="H5592" s="5">
        <v>107.3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108.1</v>
      </c>
      <c r="D5593" s="5">
        <v>0.1</v>
      </c>
      <c r="E5593" s="5">
        <v>108.3</v>
      </c>
      <c r="F5593" s="5">
        <v>215.6</v>
      </c>
      <c r="G5593" s="5">
        <v>107.1</v>
      </c>
      <c r="H5593" s="5">
        <v>107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108.1</v>
      </c>
      <c r="D5594" s="5">
        <v>0.1</v>
      </c>
      <c r="E5594" s="5">
        <v>108.3</v>
      </c>
      <c r="F5594" s="5">
        <v>215.6</v>
      </c>
      <c r="G5594" s="5">
        <v>107.1</v>
      </c>
      <c r="H5594" s="5">
        <v>107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108.8</v>
      </c>
      <c r="D5595" s="5">
        <v>0.1</v>
      </c>
      <c r="E5595" s="5">
        <v>108.9</v>
      </c>
      <c r="F5595" s="5">
        <v>215.4</v>
      </c>
      <c r="G5595" s="5">
        <v>107</v>
      </c>
      <c r="H5595" s="5">
        <v>106.9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108.8</v>
      </c>
      <c r="D5596" s="5">
        <v>0.1</v>
      </c>
      <c r="E5596" s="5">
        <v>108.9</v>
      </c>
      <c r="F5596" s="5">
        <v>215.4</v>
      </c>
      <c r="G5596" s="5">
        <v>107</v>
      </c>
      <c r="H5596" s="5">
        <v>106.9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108.8</v>
      </c>
      <c r="D5597" s="5">
        <v>0.1</v>
      </c>
      <c r="E5597" s="5">
        <v>108.9</v>
      </c>
      <c r="F5597" s="5">
        <v>215.4</v>
      </c>
      <c r="G5597" s="5">
        <v>107</v>
      </c>
      <c r="H5597" s="5">
        <v>106.9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108.8</v>
      </c>
      <c r="D5598" s="5">
        <v>0.1</v>
      </c>
      <c r="E5598" s="5">
        <v>108.9</v>
      </c>
      <c r="F5598" s="5">
        <v>215.4</v>
      </c>
      <c r="G5598" s="5">
        <v>107</v>
      </c>
      <c r="H5598" s="5">
        <v>106.9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107.5</v>
      </c>
      <c r="D5599" s="5">
        <v>0.1</v>
      </c>
      <c r="E5599" s="5">
        <v>107.5</v>
      </c>
      <c r="F5599" s="5">
        <v>213.5</v>
      </c>
      <c r="G5599" s="5">
        <v>106.1</v>
      </c>
      <c r="H5599" s="5">
        <v>106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107.5</v>
      </c>
      <c r="D5600" s="5">
        <v>0.1</v>
      </c>
      <c r="E5600" s="5">
        <v>107.5</v>
      </c>
      <c r="F5600" s="5">
        <v>213.5</v>
      </c>
      <c r="G5600" s="5">
        <v>106.1</v>
      </c>
      <c r="H5600" s="5">
        <v>106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108</v>
      </c>
      <c r="D5601" s="5">
        <v>0.1</v>
      </c>
      <c r="E5601" s="5">
        <v>108.1</v>
      </c>
      <c r="F5601" s="5">
        <v>213.7</v>
      </c>
      <c r="G5601" s="5">
        <v>106.2</v>
      </c>
      <c r="H5601" s="5">
        <v>106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108</v>
      </c>
      <c r="D5602" s="5">
        <v>0.1</v>
      </c>
      <c r="E5602" s="5">
        <v>108.1</v>
      </c>
      <c r="F5602" s="5">
        <v>213.7</v>
      </c>
      <c r="G5602" s="5">
        <v>106.2</v>
      </c>
      <c r="H5602" s="5">
        <v>106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106.6</v>
      </c>
      <c r="D5603" s="5">
        <v>0.1</v>
      </c>
      <c r="E5603" s="5">
        <v>106.8</v>
      </c>
      <c r="F5603" s="5">
        <v>210.4</v>
      </c>
      <c r="G5603" s="5">
        <v>104.5</v>
      </c>
      <c r="H5603" s="5">
        <v>104.4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106.6</v>
      </c>
      <c r="D5604" s="5">
        <v>0.1</v>
      </c>
      <c r="E5604" s="5">
        <v>106.8</v>
      </c>
      <c r="F5604" s="5">
        <v>210.4</v>
      </c>
      <c r="G5604" s="5">
        <v>104.5</v>
      </c>
      <c r="H5604" s="5">
        <v>104.4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108.4</v>
      </c>
      <c r="D5605" s="5">
        <v>0.1</v>
      </c>
      <c r="E5605" s="5">
        <v>108.5</v>
      </c>
      <c r="F5605" s="5">
        <v>215.2</v>
      </c>
      <c r="G5605" s="5">
        <v>106.8</v>
      </c>
      <c r="H5605" s="5">
        <v>106.3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108.4</v>
      </c>
      <c r="D5606" s="5">
        <v>0.1</v>
      </c>
      <c r="E5606" s="5">
        <v>108.5</v>
      </c>
      <c r="F5606" s="5">
        <v>215.2</v>
      </c>
      <c r="G5606" s="5">
        <v>106.8</v>
      </c>
      <c r="H5606" s="5">
        <v>106.3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108.4</v>
      </c>
      <c r="D5607" s="5">
        <v>0.1</v>
      </c>
      <c r="E5607" s="5">
        <v>108.5</v>
      </c>
      <c r="F5607" s="5">
        <v>215.2</v>
      </c>
      <c r="G5607" s="5">
        <v>106.8</v>
      </c>
      <c r="H5607" s="5">
        <v>106.3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108.4</v>
      </c>
      <c r="D5608" s="5">
        <v>0.1</v>
      </c>
      <c r="E5608" s="5">
        <v>108.5</v>
      </c>
      <c r="F5608" s="5">
        <v>215.2</v>
      </c>
      <c r="G5608" s="5">
        <v>106.8</v>
      </c>
      <c r="H5608" s="5">
        <v>106.3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106.3</v>
      </c>
      <c r="D5609" s="5">
        <v>0.1</v>
      </c>
      <c r="E5609" s="5">
        <v>106.5</v>
      </c>
      <c r="F5609" s="5">
        <v>210.7</v>
      </c>
      <c r="G5609" s="5">
        <v>104.7</v>
      </c>
      <c r="H5609" s="5">
        <v>104.5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106.3</v>
      </c>
      <c r="D5610" s="5">
        <v>0.1</v>
      </c>
      <c r="E5610" s="5">
        <v>106.5</v>
      </c>
      <c r="F5610" s="5">
        <v>210.7</v>
      </c>
      <c r="G5610" s="5">
        <v>104.7</v>
      </c>
      <c r="H5610" s="5">
        <v>104.5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107.8</v>
      </c>
      <c r="D5611" s="5">
        <v>0.1</v>
      </c>
      <c r="E5611" s="5">
        <v>108</v>
      </c>
      <c r="F5611" s="5">
        <v>214.2</v>
      </c>
      <c r="G5611" s="5">
        <v>106.4</v>
      </c>
      <c r="H5611" s="5">
        <v>106.3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107.8</v>
      </c>
      <c r="D5612" s="5">
        <v>0.1</v>
      </c>
      <c r="E5612" s="5">
        <v>108</v>
      </c>
      <c r="F5612" s="5">
        <v>214.2</v>
      </c>
      <c r="G5612" s="5">
        <v>106.4</v>
      </c>
      <c r="H5612" s="5">
        <v>106.3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107.3</v>
      </c>
      <c r="D5613" s="5">
        <v>0.1</v>
      </c>
      <c r="E5613" s="5">
        <v>107.5</v>
      </c>
      <c r="F5613" s="5">
        <v>213.1</v>
      </c>
      <c r="G5613" s="5">
        <v>105.9</v>
      </c>
      <c r="H5613" s="5">
        <v>105.7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107.3</v>
      </c>
      <c r="D5614" s="5">
        <v>0.1</v>
      </c>
      <c r="E5614" s="5">
        <v>107.5</v>
      </c>
      <c r="F5614" s="5">
        <v>213.1</v>
      </c>
      <c r="G5614" s="5">
        <v>105.9</v>
      </c>
      <c r="H5614" s="5">
        <v>105.7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108.5</v>
      </c>
      <c r="D5615" s="5">
        <v>0.1</v>
      </c>
      <c r="E5615" s="5">
        <v>108.7</v>
      </c>
      <c r="F5615" s="5">
        <v>215.6</v>
      </c>
      <c r="G5615" s="5">
        <v>107.1</v>
      </c>
      <c r="H5615" s="5">
        <v>107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108.5</v>
      </c>
      <c r="D5616" s="5">
        <v>0.1</v>
      </c>
      <c r="E5616" s="5">
        <v>108.7</v>
      </c>
      <c r="F5616" s="5">
        <v>215.6</v>
      </c>
      <c r="G5616" s="5">
        <v>107.1</v>
      </c>
      <c r="H5616" s="5">
        <v>107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108.5</v>
      </c>
      <c r="D5617" s="5">
        <v>0.1</v>
      </c>
      <c r="E5617" s="5">
        <v>108.7</v>
      </c>
      <c r="F5617" s="5">
        <v>215.6</v>
      </c>
      <c r="G5617" s="5">
        <v>107.1</v>
      </c>
      <c r="H5617" s="5">
        <v>107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108.5</v>
      </c>
      <c r="D5618" s="5">
        <v>0.1</v>
      </c>
      <c r="E5618" s="5">
        <v>108.7</v>
      </c>
      <c r="F5618" s="5">
        <v>215.6</v>
      </c>
      <c r="G5618" s="5">
        <v>107.1</v>
      </c>
      <c r="H5618" s="5">
        <v>107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107.4</v>
      </c>
      <c r="D5619" s="5">
        <v>0.1</v>
      </c>
      <c r="E5619" s="5">
        <v>107.5</v>
      </c>
      <c r="F5619" s="5">
        <v>213.6</v>
      </c>
      <c r="G5619" s="5">
        <v>106.1</v>
      </c>
      <c r="H5619" s="5">
        <v>106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107.4</v>
      </c>
      <c r="D5620" s="5">
        <v>0.1</v>
      </c>
      <c r="E5620" s="5">
        <v>107.5</v>
      </c>
      <c r="F5620" s="5">
        <v>213.6</v>
      </c>
      <c r="G5620" s="5">
        <v>106.1</v>
      </c>
      <c r="H5620" s="5">
        <v>106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108.9</v>
      </c>
      <c r="D5621" s="5">
        <v>0.1</v>
      </c>
      <c r="E5621" s="5">
        <v>109.1</v>
      </c>
      <c r="F5621" s="5">
        <v>216.1</v>
      </c>
      <c r="G5621" s="5">
        <v>107.4</v>
      </c>
      <c r="H5621" s="5">
        <v>107.3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108.9</v>
      </c>
      <c r="D5622" s="5">
        <v>0.1</v>
      </c>
      <c r="E5622" s="5">
        <v>109.1</v>
      </c>
      <c r="F5622" s="5">
        <v>216.1</v>
      </c>
      <c r="G5622" s="5">
        <v>107.4</v>
      </c>
      <c r="H5622" s="5">
        <v>107.3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107.5</v>
      </c>
      <c r="D5623" s="5">
        <v>0.1</v>
      </c>
      <c r="E5623" s="5">
        <v>107.6</v>
      </c>
      <c r="F5623" s="5">
        <v>214.3</v>
      </c>
      <c r="G5623" s="5">
        <v>106.2</v>
      </c>
      <c r="H5623" s="5">
        <v>105.7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107.5</v>
      </c>
      <c r="D5624" s="5">
        <v>0.1</v>
      </c>
      <c r="E5624" s="5">
        <v>107.6</v>
      </c>
      <c r="F5624" s="5">
        <v>214.3</v>
      </c>
      <c r="G5624" s="5">
        <v>106.2</v>
      </c>
      <c r="H5624" s="5">
        <v>105.7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108.7</v>
      </c>
      <c r="D5625" s="5">
        <v>0.1</v>
      </c>
      <c r="E5625" s="5">
        <v>108.8</v>
      </c>
      <c r="F5625" s="5">
        <v>216</v>
      </c>
      <c r="G5625" s="5">
        <v>107.3</v>
      </c>
      <c r="H5625" s="5">
        <v>107.1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108.7</v>
      </c>
      <c r="D5626" s="5">
        <v>0.1</v>
      </c>
      <c r="E5626" s="5">
        <v>108.8</v>
      </c>
      <c r="F5626" s="5">
        <v>216</v>
      </c>
      <c r="G5626" s="5">
        <v>107.3</v>
      </c>
      <c r="H5626" s="5">
        <v>107.1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108.7</v>
      </c>
      <c r="D5627" s="5">
        <v>0.1</v>
      </c>
      <c r="E5627" s="5">
        <v>108.8</v>
      </c>
      <c r="F5627" s="5">
        <v>216</v>
      </c>
      <c r="G5627" s="5">
        <v>107.3</v>
      </c>
      <c r="H5627" s="5">
        <v>107.1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108.7</v>
      </c>
      <c r="D5628" s="5">
        <v>0.1</v>
      </c>
      <c r="E5628" s="5">
        <v>108.8</v>
      </c>
      <c r="F5628" s="5">
        <v>216</v>
      </c>
      <c r="G5628" s="5">
        <v>107.3</v>
      </c>
      <c r="H5628" s="5">
        <v>107.1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109.6</v>
      </c>
      <c r="D5629" s="5">
        <v>0.1</v>
      </c>
      <c r="E5629" s="5">
        <v>109.7</v>
      </c>
      <c r="F5629" s="5">
        <v>217</v>
      </c>
      <c r="G5629" s="5">
        <v>107.9</v>
      </c>
      <c r="H5629" s="5">
        <v>107.7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109.6</v>
      </c>
      <c r="D5630" s="5">
        <v>0.1</v>
      </c>
      <c r="E5630" s="5">
        <v>109.7</v>
      </c>
      <c r="F5630" s="5">
        <v>217</v>
      </c>
      <c r="G5630" s="5">
        <v>107.9</v>
      </c>
      <c r="H5630" s="5">
        <v>107.7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108.9</v>
      </c>
      <c r="D5631" s="5">
        <v>0.1</v>
      </c>
      <c r="E5631" s="5">
        <v>109.1</v>
      </c>
      <c r="F5631" s="5">
        <v>216.4</v>
      </c>
      <c r="G5631" s="5">
        <v>107.5</v>
      </c>
      <c r="H5631" s="5">
        <v>107.4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108.9</v>
      </c>
      <c r="D5632" s="5">
        <v>0.1</v>
      </c>
      <c r="E5632" s="5">
        <v>109.1</v>
      </c>
      <c r="F5632" s="5">
        <v>216.4</v>
      </c>
      <c r="G5632" s="5">
        <v>107.5</v>
      </c>
      <c r="H5632" s="5">
        <v>107.4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108.4</v>
      </c>
      <c r="D5633" s="5">
        <v>0.1</v>
      </c>
      <c r="E5633" s="5">
        <v>108.5</v>
      </c>
      <c r="F5633" s="5">
        <v>215.3</v>
      </c>
      <c r="G5633" s="5">
        <v>107.1</v>
      </c>
      <c r="H5633" s="5">
        <v>106.9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108.4</v>
      </c>
      <c r="D5634" s="5">
        <v>0.1</v>
      </c>
      <c r="E5634" s="5">
        <v>108.5</v>
      </c>
      <c r="F5634" s="5">
        <v>215.3</v>
      </c>
      <c r="G5634" s="5">
        <v>107.1</v>
      </c>
      <c r="H5634" s="5">
        <v>106.9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108.4</v>
      </c>
      <c r="D5635" s="5">
        <v>0.1</v>
      </c>
      <c r="E5635" s="5">
        <v>108.5</v>
      </c>
      <c r="F5635" s="5">
        <v>215.3</v>
      </c>
      <c r="G5635" s="5">
        <v>107.1</v>
      </c>
      <c r="H5635" s="5">
        <v>106.9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108.4</v>
      </c>
      <c r="D5636" s="5">
        <v>0.1</v>
      </c>
      <c r="E5636" s="5">
        <v>108.5</v>
      </c>
      <c r="F5636" s="5">
        <v>215.3</v>
      </c>
      <c r="G5636" s="5">
        <v>107.1</v>
      </c>
      <c r="H5636" s="5">
        <v>106.9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108.4</v>
      </c>
      <c r="D5637" s="5">
        <v>0.1</v>
      </c>
      <c r="E5637" s="5">
        <v>108.5</v>
      </c>
      <c r="F5637" s="5">
        <v>215.3</v>
      </c>
      <c r="G5637" s="5">
        <v>107.1</v>
      </c>
      <c r="H5637" s="5">
        <v>106.9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107.8</v>
      </c>
      <c r="D5638" s="5">
        <v>0.1</v>
      </c>
      <c r="E5638" s="5">
        <v>108</v>
      </c>
      <c r="F5638" s="5">
        <v>213.6</v>
      </c>
      <c r="G5638" s="5">
        <v>107.1</v>
      </c>
      <c r="H5638" s="5">
        <v>106.9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107.8</v>
      </c>
      <c r="D5639" s="5">
        <v>0.1</v>
      </c>
      <c r="E5639" s="5">
        <v>108</v>
      </c>
      <c r="F5639" s="5">
        <v>213.6</v>
      </c>
      <c r="G5639" s="5">
        <v>106.2</v>
      </c>
      <c r="H5639" s="5">
        <v>106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107.8</v>
      </c>
      <c r="D5640" s="5">
        <v>0.1</v>
      </c>
      <c r="E5640" s="5">
        <v>108</v>
      </c>
      <c r="F5640" s="5">
        <v>213.6</v>
      </c>
      <c r="G5640" s="5">
        <v>106.2</v>
      </c>
      <c r="H5640" s="5">
        <v>106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106.8</v>
      </c>
      <c r="D5641" s="5">
        <v>0.1</v>
      </c>
      <c r="E5641" s="5">
        <v>106.9</v>
      </c>
      <c r="F5641" s="5">
        <v>211.8</v>
      </c>
      <c r="G5641" s="5">
        <v>105.2</v>
      </c>
      <c r="H5641" s="5">
        <v>105.1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106.8</v>
      </c>
      <c r="D5642" s="5">
        <v>0.1</v>
      </c>
      <c r="E5642" s="5">
        <v>106.9</v>
      </c>
      <c r="F5642" s="5">
        <v>211.8</v>
      </c>
      <c r="G5642" s="5">
        <v>105.2</v>
      </c>
      <c r="H5642" s="5">
        <v>105.1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105.9</v>
      </c>
      <c r="D5643" s="5">
        <v>0.1</v>
      </c>
      <c r="E5643" s="5">
        <v>106</v>
      </c>
      <c r="F5643" s="5">
        <v>210.2</v>
      </c>
      <c r="G5643" s="5">
        <v>104.4</v>
      </c>
      <c r="H5643" s="5">
        <v>104.3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105.9</v>
      </c>
      <c r="D5644" s="5">
        <v>0.1</v>
      </c>
      <c r="E5644" s="5">
        <v>106</v>
      </c>
      <c r="F5644" s="5">
        <v>210.2</v>
      </c>
      <c r="G5644" s="5">
        <v>104.4</v>
      </c>
      <c r="H5644" s="5">
        <v>104.3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106.2</v>
      </c>
      <c r="D5645" s="5">
        <v>0.1</v>
      </c>
      <c r="E5645" s="5">
        <v>106.4</v>
      </c>
      <c r="F5645" s="5">
        <v>211</v>
      </c>
      <c r="G5645" s="5">
        <v>104.9</v>
      </c>
      <c r="H5645" s="5">
        <v>104.7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106.2</v>
      </c>
      <c r="D5646" s="5">
        <v>0.1</v>
      </c>
      <c r="E5646" s="5">
        <v>106.4</v>
      </c>
      <c r="F5646" s="5">
        <v>211</v>
      </c>
      <c r="G5646" s="5">
        <v>104.9</v>
      </c>
      <c r="H5646" s="5">
        <v>104.7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106.2</v>
      </c>
      <c r="D5647" s="5">
        <v>0.1</v>
      </c>
      <c r="E5647" s="5">
        <v>106.4</v>
      </c>
      <c r="F5647" s="5">
        <v>211</v>
      </c>
      <c r="G5647" s="5">
        <v>104.9</v>
      </c>
      <c r="H5647" s="5">
        <v>104.7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106.2</v>
      </c>
      <c r="D5648" s="5">
        <v>0.1</v>
      </c>
      <c r="E5648" s="5">
        <v>106.4</v>
      </c>
      <c r="F5648" s="5">
        <v>211</v>
      </c>
      <c r="G5648" s="5">
        <v>104.9</v>
      </c>
      <c r="H5648" s="5">
        <v>104.7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105.9</v>
      </c>
      <c r="D5649" s="5">
        <v>0.1</v>
      </c>
      <c r="E5649" s="5">
        <v>106</v>
      </c>
      <c r="F5649" s="5">
        <v>210.7</v>
      </c>
      <c r="G5649" s="5">
        <v>104.7</v>
      </c>
      <c r="H5649" s="5">
        <v>104.6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105.9</v>
      </c>
      <c r="D5650" s="5">
        <v>0.1</v>
      </c>
      <c r="E5650" s="5">
        <v>106</v>
      </c>
      <c r="F5650" s="5">
        <v>210.7</v>
      </c>
      <c r="G5650" s="5">
        <v>104.7</v>
      </c>
      <c r="H5650" s="5">
        <v>104.6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104.8</v>
      </c>
      <c r="D5651" s="5">
        <v>0.1</v>
      </c>
      <c r="E5651" s="5">
        <v>105</v>
      </c>
      <c r="F5651" s="5">
        <v>209.5</v>
      </c>
      <c r="G5651" s="5">
        <v>104.1</v>
      </c>
      <c r="H5651" s="5">
        <v>103.9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104.8</v>
      </c>
      <c r="D5652" s="5">
        <v>0.1</v>
      </c>
      <c r="E5652" s="5">
        <v>105</v>
      </c>
      <c r="F5652" s="5">
        <v>209.5</v>
      </c>
      <c r="G5652" s="5">
        <v>104.1</v>
      </c>
      <c r="H5652" s="5">
        <v>103.9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106.3</v>
      </c>
      <c r="D5653" s="5">
        <v>0.1</v>
      </c>
      <c r="E5653" s="5">
        <v>106.5</v>
      </c>
      <c r="F5653" s="5">
        <v>212.3</v>
      </c>
      <c r="G5653" s="5">
        <v>105.5</v>
      </c>
      <c r="H5653" s="5">
        <v>105.3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106.3</v>
      </c>
      <c r="D5654" s="5">
        <v>0.1</v>
      </c>
      <c r="E5654" s="5">
        <v>106.5</v>
      </c>
      <c r="F5654" s="5">
        <v>212.3</v>
      </c>
      <c r="G5654" s="5">
        <v>105.5</v>
      </c>
      <c r="H5654" s="5">
        <v>105.3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105.6</v>
      </c>
      <c r="D5655" s="5">
        <v>0.1</v>
      </c>
      <c r="E5655" s="5">
        <v>105.7</v>
      </c>
      <c r="F5655" s="5">
        <v>210</v>
      </c>
      <c r="G5655" s="5">
        <v>104.3</v>
      </c>
      <c r="H5655" s="5">
        <v>104.2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105.6</v>
      </c>
      <c r="D5656" s="5">
        <v>0.1</v>
      </c>
      <c r="E5656" s="5">
        <v>105.7</v>
      </c>
      <c r="F5656" s="5">
        <v>210</v>
      </c>
      <c r="G5656" s="5">
        <v>104.3</v>
      </c>
      <c r="H5656" s="5">
        <v>104.2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105.6</v>
      </c>
      <c r="D5657" s="5">
        <v>0.1</v>
      </c>
      <c r="E5657" s="5">
        <v>105.7</v>
      </c>
      <c r="F5657" s="5">
        <v>210</v>
      </c>
      <c r="G5657" s="5">
        <v>104.3</v>
      </c>
      <c r="H5657" s="5">
        <v>104.2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105.6</v>
      </c>
      <c r="D5658" s="5">
        <v>0.1</v>
      </c>
      <c r="E5658" s="5">
        <v>105.7</v>
      </c>
      <c r="F5658" s="5">
        <v>210</v>
      </c>
      <c r="G5658" s="5">
        <v>104.3</v>
      </c>
      <c r="H5658" s="5">
        <v>104.2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105.8</v>
      </c>
      <c r="D5659" s="5">
        <v>0.1</v>
      </c>
      <c r="E5659" s="5">
        <v>105.9</v>
      </c>
      <c r="F5659" s="5">
        <v>210.9</v>
      </c>
      <c r="G5659" s="5">
        <v>104.9</v>
      </c>
      <c r="H5659" s="5">
        <v>104.8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105.8</v>
      </c>
      <c r="D5660" s="5">
        <v>0.1</v>
      </c>
      <c r="E5660" s="5">
        <v>105.9</v>
      </c>
      <c r="F5660" s="5">
        <v>210.9</v>
      </c>
      <c r="G5660" s="5">
        <v>104.9</v>
      </c>
      <c r="H5660" s="5">
        <v>104.8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106</v>
      </c>
      <c r="D5661" s="5">
        <v>0.1</v>
      </c>
      <c r="E5661" s="5">
        <v>106.2</v>
      </c>
      <c r="F5661" s="5">
        <v>210.7</v>
      </c>
      <c r="G5661" s="5">
        <v>104.8</v>
      </c>
      <c r="H5661" s="5">
        <v>104.7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106</v>
      </c>
      <c r="D5662" s="5">
        <v>0.1</v>
      </c>
      <c r="E5662" s="5">
        <v>106.2</v>
      </c>
      <c r="F5662" s="5">
        <v>210.7</v>
      </c>
      <c r="G5662" s="5">
        <v>104.8</v>
      </c>
      <c r="H5662" s="5">
        <v>104.7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105.7</v>
      </c>
      <c r="D5663" s="5">
        <v>0.1</v>
      </c>
      <c r="E5663" s="5">
        <v>105.8</v>
      </c>
      <c r="F5663" s="5">
        <v>209.3</v>
      </c>
      <c r="G5663" s="5">
        <v>104</v>
      </c>
      <c r="H5663" s="5">
        <v>103.8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105.7</v>
      </c>
      <c r="D5664" s="5">
        <v>0.1</v>
      </c>
      <c r="E5664" s="5">
        <v>105.8</v>
      </c>
      <c r="F5664" s="5">
        <v>209.3</v>
      </c>
      <c r="G5664" s="5">
        <v>104</v>
      </c>
      <c r="H5664" s="5">
        <v>103.8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105.7</v>
      </c>
      <c r="D5665" s="5">
        <v>0.1</v>
      </c>
      <c r="E5665" s="5">
        <v>105.8</v>
      </c>
      <c r="F5665" s="5">
        <v>209.3</v>
      </c>
      <c r="G5665" s="5">
        <v>104</v>
      </c>
      <c r="H5665" s="5">
        <v>103.8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105.7</v>
      </c>
      <c r="D5666" s="5">
        <v>0.1</v>
      </c>
      <c r="E5666" s="5">
        <v>105.8</v>
      </c>
      <c r="F5666" s="5">
        <v>209.3</v>
      </c>
      <c r="G5666" s="5">
        <v>104</v>
      </c>
      <c r="H5666" s="5">
        <v>103.8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105.7</v>
      </c>
      <c r="D5667" s="5">
        <v>0.1</v>
      </c>
      <c r="E5667" s="5">
        <v>105.8</v>
      </c>
      <c r="F5667" s="5">
        <v>209.3</v>
      </c>
      <c r="G5667" s="5">
        <v>104</v>
      </c>
      <c r="H5667" s="5">
        <v>103.8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105.7</v>
      </c>
      <c r="D5668" s="5">
        <v>0.1</v>
      </c>
      <c r="E5668" s="5">
        <v>105.8</v>
      </c>
      <c r="F5668" s="5">
        <v>209.3</v>
      </c>
      <c r="G5668" s="5">
        <v>104</v>
      </c>
      <c r="H5668" s="5">
        <v>103.8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105.7</v>
      </c>
      <c r="D5669" s="5">
        <v>0.1</v>
      </c>
      <c r="E5669" s="5">
        <v>105.8</v>
      </c>
      <c r="F5669" s="5">
        <v>209.3</v>
      </c>
      <c r="G5669" s="5">
        <v>104</v>
      </c>
      <c r="H5669" s="5">
        <v>103.8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105.7</v>
      </c>
      <c r="D5670" s="5">
        <v>0.1</v>
      </c>
      <c r="E5670" s="5">
        <v>105.8</v>
      </c>
      <c r="F5670" s="5">
        <v>209.3</v>
      </c>
      <c r="G5670" s="5">
        <v>104</v>
      </c>
      <c r="H5670" s="5">
        <v>103.8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105.7</v>
      </c>
      <c r="D5671" s="5">
        <v>0.1</v>
      </c>
      <c r="E5671" s="5">
        <v>105.8</v>
      </c>
      <c r="F5671" s="5">
        <v>209.3</v>
      </c>
      <c r="G5671" s="5">
        <v>104</v>
      </c>
      <c r="H5671" s="5">
        <v>103.8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105.7</v>
      </c>
      <c r="D5672" s="5">
        <v>0.1</v>
      </c>
      <c r="E5672" s="5">
        <v>105.8</v>
      </c>
      <c r="F5672" s="5">
        <v>209.3</v>
      </c>
      <c r="G5672" s="5">
        <v>104</v>
      </c>
      <c r="H5672" s="5">
        <v>103.8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105.7</v>
      </c>
      <c r="D5673" s="5">
        <v>0.1</v>
      </c>
      <c r="E5673" s="5">
        <v>105.8</v>
      </c>
      <c r="F5673" s="5">
        <v>209.3</v>
      </c>
      <c r="G5673" s="5">
        <v>104</v>
      </c>
      <c r="H5673" s="5">
        <v>103.8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105.7</v>
      </c>
      <c r="D5674" s="5">
        <v>0.1</v>
      </c>
      <c r="E5674" s="5">
        <v>105.8</v>
      </c>
      <c r="F5674" s="5">
        <v>209.3</v>
      </c>
      <c r="G5674" s="5">
        <v>104</v>
      </c>
      <c r="H5674" s="5">
        <v>103.8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105.7</v>
      </c>
      <c r="D5675" s="5">
        <v>0.1</v>
      </c>
      <c r="E5675" s="5">
        <v>105.8</v>
      </c>
      <c r="F5675" s="5">
        <v>209.3</v>
      </c>
      <c r="G5675" s="5">
        <v>104</v>
      </c>
      <c r="H5675" s="5">
        <v>103.8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105.7</v>
      </c>
      <c r="D5676" s="5">
        <v>0.1</v>
      </c>
      <c r="E5676" s="5">
        <v>105.8</v>
      </c>
      <c r="F5676" s="5">
        <v>209.3</v>
      </c>
      <c r="G5676" s="5">
        <v>104</v>
      </c>
      <c r="H5676" s="5">
        <v>103.8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105.7</v>
      </c>
      <c r="D5677" s="5">
        <v>0.1</v>
      </c>
      <c r="E5677" s="5">
        <v>105.8</v>
      </c>
      <c r="F5677" s="5">
        <v>209.3</v>
      </c>
      <c r="G5677" s="5">
        <v>104</v>
      </c>
      <c r="H5677" s="5">
        <v>103.8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105.7</v>
      </c>
      <c r="D5678" s="5">
        <v>0.1</v>
      </c>
      <c r="E5678" s="5">
        <v>105.8</v>
      </c>
      <c r="F5678" s="5">
        <v>209.3</v>
      </c>
      <c r="G5678" s="5">
        <v>104</v>
      </c>
      <c r="H5678" s="5">
        <v>103.8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105.7</v>
      </c>
      <c r="D5679" s="5">
        <v>0.1</v>
      </c>
      <c r="E5679" s="5">
        <v>105.8</v>
      </c>
      <c r="F5679" s="5">
        <v>209.3</v>
      </c>
      <c r="G5679" s="5">
        <v>104</v>
      </c>
      <c r="H5679" s="5">
        <v>103.8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105.7</v>
      </c>
      <c r="D5680" s="5">
        <v>0.1</v>
      </c>
      <c r="E5680" s="5">
        <v>105.8</v>
      </c>
      <c r="F5680" s="5">
        <v>209.3</v>
      </c>
      <c r="G5680" s="5">
        <v>104</v>
      </c>
      <c r="H5680" s="5">
        <v>103.8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105.7</v>
      </c>
      <c r="D5681" s="5">
        <v>0.1</v>
      </c>
      <c r="E5681" s="5">
        <v>105.8</v>
      </c>
      <c r="F5681" s="5">
        <v>209.3</v>
      </c>
      <c r="G5681" s="5">
        <v>104</v>
      </c>
      <c r="H5681" s="5">
        <v>103.8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105.7</v>
      </c>
      <c r="D5682" s="5">
        <v>0.1</v>
      </c>
      <c r="E5682" s="5">
        <v>105.8</v>
      </c>
      <c r="F5682" s="5">
        <v>209.3</v>
      </c>
      <c r="G5682" s="5">
        <v>104</v>
      </c>
      <c r="H5682" s="5">
        <v>103.8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105.7</v>
      </c>
      <c r="D5683" s="5">
        <v>0.1</v>
      </c>
      <c r="E5683" s="5">
        <v>105.8</v>
      </c>
      <c r="F5683" s="5">
        <v>209.3</v>
      </c>
      <c r="G5683" s="5">
        <v>104</v>
      </c>
      <c r="H5683" s="5">
        <v>103.8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105.7</v>
      </c>
      <c r="D5684" s="5">
        <v>0.1</v>
      </c>
      <c r="E5684" s="5">
        <v>105.8</v>
      </c>
      <c r="F5684" s="5">
        <v>209.3</v>
      </c>
      <c r="G5684" s="5">
        <v>104</v>
      </c>
      <c r="H5684" s="5">
        <v>103.8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105.7</v>
      </c>
      <c r="D5685" s="5">
        <v>0.1</v>
      </c>
      <c r="E5685" s="5">
        <v>105.8</v>
      </c>
      <c r="F5685" s="5">
        <v>209.3</v>
      </c>
      <c r="G5685" s="5">
        <v>104</v>
      </c>
      <c r="H5685" s="5">
        <v>103.8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105.7</v>
      </c>
      <c r="D5686" s="5">
        <v>0.1</v>
      </c>
      <c r="E5686" s="5">
        <v>105.8</v>
      </c>
      <c r="F5686" s="5">
        <v>209.3</v>
      </c>
      <c r="G5686" s="5">
        <v>104</v>
      </c>
      <c r="H5686" s="5">
        <v>103.8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107</v>
      </c>
      <c r="D5688" s="5">
        <v>0.1</v>
      </c>
      <c r="E5688" s="5">
        <v>107.2</v>
      </c>
      <c r="F5688" s="5">
        <v>212.4</v>
      </c>
      <c r="G5688" s="5">
        <v>105.6</v>
      </c>
      <c r="H5688" s="5">
        <v>105.5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107</v>
      </c>
      <c r="D5689" s="5">
        <v>0.1</v>
      </c>
      <c r="E5689" s="5">
        <v>107.2</v>
      </c>
      <c r="F5689" s="5">
        <v>212.4</v>
      </c>
      <c r="G5689" s="5">
        <v>105.6</v>
      </c>
      <c r="H5689" s="5">
        <v>105.5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106.7</v>
      </c>
      <c r="D5690" s="5">
        <v>0.1</v>
      </c>
      <c r="E5690" s="5">
        <v>106.9</v>
      </c>
      <c r="F5690" s="5">
        <v>212.7</v>
      </c>
      <c r="G5690" s="5">
        <v>105.7</v>
      </c>
      <c r="H5690" s="5">
        <v>105.5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106.7</v>
      </c>
      <c r="D5691" s="5">
        <v>0.1</v>
      </c>
      <c r="E5691" s="5">
        <v>106.9</v>
      </c>
      <c r="F5691" s="5">
        <v>212.7</v>
      </c>
      <c r="G5691" s="5">
        <v>105.7</v>
      </c>
      <c r="H5691" s="5">
        <v>105.5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107</v>
      </c>
      <c r="D5692" s="5">
        <v>0.1</v>
      </c>
      <c r="E5692" s="5">
        <v>107.2</v>
      </c>
      <c r="F5692" s="5">
        <v>213.2</v>
      </c>
      <c r="G5692" s="5">
        <v>105.9</v>
      </c>
      <c r="H5692" s="5">
        <v>105.8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107</v>
      </c>
      <c r="D5693" s="5">
        <v>0.1</v>
      </c>
      <c r="E5693" s="5">
        <v>107.2</v>
      </c>
      <c r="F5693" s="5">
        <v>213.2</v>
      </c>
      <c r="G5693" s="5">
        <v>105.9</v>
      </c>
      <c r="H5693" s="5">
        <v>105.8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107</v>
      </c>
      <c r="D5694" s="5">
        <v>0.1</v>
      </c>
      <c r="E5694" s="5">
        <v>107.2</v>
      </c>
      <c r="F5694" s="5">
        <v>214</v>
      </c>
      <c r="G5694" s="5">
        <v>106.3</v>
      </c>
      <c r="H5694" s="5">
        <v>106.2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107.2</v>
      </c>
      <c r="D5695" s="5">
        <v>0.1</v>
      </c>
      <c r="E5695" s="5">
        <v>107.3</v>
      </c>
      <c r="F5695" s="5">
        <v>214</v>
      </c>
      <c r="G5695" s="5">
        <v>106.3</v>
      </c>
      <c r="H5695" s="5">
        <v>106.2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107.2</v>
      </c>
      <c r="D5696" s="5">
        <v>0.1</v>
      </c>
      <c r="E5696" s="5">
        <v>107.3</v>
      </c>
      <c r="F5696" s="5">
        <v>214</v>
      </c>
      <c r="G5696" s="5">
        <v>106.3</v>
      </c>
      <c r="H5696" s="5">
        <v>106.2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107.2</v>
      </c>
      <c r="D5697" s="5">
        <v>0.1</v>
      </c>
      <c r="E5697" s="5">
        <v>107.3</v>
      </c>
      <c r="F5697" s="5">
        <v>214</v>
      </c>
      <c r="G5697" s="5">
        <v>106.3</v>
      </c>
      <c r="H5697" s="5">
        <v>106.2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107.3</v>
      </c>
      <c r="D5698" s="5">
        <v>0.1</v>
      </c>
      <c r="E5698" s="5">
        <v>107.5</v>
      </c>
      <c r="F5698" s="5">
        <v>214</v>
      </c>
      <c r="G5698" s="5">
        <v>106.3</v>
      </c>
      <c r="H5698" s="5">
        <v>106.2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107.3</v>
      </c>
      <c r="D5699" s="5">
        <v>0.1</v>
      </c>
      <c r="E5699" s="5">
        <v>107.5</v>
      </c>
      <c r="F5699" s="5">
        <v>212.7</v>
      </c>
      <c r="G5699" s="5">
        <v>105.7</v>
      </c>
      <c r="H5699" s="5">
        <v>105.5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107.5</v>
      </c>
      <c r="D5700" s="5">
        <v>0.1</v>
      </c>
      <c r="E5700" s="5">
        <v>107.5</v>
      </c>
      <c r="F5700" s="5">
        <v>212.7</v>
      </c>
      <c r="G5700" s="5">
        <v>105.7</v>
      </c>
      <c r="H5700" s="5">
        <v>105.5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107.5</v>
      </c>
      <c r="D5701" s="5">
        <v>0.1</v>
      </c>
      <c r="E5701" s="5">
        <v>107.7</v>
      </c>
      <c r="F5701" s="5">
        <v>213.5</v>
      </c>
      <c r="G5701" s="5">
        <v>106.1</v>
      </c>
      <c r="H5701" s="5">
        <v>106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107.1</v>
      </c>
      <c r="D5702" s="5">
        <v>0.1</v>
      </c>
      <c r="E5702" s="5">
        <v>107.7</v>
      </c>
      <c r="F5702" s="5">
        <v>213.5</v>
      </c>
      <c r="G5702" s="5">
        <v>106.1</v>
      </c>
      <c r="H5702" s="5">
        <v>106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107.1</v>
      </c>
      <c r="D5703" s="5">
        <v>0.1</v>
      </c>
      <c r="E5703" s="5">
        <v>107.2</v>
      </c>
      <c r="F5703" s="5">
        <v>212.9</v>
      </c>
      <c r="G5703" s="5">
        <v>105.8</v>
      </c>
      <c r="H5703" s="5">
        <v>105.7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107.1</v>
      </c>
      <c r="D5704" s="5">
        <v>0.1</v>
      </c>
      <c r="E5704" s="5">
        <v>107.2</v>
      </c>
      <c r="F5704" s="5">
        <v>212.9</v>
      </c>
      <c r="G5704" s="5">
        <v>105.8</v>
      </c>
      <c r="H5704" s="5">
        <v>105.7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108</v>
      </c>
      <c r="D5705" s="5">
        <v>0.1</v>
      </c>
      <c r="E5705" s="5">
        <v>108.1</v>
      </c>
      <c r="F5705" s="5">
        <v>213.8</v>
      </c>
      <c r="G5705" s="5">
        <v>106.2</v>
      </c>
      <c r="H5705" s="5">
        <v>106.1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108</v>
      </c>
      <c r="D5706" s="5">
        <v>0.1</v>
      </c>
      <c r="E5706" s="5">
        <v>108.1</v>
      </c>
      <c r="F5706" s="5">
        <v>213.8</v>
      </c>
      <c r="G5706" s="5">
        <v>106.2</v>
      </c>
      <c r="H5706" s="5">
        <v>106.1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108</v>
      </c>
      <c r="D5707" s="5">
        <v>0.1</v>
      </c>
      <c r="E5707" s="5">
        <v>108.1</v>
      </c>
      <c r="F5707" s="5">
        <v>213.8</v>
      </c>
      <c r="G5707" s="5">
        <v>106.2</v>
      </c>
      <c r="H5707" s="5">
        <v>106.1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108</v>
      </c>
      <c r="D5708" s="5">
        <v>0.1</v>
      </c>
      <c r="E5708" s="5">
        <v>108.1</v>
      </c>
      <c r="F5708" s="5">
        <v>213.8</v>
      </c>
      <c r="G5708" s="5">
        <v>106.2</v>
      </c>
      <c r="H5708" s="5">
        <v>106.1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106.9</v>
      </c>
      <c r="D5709" s="5">
        <v>0.1</v>
      </c>
      <c r="E5709" s="5">
        <v>107.1</v>
      </c>
      <c r="F5709" s="5">
        <v>213</v>
      </c>
      <c r="G5709" s="5">
        <v>105.8</v>
      </c>
      <c r="H5709" s="5">
        <v>105.7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106.9</v>
      </c>
      <c r="D5710" s="5">
        <v>0.1</v>
      </c>
      <c r="E5710" s="5">
        <v>107.1</v>
      </c>
      <c r="F5710" s="5">
        <v>213</v>
      </c>
      <c r="G5710" s="5">
        <v>105.8</v>
      </c>
      <c r="H5710" s="5">
        <v>105.7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107.6</v>
      </c>
      <c r="D5711" s="5">
        <v>0.1</v>
      </c>
      <c r="E5711" s="5">
        <v>107.8</v>
      </c>
      <c r="F5711" s="5">
        <v>214.2</v>
      </c>
      <c r="G5711" s="5">
        <v>106.5</v>
      </c>
      <c r="H5711" s="5">
        <v>106.3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107.6</v>
      </c>
      <c r="D5712" s="5">
        <v>0.1</v>
      </c>
      <c r="E5712" s="5">
        <v>107.8</v>
      </c>
      <c r="F5712" s="5">
        <v>214.2</v>
      </c>
      <c r="G5712" s="5">
        <v>106.5</v>
      </c>
      <c r="H5712" s="5">
        <v>106.3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107.4</v>
      </c>
      <c r="D5713" s="5">
        <v>0.1</v>
      </c>
      <c r="E5713" s="5">
        <v>107.5</v>
      </c>
      <c r="F5713" s="5">
        <v>213.9</v>
      </c>
      <c r="G5713" s="5">
        <v>106.3</v>
      </c>
      <c r="H5713" s="5">
        <v>106.2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107.4</v>
      </c>
      <c r="D5714" s="5">
        <v>0.1</v>
      </c>
      <c r="E5714" s="5">
        <v>107.5</v>
      </c>
      <c r="F5714" s="5">
        <v>213.9</v>
      </c>
      <c r="G5714" s="5">
        <v>106.3</v>
      </c>
      <c r="H5714" s="5">
        <v>106.2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106.7</v>
      </c>
      <c r="D5715" s="5">
        <v>0.1</v>
      </c>
      <c r="E5715" s="5">
        <v>106.8</v>
      </c>
      <c r="F5715" s="5">
        <v>213</v>
      </c>
      <c r="G5715" s="5">
        <v>105.8</v>
      </c>
      <c r="H5715" s="5">
        <v>105.6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106.7</v>
      </c>
      <c r="D5716" s="5">
        <v>0.1</v>
      </c>
      <c r="E5716" s="5">
        <v>106.8</v>
      </c>
      <c r="F5716" s="5">
        <v>213</v>
      </c>
      <c r="G5716" s="5">
        <v>105.8</v>
      </c>
      <c r="H5716" s="5">
        <v>105.6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106.7</v>
      </c>
      <c r="D5717" s="5">
        <v>0.1</v>
      </c>
      <c r="E5717" s="5">
        <v>106.8</v>
      </c>
      <c r="F5717" s="5">
        <v>213</v>
      </c>
      <c r="G5717" s="5">
        <v>105.8</v>
      </c>
      <c r="H5717" s="5">
        <v>105.6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106.7</v>
      </c>
      <c r="D5718" s="5">
        <v>0.1</v>
      </c>
      <c r="E5718" s="5">
        <v>106.8</v>
      </c>
      <c r="F5718" s="5">
        <v>213</v>
      </c>
      <c r="G5718" s="5">
        <v>105.8</v>
      </c>
      <c r="H5718" s="5">
        <v>105.6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106.7</v>
      </c>
      <c r="D5719" s="5">
        <v>0.1</v>
      </c>
      <c r="E5719" s="5">
        <v>106.8</v>
      </c>
      <c r="F5719" s="5">
        <v>213</v>
      </c>
      <c r="G5719" s="5">
        <v>105.8</v>
      </c>
      <c r="H5719" s="5">
        <v>105.6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106.7</v>
      </c>
      <c r="D5720" s="5">
        <v>0.1</v>
      </c>
      <c r="E5720" s="5">
        <v>107</v>
      </c>
      <c r="F5720" s="5">
        <v>212.3</v>
      </c>
      <c r="G5720" s="5">
        <v>105.5</v>
      </c>
      <c r="H5720" s="5">
        <v>105.4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106.9</v>
      </c>
      <c r="D5721" s="5">
        <v>0.1</v>
      </c>
      <c r="E5721" s="5">
        <v>107</v>
      </c>
      <c r="F5721" s="5">
        <v>212.3</v>
      </c>
      <c r="G5721" s="5">
        <v>105.5</v>
      </c>
      <c r="H5721" s="5">
        <v>105.4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106.9</v>
      </c>
      <c r="D5722" s="5">
        <v>0.1</v>
      </c>
      <c r="E5722" s="5">
        <v>107.4</v>
      </c>
      <c r="F5722" s="5">
        <v>212.7</v>
      </c>
      <c r="G5722" s="5">
        <v>105.7</v>
      </c>
      <c r="H5722" s="5">
        <v>105.5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107.2</v>
      </c>
      <c r="D5723" s="5">
        <v>0.1</v>
      </c>
      <c r="E5723" s="5">
        <v>107.4</v>
      </c>
      <c r="F5723" s="5">
        <v>212.7</v>
      </c>
      <c r="G5723" s="5">
        <v>105.7</v>
      </c>
      <c r="H5723" s="5">
        <v>105.5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107.2</v>
      </c>
      <c r="D5724" s="5">
        <v>0.1</v>
      </c>
      <c r="E5724" s="5">
        <v>107.4</v>
      </c>
      <c r="F5724" s="5">
        <v>212.7</v>
      </c>
      <c r="G5724" s="5">
        <v>105.7</v>
      </c>
      <c r="H5724" s="5">
        <v>105.6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106.9</v>
      </c>
      <c r="D5725" s="5">
        <v>0.1</v>
      </c>
      <c r="E5725" s="5">
        <v>106.9</v>
      </c>
      <c r="F5725" s="5">
        <v>212.7</v>
      </c>
      <c r="G5725" s="5">
        <v>105.7</v>
      </c>
      <c r="H5725" s="5">
        <v>105.6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106.9</v>
      </c>
      <c r="D5726" s="5">
        <v>0.1</v>
      </c>
      <c r="E5726" s="5">
        <v>106.9</v>
      </c>
      <c r="F5726" s="5">
        <v>212.7</v>
      </c>
      <c r="G5726" s="5">
        <v>105.7</v>
      </c>
      <c r="H5726" s="5">
        <v>105.6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106.9</v>
      </c>
      <c r="D5727" s="5">
        <v>0.1</v>
      </c>
      <c r="E5727" s="5">
        <v>106.9</v>
      </c>
      <c r="F5727" s="5">
        <v>212.7</v>
      </c>
      <c r="G5727" s="5">
        <v>105.7</v>
      </c>
      <c r="H5727" s="5">
        <v>105.6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107.5</v>
      </c>
      <c r="D5728" s="5">
        <v>0.1</v>
      </c>
      <c r="E5728" s="5">
        <v>107.5</v>
      </c>
      <c r="F5728" s="5">
        <v>213.1</v>
      </c>
      <c r="G5728" s="5">
        <v>105.9</v>
      </c>
      <c r="H5728" s="5">
        <v>105.8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107.5</v>
      </c>
      <c r="D5729" s="5">
        <v>0.1</v>
      </c>
      <c r="E5729" s="5">
        <v>107.5</v>
      </c>
      <c r="F5729" s="5">
        <v>213.1</v>
      </c>
      <c r="G5729" s="5">
        <v>105.9</v>
      </c>
      <c r="H5729" s="5">
        <v>105.8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106.9</v>
      </c>
      <c r="D5730" s="5">
        <v>0.1</v>
      </c>
      <c r="E5730" s="5">
        <v>107</v>
      </c>
      <c r="F5730" s="5">
        <v>213.1</v>
      </c>
      <c r="G5730" s="5">
        <v>105.9</v>
      </c>
      <c r="H5730" s="5">
        <v>105.7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106.9</v>
      </c>
      <c r="D5731" s="5">
        <v>0.1</v>
      </c>
      <c r="E5731" s="5">
        <v>107</v>
      </c>
      <c r="F5731" s="5">
        <v>213.1</v>
      </c>
      <c r="G5731" s="5">
        <v>105.9</v>
      </c>
      <c r="H5731" s="5">
        <v>105.7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107</v>
      </c>
      <c r="D5732" s="5">
        <v>0.1</v>
      </c>
      <c r="E5732" s="5">
        <v>107.2</v>
      </c>
      <c r="F5732" s="5">
        <v>212.9</v>
      </c>
      <c r="G5732" s="5">
        <v>105.8</v>
      </c>
      <c r="H5732" s="5">
        <v>105.7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107</v>
      </c>
      <c r="D5733" s="5">
        <v>0.1</v>
      </c>
      <c r="E5733" s="5">
        <v>107.2</v>
      </c>
      <c r="F5733" s="5">
        <v>212.9</v>
      </c>
      <c r="G5733" s="5">
        <v>105.8</v>
      </c>
      <c r="H5733" s="5">
        <v>105.7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106.9</v>
      </c>
      <c r="D5734" s="5">
        <v>0.1</v>
      </c>
      <c r="E5734" s="5">
        <v>107.1</v>
      </c>
      <c r="F5734" s="5">
        <v>212.6</v>
      </c>
      <c r="G5734" s="5">
        <v>105.7</v>
      </c>
      <c r="H5734" s="5">
        <v>105.5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106.9</v>
      </c>
      <c r="D5735" s="5">
        <v>0.1</v>
      </c>
      <c r="E5735" s="5">
        <v>107.1</v>
      </c>
      <c r="F5735" s="5">
        <v>212.6</v>
      </c>
      <c r="G5735" s="5">
        <v>105.7</v>
      </c>
      <c r="H5735" s="5">
        <v>105.5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106.9</v>
      </c>
      <c r="D5736" s="5">
        <v>0.1</v>
      </c>
      <c r="E5736" s="5">
        <v>107.1</v>
      </c>
      <c r="F5736" s="5">
        <v>212.6</v>
      </c>
      <c r="G5736" s="5">
        <v>105.7</v>
      </c>
      <c r="H5736" s="5">
        <v>105.5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106.9</v>
      </c>
      <c r="D5737" s="5">
        <v>0.1</v>
      </c>
      <c r="E5737" s="5">
        <v>107.1</v>
      </c>
      <c r="F5737" s="5">
        <v>212.6</v>
      </c>
      <c r="G5737" s="5">
        <v>105.7</v>
      </c>
      <c r="H5737" s="5">
        <v>105.5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106.6</v>
      </c>
      <c r="D5738" s="5">
        <v>0.1</v>
      </c>
      <c r="E5738" s="5">
        <v>106.8</v>
      </c>
      <c r="F5738" s="5">
        <v>212</v>
      </c>
      <c r="G5738" s="5">
        <v>105.4</v>
      </c>
      <c r="H5738" s="5">
        <v>105.2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106.6</v>
      </c>
      <c r="D5739" s="5">
        <v>0.1</v>
      </c>
      <c r="E5739" s="5">
        <v>106.8</v>
      </c>
      <c r="F5739" s="5">
        <v>212</v>
      </c>
      <c r="G5739" s="5">
        <v>105.4</v>
      </c>
      <c r="H5739" s="5">
        <v>105.2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106.4</v>
      </c>
      <c r="D5740" s="5">
        <v>0.1</v>
      </c>
      <c r="E5740" s="5">
        <v>106.5</v>
      </c>
      <c r="F5740" s="5">
        <v>211.3</v>
      </c>
      <c r="G5740" s="5">
        <v>105</v>
      </c>
      <c r="H5740" s="5">
        <v>104.9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106.4</v>
      </c>
      <c r="D5741" s="5">
        <v>0.1</v>
      </c>
      <c r="E5741" s="5">
        <v>106.5</v>
      </c>
      <c r="F5741" s="5">
        <v>211.3</v>
      </c>
      <c r="G5741" s="5">
        <v>105</v>
      </c>
      <c r="H5741" s="5">
        <v>104.9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106.9</v>
      </c>
      <c r="D5742" s="5">
        <v>0.1</v>
      </c>
      <c r="E5742" s="5">
        <v>107</v>
      </c>
      <c r="F5742" s="5">
        <v>212</v>
      </c>
      <c r="G5742" s="5">
        <v>105</v>
      </c>
      <c r="H5742" s="5">
        <v>104.9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106.9</v>
      </c>
      <c r="D5743" s="5">
        <v>0.1</v>
      </c>
      <c r="E5743" s="5">
        <v>107</v>
      </c>
      <c r="F5743" s="5">
        <v>212</v>
      </c>
      <c r="G5743" s="5">
        <v>105.3</v>
      </c>
      <c r="H5743" s="5">
        <v>105.2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106.3</v>
      </c>
      <c r="D5744" s="5">
        <v>0.1</v>
      </c>
      <c r="E5744" s="5">
        <v>107</v>
      </c>
      <c r="F5744" s="5">
        <v>212</v>
      </c>
      <c r="G5744" s="5">
        <v>105.3</v>
      </c>
      <c r="H5744" s="5">
        <v>105.2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106.3</v>
      </c>
      <c r="D5745" s="5">
        <v>0.1</v>
      </c>
      <c r="E5745" s="5">
        <v>106.5</v>
      </c>
      <c r="F5745" s="5">
        <v>211.6</v>
      </c>
      <c r="G5745" s="5">
        <v>105.2</v>
      </c>
      <c r="H5745" s="5">
        <v>105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106.3</v>
      </c>
      <c r="D5746" s="5">
        <v>0.1</v>
      </c>
      <c r="E5746" s="5">
        <v>106.5</v>
      </c>
      <c r="F5746" s="5">
        <v>211.6</v>
      </c>
      <c r="G5746" s="5">
        <v>105.2</v>
      </c>
      <c r="H5746" s="5">
        <v>105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106.3</v>
      </c>
      <c r="D5747" s="5">
        <v>0.1</v>
      </c>
      <c r="E5747" s="5">
        <v>106.5</v>
      </c>
      <c r="F5747" s="5">
        <v>211.6</v>
      </c>
      <c r="G5747" s="5">
        <v>105.2</v>
      </c>
      <c r="H5747" s="5">
        <v>105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106.8</v>
      </c>
      <c r="D5748" s="5">
        <v>0.1</v>
      </c>
      <c r="E5748" s="5">
        <v>106.9</v>
      </c>
      <c r="F5748" s="5">
        <v>210.3</v>
      </c>
      <c r="G5748" s="5">
        <v>104.6</v>
      </c>
      <c r="H5748" s="5">
        <v>104.4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106.8</v>
      </c>
      <c r="D5749" s="5">
        <v>0.1</v>
      </c>
      <c r="E5749" s="5">
        <v>106.9</v>
      </c>
      <c r="F5749" s="5">
        <v>210.3</v>
      </c>
      <c r="G5749" s="5">
        <v>104.6</v>
      </c>
      <c r="H5749" s="5">
        <v>104.4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106.8</v>
      </c>
      <c r="D5750" s="5">
        <v>0.1</v>
      </c>
      <c r="E5750" s="5">
        <v>106.9</v>
      </c>
      <c r="F5750" s="5">
        <v>211.3</v>
      </c>
      <c r="G5750" s="5">
        <v>105</v>
      </c>
      <c r="H5750" s="5">
        <v>104.9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106.8</v>
      </c>
      <c r="D5751" s="5">
        <v>0.1</v>
      </c>
      <c r="E5751" s="5">
        <v>106.9</v>
      </c>
      <c r="F5751" s="5">
        <v>211.3</v>
      </c>
      <c r="G5751" s="5">
        <v>105</v>
      </c>
      <c r="H5751" s="5">
        <v>104.9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106.8</v>
      </c>
      <c r="D5752" s="5">
        <v>0.1</v>
      </c>
      <c r="E5752" s="5">
        <v>107.2</v>
      </c>
      <c r="F5752" s="5">
        <v>212</v>
      </c>
      <c r="G5752" s="5">
        <v>105.4</v>
      </c>
      <c r="H5752" s="5">
        <v>105.3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107</v>
      </c>
      <c r="D5753" s="5">
        <v>0.1</v>
      </c>
      <c r="E5753" s="5">
        <v>107.2</v>
      </c>
      <c r="F5753" s="5">
        <v>212</v>
      </c>
      <c r="G5753" s="5">
        <v>105.4</v>
      </c>
      <c r="H5753" s="5">
        <v>105.3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107</v>
      </c>
      <c r="D5754" s="5">
        <v>0.1</v>
      </c>
      <c r="E5754" s="5">
        <v>107.2</v>
      </c>
      <c r="F5754" s="5">
        <v>211.9</v>
      </c>
      <c r="G5754" s="5">
        <v>105.3</v>
      </c>
      <c r="H5754" s="5">
        <v>105.2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106.8</v>
      </c>
      <c r="D5755" s="5">
        <v>0.1</v>
      </c>
      <c r="E5755" s="5">
        <v>106.9</v>
      </c>
      <c r="F5755" s="5">
        <v>211.9</v>
      </c>
      <c r="G5755" s="5">
        <v>105.3</v>
      </c>
      <c r="H5755" s="5">
        <v>105.2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106.8</v>
      </c>
      <c r="D5756" s="5">
        <v>0.1</v>
      </c>
      <c r="E5756" s="5">
        <v>106.9</v>
      </c>
      <c r="F5756" s="5">
        <v>211.9</v>
      </c>
      <c r="G5756" s="5">
        <v>105.3</v>
      </c>
      <c r="H5756" s="5">
        <v>105.2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106.8</v>
      </c>
      <c r="D5757" s="5">
        <v>0.1</v>
      </c>
      <c r="E5757" s="5">
        <v>106.9</v>
      </c>
      <c r="F5757" s="5">
        <v>211.9</v>
      </c>
      <c r="G5757" s="5">
        <v>105.3</v>
      </c>
      <c r="H5757" s="5">
        <v>105.2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106.5</v>
      </c>
      <c r="D5758" s="5">
        <v>0.1</v>
      </c>
      <c r="E5758" s="5">
        <v>106.6</v>
      </c>
      <c r="F5758" s="5">
        <v>212.3</v>
      </c>
      <c r="G5758" s="5">
        <v>105.5</v>
      </c>
      <c r="H5758" s="5">
        <v>105.3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106.5</v>
      </c>
      <c r="D5759" s="5">
        <v>0.1</v>
      </c>
      <c r="E5759" s="5">
        <v>106.6</v>
      </c>
      <c r="F5759" s="5">
        <v>212.3</v>
      </c>
      <c r="G5759" s="5">
        <v>105.5</v>
      </c>
      <c r="H5759" s="5">
        <v>105.3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106.8</v>
      </c>
      <c r="D5760" s="5">
        <v>0.1</v>
      </c>
      <c r="E5760" s="5">
        <v>106.9</v>
      </c>
      <c r="F5760" s="5">
        <v>212.9</v>
      </c>
      <c r="G5760" s="5">
        <v>105.8</v>
      </c>
      <c r="H5760" s="5">
        <v>105.6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106.8</v>
      </c>
      <c r="D5761" s="5">
        <v>0.1</v>
      </c>
      <c r="E5761" s="5">
        <v>106.9</v>
      </c>
      <c r="F5761" s="5">
        <v>212.9</v>
      </c>
      <c r="G5761" s="5">
        <v>105.8</v>
      </c>
      <c r="H5761" s="5">
        <v>105.6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106.1</v>
      </c>
      <c r="D5762" s="5">
        <v>0.1</v>
      </c>
      <c r="E5762" s="5">
        <v>106.2</v>
      </c>
      <c r="F5762" s="5">
        <v>211.1</v>
      </c>
      <c r="G5762" s="5">
        <v>104.9</v>
      </c>
      <c r="H5762" s="5">
        <v>104.7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106.1</v>
      </c>
      <c r="D5763" s="5">
        <v>0.1</v>
      </c>
      <c r="E5763" s="5">
        <v>106.2</v>
      </c>
      <c r="F5763" s="5">
        <v>211.1</v>
      </c>
      <c r="G5763" s="5">
        <v>104.9</v>
      </c>
      <c r="H5763" s="5">
        <v>104.7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106.6</v>
      </c>
      <c r="D5764" s="5">
        <v>0.1</v>
      </c>
      <c r="E5764" s="5">
        <v>106.7</v>
      </c>
      <c r="F5764" s="5">
        <v>212</v>
      </c>
      <c r="G5764" s="5">
        <v>105.4</v>
      </c>
      <c r="H5764" s="5">
        <v>105.2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106.6</v>
      </c>
      <c r="D5765" s="5">
        <v>0.1</v>
      </c>
      <c r="E5765" s="5">
        <v>106.7</v>
      </c>
      <c r="F5765" s="5">
        <v>212</v>
      </c>
      <c r="G5765" s="5">
        <v>105.4</v>
      </c>
      <c r="H5765" s="5">
        <v>105.2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106.6</v>
      </c>
      <c r="D5766" s="5">
        <v>0.1</v>
      </c>
      <c r="E5766" s="5">
        <v>106.7</v>
      </c>
      <c r="F5766" s="5">
        <v>212</v>
      </c>
      <c r="G5766" s="5">
        <v>105.4</v>
      </c>
      <c r="H5766" s="5">
        <v>105.2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106.6</v>
      </c>
      <c r="D5767" s="5">
        <v>0.1</v>
      </c>
      <c r="E5767" s="5">
        <v>106.7</v>
      </c>
      <c r="F5767" s="5">
        <v>212</v>
      </c>
      <c r="G5767" s="5">
        <v>105.4</v>
      </c>
      <c r="H5767" s="5">
        <v>105.2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106.9</v>
      </c>
      <c r="D5768" s="5">
        <v>0.1</v>
      </c>
      <c r="E5768" s="5">
        <v>107.1</v>
      </c>
      <c r="F5768" s="5">
        <v>212.6</v>
      </c>
      <c r="G5768" s="5">
        <v>105.6</v>
      </c>
      <c r="H5768" s="5">
        <v>105.4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106.9</v>
      </c>
      <c r="D5769" s="5">
        <v>0.1</v>
      </c>
      <c r="E5769" s="5">
        <v>107.1</v>
      </c>
      <c r="F5769" s="5">
        <v>212.6</v>
      </c>
      <c r="G5769" s="5">
        <v>105.6</v>
      </c>
      <c r="H5769" s="5">
        <v>105.4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107</v>
      </c>
      <c r="D5770" s="5">
        <v>0.1</v>
      </c>
      <c r="E5770" s="5">
        <v>107.2</v>
      </c>
      <c r="F5770" s="5">
        <v>212.7</v>
      </c>
      <c r="G5770" s="5">
        <v>105.7</v>
      </c>
      <c r="H5770" s="5">
        <v>105.5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107</v>
      </c>
      <c r="D5771" s="5">
        <v>0.1</v>
      </c>
      <c r="E5771" s="5">
        <v>107.2</v>
      </c>
      <c r="F5771" s="5">
        <v>212.7</v>
      </c>
      <c r="G5771" s="5">
        <v>105.7</v>
      </c>
      <c r="H5771" s="5">
        <v>105.5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106.4</v>
      </c>
      <c r="D5772" s="5">
        <v>0.1</v>
      </c>
      <c r="E5772" s="5">
        <v>106.6</v>
      </c>
      <c r="F5772" s="5">
        <v>211.8</v>
      </c>
      <c r="G5772" s="5">
        <v>105.3</v>
      </c>
      <c r="H5772" s="5">
        <v>105.1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106.4</v>
      </c>
      <c r="D5773" s="5">
        <v>0.1</v>
      </c>
      <c r="E5773" s="5">
        <v>106.6</v>
      </c>
      <c r="F5773" s="5">
        <v>211.8</v>
      </c>
      <c r="G5773" s="5">
        <v>105.3</v>
      </c>
      <c r="H5773" s="5">
        <v>105.1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107.2</v>
      </c>
      <c r="D5774" s="5">
        <v>0.1</v>
      </c>
      <c r="E5774" s="5">
        <v>107.4</v>
      </c>
      <c r="F5774" s="5">
        <v>212.3</v>
      </c>
      <c r="G5774" s="5">
        <v>105.6</v>
      </c>
      <c r="H5774" s="5">
        <v>105.4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107.2</v>
      </c>
      <c r="D5775" s="5">
        <v>0.1</v>
      </c>
      <c r="E5775" s="5">
        <v>107.4</v>
      </c>
      <c r="F5775" s="5">
        <v>212.3</v>
      </c>
      <c r="G5775" s="5">
        <v>105.6</v>
      </c>
      <c r="H5775" s="5">
        <v>105.4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107.2</v>
      </c>
      <c r="D5776" s="5">
        <v>0.1</v>
      </c>
      <c r="E5776" s="5">
        <v>107.4</v>
      </c>
      <c r="F5776" s="5">
        <v>212.3</v>
      </c>
      <c r="G5776" s="5">
        <v>105.6</v>
      </c>
      <c r="H5776" s="5">
        <v>105.4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107.2</v>
      </c>
      <c r="D5777" s="5">
        <v>0.1</v>
      </c>
      <c r="E5777" s="5">
        <v>107.4</v>
      </c>
      <c r="F5777" s="5">
        <v>212.3</v>
      </c>
      <c r="G5777" s="5">
        <v>105.6</v>
      </c>
      <c r="H5777" s="5">
        <v>105.4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107.2</v>
      </c>
      <c r="D5778" s="5">
        <v>0.1</v>
      </c>
      <c r="E5778" s="5">
        <v>107.4</v>
      </c>
      <c r="F5778" s="5">
        <v>212.3</v>
      </c>
      <c r="G5778" s="5">
        <v>105.6</v>
      </c>
      <c r="H5778" s="5">
        <v>105.4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107.2</v>
      </c>
      <c r="D5779" s="5">
        <v>0.1</v>
      </c>
      <c r="E5779" s="5">
        <v>107.4</v>
      </c>
      <c r="F5779" s="5">
        <v>212.3</v>
      </c>
      <c r="G5779" s="5">
        <v>105.6</v>
      </c>
      <c r="H5779" s="5">
        <v>105.4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106.6</v>
      </c>
      <c r="D5780" s="5">
        <v>0.1</v>
      </c>
      <c r="E5780" s="5">
        <v>106.7</v>
      </c>
      <c r="F5780" s="5">
        <v>213.4</v>
      </c>
      <c r="G5780" s="5">
        <v>106</v>
      </c>
      <c r="H5780" s="5">
        <v>105.8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106.6</v>
      </c>
      <c r="D5781" s="5">
        <v>0.1</v>
      </c>
      <c r="E5781" s="5">
        <v>106.7</v>
      </c>
      <c r="F5781" s="5">
        <v>213.4</v>
      </c>
      <c r="G5781" s="5">
        <v>106</v>
      </c>
      <c r="H5781" s="5">
        <v>105.8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107.4</v>
      </c>
      <c r="D5782" s="5">
        <v>0.1</v>
      </c>
      <c r="E5782" s="5">
        <v>107.5</v>
      </c>
      <c r="F5782" s="5">
        <v>213.3</v>
      </c>
      <c r="G5782" s="5">
        <v>106</v>
      </c>
      <c r="H5782" s="5">
        <v>105.9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107.4</v>
      </c>
      <c r="D5783" s="5">
        <v>0.1</v>
      </c>
      <c r="E5783" s="5">
        <v>107.5</v>
      </c>
      <c r="F5783" s="5">
        <v>213.3</v>
      </c>
      <c r="G5783" s="5">
        <v>106</v>
      </c>
      <c r="H5783" s="5">
        <v>105.9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107.7</v>
      </c>
      <c r="D5784" s="5">
        <v>0.1</v>
      </c>
      <c r="E5784" s="5">
        <v>107.8</v>
      </c>
      <c r="F5784" s="5">
        <v>213.6</v>
      </c>
      <c r="G5784" s="5">
        <v>106.1</v>
      </c>
      <c r="H5784" s="5">
        <v>106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107.7</v>
      </c>
      <c r="D5785" s="5">
        <v>0.1</v>
      </c>
      <c r="E5785" s="5">
        <v>107.8</v>
      </c>
      <c r="F5785" s="5">
        <v>213.6</v>
      </c>
      <c r="G5785" s="5">
        <v>106.1</v>
      </c>
      <c r="H5785" s="5">
        <v>106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107.7</v>
      </c>
      <c r="D5786" s="5">
        <v>0.1</v>
      </c>
      <c r="E5786" s="5">
        <v>107.8</v>
      </c>
      <c r="F5786" s="5">
        <v>213.6</v>
      </c>
      <c r="G5786" s="5">
        <v>106.1</v>
      </c>
      <c r="H5786" s="5">
        <v>106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107.7</v>
      </c>
      <c r="D5787" s="5">
        <v>0.1</v>
      </c>
      <c r="E5787" s="5">
        <v>107.8</v>
      </c>
      <c r="F5787" s="5">
        <v>213.6</v>
      </c>
      <c r="G5787" s="5">
        <v>106.1</v>
      </c>
      <c r="H5787" s="5">
        <v>106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107.2</v>
      </c>
      <c r="D5788" s="5">
        <v>0.1</v>
      </c>
      <c r="E5788" s="5">
        <v>107.4</v>
      </c>
      <c r="F5788" s="5">
        <v>209.5</v>
      </c>
      <c r="G5788" s="5">
        <v>104.2</v>
      </c>
      <c r="H5788" s="5">
        <v>104.2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107.2</v>
      </c>
      <c r="D5789" s="5">
        <v>0.1</v>
      </c>
      <c r="E5789" s="5">
        <v>107.4</v>
      </c>
      <c r="F5789" s="5">
        <v>209.5</v>
      </c>
      <c r="G5789" s="5">
        <v>104.2</v>
      </c>
      <c r="H5789" s="5">
        <v>104.2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106.9</v>
      </c>
      <c r="D5790" s="5">
        <v>0.1</v>
      </c>
      <c r="E5790" s="5">
        <v>107.1</v>
      </c>
      <c r="F5790" s="5">
        <v>213</v>
      </c>
      <c r="G5790" s="5">
        <v>105.8</v>
      </c>
      <c r="H5790" s="5">
        <v>105.6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106.9</v>
      </c>
      <c r="D5791" s="5">
        <v>0.1</v>
      </c>
      <c r="E5791" s="5">
        <v>107.1</v>
      </c>
      <c r="F5791" s="5">
        <v>213</v>
      </c>
      <c r="G5791" s="5">
        <v>105.8</v>
      </c>
      <c r="H5791" s="5">
        <v>105.6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106.7</v>
      </c>
      <c r="D5792" s="5">
        <v>0.1</v>
      </c>
      <c r="E5792" s="5">
        <v>106.9</v>
      </c>
      <c r="F5792" s="5">
        <v>211.4</v>
      </c>
      <c r="G5792" s="5">
        <v>105</v>
      </c>
      <c r="H5792" s="5">
        <v>104.9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106.7</v>
      </c>
      <c r="D5793" s="5">
        <v>0.1</v>
      </c>
      <c r="E5793" s="5">
        <v>106.9</v>
      </c>
      <c r="F5793" s="5">
        <v>211.4</v>
      </c>
      <c r="G5793" s="5">
        <v>105</v>
      </c>
      <c r="H5793" s="5">
        <v>104.9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106.9</v>
      </c>
      <c r="D5794" s="5">
        <v>0.1</v>
      </c>
      <c r="E5794" s="5">
        <v>107</v>
      </c>
      <c r="F5794" s="5">
        <v>213.4</v>
      </c>
      <c r="G5794" s="5">
        <v>106</v>
      </c>
      <c r="H5794" s="5">
        <v>105.8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106.9</v>
      </c>
      <c r="D5795" s="5">
        <v>0.1</v>
      </c>
      <c r="E5795" s="5">
        <v>107</v>
      </c>
      <c r="F5795" s="5">
        <v>213.4</v>
      </c>
      <c r="G5795" s="5">
        <v>106</v>
      </c>
      <c r="H5795" s="5">
        <v>105.8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106.9</v>
      </c>
      <c r="D5796" s="5">
        <v>0.1</v>
      </c>
      <c r="E5796" s="5">
        <v>107</v>
      </c>
      <c r="F5796" s="5">
        <v>213.4</v>
      </c>
      <c r="G5796" s="5">
        <v>106</v>
      </c>
      <c r="H5796" s="5">
        <v>105.8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106.9</v>
      </c>
      <c r="D5797" s="5">
        <v>0.1</v>
      </c>
      <c r="E5797" s="5">
        <v>107</v>
      </c>
      <c r="F5797" s="5">
        <v>213.4</v>
      </c>
      <c r="G5797" s="5">
        <v>106</v>
      </c>
      <c r="H5797" s="5">
        <v>105.8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106.6</v>
      </c>
      <c r="D5798" s="5">
        <v>0.1</v>
      </c>
      <c r="E5798" s="5">
        <v>106.8</v>
      </c>
      <c r="F5798" s="5">
        <v>212.7</v>
      </c>
      <c r="G5798" s="5">
        <v>105.7</v>
      </c>
      <c r="H5798" s="5">
        <v>105.5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106.6</v>
      </c>
      <c r="D5799" s="5">
        <v>0.1</v>
      </c>
      <c r="E5799" s="5">
        <v>106.8</v>
      </c>
      <c r="F5799" s="5">
        <v>212.7</v>
      </c>
      <c r="G5799" s="5">
        <v>105.7</v>
      </c>
      <c r="H5799" s="5">
        <v>105.5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107.5</v>
      </c>
      <c r="D5800" s="5">
        <v>0.1</v>
      </c>
      <c r="E5800" s="5">
        <v>107.7</v>
      </c>
      <c r="F5800" s="5">
        <v>214</v>
      </c>
      <c r="G5800" s="5">
        <v>106.3</v>
      </c>
      <c r="H5800" s="5">
        <v>106.1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107.5</v>
      </c>
      <c r="D5801" s="5">
        <v>0.1</v>
      </c>
      <c r="E5801" s="5">
        <v>107.7</v>
      </c>
      <c r="F5801" s="5">
        <v>214</v>
      </c>
      <c r="G5801" s="5">
        <v>106.3</v>
      </c>
      <c r="H5801" s="5">
        <v>106.1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108.1</v>
      </c>
      <c r="D5802" s="5">
        <v>0.1</v>
      </c>
      <c r="E5802" s="5">
        <v>108.2</v>
      </c>
      <c r="F5802" s="5">
        <v>214.7</v>
      </c>
      <c r="G5802" s="5">
        <v>106.7</v>
      </c>
      <c r="H5802" s="5">
        <v>106.6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108.1</v>
      </c>
      <c r="D5803" s="5">
        <v>0.1</v>
      </c>
      <c r="E5803" s="5">
        <v>108.2</v>
      </c>
      <c r="F5803" s="5">
        <v>214.7</v>
      </c>
      <c r="G5803" s="5">
        <v>106.7</v>
      </c>
      <c r="H5803" s="5">
        <v>106.6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106.8</v>
      </c>
      <c r="D5804" s="5">
        <v>0.1</v>
      </c>
      <c r="E5804" s="5">
        <v>106.9</v>
      </c>
      <c r="F5804" s="5">
        <v>213.1</v>
      </c>
      <c r="G5804" s="5">
        <v>105.9</v>
      </c>
      <c r="H5804" s="5">
        <v>105.7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106.8</v>
      </c>
      <c r="D5805" s="5">
        <v>0.1</v>
      </c>
      <c r="E5805" s="5">
        <v>106.9</v>
      </c>
      <c r="F5805" s="5">
        <v>213.1</v>
      </c>
      <c r="G5805" s="5">
        <v>105.9</v>
      </c>
      <c r="H5805" s="5">
        <v>105.7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106.8</v>
      </c>
      <c r="D5806" s="5">
        <v>0.1</v>
      </c>
      <c r="E5806" s="5">
        <v>106.9</v>
      </c>
      <c r="F5806" s="5">
        <v>213.1</v>
      </c>
      <c r="G5806" s="5">
        <v>105.9</v>
      </c>
      <c r="H5806" s="5">
        <v>105.7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106.8</v>
      </c>
      <c r="D5807" s="5">
        <v>0.1</v>
      </c>
      <c r="E5807" s="5">
        <v>106.9</v>
      </c>
      <c r="F5807" s="5">
        <v>213.1</v>
      </c>
      <c r="G5807" s="5">
        <v>105.9</v>
      </c>
      <c r="H5807" s="5">
        <v>105.7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107.8</v>
      </c>
      <c r="D5808" s="5">
        <v>0.1</v>
      </c>
      <c r="E5808" s="5">
        <v>108</v>
      </c>
      <c r="F5808" s="5">
        <v>214.1</v>
      </c>
      <c r="G5808" s="5">
        <v>106.4</v>
      </c>
      <c r="H5808" s="5">
        <v>106.3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107.8</v>
      </c>
      <c r="D5809" s="5">
        <v>0.1</v>
      </c>
      <c r="E5809" s="5">
        <v>108</v>
      </c>
      <c r="F5809" s="5">
        <v>214.1</v>
      </c>
      <c r="G5809" s="5">
        <v>106.4</v>
      </c>
      <c r="H5809" s="5">
        <v>106.3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107.4</v>
      </c>
      <c r="D5810" s="5">
        <v>0.1</v>
      </c>
      <c r="E5810" s="5">
        <v>107.5</v>
      </c>
      <c r="F5810" s="5">
        <v>213.2</v>
      </c>
      <c r="G5810" s="5">
        <v>106</v>
      </c>
      <c r="H5810" s="5">
        <v>105.9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107.4</v>
      </c>
      <c r="D5811" s="5">
        <v>0.1</v>
      </c>
      <c r="E5811" s="5">
        <v>107.5</v>
      </c>
      <c r="F5811" s="5">
        <v>213.2</v>
      </c>
      <c r="G5811" s="5">
        <v>106</v>
      </c>
      <c r="H5811" s="5">
        <v>105.9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108</v>
      </c>
      <c r="D5812" s="5">
        <v>0.1</v>
      </c>
      <c r="E5812" s="5">
        <v>108.1</v>
      </c>
      <c r="F5812" s="5">
        <v>214.3</v>
      </c>
      <c r="G5812" s="5">
        <v>106.5</v>
      </c>
      <c r="H5812" s="5">
        <v>106.3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108</v>
      </c>
      <c r="D5813" s="5">
        <v>0.1</v>
      </c>
      <c r="E5813" s="5">
        <v>108.1</v>
      </c>
      <c r="F5813" s="5">
        <v>214.3</v>
      </c>
      <c r="G5813" s="5">
        <v>106.5</v>
      </c>
      <c r="H5813" s="5">
        <v>106.3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108.3</v>
      </c>
      <c r="D5814" s="5">
        <v>0.1</v>
      </c>
      <c r="E5814" s="5">
        <v>108.4</v>
      </c>
      <c r="F5814" s="5">
        <v>214.5</v>
      </c>
      <c r="G5814" s="5">
        <v>106.6</v>
      </c>
      <c r="H5814" s="5">
        <v>106.4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108.3</v>
      </c>
      <c r="D5815" s="5">
        <v>0.1</v>
      </c>
      <c r="E5815" s="5">
        <v>108.4</v>
      </c>
      <c r="F5815" s="5">
        <v>214.5</v>
      </c>
      <c r="G5815" s="5">
        <v>106.6</v>
      </c>
      <c r="H5815" s="5">
        <v>106.4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108.3</v>
      </c>
      <c r="D5816" s="5">
        <v>0.1</v>
      </c>
      <c r="E5816" s="5">
        <v>108.4</v>
      </c>
      <c r="F5816" s="5">
        <v>214.5</v>
      </c>
      <c r="G5816" s="5">
        <v>106.6</v>
      </c>
      <c r="H5816" s="5">
        <v>106.4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108.3</v>
      </c>
      <c r="D5817" s="5">
        <v>0.1</v>
      </c>
      <c r="E5817" s="5">
        <v>108.4</v>
      </c>
      <c r="F5817" s="5">
        <v>214.5</v>
      </c>
      <c r="G5817" s="5">
        <v>106.6</v>
      </c>
      <c r="H5817" s="5">
        <v>106.4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108.3</v>
      </c>
      <c r="D5818" s="5">
        <v>0.1</v>
      </c>
      <c r="E5818" s="5">
        <v>108.5</v>
      </c>
      <c r="F5818" s="5">
        <v>215.1</v>
      </c>
      <c r="G5818" s="5">
        <v>106.9</v>
      </c>
      <c r="H5818" s="5">
        <v>106.8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108.3</v>
      </c>
      <c r="D5819" s="5">
        <v>0.1</v>
      </c>
      <c r="E5819" s="5">
        <v>108.5</v>
      </c>
      <c r="F5819" s="5">
        <v>215.1</v>
      </c>
      <c r="G5819" s="5">
        <v>106.9</v>
      </c>
      <c r="H5819" s="5">
        <v>106.8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108.1</v>
      </c>
      <c r="D5820" s="5">
        <v>0.1</v>
      </c>
      <c r="E5820" s="5">
        <v>108.2</v>
      </c>
      <c r="F5820" s="5">
        <v>216</v>
      </c>
      <c r="G5820" s="5">
        <v>107.3</v>
      </c>
      <c r="H5820" s="5">
        <v>107.1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108.1</v>
      </c>
      <c r="D5821" s="5">
        <v>0.1</v>
      </c>
      <c r="E5821" s="5">
        <v>108.2</v>
      </c>
      <c r="F5821" s="5">
        <v>216</v>
      </c>
      <c r="G5821" s="5">
        <v>107.3</v>
      </c>
      <c r="H5821" s="5">
        <v>107.1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107.6</v>
      </c>
      <c r="D5822" s="5">
        <v>0.1</v>
      </c>
      <c r="E5822" s="5">
        <v>107.8</v>
      </c>
      <c r="F5822" s="5">
        <v>213.2</v>
      </c>
      <c r="G5822" s="5">
        <v>106</v>
      </c>
      <c r="H5822" s="5">
        <v>105.9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107.6</v>
      </c>
      <c r="D5823" s="5">
        <v>0.1</v>
      </c>
      <c r="E5823" s="5">
        <v>107.8</v>
      </c>
      <c r="F5823" s="5">
        <v>213.2</v>
      </c>
      <c r="G5823" s="5">
        <v>106</v>
      </c>
      <c r="H5823" s="5">
        <v>105.9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107.7</v>
      </c>
      <c r="D5824" s="5">
        <v>0.1</v>
      </c>
      <c r="E5824" s="5">
        <v>107.8</v>
      </c>
      <c r="F5824" s="5">
        <v>213.9</v>
      </c>
      <c r="G5824" s="5">
        <v>106.3</v>
      </c>
      <c r="H5824" s="5">
        <v>106.2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107.7</v>
      </c>
      <c r="D5825" s="5">
        <v>0.1</v>
      </c>
      <c r="E5825" s="5">
        <v>107.8</v>
      </c>
      <c r="F5825" s="5">
        <v>213.9</v>
      </c>
      <c r="G5825" s="5">
        <v>106.3</v>
      </c>
      <c r="H5825" s="5">
        <v>106.2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107.7</v>
      </c>
      <c r="D5826" s="5">
        <v>0.1</v>
      </c>
      <c r="E5826" s="5">
        <v>107.8</v>
      </c>
      <c r="F5826" s="5">
        <v>213.9</v>
      </c>
      <c r="G5826" s="5">
        <v>106.3</v>
      </c>
      <c r="H5826" s="5">
        <v>106.2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107.7</v>
      </c>
      <c r="D5827" s="5">
        <v>0.1</v>
      </c>
      <c r="E5827" s="5">
        <v>107.8</v>
      </c>
      <c r="F5827" s="5">
        <v>213.9</v>
      </c>
      <c r="G5827" s="5">
        <v>106.3</v>
      </c>
      <c r="H5827" s="5">
        <v>106.2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107.2</v>
      </c>
      <c r="D5828" s="5">
        <v>0.1</v>
      </c>
      <c r="E5828" s="5">
        <v>107.3</v>
      </c>
      <c r="F5828" s="5">
        <v>213.4</v>
      </c>
      <c r="G5828" s="5">
        <v>106.1</v>
      </c>
      <c r="H5828" s="5">
        <v>106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107.2</v>
      </c>
      <c r="D5829" s="5">
        <v>0.1</v>
      </c>
      <c r="E5829" s="5">
        <v>107.3</v>
      </c>
      <c r="F5829" s="5">
        <v>213.4</v>
      </c>
      <c r="G5829" s="5">
        <v>106.1</v>
      </c>
      <c r="H5829" s="5">
        <v>106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107.4</v>
      </c>
      <c r="D5830" s="5">
        <v>0.1</v>
      </c>
      <c r="E5830" s="5">
        <v>107.5</v>
      </c>
      <c r="F5830" s="5">
        <v>213.7</v>
      </c>
      <c r="G5830" s="5">
        <v>106.2</v>
      </c>
      <c r="H5830" s="5">
        <v>106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107.4</v>
      </c>
      <c r="D5831" s="5">
        <v>0.1</v>
      </c>
      <c r="E5831" s="5">
        <v>107.5</v>
      </c>
      <c r="F5831" s="5">
        <v>213.7</v>
      </c>
      <c r="G5831" s="5">
        <v>106.2</v>
      </c>
      <c r="H5831" s="5">
        <v>106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107.5</v>
      </c>
      <c r="D5832" s="5">
        <v>0.1</v>
      </c>
      <c r="E5832" s="5">
        <v>107.6</v>
      </c>
      <c r="F5832" s="5">
        <v>213.5</v>
      </c>
      <c r="G5832" s="5">
        <v>106.1</v>
      </c>
      <c r="H5832" s="5">
        <v>105.9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107.5</v>
      </c>
      <c r="D5833" s="5">
        <v>0.1</v>
      </c>
      <c r="E5833" s="5">
        <v>107.6</v>
      </c>
      <c r="F5833" s="5">
        <v>213.5</v>
      </c>
      <c r="G5833" s="5">
        <v>106.1</v>
      </c>
      <c r="H5833" s="5">
        <v>105.9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107.4</v>
      </c>
      <c r="D5834" s="5">
        <v>0.1</v>
      </c>
      <c r="E5834" s="5">
        <v>107.5</v>
      </c>
      <c r="F5834" s="5">
        <v>213.6</v>
      </c>
      <c r="G5834" s="5">
        <v>106.1</v>
      </c>
      <c r="H5834" s="5">
        <v>105.9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107.4</v>
      </c>
      <c r="D5835" s="5">
        <v>0.1</v>
      </c>
      <c r="E5835" s="5">
        <v>107.5</v>
      </c>
      <c r="F5835" s="5">
        <v>213.6</v>
      </c>
      <c r="G5835" s="5">
        <v>106.1</v>
      </c>
      <c r="H5835" s="5">
        <v>105.9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107.4</v>
      </c>
      <c r="D5836" s="5">
        <v>0.1</v>
      </c>
      <c r="E5836" s="5">
        <v>107.5</v>
      </c>
      <c r="F5836" s="5">
        <v>213.6</v>
      </c>
      <c r="G5836" s="5">
        <v>106.1</v>
      </c>
      <c r="H5836" s="5">
        <v>105.9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106.9</v>
      </c>
      <c r="D5837" s="5">
        <v>0.1</v>
      </c>
      <c r="E5837" s="5">
        <v>107.5</v>
      </c>
      <c r="F5837" s="5">
        <v>213.6</v>
      </c>
      <c r="G5837" s="5">
        <v>106.1</v>
      </c>
      <c r="H5837" s="5">
        <v>105.9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106.9</v>
      </c>
      <c r="D5838" s="5">
        <v>0.1</v>
      </c>
      <c r="E5838" s="5">
        <v>107.1</v>
      </c>
      <c r="F5838" s="5">
        <v>212.7</v>
      </c>
      <c r="G5838" s="5">
        <v>105.7</v>
      </c>
      <c r="H5838" s="5">
        <v>105.5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106.9</v>
      </c>
      <c r="D5839" s="5">
        <v>0.1</v>
      </c>
      <c r="E5839" s="5">
        <v>107.1</v>
      </c>
      <c r="F5839" s="5">
        <v>212.7</v>
      </c>
      <c r="G5839" s="5">
        <v>105.7</v>
      </c>
      <c r="H5839" s="5">
        <v>105.5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106.9</v>
      </c>
      <c r="D5840" s="5">
        <v>0.1</v>
      </c>
      <c r="E5840" s="5">
        <v>107</v>
      </c>
      <c r="F5840" s="5">
        <v>212.5</v>
      </c>
      <c r="G5840" s="5">
        <v>105.7</v>
      </c>
      <c r="H5840" s="5">
        <v>105.6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106.9</v>
      </c>
      <c r="D5841" s="5">
        <v>0.1</v>
      </c>
      <c r="E5841" s="5">
        <v>107</v>
      </c>
      <c r="F5841" s="5">
        <v>212.5</v>
      </c>
      <c r="G5841" s="5">
        <v>105.7</v>
      </c>
      <c r="H5841" s="5">
        <v>105.6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106.8</v>
      </c>
      <c r="D5842" s="5">
        <v>0.1</v>
      </c>
      <c r="E5842" s="5">
        <v>106.9</v>
      </c>
      <c r="F5842" s="5">
        <v>212.8</v>
      </c>
      <c r="G5842" s="5">
        <v>105.7</v>
      </c>
      <c r="H5842" s="5">
        <v>105.6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106.8</v>
      </c>
      <c r="D5843" s="5">
        <v>0.1</v>
      </c>
      <c r="E5843" s="5">
        <v>106.9</v>
      </c>
      <c r="F5843" s="5">
        <v>212.8</v>
      </c>
      <c r="G5843" s="5">
        <v>105.7</v>
      </c>
      <c r="H5843" s="5">
        <v>105.6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106.7</v>
      </c>
      <c r="D5844" s="5">
        <v>0.1</v>
      </c>
      <c r="E5844" s="5">
        <v>106.9</v>
      </c>
      <c r="F5844" s="5">
        <v>212.6</v>
      </c>
      <c r="G5844" s="5">
        <v>105.6</v>
      </c>
      <c r="H5844" s="5">
        <v>105.4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106.7</v>
      </c>
      <c r="D5845" s="5">
        <v>0.1</v>
      </c>
      <c r="E5845" s="5">
        <v>106.9</v>
      </c>
      <c r="F5845" s="5">
        <v>212.6</v>
      </c>
      <c r="G5845" s="5">
        <v>105.6</v>
      </c>
      <c r="H5845" s="5">
        <v>105.4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106.7</v>
      </c>
      <c r="D5846" s="5">
        <v>0.1</v>
      </c>
      <c r="E5846" s="5">
        <v>106.9</v>
      </c>
      <c r="F5846" s="5">
        <v>212.6</v>
      </c>
      <c r="G5846" s="5">
        <v>105.6</v>
      </c>
      <c r="H5846" s="5">
        <v>105.4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106.7</v>
      </c>
      <c r="D5847" s="5">
        <v>0.1</v>
      </c>
      <c r="E5847" s="5">
        <v>106.9</v>
      </c>
      <c r="F5847" s="5">
        <v>212.6</v>
      </c>
      <c r="G5847" s="5">
        <v>105.6</v>
      </c>
      <c r="H5847" s="5">
        <v>105.4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106.6</v>
      </c>
      <c r="D5848" s="5">
        <v>0.1</v>
      </c>
      <c r="E5848" s="5">
        <v>106.7</v>
      </c>
      <c r="F5848" s="5">
        <v>212.1</v>
      </c>
      <c r="G5848" s="5">
        <v>105.3</v>
      </c>
      <c r="H5848" s="5">
        <v>105.2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106.6</v>
      </c>
      <c r="D5849" s="5">
        <v>0.1</v>
      </c>
      <c r="E5849" s="5">
        <v>106.7</v>
      </c>
      <c r="F5849" s="5">
        <v>212.1</v>
      </c>
      <c r="G5849" s="5">
        <v>105.3</v>
      </c>
      <c r="H5849" s="5">
        <v>105.2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106.7</v>
      </c>
      <c r="D5850" s="5">
        <v>0.1</v>
      </c>
      <c r="E5850" s="5">
        <v>106.9</v>
      </c>
      <c r="F5850" s="5">
        <v>212.7</v>
      </c>
      <c r="G5850" s="5">
        <v>105.6</v>
      </c>
      <c r="H5850" s="5">
        <v>105.5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106.7</v>
      </c>
      <c r="D5851" s="5">
        <v>0.1</v>
      </c>
      <c r="E5851" s="5">
        <v>106.9</v>
      </c>
      <c r="F5851" s="5">
        <v>212.7</v>
      </c>
      <c r="G5851" s="5">
        <v>105.6</v>
      </c>
      <c r="H5851" s="5">
        <v>105.5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106.7</v>
      </c>
      <c r="D5852" s="5">
        <v>0.1</v>
      </c>
      <c r="E5852" s="5">
        <v>106.9</v>
      </c>
      <c r="F5852" s="5">
        <v>212.3</v>
      </c>
      <c r="G5852" s="5">
        <v>105.5</v>
      </c>
      <c r="H5852" s="5">
        <v>105.3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106.7</v>
      </c>
      <c r="D5853" s="5">
        <v>0.1</v>
      </c>
      <c r="E5853" s="5">
        <v>106.9</v>
      </c>
      <c r="F5853" s="5">
        <v>212.3</v>
      </c>
      <c r="G5853" s="5">
        <v>105.5</v>
      </c>
      <c r="H5853" s="5">
        <v>105.3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107.3</v>
      </c>
      <c r="D5854" s="5">
        <v>0.1</v>
      </c>
      <c r="E5854" s="5">
        <v>107.5</v>
      </c>
      <c r="F5854" s="5">
        <v>212.8</v>
      </c>
      <c r="G5854" s="5">
        <v>105.8</v>
      </c>
      <c r="H5854" s="5">
        <v>105.7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107.3</v>
      </c>
      <c r="D5855" s="5">
        <v>0.1</v>
      </c>
      <c r="E5855" s="5">
        <v>107.5</v>
      </c>
      <c r="F5855" s="5">
        <v>212.8</v>
      </c>
      <c r="G5855" s="5">
        <v>105.8</v>
      </c>
      <c r="H5855" s="5">
        <v>105.7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107.3</v>
      </c>
      <c r="D5856" s="5">
        <v>0.1</v>
      </c>
      <c r="E5856" s="5">
        <v>107.5</v>
      </c>
      <c r="F5856" s="5">
        <v>212.8</v>
      </c>
      <c r="G5856" s="5">
        <v>105.8</v>
      </c>
      <c r="H5856" s="5">
        <v>105.7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107.3</v>
      </c>
      <c r="D5857" s="5">
        <v>0.1</v>
      </c>
      <c r="E5857" s="5">
        <v>107.5</v>
      </c>
      <c r="F5857" s="5">
        <v>212.8</v>
      </c>
      <c r="G5857" s="5">
        <v>105.8</v>
      </c>
      <c r="H5857" s="5">
        <v>105.7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107.4</v>
      </c>
      <c r="D5858" s="5">
        <v>0.1</v>
      </c>
      <c r="E5858" s="5">
        <v>107.5</v>
      </c>
      <c r="F5858" s="5">
        <v>212.1</v>
      </c>
      <c r="G5858" s="5">
        <v>105.4</v>
      </c>
      <c r="H5858" s="5">
        <v>105.3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107.4</v>
      </c>
      <c r="D5859" s="5">
        <v>0.1</v>
      </c>
      <c r="E5859" s="5">
        <v>107.5</v>
      </c>
      <c r="F5859" s="5">
        <v>212.1</v>
      </c>
      <c r="G5859" s="5">
        <v>105.4</v>
      </c>
      <c r="H5859" s="5">
        <v>105.3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106.9</v>
      </c>
      <c r="D5860" s="5">
        <v>0.1</v>
      </c>
      <c r="E5860" s="5">
        <v>107</v>
      </c>
      <c r="F5860" s="5">
        <v>213.5</v>
      </c>
      <c r="G5860" s="5">
        <v>106.1</v>
      </c>
      <c r="H5860" s="5">
        <v>105.9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106.9</v>
      </c>
      <c r="D5861" s="5">
        <v>0.1</v>
      </c>
      <c r="E5861" s="5">
        <v>107</v>
      </c>
      <c r="F5861" s="5">
        <v>213.5</v>
      </c>
      <c r="G5861" s="5">
        <v>106.1</v>
      </c>
      <c r="H5861" s="5">
        <v>105.9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107.2</v>
      </c>
      <c r="D5862" s="5">
        <v>0.1</v>
      </c>
      <c r="E5862" s="5">
        <v>107.4</v>
      </c>
      <c r="F5862" s="5">
        <v>214</v>
      </c>
      <c r="G5862" s="5">
        <v>106.4</v>
      </c>
      <c r="H5862" s="5">
        <v>106.3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107.2</v>
      </c>
      <c r="D5863" s="5">
        <v>0.1</v>
      </c>
      <c r="E5863" s="5">
        <v>107.4</v>
      </c>
      <c r="F5863" s="5">
        <v>214</v>
      </c>
      <c r="G5863" s="5">
        <v>106.4</v>
      </c>
      <c r="H5863" s="5">
        <v>106.3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107.5</v>
      </c>
      <c r="D5864" s="5">
        <v>0.1</v>
      </c>
      <c r="E5864" s="5">
        <v>107.6</v>
      </c>
      <c r="F5864" s="5">
        <v>213.5</v>
      </c>
      <c r="G5864" s="5">
        <v>106.1</v>
      </c>
      <c r="H5864" s="5">
        <v>106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107.5</v>
      </c>
      <c r="D5865" s="5">
        <v>0.1</v>
      </c>
      <c r="E5865" s="5">
        <v>107.6</v>
      </c>
      <c r="F5865" s="5">
        <v>213.5</v>
      </c>
      <c r="G5865" s="5">
        <v>106.1</v>
      </c>
      <c r="H5865" s="5">
        <v>106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107.5</v>
      </c>
      <c r="D5866" s="5">
        <v>0.1</v>
      </c>
      <c r="E5866" s="5">
        <v>107.6</v>
      </c>
      <c r="F5866" s="5">
        <v>213.5</v>
      </c>
      <c r="G5866" s="5">
        <v>106.1</v>
      </c>
      <c r="H5866" s="5">
        <v>106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107.4</v>
      </c>
      <c r="D5867" s="5">
        <v>0.1</v>
      </c>
      <c r="E5867" s="5">
        <v>107.5</v>
      </c>
      <c r="F5867" s="5">
        <v>212.9</v>
      </c>
      <c r="G5867" s="5">
        <v>105.8</v>
      </c>
      <c r="H5867" s="5">
        <v>105.7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107.4</v>
      </c>
      <c r="D5868" s="5">
        <v>0.1</v>
      </c>
      <c r="E5868" s="5">
        <v>107.5</v>
      </c>
      <c r="F5868" s="5">
        <v>212.9</v>
      </c>
      <c r="G5868" s="5">
        <v>105.8</v>
      </c>
      <c r="H5868" s="5">
        <v>105.7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107.7</v>
      </c>
      <c r="D5869" s="5">
        <v>0.1</v>
      </c>
      <c r="E5869" s="5">
        <v>107.8</v>
      </c>
      <c r="F5869" s="5">
        <v>213.7</v>
      </c>
      <c r="G5869" s="5">
        <v>106.2</v>
      </c>
      <c r="H5869" s="5">
        <v>106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107.7</v>
      </c>
      <c r="D5870" s="5">
        <v>0.1</v>
      </c>
      <c r="E5870" s="5">
        <v>107.8</v>
      </c>
      <c r="F5870" s="5">
        <v>213.7</v>
      </c>
      <c r="G5870" s="5">
        <v>106.2</v>
      </c>
      <c r="H5870" s="5">
        <v>106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108.1</v>
      </c>
      <c r="D5871" s="5">
        <v>0.1</v>
      </c>
      <c r="E5871" s="5">
        <v>108.3</v>
      </c>
      <c r="F5871" s="5">
        <v>214.3</v>
      </c>
      <c r="G5871" s="5">
        <v>106.5</v>
      </c>
      <c r="H5871" s="5">
        <v>106.4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108.1</v>
      </c>
      <c r="D5872" s="5">
        <v>0.1</v>
      </c>
      <c r="E5872" s="5">
        <v>108.3</v>
      </c>
      <c r="F5872" s="5">
        <v>214.3</v>
      </c>
      <c r="G5872" s="5">
        <v>106.5</v>
      </c>
      <c r="H5872" s="5">
        <v>106.4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107.5</v>
      </c>
      <c r="D5873" s="5">
        <v>0.1</v>
      </c>
      <c r="E5873" s="5">
        <v>107.6</v>
      </c>
      <c r="F5873" s="5">
        <v>212.7</v>
      </c>
      <c r="G5873" s="5">
        <v>105.7</v>
      </c>
      <c r="H5873" s="5">
        <v>105.6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107.5</v>
      </c>
      <c r="D5874" s="5">
        <v>0.1</v>
      </c>
      <c r="E5874" s="5">
        <v>107.6</v>
      </c>
      <c r="F5874" s="5">
        <v>212.7</v>
      </c>
      <c r="G5874" s="5">
        <v>105.7</v>
      </c>
      <c r="H5874" s="5">
        <v>105.6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107.5</v>
      </c>
      <c r="D5875" s="5">
        <v>0.1</v>
      </c>
      <c r="E5875" s="5">
        <v>107.6</v>
      </c>
      <c r="F5875" s="5">
        <v>212.7</v>
      </c>
      <c r="G5875" s="5">
        <v>105.7</v>
      </c>
      <c r="H5875" s="5">
        <v>105.6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107.5</v>
      </c>
      <c r="D5876" s="5">
        <v>0.1</v>
      </c>
      <c r="E5876" s="5">
        <v>107.6</v>
      </c>
      <c r="F5876" s="5">
        <v>212.7</v>
      </c>
      <c r="G5876" s="5">
        <v>105.7</v>
      </c>
      <c r="H5876" s="5">
        <v>105.6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106.4</v>
      </c>
      <c r="D5877" s="5">
        <v>0.1</v>
      </c>
      <c r="E5877" s="5">
        <v>106.6</v>
      </c>
      <c r="F5877" s="5">
        <v>213</v>
      </c>
      <c r="G5877" s="5">
        <v>105.8</v>
      </c>
      <c r="H5877" s="5">
        <v>105.6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106.4</v>
      </c>
      <c r="D5878" s="5">
        <v>0.1</v>
      </c>
      <c r="E5878" s="5">
        <v>106.6</v>
      </c>
      <c r="F5878" s="5">
        <v>213</v>
      </c>
      <c r="G5878" s="5">
        <v>105.8</v>
      </c>
      <c r="H5878" s="5">
        <v>105.6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106.9</v>
      </c>
      <c r="D5879" s="5">
        <v>0.1</v>
      </c>
      <c r="E5879" s="5">
        <v>107</v>
      </c>
      <c r="F5879" s="5">
        <v>212.7</v>
      </c>
      <c r="G5879" s="5">
        <v>105.7</v>
      </c>
      <c r="H5879" s="5">
        <v>105.5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106.9</v>
      </c>
      <c r="D5880" s="5">
        <v>0.1</v>
      </c>
      <c r="E5880" s="5">
        <v>107</v>
      </c>
      <c r="F5880" s="5">
        <v>212.7</v>
      </c>
      <c r="G5880" s="5">
        <v>105.7</v>
      </c>
      <c r="H5880" s="5">
        <v>105.5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107.6</v>
      </c>
      <c r="D5881" s="5">
        <v>0.1</v>
      </c>
      <c r="E5881" s="5">
        <v>107.8</v>
      </c>
      <c r="F5881" s="5">
        <v>212.2</v>
      </c>
      <c r="G5881" s="5">
        <v>105.4</v>
      </c>
      <c r="H5881" s="5">
        <v>105.2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107.6</v>
      </c>
      <c r="D5882" s="5">
        <v>0.1</v>
      </c>
      <c r="E5882" s="5">
        <v>107.8</v>
      </c>
      <c r="F5882" s="5">
        <v>212.2</v>
      </c>
      <c r="G5882" s="5">
        <v>105.4</v>
      </c>
      <c r="H5882" s="5">
        <v>105.2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106.6</v>
      </c>
      <c r="D5883" s="5">
        <v>0.1</v>
      </c>
      <c r="E5883" s="5">
        <v>106.7</v>
      </c>
      <c r="F5883" s="5">
        <v>211.3</v>
      </c>
      <c r="G5883" s="5">
        <v>105</v>
      </c>
      <c r="H5883" s="5">
        <v>104.9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106.6</v>
      </c>
      <c r="D5884" s="5">
        <v>0.1</v>
      </c>
      <c r="E5884" s="5">
        <v>106.7</v>
      </c>
      <c r="F5884" s="5">
        <v>211.3</v>
      </c>
      <c r="G5884" s="5">
        <v>105</v>
      </c>
      <c r="H5884" s="5">
        <v>104.9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106.6</v>
      </c>
      <c r="D5885" s="5">
        <v>0.1</v>
      </c>
      <c r="E5885" s="5">
        <v>106.7</v>
      </c>
      <c r="F5885" s="5">
        <v>211.3</v>
      </c>
      <c r="G5885" s="5">
        <v>105</v>
      </c>
      <c r="H5885" s="5">
        <v>104.9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106.6</v>
      </c>
      <c r="D5886" s="5">
        <v>0.1</v>
      </c>
      <c r="E5886" s="5">
        <v>106.7</v>
      </c>
      <c r="F5886" s="5">
        <v>211.3</v>
      </c>
      <c r="G5886" s="5">
        <v>105</v>
      </c>
      <c r="H5886" s="5">
        <v>104.9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106.9</v>
      </c>
      <c r="D5887" s="5">
        <v>0.1</v>
      </c>
      <c r="E5887" s="5">
        <v>107.1</v>
      </c>
      <c r="F5887" s="5">
        <v>211.3</v>
      </c>
      <c r="G5887" s="5">
        <v>105</v>
      </c>
      <c r="H5887" s="5">
        <v>104.9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106.9</v>
      </c>
      <c r="D5888" s="5">
        <v>0.1</v>
      </c>
      <c r="E5888" s="5">
        <v>107.1</v>
      </c>
      <c r="F5888" s="5">
        <v>212.1</v>
      </c>
      <c r="G5888" s="5">
        <v>105.4</v>
      </c>
      <c r="H5888" s="5">
        <v>105.3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107.3</v>
      </c>
      <c r="D5889" s="5">
        <v>0.1</v>
      </c>
      <c r="E5889" s="5">
        <v>107.1</v>
      </c>
      <c r="F5889" s="5">
        <v>212.1</v>
      </c>
      <c r="G5889" s="5">
        <v>105.4</v>
      </c>
      <c r="H5889" s="5">
        <v>105.3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107.3</v>
      </c>
      <c r="D5890" s="5">
        <v>0.1</v>
      </c>
      <c r="E5890" s="5">
        <v>107.5</v>
      </c>
      <c r="F5890" s="5">
        <v>213</v>
      </c>
      <c r="G5890" s="5">
        <v>105.8</v>
      </c>
      <c r="H5890" s="5">
        <v>105.7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107.3</v>
      </c>
      <c r="D5891" s="5">
        <v>0.1</v>
      </c>
      <c r="E5891" s="5">
        <v>107.5</v>
      </c>
      <c r="F5891" s="5">
        <v>213</v>
      </c>
      <c r="G5891" s="5">
        <v>105.8</v>
      </c>
      <c r="H5891" s="5">
        <v>105.7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106.5</v>
      </c>
      <c r="D5892" s="5">
        <v>0.1</v>
      </c>
      <c r="E5892" s="5">
        <v>106.6</v>
      </c>
      <c r="F5892" s="5">
        <v>212.1</v>
      </c>
      <c r="G5892" s="5">
        <v>105.3</v>
      </c>
      <c r="H5892" s="5">
        <v>105.2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106.5</v>
      </c>
      <c r="D5893" s="5">
        <v>0.1</v>
      </c>
      <c r="E5893" s="5">
        <v>106.6</v>
      </c>
      <c r="F5893" s="5">
        <v>212.1</v>
      </c>
      <c r="G5893" s="5">
        <v>105.3</v>
      </c>
      <c r="H5893" s="5">
        <v>105.2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105.9</v>
      </c>
      <c r="D5894" s="5">
        <v>0.1</v>
      </c>
      <c r="E5894" s="5">
        <v>106.1</v>
      </c>
      <c r="F5894" s="5">
        <v>211.3</v>
      </c>
      <c r="G5894" s="5">
        <v>105</v>
      </c>
      <c r="H5894" s="5">
        <v>104.8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105.9</v>
      </c>
      <c r="D5895" s="5">
        <v>0.1</v>
      </c>
      <c r="E5895" s="5">
        <v>106.1</v>
      </c>
      <c r="F5895" s="5">
        <v>211.3</v>
      </c>
      <c r="G5895" s="5">
        <v>105</v>
      </c>
      <c r="H5895" s="5">
        <v>104.8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105.9</v>
      </c>
      <c r="D5896" s="5">
        <v>0.1</v>
      </c>
      <c r="E5896" s="5">
        <v>106.1</v>
      </c>
      <c r="F5896" s="5">
        <v>211.3</v>
      </c>
      <c r="G5896" s="5">
        <v>105</v>
      </c>
      <c r="H5896" s="5">
        <v>104.8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106.6</v>
      </c>
      <c r="D5897" s="5">
        <v>0.1</v>
      </c>
      <c r="E5897" s="5">
        <v>106.7</v>
      </c>
      <c r="F5897" s="5">
        <v>211</v>
      </c>
      <c r="G5897" s="5">
        <v>104.6</v>
      </c>
      <c r="H5897" s="5">
        <v>104.6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106.6</v>
      </c>
      <c r="D5898" s="5">
        <v>0.1</v>
      </c>
      <c r="E5898" s="5">
        <v>106.7</v>
      </c>
      <c r="F5898" s="5">
        <v>211</v>
      </c>
      <c r="G5898" s="5">
        <v>104.6</v>
      </c>
      <c r="H5898" s="5">
        <v>104.6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106.3</v>
      </c>
      <c r="D5899" s="5">
        <v>0.1</v>
      </c>
      <c r="E5899" s="5">
        <v>106.5</v>
      </c>
      <c r="F5899" s="5">
        <v>211.6</v>
      </c>
      <c r="G5899" s="5">
        <v>103.4</v>
      </c>
      <c r="H5899" s="5">
        <v>103.3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106.3</v>
      </c>
      <c r="D5900" s="5">
        <v>0.1</v>
      </c>
      <c r="E5900" s="5">
        <v>106.5</v>
      </c>
      <c r="F5900" s="5">
        <v>211.6</v>
      </c>
      <c r="G5900" s="5">
        <v>103.4</v>
      </c>
      <c r="H5900" s="5">
        <v>103.3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107.1</v>
      </c>
      <c r="D5901" s="5">
        <v>0.1</v>
      </c>
      <c r="E5901" s="5">
        <v>107.2</v>
      </c>
      <c r="F5901" s="5">
        <v>212.4</v>
      </c>
      <c r="G5901" s="5">
        <v>105.5</v>
      </c>
      <c r="H5901" s="5">
        <v>105.4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107.1</v>
      </c>
      <c r="D5902" s="5">
        <v>0.1</v>
      </c>
      <c r="E5902" s="5">
        <v>107.2</v>
      </c>
      <c r="F5902" s="5">
        <v>212.4</v>
      </c>
      <c r="G5902" s="5">
        <v>105.5</v>
      </c>
      <c r="H5902" s="5">
        <v>105.4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107.1</v>
      </c>
      <c r="D5903" s="5">
        <v>0.1</v>
      </c>
      <c r="E5903" s="5">
        <v>107.1</v>
      </c>
      <c r="F5903" s="5">
        <v>212</v>
      </c>
      <c r="G5903" s="5">
        <v>105.3</v>
      </c>
      <c r="H5903" s="5">
        <v>105.2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106.9</v>
      </c>
      <c r="D5904" s="5">
        <v>0.1</v>
      </c>
      <c r="E5904" s="5">
        <v>107.1</v>
      </c>
      <c r="F5904" s="5">
        <v>212</v>
      </c>
      <c r="G5904" s="5">
        <v>105.3</v>
      </c>
      <c r="H5904" s="5">
        <v>105.2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106.9</v>
      </c>
      <c r="D5905" s="5">
        <v>0.1</v>
      </c>
      <c r="E5905" s="5">
        <v>107.1</v>
      </c>
      <c r="F5905" s="5">
        <v>212</v>
      </c>
      <c r="G5905" s="5">
        <v>105.3</v>
      </c>
      <c r="H5905" s="5">
        <v>105.2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106.9</v>
      </c>
      <c r="D5906" s="5">
        <v>0.1</v>
      </c>
      <c r="E5906" s="5">
        <v>107.1</v>
      </c>
      <c r="F5906" s="5">
        <v>212</v>
      </c>
      <c r="G5906" s="5">
        <v>105.3</v>
      </c>
      <c r="H5906" s="5">
        <v>105.2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106.6</v>
      </c>
      <c r="D5907" s="5">
        <v>0.1</v>
      </c>
      <c r="E5907" s="5">
        <v>106.8</v>
      </c>
      <c r="F5907" s="5">
        <v>211.8</v>
      </c>
      <c r="G5907" s="5">
        <v>105.2</v>
      </c>
      <c r="H5907" s="5">
        <v>105.1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106.6</v>
      </c>
      <c r="D5908" s="5">
        <v>0.1</v>
      </c>
      <c r="E5908" s="5">
        <v>106.8</v>
      </c>
      <c r="F5908" s="5">
        <v>211.8</v>
      </c>
      <c r="G5908" s="5">
        <v>105.2</v>
      </c>
      <c r="H5908" s="5">
        <v>105.1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106.7</v>
      </c>
      <c r="D5909" s="5">
        <v>0.1</v>
      </c>
      <c r="E5909" s="5">
        <v>106.9</v>
      </c>
      <c r="F5909" s="5">
        <v>212.6</v>
      </c>
      <c r="G5909" s="5">
        <v>105.6</v>
      </c>
      <c r="H5909" s="5">
        <v>105.5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106.7</v>
      </c>
      <c r="D5910" s="5">
        <v>0.1</v>
      </c>
      <c r="E5910" s="5">
        <v>106.9</v>
      </c>
      <c r="F5910" s="5">
        <v>212.6</v>
      </c>
      <c r="G5910" s="5">
        <v>105.6</v>
      </c>
      <c r="H5910" s="5">
        <v>105.5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106.4</v>
      </c>
      <c r="D5911" s="5">
        <v>0.1</v>
      </c>
      <c r="E5911" s="5">
        <v>106.6</v>
      </c>
      <c r="F5911" s="5">
        <v>212.1</v>
      </c>
      <c r="G5911" s="5">
        <v>105.4</v>
      </c>
      <c r="H5911" s="5">
        <v>105.2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106.4</v>
      </c>
      <c r="D5912" s="5">
        <v>0.1</v>
      </c>
      <c r="E5912" s="5">
        <v>106.6</v>
      </c>
      <c r="F5912" s="5">
        <v>212.1</v>
      </c>
      <c r="G5912" s="5">
        <v>105.4</v>
      </c>
      <c r="H5912" s="5">
        <v>105.2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107.2</v>
      </c>
      <c r="D5913" s="5">
        <v>0.1</v>
      </c>
      <c r="E5913" s="5">
        <v>107.4</v>
      </c>
      <c r="F5913" s="5">
        <v>213</v>
      </c>
      <c r="G5913" s="5">
        <v>105.8</v>
      </c>
      <c r="H5913" s="5">
        <v>105.7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107.2</v>
      </c>
      <c r="D5914" s="5">
        <v>0.1</v>
      </c>
      <c r="E5914" s="5">
        <v>107.4</v>
      </c>
      <c r="F5914" s="5">
        <v>213</v>
      </c>
      <c r="G5914" s="5">
        <v>105.8</v>
      </c>
      <c r="H5914" s="5">
        <v>105.7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107.2</v>
      </c>
      <c r="D5915" s="5">
        <v>0.1</v>
      </c>
      <c r="E5915" s="5">
        <v>107.4</v>
      </c>
      <c r="F5915" s="5">
        <v>213</v>
      </c>
      <c r="G5915" s="5">
        <v>105.8</v>
      </c>
      <c r="H5915" s="5">
        <v>105.7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107.2</v>
      </c>
      <c r="D5916" s="5">
        <v>0.1</v>
      </c>
      <c r="E5916" s="5">
        <v>107.4</v>
      </c>
      <c r="F5916" s="5">
        <v>213</v>
      </c>
      <c r="G5916" s="5">
        <v>105.8</v>
      </c>
      <c r="H5916" s="5">
        <v>105.7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107.4</v>
      </c>
      <c r="D5917" s="5">
        <v>0.1</v>
      </c>
      <c r="E5917" s="5">
        <v>107.5</v>
      </c>
      <c r="F5917" s="5">
        <v>213.6</v>
      </c>
      <c r="G5917" s="5">
        <v>106.1</v>
      </c>
      <c r="H5917" s="5">
        <v>106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107.4</v>
      </c>
      <c r="D5918" s="5">
        <v>0.1</v>
      </c>
      <c r="E5918" s="5">
        <v>107.5</v>
      </c>
      <c r="F5918" s="5">
        <v>213.6</v>
      </c>
      <c r="G5918" s="5">
        <v>106.1</v>
      </c>
      <c r="H5918" s="5">
        <v>106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107.5</v>
      </c>
      <c r="D5919" s="5">
        <v>0.1</v>
      </c>
      <c r="E5919" s="5">
        <v>107.6</v>
      </c>
      <c r="F5919" s="5">
        <v>213.3</v>
      </c>
      <c r="G5919" s="5">
        <v>105.9</v>
      </c>
      <c r="H5919" s="5">
        <v>105.8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107.5</v>
      </c>
      <c r="D5920" s="5">
        <v>0.1</v>
      </c>
      <c r="E5920" s="5">
        <v>107.6</v>
      </c>
      <c r="F5920" s="5">
        <v>213.3</v>
      </c>
      <c r="G5920" s="5">
        <v>105.9</v>
      </c>
      <c r="H5920" s="5">
        <v>105.8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107.4</v>
      </c>
      <c r="D5921" s="5">
        <v>0.1</v>
      </c>
      <c r="E5921" s="5">
        <v>107.5</v>
      </c>
      <c r="F5921" s="5">
        <v>213.7</v>
      </c>
      <c r="G5921" s="5">
        <v>106.1</v>
      </c>
      <c r="H5921" s="5">
        <v>105.9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107.4</v>
      </c>
      <c r="D5922" s="5">
        <v>0.1</v>
      </c>
      <c r="E5922" s="5">
        <v>107.5</v>
      </c>
      <c r="F5922" s="5">
        <v>213.7</v>
      </c>
      <c r="G5922" s="5">
        <v>106.1</v>
      </c>
      <c r="H5922" s="5">
        <v>105.9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107.5</v>
      </c>
      <c r="D5923" s="5">
        <v>0.1</v>
      </c>
      <c r="E5923" s="5">
        <v>107.6</v>
      </c>
      <c r="F5923" s="5">
        <v>214</v>
      </c>
      <c r="G5923" s="5">
        <v>106.3</v>
      </c>
      <c r="H5923" s="5">
        <v>106.1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107.5</v>
      </c>
      <c r="D5924" s="5">
        <v>0.1</v>
      </c>
      <c r="E5924" s="5">
        <v>107.6</v>
      </c>
      <c r="F5924" s="5">
        <v>214</v>
      </c>
      <c r="G5924" s="5">
        <v>106.3</v>
      </c>
      <c r="H5924" s="5">
        <v>106.1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107.5</v>
      </c>
      <c r="D5925" s="5">
        <v>0.1</v>
      </c>
      <c r="E5925" s="5">
        <v>107.6</v>
      </c>
      <c r="F5925" s="5">
        <v>214</v>
      </c>
      <c r="G5925" s="5">
        <v>106.3</v>
      </c>
      <c r="H5925" s="5">
        <v>106.1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107.5</v>
      </c>
      <c r="D5926" s="5">
        <v>0.1</v>
      </c>
      <c r="E5926" s="5">
        <v>107.6</v>
      </c>
      <c r="F5926" s="5">
        <v>214</v>
      </c>
      <c r="G5926" s="5">
        <v>106.3</v>
      </c>
      <c r="H5926" s="5">
        <v>106.1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107.8</v>
      </c>
      <c r="D5927" s="5">
        <v>0.1</v>
      </c>
      <c r="E5927" s="5">
        <v>107.9</v>
      </c>
      <c r="F5927" s="5">
        <v>213.6</v>
      </c>
      <c r="G5927" s="5">
        <v>106.1</v>
      </c>
      <c r="H5927" s="5">
        <v>106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107.8</v>
      </c>
      <c r="D5928" s="5">
        <v>0.1</v>
      </c>
      <c r="E5928" s="5">
        <v>107.9</v>
      </c>
      <c r="F5928" s="5">
        <v>213.6</v>
      </c>
      <c r="G5928" s="5">
        <v>106.1</v>
      </c>
      <c r="H5928" s="5">
        <v>106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107.3</v>
      </c>
      <c r="D5929" s="5">
        <v>0.1</v>
      </c>
      <c r="E5929" s="5">
        <v>107.4</v>
      </c>
      <c r="F5929" s="5">
        <v>213.2</v>
      </c>
      <c r="G5929" s="5">
        <v>105.9</v>
      </c>
      <c r="H5929" s="5">
        <v>105.8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107.3</v>
      </c>
      <c r="D5930" s="5">
        <v>0.1</v>
      </c>
      <c r="E5930" s="5">
        <v>107.4</v>
      </c>
      <c r="F5930" s="5">
        <v>213.2</v>
      </c>
      <c r="G5930" s="5">
        <v>105.9</v>
      </c>
      <c r="H5930" s="5">
        <v>105.8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106.9</v>
      </c>
      <c r="D5931" s="5">
        <v>0.1</v>
      </c>
      <c r="E5931" s="5">
        <v>107.1</v>
      </c>
      <c r="F5931" s="5">
        <v>212.8</v>
      </c>
      <c r="G5931" s="5">
        <v>105.7</v>
      </c>
      <c r="H5931" s="5">
        <v>105.7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106.9</v>
      </c>
      <c r="D5932" s="5">
        <v>0.1</v>
      </c>
      <c r="E5932" s="5">
        <v>107.1</v>
      </c>
      <c r="F5932" s="5">
        <v>212.8</v>
      </c>
      <c r="G5932" s="5">
        <v>105.7</v>
      </c>
      <c r="H5932" s="5">
        <v>105.7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106.5</v>
      </c>
      <c r="D5933" s="5">
        <v>0.1</v>
      </c>
      <c r="E5933" s="5">
        <v>106.6</v>
      </c>
      <c r="F5933" s="5">
        <v>212.3</v>
      </c>
      <c r="G5933" s="5">
        <v>105.5</v>
      </c>
      <c r="H5933" s="5">
        <v>105.3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106.5</v>
      </c>
      <c r="D5934" s="5">
        <v>0.1</v>
      </c>
      <c r="E5934" s="5">
        <v>106.6</v>
      </c>
      <c r="F5934" s="5">
        <v>212.3</v>
      </c>
      <c r="G5934" s="5">
        <v>105.5</v>
      </c>
      <c r="H5934" s="5">
        <v>105.3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106.5</v>
      </c>
      <c r="D5935" s="5">
        <v>0.1</v>
      </c>
      <c r="E5935" s="5">
        <v>106.6</v>
      </c>
      <c r="F5935" s="5">
        <v>212.3</v>
      </c>
      <c r="G5935" s="5">
        <v>105.5</v>
      </c>
      <c r="H5935" s="5">
        <v>105.3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106.5</v>
      </c>
      <c r="D5936" s="5">
        <v>0.1</v>
      </c>
      <c r="E5936" s="5">
        <v>106.6</v>
      </c>
      <c r="F5936" s="5">
        <v>212.3</v>
      </c>
      <c r="G5936" s="5">
        <v>105.5</v>
      </c>
      <c r="H5936" s="5">
        <v>105.3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106.9</v>
      </c>
      <c r="D5937" s="5">
        <v>0.1</v>
      </c>
      <c r="E5937" s="5">
        <v>107</v>
      </c>
      <c r="F5937" s="5">
        <v>212.4</v>
      </c>
      <c r="G5937" s="5">
        <v>105.5</v>
      </c>
      <c r="H5937" s="5">
        <v>105.4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106.9</v>
      </c>
      <c r="D5938" s="5">
        <v>0.1</v>
      </c>
      <c r="E5938" s="5">
        <v>107</v>
      </c>
      <c r="F5938" s="5">
        <v>212.4</v>
      </c>
      <c r="G5938" s="5">
        <v>105.5</v>
      </c>
      <c r="H5938" s="5">
        <v>105.4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105</v>
      </c>
      <c r="D5939" s="5">
        <v>0.1</v>
      </c>
      <c r="E5939" s="5">
        <v>105.1</v>
      </c>
      <c r="F5939" s="5">
        <v>207.6</v>
      </c>
      <c r="G5939" s="5">
        <v>103.3</v>
      </c>
      <c r="H5939" s="5">
        <v>103.4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105</v>
      </c>
      <c r="D5940" s="5">
        <v>0.1</v>
      </c>
      <c r="E5940" s="5">
        <v>105.1</v>
      </c>
      <c r="F5940" s="5">
        <v>207.6</v>
      </c>
      <c r="G5940" s="5">
        <v>103.3</v>
      </c>
      <c r="H5940" s="5">
        <v>103.4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106.2</v>
      </c>
      <c r="D5941" s="5">
        <v>0.1</v>
      </c>
      <c r="E5941" s="5">
        <v>106.3</v>
      </c>
      <c r="F5941" s="5">
        <v>209.6</v>
      </c>
      <c r="G5941" s="5">
        <v>104.1</v>
      </c>
      <c r="H5941" s="5">
        <v>104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106.2</v>
      </c>
      <c r="D5942" s="5">
        <v>0.1</v>
      </c>
      <c r="E5942" s="5">
        <v>106.3</v>
      </c>
      <c r="F5942" s="5">
        <v>209.6</v>
      </c>
      <c r="G5942" s="5">
        <v>104.1</v>
      </c>
      <c r="H5942" s="5">
        <v>104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107.8</v>
      </c>
      <c r="D5943" s="5">
        <v>0.1</v>
      </c>
      <c r="E5943" s="5">
        <v>108</v>
      </c>
      <c r="F5943" s="5">
        <v>212.9</v>
      </c>
      <c r="G5943" s="5">
        <v>105.7</v>
      </c>
      <c r="H5943" s="5">
        <v>105.5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107.8</v>
      </c>
      <c r="D5944" s="5">
        <v>0.1</v>
      </c>
      <c r="E5944" s="5">
        <v>108</v>
      </c>
      <c r="F5944" s="5">
        <v>212.9</v>
      </c>
      <c r="G5944" s="5">
        <v>105.7</v>
      </c>
      <c r="H5944" s="5">
        <v>105.5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107.8</v>
      </c>
      <c r="D5945" s="5">
        <v>0.1</v>
      </c>
      <c r="E5945" s="5">
        <v>108</v>
      </c>
      <c r="F5945" s="5">
        <v>212.9</v>
      </c>
      <c r="G5945" s="5">
        <v>105.7</v>
      </c>
      <c r="H5945" s="5">
        <v>105.5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107.8</v>
      </c>
      <c r="D5946" s="5">
        <v>0.1</v>
      </c>
      <c r="E5946" s="5">
        <v>108</v>
      </c>
      <c r="F5946" s="5">
        <v>212.9</v>
      </c>
      <c r="G5946" s="5">
        <v>105.7</v>
      </c>
      <c r="H5946" s="5">
        <v>105.5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108.1</v>
      </c>
      <c r="D5947" s="5">
        <v>0.1</v>
      </c>
      <c r="E5947" s="5">
        <v>108.2</v>
      </c>
      <c r="F5947" s="5">
        <v>214.4</v>
      </c>
      <c r="G5947" s="5">
        <v>106.5</v>
      </c>
      <c r="H5947" s="5">
        <v>106.4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108.1</v>
      </c>
      <c r="D5948" s="5">
        <v>0.1</v>
      </c>
      <c r="E5948" s="5">
        <v>108.2</v>
      </c>
      <c r="F5948" s="5">
        <v>214.4</v>
      </c>
      <c r="G5948" s="5">
        <v>106.5</v>
      </c>
      <c r="H5948" s="5">
        <v>106.4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107.4</v>
      </c>
      <c r="D5949" s="5">
        <v>0.1</v>
      </c>
      <c r="E5949" s="5">
        <v>107.5</v>
      </c>
      <c r="F5949" s="5">
        <v>212.6</v>
      </c>
      <c r="G5949" s="5">
        <v>105.7</v>
      </c>
      <c r="H5949" s="5">
        <v>105.6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107.4</v>
      </c>
      <c r="D5950" s="5">
        <v>0.1</v>
      </c>
      <c r="E5950" s="5">
        <v>107.5</v>
      </c>
      <c r="F5950" s="5">
        <v>212.6</v>
      </c>
      <c r="G5950" s="5">
        <v>105.7</v>
      </c>
      <c r="H5950" s="5">
        <v>105.6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107.6</v>
      </c>
      <c r="D5951" s="5">
        <v>0.1</v>
      </c>
      <c r="E5951" s="5">
        <v>107.8</v>
      </c>
      <c r="F5951" s="5">
        <v>213</v>
      </c>
      <c r="G5951" s="5">
        <v>105.9</v>
      </c>
      <c r="H5951" s="5">
        <v>105.7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107.6</v>
      </c>
      <c r="D5952" s="5">
        <v>0.1</v>
      </c>
      <c r="E5952" s="5">
        <v>107.8</v>
      </c>
      <c r="F5952" s="5">
        <v>213</v>
      </c>
      <c r="G5952" s="5">
        <v>105.9</v>
      </c>
      <c r="H5952" s="5">
        <v>105.7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106.2</v>
      </c>
      <c r="D5953" s="5">
        <v>0.1</v>
      </c>
      <c r="E5953" s="5">
        <v>106.3</v>
      </c>
      <c r="F5953" s="5">
        <v>211.5</v>
      </c>
      <c r="G5953" s="5">
        <v>105.1</v>
      </c>
      <c r="H5953" s="5">
        <v>104.9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106.2</v>
      </c>
      <c r="D5954" s="5">
        <v>0.1</v>
      </c>
      <c r="E5954" s="5">
        <v>106.3</v>
      </c>
      <c r="F5954" s="5">
        <v>211.5</v>
      </c>
      <c r="G5954" s="5">
        <v>105.1</v>
      </c>
      <c r="H5954" s="5">
        <v>104.9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106.2</v>
      </c>
      <c r="D5955" s="5">
        <v>0.1</v>
      </c>
      <c r="E5955" s="5">
        <v>106.3</v>
      </c>
      <c r="F5955" s="5">
        <v>211.5</v>
      </c>
      <c r="G5955" s="5">
        <v>105.1</v>
      </c>
      <c r="H5955" s="5">
        <v>104.9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106.2</v>
      </c>
      <c r="D5956" s="5">
        <v>0.1</v>
      </c>
      <c r="E5956" s="5">
        <v>106.3</v>
      </c>
      <c r="F5956" s="5">
        <v>211.5</v>
      </c>
      <c r="G5956" s="5">
        <v>105.1</v>
      </c>
      <c r="H5956" s="5">
        <v>104.9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107</v>
      </c>
      <c r="D5957" s="5">
        <v>0.1</v>
      </c>
      <c r="E5957" s="5">
        <v>107.2</v>
      </c>
      <c r="F5957" s="5">
        <v>212.9</v>
      </c>
      <c r="G5957" s="5">
        <v>105.9</v>
      </c>
      <c r="H5957" s="5">
        <v>105.7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107</v>
      </c>
      <c r="D5958" s="5">
        <v>0.1</v>
      </c>
      <c r="E5958" s="5">
        <v>107.2</v>
      </c>
      <c r="F5958" s="5">
        <v>212.9</v>
      </c>
      <c r="G5958" s="5">
        <v>105.9</v>
      </c>
      <c r="H5958" s="5">
        <v>105.7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106.9</v>
      </c>
      <c r="D5959" s="5">
        <v>0.1</v>
      </c>
      <c r="E5959" s="5">
        <v>107</v>
      </c>
      <c r="F5959" s="5">
        <v>212.1</v>
      </c>
      <c r="G5959" s="5">
        <v>105.4</v>
      </c>
      <c r="H5959" s="5">
        <v>105.5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106.9</v>
      </c>
      <c r="D5960" s="5">
        <v>0.1</v>
      </c>
      <c r="E5960" s="5">
        <v>107</v>
      </c>
      <c r="F5960" s="5">
        <v>212.1</v>
      </c>
      <c r="G5960" s="5">
        <v>105.4</v>
      </c>
      <c r="H5960" s="5">
        <v>105.5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107.2</v>
      </c>
      <c r="D5961" s="5">
        <v>0.1</v>
      </c>
      <c r="E5961" s="5">
        <v>107.4</v>
      </c>
      <c r="F5961" s="5">
        <v>212.9</v>
      </c>
      <c r="G5961" s="5">
        <v>105.8</v>
      </c>
      <c r="H5961" s="5">
        <v>105.6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107.2</v>
      </c>
      <c r="D5962" s="5">
        <v>0.1</v>
      </c>
      <c r="E5962" s="5">
        <v>107.4</v>
      </c>
      <c r="F5962" s="5">
        <v>212.9</v>
      </c>
      <c r="G5962" s="5">
        <v>105.8</v>
      </c>
      <c r="H5962" s="5">
        <v>105.6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107.2</v>
      </c>
      <c r="D5963" s="5">
        <v>0.1</v>
      </c>
      <c r="E5963" s="5">
        <v>107.3</v>
      </c>
      <c r="F5963" s="5">
        <v>212.6</v>
      </c>
      <c r="G5963" s="5">
        <v>105.6</v>
      </c>
      <c r="H5963" s="5">
        <v>105.4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107.2</v>
      </c>
      <c r="D5964" s="5">
        <v>0.1</v>
      </c>
      <c r="E5964" s="5">
        <v>107.3</v>
      </c>
      <c r="F5964" s="5">
        <v>212.6</v>
      </c>
      <c r="G5964" s="5">
        <v>105.6</v>
      </c>
      <c r="H5964" s="5">
        <v>105.4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107.2</v>
      </c>
      <c r="D5965" s="5">
        <v>0.1</v>
      </c>
      <c r="E5965" s="5">
        <v>107.3</v>
      </c>
      <c r="F5965" s="5">
        <v>212.6</v>
      </c>
      <c r="G5965" s="5">
        <v>105.6</v>
      </c>
      <c r="H5965" s="5">
        <v>105.4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107.2</v>
      </c>
      <c r="D5966" s="5">
        <v>0.1</v>
      </c>
      <c r="E5966" s="5">
        <v>107.3</v>
      </c>
      <c r="F5966" s="5">
        <v>212.6</v>
      </c>
      <c r="G5966" s="5">
        <v>105.6</v>
      </c>
      <c r="H5966" s="5">
        <v>105.4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108.5</v>
      </c>
      <c r="D5967" s="5">
        <v>0.1</v>
      </c>
      <c r="E5967" s="5">
        <v>108.6</v>
      </c>
      <c r="F5967" s="5">
        <v>214.7</v>
      </c>
      <c r="G5967" s="5">
        <v>106.6</v>
      </c>
      <c r="H5967" s="5">
        <v>106.5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108.5</v>
      </c>
      <c r="D5968" s="5">
        <v>0.1</v>
      </c>
      <c r="E5968" s="5">
        <v>108.6</v>
      </c>
      <c r="F5968" s="5">
        <v>214.7</v>
      </c>
      <c r="G5968" s="5">
        <v>106.6</v>
      </c>
      <c r="H5968" s="5">
        <v>106.5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108.1</v>
      </c>
      <c r="D5969" s="5">
        <v>0.1</v>
      </c>
      <c r="E5969" s="5">
        <v>108.3</v>
      </c>
      <c r="F5969" s="5">
        <v>214.5</v>
      </c>
      <c r="G5969" s="5">
        <v>106.5</v>
      </c>
      <c r="H5969" s="5">
        <v>106.4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108.1</v>
      </c>
      <c r="D5970" s="5">
        <v>0.1</v>
      </c>
      <c r="E5970" s="5">
        <v>108.3</v>
      </c>
      <c r="F5970" s="5">
        <v>214.5</v>
      </c>
      <c r="G5970" s="5">
        <v>106.5</v>
      </c>
      <c r="H5970" s="5">
        <v>106.4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108.5</v>
      </c>
      <c r="D5971" s="5">
        <v>0.1</v>
      </c>
      <c r="E5971" s="5">
        <v>108.7</v>
      </c>
      <c r="F5971" s="5">
        <v>215.3</v>
      </c>
      <c r="G5971" s="5">
        <v>106.9</v>
      </c>
      <c r="H5971" s="5">
        <v>106.8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108.5</v>
      </c>
      <c r="D5972" s="5">
        <v>0.1</v>
      </c>
      <c r="E5972" s="5">
        <v>108.7</v>
      </c>
      <c r="F5972" s="5">
        <v>215.3</v>
      </c>
      <c r="G5972" s="5">
        <v>106.9</v>
      </c>
      <c r="H5972" s="5">
        <v>106.8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107.5</v>
      </c>
      <c r="D5973" s="5">
        <v>0.1</v>
      </c>
      <c r="E5973" s="5">
        <v>107.6</v>
      </c>
      <c r="F5973" s="5">
        <v>214</v>
      </c>
      <c r="G5973" s="5">
        <v>106.3</v>
      </c>
      <c r="H5973" s="5">
        <v>106.1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107.5</v>
      </c>
      <c r="D5974" s="5">
        <v>0.1</v>
      </c>
      <c r="E5974" s="5">
        <v>107.6</v>
      </c>
      <c r="F5974" s="5">
        <v>214</v>
      </c>
      <c r="G5974" s="5">
        <v>106.3</v>
      </c>
      <c r="H5974" s="5">
        <v>106.1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107.5</v>
      </c>
      <c r="D5975" s="5">
        <v>0.1</v>
      </c>
      <c r="E5975" s="5">
        <v>107.6</v>
      </c>
      <c r="F5975" s="5">
        <v>214</v>
      </c>
      <c r="G5975" s="5">
        <v>106.3</v>
      </c>
      <c r="H5975" s="5">
        <v>106.1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107.5</v>
      </c>
      <c r="D5976" s="5">
        <v>0.1</v>
      </c>
      <c r="E5976" s="5">
        <v>107.6</v>
      </c>
      <c r="F5976" s="5">
        <v>214</v>
      </c>
      <c r="G5976" s="5">
        <v>106.3</v>
      </c>
      <c r="H5976" s="5">
        <v>106.1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108.5</v>
      </c>
      <c r="D5977" s="5">
        <v>0.1</v>
      </c>
      <c r="E5977" s="5">
        <v>108.6</v>
      </c>
      <c r="F5977" s="5">
        <v>215.5</v>
      </c>
      <c r="G5977" s="5">
        <v>107.1</v>
      </c>
      <c r="H5977" s="5">
        <v>106.6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108.5</v>
      </c>
      <c r="D5978" s="5">
        <v>0.1</v>
      </c>
      <c r="E5978" s="5">
        <v>108.6</v>
      </c>
      <c r="F5978" s="5">
        <v>215.5</v>
      </c>
      <c r="G5978" s="5">
        <v>107.1</v>
      </c>
      <c r="H5978" s="5">
        <v>106.6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108</v>
      </c>
      <c r="D5979" s="5">
        <v>0.1</v>
      </c>
      <c r="E5979" s="5">
        <v>108.1</v>
      </c>
      <c r="F5979" s="5">
        <v>214.2</v>
      </c>
      <c r="G5979" s="5">
        <v>106.4</v>
      </c>
      <c r="H5979" s="5">
        <v>106.2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108</v>
      </c>
      <c r="D5980" s="5">
        <v>0.1</v>
      </c>
      <c r="E5980" s="5">
        <v>108.1</v>
      </c>
      <c r="F5980" s="5">
        <v>214.2</v>
      </c>
      <c r="G5980" s="5">
        <v>106.4</v>
      </c>
      <c r="H5980" s="5">
        <v>106.2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108.3</v>
      </c>
      <c r="D5981" s="5">
        <v>0.1</v>
      </c>
      <c r="E5981" s="5">
        <v>108.5</v>
      </c>
      <c r="F5981" s="5">
        <v>214.6</v>
      </c>
      <c r="G5981" s="5">
        <v>106.6</v>
      </c>
      <c r="H5981" s="5">
        <v>106.5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108.3</v>
      </c>
      <c r="D5982" s="5">
        <v>0.1</v>
      </c>
      <c r="E5982" s="5">
        <v>108.5</v>
      </c>
      <c r="F5982" s="5">
        <v>214.6</v>
      </c>
      <c r="G5982" s="5">
        <v>106.6</v>
      </c>
      <c r="H5982" s="5">
        <v>106.5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107.1</v>
      </c>
      <c r="D5983" s="5">
        <v>0.1</v>
      </c>
      <c r="E5983" s="5">
        <v>107.2</v>
      </c>
      <c r="F5983" s="5">
        <v>213.4</v>
      </c>
      <c r="G5983" s="5">
        <v>106</v>
      </c>
      <c r="H5983" s="5">
        <v>105.8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107.1</v>
      </c>
      <c r="D5984" s="5">
        <v>0.1</v>
      </c>
      <c r="E5984" s="5">
        <v>107.2</v>
      </c>
      <c r="F5984" s="5">
        <v>213.4</v>
      </c>
      <c r="G5984" s="5">
        <v>106</v>
      </c>
      <c r="H5984" s="5">
        <v>105.8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107.1</v>
      </c>
      <c r="D5985" s="5">
        <v>0.1</v>
      </c>
      <c r="E5985" s="5">
        <v>107.2</v>
      </c>
      <c r="F5985" s="5">
        <v>213.4</v>
      </c>
      <c r="G5985" s="5">
        <v>106</v>
      </c>
      <c r="H5985" s="5">
        <v>105.8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107.1</v>
      </c>
      <c r="D5986" s="5">
        <v>0.1</v>
      </c>
      <c r="E5986" s="5">
        <v>107.2</v>
      </c>
      <c r="F5986" s="5">
        <v>213.4</v>
      </c>
      <c r="G5986" s="5">
        <v>106</v>
      </c>
      <c r="H5986" s="5">
        <v>105.8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107.5</v>
      </c>
      <c r="D5987" s="5">
        <v>0.1</v>
      </c>
      <c r="E5987" s="5">
        <v>107.7</v>
      </c>
      <c r="F5987" s="5">
        <v>213.9</v>
      </c>
      <c r="G5987" s="5">
        <v>106.2</v>
      </c>
      <c r="H5987" s="5">
        <v>106.1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107.5</v>
      </c>
      <c r="D5988" s="5">
        <v>0.1</v>
      </c>
      <c r="E5988" s="5">
        <v>107.7</v>
      </c>
      <c r="F5988" s="5">
        <v>213.9</v>
      </c>
      <c r="G5988" s="5">
        <v>106.2</v>
      </c>
      <c r="H5988" s="5">
        <v>106.1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106.7</v>
      </c>
      <c r="D5989" s="5">
        <v>0.1</v>
      </c>
      <c r="E5989" s="5">
        <v>106.9</v>
      </c>
      <c r="F5989" s="5">
        <v>213</v>
      </c>
      <c r="G5989" s="5">
        <v>105.8</v>
      </c>
      <c r="H5989" s="5">
        <v>105.6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106.7</v>
      </c>
      <c r="D5990" s="5">
        <v>0.1</v>
      </c>
      <c r="E5990" s="5">
        <v>106.9</v>
      </c>
      <c r="F5990" s="5">
        <v>213</v>
      </c>
      <c r="G5990" s="5">
        <v>105.8</v>
      </c>
      <c r="H5990" s="5">
        <v>105.6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106.9</v>
      </c>
      <c r="D5991" s="5">
        <v>0.1</v>
      </c>
      <c r="E5991" s="5">
        <v>107.1</v>
      </c>
      <c r="F5991" s="5">
        <v>212.5</v>
      </c>
      <c r="G5991" s="5">
        <v>105.5</v>
      </c>
      <c r="H5991" s="5">
        <v>105.3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106.9</v>
      </c>
      <c r="D5992" s="5">
        <v>0.1</v>
      </c>
      <c r="E5992" s="5">
        <v>107.1</v>
      </c>
      <c r="F5992" s="5">
        <v>212.5</v>
      </c>
      <c r="G5992" s="5">
        <v>105.5</v>
      </c>
      <c r="H5992" s="5">
        <v>105.3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107.5</v>
      </c>
      <c r="D5993" s="5">
        <v>0.1</v>
      </c>
      <c r="E5993" s="5">
        <v>107.6</v>
      </c>
      <c r="F5993" s="5">
        <v>213.1</v>
      </c>
      <c r="G5993" s="5">
        <v>105.8</v>
      </c>
      <c r="H5993" s="5">
        <v>105.7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107.5</v>
      </c>
      <c r="D5994" s="5">
        <v>0.1</v>
      </c>
      <c r="E5994" s="5">
        <v>107.6</v>
      </c>
      <c r="F5994" s="5">
        <v>213.1</v>
      </c>
      <c r="G5994" s="5">
        <v>105.8</v>
      </c>
      <c r="H5994" s="5">
        <v>105.7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107.5</v>
      </c>
      <c r="D5995" s="5">
        <v>0.1</v>
      </c>
      <c r="E5995" s="5">
        <v>107.6</v>
      </c>
      <c r="F5995" s="5">
        <v>213.1</v>
      </c>
      <c r="G5995" s="5">
        <v>105.8</v>
      </c>
      <c r="H5995" s="5">
        <v>105.7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107.9</v>
      </c>
      <c r="D5996" s="5">
        <v>0.1</v>
      </c>
      <c r="E5996" s="5">
        <v>108.1</v>
      </c>
      <c r="F5996" s="5">
        <v>213.6</v>
      </c>
      <c r="G5996" s="5">
        <v>106.1</v>
      </c>
      <c r="H5996" s="5">
        <v>106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107.9</v>
      </c>
      <c r="D5997" s="5">
        <v>0.1</v>
      </c>
      <c r="E5997" s="5">
        <v>108.1</v>
      </c>
      <c r="F5997" s="5">
        <v>213.6</v>
      </c>
      <c r="G5997" s="5">
        <v>106.1</v>
      </c>
      <c r="H5997" s="5">
        <v>106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107.9</v>
      </c>
      <c r="D5998" s="5">
        <v>0.1</v>
      </c>
      <c r="E5998" s="5">
        <v>108.1</v>
      </c>
      <c r="F5998" s="5">
        <v>214.8</v>
      </c>
      <c r="G5998" s="5">
        <v>106.7</v>
      </c>
      <c r="H5998" s="5">
        <v>106.6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108</v>
      </c>
      <c r="D5999" s="5">
        <v>0.1</v>
      </c>
      <c r="E5999" s="5">
        <v>108.1</v>
      </c>
      <c r="F5999" s="5">
        <v>214.8</v>
      </c>
      <c r="G5999" s="5">
        <v>106.7</v>
      </c>
      <c r="H5999" s="5">
        <v>106.6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108</v>
      </c>
      <c r="D6000" s="5">
        <v>0.1</v>
      </c>
      <c r="E6000" s="5">
        <v>107.7</v>
      </c>
      <c r="F6000" s="5">
        <v>213.9</v>
      </c>
      <c r="G6000" s="5">
        <v>106.3</v>
      </c>
      <c r="H6000" s="5">
        <v>106.2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107.5</v>
      </c>
      <c r="D6001" s="5">
        <v>0.1</v>
      </c>
      <c r="E6001" s="5">
        <v>107.7</v>
      </c>
      <c r="F6001" s="5">
        <v>213.9</v>
      </c>
      <c r="G6001" s="5">
        <v>106.3</v>
      </c>
      <c r="H6001" s="5">
        <v>106.2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107.5</v>
      </c>
      <c r="D6002" s="5">
        <v>0.1</v>
      </c>
      <c r="E6002" s="5">
        <v>107.7</v>
      </c>
      <c r="F6002" s="5">
        <v>214.5</v>
      </c>
      <c r="G6002" s="5">
        <v>106.6</v>
      </c>
      <c r="H6002" s="5">
        <v>106.5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108.1</v>
      </c>
      <c r="D6003" s="5">
        <v>0.1</v>
      </c>
      <c r="E6003" s="5">
        <v>108.3</v>
      </c>
      <c r="F6003" s="5">
        <v>214.5</v>
      </c>
      <c r="G6003" s="5">
        <v>106.6</v>
      </c>
      <c r="H6003" s="5">
        <v>106.5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108.1</v>
      </c>
      <c r="D6004" s="5">
        <v>0.1</v>
      </c>
      <c r="E6004" s="5">
        <v>108.3</v>
      </c>
      <c r="F6004" s="5">
        <v>214.5</v>
      </c>
      <c r="G6004" s="5">
        <v>106.6</v>
      </c>
      <c r="H6004" s="5">
        <v>106.5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108.1</v>
      </c>
      <c r="D6005" s="5">
        <v>0.1</v>
      </c>
      <c r="E6005" s="5">
        <v>108.3</v>
      </c>
      <c r="F6005" s="5">
        <v>214.5</v>
      </c>
      <c r="G6005" s="5">
        <v>106.6</v>
      </c>
      <c r="H6005" s="5">
        <v>106.5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108.3</v>
      </c>
      <c r="D6006" s="5">
        <v>0.1</v>
      </c>
      <c r="E6006" s="5">
        <v>108.5</v>
      </c>
      <c r="F6006" s="5">
        <v>214.5</v>
      </c>
      <c r="G6006" s="5">
        <v>106.6</v>
      </c>
      <c r="H6006" s="5">
        <v>106.5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108.3</v>
      </c>
      <c r="D6007" s="5">
        <v>0.1</v>
      </c>
      <c r="E6007" s="5">
        <v>108.5</v>
      </c>
      <c r="F6007" s="5">
        <v>215.2</v>
      </c>
      <c r="G6007" s="5">
        <v>106.9</v>
      </c>
      <c r="H6007" s="5">
        <v>106.7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108.5</v>
      </c>
      <c r="D6008" s="5">
        <v>0.1</v>
      </c>
      <c r="E6008" s="5">
        <v>108.7</v>
      </c>
      <c r="F6008" s="5">
        <v>215.5</v>
      </c>
      <c r="G6008" s="5">
        <v>106.9</v>
      </c>
      <c r="H6008" s="5">
        <v>106.7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108.5</v>
      </c>
      <c r="D6009" s="5">
        <v>0.1</v>
      </c>
      <c r="E6009" s="5">
        <v>108.7</v>
      </c>
      <c r="F6009" s="5">
        <v>215.5</v>
      </c>
      <c r="G6009" s="5">
        <v>107.1</v>
      </c>
      <c r="H6009" s="5">
        <v>106.9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108</v>
      </c>
      <c r="D6010" s="5">
        <v>0.1</v>
      </c>
      <c r="E6010" s="5">
        <v>108.1</v>
      </c>
      <c r="F6010" s="5">
        <v>215.3</v>
      </c>
      <c r="G6010" s="5">
        <v>107</v>
      </c>
      <c r="H6010" s="5">
        <v>106.9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108</v>
      </c>
      <c r="D6011" s="5">
        <v>0.1</v>
      </c>
      <c r="E6011" s="5">
        <v>108.1</v>
      </c>
      <c r="F6011" s="5">
        <v>215.3</v>
      </c>
      <c r="G6011" s="5">
        <v>107</v>
      </c>
      <c r="H6011" s="5">
        <v>106.8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108.2</v>
      </c>
      <c r="D6012" s="5">
        <v>0.1</v>
      </c>
      <c r="E6012" s="5">
        <v>108.4</v>
      </c>
      <c r="F6012" s="5">
        <v>215.3</v>
      </c>
      <c r="G6012" s="5">
        <v>107</v>
      </c>
      <c r="H6012" s="5">
        <v>106.8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108.2</v>
      </c>
      <c r="D6013" s="5">
        <v>0.1</v>
      </c>
      <c r="E6013" s="5">
        <v>108.4</v>
      </c>
      <c r="F6013" s="5">
        <v>214.9</v>
      </c>
      <c r="G6013" s="5">
        <v>106.8</v>
      </c>
      <c r="H6013" s="5">
        <v>106.7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108.2</v>
      </c>
      <c r="D6014" s="5">
        <v>0.1</v>
      </c>
      <c r="E6014" s="5">
        <v>108.4</v>
      </c>
      <c r="F6014" s="5">
        <v>214.9</v>
      </c>
      <c r="G6014" s="5">
        <v>106.8</v>
      </c>
      <c r="H6014" s="5">
        <v>106.7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108.2</v>
      </c>
      <c r="D6015" s="5">
        <v>0.1</v>
      </c>
      <c r="E6015" s="5">
        <v>108.4</v>
      </c>
      <c r="F6015" s="5">
        <v>214.9</v>
      </c>
      <c r="G6015" s="5">
        <v>106.8</v>
      </c>
      <c r="H6015" s="5">
        <v>106.7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108.2</v>
      </c>
      <c r="D6016" s="5">
        <v>0.1</v>
      </c>
      <c r="E6016" s="5">
        <v>108.4</v>
      </c>
      <c r="F6016" s="5">
        <v>214.9</v>
      </c>
      <c r="G6016" s="5">
        <v>106.8</v>
      </c>
      <c r="H6016" s="5">
        <v>106.7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108</v>
      </c>
      <c r="D6017" s="5">
        <v>0.1</v>
      </c>
      <c r="E6017" s="5">
        <v>108.1</v>
      </c>
      <c r="F6017" s="5">
        <v>214.7</v>
      </c>
      <c r="G6017" s="5">
        <v>106.7</v>
      </c>
      <c r="H6017" s="5">
        <v>106.6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108</v>
      </c>
      <c r="D6018" s="5">
        <v>0.1</v>
      </c>
      <c r="E6018" s="5">
        <v>108.1</v>
      </c>
      <c r="F6018" s="5">
        <v>214.7</v>
      </c>
      <c r="G6018" s="5">
        <v>106.7</v>
      </c>
      <c r="H6018" s="5">
        <v>106.6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107.1</v>
      </c>
      <c r="D6019" s="5">
        <v>0.1</v>
      </c>
      <c r="E6019" s="5">
        <v>107.2</v>
      </c>
      <c r="F6019" s="5">
        <v>212.5</v>
      </c>
      <c r="G6019" s="5">
        <v>105.6</v>
      </c>
      <c r="H6019" s="5">
        <v>105.5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107.1</v>
      </c>
      <c r="D6020" s="5">
        <v>0.1</v>
      </c>
      <c r="E6020" s="5">
        <v>107.2</v>
      </c>
      <c r="F6020" s="5">
        <v>212.5</v>
      </c>
      <c r="G6020" s="5">
        <v>105.6</v>
      </c>
      <c r="H6020" s="5">
        <v>105.5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106.9</v>
      </c>
      <c r="D6021" s="5">
        <v>0.1</v>
      </c>
      <c r="E6021" s="5">
        <v>107</v>
      </c>
      <c r="F6021" s="5">
        <v>213.1</v>
      </c>
      <c r="G6021" s="5">
        <v>105.9</v>
      </c>
      <c r="H6021" s="5">
        <v>105.8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106.9</v>
      </c>
      <c r="D6022" s="5">
        <v>0.1</v>
      </c>
      <c r="E6022" s="5">
        <v>107</v>
      </c>
      <c r="F6022" s="5">
        <v>213.1</v>
      </c>
      <c r="G6022" s="5">
        <v>105.9</v>
      </c>
      <c r="H6022" s="5">
        <v>105.8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107.2</v>
      </c>
      <c r="D6023" s="5">
        <v>0.1</v>
      </c>
      <c r="E6023" s="5">
        <v>107.3</v>
      </c>
      <c r="F6023" s="5">
        <v>213.6</v>
      </c>
      <c r="G6023" s="5">
        <v>106.1</v>
      </c>
      <c r="H6023" s="5">
        <v>106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107.2</v>
      </c>
      <c r="D6024" s="5">
        <v>0.1</v>
      </c>
      <c r="E6024" s="5">
        <v>107.3</v>
      </c>
      <c r="F6024" s="5">
        <v>213.6</v>
      </c>
      <c r="G6024" s="5">
        <v>106.1</v>
      </c>
      <c r="H6024" s="5">
        <v>106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107.2</v>
      </c>
      <c r="D6025" s="5">
        <v>0.1</v>
      </c>
      <c r="E6025" s="5">
        <v>107.3</v>
      </c>
      <c r="F6025" s="5">
        <v>213.6</v>
      </c>
      <c r="G6025" s="5">
        <v>106.1</v>
      </c>
      <c r="H6025" s="5">
        <v>106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107.2</v>
      </c>
      <c r="D6026" s="5">
        <v>0.1</v>
      </c>
      <c r="E6026" s="5">
        <v>106.6</v>
      </c>
      <c r="F6026" s="5">
        <v>212.9</v>
      </c>
      <c r="G6026" s="5">
        <v>105.7</v>
      </c>
      <c r="H6026" s="5">
        <v>105.6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106.5</v>
      </c>
      <c r="D6027" s="5">
        <v>0.1</v>
      </c>
      <c r="E6027" s="5">
        <v>106.6</v>
      </c>
      <c r="F6027" s="5">
        <v>212.9</v>
      </c>
      <c r="G6027" s="5">
        <v>105.7</v>
      </c>
      <c r="H6027" s="5">
        <v>105.6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106.5</v>
      </c>
      <c r="D6028" s="5">
        <v>0.1</v>
      </c>
      <c r="E6028" s="5">
        <v>106.9</v>
      </c>
      <c r="F6028" s="5">
        <v>212.1</v>
      </c>
      <c r="G6028" s="5">
        <v>105.4</v>
      </c>
      <c r="H6028" s="5">
        <v>105.2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106.7</v>
      </c>
      <c r="D6029" s="5">
        <v>0.1</v>
      </c>
      <c r="E6029" s="5">
        <v>106.9</v>
      </c>
      <c r="F6029" s="5">
        <v>212.1</v>
      </c>
      <c r="G6029" s="5">
        <v>105.4</v>
      </c>
      <c r="H6029" s="5">
        <v>105.2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106.7</v>
      </c>
      <c r="D6030" s="5">
        <v>0.1</v>
      </c>
      <c r="E6030" s="5">
        <v>106.9</v>
      </c>
      <c r="F6030" s="5">
        <v>214.2</v>
      </c>
      <c r="G6030" s="5">
        <v>106.4</v>
      </c>
      <c r="H6030" s="5">
        <v>106.3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107.4</v>
      </c>
      <c r="D6031" s="5">
        <v>0.1</v>
      </c>
      <c r="E6031" s="5">
        <v>107.5</v>
      </c>
      <c r="F6031" s="5">
        <v>214.2</v>
      </c>
      <c r="G6031" s="5">
        <v>106.4</v>
      </c>
      <c r="H6031" s="5">
        <v>106.3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107.4</v>
      </c>
      <c r="D6032" s="5">
        <v>0.1</v>
      </c>
      <c r="E6032" s="5">
        <v>107.5</v>
      </c>
      <c r="F6032" s="5">
        <v>214.2</v>
      </c>
      <c r="G6032" s="5">
        <v>106.4</v>
      </c>
      <c r="H6032" s="5">
        <v>105.9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107.3</v>
      </c>
      <c r="D6033" s="5">
        <v>0.1</v>
      </c>
      <c r="E6033" s="5">
        <v>107.5</v>
      </c>
      <c r="F6033" s="5">
        <v>213.4</v>
      </c>
      <c r="G6033" s="5">
        <v>106</v>
      </c>
      <c r="H6033" s="5">
        <v>105.9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107.3</v>
      </c>
      <c r="D6034" s="5">
        <v>0.1</v>
      </c>
      <c r="E6034" s="5">
        <v>107.5</v>
      </c>
      <c r="F6034" s="5">
        <v>213.4</v>
      </c>
      <c r="G6034" s="5">
        <v>106</v>
      </c>
      <c r="H6034" s="5">
        <v>105.9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107.3</v>
      </c>
      <c r="D6035" s="5">
        <v>0.1</v>
      </c>
      <c r="E6035" s="5">
        <v>107.5</v>
      </c>
      <c r="F6035" s="5">
        <v>213.4</v>
      </c>
      <c r="G6035" s="5">
        <v>106</v>
      </c>
      <c r="H6035" s="5">
        <v>105.9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107.5</v>
      </c>
      <c r="D6036" s="5">
        <v>0.1</v>
      </c>
      <c r="E6036" s="5">
        <v>107.6</v>
      </c>
      <c r="F6036" s="5">
        <v>213.4</v>
      </c>
      <c r="G6036" s="5">
        <v>106</v>
      </c>
      <c r="H6036" s="5">
        <v>105.9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107.5</v>
      </c>
      <c r="D6037" s="5">
        <v>0.1</v>
      </c>
      <c r="E6037" s="5">
        <v>107.6</v>
      </c>
      <c r="F6037" s="5">
        <v>213.4</v>
      </c>
      <c r="G6037" s="5">
        <v>106</v>
      </c>
      <c r="H6037" s="5">
        <v>105.9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107.7</v>
      </c>
      <c r="D6038" s="5">
        <v>0.1</v>
      </c>
      <c r="E6038" s="5">
        <v>107.8</v>
      </c>
      <c r="F6038" s="5">
        <v>213.5</v>
      </c>
      <c r="G6038" s="5">
        <v>106.1</v>
      </c>
      <c r="H6038" s="5">
        <v>105.9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107.7</v>
      </c>
      <c r="D6039" s="5">
        <v>0.1</v>
      </c>
      <c r="E6039" s="5">
        <v>107.8</v>
      </c>
      <c r="F6039" s="5">
        <v>213.5</v>
      </c>
      <c r="G6039" s="5">
        <v>106.1</v>
      </c>
      <c r="H6039" s="5">
        <v>105.9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107.5</v>
      </c>
      <c r="D6040" s="5">
        <v>0.1</v>
      </c>
      <c r="E6040" s="5">
        <v>107.7</v>
      </c>
      <c r="F6040" s="5">
        <v>213.5</v>
      </c>
      <c r="G6040" s="5">
        <v>106.1</v>
      </c>
      <c r="H6040" s="5">
        <v>106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107.5</v>
      </c>
      <c r="D6041" s="5">
        <v>0.1</v>
      </c>
      <c r="E6041" s="5">
        <v>107.7</v>
      </c>
      <c r="F6041" s="5">
        <v>213.5</v>
      </c>
      <c r="G6041" s="5">
        <v>106.1</v>
      </c>
      <c r="H6041" s="5">
        <v>106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107.5</v>
      </c>
      <c r="D6042" s="5">
        <v>0.1</v>
      </c>
      <c r="E6042" s="5">
        <v>107.6</v>
      </c>
      <c r="F6042" s="5">
        <v>213.3</v>
      </c>
      <c r="G6042" s="5">
        <v>106</v>
      </c>
      <c r="H6042" s="5">
        <v>105.9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107.5</v>
      </c>
      <c r="D6043" s="5">
        <v>0.1</v>
      </c>
      <c r="E6043" s="5">
        <v>107.6</v>
      </c>
      <c r="F6043" s="5">
        <v>213.3</v>
      </c>
      <c r="G6043" s="5">
        <v>106</v>
      </c>
      <c r="H6043" s="5">
        <v>105.9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107.5</v>
      </c>
      <c r="D6044" s="5">
        <v>0.1</v>
      </c>
      <c r="E6044" s="5">
        <v>107.6</v>
      </c>
      <c r="F6044" s="5">
        <v>213.3</v>
      </c>
      <c r="G6044" s="5">
        <v>106</v>
      </c>
      <c r="H6044" s="5">
        <v>105.9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107.5</v>
      </c>
      <c r="D6045" s="5">
        <v>0.1</v>
      </c>
      <c r="E6045" s="5">
        <v>107.6</v>
      </c>
      <c r="F6045" s="5">
        <v>213.3</v>
      </c>
      <c r="G6045" s="5">
        <v>106</v>
      </c>
      <c r="H6045" s="5">
        <v>105.9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107.1</v>
      </c>
      <c r="D6046" s="5">
        <v>0.1</v>
      </c>
      <c r="E6046" s="5">
        <v>107.2</v>
      </c>
      <c r="F6046" s="5">
        <v>213.2</v>
      </c>
      <c r="G6046" s="5">
        <v>106</v>
      </c>
      <c r="H6046" s="5">
        <v>105.9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107.1</v>
      </c>
      <c r="D6047" s="5">
        <v>0.1</v>
      </c>
      <c r="E6047" s="5">
        <v>107.2</v>
      </c>
      <c r="F6047" s="5">
        <v>213.2</v>
      </c>
      <c r="G6047" s="5">
        <v>106</v>
      </c>
      <c r="H6047" s="5">
        <v>105.9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107.2</v>
      </c>
      <c r="D6048" s="5">
        <v>0.1</v>
      </c>
      <c r="E6048" s="5">
        <v>107.4</v>
      </c>
      <c r="F6048" s="5">
        <v>213.7</v>
      </c>
      <c r="G6048" s="5">
        <v>106.2</v>
      </c>
      <c r="H6048" s="5">
        <v>106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107.2</v>
      </c>
      <c r="D6049" s="5">
        <v>0.1</v>
      </c>
      <c r="E6049" s="5">
        <v>107.4</v>
      </c>
      <c r="F6049" s="5">
        <v>213.7</v>
      </c>
      <c r="G6049" s="5">
        <v>106.2</v>
      </c>
      <c r="H6049" s="5">
        <v>106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107.5</v>
      </c>
      <c r="D6050" s="5">
        <v>0.1</v>
      </c>
      <c r="E6050" s="5">
        <v>107.7</v>
      </c>
      <c r="F6050" s="5">
        <v>213.3</v>
      </c>
      <c r="G6050" s="5">
        <v>106</v>
      </c>
      <c r="H6050" s="5">
        <v>105.8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107.5</v>
      </c>
      <c r="D6051" s="5">
        <v>0.1</v>
      </c>
      <c r="E6051" s="5">
        <v>107.7</v>
      </c>
      <c r="F6051" s="5">
        <v>213.3</v>
      </c>
      <c r="G6051" s="5">
        <v>106</v>
      </c>
      <c r="H6051" s="5">
        <v>105.8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107.7</v>
      </c>
      <c r="D6052" s="5">
        <v>0.1</v>
      </c>
      <c r="E6052" s="5">
        <v>107.8</v>
      </c>
      <c r="F6052" s="5">
        <v>215.3</v>
      </c>
      <c r="G6052" s="5">
        <v>107</v>
      </c>
      <c r="H6052" s="5">
        <v>106.8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107.7</v>
      </c>
      <c r="D6053" s="5">
        <v>0.1</v>
      </c>
      <c r="E6053" s="5">
        <v>107.8</v>
      </c>
      <c r="F6053" s="5">
        <v>215.3</v>
      </c>
      <c r="G6053" s="5">
        <v>107</v>
      </c>
      <c r="H6053" s="5">
        <v>106.8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107.7</v>
      </c>
      <c r="D6054" s="5">
        <v>0.1</v>
      </c>
      <c r="E6054" s="5">
        <v>107.8</v>
      </c>
      <c r="F6054" s="5">
        <v>215.3</v>
      </c>
      <c r="G6054" s="5">
        <v>107</v>
      </c>
      <c r="H6054" s="5">
        <v>106.8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107.7</v>
      </c>
      <c r="D6055" s="5">
        <v>0.1</v>
      </c>
      <c r="E6055" s="5">
        <v>107.8</v>
      </c>
      <c r="F6055" s="5">
        <v>215.3</v>
      </c>
      <c r="G6055" s="5">
        <v>107</v>
      </c>
      <c r="H6055" s="5">
        <v>106.8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107.6</v>
      </c>
      <c r="D6056" s="5">
        <v>0.1</v>
      </c>
      <c r="E6056" s="5">
        <v>107.8</v>
      </c>
      <c r="F6056" s="5">
        <v>214.5</v>
      </c>
      <c r="G6056" s="5">
        <v>106.6</v>
      </c>
      <c r="H6056" s="5">
        <v>106.4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107.6</v>
      </c>
      <c r="D6057" s="5">
        <v>0.1</v>
      </c>
      <c r="E6057" s="5">
        <v>107.8</v>
      </c>
      <c r="F6057" s="5">
        <v>214.5</v>
      </c>
      <c r="G6057" s="5">
        <v>106.6</v>
      </c>
      <c r="H6057" s="5">
        <v>106.4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106.9</v>
      </c>
      <c r="D6058" s="5">
        <v>0.1</v>
      </c>
      <c r="E6058" s="5">
        <v>107</v>
      </c>
      <c r="F6058" s="5">
        <v>213.3</v>
      </c>
      <c r="G6058" s="5">
        <v>106</v>
      </c>
      <c r="H6058" s="5">
        <v>105.8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106.9</v>
      </c>
      <c r="D6059" s="5">
        <v>0.1</v>
      </c>
      <c r="E6059" s="5">
        <v>107</v>
      </c>
      <c r="F6059" s="5">
        <v>213.3</v>
      </c>
      <c r="G6059" s="5">
        <v>106</v>
      </c>
      <c r="H6059" s="5">
        <v>105.8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107.5</v>
      </c>
      <c r="D6060" s="5">
        <v>0.1</v>
      </c>
      <c r="E6060" s="5">
        <v>107.7</v>
      </c>
      <c r="F6060" s="5">
        <v>213.7</v>
      </c>
      <c r="G6060" s="5">
        <v>106.2</v>
      </c>
      <c r="H6060" s="5">
        <v>106.1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107.5</v>
      </c>
      <c r="D6061" s="5">
        <v>0.1</v>
      </c>
      <c r="E6061" s="5">
        <v>107.7</v>
      </c>
      <c r="F6061" s="5">
        <v>213.7</v>
      </c>
      <c r="G6061" s="5">
        <v>106.2</v>
      </c>
      <c r="H6061" s="5">
        <v>106.1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106.3</v>
      </c>
      <c r="D6062" s="5">
        <v>0.1</v>
      </c>
      <c r="E6062" s="5">
        <v>106.5</v>
      </c>
      <c r="F6062" s="5">
        <v>211.7</v>
      </c>
      <c r="G6062" s="5">
        <v>105.2</v>
      </c>
      <c r="H6062" s="5">
        <v>106.1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106.3</v>
      </c>
      <c r="D6063" s="5">
        <v>0.1</v>
      </c>
      <c r="E6063" s="5">
        <v>106.5</v>
      </c>
      <c r="F6063" s="5">
        <v>211.7</v>
      </c>
      <c r="G6063" s="5">
        <v>105.2</v>
      </c>
      <c r="H6063" s="5">
        <v>105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106.3</v>
      </c>
      <c r="D6064" s="5">
        <v>0.1</v>
      </c>
      <c r="E6064" s="5">
        <v>106.5</v>
      </c>
      <c r="F6064" s="5">
        <v>211.7</v>
      </c>
      <c r="G6064" s="5">
        <v>105.2</v>
      </c>
      <c r="H6064" s="5">
        <v>105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106.3</v>
      </c>
      <c r="D6065" s="5">
        <v>0.1</v>
      </c>
      <c r="E6065" s="5">
        <v>106.5</v>
      </c>
      <c r="F6065" s="5">
        <v>211.7</v>
      </c>
      <c r="G6065" s="5">
        <v>105.2</v>
      </c>
      <c r="H6065" s="5">
        <v>105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105.4</v>
      </c>
      <c r="D6066" s="5">
        <v>0.1</v>
      </c>
      <c r="E6066" s="5">
        <v>105.6</v>
      </c>
      <c r="F6066" s="5">
        <v>210.8</v>
      </c>
      <c r="G6066" s="5">
        <v>104.7</v>
      </c>
      <c r="H6066" s="5">
        <v>104.5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105.4</v>
      </c>
      <c r="D6067" s="5">
        <v>0.1</v>
      </c>
      <c r="E6067" s="5">
        <v>105.6</v>
      </c>
      <c r="F6067" s="5">
        <v>210.8</v>
      </c>
      <c r="G6067" s="5">
        <v>104.7</v>
      </c>
      <c r="H6067" s="5">
        <v>104.5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106.3</v>
      </c>
      <c r="D6068" s="5">
        <v>0.1</v>
      </c>
      <c r="E6068" s="5">
        <v>106.5</v>
      </c>
      <c r="F6068" s="5">
        <v>212.2</v>
      </c>
      <c r="G6068" s="5">
        <v>105.4</v>
      </c>
      <c r="H6068" s="5">
        <v>105.2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106.3</v>
      </c>
      <c r="D6069" s="5">
        <v>0.1</v>
      </c>
      <c r="E6069" s="5">
        <v>106.5</v>
      </c>
      <c r="F6069" s="5">
        <v>212.2</v>
      </c>
      <c r="G6069" s="5">
        <v>105.4</v>
      </c>
      <c r="H6069" s="5">
        <v>105.2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106.2</v>
      </c>
      <c r="D6070" s="5">
        <v>0.1</v>
      </c>
      <c r="E6070" s="5">
        <v>106.4</v>
      </c>
      <c r="F6070" s="5">
        <v>210.3</v>
      </c>
      <c r="G6070" s="5">
        <v>104.5</v>
      </c>
      <c r="H6070" s="5">
        <v>104.3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106.2</v>
      </c>
      <c r="D6071" s="5">
        <v>0.1</v>
      </c>
      <c r="E6071" s="5">
        <v>106.4</v>
      </c>
      <c r="F6071" s="5">
        <v>210.3</v>
      </c>
      <c r="G6071" s="5">
        <v>104.5</v>
      </c>
      <c r="H6071" s="5">
        <v>104.3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105</v>
      </c>
      <c r="D6072" s="5">
        <v>0.1</v>
      </c>
      <c r="E6072" s="5">
        <v>105.2</v>
      </c>
      <c r="F6072" s="5">
        <v>210.3</v>
      </c>
      <c r="G6072" s="5">
        <v>104.6</v>
      </c>
      <c r="H6072" s="5">
        <v>104.4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105</v>
      </c>
      <c r="D6073" s="5">
        <v>0.1</v>
      </c>
      <c r="E6073" s="5">
        <v>105.2</v>
      </c>
      <c r="F6073" s="5">
        <v>210.3</v>
      </c>
      <c r="G6073" s="5">
        <v>104.6</v>
      </c>
      <c r="H6073" s="5">
        <v>104.4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105</v>
      </c>
      <c r="D6074" s="5">
        <v>0.1</v>
      </c>
      <c r="E6074" s="5">
        <v>105.2</v>
      </c>
      <c r="F6074" s="5">
        <v>210.3</v>
      </c>
      <c r="G6074" s="5">
        <v>104.6</v>
      </c>
      <c r="H6074" s="5">
        <v>104.4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105</v>
      </c>
      <c r="D6075" s="5">
        <v>0.1</v>
      </c>
      <c r="E6075" s="5">
        <v>105.2</v>
      </c>
      <c r="F6075" s="5">
        <v>210.3</v>
      </c>
      <c r="G6075" s="5">
        <v>104.6</v>
      </c>
      <c r="H6075" s="5">
        <v>104.4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107.3</v>
      </c>
      <c r="D6076" s="5">
        <v>0.1</v>
      </c>
      <c r="E6076" s="5">
        <v>107.5</v>
      </c>
      <c r="F6076" s="5">
        <v>213.9</v>
      </c>
      <c r="G6076" s="5">
        <v>106.3</v>
      </c>
      <c r="H6076" s="5">
        <v>106.1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107.3</v>
      </c>
      <c r="D6077" s="5">
        <v>0.1</v>
      </c>
      <c r="E6077" s="5">
        <v>107.5</v>
      </c>
      <c r="F6077" s="5">
        <v>213.9</v>
      </c>
      <c r="G6077" s="5">
        <v>106.3</v>
      </c>
      <c r="H6077" s="5">
        <v>106.1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107.3</v>
      </c>
      <c r="D6078" s="5">
        <v>0.1</v>
      </c>
      <c r="E6078" s="5">
        <v>107.5</v>
      </c>
      <c r="F6078" s="5">
        <v>213.4</v>
      </c>
      <c r="G6078" s="5">
        <v>106.1</v>
      </c>
      <c r="H6078" s="5">
        <v>105.9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107.3</v>
      </c>
      <c r="D6079" s="5">
        <v>0.1</v>
      </c>
      <c r="E6079" s="5">
        <v>107.5</v>
      </c>
      <c r="F6079" s="5">
        <v>213.4</v>
      </c>
      <c r="G6079" s="5">
        <v>106.1</v>
      </c>
      <c r="H6079" s="5">
        <v>105.9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107.5</v>
      </c>
      <c r="D6080" s="5">
        <v>0.1</v>
      </c>
      <c r="E6080" s="5">
        <v>107.6</v>
      </c>
      <c r="F6080" s="5">
        <v>214</v>
      </c>
      <c r="G6080" s="5">
        <v>106.4</v>
      </c>
      <c r="H6080" s="5">
        <v>106.2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107.5</v>
      </c>
      <c r="D6081" s="5">
        <v>0.1</v>
      </c>
      <c r="E6081" s="5">
        <v>107.6</v>
      </c>
      <c r="F6081" s="5">
        <v>214</v>
      </c>
      <c r="G6081" s="5">
        <v>106.4</v>
      </c>
      <c r="H6081" s="5">
        <v>106.2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107.5</v>
      </c>
      <c r="D6082" s="5">
        <v>0.1</v>
      </c>
      <c r="E6082" s="5">
        <v>107.7</v>
      </c>
      <c r="F6082" s="5">
        <v>213.9</v>
      </c>
      <c r="G6082" s="5">
        <v>106.3</v>
      </c>
      <c r="H6082" s="5">
        <v>106.1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107.5</v>
      </c>
      <c r="D6083" s="5">
        <v>0.1</v>
      </c>
      <c r="E6083" s="5">
        <v>107.7</v>
      </c>
      <c r="F6083" s="5">
        <v>213.9</v>
      </c>
      <c r="G6083" s="5">
        <v>106.3</v>
      </c>
      <c r="H6083" s="5">
        <v>106.1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107.5</v>
      </c>
      <c r="D6084" s="5">
        <v>0.1</v>
      </c>
      <c r="E6084" s="5">
        <v>107.7</v>
      </c>
      <c r="F6084" s="5">
        <v>213.9</v>
      </c>
      <c r="G6084" s="5">
        <v>106.3</v>
      </c>
      <c r="H6084" s="5">
        <v>106.1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107.5</v>
      </c>
      <c r="D6085" s="5">
        <v>0.1</v>
      </c>
      <c r="E6085" s="5">
        <v>107.7</v>
      </c>
      <c r="F6085" s="5">
        <v>213.9</v>
      </c>
      <c r="G6085" s="5">
        <v>106.3</v>
      </c>
      <c r="H6085" s="5">
        <v>106.1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111.9</v>
      </c>
      <c r="D6086" s="5">
        <v>0.1</v>
      </c>
      <c r="E6086" s="5">
        <v>112</v>
      </c>
      <c r="F6086" s="5">
        <v>223.4</v>
      </c>
      <c r="G6086" s="5">
        <v>111</v>
      </c>
      <c r="H6086" s="5">
        <v>110.9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111.9</v>
      </c>
      <c r="D6087" s="5">
        <v>0.1</v>
      </c>
      <c r="E6087" s="5">
        <v>112</v>
      </c>
      <c r="F6087" s="5">
        <v>223.4</v>
      </c>
      <c r="G6087" s="5">
        <v>111</v>
      </c>
      <c r="H6087" s="5">
        <v>110.9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112.2</v>
      </c>
      <c r="D6088" s="5">
        <v>0.1</v>
      </c>
      <c r="E6088" s="5">
        <v>112.3</v>
      </c>
      <c r="F6088" s="5">
        <v>223.5</v>
      </c>
      <c r="G6088" s="5">
        <v>111.1</v>
      </c>
      <c r="H6088" s="5">
        <v>110.9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112.2</v>
      </c>
      <c r="D6089" s="5">
        <v>0.1</v>
      </c>
      <c r="E6089" s="5">
        <v>112.3</v>
      </c>
      <c r="F6089" s="5">
        <v>223.5</v>
      </c>
      <c r="G6089" s="5">
        <v>111.1</v>
      </c>
      <c r="H6089" s="5">
        <v>110.9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112.2</v>
      </c>
      <c r="F6090" s="5">
        <v>222.8</v>
      </c>
      <c r="G6090" s="5">
        <v>110.9</v>
      </c>
      <c r="H6090" s="5">
        <v>111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112.2</v>
      </c>
      <c r="F6091" s="5">
        <v>222.8</v>
      </c>
      <c r="G6091" s="5">
        <v>110.9</v>
      </c>
      <c r="H6091" s="5">
        <v>111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223.4</v>
      </c>
      <c r="G6092" s="5">
        <v>111.1</v>
      </c>
      <c r="H6092" s="5">
        <v>110.9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223.4</v>
      </c>
      <c r="G6093" s="5">
        <v>111.1</v>
      </c>
      <c r="H6093" s="5">
        <v>110.9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223.4</v>
      </c>
      <c r="G6094" s="5">
        <v>111.1</v>
      </c>
      <c r="H6094" s="5">
        <v>110.9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223.4</v>
      </c>
      <c r="G6095" s="5">
        <v>111.1</v>
      </c>
      <c r="H6095" s="5">
        <v>110.9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112.2</v>
      </c>
      <c r="D6096" s="5">
        <v>0.1</v>
      </c>
      <c r="E6096" s="5">
        <v>112.3</v>
      </c>
      <c r="F6096" s="5">
        <v>222.7</v>
      </c>
      <c r="G6096" s="5">
        <v>110.7</v>
      </c>
      <c r="H6096" s="5">
        <v>110.5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112.2</v>
      </c>
      <c r="D6097" s="5">
        <v>0.1</v>
      </c>
      <c r="E6097" s="5">
        <v>112.3</v>
      </c>
      <c r="F6097" s="5">
        <v>222.7</v>
      </c>
      <c r="G6097" s="5">
        <v>110.7</v>
      </c>
      <c r="H6097" s="5">
        <v>110.5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112.3</v>
      </c>
      <c r="D6098" s="5">
        <v>0.1</v>
      </c>
      <c r="E6098" s="5">
        <v>112.5</v>
      </c>
      <c r="F6098" s="5">
        <v>223</v>
      </c>
      <c r="G6098" s="5">
        <v>110.8</v>
      </c>
      <c r="H6098" s="5">
        <v>110.7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112.3</v>
      </c>
      <c r="D6099" s="5">
        <v>0.1</v>
      </c>
      <c r="E6099" s="5">
        <v>112.5</v>
      </c>
      <c r="F6099" s="5">
        <v>223</v>
      </c>
      <c r="G6099" s="5">
        <v>110.8</v>
      </c>
      <c r="H6099" s="5">
        <v>110.7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112.5</v>
      </c>
      <c r="D6100" s="5">
        <v>0.1</v>
      </c>
      <c r="E6100" s="5">
        <v>112.6</v>
      </c>
      <c r="F6100" s="5">
        <v>223.2</v>
      </c>
      <c r="G6100" s="5">
        <v>110.9</v>
      </c>
      <c r="H6100" s="5">
        <v>110.8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112.5</v>
      </c>
      <c r="D6101" s="5">
        <v>0.1</v>
      </c>
      <c r="E6101" s="5">
        <v>112.6</v>
      </c>
      <c r="F6101" s="5">
        <v>223.2</v>
      </c>
      <c r="G6101" s="5">
        <v>110.9</v>
      </c>
      <c r="H6101" s="5">
        <v>110.8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111.8</v>
      </c>
      <c r="D6102" s="5">
        <v>0.1</v>
      </c>
      <c r="E6102" s="5">
        <v>112</v>
      </c>
      <c r="F6102" s="5">
        <v>222.5</v>
      </c>
      <c r="G6102" s="5">
        <v>110.6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111.8</v>
      </c>
      <c r="D6103" s="5">
        <v>0.1</v>
      </c>
      <c r="E6103" s="5">
        <v>112</v>
      </c>
      <c r="F6103" s="5">
        <v>222.5</v>
      </c>
      <c r="G6103" s="5">
        <v>110.6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111.8</v>
      </c>
      <c r="D6104" s="5">
        <v>0.1</v>
      </c>
      <c r="E6104" s="5">
        <v>112</v>
      </c>
      <c r="F6104" s="5">
        <v>222.5</v>
      </c>
      <c r="G6104" s="5">
        <v>110.6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111.8</v>
      </c>
      <c r="D6105" s="5">
        <v>0.1</v>
      </c>
      <c r="E6105" s="5">
        <v>112</v>
      </c>
      <c r="F6105" s="5">
        <v>222.5</v>
      </c>
      <c r="G6105" s="5">
        <v>110.6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112.2</v>
      </c>
      <c r="F6106" s="5">
        <v>222.6</v>
      </c>
      <c r="G6106" s="5">
        <v>110.6</v>
      </c>
      <c r="H6106" s="5">
        <v>110.6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112.2</v>
      </c>
      <c r="F6107" s="5">
        <v>222.6</v>
      </c>
      <c r="G6107" s="5">
        <v>110.6</v>
      </c>
      <c r="H6107" s="5">
        <v>110.6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112.4</v>
      </c>
      <c r="D6108" s="5">
        <v>0.1</v>
      </c>
      <c r="E6108" s="5">
        <v>112.6</v>
      </c>
      <c r="F6108" s="5">
        <v>223.5</v>
      </c>
      <c r="G6108" s="5">
        <v>110.9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112.4</v>
      </c>
      <c r="D6109" s="5">
        <v>0.1</v>
      </c>
      <c r="E6109" s="5">
        <v>112.6</v>
      </c>
      <c r="F6109" s="5">
        <v>223.5</v>
      </c>
      <c r="G6109" s="5">
        <v>110.9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111.9</v>
      </c>
      <c r="D6110" s="5">
        <v>0.1</v>
      </c>
      <c r="E6110" s="5">
        <v>112</v>
      </c>
      <c r="F6110" s="5">
        <v>222.8</v>
      </c>
      <c r="G6110" s="5">
        <v>110.7</v>
      </c>
      <c r="H6110" s="5">
        <v>110.6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111.9</v>
      </c>
      <c r="D6111" s="5">
        <v>0.1</v>
      </c>
      <c r="E6111" s="5">
        <v>112</v>
      </c>
      <c r="F6111" s="5">
        <v>222.8</v>
      </c>
      <c r="G6111" s="5">
        <v>110.7</v>
      </c>
      <c r="H6111" s="5">
        <v>110.6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112.3</v>
      </c>
      <c r="D6112" s="5">
        <v>0.1</v>
      </c>
      <c r="E6112" s="5">
        <v>112.5</v>
      </c>
      <c r="F6112" s="5">
        <v>223.5</v>
      </c>
      <c r="G6112" s="5">
        <v>111</v>
      </c>
      <c r="H6112" s="5">
        <v>110.9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112.3</v>
      </c>
      <c r="D6113" s="5">
        <v>0.1</v>
      </c>
      <c r="E6113" s="5">
        <v>112.5</v>
      </c>
      <c r="F6113" s="5">
        <v>223.5</v>
      </c>
      <c r="G6113" s="5">
        <v>111</v>
      </c>
      <c r="H6113" s="5">
        <v>110.9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112.3</v>
      </c>
      <c r="D6114" s="5">
        <v>0.1</v>
      </c>
      <c r="E6114" s="5">
        <v>112.5</v>
      </c>
      <c r="F6114" s="5">
        <v>223.5</v>
      </c>
      <c r="G6114" s="5">
        <v>111</v>
      </c>
      <c r="H6114" s="5">
        <v>110.9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112.3</v>
      </c>
      <c r="D6115" s="5">
        <v>0.1</v>
      </c>
      <c r="E6115" s="5">
        <v>112.5</v>
      </c>
      <c r="F6115" s="5">
        <v>223.5</v>
      </c>
      <c r="G6115" s="5">
        <v>111</v>
      </c>
      <c r="H6115" s="5">
        <v>110.9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112.3</v>
      </c>
      <c r="D6116" s="5">
        <v>0.1</v>
      </c>
      <c r="E6116" s="5">
        <v>112.4</v>
      </c>
      <c r="F6116" s="5">
        <v>222.8</v>
      </c>
      <c r="G6116" s="5">
        <v>110.7</v>
      </c>
      <c r="H6116" s="5">
        <v>110.5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112.3</v>
      </c>
      <c r="D6117" s="5">
        <v>0.1</v>
      </c>
      <c r="E6117" s="5">
        <v>112.4</v>
      </c>
      <c r="F6117" s="5">
        <v>222.8</v>
      </c>
      <c r="G6117" s="5">
        <v>110.7</v>
      </c>
      <c r="H6117" s="5">
        <v>110.5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112.3</v>
      </c>
      <c r="D6118" s="5">
        <v>0.1</v>
      </c>
      <c r="E6118" s="5">
        <v>112.4</v>
      </c>
      <c r="F6118" s="5">
        <v>222.4</v>
      </c>
      <c r="G6118" s="5">
        <v>110.5</v>
      </c>
      <c r="H6118" s="5">
        <v>110.3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112.3</v>
      </c>
      <c r="D6119" s="5">
        <v>0.1</v>
      </c>
      <c r="E6119" s="5">
        <v>112.4</v>
      </c>
      <c r="F6119" s="5">
        <v>222.4</v>
      </c>
      <c r="G6119" s="5">
        <v>110.5</v>
      </c>
      <c r="H6119" s="5">
        <v>110.3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111.9</v>
      </c>
      <c r="D6120" s="5">
        <v>0.1</v>
      </c>
      <c r="E6120" s="5">
        <v>112</v>
      </c>
      <c r="F6120" s="5">
        <v>222.7</v>
      </c>
      <c r="G6120" s="5">
        <v>110.7</v>
      </c>
      <c r="H6120" s="5">
        <v>110.5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111.9</v>
      </c>
      <c r="D6121" s="5">
        <v>0.1</v>
      </c>
      <c r="E6121" s="5">
        <v>112</v>
      </c>
      <c r="F6121" s="5">
        <v>222.7</v>
      </c>
      <c r="G6121" s="5">
        <v>110.7</v>
      </c>
      <c r="H6121" s="5">
        <v>110.5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112.4</v>
      </c>
      <c r="D6122" s="5">
        <v>0.1</v>
      </c>
      <c r="E6122" s="5">
        <v>112.6</v>
      </c>
      <c r="F6122" s="5">
        <v>223.1</v>
      </c>
      <c r="G6122" s="5">
        <v>110.9</v>
      </c>
      <c r="H6122" s="5">
        <v>110.7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112.4</v>
      </c>
      <c r="D6123" s="5">
        <v>0.1</v>
      </c>
      <c r="E6123" s="5">
        <v>112.6</v>
      </c>
      <c r="F6123" s="5">
        <v>223.1</v>
      </c>
      <c r="G6123" s="5">
        <v>110.9</v>
      </c>
      <c r="H6123" s="5">
        <v>110.7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112.4</v>
      </c>
      <c r="D6124" s="5">
        <v>0.1</v>
      </c>
      <c r="E6124" s="5">
        <v>112.6</v>
      </c>
      <c r="F6124" s="5">
        <v>223.1</v>
      </c>
      <c r="G6124" s="5">
        <v>110.9</v>
      </c>
      <c r="H6124" s="5">
        <v>110.7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112.4</v>
      </c>
      <c r="D6125" s="5">
        <v>0.1</v>
      </c>
      <c r="E6125" s="5">
        <v>112.6</v>
      </c>
      <c r="F6125" s="5">
        <v>223.1</v>
      </c>
      <c r="G6125" s="5">
        <v>110.9</v>
      </c>
      <c r="H6125" s="5">
        <v>110.7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112.3</v>
      </c>
      <c r="D6126" s="5">
        <v>0.1</v>
      </c>
      <c r="E6126" s="5">
        <v>112.4</v>
      </c>
      <c r="F6126" s="5">
        <v>223.6</v>
      </c>
      <c r="G6126" s="5">
        <v>111.1</v>
      </c>
      <c r="H6126" s="5">
        <v>110.9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112.3</v>
      </c>
      <c r="D6127" s="5">
        <v>0.1</v>
      </c>
      <c r="E6127" s="5">
        <v>112.4</v>
      </c>
      <c r="F6127" s="5">
        <v>223.6</v>
      </c>
      <c r="G6127" s="5">
        <v>111.1</v>
      </c>
      <c r="H6127" s="5">
        <v>110.9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112.6</v>
      </c>
      <c r="D6128" s="5">
        <v>0.1</v>
      </c>
      <c r="E6128" s="5">
        <v>112.8</v>
      </c>
      <c r="F6128" s="5">
        <v>223.7</v>
      </c>
      <c r="G6128" s="5">
        <v>111.2</v>
      </c>
      <c r="H6128" s="5">
        <v>111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112.6</v>
      </c>
      <c r="D6129" s="5">
        <v>0.1</v>
      </c>
      <c r="E6129" s="5">
        <v>112.8</v>
      </c>
      <c r="F6129" s="5">
        <v>223.7</v>
      </c>
      <c r="G6129" s="5">
        <v>111.2</v>
      </c>
      <c r="H6129" s="5">
        <v>111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112.3</v>
      </c>
      <c r="D6130" s="5">
        <v>0.1</v>
      </c>
      <c r="E6130" s="5">
        <v>112.5</v>
      </c>
      <c r="F6130" s="5">
        <v>223.6</v>
      </c>
      <c r="G6130" s="5">
        <v>111.1</v>
      </c>
      <c r="H6130" s="5">
        <v>110.9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112.3</v>
      </c>
      <c r="D6131" s="5">
        <v>0.1</v>
      </c>
      <c r="E6131" s="5">
        <v>112.5</v>
      </c>
      <c r="F6131" s="5">
        <v>223.6</v>
      </c>
      <c r="G6131" s="5">
        <v>111.1</v>
      </c>
      <c r="H6131" s="5">
        <v>110.9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112.3</v>
      </c>
      <c r="D6132" s="5">
        <v>0.1</v>
      </c>
      <c r="E6132" s="5">
        <v>112.4</v>
      </c>
      <c r="F6132" s="5">
        <v>223.2</v>
      </c>
      <c r="G6132" s="5">
        <v>110.9</v>
      </c>
      <c r="H6132" s="5">
        <v>110.7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112.3</v>
      </c>
      <c r="D6133" s="5">
        <v>0.1</v>
      </c>
      <c r="E6133" s="5">
        <v>112.4</v>
      </c>
      <c r="F6133" s="5">
        <v>223.2</v>
      </c>
      <c r="G6133" s="5">
        <v>110.9</v>
      </c>
      <c r="H6133" s="5">
        <v>110.7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112.3</v>
      </c>
      <c r="D6134" s="5">
        <v>0.1</v>
      </c>
      <c r="E6134" s="5">
        <v>112.4</v>
      </c>
      <c r="F6134" s="5">
        <v>223.2</v>
      </c>
      <c r="G6134" s="5">
        <v>110.9</v>
      </c>
      <c r="H6134" s="5">
        <v>110.7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112.3</v>
      </c>
      <c r="D6135" s="5">
        <v>0.1</v>
      </c>
      <c r="E6135" s="5">
        <v>112.4</v>
      </c>
      <c r="F6135" s="5">
        <v>223.2</v>
      </c>
      <c r="G6135" s="5">
        <v>110.9</v>
      </c>
      <c r="H6135" s="5">
        <v>110.7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112.4</v>
      </c>
      <c r="D6136" s="5">
        <v>0.1</v>
      </c>
      <c r="E6136" s="5">
        <v>112.6</v>
      </c>
      <c r="F6136" s="5">
        <v>223.1</v>
      </c>
      <c r="G6136" s="5">
        <v>110.8</v>
      </c>
      <c r="H6136" s="5">
        <v>110.6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112.4</v>
      </c>
      <c r="D6137" s="5">
        <v>0.1</v>
      </c>
      <c r="E6137" s="5">
        <v>112.6</v>
      </c>
      <c r="F6137" s="5">
        <v>223.1</v>
      </c>
      <c r="G6137" s="5">
        <v>110.8</v>
      </c>
      <c r="H6137" s="5">
        <v>110.6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112.4</v>
      </c>
      <c r="D6138" s="5">
        <v>0.1</v>
      </c>
      <c r="E6138" s="5">
        <v>112.6</v>
      </c>
      <c r="F6138" s="5">
        <v>223.1</v>
      </c>
      <c r="G6138" s="5">
        <v>110.8</v>
      </c>
      <c r="H6138" s="5">
        <v>110.6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112.4</v>
      </c>
      <c r="D6139" s="5">
        <v>0.1</v>
      </c>
      <c r="E6139" s="5">
        <v>112.6</v>
      </c>
      <c r="F6139" s="5">
        <v>223.1</v>
      </c>
      <c r="G6139" s="5">
        <v>110.8</v>
      </c>
      <c r="H6139" s="5">
        <v>110.6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113.2</v>
      </c>
      <c r="D6140" s="5">
        <v>0.1</v>
      </c>
      <c r="E6140" s="5">
        <v>113.4</v>
      </c>
      <c r="F6140" s="5">
        <v>224.7</v>
      </c>
      <c r="G6140" s="5">
        <v>111.7</v>
      </c>
      <c r="H6140" s="5">
        <v>111.5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113.2</v>
      </c>
      <c r="D6141" s="5">
        <v>0.1</v>
      </c>
      <c r="E6141" s="5">
        <v>113.4</v>
      </c>
      <c r="F6141" s="5">
        <v>224.7</v>
      </c>
      <c r="G6141" s="5">
        <v>111.7</v>
      </c>
      <c r="H6141" s="5">
        <v>111.5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112.9</v>
      </c>
      <c r="D6142" s="5">
        <v>0.1</v>
      </c>
      <c r="E6142" s="5">
        <v>113.1</v>
      </c>
      <c r="F6142" s="5">
        <v>225.2</v>
      </c>
      <c r="G6142" s="5">
        <v>111.9</v>
      </c>
      <c r="H6142" s="5">
        <v>111.7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112.9</v>
      </c>
      <c r="D6143" s="5">
        <v>0.1</v>
      </c>
      <c r="E6143" s="5">
        <v>113.1</v>
      </c>
      <c r="F6143" s="5">
        <v>225.2</v>
      </c>
      <c r="G6143" s="5">
        <v>111.9</v>
      </c>
      <c r="H6143" s="5">
        <v>111.7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112.9</v>
      </c>
      <c r="D6144" s="5">
        <v>0.1</v>
      </c>
      <c r="E6144" s="5">
        <v>113.1</v>
      </c>
      <c r="F6144" s="5">
        <v>225.2</v>
      </c>
      <c r="G6144" s="5">
        <v>111.9</v>
      </c>
      <c r="H6144" s="5">
        <v>111.7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112.9</v>
      </c>
      <c r="D6145" s="5">
        <v>0.1</v>
      </c>
      <c r="E6145" s="5">
        <v>113.1</v>
      </c>
      <c r="F6145" s="5">
        <v>225.2</v>
      </c>
      <c r="G6145" s="5">
        <v>111.9</v>
      </c>
      <c r="H6145" s="5">
        <v>111.7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223.7</v>
      </c>
      <c r="G6146" s="5">
        <v>111.2</v>
      </c>
      <c r="H6146" s="5">
        <v>111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223.7</v>
      </c>
      <c r="G6147" s="5">
        <v>111.2</v>
      </c>
      <c r="H6147" s="5">
        <v>111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113.6</v>
      </c>
      <c r="D6148" s="5">
        <v>0.1</v>
      </c>
      <c r="E6148" s="5">
        <v>113.7</v>
      </c>
      <c r="F6148" s="5">
        <v>225.4</v>
      </c>
      <c r="G6148" s="5">
        <v>112</v>
      </c>
      <c r="H6148" s="5">
        <v>111.8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113.6</v>
      </c>
      <c r="D6149" s="5">
        <v>0.1</v>
      </c>
      <c r="E6149" s="5">
        <v>113.7</v>
      </c>
      <c r="F6149" s="5">
        <v>225.4</v>
      </c>
      <c r="G6149" s="5">
        <v>112</v>
      </c>
      <c r="H6149" s="5">
        <v>111.8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113</v>
      </c>
      <c r="D6150" s="5">
        <v>0.1</v>
      </c>
      <c r="E6150" s="5">
        <v>113.2</v>
      </c>
      <c r="F6150" s="5">
        <v>224.8</v>
      </c>
      <c r="G6150" s="5">
        <v>111.7</v>
      </c>
      <c r="H6150" s="5">
        <v>111.6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113</v>
      </c>
      <c r="D6151" s="5">
        <v>0.1</v>
      </c>
      <c r="E6151" s="5">
        <v>113.2</v>
      </c>
      <c r="F6151" s="5">
        <v>224.8</v>
      </c>
      <c r="G6151" s="5">
        <v>111.7</v>
      </c>
      <c r="H6151" s="5">
        <v>111.6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112.9</v>
      </c>
      <c r="D6152" s="5">
        <v>0.1</v>
      </c>
      <c r="E6152" s="5">
        <v>113.1</v>
      </c>
      <c r="F6152" s="5">
        <v>224.9</v>
      </c>
      <c r="G6152" s="5">
        <v>111.7</v>
      </c>
      <c r="H6152" s="5">
        <v>111.6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112.9</v>
      </c>
      <c r="D6153" s="5">
        <v>0.1</v>
      </c>
      <c r="E6153" s="5">
        <v>113.1</v>
      </c>
      <c r="F6153" s="5">
        <v>224.9</v>
      </c>
      <c r="G6153" s="5">
        <v>111.7</v>
      </c>
      <c r="H6153" s="5">
        <v>111.6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112.9</v>
      </c>
      <c r="D6154" s="5">
        <v>0.1</v>
      </c>
      <c r="E6154" s="5">
        <v>113.1</v>
      </c>
      <c r="F6154" s="5">
        <v>224.9</v>
      </c>
      <c r="G6154" s="5">
        <v>111.7</v>
      </c>
      <c r="H6154" s="5">
        <v>111.6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112.9</v>
      </c>
      <c r="D6155" s="5">
        <v>0.1</v>
      </c>
      <c r="E6155" s="5">
        <v>113</v>
      </c>
      <c r="F6155" s="5">
        <v>224.4</v>
      </c>
      <c r="G6155" s="5">
        <v>111.5</v>
      </c>
      <c r="H6155" s="5">
        <v>111.3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112.9</v>
      </c>
      <c r="D6156" s="5">
        <v>0.1</v>
      </c>
      <c r="E6156" s="5">
        <v>113</v>
      </c>
      <c r="F6156" s="5">
        <v>224.4</v>
      </c>
      <c r="G6156" s="5">
        <v>111.5</v>
      </c>
      <c r="H6156" s="5">
        <v>111.3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112.8</v>
      </c>
      <c r="D6157" s="5">
        <v>0.1</v>
      </c>
      <c r="E6157" s="5">
        <v>112.9</v>
      </c>
      <c r="F6157" s="5">
        <v>224.4</v>
      </c>
      <c r="G6157" s="5">
        <v>111.5</v>
      </c>
      <c r="H6157" s="5">
        <v>111.3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112.8</v>
      </c>
      <c r="D6158" s="5">
        <v>0.1</v>
      </c>
      <c r="E6158" s="5">
        <v>112.9</v>
      </c>
      <c r="F6158" s="5">
        <v>224.4</v>
      </c>
      <c r="G6158" s="5">
        <v>111.5</v>
      </c>
      <c r="H6158" s="5">
        <v>111.3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112.5</v>
      </c>
      <c r="D6159" s="5">
        <v>0.1</v>
      </c>
      <c r="E6159" s="5">
        <v>112.9</v>
      </c>
      <c r="F6159" s="5">
        <v>224.4</v>
      </c>
      <c r="G6159" s="5">
        <v>111.5</v>
      </c>
      <c r="H6159" s="5">
        <v>111.3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112.5</v>
      </c>
      <c r="D6160" s="5">
        <v>0.1</v>
      </c>
      <c r="E6160" s="5">
        <v>112.6</v>
      </c>
      <c r="F6160" s="5">
        <v>224.5</v>
      </c>
      <c r="G6160" s="5">
        <v>111.5</v>
      </c>
      <c r="H6160" s="5">
        <v>111.3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112.5</v>
      </c>
      <c r="D6161" s="5">
        <v>0.1</v>
      </c>
      <c r="E6161" s="5">
        <v>112.6</v>
      </c>
      <c r="F6161" s="5">
        <v>224.5</v>
      </c>
      <c r="G6161" s="5">
        <v>111.5</v>
      </c>
      <c r="H6161" s="5">
        <v>111.3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112.7</v>
      </c>
      <c r="D6162" s="5">
        <v>0.1</v>
      </c>
      <c r="E6162" s="5">
        <v>112.9</v>
      </c>
      <c r="F6162" s="5">
        <v>224.4</v>
      </c>
      <c r="G6162" s="5">
        <v>111.5</v>
      </c>
      <c r="H6162" s="5">
        <v>111.4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112.7</v>
      </c>
      <c r="D6163" s="5">
        <v>0.1</v>
      </c>
      <c r="E6163" s="5">
        <v>112.9</v>
      </c>
      <c r="F6163" s="5">
        <v>224.4</v>
      </c>
      <c r="G6163" s="5">
        <v>111.5</v>
      </c>
      <c r="H6163" s="5">
        <v>111.4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112.7</v>
      </c>
      <c r="D6164" s="5">
        <v>0.1</v>
      </c>
      <c r="E6164" s="5">
        <v>112.9</v>
      </c>
      <c r="F6164" s="5">
        <v>224.4</v>
      </c>
      <c r="G6164" s="5">
        <v>111.5</v>
      </c>
      <c r="H6164" s="5">
        <v>111.4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112.7</v>
      </c>
      <c r="D6165" s="5">
        <v>0.1</v>
      </c>
      <c r="E6165" s="5">
        <v>112.9</v>
      </c>
      <c r="F6165" s="5">
        <v>224.4</v>
      </c>
      <c r="G6165" s="5">
        <v>111.5</v>
      </c>
      <c r="H6165" s="5">
        <v>111.4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112.9</v>
      </c>
      <c r="D6166" s="5">
        <v>0.1</v>
      </c>
      <c r="E6166" s="5">
        <v>113.1</v>
      </c>
      <c r="F6166" s="5">
        <v>224.2</v>
      </c>
      <c r="G6166" s="5">
        <v>111.4</v>
      </c>
      <c r="H6166" s="5">
        <v>111.3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112.9</v>
      </c>
      <c r="D6167" s="5">
        <v>0.1</v>
      </c>
      <c r="E6167" s="5">
        <v>113.1</v>
      </c>
      <c r="F6167" s="5">
        <v>224.2</v>
      </c>
      <c r="G6167" s="5">
        <v>111.4</v>
      </c>
      <c r="H6167" s="5">
        <v>111.3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113.5</v>
      </c>
      <c r="D6168" s="5">
        <v>0.1</v>
      </c>
      <c r="E6168" s="5">
        <v>113.6</v>
      </c>
      <c r="F6168" s="5">
        <v>224.9</v>
      </c>
      <c r="G6168" s="5">
        <v>111.8</v>
      </c>
      <c r="H6168" s="5">
        <v>111.6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113.5</v>
      </c>
      <c r="D6169" s="5">
        <v>0.1</v>
      </c>
      <c r="E6169" s="5">
        <v>113.6</v>
      </c>
      <c r="F6169" s="5">
        <v>224.9</v>
      </c>
      <c r="G6169" s="5">
        <v>111.8</v>
      </c>
      <c r="H6169" s="5">
        <v>111.6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113.3</v>
      </c>
      <c r="D6170" s="5">
        <v>0.1</v>
      </c>
      <c r="E6170" s="5">
        <v>113.5</v>
      </c>
      <c r="F6170" s="5">
        <v>224.3</v>
      </c>
      <c r="G6170" s="5">
        <v>111.3</v>
      </c>
      <c r="H6170" s="5">
        <v>111.2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113.3</v>
      </c>
      <c r="D6171" s="5">
        <v>0.1</v>
      </c>
      <c r="E6171" s="5">
        <v>113.5</v>
      </c>
      <c r="F6171" s="5">
        <v>224.3</v>
      </c>
      <c r="G6171" s="5">
        <v>111.3</v>
      </c>
      <c r="H6171" s="5">
        <v>111.2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113.6</v>
      </c>
      <c r="D6172" s="5">
        <v>0.1</v>
      </c>
      <c r="E6172" s="5">
        <v>113.8</v>
      </c>
      <c r="F6172" s="5">
        <v>225.5</v>
      </c>
      <c r="G6172" s="5">
        <v>112</v>
      </c>
      <c r="H6172" s="5">
        <v>111.9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113.6</v>
      </c>
      <c r="D6173" s="5">
        <v>0.1</v>
      </c>
      <c r="E6173" s="5">
        <v>113.8</v>
      </c>
      <c r="F6173" s="5">
        <v>225.5</v>
      </c>
      <c r="G6173" s="5">
        <v>112</v>
      </c>
      <c r="H6173" s="5">
        <v>111.9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113.6</v>
      </c>
      <c r="D6174" s="5">
        <v>0.1</v>
      </c>
      <c r="E6174" s="5">
        <v>113.8</v>
      </c>
      <c r="F6174" s="5">
        <v>225.5</v>
      </c>
      <c r="G6174" s="5">
        <v>112</v>
      </c>
      <c r="H6174" s="5">
        <v>111.9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113.6</v>
      </c>
      <c r="D6175" s="5">
        <v>0.1</v>
      </c>
      <c r="E6175" s="5">
        <v>113.8</v>
      </c>
      <c r="F6175" s="5">
        <v>225.3</v>
      </c>
      <c r="G6175" s="5">
        <v>112</v>
      </c>
      <c r="H6175" s="5">
        <v>111.8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113.6</v>
      </c>
      <c r="D6176" s="5">
        <v>0.1</v>
      </c>
      <c r="E6176" s="5">
        <v>113.8</v>
      </c>
      <c r="F6176" s="5">
        <v>225.3</v>
      </c>
      <c r="G6176" s="5">
        <v>112</v>
      </c>
      <c r="H6176" s="5">
        <v>111.8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113</v>
      </c>
      <c r="D6177" s="5">
        <v>0.1</v>
      </c>
      <c r="E6177" s="5">
        <v>113.2</v>
      </c>
      <c r="F6177" s="5">
        <v>224.5</v>
      </c>
      <c r="G6177" s="5">
        <v>111.5</v>
      </c>
      <c r="H6177" s="5">
        <v>111.4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113</v>
      </c>
      <c r="D6178" s="5">
        <v>0.1</v>
      </c>
      <c r="E6178" s="5">
        <v>113.2</v>
      </c>
      <c r="F6178" s="5">
        <v>224.5</v>
      </c>
      <c r="G6178" s="5">
        <v>111.5</v>
      </c>
      <c r="H6178" s="5">
        <v>111.4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113.1</v>
      </c>
      <c r="D6179" s="5">
        <v>0.1</v>
      </c>
      <c r="E6179" s="5">
        <v>113.2</v>
      </c>
      <c r="F6179" s="5">
        <v>224.5</v>
      </c>
      <c r="G6179" s="5">
        <v>111.5</v>
      </c>
      <c r="H6179" s="5">
        <v>111.3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113.1</v>
      </c>
      <c r="D6180" s="5">
        <v>0.1</v>
      </c>
      <c r="E6180" s="5">
        <v>113.2</v>
      </c>
      <c r="F6180" s="5">
        <v>224.5</v>
      </c>
      <c r="G6180" s="5">
        <v>111.5</v>
      </c>
      <c r="H6180" s="5">
        <v>111.3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112.9</v>
      </c>
      <c r="D6181" s="5">
        <v>0.1</v>
      </c>
      <c r="E6181" s="5">
        <v>113.1</v>
      </c>
      <c r="F6181" s="5">
        <v>223.6</v>
      </c>
      <c r="G6181" s="5">
        <v>111.1</v>
      </c>
      <c r="H6181" s="5">
        <v>110.9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112.9</v>
      </c>
      <c r="D6182" s="5">
        <v>0.1</v>
      </c>
      <c r="E6182" s="5">
        <v>113.1</v>
      </c>
      <c r="F6182" s="5">
        <v>223.6</v>
      </c>
      <c r="G6182" s="5">
        <v>111.1</v>
      </c>
      <c r="H6182" s="5">
        <v>110.9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112.9</v>
      </c>
      <c r="D6183" s="5">
        <v>0.1</v>
      </c>
      <c r="E6183" s="5">
        <v>113.1</v>
      </c>
      <c r="F6183" s="5">
        <v>223.6</v>
      </c>
      <c r="G6183" s="5">
        <v>111.1</v>
      </c>
      <c r="H6183" s="5">
        <v>110.9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112.9</v>
      </c>
      <c r="D6184" s="5">
        <v>0.1</v>
      </c>
      <c r="E6184" s="5">
        <v>113.1</v>
      </c>
      <c r="F6184" s="5">
        <v>223.6</v>
      </c>
      <c r="G6184" s="5">
        <v>111.1</v>
      </c>
      <c r="H6184" s="5">
        <v>110.9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113.2</v>
      </c>
      <c r="D6185" s="5">
        <v>0.1</v>
      </c>
      <c r="E6185" s="5">
        <v>113.4</v>
      </c>
      <c r="F6185" s="5">
        <v>225.1</v>
      </c>
      <c r="G6185" s="5">
        <v>111.9</v>
      </c>
      <c r="H6185" s="5">
        <v>111.7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113.2</v>
      </c>
      <c r="D6186" s="5">
        <v>0.1</v>
      </c>
      <c r="E6186" s="5">
        <v>113.4</v>
      </c>
      <c r="F6186" s="5">
        <v>225.1</v>
      </c>
      <c r="G6186" s="5">
        <v>111.9</v>
      </c>
      <c r="H6186" s="5">
        <v>111.7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112.8</v>
      </c>
      <c r="D6187" s="5">
        <v>0.1</v>
      </c>
      <c r="E6187" s="5">
        <v>112.9</v>
      </c>
      <c r="F6187" s="5">
        <v>225.2</v>
      </c>
      <c r="G6187" s="5">
        <v>111.9</v>
      </c>
      <c r="H6187" s="5">
        <v>111.8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112.8</v>
      </c>
      <c r="D6188" s="5">
        <v>0.1</v>
      </c>
      <c r="E6188" s="5">
        <v>112.9</v>
      </c>
      <c r="F6188" s="5">
        <v>225.2</v>
      </c>
      <c r="G6188" s="5">
        <v>111.9</v>
      </c>
      <c r="H6188" s="5">
        <v>111.8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112.6</v>
      </c>
      <c r="D6189" s="5">
        <v>0.1</v>
      </c>
      <c r="E6189" s="5">
        <v>112.9</v>
      </c>
      <c r="F6189" s="5">
        <v>224.6</v>
      </c>
      <c r="G6189" s="5">
        <v>111.6</v>
      </c>
      <c r="H6189" s="5">
        <v>111.5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112.6</v>
      </c>
      <c r="D6190" s="5">
        <v>0.1</v>
      </c>
      <c r="E6190" s="5">
        <v>112.9</v>
      </c>
      <c r="F6190" s="5">
        <v>224.6</v>
      </c>
      <c r="G6190" s="5">
        <v>111.6</v>
      </c>
      <c r="H6190" s="5">
        <v>111.5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112.5</v>
      </c>
      <c r="D6191" s="5">
        <v>0.1</v>
      </c>
      <c r="E6191" s="5">
        <v>112.6</v>
      </c>
      <c r="F6191" s="5">
        <v>224.4</v>
      </c>
      <c r="G6191" s="5">
        <v>111.5</v>
      </c>
      <c r="H6191" s="5">
        <v>111.3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112.5</v>
      </c>
      <c r="D6192" s="5">
        <v>0.1</v>
      </c>
      <c r="E6192" s="5">
        <v>112.6</v>
      </c>
      <c r="F6192" s="5">
        <v>224.4</v>
      </c>
      <c r="G6192" s="5">
        <v>111.5</v>
      </c>
      <c r="H6192" s="5">
        <v>111.3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112.5</v>
      </c>
      <c r="D6193" s="5">
        <v>0.1</v>
      </c>
      <c r="E6193" s="5">
        <v>112.6</v>
      </c>
      <c r="F6193" s="5">
        <v>224.4</v>
      </c>
      <c r="G6193" s="5">
        <v>111.5</v>
      </c>
      <c r="H6193" s="5">
        <v>111.3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112.5</v>
      </c>
      <c r="D6194" s="5">
        <v>0.1</v>
      </c>
      <c r="E6194" s="5">
        <v>112.6</v>
      </c>
      <c r="F6194" s="5">
        <v>224.4</v>
      </c>
      <c r="G6194" s="5">
        <v>111.5</v>
      </c>
      <c r="H6194" s="5">
        <v>111.3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112.6</v>
      </c>
      <c r="D6195" s="5">
        <v>0.1</v>
      </c>
      <c r="E6195" s="5">
        <v>112.7</v>
      </c>
      <c r="F6195" s="5">
        <v>224.5</v>
      </c>
      <c r="G6195" s="5">
        <v>111.5</v>
      </c>
      <c r="H6195" s="5">
        <v>111.3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112.6</v>
      </c>
      <c r="D6196" s="5">
        <v>0.1</v>
      </c>
      <c r="E6196" s="5">
        <v>112.7</v>
      </c>
      <c r="F6196" s="5">
        <v>224.5</v>
      </c>
      <c r="G6196" s="5">
        <v>111.5</v>
      </c>
      <c r="H6196" s="5">
        <v>111.3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113</v>
      </c>
      <c r="D6197" s="5">
        <v>0.1</v>
      </c>
      <c r="E6197" s="5">
        <v>113.2</v>
      </c>
      <c r="F6197" s="5">
        <v>224.8</v>
      </c>
      <c r="G6197" s="5">
        <v>111.7</v>
      </c>
      <c r="H6197" s="5">
        <v>111.5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113</v>
      </c>
      <c r="D6198" s="5">
        <v>0.1</v>
      </c>
      <c r="E6198" s="5">
        <v>113.2</v>
      </c>
      <c r="F6198" s="5">
        <v>224.8</v>
      </c>
      <c r="G6198" s="5">
        <v>111.7</v>
      </c>
      <c r="H6198" s="5">
        <v>111.5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111.4</v>
      </c>
      <c r="D6199" s="5">
        <v>0.1</v>
      </c>
      <c r="E6199" s="5">
        <v>111.6</v>
      </c>
      <c r="F6199" s="5">
        <v>224.1</v>
      </c>
      <c r="G6199" s="5">
        <v>111.7</v>
      </c>
      <c r="H6199" s="5">
        <v>111.5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111.4</v>
      </c>
      <c r="D6200" s="5">
        <v>0.1</v>
      </c>
      <c r="E6200" s="5">
        <v>111.6</v>
      </c>
      <c r="F6200" s="5">
        <v>224.1</v>
      </c>
      <c r="G6200" s="5">
        <v>111.3</v>
      </c>
      <c r="H6200" s="5">
        <v>111.2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111.7</v>
      </c>
      <c r="D6201" s="5">
        <v>0.1</v>
      </c>
      <c r="E6201" s="5">
        <v>111.9</v>
      </c>
      <c r="F6201" s="5">
        <v>223.6</v>
      </c>
      <c r="G6201" s="5">
        <v>111.3</v>
      </c>
      <c r="H6201" s="5">
        <v>111.2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111.7</v>
      </c>
      <c r="D6202" s="5">
        <v>0.1</v>
      </c>
      <c r="E6202" s="5">
        <v>111.9</v>
      </c>
      <c r="F6202" s="5">
        <v>223.6</v>
      </c>
      <c r="G6202" s="5">
        <v>110.6</v>
      </c>
      <c r="H6202" s="5">
        <v>110.6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111.7</v>
      </c>
      <c r="D6203" s="5">
        <v>0.1</v>
      </c>
      <c r="E6203" s="5">
        <v>111.9</v>
      </c>
      <c r="F6203" s="5">
        <v>223.6</v>
      </c>
      <c r="G6203" s="5">
        <v>110.6</v>
      </c>
      <c r="H6203" s="5">
        <v>110.6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111.7</v>
      </c>
      <c r="D6204" s="5">
        <v>0.1</v>
      </c>
      <c r="E6204" s="5">
        <v>111.9</v>
      </c>
      <c r="F6204" s="5">
        <v>223.6</v>
      </c>
      <c r="G6204" s="5">
        <v>110.6</v>
      </c>
      <c r="H6204" s="5">
        <v>110.6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106.6</v>
      </c>
      <c r="D6205" s="5">
        <v>0.1</v>
      </c>
      <c r="E6205" s="5">
        <v>106.7</v>
      </c>
      <c r="F6205" s="5">
        <v>212.7</v>
      </c>
      <c r="G6205" s="5">
        <v>105.7</v>
      </c>
      <c r="H6205" s="5">
        <v>105.5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106.6</v>
      </c>
      <c r="D6206" s="5">
        <v>0.1</v>
      </c>
      <c r="E6206" s="5">
        <v>106.7</v>
      </c>
      <c r="F6206" s="5">
        <v>212.7</v>
      </c>
      <c r="G6206" s="5">
        <v>105.7</v>
      </c>
      <c r="H6206" s="5">
        <v>105.5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107.8</v>
      </c>
      <c r="D6207" s="5">
        <v>0.1</v>
      </c>
      <c r="E6207" s="5">
        <v>107.9</v>
      </c>
      <c r="F6207" s="5">
        <v>217.1</v>
      </c>
      <c r="G6207" s="5">
        <v>107.7</v>
      </c>
      <c r="H6207" s="5">
        <v>107.4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107.8</v>
      </c>
      <c r="D6208" s="5">
        <v>0.1</v>
      </c>
      <c r="E6208" s="5">
        <v>107.9</v>
      </c>
      <c r="F6208" s="5">
        <v>217.1</v>
      </c>
      <c r="G6208" s="5">
        <v>107.7</v>
      </c>
      <c r="H6208" s="5">
        <v>107.4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105.9</v>
      </c>
      <c r="D6209" s="5">
        <v>0.1</v>
      </c>
      <c r="E6209" s="5">
        <v>106.1</v>
      </c>
      <c r="F6209" s="5">
        <v>210.7</v>
      </c>
      <c r="G6209" s="5">
        <v>104.7</v>
      </c>
      <c r="H6209" s="5">
        <v>104.6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105.9</v>
      </c>
      <c r="D6210" s="5">
        <v>0.1</v>
      </c>
      <c r="E6210" s="5">
        <v>106.1</v>
      </c>
      <c r="F6210" s="5">
        <v>210.7</v>
      </c>
      <c r="G6210" s="5">
        <v>104.7</v>
      </c>
      <c r="H6210" s="5">
        <v>104.6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105.9</v>
      </c>
      <c r="D6211" s="5">
        <v>0.1</v>
      </c>
      <c r="E6211" s="5">
        <v>113.3</v>
      </c>
      <c r="F6211" s="5">
        <v>224.5</v>
      </c>
      <c r="G6211" s="5">
        <v>111.6</v>
      </c>
      <c r="H6211" s="5">
        <v>111.5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113.2</v>
      </c>
      <c r="D6212" s="5">
        <v>0.1</v>
      </c>
      <c r="E6212" s="5">
        <v>113.3</v>
      </c>
      <c r="F6212" s="5">
        <v>224.5</v>
      </c>
      <c r="G6212" s="5">
        <v>111.6</v>
      </c>
      <c r="H6212" s="5">
        <v>111.5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113.2</v>
      </c>
      <c r="D6213" s="5">
        <v>0.1</v>
      </c>
      <c r="E6213" s="5">
        <v>113.3</v>
      </c>
      <c r="F6213" s="5">
        <v>224.5</v>
      </c>
      <c r="G6213" s="5">
        <v>111.6</v>
      </c>
      <c r="H6213" s="5">
        <v>111.5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113.2</v>
      </c>
      <c r="D6214" s="5">
        <v>0.1</v>
      </c>
      <c r="E6214" s="5">
        <v>113.3</v>
      </c>
      <c r="F6214" s="5">
        <v>224.5</v>
      </c>
      <c r="G6214" s="5">
        <v>111.6</v>
      </c>
      <c r="H6214" s="5">
        <v>111.5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112.9</v>
      </c>
      <c r="D6215" s="5">
        <v>0.1</v>
      </c>
      <c r="E6215" s="5">
        <v>113.1</v>
      </c>
      <c r="F6215" s="5">
        <v>224.6</v>
      </c>
      <c r="G6215" s="5">
        <v>111.7</v>
      </c>
      <c r="H6215" s="5">
        <v>111.6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112.9</v>
      </c>
      <c r="D6216" s="5">
        <v>0.1</v>
      </c>
      <c r="E6216" s="5">
        <v>113.1</v>
      </c>
      <c r="F6216" s="5">
        <v>224.6</v>
      </c>
      <c r="G6216" s="5">
        <v>111.7</v>
      </c>
      <c r="H6216" s="5">
        <v>111.6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112.8</v>
      </c>
      <c r="D6217" s="5">
        <v>0.1</v>
      </c>
      <c r="E6217" s="5">
        <v>112.9</v>
      </c>
      <c r="F6217" s="5">
        <v>222.5</v>
      </c>
      <c r="G6217" s="5">
        <v>110.8</v>
      </c>
      <c r="H6217" s="5">
        <v>110.8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112.8</v>
      </c>
      <c r="D6218" s="5">
        <v>0.1</v>
      </c>
      <c r="E6218" s="5">
        <v>112.9</v>
      </c>
      <c r="F6218" s="5">
        <v>222.5</v>
      </c>
      <c r="G6218" s="5">
        <v>110.8</v>
      </c>
      <c r="H6218" s="5">
        <v>110.8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112.7</v>
      </c>
      <c r="D6219" s="5">
        <v>0.1</v>
      </c>
      <c r="E6219" s="5">
        <v>112.9</v>
      </c>
      <c r="F6219" s="5">
        <v>221.1</v>
      </c>
      <c r="G6219" s="5">
        <v>109.1</v>
      </c>
      <c r="H6219" s="5">
        <v>109.3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112.7</v>
      </c>
      <c r="D6220" s="5">
        <v>0.1</v>
      </c>
      <c r="E6220" s="5">
        <v>112.9</v>
      </c>
      <c r="F6220" s="5">
        <v>221.1</v>
      </c>
      <c r="G6220" s="5">
        <v>109.1</v>
      </c>
      <c r="H6220" s="5">
        <v>109.3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112.2</v>
      </c>
      <c r="D6221" s="5">
        <v>0.1</v>
      </c>
      <c r="E6221" s="5">
        <v>112.3</v>
      </c>
      <c r="F6221" s="5">
        <v>224</v>
      </c>
      <c r="G6221" s="5">
        <v>111.4</v>
      </c>
      <c r="H6221" s="5">
        <v>110.7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112.2</v>
      </c>
      <c r="D6222" s="5">
        <v>0.1</v>
      </c>
      <c r="E6222" s="5">
        <v>112.3</v>
      </c>
      <c r="F6222" s="5">
        <v>224</v>
      </c>
      <c r="G6222" s="5">
        <v>111.4</v>
      </c>
      <c r="H6222" s="5">
        <v>110.7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112.2</v>
      </c>
      <c r="D6223" s="5">
        <v>0.1</v>
      </c>
      <c r="E6223" s="5">
        <v>112.3</v>
      </c>
      <c r="F6223" s="5">
        <v>224</v>
      </c>
      <c r="G6223" s="5">
        <v>111.4</v>
      </c>
      <c r="H6223" s="5">
        <v>110.7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112.2</v>
      </c>
      <c r="D6224" s="5">
        <v>0.1</v>
      </c>
      <c r="E6224" s="5">
        <v>112.3</v>
      </c>
      <c r="F6224" s="5">
        <v>224</v>
      </c>
      <c r="G6224" s="5">
        <v>111.4</v>
      </c>
      <c r="H6224" s="5">
        <v>110.7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113.2</v>
      </c>
      <c r="D6225" s="5">
        <v>0.1</v>
      </c>
      <c r="E6225" s="5">
        <v>113.3</v>
      </c>
      <c r="F6225" s="5">
        <v>223.9</v>
      </c>
      <c r="G6225" s="5">
        <v>111.4</v>
      </c>
      <c r="H6225" s="5">
        <v>111.3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113.2</v>
      </c>
      <c r="D6226" s="5">
        <v>0.1</v>
      </c>
      <c r="E6226" s="5">
        <v>113.3</v>
      </c>
      <c r="F6226" s="5">
        <v>223.9</v>
      </c>
      <c r="G6226" s="5">
        <v>111.4</v>
      </c>
      <c r="H6226" s="5">
        <v>111.3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113.2</v>
      </c>
      <c r="D6227" s="5">
        <v>0.1</v>
      </c>
      <c r="E6227" s="5">
        <v>113.3</v>
      </c>
      <c r="F6227" s="5">
        <v>223.9</v>
      </c>
      <c r="G6227" s="5">
        <v>111.4</v>
      </c>
      <c r="H6227" s="5">
        <v>111.3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113.2</v>
      </c>
      <c r="D6228" s="5">
        <v>0.1</v>
      </c>
      <c r="E6228" s="5">
        <v>113.3</v>
      </c>
      <c r="F6228" s="5">
        <v>223.9</v>
      </c>
      <c r="G6228" s="5">
        <v>111.4</v>
      </c>
      <c r="H6228" s="5">
        <v>111.3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107</v>
      </c>
      <c r="D6229" s="5">
        <v>0.1</v>
      </c>
      <c r="E6229" s="5">
        <v>107.2</v>
      </c>
      <c r="F6229" s="5">
        <v>215.7</v>
      </c>
      <c r="G6229" s="5">
        <v>107</v>
      </c>
      <c r="H6229" s="5">
        <v>106.8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107</v>
      </c>
      <c r="D6230" s="5">
        <v>0.1</v>
      </c>
      <c r="E6230" s="5">
        <v>107.2</v>
      </c>
      <c r="F6230" s="5">
        <v>215.7</v>
      </c>
      <c r="G6230" s="5">
        <v>107</v>
      </c>
      <c r="H6230" s="5">
        <v>106.8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106.7</v>
      </c>
      <c r="D6231" s="5">
        <v>0.1</v>
      </c>
      <c r="E6231" s="5">
        <v>106.9</v>
      </c>
      <c r="F6231" s="5">
        <v>212.3</v>
      </c>
      <c r="G6231" s="5">
        <v>105.5</v>
      </c>
      <c r="H6231" s="5">
        <v>105.4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106.7</v>
      </c>
      <c r="D6232" s="5">
        <v>0.1</v>
      </c>
      <c r="E6232" s="5">
        <v>106.9</v>
      </c>
      <c r="F6232" s="5">
        <v>212.3</v>
      </c>
      <c r="G6232" s="5">
        <v>105.5</v>
      </c>
      <c r="H6232" s="5">
        <v>105.4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106.7</v>
      </c>
      <c r="D6233" s="5">
        <v>0.1</v>
      </c>
      <c r="E6233" s="5">
        <v>106.9</v>
      </c>
      <c r="F6233" s="5">
        <v>212.3</v>
      </c>
      <c r="G6233" s="5">
        <v>105.5</v>
      </c>
      <c r="H6233" s="5">
        <v>105.4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106.7</v>
      </c>
      <c r="D6234" s="5">
        <v>0.1</v>
      </c>
      <c r="E6234" s="5">
        <v>106.9</v>
      </c>
      <c r="F6234" s="5">
        <v>212.3</v>
      </c>
      <c r="G6234" s="5">
        <v>105.5</v>
      </c>
      <c r="H6234" s="5">
        <v>105.4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113.6</v>
      </c>
      <c r="D6235" s="5">
        <v>0.1</v>
      </c>
      <c r="E6235" s="5">
        <v>113.7</v>
      </c>
      <c r="F6235" s="5">
        <v>225.5</v>
      </c>
      <c r="G6235" s="5">
        <v>112.1</v>
      </c>
      <c r="H6235" s="5">
        <v>111.9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113.6</v>
      </c>
      <c r="D6236" s="5">
        <v>0.1</v>
      </c>
      <c r="E6236" s="5">
        <v>113.7</v>
      </c>
      <c r="F6236" s="5">
        <v>225.5</v>
      </c>
      <c r="G6236" s="5">
        <v>112.1</v>
      </c>
      <c r="H6236" s="5">
        <v>111.9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113.2</v>
      </c>
      <c r="D6237" s="5">
        <v>0.1</v>
      </c>
      <c r="E6237" s="5">
        <v>113.4</v>
      </c>
      <c r="F6237" s="5">
        <v>225.3</v>
      </c>
      <c r="G6237" s="5">
        <v>112</v>
      </c>
      <c r="H6237" s="5">
        <v>112.1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113.2</v>
      </c>
      <c r="D6238" s="5">
        <v>0.1</v>
      </c>
      <c r="E6238" s="5">
        <v>113.4</v>
      </c>
      <c r="F6238" s="5">
        <v>225.3</v>
      </c>
      <c r="G6238" s="5">
        <v>112</v>
      </c>
      <c r="H6238" s="5">
        <v>112.1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113.2</v>
      </c>
      <c r="D6239" s="5">
        <v>0.1</v>
      </c>
      <c r="E6239" s="5">
        <v>113.4</v>
      </c>
      <c r="F6239" s="5">
        <v>225.6</v>
      </c>
      <c r="G6239" s="5">
        <v>112.2</v>
      </c>
      <c r="H6239" s="5">
        <v>112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113.2</v>
      </c>
      <c r="D6240" s="5">
        <v>0.1</v>
      </c>
      <c r="E6240" s="5">
        <v>113.4</v>
      </c>
      <c r="F6240" s="5">
        <v>225.6</v>
      </c>
      <c r="G6240" s="5">
        <v>112.2</v>
      </c>
      <c r="H6240" s="5">
        <v>112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113.6</v>
      </c>
      <c r="D6241" s="5">
        <v>0.1</v>
      </c>
      <c r="E6241" s="5">
        <v>113.7</v>
      </c>
      <c r="F6241" s="5">
        <v>225.8</v>
      </c>
      <c r="G6241" s="5">
        <v>112.3</v>
      </c>
      <c r="H6241" s="5">
        <v>112.1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113.6</v>
      </c>
      <c r="D6242" s="5">
        <v>0.1</v>
      </c>
      <c r="E6242" s="5">
        <v>113.7</v>
      </c>
      <c r="F6242" s="5">
        <v>225.8</v>
      </c>
      <c r="G6242" s="5">
        <v>112.3</v>
      </c>
      <c r="H6242" s="5">
        <v>112.1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113.6</v>
      </c>
      <c r="D6243" s="5">
        <v>0.1</v>
      </c>
      <c r="E6243" s="5">
        <v>113.7</v>
      </c>
      <c r="F6243" s="5">
        <v>225.8</v>
      </c>
      <c r="G6243" s="5">
        <v>112.3</v>
      </c>
      <c r="H6243" s="5">
        <v>112.1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113.6</v>
      </c>
      <c r="D6244" s="5">
        <v>0.1</v>
      </c>
      <c r="E6244" s="5">
        <v>113.7</v>
      </c>
      <c r="F6244" s="5">
        <v>225.8</v>
      </c>
      <c r="G6244" s="5">
        <v>112.3</v>
      </c>
      <c r="H6244" s="5">
        <v>112.1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113.4</v>
      </c>
      <c r="D6245" s="5">
        <v>0.1</v>
      </c>
      <c r="E6245" s="5">
        <v>113.6</v>
      </c>
      <c r="F6245" s="5">
        <v>224.7</v>
      </c>
      <c r="G6245" s="5">
        <v>111.7</v>
      </c>
      <c r="H6245" s="5">
        <v>111.5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113.4</v>
      </c>
      <c r="D6246" s="5">
        <v>0.1</v>
      </c>
      <c r="E6246" s="5">
        <v>113.6</v>
      </c>
      <c r="F6246" s="5">
        <v>224.7</v>
      </c>
      <c r="G6246" s="5">
        <v>111.7</v>
      </c>
      <c r="H6246" s="5">
        <v>111.5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113.6</v>
      </c>
      <c r="D6247" s="5">
        <v>0.1</v>
      </c>
      <c r="E6247" s="5">
        <v>113.7</v>
      </c>
      <c r="F6247" s="5">
        <v>225.2</v>
      </c>
      <c r="G6247" s="5">
        <v>112</v>
      </c>
      <c r="H6247" s="5">
        <v>111.8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113.6</v>
      </c>
      <c r="D6248" s="5">
        <v>0.1</v>
      </c>
      <c r="E6248" s="5">
        <v>113.7</v>
      </c>
      <c r="F6248" s="5">
        <v>225.2</v>
      </c>
      <c r="G6248" s="5">
        <v>112</v>
      </c>
      <c r="H6248" s="5">
        <v>111.8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113</v>
      </c>
      <c r="D6249" s="5">
        <v>0.1</v>
      </c>
      <c r="E6249" s="5">
        <v>113.2</v>
      </c>
      <c r="F6249" s="5">
        <v>225.6</v>
      </c>
      <c r="G6249" s="5">
        <v>112.1</v>
      </c>
      <c r="H6249" s="5">
        <v>112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113</v>
      </c>
      <c r="D6250" s="5">
        <v>0.1</v>
      </c>
      <c r="E6250" s="5">
        <v>113.2</v>
      </c>
      <c r="F6250" s="5">
        <v>225.6</v>
      </c>
      <c r="G6250" s="5">
        <v>112.1</v>
      </c>
      <c r="H6250" s="5">
        <v>112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113.2</v>
      </c>
      <c r="D6251" s="5">
        <v>0.1</v>
      </c>
      <c r="E6251" s="5">
        <v>113.4</v>
      </c>
      <c r="F6251" s="5">
        <v>224.4</v>
      </c>
      <c r="G6251" s="5">
        <v>111.6</v>
      </c>
      <c r="H6251" s="5">
        <v>111.5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113.2</v>
      </c>
      <c r="D6252" s="5">
        <v>0.1</v>
      </c>
      <c r="E6252" s="5">
        <v>113.4</v>
      </c>
      <c r="F6252" s="5">
        <v>224.4</v>
      </c>
      <c r="G6252" s="5">
        <v>111.6</v>
      </c>
      <c r="H6252" s="5">
        <v>111.5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113.2</v>
      </c>
      <c r="D6253" s="5">
        <v>0.1</v>
      </c>
      <c r="E6253" s="5">
        <v>113.4</v>
      </c>
      <c r="F6253" s="5">
        <v>224.4</v>
      </c>
      <c r="G6253" s="5">
        <v>111.6</v>
      </c>
      <c r="H6253" s="5">
        <v>111.5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113.2</v>
      </c>
      <c r="D6254" s="5">
        <v>0.1</v>
      </c>
      <c r="E6254" s="5">
        <v>113.4</v>
      </c>
      <c r="F6254" s="5">
        <v>224.4</v>
      </c>
      <c r="G6254" s="5">
        <v>111.6</v>
      </c>
      <c r="H6254" s="5">
        <v>111.5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112.6</v>
      </c>
      <c r="D6255" s="5">
        <v>0.1</v>
      </c>
      <c r="E6255" s="5">
        <v>112.7</v>
      </c>
      <c r="F6255" s="5">
        <v>224.3</v>
      </c>
      <c r="G6255" s="5">
        <v>111.5</v>
      </c>
      <c r="H6255" s="5">
        <v>111.3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112.6</v>
      </c>
      <c r="D6256" s="5">
        <v>0.1</v>
      </c>
      <c r="E6256" s="5">
        <v>112.7</v>
      </c>
      <c r="F6256" s="5">
        <v>224.3</v>
      </c>
      <c r="G6256" s="5">
        <v>111.5</v>
      </c>
      <c r="H6256" s="5">
        <v>111.3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112.6</v>
      </c>
      <c r="D6257" s="5">
        <v>0.1</v>
      </c>
      <c r="E6257" s="5">
        <v>112.8</v>
      </c>
      <c r="F6257" s="5">
        <v>224.6</v>
      </c>
      <c r="G6257" s="5">
        <v>111.7</v>
      </c>
      <c r="H6257" s="5">
        <v>111.5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112.6</v>
      </c>
      <c r="D6258" s="5">
        <v>0.1</v>
      </c>
      <c r="E6258" s="5">
        <v>112.8</v>
      </c>
      <c r="F6258" s="5">
        <v>224.6</v>
      </c>
      <c r="G6258" s="5">
        <v>111.7</v>
      </c>
      <c r="H6258" s="5">
        <v>111.5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223.2</v>
      </c>
      <c r="G6259" s="5">
        <v>111</v>
      </c>
      <c r="H6259" s="5">
        <v>110.8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223.2</v>
      </c>
      <c r="G6260" s="5">
        <v>111</v>
      </c>
      <c r="H6260" s="5">
        <v>110.8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110.1</v>
      </c>
      <c r="D6261" s="5">
        <v>0.1</v>
      </c>
      <c r="E6261" s="5">
        <v>110.3</v>
      </c>
      <c r="F6261" s="5">
        <v>221.2</v>
      </c>
      <c r="G6261" s="5">
        <v>109.9</v>
      </c>
      <c r="H6261" s="5">
        <v>109.7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110.1</v>
      </c>
      <c r="D6262" s="5">
        <v>0.1</v>
      </c>
      <c r="E6262" s="5">
        <v>110.3</v>
      </c>
      <c r="F6262" s="5">
        <v>221.2</v>
      </c>
      <c r="G6262" s="5">
        <v>109.9</v>
      </c>
      <c r="H6262" s="5">
        <v>109.7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110.1</v>
      </c>
      <c r="D6263" s="5">
        <v>0.1</v>
      </c>
      <c r="E6263" s="5">
        <v>110.3</v>
      </c>
      <c r="F6263" s="5">
        <v>221.2</v>
      </c>
      <c r="G6263" s="5">
        <v>109.9</v>
      </c>
      <c r="H6263" s="5">
        <v>109.7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110.1</v>
      </c>
      <c r="D6264" s="5">
        <v>0.1</v>
      </c>
      <c r="E6264" s="5">
        <v>110.3</v>
      </c>
      <c r="F6264" s="5">
        <v>221.2</v>
      </c>
      <c r="G6264" s="5">
        <v>109.9</v>
      </c>
      <c r="H6264" s="5">
        <v>109.7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109.4</v>
      </c>
      <c r="D6265" s="5">
        <v>0.1</v>
      </c>
      <c r="E6265" s="5">
        <v>109.5</v>
      </c>
      <c r="F6265" s="5">
        <v>218.1</v>
      </c>
      <c r="G6265" s="5">
        <v>108.4</v>
      </c>
      <c r="H6265" s="5">
        <v>108.2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109.4</v>
      </c>
      <c r="D6266" s="5">
        <v>0.1</v>
      </c>
      <c r="E6266" s="5">
        <v>109.5</v>
      </c>
      <c r="F6266" s="5">
        <v>218.1</v>
      </c>
      <c r="G6266" s="5">
        <v>108.4</v>
      </c>
      <c r="H6266" s="5">
        <v>108.2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102.6</v>
      </c>
      <c r="D6267" s="5">
        <v>0.1</v>
      </c>
      <c r="E6267" s="5">
        <v>102.7</v>
      </c>
      <c r="F6267" s="5">
        <v>215.9</v>
      </c>
      <c r="G6267" s="5">
        <v>107</v>
      </c>
      <c r="H6267" s="5">
        <v>106.4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102.6</v>
      </c>
      <c r="D6268" s="5">
        <v>0.1</v>
      </c>
      <c r="E6268" s="5">
        <v>102.7</v>
      </c>
      <c r="F6268" s="5">
        <v>215.9</v>
      </c>
      <c r="G6268" s="5">
        <v>107</v>
      </c>
      <c r="H6268" s="5">
        <v>106.4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102.4</v>
      </c>
      <c r="D6269" s="5">
        <v>0.1</v>
      </c>
      <c r="E6269" s="5">
        <v>102.5</v>
      </c>
      <c r="F6269" s="5">
        <v>214.9</v>
      </c>
      <c r="G6269" s="5">
        <v>106.5</v>
      </c>
      <c r="H6269" s="5">
        <v>105.9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102.4</v>
      </c>
      <c r="D6270" s="5">
        <v>0.1</v>
      </c>
      <c r="E6270" s="5">
        <v>102.5</v>
      </c>
      <c r="F6270" s="5">
        <v>214.9</v>
      </c>
      <c r="G6270" s="5">
        <v>106.5</v>
      </c>
      <c r="H6270" s="5">
        <v>105.9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107.8</v>
      </c>
      <c r="D6271" s="5">
        <v>0.1</v>
      </c>
      <c r="E6271" s="5">
        <v>107.9</v>
      </c>
      <c r="F6271" s="5">
        <v>202.8</v>
      </c>
      <c r="G6271" s="5">
        <v>101</v>
      </c>
      <c r="H6271" s="5">
        <v>101.1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107.8</v>
      </c>
      <c r="D6272" s="5">
        <v>0.1</v>
      </c>
      <c r="E6272" s="5">
        <v>107.9</v>
      </c>
      <c r="F6272" s="5">
        <v>202.8</v>
      </c>
      <c r="G6272" s="5">
        <v>101</v>
      </c>
      <c r="H6272" s="5">
        <v>101.1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107.8</v>
      </c>
      <c r="D6273" s="5">
        <v>0.1</v>
      </c>
      <c r="E6273" s="5">
        <v>107.9</v>
      </c>
      <c r="F6273" s="5">
        <v>202.8</v>
      </c>
      <c r="G6273" s="5">
        <v>101</v>
      </c>
      <c r="H6273" s="5">
        <v>101.1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107.8</v>
      </c>
      <c r="D6274" s="5">
        <v>0.1</v>
      </c>
      <c r="E6274" s="5">
        <v>107.9</v>
      </c>
      <c r="F6274" s="5">
        <v>202.8</v>
      </c>
      <c r="G6274" s="5">
        <v>101</v>
      </c>
      <c r="H6274" s="5">
        <v>101.1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101.8</v>
      </c>
      <c r="D6275" s="5">
        <v>0.1</v>
      </c>
      <c r="E6275" s="5">
        <v>101.9</v>
      </c>
      <c r="F6275" s="5">
        <v>201.5</v>
      </c>
      <c r="G6275" s="5">
        <v>100.2</v>
      </c>
      <c r="H6275" s="5">
        <v>100.1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101.8</v>
      </c>
      <c r="D6276" s="5">
        <v>0.1</v>
      </c>
      <c r="E6276" s="5">
        <v>101.9</v>
      </c>
      <c r="F6276" s="5">
        <v>201.5</v>
      </c>
      <c r="G6276" s="5">
        <v>100.2</v>
      </c>
      <c r="H6276" s="5">
        <v>100.1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101.8</v>
      </c>
      <c r="D6277" s="5">
        <v>0.1</v>
      </c>
      <c r="E6277" s="5">
        <v>101.9</v>
      </c>
      <c r="F6277" s="5">
        <v>201.8</v>
      </c>
      <c r="G6277" s="5">
        <v>100.4</v>
      </c>
      <c r="H6277" s="5">
        <v>100.4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101.8</v>
      </c>
      <c r="D6278" s="5">
        <v>0.1</v>
      </c>
      <c r="E6278" s="5">
        <v>101.9</v>
      </c>
      <c r="F6278" s="5">
        <v>201.8</v>
      </c>
      <c r="G6278" s="5">
        <v>100.4</v>
      </c>
      <c r="H6278" s="5">
        <v>100.4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108.2</v>
      </c>
      <c r="D6279" s="5">
        <v>0.1</v>
      </c>
      <c r="E6279" s="5">
        <v>108.4</v>
      </c>
      <c r="F6279" s="5">
        <v>215.5</v>
      </c>
      <c r="G6279" s="5">
        <v>107.1</v>
      </c>
      <c r="H6279" s="5">
        <v>106.9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108.2</v>
      </c>
      <c r="D6280" s="5">
        <v>0.1</v>
      </c>
      <c r="E6280" s="5">
        <v>108.4</v>
      </c>
      <c r="F6280" s="5">
        <v>215.5</v>
      </c>
      <c r="G6280" s="5">
        <v>107.1</v>
      </c>
      <c r="H6280" s="5">
        <v>106.9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108.2</v>
      </c>
      <c r="D6281" s="5">
        <v>0.1</v>
      </c>
      <c r="E6281" s="5">
        <v>108.4</v>
      </c>
      <c r="F6281" s="5">
        <v>215.2</v>
      </c>
      <c r="G6281" s="5">
        <v>107</v>
      </c>
      <c r="H6281" s="5">
        <v>106.8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108.2</v>
      </c>
      <c r="D6282" s="5">
        <v>0.1</v>
      </c>
      <c r="E6282" s="5">
        <v>108.4</v>
      </c>
      <c r="F6282" s="5">
        <v>215.2</v>
      </c>
      <c r="G6282" s="5">
        <v>107</v>
      </c>
      <c r="H6282" s="5">
        <v>106.8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108.2</v>
      </c>
      <c r="D6283" s="5">
        <v>0.1</v>
      </c>
      <c r="E6283" s="5">
        <v>108.4</v>
      </c>
      <c r="F6283" s="5">
        <v>215.2</v>
      </c>
      <c r="G6283" s="5">
        <v>107</v>
      </c>
      <c r="H6283" s="5">
        <v>106.8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108.2</v>
      </c>
      <c r="D6284" s="5">
        <v>0.1</v>
      </c>
      <c r="E6284" s="5">
        <v>108.4</v>
      </c>
      <c r="F6284" s="5">
        <v>215.2</v>
      </c>
      <c r="G6284" s="5">
        <v>107</v>
      </c>
      <c r="H6284" s="5">
        <v>106.8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108.4</v>
      </c>
      <c r="D6285" s="5">
        <v>0.1</v>
      </c>
      <c r="E6285" s="5">
        <v>108.5</v>
      </c>
      <c r="F6285" s="5">
        <v>216</v>
      </c>
      <c r="G6285" s="5">
        <v>107.4</v>
      </c>
      <c r="H6285" s="5">
        <v>107.2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108.4</v>
      </c>
      <c r="D6286" s="5">
        <v>0.1</v>
      </c>
      <c r="E6286" s="5">
        <v>108.5</v>
      </c>
      <c r="F6286" s="5">
        <v>216</v>
      </c>
      <c r="G6286" s="5">
        <v>107.4</v>
      </c>
      <c r="H6286" s="5">
        <v>107.2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108.4</v>
      </c>
      <c r="D6287" s="5">
        <v>0.1</v>
      </c>
      <c r="E6287" s="5">
        <v>108.5</v>
      </c>
      <c r="F6287" s="5">
        <v>216.7</v>
      </c>
      <c r="G6287" s="5">
        <v>107.6</v>
      </c>
      <c r="H6287" s="5">
        <v>107.5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108.4</v>
      </c>
      <c r="D6288" s="5">
        <v>0.1</v>
      </c>
      <c r="E6288" s="5">
        <v>108.5</v>
      </c>
      <c r="F6288" s="5">
        <v>216.7</v>
      </c>
      <c r="G6288" s="5">
        <v>107.6</v>
      </c>
      <c r="H6288" s="5">
        <v>107.5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101.5</v>
      </c>
      <c r="D6289" s="5">
        <v>0.1</v>
      </c>
      <c r="E6289" s="5">
        <v>101.7</v>
      </c>
      <c r="F6289" s="5">
        <v>215.4</v>
      </c>
      <c r="G6289" s="5">
        <v>106.9</v>
      </c>
      <c r="H6289" s="5">
        <v>106.5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101.5</v>
      </c>
      <c r="D6290" s="5">
        <v>0.1</v>
      </c>
      <c r="E6290" s="5">
        <v>101.7</v>
      </c>
      <c r="F6290" s="5">
        <v>215.4</v>
      </c>
      <c r="G6290" s="5">
        <v>106.9</v>
      </c>
      <c r="H6290" s="5">
        <v>106.5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102.1</v>
      </c>
      <c r="D6291" s="5">
        <v>0.1</v>
      </c>
      <c r="E6291" s="5">
        <v>102.3</v>
      </c>
      <c r="F6291" s="5">
        <v>206.7</v>
      </c>
      <c r="G6291" s="5">
        <v>102.3</v>
      </c>
      <c r="H6291" s="5">
        <v>101.9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102.1</v>
      </c>
      <c r="D6292" s="5">
        <v>0.1</v>
      </c>
      <c r="E6292" s="5">
        <v>102.3</v>
      </c>
      <c r="F6292" s="5">
        <v>206.7</v>
      </c>
      <c r="G6292" s="5">
        <v>102.3</v>
      </c>
      <c r="H6292" s="5">
        <v>101.9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102.1</v>
      </c>
      <c r="D6293" s="5">
        <v>0.1</v>
      </c>
      <c r="E6293" s="5">
        <v>102.3</v>
      </c>
      <c r="F6293" s="5">
        <v>206.7</v>
      </c>
      <c r="G6293" s="5">
        <v>102.3</v>
      </c>
      <c r="H6293" s="5">
        <v>101.9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102.7</v>
      </c>
      <c r="D6294" s="5">
        <v>0.1</v>
      </c>
      <c r="E6294" s="5">
        <v>102.8</v>
      </c>
      <c r="F6294" s="5">
        <v>204</v>
      </c>
      <c r="G6294" s="5">
        <v>101.4</v>
      </c>
      <c r="H6294" s="5">
        <v>101.2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102.7</v>
      </c>
      <c r="D6295" s="5">
        <v>0.1</v>
      </c>
      <c r="E6295" s="5">
        <v>102.8</v>
      </c>
      <c r="F6295" s="5">
        <v>204</v>
      </c>
      <c r="G6295" s="5">
        <v>101.4</v>
      </c>
      <c r="H6295" s="5">
        <v>101.2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109.1</v>
      </c>
      <c r="D6296" s="5">
        <v>0.1</v>
      </c>
      <c r="E6296" s="5">
        <v>109.3</v>
      </c>
      <c r="F6296" s="5">
        <v>213.4</v>
      </c>
      <c r="G6296" s="5">
        <v>106.2</v>
      </c>
      <c r="H6296" s="5">
        <v>106.2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109.1</v>
      </c>
      <c r="D6297" s="5">
        <v>0.1</v>
      </c>
      <c r="E6297" s="5">
        <v>109.3</v>
      </c>
      <c r="F6297" s="5">
        <v>213.4</v>
      </c>
      <c r="G6297" s="5">
        <v>106.2</v>
      </c>
      <c r="H6297" s="5">
        <v>106.2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105.3</v>
      </c>
      <c r="D6298" s="5">
        <v>0.1</v>
      </c>
      <c r="E6298" s="5">
        <v>105.4</v>
      </c>
      <c r="F6298" s="5">
        <v>207</v>
      </c>
      <c r="G6298" s="5">
        <v>103.1</v>
      </c>
      <c r="H6298" s="5">
        <v>103.2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105.3</v>
      </c>
      <c r="D6299" s="5">
        <v>0.1</v>
      </c>
      <c r="E6299" s="5">
        <v>105.4</v>
      </c>
      <c r="F6299" s="5">
        <v>207</v>
      </c>
      <c r="G6299" s="5">
        <v>103.1</v>
      </c>
      <c r="H6299" s="5">
        <v>103.2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105.3</v>
      </c>
      <c r="D6300" s="5">
        <v>0.1</v>
      </c>
      <c r="E6300" s="5">
        <v>109.8</v>
      </c>
      <c r="F6300" s="5">
        <v>218.1</v>
      </c>
      <c r="G6300" s="5">
        <v>108.4</v>
      </c>
      <c r="H6300" s="5">
        <v>108.2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109.7</v>
      </c>
      <c r="D6301" s="5">
        <v>0.1</v>
      </c>
      <c r="E6301" s="5">
        <v>109.8</v>
      </c>
      <c r="F6301" s="5">
        <v>218.1</v>
      </c>
      <c r="G6301" s="5">
        <v>108.4</v>
      </c>
      <c r="H6301" s="5">
        <v>108.2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109.7</v>
      </c>
      <c r="D6302" s="5">
        <v>0.1</v>
      </c>
      <c r="E6302" s="5">
        <v>109.8</v>
      </c>
      <c r="F6302" s="5">
        <v>218.1</v>
      </c>
      <c r="G6302" s="5">
        <v>108.4</v>
      </c>
      <c r="H6302" s="5">
        <v>108.2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109.7</v>
      </c>
      <c r="D6303" s="5">
        <v>0.1</v>
      </c>
      <c r="E6303" s="5">
        <v>109.8</v>
      </c>
      <c r="F6303" s="5">
        <v>218.1</v>
      </c>
      <c r="G6303" s="5">
        <v>108.4</v>
      </c>
      <c r="H6303" s="5">
        <v>108.2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109.7</v>
      </c>
      <c r="D6304" s="5">
        <v>0.1</v>
      </c>
      <c r="E6304" s="5">
        <v>109.9</v>
      </c>
      <c r="F6304" s="5">
        <v>217.6</v>
      </c>
      <c r="G6304" s="5">
        <v>108.1</v>
      </c>
      <c r="H6304" s="5">
        <v>108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109.7</v>
      </c>
      <c r="D6305" s="5">
        <v>0.1</v>
      </c>
      <c r="E6305" s="5">
        <v>109.9</v>
      </c>
      <c r="F6305" s="5">
        <v>217.6</v>
      </c>
      <c r="G6305" s="5">
        <v>108.1</v>
      </c>
      <c r="H6305" s="5">
        <v>108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109.1</v>
      </c>
      <c r="D6306" s="5">
        <v>0.1</v>
      </c>
      <c r="E6306" s="5">
        <v>109.2</v>
      </c>
      <c r="F6306" s="5">
        <v>216.4</v>
      </c>
      <c r="G6306" s="5">
        <v>107.6</v>
      </c>
      <c r="H6306" s="5">
        <v>107.6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109.1</v>
      </c>
      <c r="D6307" s="5">
        <v>0.1</v>
      </c>
      <c r="E6307" s="5">
        <v>109.2</v>
      </c>
      <c r="F6307" s="5">
        <v>216.4</v>
      </c>
      <c r="G6307" s="5">
        <v>107.6</v>
      </c>
      <c r="H6307" s="5">
        <v>107.6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109</v>
      </c>
      <c r="D6308" s="5">
        <v>0.1</v>
      </c>
      <c r="E6308" s="5">
        <v>109.1</v>
      </c>
      <c r="F6308" s="5">
        <v>216.4</v>
      </c>
      <c r="G6308" s="5">
        <v>107.5</v>
      </c>
      <c r="H6308" s="5">
        <v>107.6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109</v>
      </c>
      <c r="D6309" s="5">
        <v>0.1</v>
      </c>
      <c r="E6309" s="5">
        <v>109.1</v>
      </c>
      <c r="F6309" s="5">
        <v>216.4</v>
      </c>
      <c r="G6309" s="5">
        <v>107.5</v>
      </c>
      <c r="H6309" s="5">
        <v>107.3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103.3</v>
      </c>
      <c r="D6310" s="5">
        <v>0.1</v>
      </c>
      <c r="E6310" s="5">
        <v>103.4</v>
      </c>
      <c r="F6310" s="5">
        <v>216.7</v>
      </c>
      <c r="G6310" s="5">
        <v>107.5</v>
      </c>
      <c r="H6310" s="5">
        <v>107.3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103.3</v>
      </c>
      <c r="D6311" s="5">
        <v>0.1</v>
      </c>
      <c r="E6311" s="5">
        <v>103.4</v>
      </c>
      <c r="F6311" s="5">
        <v>216.7</v>
      </c>
      <c r="G6311" s="5">
        <v>107.7</v>
      </c>
      <c r="H6311" s="5">
        <v>107.5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103.3</v>
      </c>
      <c r="D6312" s="5">
        <v>0.1</v>
      </c>
      <c r="E6312" s="5">
        <v>103.4</v>
      </c>
      <c r="F6312" s="5">
        <v>216.7</v>
      </c>
      <c r="G6312" s="5">
        <v>107.7</v>
      </c>
      <c r="H6312" s="5">
        <v>107.5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103.3</v>
      </c>
      <c r="D6313" s="5">
        <v>0.1</v>
      </c>
      <c r="E6313" s="5">
        <v>103.4</v>
      </c>
      <c r="F6313" s="5">
        <v>216.7</v>
      </c>
      <c r="G6313" s="5">
        <v>107.7</v>
      </c>
      <c r="H6313" s="5">
        <v>107.5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103.3</v>
      </c>
      <c r="D6314" s="5">
        <v>0.1</v>
      </c>
      <c r="E6314" s="5">
        <v>103.4</v>
      </c>
      <c r="F6314" s="5">
        <v>216.7</v>
      </c>
      <c r="G6314" s="5">
        <v>107.7</v>
      </c>
      <c r="H6314" s="5">
        <v>107.5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108.5</v>
      </c>
      <c r="D6315" s="5">
        <v>0.1</v>
      </c>
      <c r="E6315" s="5">
        <v>108.6</v>
      </c>
      <c r="F6315" s="5">
        <v>215.5</v>
      </c>
      <c r="G6315" s="5">
        <v>107</v>
      </c>
      <c r="H6315" s="5">
        <v>106.9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108.5</v>
      </c>
      <c r="D6316" s="5">
        <v>0.1</v>
      </c>
      <c r="E6316" s="5">
        <v>108.6</v>
      </c>
      <c r="F6316" s="5">
        <v>215.5</v>
      </c>
      <c r="G6316" s="5">
        <v>107</v>
      </c>
      <c r="H6316" s="5">
        <v>106.9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108.5</v>
      </c>
      <c r="D6317" s="5">
        <v>0.1</v>
      </c>
      <c r="E6317" s="5">
        <v>108.7</v>
      </c>
      <c r="F6317" s="5">
        <v>215</v>
      </c>
      <c r="G6317" s="5">
        <v>106.8</v>
      </c>
      <c r="H6317" s="5">
        <v>106.7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108.5</v>
      </c>
      <c r="D6318" s="5">
        <v>0.1</v>
      </c>
      <c r="E6318" s="5">
        <v>108.7</v>
      </c>
      <c r="F6318" s="5">
        <v>215</v>
      </c>
      <c r="G6318" s="5">
        <v>106.8</v>
      </c>
      <c r="H6318" s="5">
        <v>106.7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108.1</v>
      </c>
      <c r="D6319" s="5">
        <v>0.1</v>
      </c>
      <c r="E6319" s="5">
        <v>108.2</v>
      </c>
      <c r="F6319" s="5">
        <v>215.2</v>
      </c>
      <c r="G6319" s="5">
        <v>106.9</v>
      </c>
      <c r="H6319" s="5">
        <v>106.8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108.1</v>
      </c>
      <c r="D6320" s="5">
        <v>0.1</v>
      </c>
      <c r="E6320" s="5">
        <v>108.2</v>
      </c>
      <c r="F6320" s="5">
        <v>215.2</v>
      </c>
      <c r="G6320" s="5">
        <v>106.9</v>
      </c>
      <c r="H6320" s="5">
        <v>106.8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107.9</v>
      </c>
      <c r="D6321" s="5">
        <v>0.1</v>
      </c>
      <c r="E6321" s="5">
        <v>108.1</v>
      </c>
      <c r="F6321" s="5">
        <v>214.7</v>
      </c>
      <c r="G6321" s="5">
        <v>106.7</v>
      </c>
      <c r="H6321" s="5">
        <v>106.5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107.9</v>
      </c>
      <c r="D6322" s="5">
        <v>0.1</v>
      </c>
      <c r="E6322" s="5">
        <v>108.1</v>
      </c>
      <c r="F6322" s="5">
        <v>214.7</v>
      </c>
      <c r="G6322" s="5">
        <v>106.7</v>
      </c>
      <c r="H6322" s="5">
        <v>106.5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107.9</v>
      </c>
      <c r="D6323" s="5">
        <v>0.1</v>
      </c>
      <c r="E6323" s="5">
        <v>108.1</v>
      </c>
      <c r="F6323" s="5">
        <v>214.7</v>
      </c>
      <c r="G6323" s="5">
        <v>106.7</v>
      </c>
      <c r="H6323" s="5">
        <v>106.5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109.2</v>
      </c>
      <c r="D6324" s="5">
        <v>0.1</v>
      </c>
      <c r="E6324" s="5">
        <v>109.4</v>
      </c>
      <c r="F6324" s="5">
        <v>215.5</v>
      </c>
      <c r="G6324" s="5">
        <v>107.2</v>
      </c>
      <c r="H6324" s="5">
        <v>107.2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109.2</v>
      </c>
      <c r="D6325" s="5">
        <v>0.1</v>
      </c>
      <c r="E6325" s="5">
        <v>109.4</v>
      </c>
      <c r="F6325" s="5">
        <v>215.5</v>
      </c>
      <c r="G6325" s="5">
        <v>107.2</v>
      </c>
      <c r="H6325" s="5">
        <v>107.2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108.1</v>
      </c>
      <c r="D6326" s="5">
        <v>0.1</v>
      </c>
      <c r="E6326" s="5">
        <v>108.3</v>
      </c>
      <c r="F6326" s="5">
        <v>215</v>
      </c>
      <c r="G6326" s="5">
        <v>106.8</v>
      </c>
      <c r="H6326" s="5">
        <v>106.7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108.1</v>
      </c>
      <c r="D6327" s="5">
        <v>0.1</v>
      </c>
      <c r="E6327" s="5">
        <v>108.3</v>
      </c>
      <c r="F6327" s="5">
        <v>215</v>
      </c>
      <c r="G6327" s="5">
        <v>106.8</v>
      </c>
      <c r="H6327" s="5">
        <v>106.7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108.1</v>
      </c>
      <c r="D6328" s="5">
        <v>0.1</v>
      </c>
      <c r="E6328" s="5">
        <v>108.3</v>
      </c>
      <c r="F6328" s="5">
        <v>215.1</v>
      </c>
      <c r="G6328" s="5">
        <v>106.8</v>
      </c>
      <c r="H6328" s="5">
        <v>106.6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108.1</v>
      </c>
      <c r="D6329" s="5">
        <v>0.1</v>
      </c>
      <c r="E6329" s="5">
        <v>108.3</v>
      </c>
      <c r="F6329" s="5">
        <v>215.1</v>
      </c>
      <c r="G6329" s="5">
        <v>106.8</v>
      </c>
      <c r="H6329" s="5">
        <v>106.6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108.1</v>
      </c>
      <c r="D6330" s="5">
        <v>0.1</v>
      </c>
      <c r="E6330" s="5">
        <v>108.2</v>
      </c>
      <c r="F6330" s="5">
        <v>214.4</v>
      </c>
      <c r="G6330" s="5">
        <v>106.4</v>
      </c>
      <c r="H6330" s="5">
        <v>106.3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108.1</v>
      </c>
      <c r="D6331" s="5">
        <v>0.1</v>
      </c>
      <c r="E6331" s="5">
        <v>108.2</v>
      </c>
      <c r="F6331" s="5">
        <v>214.4</v>
      </c>
      <c r="G6331" s="5">
        <v>106.4</v>
      </c>
      <c r="H6331" s="5">
        <v>106.3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108.1</v>
      </c>
      <c r="D6332" s="5">
        <v>0.1</v>
      </c>
      <c r="E6332" s="5">
        <v>108.2</v>
      </c>
      <c r="F6332" s="5">
        <v>214.4</v>
      </c>
      <c r="G6332" s="5">
        <v>106.4</v>
      </c>
      <c r="H6332" s="5">
        <v>106.3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108.1</v>
      </c>
      <c r="D6333" s="5">
        <v>0.1</v>
      </c>
      <c r="E6333" s="5">
        <v>108.2</v>
      </c>
      <c r="F6333" s="5">
        <v>214.4</v>
      </c>
      <c r="G6333" s="5">
        <v>106.4</v>
      </c>
      <c r="H6333" s="5">
        <v>106.3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108</v>
      </c>
      <c r="D6334" s="5">
        <v>0.1</v>
      </c>
      <c r="E6334" s="5">
        <v>108.1</v>
      </c>
      <c r="F6334" s="5">
        <v>215.2</v>
      </c>
      <c r="G6334" s="5">
        <v>106.9</v>
      </c>
      <c r="H6334" s="5">
        <v>106.7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108</v>
      </c>
      <c r="D6335" s="5">
        <v>0.1</v>
      </c>
      <c r="E6335" s="5">
        <v>108.1</v>
      </c>
      <c r="F6335" s="5">
        <v>215.2</v>
      </c>
      <c r="G6335" s="5">
        <v>106.9</v>
      </c>
      <c r="H6335" s="5">
        <v>106.7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108.1</v>
      </c>
      <c r="D6336" s="5">
        <v>0.1</v>
      </c>
      <c r="E6336" s="5">
        <v>108.3</v>
      </c>
      <c r="F6336" s="5">
        <v>215.1</v>
      </c>
      <c r="G6336" s="5">
        <v>106.9</v>
      </c>
      <c r="H6336" s="5">
        <v>106.8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108.1</v>
      </c>
      <c r="D6337" s="5">
        <v>0.1</v>
      </c>
      <c r="E6337" s="5">
        <v>108.3</v>
      </c>
      <c r="F6337" s="5">
        <v>215.1</v>
      </c>
      <c r="G6337" s="5">
        <v>106.9</v>
      </c>
      <c r="H6337" s="5">
        <v>106.8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108</v>
      </c>
      <c r="D6338" s="5">
        <v>0.1</v>
      </c>
      <c r="E6338" s="5">
        <v>108.2</v>
      </c>
      <c r="F6338" s="5">
        <v>215.4</v>
      </c>
      <c r="G6338" s="5">
        <v>107</v>
      </c>
      <c r="H6338" s="5">
        <v>106.9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108</v>
      </c>
      <c r="D6339" s="5">
        <v>0.1</v>
      </c>
      <c r="E6339" s="5">
        <v>108.2</v>
      </c>
      <c r="F6339" s="5">
        <v>215.4</v>
      </c>
      <c r="G6339" s="5">
        <v>107</v>
      </c>
      <c r="H6339" s="5">
        <v>106.9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108.1</v>
      </c>
      <c r="D6340" s="5">
        <v>0.1</v>
      </c>
      <c r="E6340" s="5">
        <v>108.2</v>
      </c>
      <c r="F6340" s="5">
        <v>215.4</v>
      </c>
      <c r="G6340" s="5">
        <v>107</v>
      </c>
      <c r="H6340" s="5">
        <v>106.8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108.1</v>
      </c>
      <c r="D6341" s="5">
        <v>0.1</v>
      </c>
      <c r="E6341" s="5">
        <v>108.2</v>
      </c>
      <c r="F6341" s="5">
        <v>215.4</v>
      </c>
      <c r="G6341" s="5">
        <v>107</v>
      </c>
      <c r="H6341" s="5">
        <v>106.8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108.1</v>
      </c>
      <c r="D6342" s="5">
        <v>0.1</v>
      </c>
      <c r="E6342" s="5">
        <v>108.2</v>
      </c>
      <c r="F6342" s="5">
        <v>215.4</v>
      </c>
      <c r="G6342" s="5">
        <v>107</v>
      </c>
      <c r="H6342" s="5">
        <v>106.8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108.1</v>
      </c>
      <c r="D6343" s="5">
        <v>0.1</v>
      </c>
      <c r="E6343" s="5">
        <v>108.2</v>
      </c>
      <c r="F6343" s="5">
        <v>215.4</v>
      </c>
      <c r="G6343" s="5">
        <v>107</v>
      </c>
      <c r="H6343" s="5">
        <v>106.8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109.8</v>
      </c>
      <c r="D6344" s="5">
        <v>0.1</v>
      </c>
      <c r="E6344" s="5">
        <v>110</v>
      </c>
      <c r="F6344" s="5">
        <v>216.2</v>
      </c>
      <c r="G6344" s="5">
        <v>107.5</v>
      </c>
      <c r="H6344" s="5">
        <v>107.5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109.8</v>
      </c>
      <c r="D6345" s="5">
        <v>0.1</v>
      </c>
      <c r="E6345" s="5">
        <v>110</v>
      </c>
      <c r="F6345" s="5">
        <v>216.2</v>
      </c>
      <c r="G6345" s="5">
        <v>107.5</v>
      </c>
      <c r="H6345" s="5">
        <v>107.5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108.6</v>
      </c>
      <c r="D6346" s="5">
        <v>0.1</v>
      </c>
      <c r="E6346" s="5">
        <v>108.8</v>
      </c>
      <c r="F6346" s="5">
        <v>217</v>
      </c>
      <c r="G6346" s="5">
        <v>107.8</v>
      </c>
      <c r="H6346" s="5">
        <v>107.6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108.6</v>
      </c>
      <c r="D6347" s="5">
        <v>0.1</v>
      </c>
      <c r="E6347" s="5">
        <v>108.8</v>
      </c>
      <c r="F6347" s="5">
        <v>217</v>
      </c>
      <c r="G6347" s="5">
        <v>107.8</v>
      </c>
      <c r="H6347" s="5">
        <v>107.6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108.3</v>
      </c>
      <c r="D6348" s="5">
        <v>0.1</v>
      </c>
      <c r="E6348" s="5">
        <v>108.5</v>
      </c>
      <c r="F6348" s="5">
        <v>217</v>
      </c>
      <c r="G6348" s="5">
        <v>107.8</v>
      </c>
      <c r="H6348" s="5">
        <v>107.6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108.3</v>
      </c>
      <c r="D6349" s="5">
        <v>0.1</v>
      </c>
      <c r="E6349" s="5">
        <v>108.5</v>
      </c>
      <c r="F6349" s="5">
        <v>215.4</v>
      </c>
      <c r="G6349" s="5">
        <v>106.9</v>
      </c>
      <c r="H6349" s="5">
        <v>106.6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109.1</v>
      </c>
      <c r="D6350" s="5">
        <v>0.1</v>
      </c>
      <c r="E6350" s="5">
        <v>108.5</v>
      </c>
      <c r="F6350" s="5">
        <v>215.4</v>
      </c>
      <c r="G6350" s="5">
        <v>106.9</v>
      </c>
      <c r="H6350" s="5">
        <v>106.6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109.1</v>
      </c>
      <c r="D6351" s="5">
        <v>0.1</v>
      </c>
      <c r="E6351" s="5">
        <v>109.2</v>
      </c>
      <c r="F6351" s="5">
        <v>217.4</v>
      </c>
      <c r="G6351" s="5">
        <v>107.4</v>
      </c>
      <c r="H6351" s="5">
        <v>107.2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109.1</v>
      </c>
      <c r="D6352" s="5">
        <v>0.1</v>
      </c>
      <c r="E6352" s="5">
        <v>109.2</v>
      </c>
      <c r="F6352" s="5">
        <v>217.4</v>
      </c>
      <c r="G6352" s="5">
        <v>107.4</v>
      </c>
      <c r="H6352" s="5">
        <v>107.2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109.1</v>
      </c>
      <c r="D6353" s="5">
        <v>0.1</v>
      </c>
      <c r="E6353" s="5">
        <v>109.2</v>
      </c>
      <c r="F6353" s="5">
        <v>217.4</v>
      </c>
      <c r="G6353" s="5">
        <v>107.4</v>
      </c>
      <c r="H6353" s="5">
        <v>107.2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102.8</v>
      </c>
      <c r="D6354" s="5">
        <v>0.1</v>
      </c>
      <c r="E6354" s="5">
        <v>102.9</v>
      </c>
      <c r="F6354" s="5">
        <v>205</v>
      </c>
      <c r="G6354" s="5">
        <v>101.8</v>
      </c>
      <c r="H6354" s="5">
        <v>101.7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102.8</v>
      </c>
      <c r="D6355" s="5">
        <v>0.1</v>
      </c>
      <c r="E6355" s="5">
        <v>102.9</v>
      </c>
      <c r="F6355" s="5">
        <v>205</v>
      </c>
      <c r="G6355" s="5">
        <v>101.8</v>
      </c>
      <c r="H6355" s="5">
        <v>101.7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106</v>
      </c>
      <c r="D6356" s="5">
        <v>0.1</v>
      </c>
      <c r="E6356" s="5">
        <v>106.2</v>
      </c>
      <c r="F6356" s="5">
        <v>207.3</v>
      </c>
      <c r="G6356" s="5">
        <v>103.1</v>
      </c>
      <c r="H6356" s="5">
        <v>103.1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106</v>
      </c>
      <c r="D6357" s="5">
        <v>0.1</v>
      </c>
      <c r="E6357" s="5">
        <v>106.2</v>
      </c>
      <c r="F6357" s="5">
        <v>207.3</v>
      </c>
      <c r="G6357" s="5">
        <v>103.1</v>
      </c>
      <c r="H6357" s="5">
        <v>103.1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103.5</v>
      </c>
      <c r="D6358" s="5">
        <v>0.1</v>
      </c>
      <c r="E6358" s="5">
        <v>103.7</v>
      </c>
      <c r="F6358" s="5">
        <v>206.5</v>
      </c>
      <c r="G6358" s="5">
        <v>102.7</v>
      </c>
      <c r="H6358" s="5">
        <v>102.6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103.5</v>
      </c>
      <c r="D6359" s="5">
        <v>0.1</v>
      </c>
      <c r="E6359" s="5">
        <v>103.7</v>
      </c>
      <c r="F6359" s="5">
        <v>206.5</v>
      </c>
      <c r="G6359" s="5">
        <v>102.7</v>
      </c>
      <c r="H6359" s="5">
        <v>102.6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108.5</v>
      </c>
      <c r="D6360" s="5">
        <v>0.1</v>
      </c>
      <c r="E6360" s="5">
        <v>108.7</v>
      </c>
      <c r="F6360" s="5">
        <v>215.4</v>
      </c>
      <c r="G6360" s="5">
        <v>107</v>
      </c>
      <c r="H6360" s="5">
        <v>106.9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108.5</v>
      </c>
      <c r="D6361" s="5">
        <v>0.1</v>
      </c>
      <c r="E6361" s="5">
        <v>108.7</v>
      </c>
      <c r="F6361" s="5">
        <v>215.4</v>
      </c>
      <c r="G6361" s="5">
        <v>107</v>
      </c>
      <c r="H6361" s="5">
        <v>106.9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108.5</v>
      </c>
      <c r="D6362" s="5">
        <v>0.1</v>
      </c>
      <c r="E6362" s="5">
        <v>108.7</v>
      </c>
      <c r="F6362" s="5">
        <v>215.4</v>
      </c>
      <c r="G6362" s="5">
        <v>107</v>
      </c>
      <c r="H6362" s="5">
        <v>106.9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108.5</v>
      </c>
      <c r="D6363" s="5">
        <v>0.1</v>
      </c>
      <c r="E6363" s="5">
        <v>108.7</v>
      </c>
      <c r="F6363" s="5">
        <v>215.4</v>
      </c>
      <c r="G6363" s="5">
        <v>107</v>
      </c>
      <c r="H6363" s="5">
        <v>106.9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108.8</v>
      </c>
      <c r="D6364" s="5">
        <v>0.1</v>
      </c>
      <c r="E6364" s="5">
        <v>109</v>
      </c>
      <c r="F6364" s="5">
        <v>216.2</v>
      </c>
      <c r="G6364" s="5">
        <v>107.5</v>
      </c>
      <c r="H6364" s="5">
        <v>107.3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108.8</v>
      </c>
      <c r="D6365" s="5">
        <v>0.1</v>
      </c>
      <c r="E6365" s="5">
        <v>109</v>
      </c>
      <c r="F6365" s="5">
        <v>216.2</v>
      </c>
      <c r="G6365" s="5">
        <v>107.5</v>
      </c>
      <c r="H6365" s="5">
        <v>107.3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109.2</v>
      </c>
      <c r="D6366" s="5">
        <v>0.1</v>
      </c>
      <c r="E6366" s="5">
        <v>109.4</v>
      </c>
      <c r="F6366" s="5">
        <v>217.2</v>
      </c>
      <c r="G6366" s="5">
        <v>107.9</v>
      </c>
      <c r="H6366" s="5">
        <v>107.7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109.2</v>
      </c>
      <c r="D6367" s="5">
        <v>0.1</v>
      </c>
      <c r="E6367" s="5">
        <v>109.4</v>
      </c>
      <c r="F6367" s="5">
        <v>217.2</v>
      </c>
      <c r="G6367" s="5">
        <v>107.9</v>
      </c>
      <c r="H6367" s="5">
        <v>107.7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103.4</v>
      </c>
      <c r="D6368" s="5">
        <v>0.1</v>
      </c>
      <c r="E6368" s="5">
        <v>103.5</v>
      </c>
      <c r="F6368" s="5">
        <v>208.1</v>
      </c>
      <c r="G6368" s="5">
        <v>103.2</v>
      </c>
      <c r="H6368" s="5">
        <v>105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103.4</v>
      </c>
      <c r="D6369" s="5">
        <v>0.1</v>
      </c>
      <c r="E6369" s="5">
        <v>103.5</v>
      </c>
      <c r="F6369" s="5">
        <v>208.1</v>
      </c>
      <c r="G6369" s="5">
        <v>103.2</v>
      </c>
      <c r="H6369" s="5">
        <v>105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103.4</v>
      </c>
      <c r="D6370" s="5">
        <v>0.1</v>
      </c>
      <c r="E6370" s="5">
        <v>103.6</v>
      </c>
      <c r="F6370" s="5">
        <v>204.7</v>
      </c>
      <c r="G6370" s="5">
        <v>101.7</v>
      </c>
      <c r="H6370" s="5">
        <v>101.2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103.4</v>
      </c>
      <c r="D6371" s="5">
        <v>0.1</v>
      </c>
      <c r="E6371" s="5">
        <v>103.6</v>
      </c>
      <c r="F6371" s="5">
        <v>204.7</v>
      </c>
      <c r="G6371" s="5">
        <v>101.7</v>
      </c>
      <c r="H6371" s="5">
        <v>101.2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103.4</v>
      </c>
      <c r="D6372" s="5">
        <v>0.1</v>
      </c>
      <c r="E6372" s="5">
        <v>103.6</v>
      </c>
      <c r="F6372" s="5">
        <v>204.7</v>
      </c>
      <c r="G6372" s="5">
        <v>101.7</v>
      </c>
      <c r="H6372" s="5">
        <v>101.2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103.4</v>
      </c>
      <c r="D6373" s="5">
        <v>0.1</v>
      </c>
      <c r="E6373" s="5">
        <v>103.6</v>
      </c>
      <c r="F6373" s="5">
        <v>204.7</v>
      </c>
      <c r="G6373" s="5">
        <v>101.7</v>
      </c>
      <c r="H6373" s="5">
        <v>101.2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108.7</v>
      </c>
      <c r="D6374" s="5">
        <v>0.1</v>
      </c>
      <c r="E6374" s="5">
        <v>108.8</v>
      </c>
      <c r="F6374" s="5">
        <v>215.4</v>
      </c>
      <c r="G6374" s="5">
        <v>107</v>
      </c>
      <c r="H6374" s="5">
        <v>106.8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108.7</v>
      </c>
      <c r="D6375" s="5">
        <v>0.1</v>
      </c>
      <c r="E6375" s="5">
        <v>108.8</v>
      </c>
      <c r="F6375" s="5">
        <v>215.4</v>
      </c>
      <c r="G6375" s="5">
        <v>107</v>
      </c>
      <c r="H6375" s="5">
        <v>106.8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108.4</v>
      </c>
      <c r="D6376" s="5">
        <v>0.1</v>
      </c>
      <c r="E6376" s="5">
        <v>108.5</v>
      </c>
      <c r="F6376" s="5">
        <v>215.7</v>
      </c>
      <c r="G6376" s="5">
        <v>107.1</v>
      </c>
      <c r="H6376" s="5">
        <v>106.9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108.4</v>
      </c>
      <c r="D6377" s="5">
        <v>0.1</v>
      </c>
      <c r="E6377" s="5">
        <v>108.5</v>
      </c>
      <c r="F6377" s="5">
        <v>215.7</v>
      </c>
      <c r="G6377" s="5">
        <v>107.1</v>
      </c>
      <c r="H6377" s="5">
        <v>106.9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109.1</v>
      </c>
      <c r="D6378" s="5">
        <v>0.1</v>
      </c>
      <c r="E6378" s="5">
        <v>109.3</v>
      </c>
      <c r="F6378" s="5">
        <v>217.4</v>
      </c>
      <c r="G6378" s="5">
        <v>108</v>
      </c>
      <c r="H6378" s="5">
        <v>107.8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109.1</v>
      </c>
      <c r="D6379" s="5">
        <v>0.1</v>
      </c>
      <c r="E6379" s="5">
        <v>109.3</v>
      </c>
      <c r="F6379" s="5">
        <v>217.4</v>
      </c>
      <c r="G6379" s="5">
        <v>108</v>
      </c>
      <c r="H6379" s="5">
        <v>107.8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109.4</v>
      </c>
      <c r="D6380" s="5">
        <v>0.1</v>
      </c>
      <c r="E6380" s="5">
        <v>109.5</v>
      </c>
      <c r="F6380" s="5">
        <v>217</v>
      </c>
      <c r="G6380" s="5">
        <v>107.8</v>
      </c>
      <c r="H6380" s="5">
        <v>107.6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109.4</v>
      </c>
      <c r="D6381" s="5">
        <v>0.1</v>
      </c>
      <c r="E6381" s="5">
        <v>109.5</v>
      </c>
      <c r="F6381" s="5">
        <v>217</v>
      </c>
      <c r="G6381" s="5">
        <v>107.8</v>
      </c>
      <c r="H6381" s="5">
        <v>107.6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109.4</v>
      </c>
      <c r="D6382" s="5">
        <v>0.1</v>
      </c>
      <c r="E6382" s="5">
        <v>109.5</v>
      </c>
      <c r="F6382" s="5">
        <v>217</v>
      </c>
      <c r="G6382" s="5">
        <v>107.8</v>
      </c>
      <c r="H6382" s="5">
        <v>107.6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109.4</v>
      </c>
      <c r="D6383" s="5">
        <v>0.1</v>
      </c>
      <c r="E6383" s="5">
        <v>109.5</v>
      </c>
      <c r="F6383" s="5">
        <v>217</v>
      </c>
      <c r="G6383" s="5">
        <v>107.8</v>
      </c>
      <c r="H6383" s="5">
        <v>107.6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108.7</v>
      </c>
      <c r="D6384" s="5">
        <v>0.1</v>
      </c>
      <c r="E6384" s="5">
        <v>108.8</v>
      </c>
      <c r="F6384" s="5">
        <v>216.2</v>
      </c>
      <c r="G6384" s="5">
        <v>107.3</v>
      </c>
      <c r="H6384" s="5">
        <v>107.2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108.7</v>
      </c>
      <c r="D6385" s="5">
        <v>0.1</v>
      </c>
      <c r="E6385" s="5">
        <v>108.8</v>
      </c>
      <c r="F6385" s="5">
        <v>216.2</v>
      </c>
      <c r="G6385" s="5">
        <v>107.3</v>
      </c>
      <c r="H6385" s="5">
        <v>107.2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109.3</v>
      </c>
      <c r="D6386" s="5">
        <v>0.1</v>
      </c>
      <c r="E6386" s="5">
        <v>109.4</v>
      </c>
      <c r="F6386" s="5">
        <v>217.4</v>
      </c>
      <c r="G6386" s="5">
        <v>108</v>
      </c>
      <c r="H6386" s="5">
        <v>107.8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109.3</v>
      </c>
      <c r="D6387" s="5">
        <v>0.1</v>
      </c>
      <c r="E6387" s="5">
        <v>109.4</v>
      </c>
      <c r="F6387" s="5">
        <v>217.4</v>
      </c>
      <c r="G6387" s="5">
        <v>108</v>
      </c>
      <c r="H6387" s="5">
        <v>107.8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109.3</v>
      </c>
      <c r="D6388" s="5">
        <v>0.1</v>
      </c>
      <c r="E6388" s="5">
        <v>109.4</v>
      </c>
      <c r="F6388" s="5">
        <v>216.8</v>
      </c>
      <c r="G6388" s="5">
        <v>107.7</v>
      </c>
      <c r="H6388" s="5">
        <v>107.6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109.3</v>
      </c>
      <c r="D6389" s="5">
        <v>0.1</v>
      </c>
      <c r="E6389" s="5">
        <v>109.4</v>
      </c>
      <c r="F6389" s="5">
        <v>216.8</v>
      </c>
      <c r="G6389" s="5">
        <v>107.7</v>
      </c>
      <c r="H6389" s="5">
        <v>107.6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109</v>
      </c>
      <c r="D6390" s="5">
        <v>0.1</v>
      </c>
      <c r="E6390" s="5">
        <v>109.1</v>
      </c>
      <c r="F6390" s="5">
        <v>216.8</v>
      </c>
      <c r="G6390" s="5">
        <v>107.7</v>
      </c>
      <c r="H6390" s="5">
        <v>107.6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109</v>
      </c>
      <c r="D6391" s="5">
        <v>0.1</v>
      </c>
      <c r="E6391" s="5">
        <v>109.1</v>
      </c>
      <c r="F6391" s="5">
        <v>216.8</v>
      </c>
      <c r="G6391" s="5">
        <v>107.7</v>
      </c>
      <c r="H6391" s="5">
        <v>107.6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109</v>
      </c>
      <c r="D6392" s="5">
        <v>0.1</v>
      </c>
      <c r="E6392" s="5">
        <v>109.1</v>
      </c>
      <c r="F6392" s="5">
        <v>216.8</v>
      </c>
      <c r="G6392" s="5">
        <v>107.7</v>
      </c>
      <c r="H6392" s="5">
        <v>107.6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109</v>
      </c>
      <c r="D6393" s="5">
        <v>0.1</v>
      </c>
      <c r="E6393" s="5">
        <v>109.1</v>
      </c>
      <c r="F6393" s="5">
        <v>216.8</v>
      </c>
      <c r="G6393" s="5">
        <v>107.7</v>
      </c>
      <c r="H6393" s="5">
        <v>107.6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108.8</v>
      </c>
      <c r="D6394" s="5">
        <v>0.1</v>
      </c>
      <c r="E6394" s="5">
        <v>108.9</v>
      </c>
      <c r="F6394" s="5">
        <v>216.4</v>
      </c>
      <c r="G6394" s="5">
        <v>107.6</v>
      </c>
      <c r="H6394" s="5">
        <v>107.4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108.8</v>
      </c>
      <c r="D6395" s="5">
        <v>0.1</v>
      </c>
      <c r="E6395" s="5">
        <v>108.9</v>
      </c>
      <c r="F6395" s="5">
        <v>216.4</v>
      </c>
      <c r="G6395" s="5">
        <v>107.6</v>
      </c>
      <c r="H6395" s="5">
        <v>107.4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108.8</v>
      </c>
      <c r="D6396" s="5">
        <v>0.1</v>
      </c>
      <c r="E6396" s="5">
        <v>108.9</v>
      </c>
      <c r="F6396" s="5">
        <v>216.4</v>
      </c>
      <c r="G6396" s="5">
        <v>107.6</v>
      </c>
      <c r="H6396" s="5">
        <v>107.4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108.8</v>
      </c>
      <c r="D6397" s="5">
        <v>0.1</v>
      </c>
      <c r="E6397" s="5">
        <v>108.9</v>
      </c>
      <c r="F6397" s="5">
        <v>216.4</v>
      </c>
      <c r="G6397" s="5">
        <v>107.6</v>
      </c>
      <c r="H6397" s="5">
        <v>107.4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108.6</v>
      </c>
      <c r="D6398" s="5">
        <v>0.1</v>
      </c>
      <c r="E6398" s="5">
        <v>108.8</v>
      </c>
      <c r="F6398" s="5">
        <v>204.3</v>
      </c>
      <c r="G6398" s="5">
        <v>101.7</v>
      </c>
      <c r="H6398" s="5">
        <v>101.8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108.6</v>
      </c>
      <c r="D6399" s="5">
        <v>0.1</v>
      </c>
      <c r="E6399" s="5">
        <v>108.8</v>
      </c>
      <c r="F6399" s="5">
        <v>204.3</v>
      </c>
      <c r="G6399" s="5">
        <v>101.7</v>
      </c>
      <c r="H6399" s="5">
        <v>101.8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103.5</v>
      </c>
      <c r="D6400" s="5">
        <v>0.1</v>
      </c>
      <c r="E6400" s="5">
        <v>103.7</v>
      </c>
      <c r="F6400" s="5">
        <v>205.8</v>
      </c>
      <c r="G6400" s="5">
        <v>102.3</v>
      </c>
      <c r="H6400" s="5">
        <v>102.3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103.5</v>
      </c>
      <c r="D6401" s="5">
        <v>0.1</v>
      </c>
      <c r="E6401" s="5">
        <v>103.7</v>
      </c>
      <c r="F6401" s="5">
        <v>205.8</v>
      </c>
      <c r="G6401" s="5">
        <v>102.3</v>
      </c>
      <c r="H6401" s="5">
        <v>102.3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103.5</v>
      </c>
      <c r="D6402" s="5">
        <v>0.1</v>
      </c>
      <c r="E6402" s="5">
        <v>103.7</v>
      </c>
      <c r="F6402" s="5">
        <v>205.8</v>
      </c>
      <c r="G6402" s="5">
        <v>102.3</v>
      </c>
      <c r="H6402" s="5">
        <v>102.3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103.5</v>
      </c>
      <c r="D6403" s="5">
        <v>0.1</v>
      </c>
      <c r="E6403" s="5">
        <v>103.7</v>
      </c>
      <c r="F6403" s="5">
        <v>205.8</v>
      </c>
      <c r="G6403" s="5">
        <v>102.3</v>
      </c>
      <c r="H6403" s="5">
        <v>102.3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104</v>
      </c>
      <c r="D6404" s="5">
        <v>0.1</v>
      </c>
      <c r="E6404" s="5">
        <v>104.1</v>
      </c>
      <c r="F6404" s="5">
        <v>205.9</v>
      </c>
      <c r="G6404" s="5">
        <v>102.5</v>
      </c>
      <c r="H6404" s="5">
        <v>102.6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104</v>
      </c>
      <c r="D6405" s="5">
        <v>0.1</v>
      </c>
      <c r="E6405" s="5">
        <v>104.1</v>
      </c>
      <c r="F6405" s="5">
        <v>205.9</v>
      </c>
      <c r="G6405" s="5">
        <v>102.5</v>
      </c>
      <c r="H6405" s="5">
        <v>102.6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108.7</v>
      </c>
      <c r="D6406" s="5">
        <v>0.1</v>
      </c>
      <c r="E6406" s="5">
        <v>108.8</v>
      </c>
      <c r="F6406" s="5">
        <v>214</v>
      </c>
      <c r="G6406" s="5">
        <v>106.5</v>
      </c>
      <c r="H6406" s="5">
        <v>106.4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108.7</v>
      </c>
      <c r="D6407" s="5">
        <v>0.1</v>
      </c>
      <c r="E6407" s="5">
        <v>108.8</v>
      </c>
      <c r="F6407" s="5">
        <v>214</v>
      </c>
      <c r="G6407" s="5">
        <v>106.5</v>
      </c>
      <c r="H6407" s="5">
        <v>106.4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108.6</v>
      </c>
      <c r="D6408" s="5">
        <v>0.1</v>
      </c>
      <c r="E6408" s="5">
        <v>108.8</v>
      </c>
      <c r="F6408" s="5">
        <v>216</v>
      </c>
      <c r="G6408" s="5">
        <v>107.4</v>
      </c>
      <c r="H6408" s="5">
        <v>107.3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108.6</v>
      </c>
      <c r="D6409" s="5">
        <v>0.1</v>
      </c>
      <c r="E6409" s="5">
        <v>108.8</v>
      </c>
      <c r="F6409" s="5">
        <v>216</v>
      </c>
      <c r="G6409" s="5">
        <v>107.4</v>
      </c>
      <c r="H6409" s="5">
        <v>107.3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108.2</v>
      </c>
      <c r="D6410" s="5">
        <v>0.1</v>
      </c>
      <c r="E6410" s="5">
        <v>108.4</v>
      </c>
      <c r="F6410" s="5">
        <v>215.4</v>
      </c>
      <c r="G6410" s="5">
        <v>107.1</v>
      </c>
      <c r="H6410" s="5">
        <v>107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108.2</v>
      </c>
      <c r="D6411" s="5">
        <v>0.1</v>
      </c>
      <c r="E6411" s="5">
        <v>108.4</v>
      </c>
      <c r="F6411" s="5">
        <v>215.4</v>
      </c>
      <c r="G6411" s="5">
        <v>107.1</v>
      </c>
      <c r="H6411" s="5">
        <v>107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108.2</v>
      </c>
      <c r="D6412" s="5">
        <v>0.1</v>
      </c>
      <c r="E6412" s="5">
        <v>108.4</v>
      </c>
      <c r="F6412" s="5">
        <v>215.4</v>
      </c>
      <c r="G6412" s="5">
        <v>107.1</v>
      </c>
      <c r="H6412" s="5">
        <v>107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108.2</v>
      </c>
      <c r="D6413" s="5">
        <v>0.1</v>
      </c>
      <c r="E6413" s="5">
        <v>108.4</v>
      </c>
      <c r="F6413" s="5">
        <v>215.4</v>
      </c>
      <c r="G6413" s="5">
        <v>107.1</v>
      </c>
      <c r="H6413" s="5">
        <v>107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108.8</v>
      </c>
      <c r="D6414" s="5">
        <v>0.1</v>
      </c>
      <c r="E6414" s="5">
        <v>108.9</v>
      </c>
      <c r="F6414" s="5">
        <v>216.1</v>
      </c>
      <c r="G6414" s="5">
        <v>107.4</v>
      </c>
      <c r="H6414" s="5">
        <v>107.3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108.8</v>
      </c>
      <c r="D6415" s="5">
        <v>0.1</v>
      </c>
      <c r="E6415" s="5">
        <v>108.9</v>
      </c>
      <c r="F6415" s="5">
        <v>216.1</v>
      </c>
      <c r="G6415" s="5">
        <v>107.4</v>
      </c>
      <c r="H6415" s="5">
        <v>107.3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108.8</v>
      </c>
      <c r="D6416" s="5">
        <v>0.1</v>
      </c>
      <c r="E6416" s="5">
        <v>108.9</v>
      </c>
      <c r="F6416" s="5">
        <v>216.6</v>
      </c>
      <c r="G6416" s="5">
        <v>107.6</v>
      </c>
      <c r="H6416" s="5">
        <v>107.5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108.8</v>
      </c>
      <c r="D6417" s="5">
        <v>0.1</v>
      </c>
      <c r="E6417" s="5">
        <v>108.9</v>
      </c>
      <c r="F6417" s="5">
        <v>216.6</v>
      </c>
      <c r="G6417" s="5">
        <v>107.6</v>
      </c>
      <c r="H6417" s="5">
        <v>107.5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109.3</v>
      </c>
      <c r="D6418" s="5">
        <v>0.1</v>
      </c>
      <c r="E6418" s="5">
        <v>109.4</v>
      </c>
      <c r="F6418" s="5">
        <v>217</v>
      </c>
      <c r="G6418" s="5">
        <v>107.8</v>
      </c>
      <c r="H6418" s="5">
        <v>107.7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109.3</v>
      </c>
      <c r="D6419" s="5">
        <v>0.1</v>
      </c>
      <c r="E6419" s="5">
        <v>109.4</v>
      </c>
      <c r="F6419" s="5">
        <v>217</v>
      </c>
      <c r="G6419" s="5">
        <v>107.8</v>
      </c>
      <c r="H6419" s="5">
        <v>107.7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108.5</v>
      </c>
      <c r="D6420" s="5">
        <v>0.1</v>
      </c>
      <c r="E6420" s="5">
        <v>108.6</v>
      </c>
      <c r="F6420" s="5">
        <v>216.9</v>
      </c>
      <c r="G6420" s="5">
        <v>107.7</v>
      </c>
      <c r="H6420" s="5">
        <v>107.5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108.5</v>
      </c>
      <c r="D6421" s="5">
        <v>0.1</v>
      </c>
      <c r="E6421" s="5">
        <v>108.6</v>
      </c>
      <c r="F6421" s="5">
        <v>216.9</v>
      </c>
      <c r="G6421" s="5">
        <v>107.7</v>
      </c>
      <c r="H6421" s="5">
        <v>107.5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108.5</v>
      </c>
      <c r="D6422" s="5">
        <v>0.1</v>
      </c>
      <c r="E6422" s="5">
        <v>108.6</v>
      </c>
      <c r="F6422" s="5">
        <v>216.9</v>
      </c>
      <c r="G6422" s="5">
        <v>107.7</v>
      </c>
      <c r="H6422" s="5">
        <v>107.5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108.5</v>
      </c>
      <c r="D6423" s="5">
        <v>0.1</v>
      </c>
      <c r="E6423" s="5">
        <v>108.6</v>
      </c>
      <c r="F6423" s="5">
        <v>216.9</v>
      </c>
      <c r="G6423" s="5">
        <v>107.7</v>
      </c>
      <c r="H6423" s="5">
        <v>107.5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106.5</v>
      </c>
      <c r="D6424" s="5">
        <v>0.1</v>
      </c>
      <c r="E6424" s="5">
        <v>106.6</v>
      </c>
      <c r="F6424" s="5">
        <v>212.9</v>
      </c>
      <c r="G6424" s="5">
        <v>105.7</v>
      </c>
      <c r="H6424" s="5">
        <v>105.5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106.5</v>
      </c>
      <c r="D6425" s="5">
        <v>0.1</v>
      </c>
      <c r="E6425" s="5">
        <v>106.6</v>
      </c>
      <c r="F6425" s="5">
        <v>212.9</v>
      </c>
      <c r="G6425" s="5">
        <v>105.7</v>
      </c>
      <c r="H6425" s="5">
        <v>105.5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108.9</v>
      </c>
      <c r="D6426" s="5">
        <v>0.1</v>
      </c>
      <c r="E6426" s="5">
        <v>109.1</v>
      </c>
      <c r="F6426" s="5">
        <v>216.7</v>
      </c>
      <c r="G6426" s="5">
        <v>107.6</v>
      </c>
      <c r="H6426" s="5">
        <v>107.3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108.9</v>
      </c>
      <c r="D6427" s="5">
        <v>0.1</v>
      </c>
      <c r="E6427" s="5">
        <v>109.1</v>
      </c>
      <c r="F6427" s="5">
        <v>216.7</v>
      </c>
      <c r="G6427" s="5">
        <v>107.6</v>
      </c>
      <c r="H6427" s="5">
        <v>107.3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102.5</v>
      </c>
      <c r="D6428" s="5">
        <v>0.1</v>
      </c>
      <c r="E6428" s="5">
        <v>102.7</v>
      </c>
      <c r="F6428" s="5">
        <v>204.2</v>
      </c>
      <c r="G6428" s="5">
        <v>101.5</v>
      </c>
      <c r="H6428" s="5">
        <v>101.4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102.5</v>
      </c>
      <c r="D6429" s="5">
        <v>0.1</v>
      </c>
      <c r="E6429" s="5">
        <v>102.7</v>
      </c>
      <c r="F6429" s="5">
        <v>204.2</v>
      </c>
      <c r="G6429" s="5">
        <v>101.5</v>
      </c>
      <c r="H6429" s="5">
        <v>101.4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104</v>
      </c>
      <c r="D6430" s="5">
        <v>0.1</v>
      </c>
      <c r="E6430" s="5">
        <v>104.1</v>
      </c>
      <c r="F6430" s="5">
        <v>204.9</v>
      </c>
      <c r="G6430" s="5">
        <v>101.9</v>
      </c>
      <c r="H6430" s="5">
        <v>101.8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104</v>
      </c>
      <c r="D6431" s="5">
        <v>0.1</v>
      </c>
      <c r="E6431" s="5">
        <v>104.1</v>
      </c>
      <c r="F6431" s="5">
        <v>204.9</v>
      </c>
      <c r="G6431" s="5">
        <v>101.9</v>
      </c>
      <c r="H6431" s="5">
        <v>101.8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104</v>
      </c>
      <c r="D6432" s="5">
        <v>0.1</v>
      </c>
      <c r="E6432" s="5">
        <v>104.1</v>
      </c>
      <c r="F6432" s="5">
        <v>204.9</v>
      </c>
      <c r="G6432" s="5">
        <v>101.9</v>
      </c>
      <c r="H6432" s="5">
        <v>101.8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104</v>
      </c>
      <c r="D6433" s="5">
        <v>0.1</v>
      </c>
      <c r="E6433" s="5">
        <v>104.1</v>
      </c>
      <c r="F6433" s="5">
        <v>204.9</v>
      </c>
      <c r="G6433" s="5">
        <v>101.9</v>
      </c>
      <c r="H6433" s="5">
        <v>103.9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104.5</v>
      </c>
      <c r="D6434" s="5">
        <v>0.1</v>
      </c>
      <c r="E6434" s="5">
        <v>104.6</v>
      </c>
      <c r="F6434" s="5">
        <v>211.3</v>
      </c>
      <c r="G6434" s="5">
        <v>104.4</v>
      </c>
      <c r="H6434" s="5">
        <v>103.9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104.5</v>
      </c>
      <c r="D6435" s="5">
        <v>0.1</v>
      </c>
      <c r="E6435" s="5">
        <v>104.6</v>
      </c>
      <c r="F6435" s="5">
        <v>211.3</v>
      </c>
      <c r="G6435" s="5">
        <v>104.4</v>
      </c>
      <c r="H6435" s="5">
        <v>103.9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109.2</v>
      </c>
      <c r="D6436" s="5">
        <v>0.1</v>
      </c>
      <c r="E6436" s="5">
        <v>109.4</v>
      </c>
      <c r="F6436" s="5">
        <v>216.4</v>
      </c>
      <c r="G6436" s="5">
        <v>107.6</v>
      </c>
      <c r="H6436" s="5">
        <v>107.4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109.2</v>
      </c>
      <c r="D6437" s="5">
        <v>0.1</v>
      </c>
      <c r="E6437" s="5">
        <v>109.4</v>
      </c>
      <c r="F6437" s="5">
        <v>216.4</v>
      </c>
      <c r="G6437" s="5">
        <v>107.6</v>
      </c>
      <c r="H6437" s="5">
        <v>107.4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105</v>
      </c>
      <c r="D6438" s="5">
        <v>0.1</v>
      </c>
      <c r="E6438" s="5">
        <v>105.1</v>
      </c>
      <c r="F6438" s="5">
        <v>209.5</v>
      </c>
      <c r="G6438" s="5">
        <v>103.7</v>
      </c>
      <c r="H6438" s="5">
        <v>103.3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105</v>
      </c>
      <c r="D6439" s="5">
        <v>0.1</v>
      </c>
      <c r="E6439" s="5">
        <v>105.1</v>
      </c>
      <c r="F6439" s="5">
        <v>209.5</v>
      </c>
      <c r="G6439" s="5">
        <v>103.7</v>
      </c>
      <c r="H6439" s="5">
        <v>103.3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103.5</v>
      </c>
      <c r="D6440" s="5">
        <v>0.1</v>
      </c>
      <c r="E6440" s="5">
        <v>103.7</v>
      </c>
      <c r="F6440" s="5">
        <v>208.1</v>
      </c>
      <c r="G6440" s="5">
        <v>103.2</v>
      </c>
      <c r="H6440" s="5">
        <v>102.8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103.5</v>
      </c>
      <c r="D6441" s="5">
        <v>0.1</v>
      </c>
      <c r="E6441" s="5">
        <v>103.7</v>
      </c>
      <c r="F6441" s="5">
        <v>208.1</v>
      </c>
      <c r="G6441" s="5">
        <v>103.2</v>
      </c>
      <c r="H6441" s="5">
        <v>102.8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103.5</v>
      </c>
      <c r="D6442" s="5">
        <v>0.1</v>
      </c>
      <c r="E6442" s="5">
        <v>103.7</v>
      </c>
      <c r="F6442" s="5">
        <v>208.1</v>
      </c>
      <c r="G6442" s="5">
        <v>103.2</v>
      </c>
      <c r="H6442" s="5">
        <v>102.8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108.9</v>
      </c>
      <c r="D6443" s="5">
        <v>0.1</v>
      </c>
      <c r="E6443" s="5">
        <v>109.1</v>
      </c>
      <c r="F6443" s="5">
        <v>216.5</v>
      </c>
      <c r="G6443" s="5">
        <v>107.6</v>
      </c>
      <c r="H6443" s="5">
        <v>107.5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108.9</v>
      </c>
      <c r="D6444" s="5">
        <v>0.1</v>
      </c>
      <c r="E6444" s="5">
        <v>109.1</v>
      </c>
      <c r="F6444" s="5">
        <v>216.5</v>
      </c>
      <c r="G6444" s="5">
        <v>107.6</v>
      </c>
      <c r="H6444" s="5">
        <v>107.5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109.7</v>
      </c>
      <c r="D6445" s="5">
        <v>0.1</v>
      </c>
      <c r="E6445" s="5">
        <v>109.9</v>
      </c>
      <c r="F6445" s="5">
        <v>218.2</v>
      </c>
      <c r="G6445" s="5">
        <v>108.4</v>
      </c>
      <c r="H6445" s="5">
        <v>108.3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109.7</v>
      </c>
      <c r="D6446" s="5">
        <v>0.1</v>
      </c>
      <c r="E6446" s="5">
        <v>109.9</v>
      </c>
      <c r="F6446" s="5">
        <v>218.2</v>
      </c>
      <c r="G6446" s="5">
        <v>108.4</v>
      </c>
      <c r="H6446" s="5">
        <v>108.3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110.3</v>
      </c>
      <c r="D6447" s="5">
        <v>0.1</v>
      </c>
      <c r="E6447" s="5">
        <v>110.4</v>
      </c>
      <c r="F6447" s="5">
        <v>218.9</v>
      </c>
      <c r="G6447" s="5">
        <v>108.8</v>
      </c>
      <c r="H6447" s="5">
        <v>108.6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110.3</v>
      </c>
      <c r="D6448" s="5">
        <v>0.1</v>
      </c>
      <c r="E6448" s="5">
        <v>110.4</v>
      </c>
      <c r="F6448" s="5">
        <v>218.9</v>
      </c>
      <c r="G6448" s="5">
        <v>108.8</v>
      </c>
      <c r="H6448" s="5">
        <v>108.6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109.1</v>
      </c>
      <c r="D6449" s="5">
        <v>0.1</v>
      </c>
      <c r="E6449" s="5">
        <v>109.2</v>
      </c>
      <c r="F6449" s="5">
        <v>217.5</v>
      </c>
      <c r="G6449" s="5">
        <v>108.1</v>
      </c>
      <c r="H6449" s="5">
        <v>108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109.1</v>
      </c>
      <c r="D6450" s="5">
        <v>0.1</v>
      </c>
      <c r="E6450" s="5">
        <v>109.2</v>
      </c>
      <c r="F6450" s="5">
        <v>217.5</v>
      </c>
      <c r="G6450" s="5">
        <v>108.1</v>
      </c>
      <c r="H6450" s="5">
        <v>108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109.1</v>
      </c>
      <c r="D6451" s="5">
        <v>0.1</v>
      </c>
      <c r="E6451" s="5">
        <v>109.2</v>
      </c>
      <c r="F6451" s="5">
        <v>217.5</v>
      </c>
      <c r="G6451" s="5">
        <v>108.1</v>
      </c>
      <c r="H6451" s="5">
        <v>108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109.1</v>
      </c>
      <c r="D6452" s="5">
        <v>0.1</v>
      </c>
      <c r="E6452" s="5">
        <v>109.2</v>
      </c>
      <c r="F6452" s="5">
        <v>217.5</v>
      </c>
      <c r="G6452" s="5">
        <v>108.1</v>
      </c>
      <c r="H6452" s="5">
        <v>108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109.6</v>
      </c>
      <c r="D6453" s="5">
        <v>0.1</v>
      </c>
      <c r="E6453" s="5">
        <v>109.8</v>
      </c>
      <c r="F6453" s="5">
        <v>218.2</v>
      </c>
      <c r="G6453" s="5">
        <v>108.1</v>
      </c>
      <c r="H6453" s="5">
        <v>108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109.6</v>
      </c>
      <c r="D6454" s="5">
        <v>0.1</v>
      </c>
      <c r="E6454" s="5">
        <v>109.8</v>
      </c>
      <c r="F6454" s="5">
        <v>218.2</v>
      </c>
      <c r="G6454" s="5">
        <v>108.4</v>
      </c>
      <c r="H6454" s="5">
        <v>108.2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109.4</v>
      </c>
      <c r="D6455" s="5">
        <v>0.1</v>
      </c>
      <c r="E6455" s="5">
        <v>109.5</v>
      </c>
      <c r="F6455" s="5">
        <v>218.2</v>
      </c>
      <c r="G6455" s="5">
        <v>108.4</v>
      </c>
      <c r="H6455" s="5">
        <v>108.2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109.4</v>
      </c>
      <c r="D6456" s="5">
        <v>0.1</v>
      </c>
      <c r="E6456" s="5">
        <v>109.5</v>
      </c>
      <c r="F6456" s="5">
        <v>218.2</v>
      </c>
      <c r="G6456" s="5">
        <v>108.4</v>
      </c>
      <c r="H6456" s="5">
        <v>108.2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109.6</v>
      </c>
      <c r="D6457" s="5">
        <v>0.1</v>
      </c>
      <c r="E6457" s="5">
        <v>109.5</v>
      </c>
      <c r="F6457" s="5">
        <v>218.2</v>
      </c>
      <c r="G6457" s="5">
        <v>108.4</v>
      </c>
      <c r="H6457" s="5">
        <v>108.2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109.6</v>
      </c>
      <c r="D6458" s="5">
        <v>0.1</v>
      </c>
      <c r="E6458" s="5">
        <v>109.7</v>
      </c>
      <c r="F6458" s="5">
        <v>218</v>
      </c>
      <c r="G6458" s="5">
        <v>108.3</v>
      </c>
      <c r="H6458" s="5">
        <v>108.1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109.6</v>
      </c>
      <c r="D6459" s="5">
        <v>0.1</v>
      </c>
      <c r="E6459" s="5">
        <v>109.7</v>
      </c>
      <c r="F6459" s="5">
        <v>218</v>
      </c>
      <c r="G6459" s="5">
        <v>108.3</v>
      </c>
      <c r="H6459" s="5">
        <v>108.1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108.9</v>
      </c>
      <c r="D6460" s="5">
        <v>0.1</v>
      </c>
      <c r="E6460" s="5">
        <v>109.1</v>
      </c>
      <c r="F6460" s="5">
        <v>217.9</v>
      </c>
      <c r="G6460" s="5">
        <v>108.3</v>
      </c>
      <c r="H6460" s="5">
        <v>108.1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108.9</v>
      </c>
      <c r="D6461" s="5">
        <v>0.1</v>
      </c>
      <c r="E6461" s="5">
        <v>109.1</v>
      </c>
      <c r="F6461" s="5">
        <v>217.9</v>
      </c>
      <c r="G6461" s="5">
        <v>108.3</v>
      </c>
      <c r="H6461" s="5">
        <v>108.1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108.9</v>
      </c>
      <c r="D6462" s="5">
        <v>0.1</v>
      </c>
      <c r="E6462" s="5">
        <v>109.1</v>
      </c>
      <c r="F6462" s="5">
        <v>217.9</v>
      </c>
      <c r="G6462" s="5">
        <v>108.3</v>
      </c>
      <c r="H6462" s="5">
        <v>108.1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108.9</v>
      </c>
      <c r="D6463" s="5">
        <v>0.1</v>
      </c>
      <c r="E6463" s="5">
        <v>109.1</v>
      </c>
      <c r="F6463" s="5">
        <v>217.9</v>
      </c>
      <c r="G6463" s="5">
        <v>108.3</v>
      </c>
      <c r="H6463" s="5">
        <v>108.1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109.4</v>
      </c>
      <c r="D6464" s="5">
        <v>0.1</v>
      </c>
      <c r="E6464" s="5">
        <v>109.6</v>
      </c>
      <c r="F6464" s="5">
        <v>217.4</v>
      </c>
      <c r="G6464" s="5">
        <v>108.1</v>
      </c>
      <c r="H6464" s="5">
        <v>108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109.4</v>
      </c>
      <c r="D6465" s="5">
        <v>0.1</v>
      </c>
      <c r="E6465" s="5">
        <v>109.6</v>
      </c>
      <c r="F6465" s="5">
        <v>217.4</v>
      </c>
      <c r="G6465" s="5">
        <v>108.1</v>
      </c>
      <c r="H6465" s="5">
        <v>108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109.2</v>
      </c>
      <c r="D6466" s="5">
        <v>0.1</v>
      </c>
      <c r="E6466" s="5">
        <v>109.4</v>
      </c>
      <c r="F6466" s="5">
        <v>217.5</v>
      </c>
      <c r="G6466" s="5">
        <v>108.1</v>
      </c>
      <c r="H6466" s="5">
        <v>107.9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109.2</v>
      </c>
      <c r="D6467" s="5">
        <v>0.1</v>
      </c>
      <c r="E6467" s="5">
        <v>109.4</v>
      </c>
      <c r="F6467" s="5">
        <v>217.5</v>
      </c>
      <c r="G6467" s="5">
        <v>108.1</v>
      </c>
      <c r="H6467" s="5">
        <v>107.9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109.4</v>
      </c>
      <c r="D6468" s="5">
        <v>0.1</v>
      </c>
      <c r="E6468" s="5">
        <v>109.6</v>
      </c>
      <c r="F6468" s="5">
        <v>217.8</v>
      </c>
      <c r="G6468" s="5">
        <v>108.2</v>
      </c>
      <c r="H6468" s="5">
        <v>108.1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109.4</v>
      </c>
      <c r="D6469" s="5">
        <v>0.1</v>
      </c>
      <c r="E6469" s="5">
        <v>109.6</v>
      </c>
      <c r="F6469" s="5">
        <v>217.8</v>
      </c>
      <c r="G6469" s="5">
        <v>108.2</v>
      </c>
      <c r="H6469" s="5">
        <v>108.1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108.9</v>
      </c>
      <c r="D6470" s="5">
        <v>0.1</v>
      </c>
      <c r="E6470" s="5">
        <v>109.1</v>
      </c>
      <c r="F6470" s="5">
        <v>216.9</v>
      </c>
      <c r="G6470" s="5">
        <v>107.7</v>
      </c>
      <c r="H6470" s="5">
        <v>107.6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108.9</v>
      </c>
      <c r="D6471" s="5">
        <v>0.1</v>
      </c>
      <c r="E6471" s="5">
        <v>109.1</v>
      </c>
      <c r="F6471" s="5">
        <v>216.9</v>
      </c>
      <c r="G6471" s="5">
        <v>107.7</v>
      </c>
      <c r="H6471" s="5">
        <v>107.6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108.9</v>
      </c>
      <c r="D6472" s="5">
        <v>0.1</v>
      </c>
      <c r="E6472" s="5">
        <v>109.1</v>
      </c>
      <c r="F6472" s="5">
        <v>216.9</v>
      </c>
      <c r="G6472" s="5">
        <v>107.7</v>
      </c>
      <c r="H6472" s="5">
        <v>107.6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109.8</v>
      </c>
      <c r="D6473" s="5">
        <v>0.1</v>
      </c>
      <c r="E6473" s="5">
        <v>110</v>
      </c>
      <c r="F6473" s="5">
        <v>218.1</v>
      </c>
      <c r="G6473" s="5">
        <v>108.5</v>
      </c>
      <c r="H6473" s="5">
        <v>108.4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109.8</v>
      </c>
      <c r="D6474" s="5">
        <v>0.1</v>
      </c>
      <c r="E6474" s="5">
        <v>110</v>
      </c>
      <c r="F6474" s="5">
        <v>218.1</v>
      </c>
      <c r="G6474" s="5">
        <v>108.5</v>
      </c>
      <c r="H6474" s="5">
        <v>108.4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109.4</v>
      </c>
      <c r="D6475" s="5">
        <v>0.1</v>
      </c>
      <c r="E6475" s="5">
        <v>109.6</v>
      </c>
      <c r="F6475" s="5">
        <v>217.5</v>
      </c>
      <c r="G6475" s="5">
        <v>108.1</v>
      </c>
      <c r="H6475" s="5">
        <v>108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109.4</v>
      </c>
      <c r="D6476" s="5">
        <v>0.1</v>
      </c>
      <c r="E6476" s="5">
        <v>109.6</v>
      </c>
      <c r="F6476" s="5">
        <v>217.5</v>
      </c>
      <c r="G6476" s="5">
        <v>108.1</v>
      </c>
      <c r="H6476" s="5">
        <v>108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109.3</v>
      </c>
      <c r="D6477" s="5">
        <v>0.1</v>
      </c>
      <c r="E6477" s="5">
        <v>109.4</v>
      </c>
      <c r="F6477" s="5">
        <v>216.7</v>
      </c>
      <c r="G6477" s="5">
        <v>107.6</v>
      </c>
      <c r="H6477" s="5">
        <v>107.5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109.3</v>
      </c>
      <c r="D6478" s="5">
        <v>0.1</v>
      </c>
      <c r="E6478" s="5">
        <v>109.4</v>
      </c>
      <c r="F6478" s="5">
        <v>216.7</v>
      </c>
      <c r="G6478" s="5">
        <v>107.6</v>
      </c>
      <c r="H6478" s="5">
        <v>107.5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109.3</v>
      </c>
      <c r="D6479" s="5">
        <v>0.1</v>
      </c>
      <c r="E6479" s="5">
        <v>109.3</v>
      </c>
      <c r="F6479" s="5">
        <v>216.7</v>
      </c>
      <c r="G6479" s="5">
        <v>107.7</v>
      </c>
      <c r="H6479" s="5">
        <v>107.5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109.1</v>
      </c>
      <c r="D6480" s="5">
        <v>0.1</v>
      </c>
      <c r="E6480" s="5">
        <v>109.3</v>
      </c>
      <c r="F6480" s="5">
        <v>216.7</v>
      </c>
      <c r="G6480" s="5">
        <v>107.7</v>
      </c>
      <c r="H6480" s="5">
        <v>107.5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109.1</v>
      </c>
      <c r="D6481" s="5">
        <v>0.1</v>
      </c>
      <c r="E6481" s="5">
        <v>109.3</v>
      </c>
      <c r="F6481" s="5">
        <v>216.7</v>
      </c>
      <c r="G6481" s="5">
        <v>107.7</v>
      </c>
      <c r="H6481" s="5">
        <v>107.5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109.1</v>
      </c>
      <c r="D6482" s="5">
        <v>0.1</v>
      </c>
      <c r="E6482" s="5">
        <v>109.3</v>
      </c>
      <c r="F6482" s="5">
        <v>216.7</v>
      </c>
      <c r="G6482" s="5">
        <v>107.7</v>
      </c>
      <c r="H6482" s="5">
        <v>107.5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109</v>
      </c>
      <c r="D6483" s="5">
        <v>0.1</v>
      </c>
      <c r="E6483" s="5">
        <v>109.1</v>
      </c>
      <c r="F6483" s="5">
        <v>217.1</v>
      </c>
      <c r="G6483" s="5">
        <v>107.8</v>
      </c>
      <c r="H6483" s="5">
        <v>107.7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109</v>
      </c>
      <c r="D6484" s="5">
        <v>0.1</v>
      </c>
      <c r="E6484" s="5">
        <v>109.1</v>
      </c>
      <c r="F6484" s="5">
        <v>217.1</v>
      </c>
      <c r="G6484" s="5">
        <v>107.8</v>
      </c>
      <c r="H6484" s="5">
        <v>107.7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102.4</v>
      </c>
      <c r="D6485" s="5">
        <v>0.1</v>
      </c>
      <c r="E6485" s="5">
        <v>102.5</v>
      </c>
      <c r="F6485" s="5">
        <v>203.6</v>
      </c>
      <c r="G6485" s="5">
        <v>101.1</v>
      </c>
      <c r="H6485" s="5">
        <v>100.9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102.4</v>
      </c>
      <c r="D6486" s="5">
        <v>0.1</v>
      </c>
      <c r="E6486" s="5">
        <v>102.5</v>
      </c>
      <c r="F6486" s="5">
        <v>203.6</v>
      </c>
      <c r="G6486" s="5">
        <v>101.1</v>
      </c>
      <c r="H6486" s="5">
        <v>100.9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103.1</v>
      </c>
      <c r="D6487" s="5">
        <v>0.1</v>
      </c>
      <c r="E6487" s="5">
        <v>103.3</v>
      </c>
      <c r="F6487" s="5">
        <v>204.9</v>
      </c>
      <c r="G6487" s="5">
        <v>101.9</v>
      </c>
      <c r="H6487" s="5">
        <v>101.8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103.1</v>
      </c>
      <c r="D6488" s="5">
        <v>0.1</v>
      </c>
      <c r="E6488" s="5">
        <v>103.3</v>
      </c>
      <c r="F6488" s="5">
        <v>204.9</v>
      </c>
      <c r="G6488" s="5">
        <v>101.9</v>
      </c>
      <c r="H6488" s="5">
        <v>101.8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109.4</v>
      </c>
      <c r="D6489" s="5">
        <v>0.1</v>
      </c>
      <c r="E6489" s="5">
        <v>109.5</v>
      </c>
      <c r="F6489" s="5">
        <v>217.4</v>
      </c>
      <c r="G6489" s="5">
        <v>108</v>
      </c>
      <c r="H6489" s="5">
        <v>107.9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109.4</v>
      </c>
      <c r="D6490" s="5">
        <v>0.1</v>
      </c>
      <c r="E6490" s="5">
        <v>109.5</v>
      </c>
      <c r="F6490" s="5">
        <v>217.4</v>
      </c>
      <c r="G6490" s="5">
        <v>108</v>
      </c>
      <c r="H6490" s="5">
        <v>107.9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109.4</v>
      </c>
      <c r="D6491" s="5">
        <v>0.1</v>
      </c>
      <c r="E6491" s="5">
        <v>109.5</v>
      </c>
      <c r="F6491" s="5">
        <v>217.4</v>
      </c>
      <c r="G6491" s="5">
        <v>108</v>
      </c>
      <c r="H6491" s="5">
        <v>107.9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109.4</v>
      </c>
      <c r="D6492" s="5">
        <v>0.1</v>
      </c>
      <c r="E6492" s="5">
        <v>109.5</v>
      </c>
      <c r="F6492" s="5">
        <v>217.4</v>
      </c>
      <c r="G6492" s="5">
        <v>108</v>
      </c>
      <c r="H6492" s="5">
        <v>107.9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109.4</v>
      </c>
      <c r="D6493" s="5">
        <v>0.1</v>
      </c>
      <c r="E6493" s="5">
        <v>109.5</v>
      </c>
      <c r="F6493" s="5">
        <v>216.1</v>
      </c>
      <c r="G6493" s="5">
        <v>107.4</v>
      </c>
      <c r="H6493" s="5">
        <v>104.3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109.4</v>
      </c>
      <c r="D6494" s="5">
        <v>0.1</v>
      </c>
      <c r="E6494" s="5">
        <v>109.5</v>
      </c>
      <c r="F6494" s="5">
        <v>216.1</v>
      </c>
      <c r="G6494" s="5">
        <v>107.4</v>
      </c>
      <c r="H6494" s="5">
        <v>104.3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108.5</v>
      </c>
      <c r="D6495" s="5">
        <v>0.1</v>
      </c>
      <c r="E6495" s="5">
        <v>108.6</v>
      </c>
      <c r="F6495" s="5">
        <v>215.1</v>
      </c>
      <c r="G6495" s="5">
        <v>106.9</v>
      </c>
      <c r="H6495" s="5">
        <v>106.1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108.5</v>
      </c>
      <c r="D6496" s="5">
        <v>0.1</v>
      </c>
      <c r="E6496" s="5">
        <v>108.6</v>
      </c>
      <c r="F6496" s="5">
        <v>215.1</v>
      </c>
      <c r="G6496" s="5">
        <v>106.9</v>
      </c>
      <c r="H6496" s="5">
        <v>106.1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109.2</v>
      </c>
      <c r="D6497" s="5">
        <v>0.1</v>
      </c>
      <c r="E6497" s="5">
        <v>109.4</v>
      </c>
      <c r="F6497" s="5">
        <v>215.3</v>
      </c>
      <c r="G6497" s="5">
        <v>107.1</v>
      </c>
      <c r="H6497" s="5">
        <v>106.8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109.2</v>
      </c>
      <c r="D6498" s="5">
        <v>0.1</v>
      </c>
      <c r="E6498" s="5">
        <v>109.4</v>
      </c>
      <c r="F6498" s="5">
        <v>215.3</v>
      </c>
      <c r="G6498" s="5">
        <v>107.1</v>
      </c>
      <c r="H6498" s="5">
        <v>106.8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108.8</v>
      </c>
      <c r="D6499" s="5">
        <v>0.1</v>
      </c>
      <c r="E6499" s="5">
        <v>109</v>
      </c>
      <c r="F6499" s="5">
        <v>216.4</v>
      </c>
      <c r="G6499" s="5">
        <v>107.5</v>
      </c>
      <c r="H6499" s="5">
        <v>107.4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108.8</v>
      </c>
      <c r="D6500" s="5">
        <v>0.1</v>
      </c>
      <c r="E6500" s="5">
        <v>109</v>
      </c>
      <c r="F6500" s="5">
        <v>216.4</v>
      </c>
      <c r="G6500" s="5">
        <v>107.5</v>
      </c>
      <c r="H6500" s="5">
        <v>107.4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108.8</v>
      </c>
      <c r="D6501" s="5">
        <v>0.1</v>
      </c>
      <c r="E6501" s="5">
        <v>109</v>
      </c>
      <c r="F6501" s="5">
        <v>216.4</v>
      </c>
      <c r="G6501" s="5">
        <v>107.5</v>
      </c>
      <c r="H6501" s="5">
        <v>107.4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108.8</v>
      </c>
      <c r="D6502" s="5">
        <v>0.1</v>
      </c>
      <c r="E6502" s="5">
        <v>109</v>
      </c>
      <c r="F6502" s="5">
        <v>216.4</v>
      </c>
      <c r="G6502" s="5">
        <v>107.5</v>
      </c>
      <c r="H6502" s="5">
        <v>107.4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109.2</v>
      </c>
      <c r="D6503" s="5">
        <v>0.1</v>
      </c>
      <c r="E6503" s="5">
        <v>109.4</v>
      </c>
      <c r="F6503" s="5">
        <v>217.2</v>
      </c>
      <c r="G6503" s="5">
        <v>108</v>
      </c>
      <c r="H6503" s="5">
        <v>107.8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109.2</v>
      </c>
      <c r="D6504" s="5">
        <v>0.1</v>
      </c>
      <c r="E6504" s="5">
        <v>109.4</v>
      </c>
      <c r="F6504" s="5">
        <v>217.2</v>
      </c>
      <c r="G6504" s="5">
        <v>108</v>
      </c>
      <c r="H6504" s="5">
        <v>107.8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108.7</v>
      </c>
      <c r="D6505" s="5">
        <v>0.1</v>
      </c>
      <c r="E6505" s="5">
        <v>108.8</v>
      </c>
      <c r="F6505" s="5">
        <v>216.1</v>
      </c>
      <c r="G6505" s="5">
        <v>107.4</v>
      </c>
      <c r="H6505" s="5">
        <v>107.2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108.7</v>
      </c>
      <c r="D6506" s="5">
        <v>0.1</v>
      </c>
      <c r="E6506" s="5">
        <v>108.8</v>
      </c>
      <c r="F6506" s="5">
        <v>216.1</v>
      </c>
      <c r="G6506" s="5">
        <v>107.4</v>
      </c>
      <c r="H6506" s="5">
        <v>107.2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109.7</v>
      </c>
      <c r="D6507" s="5">
        <v>0.1</v>
      </c>
      <c r="E6507" s="5">
        <v>109.7</v>
      </c>
      <c r="F6507" s="5">
        <v>217.3</v>
      </c>
      <c r="G6507" s="5">
        <v>107.9</v>
      </c>
      <c r="H6507" s="5">
        <v>107.8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109.7</v>
      </c>
      <c r="D6508" s="5">
        <v>0.1</v>
      </c>
      <c r="E6508" s="5">
        <v>109.7</v>
      </c>
      <c r="F6508" s="5">
        <v>217.3</v>
      </c>
      <c r="G6508" s="5">
        <v>107.9</v>
      </c>
      <c r="H6508" s="5">
        <v>107.8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108.5</v>
      </c>
      <c r="D6509" s="5">
        <v>0.1</v>
      </c>
      <c r="E6509" s="5">
        <v>108.7</v>
      </c>
      <c r="F6509" s="5">
        <v>217.3</v>
      </c>
      <c r="G6509" s="5">
        <v>108</v>
      </c>
      <c r="H6509" s="5">
        <v>107.8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108.5</v>
      </c>
      <c r="D6510" s="5">
        <v>0.1</v>
      </c>
      <c r="E6510" s="5">
        <v>108.7</v>
      </c>
      <c r="F6510" s="5">
        <v>217.3</v>
      </c>
      <c r="G6510" s="5">
        <v>108</v>
      </c>
      <c r="H6510" s="5">
        <v>107.8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108.5</v>
      </c>
      <c r="D6511" s="5">
        <v>0.1</v>
      </c>
      <c r="E6511" s="5">
        <v>108.7</v>
      </c>
      <c r="F6511" s="5">
        <v>217.3</v>
      </c>
      <c r="G6511" s="5">
        <v>108</v>
      </c>
      <c r="H6511" s="5">
        <v>107.8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108.5</v>
      </c>
      <c r="D6512" s="5">
        <v>0.1</v>
      </c>
      <c r="E6512" s="5">
        <v>108.7</v>
      </c>
      <c r="F6512" s="5">
        <v>217.3</v>
      </c>
      <c r="G6512" s="5">
        <v>108</v>
      </c>
      <c r="H6512" s="5">
        <v>107.8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108.9</v>
      </c>
      <c r="D6513" s="5">
        <v>0.1</v>
      </c>
      <c r="E6513" s="5">
        <v>109</v>
      </c>
      <c r="F6513" s="5">
        <v>216.1</v>
      </c>
      <c r="G6513" s="5">
        <v>107.3</v>
      </c>
      <c r="H6513" s="5">
        <v>107.2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108.9</v>
      </c>
      <c r="D6514" s="5">
        <v>0.1</v>
      </c>
      <c r="E6514" s="5">
        <v>109</v>
      </c>
      <c r="F6514" s="5">
        <v>216.1</v>
      </c>
      <c r="G6514" s="5">
        <v>107.3</v>
      </c>
      <c r="H6514" s="5">
        <v>107.2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107.9</v>
      </c>
      <c r="D6515" s="5">
        <v>0.1</v>
      </c>
      <c r="E6515" s="5">
        <v>108.1</v>
      </c>
      <c r="F6515" s="5">
        <v>215</v>
      </c>
      <c r="G6515" s="5">
        <v>106.8</v>
      </c>
      <c r="H6515" s="5">
        <v>106.7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107.9</v>
      </c>
      <c r="D6516" s="5">
        <v>0.1</v>
      </c>
      <c r="E6516" s="5">
        <v>108.1</v>
      </c>
      <c r="F6516" s="5">
        <v>215</v>
      </c>
      <c r="G6516" s="5">
        <v>106.8</v>
      </c>
      <c r="H6516" s="5">
        <v>106.7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109.3</v>
      </c>
      <c r="D6517" s="5">
        <v>0.1</v>
      </c>
      <c r="E6517" s="5">
        <v>109.4</v>
      </c>
      <c r="F6517" s="5">
        <v>217</v>
      </c>
      <c r="G6517" s="5">
        <v>107.8</v>
      </c>
      <c r="H6517" s="5">
        <v>107.7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109.3</v>
      </c>
      <c r="D6518" s="5">
        <v>0.1</v>
      </c>
      <c r="E6518" s="5">
        <v>109.4</v>
      </c>
      <c r="F6518" s="5">
        <v>217</v>
      </c>
      <c r="G6518" s="5">
        <v>107.8</v>
      </c>
      <c r="H6518" s="5">
        <v>107.7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108.5</v>
      </c>
      <c r="D6519" s="5">
        <v>0.1</v>
      </c>
      <c r="E6519" s="5">
        <v>108.6</v>
      </c>
      <c r="F6519" s="5">
        <v>215.5</v>
      </c>
      <c r="G6519" s="5">
        <v>107.1</v>
      </c>
      <c r="H6519" s="5">
        <v>106.9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108.5</v>
      </c>
      <c r="D6520" s="5">
        <v>0.1</v>
      </c>
      <c r="E6520" s="5">
        <v>108.6</v>
      </c>
      <c r="F6520" s="5">
        <v>215.5</v>
      </c>
      <c r="G6520" s="5">
        <v>107.1</v>
      </c>
      <c r="H6520" s="5">
        <v>106.9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108.5</v>
      </c>
      <c r="D6521" s="5">
        <v>0.1</v>
      </c>
      <c r="E6521" s="5">
        <v>108.6</v>
      </c>
      <c r="F6521" s="5">
        <v>215.5</v>
      </c>
      <c r="G6521" s="5">
        <v>107.1</v>
      </c>
      <c r="H6521" s="5">
        <v>106.9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108.5</v>
      </c>
      <c r="D6522" s="5">
        <v>0.1</v>
      </c>
      <c r="E6522" s="5">
        <v>108.6</v>
      </c>
      <c r="F6522" s="5">
        <v>215.5</v>
      </c>
      <c r="G6522" s="5">
        <v>107.1</v>
      </c>
      <c r="H6522" s="5">
        <v>106.9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108.5</v>
      </c>
      <c r="D6523" s="5">
        <v>0.1</v>
      </c>
      <c r="E6523" s="5">
        <v>108.6</v>
      </c>
      <c r="F6523" s="5">
        <v>215.5</v>
      </c>
      <c r="G6523" s="5">
        <v>107.1</v>
      </c>
      <c r="H6523" s="5">
        <v>106.9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108.5</v>
      </c>
      <c r="D6524" s="5">
        <v>0.1</v>
      </c>
      <c r="E6524" s="5">
        <v>108.6</v>
      </c>
      <c r="F6524" s="5">
        <v>215.5</v>
      </c>
      <c r="G6524" s="5">
        <v>107.1</v>
      </c>
      <c r="H6524" s="5">
        <v>106.9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108.5</v>
      </c>
      <c r="D6525" s="5">
        <v>0.1</v>
      </c>
      <c r="E6525" s="5">
        <v>108.7</v>
      </c>
      <c r="F6525" s="5">
        <v>215.4</v>
      </c>
      <c r="G6525" s="5">
        <v>106.9</v>
      </c>
      <c r="H6525" s="5">
        <v>106.7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108.5</v>
      </c>
      <c r="D6526" s="5">
        <v>0.1</v>
      </c>
      <c r="E6526" s="5">
        <v>108.7</v>
      </c>
      <c r="F6526" s="5">
        <v>215.4</v>
      </c>
      <c r="G6526" s="5">
        <v>106.9</v>
      </c>
      <c r="H6526" s="5">
        <v>106.7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104.3</v>
      </c>
      <c r="D6527" s="5">
        <v>0.1</v>
      </c>
      <c r="E6527" s="5">
        <v>104.5</v>
      </c>
      <c r="F6527" s="5">
        <v>206.4</v>
      </c>
      <c r="G6527" s="5">
        <v>102.2</v>
      </c>
      <c r="H6527" s="5">
        <v>101.8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104.3</v>
      </c>
      <c r="D6528" s="5">
        <v>0.1</v>
      </c>
      <c r="E6528" s="5">
        <v>104.5</v>
      </c>
      <c r="F6528" s="5">
        <v>206.4</v>
      </c>
      <c r="G6528" s="5">
        <v>102.2</v>
      </c>
      <c r="H6528" s="5">
        <v>101.8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107</v>
      </c>
      <c r="D6529" s="5">
        <v>0.1</v>
      </c>
      <c r="E6529" s="5">
        <v>107.2</v>
      </c>
      <c r="F6529" s="5">
        <v>212.3</v>
      </c>
      <c r="G6529" s="5">
        <v>105.4</v>
      </c>
      <c r="H6529" s="5">
        <v>105.3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107</v>
      </c>
      <c r="D6530" s="5">
        <v>0.1</v>
      </c>
      <c r="E6530" s="5">
        <v>107.2</v>
      </c>
      <c r="F6530" s="5">
        <v>212.3</v>
      </c>
      <c r="G6530" s="5">
        <v>105.4</v>
      </c>
      <c r="H6530" s="5">
        <v>105.3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107</v>
      </c>
      <c r="D6531" s="5">
        <v>0.1</v>
      </c>
      <c r="E6531" s="5">
        <v>107.2</v>
      </c>
      <c r="F6531" s="5">
        <v>212.3</v>
      </c>
      <c r="G6531" s="5">
        <v>105.4</v>
      </c>
      <c r="H6531" s="5">
        <v>105.3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107</v>
      </c>
      <c r="D6532" s="5">
        <v>0.1</v>
      </c>
      <c r="E6532" s="5">
        <v>107.2</v>
      </c>
      <c r="F6532" s="5">
        <v>212.3</v>
      </c>
      <c r="G6532" s="5">
        <v>105.4</v>
      </c>
      <c r="H6532" s="5">
        <v>105.3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102.1</v>
      </c>
      <c r="D6533" s="5">
        <v>0.1</v>
      </c>
      <c r="E6533" s="5">
        <v>102.2</v>
      </c>
      <c r="F6533" s="5">
        <v>209.4</v>
      </c>
      <c r="G6533" s="5">
        <v>103.7</v>
      </c>
      <c r="H6533" s="5">
        <v>103.4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102.1</v>
      </c>
      <c r="D6534" s="5">
        <v>0.1</v>
      </c>
      <c r="E6534" s="5">
        <v>102.2</v>
      </c>
      <c r="F6534" s="5">
        <v>209.4</v>
      </c>
      <c r="G6534" s="5">
        <v>103.7</v>
      </c>
      <c r="H6534" s="5">
        <v>103.4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101.4</v>
      </c>
      <c r="D6535" s="5">
        <v>0.1</v>
      </c>
      <c r="E6535" s="5">
        <v>101.5</v>
      </c>
      <c r="F6535" s="5">
        <v>201.9</v>
      </c>
      <c r="G6535" s="5">
        <v>100.2</v>
      </c>
      <c r="H6535" s="5">
        <v>100.1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101.4</v>
      </c>
      <c r="D6536" s="5">
        <v>0.1</v>
      </c>
      <c r="E6536" s="5">
        <v>101.5</v>
      </c>
      <c r="F6536" s="5">
        <v>201.9</v>
      </c>
      <c r="G6536" s="5">
        <v>100.2</v>
      </c>
      <c r="H6536" s="5">
        <v>100.1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102.1</v>
      </c>
      <c r="D6537" s="5">
        <v>0.1</v>
      </c>
      <c r="E6537" s="5">
        <v>102.3</v>
      </c>
      <c r="F6537" s="5">
        <v>202.7</v>
      </c>
      <c r="G6537" s="5">
        <v>100.7</v>
      </c>
      <c r="H6537" s="5">
        <v>100.6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102.1</v>
      </c>
      <c r="D6538" s="5">
        <v>0.1</v>
      </c>
      <c r="E6538" s="5">
        <v>102.3</v>
      </c>
      <c r="F6538" s="5">
        <v>202.7</v>
      </c>
      <c r="G6538" s="5">
        <v>100.7</v>
      </c>
      <c r="H6538" s="5">
        <v>100.6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100.5</v>
      </c>
      <c r="D6539" s="5">
        <v>0.1</v>
      </c>
      <c r="E6539" s="5">
        <v>100.6</v>
      </c>
      <c r="F6539" s="5">
        <v>200.1</v>
      </c>
      <c r="G6539" s="5">
        <v>99.4</v>
      </c>
      <c r="H6539" s="5">
        <v>99.3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100.5</v>
      </c>
      <c r="D6540" s="5">
        <v>0.1</v>
      </c>
      <c r="E6540" s="5">
        <v>100.6</v>
      </c>
      <c r="F6540" s="5">
        <v>200.1</v>
      </c>
      <c r="G6540" s="5">
        <v>99.4</v>
      </c>
      <c r="H6540" s="5">
        <v>99.3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100.5</v>
      </c>
      <c r="D6541" s="5">
        <v>0.1</v>
      </c>
      <c r="E6541" s="5">
        <v>100.6</v>
      </c>
      <c r="F6541" s="5">
        <v>200.1</v>
      </c>
      <c r="G6541" s="5">
        <v>99.4</v>
      </c>
      <c r="H6541" s="5">
        <v>99.3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100.5</v>
      </c>
      <c r="D6542" s="5">
        <v>0.1</v>
      </c>
      <c r="E6542" s="5">
        <v>100.6</v>
      </c>
      <c r="F6542" s="5">
        <v>200.1</v>
      </c>
      <c r="G6542" s="5">
        <v>99.4</v>
      </c>
      <c r="H6542" s="5">
        <v>99.3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108.1</v>
      </c>
      <c r="D6543" s="5">
        <v>0.1</v>
      </c>
      <c r="E6543" s="5">
        <v>108.2</v>
      </c>
      <c r="F6543" s="5">
        <v>215.1</v>
      </c>
      <c r="G6543" s="5">
        <v>106.8</v>
      </c>
      <c r="H6543" s="5">
        <v>106.7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108.1</v>
      </c>
      <c r="D6544" s="5">
        <v>0.1</v>
      </c>
      <c r="E6544" s="5">
        <v>108.2</v>
      </c>
      <c r="F6544" s="5">
        <v>215.1</v>
      </c>
      <c r="G6544" s="5">
        <v>106.8</v>
      </c>
      <c r="H6544" s="5">
        <v>106.7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108.5</v>
      </c>
      <c r="D6545" s="5">
        <v>0.1</v>
      </c>
      <c r="E6545" s="5">
        <v>108.7</v>
      </c>
      <c r="F6545" s="5">
        <v>215.5</v>
      </c>
      <c r="G6545" s="5">
        <v>107</v>
      </c>
      <c r="H6545" s="5">
        <v>106.8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108.5</v>
      </c>
      <c r="D6546" s="5">
        <v>0.1</v>
      </c>
      <c r="E6546" s="5">
        <v>108.7</v>
      </c>
      <c r="F6546" s="5">
        <v>215.5</v>
      </c>
      <c r="G6546" s="5">
        <v>107</v>
      </c>
      <c r="H6546" s="5">
        <v>106.8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109.4</v>
      </c>
      <c r="D6547" s="5">
        <v>0.1</v>
      </c>
      <c r="E6547" s="5">
        <v>109.5</v>
      </c>
      <c r="F6547" s="5">
        <v>215.6</v>
      </c>
      <c r="G6547" s="5">
        <v>107.1</v>
      </c>
      <c r="H6547" s="5">
        <v>107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109.4</v>
      </c>
      <c r="D6548" s="5">
        <v>0.1</v>
      </c>
      <c r="E6548" s="5">
        <v>109.5</v>
      </c>
      <c r="F6548" s="5">
        <v>215.6</v>
      </c>
      <c r="G6548" s="5">
        <v>107.1</v>
      </c>
      <c r="H6548" s="5">
        <v>107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101.4</v>
      </c>
      <c r="D6549" s="5">
        <v>0.1</v>
      </c>
      <c r="E6549" s="5">
        <v>101.5</v>
      </c>
      <c r="F6549" s="5">
        <v>204.9</v>
      </c>
      <c r="G6549" s="5">
        <v>101.5</v>
      </c>
      <c r="H6549" s="5">
        <v>101.1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101.4</v>
      </c>
      <c r="D6550" s="5">
        <v>0.1</v>
      </c>
      <c r="E6550" s="5">
        <v>101.5</v>
      </c>
      <c r="F6550" s="5">
        <v>204.9</v>
      </c>
      <c r="G6550" s="5">
        <v>101.5</v>
      </c>
      <c r="H6550" s="5">
        <v>101.1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101.4</v>
      </c>
      <c r="D6551" s="5">
        <v>0.1</v>
      </c>
      <c r="E6551" s="5">
        <v>101.5</v>
      </c>
      <c r="F6551" s="5">
        <v>204.9</v>
      </c>
      <c r="G6551" s="5">
        <v>101.5</v>
      </c>
      <c r="H6551" s="5">
        <v>101.1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101.4</v>
      </c>
      <c r="D6552" s="5">
        <v>0.1</v>
      </c>
      <c r="E6552" s="5">
        <v>101.5</v>
      </c>
      <c r="F6552" s="5">
        <v>204.9</v>
      </c>
      <c r="G6552" s="5">
        <v>101.5</v>
      </c>
      <c r="H6552" s="5">
        <v>101.1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108.5</v>
      </c>
      <c r="D6553" s="5">
        <v>0.1</v>
      </c>
      <c r="E6553" s="5">
        <v>108.6</v>
      </c>
      <c r="F6553" s="5">
        <v>215.1</v>
      </c>
      <c r="G6553" s="5">
        <v>106.7</v>
      </c>
      <c r="H6553" s="5">
        <v>106.6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108.5</v>
      </c>
      <c r="D6554" s="5">
        <v>0.1</v>
      </c>
      <c r="E6554" s="5">
        <v>108.6</v>
      </c>
      <c r="F6554" s="5">
        <v>215.1</v>
      </c>
      <c r="G6554" s="5">
        <v>106.7</v>
      </c>
      <c r="H6554" s="5">
        <v>106.6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108.2</v>
      </c>
      <c r="D6555" s="5">
        <v>0.1</v>
      </c>
      <c r="E6555" s="5">
        <v>108.4</v>
      </c>
      <c r="F6555" s="5">
        <v>214.8</v>
      </c>
      <c r="G6555" s="5">
        <v>106.6</v>
      </c>
      <c r="H6555" s="5">
        <v>106.5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108.2</v>
      </c>
      <c r="D6556" s="5">
        <v>0.1</v>
      </c>
      <c r="E6556" s="5">
        <v>108.4</v>
      </c>
      <c r="F6556" s="5">
        <v>214.8</v>
      </c>
      <c r="G6556" s="5">
        <v>106.6</v>
      </c>
      <c r="H6556" s="5">
        <v>106.5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107.9</v>
      </c>
      <c r="D6557" s="5">
        <v>0.1</v>
      </c>
      <c r="E6557" s="5">
        <v>108.1</v>
      </c>
      <c r="F6557" s="5">
        <v>214.9</v>
      </c>
      <c r="G6557" s="5">
        <v>106.7</v>
      </c>
      <c r="H6557" s="5">
        <v>106.5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107.9</v>
      </c>
      <c r="D6558" s="5">
        <v>0.1</v>
      </c>
      <c r="E6558" s="5">
        <v>108.1</v>
      </c>
      <c r="F6558" s="5">
        <v>214.9</v>
      </c>
      <c r="G6558" s="5">
        <v>106.7</v>
      </c>
      <c r="H6558" s="5">
        <v>106.5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108.2</v>
      </c>
      <c r="D6559" s="5">
        <v>0.1</v>
      </c>
      <c r="E6559" s="5">
        <v>108.4</v>
      </c>
      <c r="F6559" s="5">
        <v>214.9</v>
      </c>
      <c r="G6559" s="5">
        <v>106.7</v>
      </c>
      <c r="H6559" s="5">
        <v>106.6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108.2</v>
      </c>
      <c r="D6560" s="5">
        <v>0.1</v>
      </c>
      <c r="E6560" s="5">
        <v>108.4</v>
      </c>
      <c r="F6560" s="5">
        <v>214.9</v>
      </c>
      <c r="G6560" s="5">
        <v>106.7</v>
      </c>
      <c r="H6560" s="5">
        <v>106.6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108.2</v>
      </c>
      <c r="D6561" s="5">
        <v>0.1</v>
      </c>
      <c r="E6561" s="5">
        <v>108.4</v>
      </c>
      <c r="F6561" s="5">
        <v>214.9</v>
      </c>
      <c r="G6561" s="5">
        <v>106.7</v>
      </c>
      <c r="H6561" s="5">
        <v>106.6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108.2</v>
      </c>
      <c r="D6562" s="5">
        <v>0.1</v>
      </c>
      <c r="E6562" s="5">
        <v>108.4</v>
      </c>
      <c r="F6562" s="5">
        <v>214.9</v>
      </c>
      <c r="G6562" s="5">
        <v>106.7</v>
      </c>
      <c r="H6562" s="5">
        <v>106.6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108.8</v>
      </c>
      <c r="D6563" s="5">
        <v>0.1</v>
      </c>
      <c r="E6563" s="5">
        <v>108.9</v>
      </c>
      <c r="F6563" s="5">
        <v>216.2</v>
      </c>
      <c r="G6563" s="5">
        <v>107.4</v>
      </c>
      <c r="H6563" s="5">
        <v>107.3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108.8</v>
      </c>
      <c r="D6564" s="5">
        <v>0.1</v>
      </c>
      <c r="E6564" s="5">
        <v>108.9</v>
      </c>
      <c r="F6564" s="5">
        <v>216.2</v>
      </c>
      <c r="G6564" s="5">
        <v>107.4</v>
      </c>
      <c r="H6564" s="5">
        <v>107.3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104.8</v>
      </c>
      <c r="D6565" s="5">
        <v>0.1</v>
      </c>
      <c r="E6565" s="5">
        <v>105</v>
      </c>
      <c r="F6565" s="5">
        <v>216.1</v>
      </c>
      <c r="G6565" s="5">
        <v>107.3</v>
      </c>
      <c r="H6565" s="5">
        <v>106.9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104.8</v>
      </c>
      <c r="D6566" s="5">
        <v>0.1</v>
      </c>
      <c r="E6566" s="5">
        <v>105</v>
      </c>
      <c r="F6566" s="5">
        <v>216.1</v>
      </c>
      <c r="G6566" s="5">
        <v>107.3</v>
      </c>
      <c r="H6566" s="5">
        <v>106.9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102.2</v>
      </c>
      <c r="D6567" s="5">
        <v>0.1</v>
      </c>
      <c r="E6567" s="5">
        <v>102.4</v>
      </c>
      <c r="F6567" s="5">
        <v>211.9</v>
      </c>
      <c r="G6567" s="5">
        <v>104.5</v>
      </c>
      <c r="H6567" s="5">
        <v>103.8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102.2</v>
      </c>
      <c r="D6568" s="5">
        <v>0.1</v>
      </c>
      <c r="E6568" s="5">
        <v>102.4</v>
      </c>
      <c r="F6568" s="5">
        <v>211.9</v>
      </c>
      <c r="G6568" s="5">
        <v>104.5</v>
      </c>
      <c r="H6568" s="5">
        <v>103.8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101</v>
      </c>
      <c r="D6569" s="5">
        <v>0.1</v>
      </c>
      <c r="E6569" s="5">
        <v>101.1</v>
      </c>
      <c r="F6569" s="5">
        <v>211.2</v>
      </c>
      <c r="G6569" s="5">
        <v>104.1</v>
      </c>
      <c r="H6569" s="5">
        <v>103.3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101</v>
      </c>
      <c r="D6570" s="5">
        <v>0.1</v>
      </c>
      <c r="E6570" s="5">
        <v>101.1</v>
      </c>
      <c r="F6570" s="5">
        <v>211.2</v>
      </c>
      <c r="G6570" s="5">
        <v>104.1</v>
      </c>
      <c r="H6570" s="5">
        <v>103.3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101</v>
      </c>
      <c r="D6571" s="5">
        <v>0.1</v>
      </c>
      <c r="E6571" s="5">
        <v>101.1</v>
      </c>
      <c r="F6571" s="5">
        <v>211.2</v>
      </c>
      <c r="G6571" s="5">
        <v>104.1</v>
      </c>
      <c r="H6571" s="5">
        <v>103.3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101</v>
      </c>
      <c r="D6572" s="5">
        <v>0.1</v>
      </c>
      <c r="E6572" s="5">
        <v>101.1</v>
      </c>
      <c r="F6572" s="5">
        <v>211.2</v>
      </c>
      <c r="G6572" s="5">
        <v>104.1</v>
      </c>
      <c r="H6572" s="5">
        <v>103.3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108</v>
      </c>
      <c r="D6573" s="5">
        <v>0.1</v>
      </c>
      <c r="E6573" s="5">
        <v>108.1</v>
      </c>
      <c r="F6573" s="5">
        <v>214.8</v>
      </c>
      <c r="G6573" s="5">
        <v>106.7</v>
      </c>
      <c r="H6573" s="5">
        <v>106.6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108</v>
      </c>
      <c r="D6574" s="5">
        <v>0.1</v>
      </c>
      <c r="E6574" s="5">
        <v>108.1</v>
      </c>
      <c r="F6574" s="5">
        <v>214.8</v>
      </c>
      <c r="G6574" s="5">
        <v>106.7</v>
      </c>
      <c r="H6574" s="5">
        <v>106.6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108.8</v>
      </c>
      <c r="D6575" s="5">
        <v>0.1</v>
      </c>
      <c r="E6575" s="5">
        <v>109</v>
      </c>
      <c r="F6575" s="5">
        <v>215.6</v>
      </c>
      <c r="G6575" s="5">
        <v>107.2</v>
      </c>
      <c r="H6575" s="5">
        <v>107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108.8</v>
      </c>
      <c r="D6576" s="5">
        <v>0.1</v>
      </c>
      <c r="E6576" s="5">
        <v>109</v>
      </c>
      <c r="F6576" s="5">
        <v>215.6</v>
      </c>
      <c r="G6576" s="5">
        <v>107.2</v>
      </c>
      <c r="H6576" s="5">
        <v>107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108.8</v>
      </c>
      <c r="D6577" s="5">
        <v>0.1</v>
      </c>
      <c r="E6577" s="5">
        <v>108.9</v>
      </c>
      <c r="F6577" s="5">
        <v>216</v>
      </c>
      <c r="G6577" s="5">
        <v>107.3</v>
      </c>
      <c r="H6577" s="5">
        <v>107.1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108.8</v>
      </c>
      <c r="D6578" s="5">
        <v>0.1</v>
      </c>
      <c r="E6578" s="5">
        <v>108.9</v>
      </c>
      <c r="F6578" s="5">
        <v>216</v>
      </c>
      <c r="G6578" s="5">
        <v>107.3</v>
      </c>
      <c r="H6578" s="5">
        <v>107.1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108.6</v>
      </c>
      <c r="D6579" s="5">
        <v>0.1</v>
      </c>
      <c r="E6579" s="5">
        <v>108.8</v>
      </c>
      <c r="F6579" s="5">
        <v>215.8</v>
      </c>
      <c r="G6579" s="5">
        <v>107.2</v>
      </c>
      <c r="H6579" s="5">
        <v>107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108.6</v>
      </c>
      <c r="D6580" s="5">
        <v>0.1</v>
      </c>
      <c r="E6580" s="5">
        <v>108.8</v>
      </c>
      <c r="F6580" s="5">
        <v>215.8</v>
      </c>
      <c r="G6580" s="5">
        <v>107.2</v>
      </c>
      <c r="H6580" s="5">
        <v>107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108.6</v>
      </c>
      <c r="D6581" s="5">
        <v>0.1</v>
      </c>
      <c r="E6581" s="5">
        <v>108.8</v>
      </c>
      <c r="F6581" s="5">
        <v>215.8</v>
      </c>
      <c r="G6581" s="5">
        <v>107.2</v>
      </c>
      <c r="H6581" s="5">
        <v>107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108.6</v>
      </c>
      <c r="D6582" s="5">
        <v>0.1</v>
      </c>
      <c r="E6582" s="5">
        <v>108.7</v>
      </c>
      <c r="F6582" s="5">
        <v>215.8</v>
      </c>
      <c r="G6582" s="5">
        <v>107.2</v>
      </c>
      <c r="H6582" s="5">
        <v>107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108.5</v>
      </c>
      <c r="D6583" s="5">
        <v>0.1</v>
      </c>
      <c r="E6583" s="5">
        <v>108.7</v>
      </c>
      <c r="F6583" s="5">
        <v>215.8</v>
      </c>
      <c r="G6583" s="5">
        <v>107.2</v>
      </c>
      <c r="H6583" s="5">
        <v>107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108.5</v>
      </c>
      <c r="D6584" s="5">
        <v>0.1</v>
      </c>
      <c r="E6584" s="5">
        <v>108.5</v>
      </c>
      <c r="F6584" s="5">
        <v>216.2</v>
      </c>
      <c r="G6584" s="5">
        <v>107.4</v>
      </c>
      <c r="H6584" s="5">
        <v>107.2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108.5</v>
      </c>
      <c r="D6585" s="5">
        <v>0.1</v>
      </c>
      <c r="E6585" s="5">
        <v>108.5</v>
      </c>
      <c r="F6585" s="5">
        <v>216.2</v>
      </c>
      <c r="G6585" s="5">
        <v>107.4</v>
      </c>
      <c r="H6585" s="5">
        <v>107.2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108.5</v>
      </c>
      <c r="D6586" s="5">
        <v>0.1</v>
      </c>
      <c r="E6586" s="5">
        <v>108.3</v>
      </c>
      <c r="F6586" s="5">
        <v>215.9</v>
      </c>
      <c r="G6586" s="5">
        <v>107.2</v>
      </c>
      <c r="H6586" s="5">
        <v>107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108.1</v>
      </c>
      <c r="D6587" s="5">
        <v>0.1</v>
      </c>
      <c r="E6587" s="5">
        <v>108.3</v>
      </c>
      <c r="F6587" s="5">
        <v>215.9</v>
      </c>
      <c r="G6587" s="5">
        <v>107.2</v>
      </c>
      <c r="H6587" s="5">
        <v>107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108.1</v>
      </c>
      <c r="D6588" s="5">
        <v>0.1</v>
      </c>
      <c r="E6588" s="5">
        <v>108.3</v>
      </c>
      <c r="F6588" s="5">
        <v>214.9</v>
      </c>
      <c r="G6588" s="5">
        <v>106.7</v>
      </c>
      <c r="H6588" s="5">
        <v>106.5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108.1</v>
      </c>
      <c r="D6589" s="5">
        <v>0.1</v>
      </c>
      <c r="E6589" s="5">
        <v>108.3</v>
      </c>
      <c r="F6589" s="5">
        <v>214.9</v>
      </c>
      <c r="G6589" s="5">
        <v>106.7</v>
      </c>
      <c r="H6589" s="5">
        <v>106.5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108.1</v>
      </c>
      <c r="D6590" s="5">
        <v>0.1</v>
      </c>
      <c r="E6590" s="5">
        <v>108.3</v>
      </c>
      <c r="F6590" s="5">
        <v>214.9</v>
      </c>
      <c r="G6590" s="5">
        <v>106.7</v>
      </c>
      <c r="H6590" s="5">
        <v>106.5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108.1</v>
      </c>
      <c r="D6591" s="5">
        <v>0.1</v>
      </c>
      <c r="E6591" s="5">
        <v>108.3</v>
      </c>
      <c r="F6591" s="5">
        <v>214.9</v>
      </c>
      <c r="G6591" s="5">
        <v>106.7</v>
      </c>
      <c r="H6591" s="5">
        <v>106.5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108.5</v>
      </c>
      <c r="D6592" s="5">
        <v>0.1</v>
      </c>
      <c r="E6592" s="5">
        <v>108.6</v>
      </c>
      <c r="F6592" s="5">
        <v>215.5</v>
      </c>
      <c r="G6592" s="5">
        <v>106.7</v>
      </c>
      <c r="H6592" s="5">
        <v>106.5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108.5</v>
      </c>
      <c r="D6593" s="5">
        <v>0.1</v>
      </c>
      <c r="E6593" s="5">
        <v>108.6</v>
      </c>
      <c r="F6593" s="5">
        <v>215.5</v>
      </c>
      <c r="G6593" s="5">
        <v>107</v>
      </c>
      <c r="H6593" s="5">
        <v>106.9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108.4</v>
      </c>
      <c r="D6594" s="5">
        <v>0.1</v>
      </c>
      <c r="E6594" s="5">
        <v>108.6</v>
      </c>
      <c r="F6594" s="5">
        <v>215.5</v>
      </c>
      <c r="G6594" s="5">
        <v>107</v>
      </c>
      <c r="H6594" s="5">
        <v>106.9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108.4</v>
      </c>
      <c r="D6595" s="5">
        <v>0.1</v>
      </c>
      <c r="E6595" s="5">
        <v>108.5</v>
      </c>
      <c r="F6595" s="5">
        <v>215.5</v>
      </c>
      <c r="G6595" s="5">
        <v>107</v>
      </c>
      <c r="H6595" s="5">
        <v>106.9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108.4</v>
      </c>
      <c r="D6596" s="5">
        <v>0.1</v>
      </c>
      <c r="E6596" s="5">
        <v>108.5</v>
      </c>
      <c r="F6596" s="5">
        <v>215.5</v>
      </c>
      <c r="G6596" s="5">
        <v>107</v>
      </c>
      <c r="H6596" s="5">
        <v>106.9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108.3</v>
      </c>
      <c r="D6597" s="5">
        <v>0.1</v>
      </c>
      <c r="E6597" s="5">
        <v>108.5</v>
      </c>
      <c r="F6597" s="5">
        <v>215.6</v>
      </c>
      <c r="G6597" s="5">
        <v>107.1</v>
      </c>
      <c r="H6597" s="5">
        <v>107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108.3</v>
      </c>
      <c r="D6598" s="5">
        <v>0.1</v>
      </c>
      <c r="E6598" s="5">
        <v>108.5</v>
      </c>
      <c r="F6598" s="5">
        <v>215.6</v>
      </c>
      <c r="G6598" s="5">
        <v>107.1</v>
      </c>
      <c r="H6598" s="5">
        <v>107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108.1</v>
      </c>
      <c r="D6599" s="5">
        <v>0.1</v>
      </c>
      <c r="E6599" s="5">
        <v>108.3</v>
      </c>
      <c r="F6599" s="5">
        <v>214.3</v>
      </c>
      <c r="G6599" s="5">
        <v>106.5</v>
      </c>
      <c r="H6599" s="5">
        <v>106.4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108.1</v>
      </c>
      <c r="D6600" s="5">
        <v>0.1</v>
      </c>
      <c r="E6600" s="5">
        <v>108.3</v>
      </c>
      <c r="F6600" s="5">
        <v>214.3</v>
      </c>
      <c r="G6600" s="5">
        <v>106.5</v>
      </c>
      <c r="H6600" s="5">
        <v>106.4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108.1</v>
      </c>
      <c r="D6601" s="5">
        <v>0.1</v>
      </c>
      <c r="E6601" s="5">
        <v>108.3</v>
      </c>
      <c r="F6601" s="5">
        <v>214.3</v>
      </c>
      <c r="G6601" s="5">
        <v>106.5</v>
      </c>
      <c r="H6601" s="5">
        <v>106.4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108.1</v>
      </c>
      <c r="D6602" s="5">
        <v>0.1</v>
      </c>
      <c r="E6602" s="5">
        <v>108.3</v>
      </c>
      <c r="F6602" s="5">
        <v>214.3</v>
      </c>
      <c r="G6602" s="5">
        <v>106.5</v>
      </c>
      <c r="H6602" s="5">
        <v>106.4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108.2</v>
      </c>
      <c r="D6603" s="5">
        <v>0.1</v>
      </c>
      <c r="E6603" s="5">
        <v>108.4</v>
      </c>
      <c r="F6603" s="5">
        <v>214.9</v>
      </c>
      <c r="G6603" s="5">
        <v>106.7</v>
      </c>
      <c r="H6603" s="5">
        <v>106.5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108.2</v>
      </c>
      <c r="D6604" s="5">
        <v>0.1</v>
      </c>
      <c r="E6604" s="5">
        <v>108.4</v>
      </c>
      <c r="F6604" s="5">
        <v>214.9</v>
      </c>
      <c r="G6604" s="5">
        <v>106.7</v>
      </c>
      <c r="H6604" s="5">
        <v>106.5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108.6</v>
      </c>
      <c r="D6605" s="5">
        <v>0.1</v>
      </c>
      <c r="E6605" s="5">
        <v>108.8</v>
      </c>
      <c r="F6605" s="5">
        <v>215.3</v>
      </c>
      <c r="G6605" s="5">
        <v>107.3</v>
      </c>
      <c r="H6605" s="5">
        <v>107.1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108.6</v>
      </c>
      <c r="D6606" s="5">
        <v>0.1</v>
      </c>
      <c r="E6606" s="5">
        <v>108.8</v>
      </c>
      <c r="F6606" s="5">
        <v>215.3</v>
      </c>
      <c r="G6606" s="5">
        <v>107.3</v>
      </c>
      <c r="H6606" s="5">
        <v>107.1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108.4</v>
      </c>
      <c r="D6607" s="5">
        <v>0.1</v>
      </c>
      <c r="E6607" s="5">
        <v>108.5</v>
      </c>
      <c r="F6607" s="5">
        <v>215</v>
      </c>
      <c r="G6607" s="5">
        <v>106.8</v>
      </c>
      <c r="H6607" s="5">
        <v>106.7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108.4</v>
      </c>
      <c r="D6608" s="5">
        <v>0.1</v>
      </c>
      <c r="E6608" s="5">
        <v>108.5</v>
      </c>
      <c r="F6608" s="5">
        <v>215</v>
      </c>
      <c r="G6608" s="5">
        <v>106.8</v>
      </c>
      <c r="H6608" s="5">
        <v>106.7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108.7</v>
      </c>
      <c r="D6609" s="5">
        <v>0.1</v>
      </c>
      <c r="E6609" s="5">
        <v>108.8</v>
      </c>
      <c r="F6609" s="5">
        <v>216.3</v>
      </c>
      <c r="G6609" s="5">
        <v>107.8</v>
      </c>
      <c r="H6609" s="5">
        <v>107.6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108.7</v>
      </c>
      <c r="D6610" s="5">
        <v>0.1</v>
      </c>
      <c r="E6610" s="5">
        <v>108.8</v>
      </c>
      <c r="F6610" s="5">
        <v>216.3</v>
      </c>
      <c r="G6610" s="5">
        <v>107.8</v>
      </c>
      <c r="H6610" s="5">
        <v>107.6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108.7</v>
      </c>
      <c r="D6611" s="5">
        <v>0.1</v>
      </c>
      <c r="E6611" s="5">
        <v>108.8</v>
      </c>
      <c r="F6611" s="5">
        <v>216.3</v>
      </c>
      <c r="G6611" s="5">
        <v>107.8</v>
      </c>
      <c r="H6611" s="5">
        <v>107.6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103</v>
      </c>
      <c r="D6612" s="5">
        <v>0.1</v>
      </c>
      <c r="E6612" s="5">
        <v>103.1</v>
      </c>
      <c r="F6612" s="5">
        <v>206</v>
      </c>
      <c r="G6612" s="5">
        <v>102.7</v>
      </c>
      <c r="H6612" s="5">
        <v>103.1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103</v>
      </c>
      <c r="D6613" s="5">
        <v>0.1</v>
      </c>
      <c r="E6613" s="5">
        <v>103.1</v>
      </c>
      <c r="F6613" s="5">
        <v>206</v>
      </c>
      <c r="G6613" s="5">
        <v>102.7</v>
      </c>
      <c r="H6613" s="5">
        <v>103.1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103</v>
      </c>
      <c r="D6614" s="5">
        <v>0.1</v>
      </c>
      <c r="E6614" s="5">
        <v>103.1</v>
      </c>
      <c r="F6614" s="5">
        <v>206</v>
      </c>
      <c r="G6614" s="5">
        <v>102.7</v>
      </c>
      <c r="H6614" s="5">
        <v>103.1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103</v>
      </c>
      <c r="D6615" s="5">
        <v>0.1</v>
      </c>
      <c r="E6615" s="5">
        <v>103.1</v>
      </c>
      <c r="F6615" s="5">
        <v>206</v>
      </c>
      <c r="G6615" s="5">
        <v>102.7</v>
      </c>
      <c r="H6615" s="5">
        <v>103.1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108.6</v>
      </c>
      <c r="D6616" s="5">
        <v>0.1</v>
      </c>
      <c r="E6616" s="5">
        <v>108.7</v>
      </c>
      <c r="F6616" s="5">
        <v>215.4</v>
      </c>
      <c r="G6616" s="5">
        <v>106.9</v>
      </c>
      <c r="H6616" s="5">
        <v>106.8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108.6</v>
      </c>
      <c r="D6617" s="5">
        <v>0.1</v>
      </c>
      <c r="E6617" s="5">
        <v>108.7</v>
      </c>
      <c r="F6617" s="5">
        <v>215.4</v>
      </c>
      <c r="G6617" s="5">
        <v>106.9</v>
      </c>
      <c r="H6617" s="5">
        <v>106.8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108.7</v>
      </c>
      <c r="D6618" s="5">
        <v>0.1</v>
      </c>
      <c r="E6618" s="5">
        <v>108.8</v>
      </c>
      <c r="F6618" s="5">
        <v>215.6</v>
      </c>
      <c r="G6618" s="5">
        <v>107.1</v>
      </c>
      <c r="H6618" s="5">
        <v>107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108.7</v>
      </c>
      <c r="D6619" s="5">
        <v>0.1</v>
      </c>
      <c r="E6619" s="5">
        <v>108.8</v>
      </c>
      <c r="F6619" s="5">
        <v>215.6</v>
      </c>
      <c r="G6619" s="5">
        <v>107.1</v>
      </c>
      <c r="H6619" s="5">
        <v>107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108.7</v>
      </c>
      <c r="D6620" s="5">
        <v>0.1</v>
      </c>
      <c r="E6620" s="5">
        <v>108.8</v>
      </c>
      <c r="F6620" s="5">
        <v>215.6</v>
      </c>
      <c r="G6620" s="5">
        <v>107.1</v>
      </c>
      <c r="H6620" s="5">
        <v>107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108.7</v>
      </c>
      <c r="D6621" s="5">
        <v>0.1</v>
      </c>
      <c r="E6621" s="5">
        <v>108.8</v>
      </c>
      <c r="F6621" s="5">
        <v>215.6</v>
      </c>
      <c r="G6621" s="5">
        <v>107.1</v>
      </c>
      <c r="H6621" s="5">
        <v>107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109.1</v>
      </c>
      <c r="D6622" s="5">
        <v>0.1</v>
      </c>
      <c r="E6622" s="5">
        <v>109.3</v>
      </c>
      <c r="F6622" s="5">
        <v>217.1</v>
      </c>
      <c r="G6622" s="5">
        <v>107.8</v>
      </c>
      <c r="H6622" s="5">
        <v>107.6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109.1</v>
      </c>
      <c r="D6623" s="5">
        <v>0.1</v>
      </c>
      <c r="E6623" s="5">
        <v>109.3</v>
      </c>
      <c r="F6623" s="5">
        <v>217.1</v>
      </c>
      <c r="G6623" s="5">
        <v>107.8</v>
      </c>
      <c r="H6623" s="5">
        <v>107.6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108.6</v>
      </c>
      <c r="D6624" s="5">
        <v>0.1</v>
      </c>
      <c r="E6624" s="5">
        <v>108.8</v>
      </c>
      <c r="F6624" s="5">
        <v>216</v>
      </c>
      <c r="G6624" s="5">
        <v>107.2</v>
      </c>
      <c r="H6624" s="5">
        <v>107.1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108.6</v>
      </c>
      <c r="D6625" s="5">
        <v>0.1</v>
      </c>
      <c r="E6625" s="5">
        <v>108.8</v>
      </c>
      <c r="F6625" s="5">
        <v>216</v>
      </c>
      <c r="G6625" s="5">
        <v>107.2</v>
      </c>
      <c r="H6625" s="5">
        <v>107.1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108.5</v>
      </c>
      <c r="D6626" s="5">
        <v>0.1</v>
      </c>
      <c r="E6626" s="5">
        <v>108.6</v>
      </c>
      <c r="F6626" s="5">
        <v>215.8</v>
      </c>
      <c r="G6626" s="5">
        <v>107.2</v>
      </c>
      <c r="H6626" s="5">
        <v>107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108.5</v>
      </c>
      <c r="D6627" s="5">
        <v>0.1</v>
      </c>
      <c r="E6627" s="5">
        <v>108.6</v>
      </c>
      <c r="F6627" s="5">
        <v>215.8</v>
      </c>
      <c r="G6627" s="5">
        <v>107.2</v>
      </c>
      <c r="H6627" s="5">
        <v>107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108.5</v>
      </c>
      <c r="D6628" s="5">
        <v>0.1</v>
      </c>
      <c r="E6628" s="5">
        <v>108.6</v>
      </c>
      <c r="F6628" s="5">
        <v>215.3</v>
      </c>
      <c r="G6628" s="5">
        <v>107</v>
      </c>
      <c r="H6628" s="5">
        <v>106.8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108.5</v>
      </c>
      <c r="D6629" s="5">
        <v>0.1</v>
      </c>
      <c r="E6629" s="5">
        <v>108.6</v>
      </c>
      <c r="F6629" s="5">
        <v>215.3</v>
      </c>
      <c r="G6629" s="5">
        <v>107</v>
      </c>
      <c r="H6629" s="5">
        <v>106.8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108.5</v>
      </c>
      <c r="D6630" s="5">
        <v>0.1</v>
      </c>
      <c r="E6630" s="5">
        <v>108.6</v>
      </c>
      <c r="F6630" s="5">
        <v>215.3</v>
      </c>
      <c r="G6630" s="5">
        <v>107</v>
      </c>
      <c r="H6630" s="5">
        <v>106.8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108.5</v>
      </c>
      <c r="D6631" s="5">
        <v>0.1</v>
      </c>
      <c r="E6631" s="5">
        <v>108.6</v>
      </c>
      <c r="F6631" s="5">
        <v>215.3</v>
      </c>
      <c r="G6631" s="5">
        <v>107</v>
      </c>
      <c r="H6631" s="5">
        <v>106.8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108.1</v>
      </c>
      <c r="D6632" s="5">
        <v>0.1</v>
      </c>
      <c r="E6632" s="5">
        <v>108.3</v>
      </c>
      <c r="F6632" s="5">
        <v>215.5</v>
      </c>
      <c r="G6632" s="5">
        <v>107</v>
      </c>
      <c r="H6632" s="5">
        <v>106.9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108.1</v>
      </c>
      <c r="D6633" s="5">
        <v>0.1</v>
      </c>
      <c r="E6633" s="5">
        <v>108.3</v>
      </c>
      <c r="F6633" s="5">
        <v>215.5</v>
      </c>
      <c r="G6633" s="5">
        <v>107</v>
      </c>
      <c r="H6633" s="5">
        <v>106.9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108.6</v>
      </c>
      <c r="D6634" s="5">
        <v>0.1</v>
      </c>
      <c r="E6634" s="5">
        <v>108.8</v>
      </c>
      <c r="F6634" s="5">
        <v>215.8</v>
      </c>
      <c r="G6634" s="5">
        <v>107.2</v>
      </c>
      <c r="H6634" s="5">
        <v>107.1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108.6</v>
      </c>
      <c r="D6635" s="5">
        <v>0.1</v>
      </c>
      <c r="E6635" s="5">
        <v>108.8</v>
      </c>
      <c r="F6635" s="5">
        <v>215.8</v>
      </c>
      <c r="G6635" s="5">
        <v>107.2</v>
      </c>
      <c r="H6635" s="5">
        <v>107.1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108.8</v>
      </c>
      <c r="D6636" s="5">
        <v>0.1</v>
      </c>
      <c r="E6636" s="5">
        <v>108.8</v>
      </c>
      <c r="F6636" s="5">
        <v>215.8</v>
      </c>
      <c r="G6636" s="5">
        <v>107.4</v>
      </c>
      <c r="H6636" s="5">
        <v>107.2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108.8</v>
      </c>
      <c r="D6637" s="5">
        <v>0.1</v>
      </c>
      <c r="E6637" s="5">
        <v>108.9</v>
      </c>
      <c r="F6637" s="5">
        <v>216</v>
      </c>
      <c r="G6637" s="5">
        <v>107.4</v>
      </c>
      <c r="H6637" s="5">
        <v>107.2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108.8</v>
      </c>
      <c r="D6638" s="5">
        <v>0.1</v>
      </c>
      <c r="E6638" s="5">
        <v>108.9</v>
      </c>
      <c r="F6638" s="5">
        <v>216</v>
      </c>
      <c r="G6638" s="5">
        <v>106.8</v>
      </c>
      <c r="H6638" s="5">
        <v>106.6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108.1</v>
      </c>
      <c r="D6639" s="5">
        <v>0.1</v>
      </c>
      <c r="E6639" s="5">
        <v>108.3</v>
      </c>
      <c r="F6639" s="5">
        <v>214.9</v>
      </c>
      <c r="G6639" s="5">
        <v>106.8</v>
      </c>
      <c r="H6639" s="5">
        <v>106.6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108.1</v>
      </c>
      <c r="D6640" s="5">
        <v>0.1</v>
      </c>
      <c r="E6640" s="5">
        <v>108.3</v>
      </c>
      <c r="F6640" s="5">
        <v>214.9</v>
      </c>
      <c r="G6640" s="5">
        <v>106.8</v>
      </c>
      <c r="H6640" s="5">
        <v>106.6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108.1</v>
      </c>
      <c r="D6641" s="5">
        <v>0.1</v>
      </c>
      <c r="E6641" s="5">
        <v>108.3</v>
      </c>
      <c r="F6641" s="5">
        <v>214.9</v>
      </c>
      <c r="G6641" s="5">
        <v>106.8</v>
      </c>
      <c r="H6641" s="5">
        <v>106.6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108.2</v>
      </c>
      <c r="D6642" s="5">
        <v>0.1</v>
      </c>
      <c r="E6642" s="5">
        <v>108.5</v>
      </c>
      <c r="F6642" s="5">
        <v>215</v>
      </c>
      <c r="G6642" s="5">
        <v>106.8</v>
      </c>
      <c r="H6642" s="5">
        <v>106.7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108.2</v>
      </c>
      <c r="D6643" s="5">
        <v>0.1</v>
      </c>
      <c r="E6643" s="5">
        <v>108.5</v>
      </c>
      <c r="F6643" s="5">
        <v>215</v>
      </c>
      <c r="G6643" s="5">
        <v>106.8</v>
      </c>
      <c r="H6643" s="5">
        <v>106.7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108.4</v>
      </c>
      <c r="D6644" s="5">
        <v>0.1</v>
      </c>
      <c r="E6644" s="5">
        <v>108.5</v>
      </c>
      <c r="F6644" s="5">
        <v>215.3</v>
      </c>
      <c r="G6644" s="5">
        <v>107</v>
      </c>
      <c r="H6644" s="5">
        <v>106.8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108.4</v>
      </c>
      <c r="D6645" s="5">
        <v>0.1</v>
      </c>
      <c r="E6645" s="5">
        <v>108.5</v>
      </c>
      <c r="F6645" s="5">
        <v>215.3</v>
      </c>
      <c r="G6645" s="5">
        <v>107</v>
      </c>
      <c r="H6645" s="5">
        <v>106.8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108.5</v>
      </c>
      <c r="D6646" s="5">
        <v>0.1</v>
      </c>
      <c r="E6646" s="5">
        <v>108.6</v>
      </c>
      <c r="F6646" s="5">
        <v>215.3</v>
      </c>
      <c r="G6646" s="5">
        <v>107</v>
      </c>
      <c r="H6646" s="5">
        <v>106.8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108.5</v>
      </c>
      <c r="D6647" s="5">
        <v>0.1</v>
      </c>
      <c r="E6647" s="5">
        <v>108.6</v>
      </c>
      <c r="F6647" s="5">
        <v>215.3</v>
      </c>
      <c r="G6647" s="5">
        <v>107</v>
      </c>
      <c r="H6647" s="5">
        <v>106.8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107.8</v>
      </c>
      <c r="D6648" s="5">
        <v>0.1</v>
      </c>
      <c r="E6648" s="5">
        <v>107.9</v>
      </c>
      <c r="F6648" s="5">
        <v>214.3</v>
      </c>
      <c r="G6648" s="5">
        <v>106.4</v>
      </c>
      <c r="H6648" s="5">
        <v>106.3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107.8</v>
      </c>
      <c r="D6649" s="5">
        <v>0.1</v>
      </c>
      <c r="E6649" s="5">
        <v>107.9</v>
      </c>
      <c r="F6649" s="5">
        <v>214.3</v>
      </c>
      <c r="G6649" s="5">
        <v>106.4</v>
      </c>
      <c r="H6649" s="5">
        <v>106.3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107.8</v>
      </c>
      <c r="D6650" s="5">
        <v>0.1</v>
      </c>
      <c r="E6650" s="5">
        <v>107.9</v>
      </c>
      <c r="F6650" s="5">
        <v>214.3</v>
      </c>
      <c r="G6650" s="5">
        <v>106.4</v>
      </c>
      <c r="H6650" s="5">
        <v>106.3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107.8</v>
      </c>
      <c r="D6651" s="5">
        <v>0.1</v>
      </c>
      <c r="E6651" s="5">
        <v>107.9</v>
      </c>
      <c r="F6651" s="5">
        <v>214.3</v>
      </c>
      <c r="G6651" s="5">
        <v>106.4</v>
      </c>
      <c r="H6651" s="5">
        <v>106.3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108.2</v>
      </c>
      <c r="D6652" s="5">
        <v>0.1</v>
      </c>
      <c r="E6652" s="5">
        <v>108.3</v>
      </c>
      <c r="F6652" s="5">
        <v>214.9</v>
      </c>
      <c r="G6652" s="5">
        <v>106.8</v>
      </c>
      <c r="H6652" s="5">
        <v>106.7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108.2</v>
      </c>
      <c r="D6653" s="5">
        <v>0.1</v>
      </c>
      <c r="E6653" s="5">
        <v>108.3</v>
      </c>
      <c r="F6653" s="5">
        <v>214.9</v>
      </c>
      <c r="G6653" s="5">
        <v>106.8</v>
      </c>
      <c r="H6653" s="5">
        <v>106.7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107.9</v>
      </c>
      <c r="D6654" s="5">
        <v>0.1</v>
      </c>
      <c r="E6654" s="5">
        <v>108.1</v>
      </c>
      <c r="F6654" s="5">
        <v>214.3</v>
      </c>
      <c r="G6654" s="5">
        <v>106.4</v>
      </c>
      <c r="H6654" s="5">
        <v>106.2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107.9</v>
      </c>
      <c r="D6655" s="5">
        <v>0.1</v>
      </c>
      <c r="E6655" s="5">
        <v>108.1</v>
      </c>
      <c r="F6655" s="5">
        <v>214.3</v>
      </c>
      <c r="G6655" s="5">
        <v>106.4</v>
      </c>
      <c r="H6655" s="5">
        <v>106.2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108.8</v>
      </c>
      <c r="D6656" s="5">
        <v>0.1</v>
      </c>
      <c r="E6656" s="5">
        <v>109</v>
      </c>
      <c r="F6656" s="5">
        <v>215.8</v>
      </c>
      <c r="G6656" s="5">
        <v>107.2</v>
      </c>
      <c r="H6656" s="5">
        <v>107.1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108.8</v>
      </c>
      <c r="D6657" s="5">
        <v>0.1</v>
      </c>
      <c r="E6657" s="5">
        <v>109</v>
      </c>
      <c r="F6657" s="5">
        <v>215.8</v>
      </c>
      <c r="G6657" s="5">
        <v>107.2</v>
      </c>
      <c r="H6657" s="5">
        <v>107.1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108.7</v>
      </c>
      <c r="D6658" s="5">
        <v>0.1</v>
      </c>
      <c r="E6658" s="5">
        <v>108.8</v>
      </c>
      <c r="F6658" s="5">
        <v>216.1</v>
      </c>
      <c r="G6658" s="5">
        <v>107.3</v>
      </c>
      <c r="H6658" s="5">
        <v>107.2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108.7</v>
      </c>
      <c r="D6659" s="5">
        <v>0.1</v>
      </c>
      <c r="E6659" s="5">
        <v>108.8</v>
      </c>
      <c r="F6659" s="5">
        <v>216.1</v>
      </c>
      <c r="G6659" s="5">
        <v>107.3</v>
      </c>
      <c r="H6659" s="5">
        <v>107.2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108.7</v>
      </c>
      <c r="D6660" s="5">
        <v>0.1</v>
      </c>
      <c r="E6660" s="5">
        <v>108.8</v>
      </c>
      <c r="F6660" s="5">
        <v>216.1</v>
      </c>
      <c r="G6660" s="5">
        <v>107.3</v>
      </c>
      <c r="H6660" s="5">
        <v>107.2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108.7</v>
      </c>
      <c r="D6661" s="5">
        <v>0.1</v>
      </c>
      <c r="E6661" s="5">
        <v>108.8</v>
      </c>
      <c r="F6661" s="5">
        <v>216.1</v>
      </c>
      <c r="G6661" s="5">
        <v>107.3</v>
      </c>
      <c r="H6661" s="5">
        <v>107.2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108.3</v>
      </c>
      <c r="D6662" s="5">
        <v>0.1</v>
      </c>
      <c r="E6662" s="5">
        <v>108.5</v>
      </c>
      <c r="F6662" s="5">
        <v>215.6</v>
      </c>
      <c r="G6662" s="5">
        <v>107.1</v>
      </c>
      <c r="H6662" s="5">
        <v>106.9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108.3</v>
      </c>
      <c r="D6663" s="5">
        <v>0.1</v>
      </c>
      <c r="E6663" s="5">
        <v>108.5</v>
      </c>
      <c r="F6663" s="5">
        <v>215.6</v>
      </c>
      <c r="G6663" s="5">
        <v>107.1</v>
      </c>
      <c r="H6663" s="5">
        <v>106.9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108.7</v>
      </c>
      <c r="D6664" s="5">
        <v>0.1</v>
      </c>
      <c r="E6664" s="5">
        <v>108.8</v>
      </c>
      <c r="F6664" s="5">
        <v>215.6</v>
      </c>
      <c r="G6664" s="5">
        <v>107.1</v>
      </c>
      <c r="H6664" s="5">
        <v>107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108.7</v>
      </c>
      <c r="D6665" s="5">
        <v>0.1</v>
      </c>
      <c r="E6665" s="5">
        <v>108.8</v>
      </c>
      <c r="F6665" s="5">
        <v>215.6</v>
      </c>
      <c r="G6665" s="5">
        <v>107.1</v>
      </c>
      <c r="H6665" s="5">
        <v>107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108.7</v>
      </c>
      <c r="D6666" s="5">
        <v>0.1</v>
      </c>
      <c r="E6666" s="5">
        <v>108.8</v>
      </c>
      <c r="F6666" s="5">
        <v>215.6</v>
      </c>
      <c r="G6666" s="5">
        <v>107.1</v>
      </c>
      <c r="H6666" s="5">
        <v>107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108.7</v>
      </c>
      <c r="D6667" s="5">
        <v>0.1</v>
      </c>
      <c r="E6667" s="5">
        <v>108.8</v>
      </c>
      <c r="F6667" s="5">
        <v>215.6</v>
      </c>
      <c r="G6667" s="5">
        <v>107.1</v>
      </c>
      <c r="H6667" s="5">
        <v>107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108.8</v>
      </c>
      <c r="D6668" s="5">
        <v>0.1</v>
      </c>
      <c r="E6668" s="5">
        <v>109</v>
      </c>
      <c r="F6668" s="5">
        <v>216.2</v>
      </c>
      <c r="G6668" s="5">
        <v>107.4</v>
      </c>
      <c r="H6668" s="5">
        <v>107.2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108.8</v>
      </c>
      <c r="D6669" s="5">
        <v>0.1</v>
      </c>
      <c r="E6669" s="5">
        <v>109</v>
      </c>
      <c r="F6669" s="5">
        <v>216.2</v>
      </c>
      <c r="G6669" s="5">
        <v>107.4</v>
      </c>
      <c r="H6669" s="5">
        <v>107.2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108.8</v>
      </c>
      <c r="D6670" s="5">
        <v>0.1</v>
      </c>
      <c r="E6670" s="5">
        <v>109</v>
      </c>
      <c r="F6670" s="5">
        <v>216.2</v>
      </c>
      <c r="G6670" s="5">
        <v>107.4</v>
      </c>
      <c r="H6670" s="5">
        <v>107.2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108.8</v>
      </c>
      <c r="D6671" s="5">
        <v>0.1</v>
      </c>
      <c r="E6671" s="5">
        <v>109</v>
      </c>
      <c r="F6671" s="5">
        <v>216.2</v>
      </c>
      <c r="G6671" s="5">
        <v>107.4</v>
      </c>
      <c r="H6671" s="5">
        <v>107.2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108.6</v>
      </c>
      <c r="D6672" s="5">
        <v>0.1</v>
      </c>
      <c r="E6672" s="5">
        <v>108.8</v>
      </c>
      <c r="F6672" s="5">
        <v>215.7</v>
      </c>
      <c r="G6672" s="5">
        <v>107.1</v>
      </c>
      <c r="H6672" s="5">
        <v>107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108.6</v>
      </c>
      <c r="D6673" s="5">
        <v>0.1</v>
      </c>
      <c r="E6673" s="5">
        <v>108.8</v>
      </c>
      <c r="F6673" s="5">
        <v>215.7</v>
      </c>
      <c r="G6673" s="5">
        <v>107.1</v>
      </c>
      <c r="H6673" s="5">
        <v>107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108.7</v>
      </c>
      <c r="D6674" s="5">
        <v>0.1</v>
      </c>
      <c r="E6674" s="5">
        <v>108.8</v>
      </c>
      <c r="F6674" s="5">
        <v>215.7</v>
      </c>
      <c r="G6674" s="5">
        <v>107.2</v>
      </c>
      <c r="H6674" s="5">
        <v>107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108.7</v>
      </c>
      <c r="D6675" s="5">
        <v>0.1</v>
      </c>
      <c r="E6675" s="5">
        <v>108.8</v>
      </c>
      <c r="F6675" s="5">
        <v>215.7</v>
      </c>
      <c r="G6675" s="5">
        <v>107.2</v>
      </c>
      <c r="H6675" s="5">
        <v>107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108.9</v>
      </c>
      <c r="D6676" s="5">
        <v>0.1</v>
      </c>
      <c r="E6676" s="5">
        <v>109.1</v>
      </c>
      <c r="F6676" s="5">
        <v>216.4</v>
      </c>
      <c r="G6676" s="5">
        <v>107.4</v>
      </c>
      <c r="H6676" s="5">
        <v>107.3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108.9</v>
      </c>
      <c r="D6677" s="5">
        <v>0.1</v>
      </c>
      <c r="E6677" s="5">
        <v>109.1</v>
      </c>
      <c r="F6677" s="5">
        <v>216.4</v>
      </c>
      <c r="G6677" s="5">
        <v>107.4</v>
      </c>
      <c r="H6677" s="5">
        <v>107.3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108.8</v>
      </c>
      <c r="D6678" s="5">
        <v>0.1</v>
      </c>
      <c r="E6678" s="5">
        <v>109</v>
      </c>
      <c r="F6678" s="5">
        <v>216.8</v>
      </c>
      <c r="G6678" s="5">
        <v>107.6</v>
      </c>
      <c r="H6678" s="5">
        <v>107.5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108.8</v>
      </c>
      <c r="D6679" s="5">
        <v>0.1</v>
      </c>
      <c r="E6679" s="5">
        <v>109</v>
      </c>
      <c r="F6679" s="5">
        <v>216.8</v>
      </c>
      <c r="G6679" s="5">
        <v>107.6</v>
      </c>
      <c r="H6679" s="5">
        <v>107.5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108.8</v>
      </c>
      <c r="D6680" s="5">
        <v>0.1</v>
      </c>
      <c r="E6680" s="5">
        <v>109</v>
      </c>
      <c r="F6680" s="5">
        <v>216.8</v>
      </c>
      <c r="G6680" s="5">
        <v>107.6</v>
      </c>
      <c r="H6680" s="5">
        <v>107.5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108.8</v>
      </c>
      <c r="D6681" s="5">
        <v>0.1</v>
      </c>
      <c r="E6681" s="5">
        <v>109</v>
      </c>
      <c r="F6681" s="5">
        <v>216.8</v>
      </c>
      <c r="G6681" s="5">
        <v>107.6</v>
      </c>
      <c r="H6681" s="5">
        <v>107.5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108.8</v>
      </c>
      <c r="D6682" s="5">
        <v>0.1</v>
      </c>
      <c r="E6682" s="5">
        <v>109</v>
      </c>
      <c r="F6682" s="5">
        <v>216.8</v>
      </c>
      <c r="G6682" s="5">
        <v>107.6</v>
      </c>
      <c r="H6682" s="5">
        <v>107.5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108.8</v>
      </c>
      <c r="D6683" s="5">
        <v>0.1</v>
      </c>
      <c r="E6683" s="5">
        <v>109</v>
      </c>
      <c r="F6683" s="5">
        <v>216.8</v>
      </c>
      <c r="G6683" s="5">
        <v>107.6</v>
      </c>
      <c r="H6683" s="5">
        <v>107.5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108.5</v>
      </c>
      <c r="D6684" s="5">
        <v>0.1</v>
      </c>
      <c r="E6684" s="5">
        <v>108.7</v>
      </c>
      <c r="F6684" s="5">
        <v>215.3</v>
      </c>
      <c r="G6684" s="5">
        <v>106.9</v>
      </c>
      <c r="H6684" s="5">
        <v>106.8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108.5</v>
      </c>
      <c r="D6685" s="5">
        <v>0.1</v>
      </c>
      <c r="E6685" s="5">
        <v>108.7</v>
      </c>
      <c r="F6685" s="5">
        <v>215.3</v>
      </c>
      <c r="G6685" s="5">
        <v>106.9</v>
      </c>
      <c r="H6685" s="5">
        <v>106.8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108.8</v>
      </c>
      <c r="D6686" s="5">
        <v>0.1</v>
      </c>
      <c r="E6686" s="5">
        <v>109</v>
      </c>
      <c r="F6686" s="5">
        <v>216.1</v>
      </c>
      <c r="G6686" s="5">
        <v>107.4</v>
      </c>
      <c r="H6686" s="5">
        <v>107.2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108.8</v>
      </c>
      <c r="D6687" s="5">
        <v>0.1</v>
      </c>
      <c r="E6687" s="5">
        <v>109</v>
      </c>
      <c r="F6687" s="5">
        <v>216.1</v>
      </c>
      <c r="G6687" s="5">
        <v>107.4</v>
      </c>
      <c r="H6687" s="5">
        <v>107.2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108.7</v>
      </c>
      <c r="D6688" s="5">
        <v>0.1</v>
      </c>
      <c r="E6688" s="5">
        <v>108.8</v>
      </c>
      <c r="F6688" s="5">
        <v>216.2</v>
      </c>
      <c r="G6688" s="5">
        <v>107.4</v>
      </c>
      <c r="H6688" s="5">
        <v>107.2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108.7</v>
      </c>
      <c r="D6689" s="5">
        <v>0.1</v>
      </c>
      <c r="E6689" s="5">
        <v>108.8</v>
      </c>
      <c r="F6689" s="5">
        <v>216.2</v>
      </c>
      <c r="G6689" s="5">
        <v>107.4</v>
      </c>
      <c r="H6689" s="5">
        <v>107.2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108.7</v>
      </c>
      <c r="D6690" s="5">
        <v>0.1</v>
      </c>
      <c r="E6690" s="5">
        <v>108.8</v>
      </c>
      <c r="F6690" s="5">
        <v>216.2</v>
      </c>
      <c r="G6690" s="5">
        <v>107.4</v>
      </c>
      <c r="H6690" s="5">
        <v>107.2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108.7</v>
      </c>
      <c r="D6691" s="5">
        <v>0.1</v>
      </c>
      <c r="E6691" s="5">
        <v>108.8</v>
      </c>
      <c r="F6691" s="5">
        <v>216.2</v>
      </c>
      <c r="G6691" s="5">
        <v>107.4</v>
      </c>
      <c r="H6691" s="5">
        <v>107.2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104.3</v>
      </c>
      <c r="D6692" s="5">
        <v>0.1</v>
      </c>
      <c r="E6692" s="5">
        <v>104.4</v>
      </c>
      <c r="F6692" s="5">
        <v>206.8</v>
      </c>
      <c r="G6692" s="5">
        <v>102.8</v>
      </c>
      <c r="H6692" s="5">
        <v>102.7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104.3</v>
      </c>
      <c r="D6693" s="5">
        <v>0.1</v>
      </c>
      <c r="E6693" s="5">
        <v>104.4</v>
      </c>
      <c r="F6693" s="5">
        <v>206.8</v>
      </c>
      <c r="G6693" s="5">
        <v>102.8</v>
      </c>
      <c r="H6693" s="5">
        <v>102.7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108.5</v>
      </c>
      <c r="D6694" s="5">
        <v>0.1</v>
      </c>
      <c r="E6694" s="5">
        <v>108.6</v>
      </c>
      <c r="F6694" s="5">
        <v>215.4</v>
      </c>
      <c r="G6694" s="5">
        <v>107</v>
      </c>
      <c r="H6694" s="5">
        <v>106.9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108.5</v>
      </c>
      <c r="D6695" s="5">
        <v>0.1</v>
      </c>
      <c r="E6695" s="5">
        <v>108.6</v>
      </c>
      <c r="F6695" s="5">
        <v>215.4</v>
      </c>
      <c r="G6695" s="5">
        <v>107</v>
      </c>
      <c r="H6695" s="5">
        <v>106.9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108.5</v>
      </c>
      <c r="D6696" s="5">
        <v>0.1</v>
      </c>
      <c r="E6696" s="5">
        <v>108.7</v>
      </c>
      <c r="F6696" s="5">
        <v>215.7</v>
      </c>
      <c r="G6696" s="5">
        <v>107.1</v>
      </c>
      <c r="H6696" s="5">
        <v>106.9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108.5</v>
      </c>
      <c r="D6697" s="5">
        <v>0.1</v>
      </c>
      <c r="E6697" s="5">
        <v>108.7</v>
      </c>
      <c r="F6697" s="5">
        <v>215.7</v>
      </c>
      <c r="G6697" s="5">
        <v>107.1</v>
      </c>
      <c r="H6697" s="5">
        <v>106.9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101.1</v>
      </c>
      <c r="D6698" s="5">
        <v>0.1</v>
      </c>
      <c r="E6698" s="5">
        <v>101.2</v>
      </c>
      <c r="F6698" s="5">
        <v>201.7</v>
      </c>
      <c r="G6698" s="5">
        <v>100.2</v>
      </c>
      <c r="H6698" s="5">
        <v>100.1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101.1</v>
      </c>
      <c r="D6699" s="5">
        <v>0.1</v>
      </c>
      <c r="E6699" s="5">
        <v>101.2</v>
      </c>
      <c r="F6699" s="5">
        <v>201.7</v>
      </c>
      <c r="G6699" s="5">
        <v>100.2</v>
      </c>
      <c r="H6699" s="5">
        <v>100.1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101.1</v>
      </c>
      <c r="D6700" s="5">
        <v>0.1</v>
      </c>
      <c r="E6700" s="5">
        <v>101.2</v>
      </c>
      <c r="F6700" s="5">
        <v>201.7</v>
      </c>
      <c r="G6700" s="5">
        <v>100.2</v>
      </c>
      <c r="H6700" s="5">
        <v>100.1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101.1</v>
      </c>
      <c r="D6701" s="5">
        <v>0.1</v>
      </c>
      <c r="E6701" s="5">
        <v>101.2</v>
      </c>
      <c r="F6701" s="5">
        <v>201.7</v>
      </c>
      <c r="G6701" s="5">
        <v>100.2</v>
      </c>
      <c r="H6701" s="5">
        <v>100.1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107.8</v>
      </c>
      <c r="D6702" s="5">
        <v>0.1</v>
      </c>
      <c r="E6702" s="5">
        <v>108</v>
      </c>
      <c r="F6702" s="5">
        <v>214.7</v>
      </c>
      <c r="G6702" s="5">
        <v>106.6</v>
      </c>
      <c r="H6702" s="5">
        <v>106.5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107.8</v>
      </c>
      <c r="D6703" s="5">
        <v>0.1</v>
      </c>
      <c r="E6703" s="5">
        <v>108</v>
      </c>
      <c r="F6703" s="5">
        <v>214.7</v>
      </c>
      <c r="G6703" s="5">
        <v>106.6</v>
      </c>
      <c r="H6703" s="5">
        <v>106.5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108.4</v>
      </c>
      <c r="D6704" s="5">
        <v>0.1</v>
      </c>
      <c r="E6704" s="5">
        <v>108.5</v>
      </c>
      <c r="F6704" s="5">
        <v>215.2</v>
      </c>
      <c r="G6704" s="5">
        <v>106.9</v>
      </c>
      <c r="H6704" s="5">
        <v>106.7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108.4</v>
      </c>
      <c r="D6705" s="5">
        <v>0.1</v>
      </c>
      <c r="E6705" s="5">
        <v>108.5</v>
      </c>
      <c r="F6705" s="5">
        <v>215.2</v>
      </c>
      <c r="G6705" s="5">
        <v>106.9</v>
      </c>
      <c r="H6705" s="5">
        <v>106.7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102.3</v>
      </c>
      <c r="D6706" s="5">
        <v>0.1</v>
      </c>
      <c r="E6706" s="5">
        <v>102.4</v>
      </c>
      <c r="F6706" s="5">
        <v>204</v>
      </c>
      <c r="G6706" s="5">
        <v>101.3</v>
      </c>
      <c r="H6706" s="5">
        <v>101.2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102.3</v>
      </c>
      <c r="D6707" s="5">
        <v>0.1</v>
      </c>
      <c r="E6707" s="5">
        <v>102.4</v>
      </c>
      <c r="F6707" s="5">
        <v>204</v>
      </c>
      <c r="G6707" s="5">
        <v>101.3</v>
      </c>
      <c r="H6707" s="5">
        <v>101.2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108.7</v>
      </c>
      <c r="D6708" s="5">
        <v>0.1</v>
      </c>
      <c r="E6708" s="5">
        <v>108.8</v>
      </c>
      <c r="F6708" s="5">
        <v>215.5</v>
      </c>
      <c r="G6708" s="5">
        <v>107</v>
      </c>
      <c r="H6708" s="5">
        <v>106.9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108.7</v>
      </c>
      <c r="D6709" s="5">
        <v>0.1</v>
      </c>
      <c r="E6709" s="5">
        <v>108.8</v>
      </c>
      <c r="F6709" s="5">
        <v>215.5</v>
      </c>
      <c r="G6709" s="5">
        <v>107</v>
      </c>
      <c r="H6709" s="5">
        <v>106.9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108.7</v>
      </c>
      <c r="D6710" s="5">
        <v>0.1</v>
      </c>
      <c r="E6710" s="5">
        <v>108.8</v>
      </c>
      <c r="F6710" s="5">
        <v>215.5</v>
      </c>
      <c r="G6710" s="5">
        <v>107</v>
      </c>
      <c r="H6710" s="5">
        <v>106.9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108.7</v>
      </c>
      <c r="D6711" s="5">
        <v>0.1</v>
      </c>
      <c r="E6711" s="5">
        <v>108.8</v>
      </c>
      <c r="F6711" s="5">
        <v>215.5</v>
      </c>
      <c r="G6711" s="5">
        <v>107</v>
      </c>
      <c r="H6711" s="5">
        <v>106.9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109.4</v>
      </c>
      <c r="D6712" s="5">
        <v>0.1</v>
      </c>
      <c r="E6712" s="5">
        <v>109.6</v>
      </c>
      <c r="F6712" s="5">
        <v>216.7</v>
      </c>
      <c r="G6712" s="5">
        <v>107.6</v>
      </c>
      <c r="H6712" s="5">
        <v>107.4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109.4</v>
      </c>
      <c r="D6713" s="5">
        <v>0.1</v>
      </c>
      <c r="E6713" s="5">
        <v>109.6</v>
      </c>
      <c r="F6713" s="5">
        <v>216.7</v>
      </c>
      <c r="G6713" s="5">
        <v>107.6</v>
      </c>
      <c r="H6713" s="5">
        <v>107.4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103.2</v>
      </c>
      <c r="D6714" s="5">
        <v>0.1</v>
      </c>
      <c r="E6714" s="5">
        <v>103.3</v>
      </c>
      <c r="F6714" s="5">
        <v>205.2</v>
      </c>
      <c r="G6714" s="5">
        <v>101.8</v>
      </c>
      <c r="H6714" s="5">
        <v>101.7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103.2</v>
      </c>
      <c r="D6715" s="5">
        <v>0.1</v>
      </c>
      <c r="E6715" s="5">
        <v>103.3</v>
      </c>
      <c r="F6715" s="5">
        <v>205.2</v>
      </c>
      <c r="G6715" s="5">
        <v>101.8</v>
      </c>
      <c r="H6715" s="5">
        <v>101.7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109.3</v>
      </c>
      <c r="D6716" s="5">
        <v>0.1</v>
      </c>
      <c r="E6716" s="5">
        <v>109.4</v>
      </c>
      <c r="F6716" s="5">
        <v>216.3</v>
      </c>
      <c r="G6716" s="5">
        <v>107.5</v>
      </c>
      <c r="H6716" s="5">
        <v>107.4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109.3</v>
      </c>
      <c r="D6717" s="5">
        <v>0.1</v>
      </c>
      <c r="E6717" s="5">
        <v>109.4</v>
      </c>
      <c r="F6717" s="5">
        <v>216.3</v>
      </c>
      <c r="G6717" s="5">
        <v>107.5</v>
      </c>
      <c r="H6717" s="5">
        <v>107.4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109</v>
      </c>
      <c r="D6718" s="5">
        <v>0.1</v>
      </c>
      <c r="E6718" s="5">
        <v>109.1</v>
      </c>
      <c r="F6718" s="5">
        <v>216.3</v>
      </c>
      <c r="G6718" s="5">
        <v>107.5</v>
      </c>
      <c r="H6718" s="5">
        <v>107.3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109</v>
      </c>
      <c r="D6719" s="5">
        <v>0.1</v>
      </c>
      <c r="E6719" s="5">
        <v>109.1</v>
      </c>
      <c r="F6719" s="5">
        <v>216.3</v>
      </c>
      <c r="G6719" s="5">
        <v>107.5</v>
      </c>
      <c r="H6719" s="5">
        <v>107.3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109</v>
      </c>
      <c r="D6720" s="5">
        <v>0.1</v>
      </c>
      <c r="E6720" s="5">
        <v>109.1</v>
      </c>
      <c r="F6720" s="5">
        <v>216.3</v>
      </c>
      <c r="G6720" s="5">
        <v>107.5</v>
      </c>
      <c r="H6720" s="5">
        <v>107.3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109.1</v>
      </c>
      <c r="D6721" s="5">
        <v>0.1</v>
      </c>
      <c r="E6721" s="5">
        <v>109.3</v>
      </c>
      <c r="F6721" s="5">
        <v>216.9</v>
      </c>
      <c r="G6721" s="5">
        <v>107.7</v>
      </c>
      <c r="H6721" s="5">
        <v>107.6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109.1</v>
      </c>
      <c r="D6722" s="5">
        <v>0.1</v>
      </c>
      <c r="E6722" s="5">
        <v>109.3</v>
      </c>
      <c r="F6722" s="5">
        <v>216.9</v>
      </c>
      <c r="G6722" s="5">
        <v>107.7</v>
      </c>
      <c r="H6722" s="5">
        <v>107.6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103.5</v>
      </c>
      <c r="D6723" s="5">
        <v>0.1</v>
      </c>
      <c r="E6723" s="5">
        <v>103.7</v>
      </c>
      <c r="F6723" s="5">
        <v>206</v>
      </c>
      <c r="G6723" s="5">
        <v>102.3</v>
      </c>
      <c r="H6723" s="5">
        <v>107.6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103.5</v>
      </c>
      <c r="D6724" s="5">
        <v>0.1</v>
      </c>
      <c r="E6724" s="5">
        <v>103.7</v>
      </c>
      <c r="F6724" s="5">
        <v>206</v>
      </c>
      <c r="G6724" s="5">
        <v>102.3</v>
      </c>
      <c r="H6724" s="5">
        <v>102.2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103.5</v>
      </c>
      <c r="D6725" s="5">
        <v>0.1</v>
      </c>
      <c r="E6725" s="5">
        <v>103.1</v>
      </c>
      <c r="F6725" s="5">
        <v>208</v>
      </c>
      <c r="G6725" s="5">
        <v>102.3</v>
      </c>
      <c r="H6725" s="5">
        <v>102.2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103</v>
      </c>
      <c r="D6726" s="5">
        <v>0.1</v>
      </c>
      <c r="E6726" s="5">
        <v>103.1</v>
      </c>
      <c r="F6726" s="5">
        <v>208</v>
      </c>
      <c r="G6726" s="5">
        <v>103</v>
      </c>
      <c r="H6726" s="5">
        <v>102.5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103</v>
      </c>
      <c r="D6727" s="5">
        <v>0.1</v>
      </c>
      <c r="E6727" s="5">
        <v>103.1</v>
      </c>
      <c r="F6727" s="5">
        <v>208</v>
      </c>
      <c r="G6727" s="5">
        <v>103</v>
      </c>
      <c r="H6727" s="5">
        <v>102.5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108.5</v>
      </c>
      <c r="D6728" s="5">
        <v>0.1</v>
      </c>
      <c r="E6728" s="5">
        <v>108.6</v>
      </c>
      <c r="F6728" s="5">
        <v>216.3</v>
      </c>
      <c r="G6728" s="5">
        <v>107.4</v>
      </c>
      <c r="H6728" s="5">
        <v>107.2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108.5</v>
      </c>
      <c r="D6729" s="5">
        <v>0.1</v>
      </c>
      <c r="E6729" s="5">
        <v>108.6</v>
      </c>
      <c r="F6729" s="5">
        <v>216.3</v>
      </c>
      <c r="G6729" s="5">
        <v>107.4</v>
      </c>
      <c r="H6729" s="5">
        <v>107.2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108.5</v>
      </c>
      <c r="D6730" s="5">
        <v>0.1</v>
      </c>
      <c r="E6730" s="5">
        <v>108.6</v>
      </c>
      <c r="F6730" s="5">
        <v>216.3</v>
      </c>
      <c r="G6730" s="5">
        <v>107.4</v>
      </c>
      <c r="H6730" s="5">
        <v>107.2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108.5</v>
      </c>
      <c r="D6731" s="5">
        <v>0.1</v>
      </c>
      <c r="E6731" s="5">
        <v>108.6</v>
      </c>
      <c r="F6731" s="5">
        <v>216.3</v>
      </c>
      <c r="G6731" s="5">
        <v>107.4</v>
      </c>
      <c r="H6731" s="5">
        <v>107.2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108.8</v>
      </c>
      <c r="D6732" s="5">
        <v>0.1</v>
      </c>
      <c r="E6732" s="5">
        <v>108.9</v>
      </c>
      <c r="F6732" s="5">
        <v>215.8</v>
      </c>
      <c r="G6732" s="5">
        <v>107.2</v>
      </c>
      <c r="H6732" s="5">
        <v>107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108.8</v>
      </c>
      <c r="D6733" s="5">
        <v>0.1</v>
      </c>
      <c r="E6733" s="5">
        <v>108.9</v>
      </c>
      <c r="F6733" s="5">
        <v>215.8</v>
      </c>
      <c r="G6733" s="5">
        <v>107.2</v>
      </c>
      <c r="H6733" s="5">
        <v>107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109.1</v>
      </c>
      <c r="D6734" s="5">
        <v>0.1</v>
      </c>
      <c r="E6734" s="5">
        <v>109.2</v>
      </c>
      <c r="F6734" s="5">
        <v>216.2</v>
      </c>
      <c r="G6734" s="5">
        <v>107.4</v>
      </c>
      <c r="H6734" s="5">
        <v>107.2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109.1</v>
      </c>
      <c r="D6735" s="5">
        <v>0.1</v>
      </c>
      <c r="E6735" s="5">
        <v>109.2</v>
      </c>
      <c r="F6735" s="5">
        <v>216.2</v>
      </c>
      <c r="G6735" s="5">
        <v>107.4</v>
      </c>
      <c r="H6735" s="5">
        <v>107.2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109.2</v>
      </c>
      <c r="D6736" s="5">
        <v>0.1</v>
      </c>
      <c r="E6736" s="5">
        <v>109.4</v>
      </c>
      <c r="F6736" s="5">
        <v>217</v>
      </c>
      <c r="G6736" s="5">
        <v>107.8</v>
      </c>
      <c r="H6736" s="5">
        <v>107.7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109.2</v>
      </c>
      <c r="D6737" s="5">
        <v>0.1</v>
      </c>
      <c r="E6737" s="5">
        <v>109.4</v>
      </c>
      <c r="F6737" s="5">
        <v>217</v>
      </c>
      <c r="G6737" s="5">
        <v>107.8</v>
      </c>
      <c r="H6737" s="5">
        <v>107.7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108.8</v>
      </c>
      <c r="D6738" s="5">
        <v>0.1</v>
      </c>
      <c r="E6738" s="5">
        <v>108.9</v>
      </c>
      <c r="F6738" s="5">
        <v>215.7</v>
      </c>
      <c r="G6738" s="5">
        <v>107.1</v>
      </c>
      <c r="H6738" s="5">
        <v>107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108.8</v>
      </c>
      <c r="D6739" s="5">
        <v>0.1</v>
      </c>
      <c r="E6739" s="5">
        <v>108.9</v>
      </c>
      <c r="F6739" s="5">
        <v>215.7</v>
      </c>
      <c r="G6739" s="5">
        <v>107.1</v>
      </c>
      <c r="H6739" s="5">
        <v>107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108.8</v>
      </c>
      <c r="D6740" s="5">
        <v>0.1</v>
      </c>
      <c r="E6740" s="5">
        <v>108.9</v>
      </c>
      <c r="F6740" s="5">
        <v>215.7</v>
      </c>
      <c r="G6740" s="5">
        <v>107.1</v>
      </c>
      <c r="H6740" s="5">
        <v>107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108.8</v>
      </c>
      <c r="D6741" s="5">
        <v>0.1</v>
      </c>
      <c r="E6741" s="5">
        <v>108.9</v>
      </c>
      <c r="F6741" s="5">
        <v>215.7</v>
      </c>
      <c r="G6741" s="5">
        <v>107.1</v>
      </c>
      <c r="H6741" s="5">
        <v>107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108.4</v>
      </c>
      <c r="D6742" s="5">
        <v>0.1</v>
      </c>
      <c r="E6742" s="5">
        <v>108.5</v>
      </c>
      <c r="F6742" s="5">
        <v>216.5</v>
      </c>
      <c r="G6742" s="5">
        <v>107.5</v>
      </c>
      <c r="H6742" s="5">
        <v>107.1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108.4</v>
      </c>
      <c r="D6743" s="5">
        <v>0.1</v>
      </c>
      <c r="E6743" s="5">
        <v>108.5</v>
      </c>
      <c r="F6743" s="5">
        <v>216.5</v>
      </c>
      <c r="G6743" s="5">
        <v>107.5</v>
      </c>
      <c r="H6743" s="5">
        <v>107.1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108.9</v>
      </c>
      <c r="D6744" s="5">
        <v>0.1</v>
      </c>
      <c r="E6744" s="5">
        <v>109.1</v>
      </c>
      <c r="F6744" s="5">
        <v>216.9</v>
      </c>
      <c r="G6744" s="5">
        <v>107.7</v>
      </c>
      <c r="H6744" s="5">
        <v>107.6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108.9</v>
      </c>
      <c r="D6745" s="5">
        <v>0.1</v>
      </c>
      <c r="E6745" s="5">
        <v>109.1</v>
      </c>
      <c r="F6745" s="5">
        <v>216.9</v>
      </c>
      <c r="G6745" s="5">
        <v>107.7</v>
      </c>
      <c r="H6745" s="5">
        <v>107.6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108.9</v>
      </c>
      <c r="D6746" s="5">
        <v>0.1</v>
      </c>
      <c r="E6746" s="5">
        <v>109.1</v>
      </c>
      <c r="F6746" s="5">
        <v>216.4</v>
      </c>
      <c r="G6746" s="5">
        <v>107.5</v>
      </c>
      <c r="H6746" s="5">
        <v>107.4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108.9</v>
      </c>
      <c r="D6747" s="5">
        <v>0.1</v>
      </c>
      <c r="E6747" s="5">
        <v>109.1</v>
      </c>
      <c r="F6747" s="5">
        <v>216.4</v>
      </c>
      <c r="G6747" s="5">
        <v>107.5</v>
      </c>
      <c r="H6747" s="5">
        <v>107.4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109.1</v>
      </c>
      <c r="D6748" s="5">
        <v>0.1</v>
      </c>
      <c r="E6748" s="5">
        <v>109.2</v>
      </c>
      <c r="F6748" s="5">
        <v>217.2</v>
      </c>
      <c r="G6748" s="5">
        <v>107.6</v>
      </c>
      <c r="H6748" s="5">
        <v>107.5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109.1</v>
      </c>
      <c r="D6749" s="5">
        <v>0.1</v>
      </c>
      <c r="E6749" s="5">
        <v>109.2</v>
      </c>
      <c r="F6749" s="5">
        <v>217.2</v>
      </c>
      <c r="G6749" s="5">
        <v>107.6</v>
      </c>
      <c r="H6749" s="5">
        <v>107.5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109.1</v>
      </c>
      <c r="D6750" s="5">
        <v>0.1</v>
      </c>
      <c r="E6750" s="5">
        <v>109.2</v>
      </c>
      <c r="F6750" s="5">
        <v>217.2</v>
      </c>
      <c r="G6750" s="5">
        <v>107.6</v>
      </c>
      <c r="H6750" s="5">
        <v>107.5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109.1</v>
      </c>
      <c r="D6751" s="5">
        <v>0.1</v>
      </c>
      <c r="E6751" s="5">
        <v>109.3</v>
      </c>
      <c r="F6751" s="5">
        <v>216.4</v>
      </c>
      <c r="G6751" s="5">
        <v>107.5</v>
      </c>
      <c r="H6751" s="5">
        <v>107.3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109.1</v>
      </c>
      <c r="D6752" s="5">
        <v>0.1</v>
      </c>
      <c r="E6752" s="5">
        <v>109.3</v>
      </c>
      <c r="F6752" s="5">
        <v>216.4</v>
      </c>
      <c r="G6752" s="5">
        <v>107.5</v>
      </c>
      <c r="H6752" s="5">
        <v>107.3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109.1</v>
      </c>
      <c r="D6753" s="5">
        <v>0.1</v>
      </c>
      <c r="E6753" s="5">
        <v>109.1</v>
      </c>
      <c r="F6753" s="5">
        <v>216.6</v>
      </c>
      <c r="G6753" s="5">
        <v>107.5</v>
      </c>
      <c r="H6753" s="5">
        <v>107.4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108.9</v>
      </c>
      <c r="D6754" s="5">
        <v>0.1</v>
      </c>
      <c r="E6754" s="5">
        <v>109.1</v>
      </c>
      <c r="F6754" s="5">
        <v>216.6</v>
      </c>
      <c r="G6754" s="5">
        <v>107.5</v>
      </c>
      <c r="H6754" s="5">
        <v>107.4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108.9</v>
      </c>
      <c r="D6755" s="5">
        <v>0.1</v>
      </c>
      <c r="E6755" s="5">
        <v>109.1</v>
      </c>
      <c r="F6755" s="5">
        <v>217.6</v>
      </c>
      <c r="G6755" s="5">
        <v>108.1</v>
      </c>
      <c r="H6755" s="5">
        <v>107.9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109.7</v>
      </c>
      <c r="D6756" s="5">
        <v>0.1</v>
      </c>
      <c r="E6756" s="5">
        <v>109.9</v>
      </c>
      <c r="F6756" s="5">
        <v>217.6</v>
      </c>
      <c r="G6756" s="5">
        <v>108.1</v>
      </c>
      <c r="H6756" s="5">
        <v>107.9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109.7</v>
      </c>
      <c r="D6757" s="5">
        <v>0.1</v>
      </c>
      <c r="E6757" s="5">
        <v>109.9</v>
      </c>
      <c r="F6757" s="5">
        <v>217.5</v>
      </c>
      <c r="G6757" s="5">
        <v>108</v>
      </c>
      <c r="H6757" s="5">
        <v>107.9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109.6</v>
      </c>
      <c r="D6758" s="5">
        <v>0.1</v>
      </c>
      <c r="E6758" s="5">
        <v>109.7</v>
      </c>
      <c r="F6758" s="5">
        <v>217.5</v>
      </c>
      <c r="G6758" s="5">
        <v>108</v>
      </c>
      <c r="H6758" s="5">
        <v>107.9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109.6</v>
      </c>
      <c r="D6759" s="5">
        <v>0.1</v>
      </c>
      <c r="E6759" s="5">
        <v>109.7</v>
      </c>
      <c r="F6759" s="5">
        <v>217.5</v>
      </c>
      <c r="G6759" s="5">
        <v>108</v>
      </c>
      <c r="H6759" s="5">
        <v>107.9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109.6</v>
      </c>
      <c r="D6760" s="5">
        <v>0.1</v>
      </c>
      <c r="E6760" s="5">
        <v>109.7</v>
      </c>
      <c r="F6760" s="5">
        <v>217.5</v>
      </c>
      <c r="G6760" s="5">
        <v>108</v>
      </c>
      <c r="H6760" s="5">
        <v>107.9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108.6</v>
      </c>
      <c r="D6761" s="5">
        <v>0.1</v>
      </c>
      <c r="E6761" s="5">
        <v>108.8</v>
      </c>
      <c r="F6761" s="5">
        <v>216.3</v>
      </c>
      <c r="G6761" s="5">
        <v>107.4</v>
      </c>
      <c r="H6761" s="5">
        <v>107.2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108.6</v>
      </c>
      <c r="D6762" s="5">
        <v>0.1</v>
      </c>
      <c r="E6762" s="5">
        <v>108.8</v>
      </c>
      <c r="F6762" s="5">
        <v>216.3</v>
      </c>
      <c r="G6762" s="5">
        <v>107.4</v>
      </c>
      <c r="H6762" s="5">
        <v>107.2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108.4</v>
      </c>
      <c r="D6763" s="5">
        <v>0.1</v>
      </c>
      <c r="E6763" s="5">
        <v>108.5</v>
      </c>
      <c r="F6763" s="5">
        <v>215.5</v>
      </c>
      <c r="G6763" s="5">
        <v>107</v>
      </c>
      <c r="H6763" s="5">
        <v>106.9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108.4</v>
      </c>
      <c r="D6764" s="5">
        <v>0.1</v>
      </c>
      <c r="E6764" s="5">
        <v>108.5</v>
      </c>
      <c r="F6764" s="5">
        <v>215.5</v>
      </c>
      <c r="G6764" s="5">
        <v>107</v>
      </c>
      <c r="H6764" s="5">
        <v>106.9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108.4</v>
      </c>
      <c r="D6765" s="5">
        <v>0.1</v>
      </c>
      <c r="E6765" s="5">
        <v>108.5</v>
      </c>
      <c r="F6765" s="5">
        <v>215.3</v>
      </c>
      <c r="G6765" s="5">
        <v>107</v>
      </c>
      <c r="H6765" s="5">
        <v>106.8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108.4</v>
      </c>
      <c r="D6766" s="5">
        <v>0.1</v>
      </c>
      <c r="E6766" s="5">
        <v>108.5</v>
      </c>
      <c r="F6766" s="5">
        <v>215.3</v>
      </c>
      <c r="G6766" s="5">
        <v>107</v>
      </c>
      <c r="H6766" s="5">
        <v>106.8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108.2</v>
      </c>
      <c r="D6767" s="5">
        <v>0.1</v>
      </c>
      <c r="E6767" s="5">
        <v>108.4</v>
      </c>
      <c r="F6767" s="5">
        <v>215.1</v>
      </c>
      <c r="G6767" s="5">
        <v>106.9</v>
      </c>
      <c r="H6767" s="5">
        <v>106.7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108.2</v>
      </c>
      <c r="D6768" s="5">
        <v>0.1</v>
      </c>
      <c r="E6768" s="5">
        <v>108.4</v>
      </c>
      <c r="F6768" s="5">
        <v>215.1</v>
      </c>
      <c r="G6768" s="5">
        <v>106.9</v>
      </c>
      <c r="H6768" s="5">
        <v>106.7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108.2</v>
      </c>
      <c r="D6769" s="5">
        <v>0.1</v>
      </c>
      <c r="E6769" s="5">
        <v>108.4</v>
      </c>
      <c r="F6769" s="5">
        <v>215.1</v>
      </c>
      <c r="G6769" s="5">
        <v>106.9</v>
      </c>
      <c r="H6769" s="5">
        <v>106.7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108.2</v>
      </c>
      <c r="D6770" s="5">
        <v>0.1</v>
      </c>
      <c r="E6770" s="5">
        <v>108.4</v>
      </c>
      <c r="F6770" s="5">
        <v>215.1</v>
      </c>
      <c r="G6770" s="5">
        <v>106.9</v>
      </c>
      <c r="H6770" s="5">
        <v>106.7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108.4</v>
      </c>
      <c r="D6771" s="5">
        <v>0.1</v>
      </c>
      <c r="E6771" s="5">
        <v>108.5</v>
      </c>
      <c r="F6771" s="5">
        <v>215.1</v>
      </c>
      <c r="G6771" s="5">
        <v>106.9</v>
      </c>
      <c r="H6771" s="5">
        <v>106.7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108.4</v>
      </c>
      <c r="D6772" s="5">
        <v>0.1</v>
      </c>
      <c r="E6772" s="5">
        <v>108.5</v>
      </c>
      <c r="F6772" s="5">
        <v>215.1</v>
      </c>
      <c r="G6772" s="5">
        <v>106.9</v>
      </c>
      <c r="H6772" s="5">
        <v>106.7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108.6</v>
      </c>
      <c r="D6773" s="5">
        <v>0.1</v>
      </c>
      <c r="E6773" s="5">
        <v>108.5</v>
      </c>
      <c r="F6773" s="5">
        <v>215.1</v>
      </c>
      <c r="G6773" s="5">
        <v>106.9</v>
      </c>
      <c r="H6773" s="5">
        <v>106.7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108.6</v>
      </c>
      <c r="D6774" s="5">
        <v>0.1</v>
      </c>
      <c r="E6774" s="5">
        <v>108.8</v>
      </c>
      <c r="F6774" s="5">
        <v>216.1</v>
      </c>
      <c r="G6774" s="5">
        <v>107.4</v>
      </c>
      <c r="H6774" s="5">
        <v>107.2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108.8</v>
      </c>
      <c r="D6775" s="5">
        <v>0.1</v>
      </c>
      <c r="E6775" s="5">
        <v>108.8</v>
      </c>
      <c r="F6775" s="5">
        <v>216.1</v>
      </c>
      <c r="G6775" s="5">
        <v>107.4</v>
      </c>
      <c r="H6775" s="5">
        <v>107.2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108.8</v>
      </c>
      <c r="D6776" s="5">
        <v>0.1</v>
      </c>
      <c r="E6776" s="5">
        <v>108.9</v>
      </c>
      <c r="F6776" s="5">
        <v>216.3</v>
      </c>
      <c r="G6776" s="5">
        <v>107.5</v>
      </c>
      <c r="H6776" s="5">
        <v>107.3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108.8</v>
      </c>
      <c r="D6777" s="5">
        <v>0.1</v>
      </c>
      <c r="E6777" s="5">
        <v>108.9</v>
      </c>
      <c r="F6777" s="5">
        <v>216.3</v>
      </c>
      <c r="G6777" s="5">
        <v>107.5</v>
      </c>
      <c r="H6777" s="5">
        <v>107.3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108.5</v>
      </c>
      <c r="D6778" s="5">
        <v>0.1</v>
      </c>
      <c r="E6778" s="5">
        <v>108.7</v>
      </c>
      <c r="F6778" s="5">
        <v>215.9</v>
      </c>
      <c r="G6778" s="5">
        <v>107.2</v>
      </c>
      <c r="H6778" s="5">
        <v>107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108.5</v>
      </c>
      <c r="D6779" s="5">
        <v>0.1</v>
      </c>
      <c r="E6779" s="5">
        <v>108.7</v>
      </c>
      <c r="F6779" s="5">
        <v>215.9</v>
      </c>
      <c r="G6779" s="5">
        <v>107.2</v>
      </c>
      <c r="H6779" s="5">
        <v>107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108.5</v>
      </c>
      <c r="D6780" s="5">
        <v>0.1</v>
      </c>
      <c r="E6780" s="5">
        <v>108.7</v>
      </c>
      <c r="F6780" s="5">
        <v>215.9</v>
      </c>
      <c r="G6780" s="5">
        <v>107.2</v>
      </c>
      <c r="H6780" s="5">
        <v>107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108.5</v>
      </c>
      <c r="D6781" s="5">
        <v>0.1</v>
      </c>
      <c r="E6781" s="5">
        <v>108.7</v>
      </c>
      <c r="F6781" s="5">
        <v>216.1</v>
      </c>
      <c r="G6781" s="5">
        <v>107.3</v>
      </c>
      <c r="H6781" s="5">
        <v>107.2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108.5</v>
      </c>
      <c r="D6782" s="5">
        <v>0.1</v>
      </c>
      <c r="E6782" s="5">
        <v>108.7</v>
      </c>
      <c r="F6782" s="5">
        <v>216.1</v>
      </c>
      <c r="G6782" s="5">
        <v>107.3</v>
      </c>
      <c r="H6782" s="5">
        <v>107.2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108.5</v>
      </c>
      <c r="D6783" s="5">
        <v>0.1</v>
      </c>
      <c r="E6783" s="5">
        <v>108.8</v>
      </c>
      <c r="F6783" s="5">
        <v>216.1</v>
      </c>
      <c r="G6783" s="5">
        <v>107.4</v>
      </c>
      <c r="H6783" s="5">
        <v>107.2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108.7</v>
      </c>
      <c r="D6784" s="5">
        <v>0.1</v>
      </c>
      <c r="E6784" s="5">
        <v>108.8</v>
      </c>
      <c r="F6784" s="5">
        <v>216.1</v>
      </c>
      <c r="G6784" s="5">
        <v>107.4</v>
      </c>
      <c r="H6784" s="5">
        <v>107.2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108.7</v>
      </c>
      <c r="D6785" s="5">
        <v>0.1</v>
      </c>
      <c r="E6785" s="5">
        <v>108.8</v>
      </c>
      <c r="F6785" s="5">
        <v>216</v>
      </c>
      <c r="G6785" s="5">
        <v>107.4</v>
      </c>
      <c r="H6785" s="5">
        <v>107.2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108.7</v>
      </c>
      <c r="D6786" s="5">
        <v>0.1</v>
      </c>
      <c r="E6786" s="5">
        <v>108.8</v>
      </c>
      <c r="F6786" s="5">
        <v>216</v>
      </c>
      <c r="G6786" s="5">
        <v>107.4</v>
      </c>
      <c r="H6786" s="5">
        <v>107.2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108.7</v>
      </c>
      <c r="D6787" s="5">
        <v>0.1</v>
      </c>
      <c r="E6787" s="5">
        <v>108.8</v>
      </c>
      <c r="F6787" s="5">
        <v>216</v>
      </c>
      <c r="G6787" s="5">
        <v>106.9</v>
      </c>
      <c r="H6787" s="5">
        <v>106.8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108.1</v>
      </c>
      <c r="D6788" s="5">
        <v>0.1</v>
      </c>
      <c r="E6788" s="5">
        <v>108.3</v>
      </c>
      <c r="F6788" s="5">
        <v>215.1</v>
      </c>
      <c r="G6788" s="5">
        <v>106.9</v>
      </c>
      <c r="H6788" s="5">
        <v>106.8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108.1</v>
      </c>
      <c r="D6789" s="5">
        <v>0.1</v>
      </c>
      <c r="E6789" s="5">
        <v>108.3</v>
      </c>
      <c r="F6789" s="5">
        <v>215.1</v>
      </c>
      <c r="G6789" s="5">
        <v>106.9</v>
      </c>
      <c r="H6789" s="5">
        <v>106.8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108.1</v>
      </c>
      <c r="D6790" s="5">
        <v>0.1</v>
      </c>
      <c r="E6790" s="5">
        <v>108.3</v>
      </c>
      <c r="F6790" s="5">
        <v>215.1</v>
      </c>
      <c r="G6790" s="5">
        <v>106.9</v>
      </c>
      <c r="H6790" s="5">
        <v>106.8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101.7</v>
      </c>
      <c r="D6791" s="5">
        <v>0.1</v>
      </c>
      <c r="E6791" s="5">
        <v>101.8</v>
      </c>
      <c r="F6791" s="5">
        <v>202.5</v>
      </c>
      <c r="G6791" s="5">
        <v>100.6</v>
      </c>
      <c r="H6791" s="5">
        <v>100.4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101.7</v>
      </c>
      <c r="D6792" s="5">
        <v>0.1</v>
      </c>
      <c r="E6792" s="5">
        <v>101.8</v>
      </c>
      <c r="F6792" s="5">
        <v>202.5</v>
      </c>
      <c r="G6792" s="5">
        <v>100.6</v>
      </c>
      <c r="H6792" s="5">
        <v>100.4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102.4</v>
      </c>
      <c r="D6793" s="5">
        <v>0.1</v>
      </c>
      <c r="E6793" s="5">
        <v>102.6</v>
      </c>
      <c r="F6793" s="5">
        <v>203.2</v>
      </c>
      <c r="G6793" s="5">
        <v>101</v>
      </c>
      <c r="H6793" s="5">
        <v>100.9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102.4</v>
      </c>
      <c r="D6794" s="5">
        <v>0.1</v>
      </c>
      <c r="E6794" s="5">
        <v>102.6</v>
      </c>
      <c r="F6794" s="5">
        <v>203.2</v>
      </c>
      <c r="G6794" s="5">
        <v>101</v>
      </c>
      <c r="H6794" s="5">
        <v>100.9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107.9</v>
      </c>
      <c r="D6795" s="5">
        <v>0.1</v>
      </c>
      <c r="E6795" s="5">
        <v>108.1</v>
      </c>
      <c r="F6795" s="5">
        <v>215</v>
      </c>
      <c r="G6795" s="5">
        <v>106.9</v>
      </c>
      <c r="H6795" s="5">
        <v>106.7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107.9</v>
      </c>
      <c r="D6796" s="5">
        <v>0.1</v>
      </c>
      <c r="E6796" s="5">
        <v>108.1</v>
      </c>
      <c r="F6796" s="5">
        <v>215</v>
      </c>
      <c r="G6796" s="5">
        <v>106.9</v>
      </c>
      <c r="H6796" s="5">
        <v>106.7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108</v>
      </c>
      <c r="D6797" s="5">
        <v>0.1</v>
      </c>
      <c r="E6797" s="5">
        <v>108.1</v>
      </c>
      <c r="F6797" s="5">
        <v>214.6</v>
      </c>
      <c r="G6797" s="5">
        <v>106.3</v>
      </c>
      <c r="H6797" s="5">
        <v>105.8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108</v>
      </c>
      <c r="D6798" s="5">
        <v>0.1</v>
      </c>
      <c r="E6798" s="5">
        <v>108.1</v>
      </c>
      <c r="F6798" s="5">
        <v>214.6</v>
      </c>
      <c r="G6798" s="5">
        <v>106.3</v>
      </c>
      <c r="H6798" s="5">
        <v>105.8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108</v>
      </c>
      <c r="D6799" s="5">
        <v>0.1</v>
      </c>
      <c r="E6799" s="5">
        <v>108.1</v>
      </c>
      <c r="F6799" s="5">
        <v>214.6</v>
      </c>
      <c r="G6799" s="5">
        <v>106.3</v>
      </c>
      <c r="H6799" s="5">
        <v>105.8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108</v>
      </c>
      <c r="D6800" s="5">
        <v>0.1</v>
      </c>
      <c r="E6800" s="5">
        <v>108.1</v>
      </c>
      <c r="F6800" s="5">
        <v>214.6</v>
      </c>
      <c r="G6800" s="5">
        <v>106.3</v>
      </c>
      <c r="H6800" s="5">
        <v>105.8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107.6</v>
      </c>
      <c r="D6801" s="5">
        <v>0.1</v>
      </c>
      <c r="E6801" s="5">
        <v>107.8</v>
      </c>
      <c r="F6801" s="5">
        <v>214</v>
      </c>
      <c r="G6801" s="5">
        <v>106.4</v>
      </c>
      <c r="H6801" s="5">
        <v>106.3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107.6</v>
      </c>
      <c r="D6802" s="5">
        <v>0.1</v>
      </c>
      <c r="E6802" s="5">
        <v>107.8</v>
      </c>
      <c r="F6802" s="5">
        <v>214</v>
      </c>
      <c r="G6802" s="5">
        <v>106.4</v>
      </c>
      <c r="H6802" s="5">
        <v>106.3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108.6</v>
      </c>
      <c r="D6803" s="5">
        <v>0.1</v>
      </c>
      <c r="E6803" s="5">
        <v>108.8</v>
      </c>
      <c r="F6803" s="5">
        <v>215.9</v>
      </c>
      <c r="G6803" s="5">
        <v>107.2</v>
      </c>
      <c r="H6803" s="5">
        <v>107.1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108.6</v>
      </c>
      <c r="D6804" s="5">
        <v>0.1</v>
      </c>
      <c r="E6804" s="5">
        <v>108.8</v>
      </c>
      <c r="F6804" s="5">
        <v>215.9</v>
      </c>
      <c r="G6804" s="5">
        <v>107.2</v>
      </c>
      <c r="H6804" s="5">
        <v>107.1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108.3</v>
      </c>
      <c r="D6805" s="5">
        <v>0.1</v>
      </c>
      <c r="E6805" s="5">
        <v>108.5</v>
      </c>
      <c r="F6805" s="5">
        <v>215.5</v>
      </c>
      <c r="G6805" s="5">
        <v>107</v>
      </c>
      <c r="H6805" s="5">
        <v>106.9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108.3</v>
      </c>
      <c r="D6806" s="5">
        <v>0.1</v>
      </c>
      <c r="E6806" s="5">
        <v>108.5</v>
      </c>
      <c r="F6806" s="5">
        <v>215.5</v>
      </c>
      <c r="G6806" s="5">
        <v>107</v>
      </c>
      <c r="H6806" s="5">
        <v>106.9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108.2</v>
      </c>
      <c r="D6807" s="5">
        <v>0.1</v>
      </c>
      <c r="E6807" s="5">
        <v>108.4</v>
      </c>
      <c r="F6807" s="5">
        <v>215.4</v>
      </c>
      <c r="G6807" s="5">
        <v>107</v>
      </c>
      <c r="H6807" s="5">
        <v>106.9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108.2</v>
      </c>
      <c r="D6808" s="5">
        <v>0.1</v>
      </c>
      <c r="E6808" s="5">
        <v>108.4</v>
      </c>
      <c r="F6808" s="5">
        <v>215.4</v>
      </c>
      <c r="G6808" s="5">
        <v>107</v>
      </c>
      <c r="H6808" s="5">
        <v>106.9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108.2</v>
      </c>
      <c r="D6809" s="5">
        <v>0.1</v>
      </c>
      <c r="E6809" s="5">
        <v>108.4</v>
      </c>
      <c r="F6809" s="5">
        <v>215.4</v>
      </c>
      <c r="G6809" s="5">
        <v>107</v>
      </c>
      <c r="H6809" s="5">
        <v>106.9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108.2</v>
      </c>
      <c r="D6810" s="5">
        <v>0.1</v>
      </c>
      <c r="E6810" s="5">
        <v>108.4</v>
      </c>
      <c r="F6810" s="5">
        <v>215.4</v>
      </c>
      <c r="G6810" s="5">
        <v>107</v>
      </c>
      <c r="H6810" s="5">
        <v>106.9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102.6</v>
      </c>
      <c r="D6811" s="5">
        <v>0.1</v>
      </c>
      <c r="E6811" s="5">
        <v>102.7</v>
      </c>
      <c r="F6811" s="5">
        <v>205.3</v>
      </c>
      <c r="G6811" s="5">
        <v>101.8</v>
      </c>
      <c r="H6811" s="5">
        <v>101.5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102.6</v>
      </c>
      <c r="D6812" s="5">
        <v>0.1</v>
      </c>
      <c r="E6812" s="5">
        <v>102.7</v>
      </c>
      <c r="F6812" s="5">
        <v>205.3</v>
      </c>
      <c r="G6812" s="5">
        <v>101.8</v>
      </c>
      <c r="H6812" s="5">
        <v>101.5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102.6</v>
      </c>
      <c r="D6813" s="5">
        <v>0.1</v>
      </c>
      <c r="E6813" s="5">
        <v>102.7</v>
      </c>
      <c r="F6813" s="5">
        <v>205.3</v>
      </c>
      <c r="G6813" s="5">
        <v>101.8</v>
      </c>
      <c r="H6813" s="5">
        <v>101.5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102.6</v>
      </c>
      <c r="D6814" s="5">
        <v>0.1</v>
      </c>
      <c r="E6814" s="5">
        <v>102.7</v>
      </c>
      <c r="F6814" s="5">
        <v>205.3</v>
      </c>
      <c r="G6814" s="5">
        <v>101.8</v>
      </c>
      <c r="H6814" s="5">
        <v>101.5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109.8</v>
      </c>
      <c r="D6815" s="5">
        <v>0.1</v>
      </c>
      <c r="E6815" s="5">
        <v>110</v>
      </c>
      <c r="F6815" s="5">
        <v>218.3</v>
      </c>
      <c r="G6815" s="5">
        <v>108.4</v>
      </c>
      <c r="H6815" s="5">
        <v>108.2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109.8</v>
      </c>
      <c r="D6816" s="5">
        <v>0.1</v>
      </c>
      <c r="E6816" s="5">
        <v>110</v>
      </c>
      <c r="F6816" s="5">
        <v>218.3</v>
      </c>
      <c r="G6816" s="5">
        <v>108.4</v>
      </c>
      <c r="H6816" s="5">
        <v>108.2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109.8</v>
      </c>
      <c r="D6817" s="5">
        <v>0.1</v>
      </c>
      <c r="E6817" s="5">
        <v>110</v>
      </c>
      <c r="F6817" s="5">
        <v>218.3</v>
      </c>
      <c r="G6817" s="5">
        <v>108.4</v>
      </c>
      <c r="H6817" s="5">
        <v>108.2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109.8</v>
      </c>
      <c r="D6818" s="5">
        <v>0.1</v>
      </c>
      <c r="E6818" s="5">
        <v>110</v>
      </c>
      <c r="F6818" s="5">
        <v>218.3</v>
      </c>
      <c r="G6818" s="5">
        <v>108.4</v>
      </c>
      <c r="H6818" s="5">
        <v>108.2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109.8</v>
      </c>
      <c r="D6819" s="5">
        <v>0.1</v>
      </c>
      <c r="E6819" s="5">
        <v>110</v>
      </c>
      <c r="F6819" s="5">
        <v>218.3</v>
      </c>
      <c r="G6819" s="5">
        <v>108.4</v>
      </c>
      <c r="H6819" s="5">
        <v>108.2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109.8</v>
      </c>
      <c r="D6820" s="5">
        <v>0.1</v>
      </c>
      <c r="E6820" s="5">
        <v>110</v>
      </c>
      <c r="F6820" s="5">
        <v>218.3</v>
      </c>
      <c r="G6820" s="5">
        <v>108.4</v>
      </c>
      <c r="H6820" s="5">
        <v>108.2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109.9</v>
      </c>
      <c r="D6821" s="5">
        <v>0.1</v>
      </c>
      <c r="E6821" s="5">
        <v>110.1</v>
      </c>
      <c r="F6821" s="5">
        <v>218</v>
      </c>
      <c r="G6821" s="5">
        <v>108.2</v>
      </c>
      <c r="H6821" s="5">
        <v>108.2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109.9</v>
      </c>
      <c r="D6822" s="5">
        <v>0.1</v>
      </c>
      <c r="E6822" s="5">
        <v>110.1</v>
      </c>
      <c r="F6822" s="5">
        <v>218</v>
      </c>
      <c r="G6822" s="5">
        <v>108.2</v>
      </c>
      <c r="H6822" s="5">
        <v>108.2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108.8</v>
      </c>
      <c r="D6823" s="5">
        <v>0.1</v>
      </c>
      <c r="E6823" s="5">
        <v>109</v>
      </c>
      <c r="F6823" s="5">
        <v>215.4</v>
      </c>
      <c r="G6823" s="5">
        <v>107.1</v>
      </c>
      <c r="H6823" s="5">
        <v>106.9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108.8</v>
      </c>
      <c r="D6824" s="5">
        <v>0.1</v>
      </c>
      <c r="E6824" s="5">
        <v>109</v>
      </c>
      <c r="F6824" s="5">
        <v>215.4</v>
      </c>
      <c r="G6824" s="5">
        <v>107.1</v>
      </c>
      <c r="H6824" s="5">
        <v>106.9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106.7</v>
      </c>
      <c r="D6825" s="5">
        <v>0.1</v>
      </c>
      <c r="E6825" s="5">
        <v>106.9</v>
      </c>
      <c r="F6825" s="5">
        <v>211.6</v>
      </c>
      <c r="G6825" s="5">
        <v>105.1</v>
      </c>
      <c r="H6825" s="5">
        <v>104.9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106.7</v>
      </c>
      <c r="D6826" s="5">
        <v>0.1</v>
      </c>
      <c r="E6826" s="5">
        <v>106.9</v>
      </c>
      <c r="F6826" s="5">
        <v>211.6</v>
      </c>
      <c r="G6826" s="5">
        <v>105.1</v>
      </c>
      <c r="H6826" s="5">
        <v>104.9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108.3</v>
      </c>
      <c r="D6827" s="5">
        <v>0.1</v>
      </c>
      <c r="E6827" s="5">
        <v>108.5</v>
      </c>
      <c r="F6827" s="5">
        <v>215.4</v>
      </c>
      <c r="G6827" s="5">
        <v>107</v>
      </c>
      <c r="H6827" s="5">
        <v>106.9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108.3</v>
      </c>
      <c r="D6828" s="5">
        <v>0.1</v>
      </c>
      <c r="E6828" s="5">
        <v>108.5</v>
      </c>
      <c r="F6828" s="5">
        <v>215.4</v>
      </c>
      <c r="G6828" s="5">
        <v>107</v>
      </c>
      <c r="H6828" s="5">
        <v>106.9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108.3</v>
      </c>
      <c r="D6829" s="5">
        <v>0.1</v>
      </c>
      <c r="E6829" s="5">
        <v>108.5</v>
      </c>
      <c r="F6829" s="5">
        <v>215.4</v>
      </c>
      <c r="G6829" s="5">
        <v>107</v>
      </c>
      <c r="H6829" s="5">
        <v>106.9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108.3</v>
      </c>
      <c r="D6830" s="5">
        <v>0.1</v>
      </c>
      <c r="E6830" s="5">
        <v>108.5</v>
      </c>
      <c r="F6830" s="5">
        <v>215.4</v>
      </c>
      <c r="G6830" s="5">
        <v>107</v>
      </c>
      <c r="H6830" s="5">
        <v>106.9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107.2</v>
      </c>
      <c r="D6831" s="5">
        <v>0.1</v>
      </c>
      <c r="E6831" s="5">
        <v>107.4</v>
      </c>
      <c r="F6831" s="5">
        <v>209.5</v>
      </c>
      <c r="G6831" s="5">
        <v>103.9</v>
      </c>
      <c r="H6831" s="5">
        <v>103.8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107.2</v>
      </c>
      <c r="D6832" s="5">
        <v>0.1</v>
      </c>
      <c r="E6832" s="5">
        <v>107.4</v>
      </c>
      <c r="F6832" s="5">
        <v>209.5</v>
      </c>
      <c r="G6832" s="5">
        <v>103.9</v>
      </c>
      <c r="H6832" s="5">
        <v>103.8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101.6</v>
      </c>
      <c r="D6833" s="5">
        <v>0.1</v>
      </c>
      <c r="E6833" s="5">
        <v>101.8</v>
      </c>
      <c r="F6833" s="5">
        <v>203.3</v>
      </c>
      <c r="G6833" s="5">
        <v>101</v>
      </c>
      <c r="H6833" s="5">
        <v>100.8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101.6</v>
      </c>
      <c r="D6834" s="5">
        <v>0.1</v>
      </c>
      <c r="E6834" s="5">
        <v>101.8</v>
      </c>
      <c r="F6834" s="5">
        <v>203.3</v>
      </c>
      <c r="G6834" s="5">
        <v>101</v>
      </c>
      <c r="H6834" s="5">
        <v>100.8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108</v>
      </c>
      <c r="D6835" s="5">
        <v>0.1</v>
      </c>
      <c r="E6835" s="5">
        <v>108.1</v>
      </c>
      <c r="F6835" s="5">
        <v>215.1</v>
      </c>
      <c r="G6835" s="5">
        <v>106.9</v>
      </c>
      <c r="H6835" s="5">
        <v>106.7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108</v>
      </c>
      <c r="D6836" s="5">
        <v>0.1</v>
      </c>
      <c r="E6836" s="5">
        <v>108.1</v>
      </c>
      <c r="F6836" s="5">
        <v>215.1</v>
      </c>
      <c r="G6836" s="5">
        <v>106.9</v>
      </c>
      <c r="H6836" s="5">
        <v>106.7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108.4</v>
      </c>
      <c r="D6837" s="5">
        <v>0.1</v>
      </c>
      <c r="E6837" s="5">
        <v>108.5</v>
      </c>
      <c r="F6837" s="5">
        <v>215.8</v>
      </c>
      <c r="G6837" s="5">
        <v>107.2</v>
      </c>
      <c r="H6837" s="5">
        <v>107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108.4</v>
      </c>
      <c r="D6838" s="5">
        <v>0.1</v>
      </c>
      <c r="E6838" s="5">
        <v>108.5</v>
      </c>
      <c r="F6838" s="5">
        <v>215.8</v>
      </c>
      <c r="G6838" s="5">
        <v>107.2</v>
      </c>
      <c r="H6838" s="5">
        <v>107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108.4</v>
      </c>
      <c r="D6839" s="5">
        <v>0.1</v>
      </c>
      <c r="E6839" s="5">
        <v>108.5</v>
      </c>
      <c r="F6839" s="5">
        <v>215.8</v>
      </c>
      <c r="G6839" s="5">
        <v>107.2</v>
      </c>
      <c r="H6839" s="5">
        <v>107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108.4</v>
      </c>
      <c r="D6840" s="5">
        <v>0.1</v>
      </c>
      <c r="E6840" s="5">
        <v>108.5</v>
      </c>
      <c r="F6840" s="5">
        <v>215.8</v>
      </c>
      <c r="G6840" s="5">
        <v>107.2</v>
      </c>
      <c r="H6840" s="5">
        <v>107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108.6</v>
      </c>
      <c r="D6841" s="5">
        <v>0.1</v>
      </c>
      <c r="E6841" s="5">
        <v>108.7</v>
      </c>
      <c r="F6841" s="5">
        <v>215.5</v>
      </c>
      <c r="G6841" s="5">
        <v>107</v>
      </c>
      <c r="H6841" s="5">
        <v>106.9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108.6</v>
      </c>
      <c r="D6842" s="5">
        <v>0.1</v>
      </c>
      <c r="E6842" s="5">
        <v>108.7</v>
      </c>
      <c r="F6842" s="5">
        <v>215.5</v>
      </c>
      <c r="G6842" s="5">
        <v>107</v>
      </c>
      <c r="H6842" s="5">
        <v>106.9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109.1</v>
      </c>
      <c r="D6843" s="5">
        <v>0.1</v>
      </c>
      <c r="E6843" s="5">
        <v>109.2</v>
      </c>
      <c r="F6843" s="5">
        <v>216.5</v>
      </c>
      <c r="G6843" s="5">
        <v>107.6</v>
      </c>
      <c r="H6843" s="5">
        <v>107.4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109.1</v>
      </c>
      <c r="D6844" s="5">
        <v>0.1</v>
      </c>
      <c r="E6844" s="5">
        <v>109.2</v>
      </c>
      <c r="F6844" s="5">
        <v>216.5</v>
      </c>
      <c r="G6844" s="5">
        <v>107.6</v>
      </c>
      <c r="H6844" s="5">
        <v>107.4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102.7</v>
      </c>
      <c r="D6845" s="5">
        <v>0.1</v>
      </c>
      <c r="E6845" s="5">
        <v>102.8</v>
      </c>
      <c r="F6845" s="5">
        <v>203.8</v>
      </c>
      <c r="G6845" s="5">
        <v>101.3</v>
      </c>
      <c r="H6845" s="5">
        <v>101.3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102.7</v>
      </c>
      <c r="D6846" s="5">
        <v>0.1</v>
      </c>
      <c r="E6846" s="5">
        <v>102.8</v>
      </c>
      <c r="F6846" s="5">
        <v>203.8</v>
      </c>
      <c r="G6846" s="5">
        <v>101.3</v>
      </c>
      <c r="H6846" s="5">
        <v>101.3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108.9</v>
      </c>
      <c r="D6847" s="5">
        <v>0.1</v>
      </c>
      <c r="E6847" s="5">
        <v>109.1</v>
      </c>
      <c r="F6847" s="5">
        <v>216</v>
      </c>
      <c r="G6847" s="5">
        <v>107.3</v>
      </c>
      <c r="H6847" s="5">
        <v>107.1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108.9</v>
      </c>
      <c r="D6848" s="5">
        <v>0.1</v>
      </c>
      <c r="E6848" s="5">
        <v>109.1</v>
      </c>
      <c r="F6848" s="5">
        <v>216</v>
      </c>
      <c r="G6848" s="5">
        <v>107.3</v>
      </c>
      <c r="H6848" s="5">
        <v>107.1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108.9</v>
      </c>
      <c r="D6849" s="5">
        <v>0.1</v>
      </c>
      <c r="E6849" s="5">
        <v>109.1</v>
      </c>
      <c r="F6849" s="5">
        <v>216</v>
      </c>
      <c r="G6849" s="5">
        <v>107.3</v>
      </c>
      <c r="H6849" s="5">
        <v>107.1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108.9</v>
      </c>
      <c r="D6850" s="5">
        <v>0.1</v>
      </c>
      <c r="E6850" s="5">
        <v>109.1</v>
      </c>
      <c r="F6850" s="5">
        <v>216</v>
      </c>
      <c r="G6850" s="5">
        <v>107.3</v>
      </c>
      <c r="H6850" s="5">
        <v>107.1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102.8</v>
      </c>
      <c r="D6851" s="5">
        <v>0.1</v>
      </c>
      <c r="E6851" s="5">
        <v>103</v>
      </c>
      <c r="F6851" s="5">
        <v>205</v>
      </c>
      <c r="G6851" s="5">
        <v>101.9</v>
      </c>
      <c r="H6851" s="5">
        <v>101.8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102.8</v>
      </c>
      <c r="D6852" s="5">
        <v>0.1</v>
      </c>
      <c r="E6852" s="5">
        <v>103</v>
      </c>
      <c r="F6852" s="5">
        <v>205</v>
      </c>
      <c r="G6852" s="5">
        <v>101.9</v>
      </c>
      <c r="H6852" s="5">
        <v>101.8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109.4</v>
      </c>
      <c r="D6853" s="5">
        <v>0.1</v>
      </c>
      <c r="E6853" s="5">
        <v>109.6</v>
      </c>
      <c r="F6853" s="5">
        <v>217.1</v>
      </c>
      <c r="G6853" s="5">
        <v>107.8</v>
      </c>
      <c r="H6853" s="5">
        <v>107.6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109.4</v>
      </c>
      <c r="D6854" s="5">
        <v>0.1</v>
      </c>
      <c r="E6854" s="5">
        <v>109.6</v>
      </c>
      <c r="F6854" s="5">
        <v>217.1</v>
      </c>
      <c r="G6854" s="5">
        <v>107.8</v>
      </c>
      <c r="H6854" s="5">
        <v>107.6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102.4</v>
      </c>
      <c r="D6855" s="5">
        <v>0.1</v>
      </c>
      <c r="E6855" s="5">
        <v>102.5</v>
      </c>
      <c r="F6855" s="5">
        <v>203.8</v>
      </c>
      <c r="G6855" s="5">
        <v>101.3</v>
      </c>
      <c r="H6855" s="5">
        <v>101.2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102.4</v>
      </c>
      <c r="D6856" s="5">
        <v>0.1</v>
      </c>
      <c r="E6856" s="5">
        <v>102.5</v>
      </c>
      <c r="F6856" s="5">
        <v>203.8</v>
      </c>
      <c r="G6856" s="5">
        <v>101.3</v>
      </c>
      <c r="H6856" s="5">
        <v>101.2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109.3</v>
      </c>
      <c r="D6857" s="5">
        <v>0.1</v>
      </c>
      <c r="E6857" s="5">
        <v>109.4</v>
      </c>
      <c r="F6857" s="5">
        <v>217</v>
      </c>
      <c r="G6857" s="5">
        <v>107.8</v>
      </c>
      <c r="H6857" s="5">
        <v>107.7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109.3</v>
      </c>
      <c r="D6858" s="5">
        <v>0.1</v>
      </c>
      <c r="E6858" s="5">
        <v>109.4</v>
      </c>
      <c r="F6858" s="5">
        <v>217</v>
      </c>
      <c r="G6858" s="5">
        <v>107.8</v>
      </c>
      <c r="H6858" s="5">
        <v>107.7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109.3</v>
      </c>
      <c r="D6859" s="5">
        <v>0.1</v>
      </c>
      <c r="E6859" s="5">
        <v>109.4</v>
      </c>
      <c r="F6859" s="5">
        <v>217</v>
      </c>
      <c r="G6859" s="5">
        <v>107.8</v>
      </c>
      <c r="H6859" s="5">
        <v>107.7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109.3</v>
      </c>
      <c r="D6860" s="5">
        <v>0.1</v>
      </c>
      <c r="E6860" s="5">
        <v>109.4</v>
      </c>
      <c r="F6860" s="5">
        <v>217</v>
      </c>
      <c r="G6860" s="5">
        <v>107.8</v>
      </c>
      <c r="H6860" s="5">
        <v>107.7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108.7</v>
      </c>
      <c r="D6861" s="5">
        <v>0.1</v>
      </c>
      <c r="E6861" s="5">
        <v>108.8</v>
      </c>
      <c r="F6861" s="5">
        <v>215.4</v>
      </c>
      <c r="G6861" s="5">
        <v>107</v>
      </c>
      <c r="H6861" s="5">
        <v>106.8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108.7</v>
      </c>
      <c r="D6862" s="5">
        <v>0.1</v>
      </c>
      <c r="E6862" s="5">
        <v>108.8</v>
      </c>
      <c r="F6862" s="5">
        <v>215.4</v>
      </c>
      <c r="G6862" s="5">
        <v>107</v>
      </c>
      <c r="H6862" s="5">
        <v>106.8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109.9</v>
      </c>
      <c r="D6863" s="5">
        <v>0.1</v>
      </c>
      <c r="E6863" s="5">
        <v>110</v>
      </c>
      <c r="F6863" s="5">
        <v>218.1</v>
      </c>
      <c r="G6863" s="5">
        <v>108.3</v>
      </c>
      <c r="H6863" s="5">
        <v>108.1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109.9</v>
      </c>
      <c r="D6864" s="5">
        <v>0.1</v>
      </c>
      <c r="E6864" s="5">
        <v>110</v>
      </c>
      <c r="F6864" s="5">
        <v>218.1</v>
      </c>
      <c r="G6864" s="5">
        <v>108.3</v>
      </c>
      <c r="H6864" s="5">
        <v>108.1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109.6</v>
      </c>
      <c r="D6865" s="5">
        <v>0.1</v>
      </c>
      <c r="E6865" s="5">
        <v>109.7</v>
      </c>
      <c r="F6865" s="5">
        <v>217.5</v>
      </c>
      <c r="G6865" s="5">
        <v>108</v>
      </c>
      <c r="H6865" s="5">
        <v>107.8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109.6</v>
      </c>
      <c r="D6866" s="5">
        <v>0.1</v>
      </c>
      <c r="E6866" s="5">
        <v>109.7</v>
      </c>
      <c r="F6866" s="5">
        <v>217.5</v>
      </c>
      <c r="G6866" s="5">
        <v>108</v>
      </c>
      <c r="H6866" s="5">
        <v>107.8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109.4</v>
      </c>
      <c r="D6867" s="5">
        <v>0.1</v>
      </c>
      <c r="E6867" s="5">
        <v>109.6</v>
      </c>
      <c r="F6867" s="5">
        <v>217.6</v>
      </c>
      <c r="G6867" s="5">
        <v>108</v>
      </c>
      <c r="H6867" s="5">
        <v>107.9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109.4</v>
      </c>
      <c r="D6868" s="5">
        <v>0.1</v>
      </c>
      <c r="E6868" s="5">
        <v>109.6</v>
      </c>
      <c r="F6868" s="5">
        <v>217.6</v>
      </c>
      <c r="G6868" s="5">
        <v>108</v>
      </c>
      <c r="H6868" s="5">
        <v>107.9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109.4</v>
      </c>
      <c r="D6869" s="5">
        <v>0.1</v>
      </c>
      <c r="E6869" s="5">
        <v>109.6</v>
      </c>
      <c r="F6869" s="5">
        <v>217.6</v>
      </c>
      <c r="G6869" s="5">
        <v>108</v>
      </c>
      <c r="H6869" s="5">
        <v>107.9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109.4</v>
      </c>
      <c r="D6870" s="5">
        <v>0.1</v>
      </c>
      <c r="E6870" s="5">
        <v>109.6</v>
      </c>
      <c r="F6870" s="5">
        <v>217.6</v>
      </c>
      <c r="G6870" s="5">
        <v>108</v>
      </c>
      <c r="H6870" s="5">
        <v>105.6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105.2</v>
      </c>
      <c r="D6871" s="5">
        <v>0.1</v>
      </c>
      <c r="E6871" s="5">
        <v>105.3</v>
      </c>
      <c r="F6871" s="5">
        <v>213.4</v>
      </c>
      <c r="G6871" s="5">
        <v>105.8</v>
      </c>
      <c r="H6871" s="5">
        <v>105.6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105.2</v>
      </c>
      <c r="D6872" s="5">
        <v>0.1</v>
      </c>
      <c r="E6872" s="5">
        <v>105.3</v>
      </c>
      <c r="F6872" s="5">
        <v>213.4</v>
      </c>
      <c r="G6872" s="5">
        <v>105.8</v>
      </c>
      <c r="H6872" s="5">
        <v>105.6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109.1</v>
      </c>
      <c r="D6873" s="5">
        <v>0.1</v>
      </c>
      <c r="E6873" s="5">
        <v>109.3</v>
      </c>
      <c r="F6873" s="5">
        <v>218.3</v>
      </c>
      <c r="G6873" s="5">
        <v>108.2</v>
      </c>
      <c r="H6873" s="5">
        <v>107.6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109.1</v>
      </c>
      <c r="D6874" s="5">
        <v>0.1</v>
      </c>
      <c r="E6874" s="5">
        <v>109.3</v>
      </c>
      <c r="F6874" s="5">
        <v>218.3</v>
      </c>
      <c r="G6874" s="5">
        <v>108.2</v>
      </c>
      <c r="H6874" s="5">
        <v>107.6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109.1</v>
      </c>
      <c r="D6875" s="5">
        <v>0.1</v>
      </c>
      <c r="E6875" s="5">
        <v>109.3</v>
      </c>
      <c r="F6875" s="5">
        <v>217.9</v>
      </c>
      <c r="G6875" s="5">
        <v>108</v>
      </c>
      <c r="H6875" s="5">
        <v>107.7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109.1</v>
      </c>
      <c r="D6876" s="5">
        <v>0.1</v>
      </c>
      <c r="E6876" s="5">
        <v>109.3</v>
      </c>
      <c r="F6876" s="5">
        <v>217.9</v>
      </c>
      <c r="G6876" s="5">
        <v>108</v>
      </c>
      <c r="H6876" s="5">
        <v>107.7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102</v>
      </c>
      <c r="D6877" s="5">
        <v>0.1</v>
      </c>
      <c r="E6877" s="5">
        <v>102.1</v>
      </c>
      <c r="F6877" s="5">
        <v>206.7</v>
      </c>
      <c r="G6877" s="5">
        <v>101.9</v>
      </c>
      <c r="H6877" s="5">
        <v>101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102</v>
      </c>
      <c r="D6878" s="5">
        <v>0.1</v>
      </c>
      <c r="E6878" s="5">
        <v>102.1</v>
      </c>
      <c r="F6878" s="5">
        <v>206.7</v>
      </c>
      <c r="G6878" s="5">
        <v>101.9</v>
      </c>
      <c r="H6878" s="5">
        <v>101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102</v>
      </c>
      <c r="D6879" s="5">
        <v>0.1</v>
      </c>
      <c r="E6879" s="5">
        <v>102.1</v>
      </c>
      <c r="F6879" s="5">
        <v>206.7</v>
      </c>
      <c r="G6879" s="5">
        <v>101.9</v>
      </c>
      <c r="H6879" s="5">
        <v>101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109.1</v>
      </c>
      <c r="D6880" s="5">
        <v>0.1</v>
      </c>
      <c r="E6880" s="5">
        <v>109.3</v>
      </c>
      <c r="F6880" s="5">
        <v>217.4</v>
      </c>
      <c r="G6880" s="5">
        <v>101.9</v>
      </c>
      <c r="H6880" s="5">
        <v>101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109.1</v>
      </c>
      <c r="D6881" s="5">
        <v>0.1</v>
      </c>
      <c r="E6881" s="5">
        <v>109.3</v>
      </c>
      <c r="F6881" s="5">
        <v>217.4</v>
      </c>
      <c r="G6881" s="5">
        <v>108</v>
      </c>
      <c r="H6881" s="5">
        <v>107.8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102.7</v>
      </c>
      <c r="D6882" s="5">
        <v>0.1</v>
      </c>
      <c r="E6882" s="5">
        <v>109.3</v>
      </c>
      <c r="F6882" s="5">
        <v>217.4</v>
      </c>
      <c r="G6882" s="5">
        <v>108</v>
      </c>
      <c r="H6882" s="5">
        <v>107.8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102.7</v>
      </c>
      <c r="D6883" s="5">
        <v>0.1</v>
      </c>
      <c r="E6883" s="5">
        <v>102.9</v>
      </c>
      <c r="F6883" s="5">
        <v>203.8</v>
      </c>
      <c r="G6883" s="5">
        <v>101.2</v>
      </c>
      <c r="H6883" s="5">
        <v>101.1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107.3</v>
      </c>
      <c r="D6884" s="5">
        <v>0.1</v>
      </c>
      <c r="E6884" s="5">
        <v>102.9</v>
      </c>
      <c r="F6884" s="5">
        <v>203.8</v>
      </c>
      <c r="G6884" s="5">
        <v>101.2</v>
      </c>
      <c r="H6884" s="5">
        <v>101.1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107.3</v>
      </c>
      <c r="D6885" s="5">
        <v>0.1</v>
      </c>
      <c r="E6885" s="5">
        <v>107.5</v>
      </c>
      <c r="F6885" s="5">
        <v>214.7</v>
      </c>
      <c r="G6885" s="5">
        <v>106.6</v>
      </c>
      <c r="H6885" s="5">
        <v>106.4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108.8</v>
      </c>
      <c r="D6886" s="5">
        <v>0.1</v>
      </c>
      <c r="E6886" s="5">
        <v>107.5</v>
      </c>
      <c r="F6886" s="5">
        <v>214.7</v>
      </c>
      <c r="G6886" s="5">
        <v>106.6</v>
      </c>
      <c r="H6886" s="5">
        <v>106.4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108.8</v>
      </c>
      <c r="D6887" s="5">
        <v>0.1</v>
      </c>
      <c r="E6887" s="5">
        <v>109</v>
      </c>
      <c r="F6887" s="5">
        <v>215.6</v>
      </c>
      <c r="G6887" s="5">
        <v>107.1</v>
      </c>
      <c r="H6887" s="5">
        <v>107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108.8</v>
      </c>
      <c r="D6888" s="5">
        <v>0.1</v>
      </c>
      <c r="E6888" s="5">
        <v>109</v>
      </c>
      <c r="F6888" s="5">
        <v>215.6</v>
      </c>
      <c r="G6888" s="5">
        <v>107.1</v>
      </c>
      <c r="H6888" s="5">
        <v>107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108.8</v>
      </c>
      <c r="D6889" s="5">
        <v>0.1</v>
      </c>
      <c r="E6889" s="5">
        <v>109</v>
      </c>
      <c r="F6889" s="5">
        <v>215.6</v>
      </c>
      <c r="G6889" s="5">
        <v>107.1</v>
      </c>
      <c r="H6889" s="5">
        <v>107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108.8</v>
      </c>
      <c r="D6890" s="5">
        <v>0.1</v>
      </c>
      <c r="E6890" s="5">
        <v>109</v>
      </c>
      <c r="F6890" s="5">
        <v>215.6</v>
      </c>
      <c r="G6890" s="5">
        <v>107.1</v>
      </c>
      <c r="H6890" s="5">
        <v>107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105</v>
      </c>
      <c r="D6891" s="5">
        <v>0.1</v>
      </c>
      <c r="E6891" s="5">
        <v>105.1</v>
      </c>
      <c r="F6891" s="5">
        <v>209.5</v>
      </c>
      <c r="G6891" s="5">
        <v>104.2</v>
      </c>
      <c r="H6891" s="5">
        <v>105.4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105</v>
      </c>
      <c r="D6892" s="5">
        <v>0.1</v>
      </c>
      <c r="E6892" s="5">
        <v>105.1</v>
      </c>
      <c r="F6892" s="5">
        <v>209.5</v>
      </c>
      <c r="G6892" s="5">
        <v>104.2</v>
      </c>
      <c r="H6892" s="5">
        <v>105.4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109.8</v>
      </c>
      <c r="D6893" s="5">
        <v>0.1</v>
      </c>
      <c r="E6893" s="5">
        <v>110</v>
      </c>
      <c r="F6893" s="5">
        <v>218.5</v>
      </c>
      <c r="G6893" s="5">
        <v>108.5</v>
      </c>
      <c r="H6893" s="5">
        <v>108.4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109.8</v>
      </c>
      <c r="D6894" s="5">
        <v>0.1</v>
      </c>
      <c r="E6894" s="5">
        <v>110</v>
      </c>
      <c r="F6894" s="5">
        <v>218.5</v>
      </c>
      <c r="G6894" s="5">
        <v>108.5</v>
      </c>
      <c r="H6894" s="5">
        <v>108.4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108.5</v>
      </c>
      <c r="D6895" s="5">
        <v>0.1</v>
      </c>
      <c r="E6895" s="5">
        <v>108.7</v>
      </c>
      <c r="F6895" s="5">
        <v>215.4</v>
      </c>
      <c r="G6895" s="5">
        <v>107.2</v>
      </c>
      <c r="H6895" s="5">
        <v>107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108.5</v>
      </c>
      <c r="D6896" s="5">
        <v>0.1</v>
      </c>
      <c r="E6896" s="5">
        <v>108.7</v>
      </c>
      <c r="F6896" s="5">
        <v>215.4</v>
      </c>
      <c r="G6896" s="5">
        <v>107.2</v>
      </c>
      <c r="H6896" s="5">
        <v>107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108.1</v>
      </c>
      <c r="D6897" s="5">
        <v>0.1</v>
      </c>
      <c r="E6897" s="5">
        <v>108.3</v>
      </c>
      <c r="F6897" s="5">
        <v>215.2</v>
      </c>
      <c r="G6897" s="5">
        <v>106.9</v>
      </c>
      <c r="H6897" s="5">
        <v>106.7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108.1</v>
      </c>
      <c r="D6898" s="5">
        <v>0.1</v>
      </c>
      <c r="E6898" s="5">
        <v>108.3</v>
      </c>
      <c r="F6898" s="5">
        <v>215.2</v>
      </c>
      <c r="G6898" s="5">
        <v>106.9</v>
      </c>
      <c r="H6898" s="5">
        <v>106.7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108.1</v>
      </c>
      <c r="D6899" s="5">
        <v>0.1</v>
      </c>
      <c r="E6899" s="5">
        <v>108.3</v>
      </c>
      <c r="F6899" s="5">
        <v>215.2</v>
      </c>
      <c r="G6899" s="5">
        <v>106.9</v>
      </c>
      <c r="H6899" s="5">
        <v>106.7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108.1</v>
      </c>
      <c r="D6900" s="5">
        <v>0.1</v>
      </c>
      <c r="E6900" s="5">
        <v>108.3</v>
      </c>
      <c r="F6900" s="5">
        <v>215.2</v>
      </c>
      <c r="G6900" s="5">
        <v>106.9</v>
      </c>
      <c r="H6900" s="5">
        <v>106.7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109.1</v>
      </c>
      <c r="D6901" s="5">
        <v>0.1</v>
      </c>
      <c r="E6901" s="5">
        <v>109.3</v>
      </c>
      <c r="F6901" s="5">
        <v>216.2</v>
      </c>
      <c r="G6901" s="5">
        <v>107.5</v>
      </c>
      <c r="H6901" s="5">
        <v>107.4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109.1</v>
      </c>
      <c r="D6902" s="5">
        <v>0.1</v>
      </c>
      <c r="E6902" s="5">
        <v>109.3</v>
      </c>
      <c r="F6902" s="5">
        <v>216.2</v>
      </c>
      <c r="G6902" s="5">
        <v>107.5</v>
      </c>
      <c r="H6902" s="5">
        <v>107.4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108.5</v>
      </c>
      <c r="D6903" s="5">
        <v>0.1</v>
      </c>
      <c r="E6903" s="5">
        <v>108.6</v>
      </c>
      <c r="F6903" s="5">
        <v>215.9</v>
      </c>
      <c r="G6903" s="5">
        <v>107.3</v>
      </c>
      <c r="H6903" s="5">
        <v>107.1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108.5</v>
      </c>
      <c r="D6904" s="5">
        <v>0.1</v>
      </c>
      <c r="E6904" s="5">
        <v>108.6</v>
      </c>
      <c r="F6904" s="5">
        <v>215.9</v>
      </c>
      <c r="G6904" s="5">
        <v>107.3</v>
      </c>
      <c r="H6904" s="5">
        <v>107.1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108.2</v>
      </c>
      <c r="D6905" s="5">
        <v>0.1</v>
      </c>
      <c r="E6905" s="5">
        <v>108.4</v>
      </c>
      <c r="F6905" s="5">
        <v>215.7</v>
      </c>
      <c r="G6905" s="5">
        <v>107.2</v>
      </c>
      <c r="H6905" s="5">
        <v>107.1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108.2</v>
      </c>
      <c r="D6906" s="5">
        <v>0.1</v>
      </c>
      <c r="E6906" s="5">
        <v>108.4</v>
      </c>
      <c r="F6906" s="5">
        <v>215.7</v>
      </c>
      <c r="G6906" s="5">
        <v>107.2</v>
      </c>
      <c r="H6906" s="5">
        <v>107.1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108.8</v>
      </c>
      <c r="D6907" s="5">
        <v>0.1</v>
      </c>
      <c r="E6907" s="5">
        <v>109</v>
      </c>
      <c r="F6907" s="5">
        <v>217.1</v>
      </c>
      <c r="G6907" s="5">
        <v>107.9</v>
      </c>
      <c r="H6907" s="5">
        <v>107.8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108.8</v>
      </c>
      <c r="D6908" s="5">
        <v>0.1</v>
      </c>
      <c r="E6908" s="5">
        <v>109</v>
      </c>
      <c r="F6908" s="5">
        <v>217.1</v>
      </c>
      <c r="G6908" s="5">
        <v>107.9</v>
      </c>
      <c r="H6908" s="5">
        <v>107.8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108.8</v>
      </c>
      <c r="D6909" s="5">
        <v>0.1</v>
      </c>
      <c r="E6909" s="5">
        <v>109</v>
      </c>
      <c r="F6909" s="5">
        <v>217.1</v>
      </c>
      <c r="G6909" s="5">
        <v>107.9</v>
      </c>
      <c r="H6909" s="5">
        <v>107.8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108.8</v>
      </c>
      <c r="D6910" s="5">
        <v>0.1</v>
      </c>
      <c r="E6910" s="5">
        <v>102.9</v>
      </c>
      <c r="F6910" s="5">
        <v>205.3</v>
      </c>
      <c r="G6910" s="5">
        <v>102.2</v>
      </c>
      <c r="H6910" s="5">
        <v>102.2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102.8</v>
      </c>
      <c r="D6911" s="5">
        <v>0.1</v>
      </c>
      <c r="E6911" s="5">
        <v>102.9</v>
      </c>
      <c r="F6911" s="5">
        <v>205.3</v>
      </c>
      <c r="G6911" s="5">
        <v>102.2</v>
      </c>
      <c r="H6911" s="5">
        <v>102.2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102.8</v>
      </c>
      <c r="D6912" s="5">
        <v>0.1</v>
      </c>
      <c r="E6912" s="5">
        <v>102.9</v>
      </c>
      <c r="F6912" s="5">
        <v>218</v>
      </c>
      <c r="G6912" s="5">
        <v>108.4</v>
      </c>
      <c r="H6912" s="5">
        <v>108.2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109.5</v>
      </c>
      <c r="D6913" s="5">
        <v>0.1</v>
      </c>
      <c r="E6913" s="5">
        <v>109.7</v>
      </c>
      <c r="F6913" s="5">
        <v>218</v>
      </c>
      <c r="G6913" s="5">
        <v>108.4</v>
      </c>
      <c r="H6913" s="5">
        <v>108.2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109.5</v>
      </c>
      <c r="D6914" s="5">
        <v>0.1</v>
      </c>
      <c r="E6914" s="5">
        <v>109.7</v>
      </c>
      <c r="F6914" s="5">
        <v>207.7</v>
      </c>
      <c r="G6914" s="5">
        <v>103.2</v>
      </c>
      <c r="H6914" s="5">
        <v>102.9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103.5</v>
      </c>
      <c r="D6915" s="5">
        <v>0.1</v>
      </c>
      <c r="E6915" s="5">
        <v>103.6</v>
      </c>
      <c r="F6915" s="5">
        <v>207.7</v>
      </c>
      <c r="G6915" s="5">
        <v>103.2</v>
      </c>
      <c r="H6915" s="5">
        <v>102.9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103.5</v>
      </c>
      <c r="D6916" s="5">
        <v>0.1</v>
      </c>
      <c r="E6916" s="5">
        <v>103.6</v>
      </c>
      <c r="F6916" s="5">
        <v>207.7</v>
      </c>
      <c r="G6916" s="5">
        <v>103.2</v>
      </c>
      <c r="H6916" s="5">
        <v>100.9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101.8</v>
      </c>
      <c r="D6917" s="5">
        <v>0.1</v>
      </c>
      <c r="E6917" s="5">
        <v>102</v>
      </c>
      <c r="F6917" s="5">
        <v>203.2</v>
      </c>
      <c r="G6917" s="5">
        <v>101.1</v>
      </c>
      <c r="H6917" s="5">
        <v>100.9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101.8</v>
      </c>
      <c r="D6918" s="5">
        <v>0.1</v>
      </c>
      <c r="E6918" s="5">
        <v>102</v>
      </c>
      <c r="F6918" s="5">
        <v>203.2</v>
      </c>
      <c r="G6918" s="5">
        <v>101.1</v>
      </c>
      <c r="H6918" s="5">
        <v>100.9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101.8</v>
      </c>
      <c r="D6919" s="5">
        <v>0.1</v>
      </c>
      <c r="E6919" s="5">
        <v>102</v>
      </c>
      <c r="F6919" s="5">
        <v>203.2</v>
      </c>
      <c r="G6919" s="5">
        <v>101.1</v>
      </c>
      <c r="H6919" s="5">
        <v>100.9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108.3</v>
      </c>
      <c r="D6920" s="5">
        <v>0.1</v>
      </c>
      <c r="E6920" s="5">
        <v>108.5</v>
      </c>
      <c r="F6920" s="5">
        <v>215.1</v>
      </c>
      <c r="G6920" s="5">
        <v>106.9</v>
      </c>
      <c r="H6920" s="5">
        <v>106.8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108.3</v>
      </c>
      <c r="D6921" s="5">
        <v>0.1</v>
      </c>
      <c r="E6921" s="5">
        <v>108.5</v>
      </c>
      <c r="F6921" s="5">
        <v>215.1</v>
      </c>
      <c r="G6921" s="5">
        <v>106.9</v>
      </c>
      <c r="H6921" s="5">
        <v>106.8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102.4</v>
      </c>
      <c r="D6922" s="5">
        <v>0.1</v>
      </c>
      <c r="E6922" s="5">
        <v>102.5</v>
      </c>
      <c r="F6922" s="5">
        <v>204.5</v>
      </c>
      <c r="G6922" s="5">
        <v>101.6</v>
      </c>
      <c r="H6922" s="5">
        <v>101.4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102.4</v>
      </c>
      <c r="D6923" s="5">
        <v>0.1</v>
      </c>
      <c r="E6923" s="5">
        <v>102.5</v>
      </c>
      <c r="F6923" s="5">
        <v>204.5</v>
      </c>
      <c r="G6923" s="5">
        <v>101.6</v>
      </c>
      <c r="H6923" s="5">
        <v>101.4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104.6</v>
      </c>
      <c r="D6924" s="5">
        <v>0.1</v>
      </c>
      <c r="E6924" s="5">
        <v>104.7</v>
      </c>
      <c r="F6924" s="5">
        <v>210.5</v>
      </c>
      <c r="G6924" s="5">
        <v>104.4</v>
      </c>
      <c r="H6924" s="5">
        <v>104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104.6</v>
      </c>
      <c r="D6925" s="5">
        <v>0.1</v>
      </c>
      <c r="E6925" s="5">
        <v>104.7</v>
      </c>
      <c r="F6925" s="5">
        <v>210.5</v>
      </c>
      <c r="G6925" s="5">
        <v>104.4</v>
      </c>
      <c r="H6925" s="5">
        <v>104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109.4</v>
      </c>
      <c r="D6926" s="5">
        <v>0.1</v>
      </c>
      <c r="E6926" s="5">
        <v>109.5</v>
      </c>
      <c r="F6926" s="5">
        <v>216.7</v>
      </c>
      <c r="G6926" s="5">
        <v>107.7</v>
      </c>
      <c r="H6926" s="5">
        <v>107.6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109.4</v>
      </c>
      <c r="D6927" s="5">
        <v>0.1</v>
      </c>
      <c r="E6927" s="5">
        <v>109.5</v>
      </c>
      <c r="F6927" s="5">
        <v>216.7</v>
      </c>
      <c r="G6927" s="5">
        <v>107.7</v>
      </c>
      <c r="H6927" s="5">
        <v>107.6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109.4</v>
      </c>
      <c r="D6928" s="5">
        <v>0.1</v>
      </c>
      <c r="E6928" s="5">
        <v>109.5</v>
      </c>
      <c r="F6928" s="5">
        <v>216.7</v>
      </c>
      <c r="G6928" s="5">
        <v>107.7</v>
      </c>
      <c r="H6928" s="5">
        <v>107.6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109.4</v>
      </c>
      <c r="D6929" s="5">
        <v>0.1</v>
      </c>
      <c r="E6929" s="5">
        <v>109.5</v>
      </c>
      <c r="F6929" s="5">
        <v>216.7</v>
      </c>
      <c r="G6929" s="5">
        <v>107.7</v>
      </c>
      <c r="H6929" s="5">
        <v>107.6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109</v>
      </c>
      <c r="D6930" s="5">
        <v>0.1</v>
      </c>
      <c r="E6930" s="5">
        <v>109.1</v>
      </c>
      <c r="F6930" s="5">
        <v>216.6</v>
      </c>
      <c r="G6930" s="5">
        <v>107.8</v>
      </c>
      <c r="H6930" s="5">
        <v>107.7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109</v>
      </c>
      <c r="D6931" s="5">
        <v>0.1</v>
      </c>
      <c r="E6931" s="5">
        <v>109.1</v>
      </c>
      <c r="F6931" s="5">
        <v>216.6</v>
      </c>
      <c r="G6931" s="5">
        <v>107.8</v>
      </c>
      <c r="H6931" s="5">
        <v>107.7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109</v>
      </c>
      <c r="D6932" s="5">
        <v>0.1</v>
      </c>
      <c r="E6932" s="5">
        <v>109.1</v>
      </c>
      <c r="F6932" s="5">
        <v>217</v>
      </c>
      <c r="G6932" s="5">
        <v>107.9</v>
      </c>
      <c r="H6932" s="5">
        <v>107.7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109</v>
      </c>
      <c r="D6933" s="5">
        <v>0.1</v>
      </c>
      <c r="E6933" s="5">
        <v>109.1</v>
      </c>
      <c r="F6933" s="5">
        <v>217</v>
      </c>
      <c r="G6933" s="5">
        <v>107.9</v>
      </c>
      <c r="H6933" s="5">
        <v>107.7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108.5</v>
      </c>
      <c r="D6934" s="5">
        <v>0.1</v>
      </c>
      <c r="E6934" s="5">
        <v>108.7</v>
      </c>
      <c r="F6934" s="5">
        <v>216.2</v>
      </c>
      <c r="G6934" s="5">
        <v>107.4</v>
      </c>
      <c r="H6934" s="5">
        <v>107.2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108.5</v>
      </c>
      <c r="D6935" s="5">
        <v>0.1</v>
      </c>
      <c r="E6935" s="5">
        <v>108.7</v>
      </c>
      <c r="F6935" s="5">
        <v>216.2</v>
      </c>
      <c r="G6935" s="5">
        <v>107.4</v>
      </c>
      <c r="H6935" s="5">
        <v>107.2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108.8</v>
      </c>
      <c r="D6936" s="5">
        <v>0.1</v>
      </c>
      <c r="E6936" s="5">
        <v>108.9</v>
      </c>
      <c r="F6936" s="5">
        <v>216.6</v>
      </c>
      <c r="G6936" s="5">
        <v>107.7</v>
      </c>
      <c r="H6936" s="5">
        <v>107.6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108.8</v>
      </c>
      <c r="D6937" s="5">
        <v>0.1</v>
      </c>
      <c r="E6937" s="5">
        <v>108.9</v>
      </c>
      <c r="F6937" s="5">
        <v>216.6</v>
      </c>
      <c r="G6937" s="5">
        <v>107.7</v>
      </c>
      <c r="H6937" s="5">
        <v>107.6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108.8</v>
      </c>
      <c r="D6938" s="5">
        <v>0.1</v>
      </c>
      <c r="E6938" s="5">
        <v>108.9</v>
      </c>
      <c r="F6938" s="5">
        <v>216.6</v>
      </c>
      <c r="G6938" s="5">
        <v>107.7</v>
      </c>
      <c r="H6938" s="5">
        <v>107.6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108.8</v>
      </c>
      <c r="D6939" s="5">
        <v>0.1</v>
      </c>
      <c r="E6939" s="5">
        <v>108.9</v>
      </c>
      <c r="F6939" s="5">
        <v>216.6</v>
      </c>
      <c r="G6939" s="5">
        <v>107.7</v>
      </c>
      <c r="H6939" s="5">
        <v>107.6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108.8</v>
      </c>
      <c r="D6940" s="5">
        <v>0.1</v>
      </c>
      <c r="E6940" s="5">
        <v>108.9</v>
      </c>
      <c r="F6940" s="5">
        <v>216.6</v>
      </c>
      <c r="G6940" s="5">
        <v>107.7</v>
      </c>
      <c r="H6940" s="5">
        <v>107.6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108.8</v>
      </c>
      <c r="D6941" s="5">
        <v>0.1</v>
      </c>
      <c r="E6941" s="5">
        <v>108.9</v>
      </c>
      <c r="F6941" s="5">
        <v>216.6</v>
      </c>
      <c r="G6941" s="5">
        <v>107.7</v>
      </c>
      <c r="H6941" s="5">
        <v>107.6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109.2</v>
      </c>
      <c r="D6942" s="5">
        <v>0.1</v>
      </c>
      <c r="E6942" s="5">
        <v>109.4</v>
      </c>
      <c r="F6942" s="5">
        <v>216.6</v>
      </c>
      <c r="G6942" s="5">
        <v>107.7</v>
      </c>
      <c r="H6942" s="5">
        <v>107.6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109.2</v>
      </c>
      <c r="D6943" s="5">
        <v>0.1</v>
      </c>
      <c r="E6943" s="5">
        <v>109.4</v>
      </c>
      <c r="F6943" s="5">
        <v>216.8</v>
      </c>
      <c r="G6943" s="5">
        <v>107.8</v>
      </c>
      <c r="H6943" s="5">
        <v>107.6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109.2</v>
      </c>
      <c r="D6944" s="5">
        <v>0.1</v>
      </c>
      <c r="E6944" s="5">
        <v>109.4</v>
      </c>
      <c r="F6944" s="5">
        <v>216.8</v>
      </c>
      <c r="G6944" s="5">
        <v>107.8</v>
      </c>
      <c r="H6944" s="5">
        <v>107.6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109.4</v>
      </c>
      <c r="D6945" s="5">
        <v>0.1</v>
      </c>
      <c r="E6945" s="5">
        <v>109.5</v>
      </c>
      <c r="F6945" s="5">
        <v>217.6</v>
      </c>
      <c r="G6945" s="5">
        <v>108.2</v>
      </c>
      <c r="H6945" s="5">
        <v>108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109.4</v>
      </c>
      <c r="D6946" s="5">
        <v>0.1</v>
      </c>
      <c r="E6946" s="5">
        <v>109.5</v>
      </c>
      <c r="F6946" s="5">
        <v>217.6</v>
      </c>
      <c r="G6946" s="5">
        <v>108.2</v>
      </c>
      <c r="H6946" s="5">
        <v>108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109.4</v>
      </c>
      <c r="D6947" s="5">
        <v>0.1</v>
      </c>
      <c r="E6947" s="5">
        <v>109.5</v>
      </c>
      <c r="F6947" s="5">
        <v>217.6</v>
      </c>
      <c r="G6947" s="5">
        <v>108.2</v>
      </c>
      <c r="H6947" s="5">
        <v>108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109.4</v>
      </c>
      <c r="D6948" s="5">
        <v>0.1</v>
      </c>
      <c r="E6948" s="5">
        <v>109.5</v>
      </c>
      <c r="F6948" s="5">
        <v>217.6</v>
      </c>
      <c r="G6948" s="5">
        <v>108.2</v>
      </c>
      <c r="H6948" s="5">
        <v>108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109.4</v>
      </c>
      <c r="D6949" s="5">
        <v>0.1</v>
      </c>
      <c r="E6949" s="5">
        <v>109.5</v>
      </c>
      <c r="F6949" s="5">
        <v>217.6</v>
      </c>
      <c r="G6949" s="5">
        <v>108.2</v>
      </c>
      <c r="H6949" s="5">
        <v>108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109.1</v>
      </c>
      <c r="D6950" s="5">
        <v>0.1</v>
      </c>
      <c r="E6950" s="5">
        <v>109.3</v>
      </c>
      <c r="F6950" s="5">
        <v>216.6</v>
      </c>
      <c r="G6950" s="5">
        <v>107.6</v>
      </c>
      <c r="H6950" s="5">
        <v>107.5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109.1</v>
      </c>
      <c r="D6951" s="5">
        <v>0.1</v>
      </c>
      <c r="E6951" s="5">
        <v>109.3</v>
      </c>
      <c r="F6951" s="5">
        <v>216.6</v>
      </c>
      <c r="G6951" s="5">
        <v>107.6</v>
      </c>
      <c r="H6951" s="5">
        <v>107.5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108.8</v>
      </c>
      <c r="D6952" s="5">
        <v>0.1</v>
      </c>
      <c r="E6952" s="5">
        <v>109</v>
      </c>
      <c r="F6952" s="5">
        <v>216.2</v>
      </c>
      <c r="G6952" s="5">
        <v>107.5</v>
      </c>
      <c r="H6952" s="5">
        <v>107.4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108.8</v>
      </c>
      <c r="D6953" s="5">
        <v>0.1</v>
      </c>
      <c r="E6953" s="5">
        <v>109</v>
      </c>
      <c r="F6953" s="5">
        <v>216.2</v>
      </c>
      <c r="G6953" s="5">
        <v>107.5</v>
      </c>
      <c r="H6953" s="5">
        <v>107.4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109.2</v>
      </c>
      <c r="D6954" s="5">
        <v>0.1</v>
      </c>
      <c r="E6954" s="5">
        <v>109.4</v>
      </c>
      <c r="F6954" s="5">
        <v>217</v>
      </c>
      <c r="G6954" s="5">
        <v>107.9</v>
      </c>
      <c r="H6954" s="5">
        <v>107.7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109.2</v>
      </c>
      <c r="D6955" s="5">
        <v>0.1</v>
      </c>
      <c r="E6955" s="5">
        <v>109.4</v>
      </c>
      <c r="F6955" s="5">
        <v>217</v>
      </c>
      <c r="G6955" s="5">
        <v>107.9</v>
      </c>
      <c r="H6955" s="5">
        <v>107.7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109.7</v>
      </c>
      <c r="D6956" s="5">
        <v>0.1</v>
      </c>
      <c r="E6956" s="5">
        <v>109.9</v>
      </c>
      <c r="F6956" s="5">
        <v>218.1</v>
      </c>
      <c r="G6956" s="5">
        <v>108.4</v>
      </c>
      <c r="H6956" s="5">
        <v>108.2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109.7</v>
      </c>
      <c r="D6957" s="5">
        <v>0.1</v>
      </c>
      <c r="E6957" s="5">
        <v>109.9</v>
      </c>
      <c r="F6957" s="5">
        <v>218.1</v>
      </c>
      <c r="G6957" s="5">
        <v>108.4</v>
      </c>
      <c r="H6957" s="5">
        <v>108.2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109.7</v>
      </c>
      <c r="D6958" s="5">
        <v>0.1</v>
      </c>
      <c r="E6958" s="5">
        <v>109.9</v>
      </c>
      <c r="F6958" s="5">
        <v>218.1</v>
      </c>
      <c r="G6958" s="5">
        <v>108.4</v>
      </c>
      <c r="H6958" s="5">
        <v>108.2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109.7</v>
      </c>
      <c r="D6959" s="5">
        <v>0.1</v>
      </c>
      <c r="E6959" s="5">
        <v>109.9</v>
      </c>
      <c r="F6959" s="5">
        <v>218.1</v>
      </c>
      <c r="G6959" s="5">
        <v>108.4</v>
      </c>
      <c r="H6959" s="5">
        <v>108.2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109.4</v>
      </c>
      <c r="D6960" s="5">
        <v>0.1</v>
      </c>
      <c r="E6960" s="5">
        <v>109.5</v>
      </c>
      <c r="F6960" s="5">
        <v>217.4</v>
      </c>
      <c r="G6960" s="5">
        <v>108</v>
      </c>
      <c r="H6960" s="5">
        <v>107.8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109.4</v>
      </c>
      <c r="D6961" s="5">
        <v>0.1</v>
      </c>
      <c r="E6961" s="5">
        <v>109.5</v>
      </c>
      <c r="F6961" s="5">
        <v>217.4</v>
      </c>
      <c r="G6961" s="5">
        <v>108</v>
      </c>
      <c r="H6961" s="5">
        <v>107.8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109.1</v>
      </c>
      <c r="D6962" s="5">
        <v>0.1</v>
      </c>
      <c r="E6962" s="5">
        <v>109.3</v>
      </c>
      <c r="F6962" s="5">
        <v>217.2</v>
      </c>
      <c r="G6962" s="5">
        <v>108.1</v>
      </c>
      <c r="H6962" s="5">
        <v>107.9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109.1</v>
      </c>
      <c r="D6963" s="5">
        <v>0.1</v>
      </c>
      <c r="E6963" s="5">
        <v>109.3</v>
      </c>
      <c r="F6963" s="5">
        <v>217.2</v>
      </c>
      <c r="G6963" s="5">
        <v>108.1</v>
      </c>
      <c r="H6963" s="5">
        <v>107.9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108.6</v>
      </c>
      <c r="D6964" s="5">
        <v>0.1</v>
      </c>
      <c r="E6964" s="5">
        <v>108.8</v>
      </c>
      <c r="F6964" s="5">
        <v>216.4</v>
      </c>
      <c r="G6964" s="5">
        <v>107.6</v>
      </c>
      <c r="H6964" s="5">
        <v>107.4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108.6</v>
      </c>
      <c r="D6965" s="5">
        <v>0.1</v>
      </c>
      <c r="E6965" s="5">
        <v>108.8</v>
      </c>
      <c r="F6965" s="5">
        <v>216.4</v>
      </c>
      <c r="G6965" s="5">
        <v>107.6</v>
      </c>
      <c r="H6965" s="5">
        <v>107.4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109.1</v>
      </c>
      <c r="D6966" s="5">
        <v>0.1</v>
      </c>
      <c r="E6966" s="5">
        <v>109.3</v>
      </c>
      <c r="F6966" s="5">
        <v>217.1</v>
      </c>
      <c r="G6966" s="5">
        <v>108</v>
      </c>
      <c r="H6966" s="5">
        <v>107.8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109.1</v>
      </c>
      <c r="D6967" s="5">
        <v>0.1</v>
      </c>
      <c r="E6967" s="5">
        <v>109.3</v>
      </c>
      <c r="F6967" s="5">
        <v>217.1</v>
      </c>
      <c r="G6967" s="5">
        <v>108</v>
      </c>
      <c r="H6967" s="5">
        <v>107.8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109.1</v>
      </c>
      <c r="D6968" s="5">
        <v>0.1</v>
      </c>
      <c r="E6968" s="5">
        <v>109.3</v>
      </c>
      <c r="F6968" s="5">
        <v>217.1</v>
      </c>
      <c r="G6968" s="5">
        <v>108</v>
      </c>
      <c r="H6968" s="5">
        <v>107.8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109.1</v>
      </c>
      <c r="D6969" s="5">
        <v>0.1</v>
      </c>
      <c r="E6969" s="5">
        <v>109.3</v>
      </c>
      <c r="F6969" s="5">
        <v>217.1</v>
      </c>
      <c r="G6969" s="5">
        <v>108</v>
      </c>
      <c r="H6969" s="5">
        <v>107.8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109.3</v>
      </c>
      <c r="D6970" s="5">
        <v>0.1</v>
      </c>
      <c r="E6970" s="5">
        <v>109.4</v>
      </c>
      <c r="F6970" s="5">
        <v>217.3</v>
      </c>
      <c r="G6970" s="5">
        <v>108</v>
      </c>
      <c r="H6970" s="5">
        <v>107.8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109.3</v>
      </c>
      <c r="D6971" s="5">
        <v>0.1</v>
      </c>
      <c r="E6971" s="5">
        <v>109.4</v>
      </c>
      <c r="F6971" s="5">
        <v>217.3</v>
      </c>
      <c r="G6971" s="5">
        <v>108</v>
      </c>
      <c r="H6971" s="5">
        <v>107.8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109.8</v>
      </c>
      <c r="D6972" s="5">
        <v>0.1</v>
      </c>
      <c r="E6972" s="5">
        <v>110</v>
      </c>
      <c r="F6972" s="5">
        <v>218.1</v>
      </c>
      <c r="G6972" s="5">
        <v>108.5</v>
      </c>
      <c r="H6972" s="5">
        <v>108.3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109.8</v>
      </c>
      <c r="D6973" s="5">
        <v>0.1</v>
      </c>
      <c r="E6973" s="5">
        <v>110</v>
      </c>
      <c r="F6973" s="5">
        <v>218.1</v>
      </c>
      <c r="G6973" s="5">
        <v>108.5</v>
      </c>
      <c r="H6973" s="5">
        <v>108.3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109.4</v>
      </c>
      <c r="D6974" s="5">
        <v>0.1</v>
      </c>
      <c r="E6974" s="5">
        <v>109.5</v>
      </c>
      <c r="F6974" s="5">
        <v>217.7</v>
      </c>
      <c r="G6974" s="5">
        <v>108.2</v>
      </c>
      <c r="H6974" s="5">
        <v>108.1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109.4</v>
      </c>
      <c r="D6975" s="5">
        <v>0.1</v>
      </c>
      <c r="E6975" s="5">
        <v>109.5</v>
      </c>
      <c r="F6975" s="5">
        <v>217.7</v>
      </c>
      <c r="G6975" s="5">
        <v>108.2</v>
      </c>
      <c r="H6975" s="5">
        <v>108.1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109.4</v>
      </c>
      <c r="D6976" s="5">
        <v>0.1</v>
      </c>
      <c r="E6976" s="5">
        <v>109.5</v>
      </c>
      <c r="F6976" s="5">
        <v>218</v>
      </c>
      <c r="G6976" s="5">
        <v>108.4</v>
      </c>
      <c r="H6976" s="5">
        <v>108.3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109.4</v>
      </c>
      <c r="D6977" s="5">
        <v>0.1</v>
      </c>
      <c r="E6977" s="5">
        <v>109.5</v>
      </c>
      <c r="F6977" s="5">
        <v>218</v>
      </c>
      <c r="G6977" s="5">
        <v>108.4</v>
      </c>
      <c r="H6977" s="5">
        <v>108.3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109.4</v>
      </c>
      <c r="D6978" s="5">
        <v>0.1</v>
      </c>
      <c r="E6978" s="5">
        <v>109.5</v>
      </c>
      <c r="F6978" s="5">
        <v>218</v>
      </c>
      <c r="G6978" s="5">
        <v>108.4</v>
      </c>
      <c r="H6978" s="5">
        <v>108.3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109.4</v>
      </c>
      <c r="D6979" s="5">
        <v>0.1</v>
      </c>
      <c r="E6979" s="5">
        <v>109.5</v>
      </c>
      <c r="F6979" s="5">
        <v>218</v>
      </c>
      <c r="G6979" s="5">
        <v>108.4</v>
      </c>
      <c r="H6979" s="5">
        <v>108.3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109.1</v>
      </c>
      <c r="D6980" s="5">
        <v>0.1</v>
      </c>
      <c r="E6980" s="5">
        <v>109.3</v>
      </c>
      <c r="F6980" s="5">
        <v>217.4</v>
      </c>
      <c r="G6980" s="5">
        <v>108.1</v>
      </c>
      <c r="H6980" s="5">
        <v>108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109.1</v>
      </c>
      <c r="D6981" s="5">
        <v>0.1</v>
      </c>
      <c r="E6981" s="5">
        <v>109.3</v>
      </c>
      <c r="F6981" s="5">
        <v>217.4</v>
      </c>
      <c r="G6981" s="5">
        <v>108.1</v>
      </c>
      <c r="H6981" s="5">
        <v>108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109.7</v>
      </c>
      <c r="D6982" s="5">
        <v>0.1</v>
      </c>
      <c r="E6982" s="5">
        <v>109.9</v>
      </c>
      <c r="F6982" s="5">
        <v>218.1</v>
      </c>
      <c r="G6982" s="5">
        <v>108.4</v>
      </c>
      <c r="H6982" s="5">
        <v>108.2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109.7</v>
      </c>
      <c r="D6983" s="5">
        <v>0.1</v>
      </c>
      <c r="E6983" s="5">
        <v>109.9</v>
      </c>
      <c r="F6983" s="5">
        <v>218.1</v>
      </c>
      <c r="G6983" s="5">
        <v>108.4</v>
      </c>
      <c r="H6983" s="5">
        <v>108.2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109.4</v>
      </c>
      <c r="D6984" s="5">
        <v>0.1</v>
      </c>
      <c r="E6984" s="5">
        <v>109.4</v>
      </c>
      <c r="F6984" s="5">
        <v>217.6</v>
      </c>
      <c r="G6984" s="5">
        <v>108.2</v>
      </c>
      <c r="H6984" s="5">
        <v>108.1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109.4</v>
      </c>
      <c r="D6985" s="5">
        <v>0.1</v>
      </c>
      <c r="E6985" s="5">
        <v>109.4</v>
      </c>
      <c r="F6985" s="5">
        <v>217.6</v>
      </c>
      <c r="G6985" s="5">
        <v>108.2</v>
      </c>
      <c r="H6985" s="5">
        <v>108.1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109.4</v>
      </c>
      <c r="D6986" s="5">
        <v>0.1</v>
      </c>
      <c r="E6986" s="5">
        <v>109.6</v>
      </c>
      <c r="F6986" s="5">
        <v>218</v>
      </c>
      <c r="G6986" s="5">
        <v>108.4</v>
      </c>
      <c r="H6986" s="5">
        <v>108.2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109.4</v>
      </c>
      <c r="D6987" s="5">
        <v>0.1</v>
      </c>
      <c r="E6987" s="5">
        <v>109.6</v>
      </c>
      <c r="F6987" s="5">
        <v>218</v>
      </c>
      <c r="G6987" s="5">
        <v>108.4</v>
      </c>
      <c r="H6987" s="5">
        <v>108.2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109.4</v>
      </c>
      <c r="D6988" s="5">
        <v>0.1</v>
      </c>
      <c r="E6988" s="5">
        <v>109.6</v>
      </c>
      <c r="F6988" s="5">
        <v>218</v>
      </c>
      <c r="G6988" s="5">
        <v>108.4</v>
      </c>
      <c r="H6988" s="5">
        <v>108.2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109.4</v>
      </c>
      <c r="D6989" s="5">
        <v>0.1</v>
      </c>
      <c r="E6989" s="5">
        <v>109.6</v>
      </c>
      <c r="F6989" s="5">
        <v>218</v>
      </c>
      <c r="G6989" s="5">
        <v>108.4</v>
      </c>
      <c r="H6989" s="5">
        <v>108.2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109.5</v>
      </c>
      <c r="D6990" s="5">
        <v>0.1</v>
      </c>
      <c r="E6990" s="5">
        <v>109.7</v>
      </c>
      <c r="F6990" s="5">
        <v>218.1</v>
      </c>
      <c r="G6990" s="5">
        <v>108.3</v>
      </c>
      <c r="H6990" s="5">
        <v>108.1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109.5</v>
      </c>
      <c r="D6991" s="5">
        <v>0.1</v>
      </c>
      <c r="E6991" s="5">
        <v>109.7</v>
      </c>
      <c r="F6991" s="5">
        <v>218.1</v>
      </c>
      <c r="G6991" s="5">
        <v>108.3</v>
      </c>
      <c r="H6991" s="5">
        <v>108.1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109.4</v>
      </c>
      <c r="D6992" s="5">
        <v>0.1</v>
      </c>
      <c r="E6992" s="5">
        <v>109.5</v>
      </c>
      <c r="F6992" s="5">
        <v>217.8</v>
      </c>
      <c r="G6992" s="5">
        <v>108.3</v>
      </c>
      <c r="H6992" s="5">
        <v>108.1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109.4</v>
      </c>
      <c r="D6993" s="5">
        <v>0.1</v>
      </c>
      <c r="E6993" s="5">
        <v>109.5</v>
      </c>
      <c r="F6993" s="5">
        <v>217.8</v>
      </c>
      <c r="G6993" s="5">
        <v>108.3</v>
      </c>
      <c r="H6993" s="5">
        <v>108.1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109.1</v>
      </c>
      <c r="D6994" s="5">
        <v>0.1</v>
      </c>
      <c r="E6994" s="5">
        <v>109.2</v>
      </c>
      <c r="F6994" s="5">
        <v>216.4</v>
      </c>
      <c r="G6994" s="5">
        <v>107.6</v>
      </c>
      <c r="H6994" s="5">
        <v>107.4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109.1</v>
      </c>
      <c r="D6995" s="5">
        <v>0.1</v>
      </c>
      <c r="E6995" s="5">
        <v>109.2</v>
      </c>
      <c r="F6995" s="5">
        <v>216.4</v>
      </c>
      <c r="G6995" s="5">
        <v>107.6</v>
      </c>
      <c r="H6995" s="5">
        <v>107.4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108.6</v>
      </c>
      <c r="D6996" s="5">
        <v>0.1</v>
      </c>
      <c r="E6996" s="5">
        <v>108.8</v>
      </c>
      <c r="F6996" s="5">
        <v>216.3</v>
      </c>
      <c r="G6996" s="5">
        <v>107.6</v>
      </c>
      <c r="H6996" s="5">
        <v>107.5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108.6</v>
      </c>
      <c r="D6997" s="5">
        <v>0.1</v>
      </c>
      <c r="E6997" s="5">
        <v>108.8</v>
      </c>
      <c r="F6997" s="5">
        <v>216.3</v>
      </c>
      <c r="G6997" s="5">
        <v>107.6</v>
      </c>
      <c r="H6997" s="5">
        <v>107.5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108.6</v>
      </c>
      <c r="D6998" s="5">
        <v>0.1</v>
      </c>
      <c r="E6998" s="5">
        <v>108.8</v>
      </c>
      <c r="F6998" s="5">
        <v>216.3</v>
      </c>
      <c r="G6998" s="5">
        <v>107.6</v>
      </c>
      <c r="H6998" s="5">
        <v>107.5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108.6</v>
      </c>
      <c r="D6999" s="5">
        <v>0.1</v>
      </c>
      <c r="E6999" s="5">
        <v>108.8</v>
      </c>
      <c r="F6999" s="5">
        <v>216.3</v>
      </c>
      <c r="G6999" s="5">
        <v>107.6</v>
      </c>
      <c r="H6999" s="5">
        <v>107.5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108.8</v>
      </c>
      <c r="D7000" s="5">
        <v>0.1</v>
      </c>
      <c r="E7000" s="5">
        <v>109</v>
      </c>
      <c r="F7000" s="5">
        <v>216.6</v>
      </c>
      <c r="G7000" s="5">
        <v>107.6</v>
      </c>
      <c r="H7000" s="5">
        <v>107.5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108.8</v>
      </c>
      <c r="D7001" s="5">
        <v>0.1</v>
      </c>
      <c r="E7001" s="5">
        <v>109</v>
      </c>
      <c r="F7001" s="5">
        <v>216.6</v>
      </c>
      <c r="G7001" s="5">
        <v>107.6</v>
      </c>
      <c r="H7001" s="5">
        <v>107.5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108.8</v>
      </c>
      <c r="D7002" s="5">
        <v>0.1</v>
      </c>
      <c r="E7002" s="5">
        <v>108.9</v>
      </c>
      <c r="F7002" s="5">
        <v>216.7</v>
      </c>
      <c r="G7002" s="5">
        <v>107.7</v>
      </c>
      <c r="H7002" s="5">
        <v>107.6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108.8</v>
      </c>
      <c r="D7003" s="5">
        <v>0.1</v>
      </c>
      <c r="E7003" s="5">
        <v>108.9</v>
      </c>
      <c r="F7003" s="5">
        <v>216.7</v>
      </c>
      <c r="G7003" s="5">
        <v>107.7</v>
      </c>
      <c r="H7003" s="5">
        <v>107.6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109.2</v>
      </c>
      <c r="D7004" s="5">
        <v>0.1</v>
      </c>
      <c r="E7004" s="5">
        <v>109.4</v>
      </c>
      <c r="F7004" s="5">
        <v>217.1</v>
      </c>
      <c r="G7004" s="5">
        <v>107.9</v>
      </c>
      <c r="H7004" s="5">
        <v>107.8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109.2</v>
      </c>
      <c r="D7005" s="5">
        <v>0.1</v>
      </c>
      <c r="E7005" s="5">
        <v>109.4</v>
      </c>
      <c r="F7005" s="5">
        <v>217.1</v>
      </c>
      <c r="G7005" s="5">
        <v>107.9</v>
      </c>
      <c r="H7005" s="5">
        <v>107.8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109.2</v>
      </c>
      <c r="D7006" s="5">
        <v>0.1</v>
      </c>
      <c r="E7006" s="5">
        <v>109.4</v>
      </c>
      <c r="F7006" s="5">
        <v>217</v>
      </c>
      <c r="G7006" s="5">
        <v>107.8</v>
      </c>
      <c r="H7006" s="5">
        <v>107.7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109.2</v>
      </c>
      <c r="D7007" s="5">
        <v>0.1</v>
      </c>
      <c r="E7007" s="5">
        <v>109.4</v>
      </c>
      <c r="F7007" s="5">
        <v>217</v>
      </c>
      <c r="G7007" s="5">
        <v>107.8</v>
      </c>
      <c r="H7007" s="5">
        <v>107.7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109.2</v>
      </c>
      <c r="D7008" s="5">
        <v>0.1</v>
      </c>
      <c r="E7008" s="5">
        <v>109.4</v>
      </c>
      <c r="F7008" s="5">
        <v>217</v>
      </c>
      <c r="G7008" s="5">
        <v>107.8</v>
      </c>
      <c r="H7008" s="5">
        <v>107.7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109.2</v>
      </c>
      <c r="D7009" s="5">
        <v>0.1</v>
      </c>
      <c r="E7009" s="5">
        <v>109.4</v>
      </c>
      <c r="F7009" s="5">
        <v>217</v>
      </c>
      <c r="G7009" s="5">
        <v>107.8</v>
      </c>
      <c r="H7009" s="5">
        <v>107.7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109.1</v>
      </c>
      <c r="D7010" s="5">
        <v>0.1</v>
      </c>
      <c r="E7010" s="5">
        <v>109.2</v>
      </c>
      <c r="F7010" s="5">
        <v>216.9</v>
      </c>
      <c r="G7010" s="5">
        <v>107.8</v>
      </c>
      <c r="H7010" s="5">
        <v>107.5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109.1</v>
      </c>
      <c r="D7011" s="5">
        <v>0.1</v>
      </c>
      <c r="E7011" s="5">
        <v>109.2</v>
      </c>
      <c r="F7011" s="5">
        <v>216.9</v>
      </c>
      <c r="G7011" s="5">
        <v>107.8</v>
      </c>
      <c r="H7011" s="5">
        <v>107.5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109.1</v>
      </c>
      <c r="D7012" s="5">
        <v>0.1</v>
      </c>
      <c r="E7012" s="5">
        <v>109.3</v>
      </c>
      <c r="F7012" s="5">
        <v>216.6</v>
      </c>
      <c r="G7012" s="5">
        <v>107.7</v>
      </c>
      <c r="H7012" s="5">
        <v>107.5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109.1</v>
      </c>
      <c r="D7013" s="5">
        <v>0.1</v>
      </c>
      <c r="E7013" s="5">
        <v>109.3</v>
      </c>
      <c r="F7013" s="5">
        <v>216.6</v>
      </c>
      <c r="G7013" s="5">
        <v>107.7</v>
      </c>
      <c r="H7013" s="5">
        <v>107.5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108.8</v>
      </c>
      <c r="D7014" s="5">
        <v>0.1</v>
      </c>
      <c r="E7014" s="5">
        <v>108.9</v>
      </c>
      <c r="F7014" s="5">
        <v>216.6</v>
      </c>
      <c r="G7014" s="5">
        <v>107.7</v>
      </c>
      <c r="H7014" s="5">
        <v>107.5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108.8</v>
      </c>
      <c r="D7015" s="5">
        <v>0.1</v>
      </c>
      <c r="E7015" s="5">
        <v>108.9</v>
      </c>
      <c r="F7015" s="5">
        <v>216.6</v>
      </c>
      <c r="G7015" s="5">
        <v>107.7</v>
      </c>
      <c r="H7015" s="5">
        <v>107.5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108.5</v>
      </c>
      <c r="D7016" s="5">
        <v>0.1</v>
      </c>
      <c r="E7016" s="5">
        <v>108.6</v>
      </c>
      <c r="F7016" s="5">
        <v>216.1</v>
      </c>
      <c r="G7016" s="5">
        <v>107.4</v>
      </c>
      <c r="H7016" s="5">
        <v>107.3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108.5</v>
      </c>
      <c r="D7017" s="5">
        <v>0.1</v>
      </c>
      <c r="E7017" s="5">
        <v>108.6</v>
      </c>
      <c r="F7017" s="5">
        <v>216.1</v>
      </c>
      <c r="G7017" s="5">
        <v>107.4</v>
      </c>
      <c r="H7017" s="5">
        <v>107.3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108.5</v>
      </c>
      <c r="D7018" s="5">
        <v>0.1</v>
      </c>
      <c r="E7018" s="5">
        <v>108.6</v>
      </c>
      <c r="F7018" s="5">
        <v>216.1</v>
      </c>
      <c r="G7018" s="5">
        <v>107.4</v>
      </c>
      <c r="H7018" s="5">
        <v>107.3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108.5</v>
      </c>
      <c r="D7019" s="5">
        <v>0.1</v>
      </c>
      <c r="E7019" s="5">
        <v>108.6</v>
      </c>
      <c r="F7019" s="5">
        <v>216.1</v>
      </c>
      <c r="G7019" s="5">
        <v>107.4</v>
      </c>
      <c r="H7019" s="5">
        <v>107.3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108.7</v>
      </c>
      <c r="D7020" s="5">
        <v>0.1</v>
      </c>
      <c r="E7020" s="5">
        <v>108.8</v>
      </c>
      <c r="F7020" s="5">
        <v>216.5</v>
      </c>
      <c r="G7020" s="5">
        <v>107.6</v>
      </c>
      <c r="H7020" s="5">
        <v>107.5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108.7</v>
      </c>
      <c r="D7021" s="5">
        <v>0.1</v>
      </c>
      <c r="E7021" s="5">
        <v>108.8</v>
      </c>
      <c r="F7021" s="5">
        <v>216.5</v>
      </c>
      <c r="G7021" s="5">
        <v>107.6</v>
      </c>
      <c r="H7021" s="5">
        <v>107.5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109.1</v>
      </c>
      <c r="D7022" s="5">
        <v>0.1</v>
      </c>
      <c r="E7022" s="5">
        <v>109.2</v>
      </c>
      <c r="F7022" s="5">
        <v>216.8</v>
      </c>
      <c r="G7022" s="5">
        <v>107.8</v>
      </c>
      <c r="H7022" s="5">
        <v>107.6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109.1</v>
      </c>
      <c r="D7023" s="5">
        <v>0.1</v>
      </c>
      <c r="E7023" s="5">
        <v>109.2</v>
      </c>
      <c r="F7023" s="5">
        <v>216.8</v>
      </c>
      <c r="G7023" s="5">
        <v>107.8</v>
      </c>
      <c r="H7023" s="5">
        <v>107.6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108.8</v>
      </c>
      <c r="D7024" s="5">
        <v>0.1</v>
      </c>
      <c r="E7024" s="5">
        <v>109</v>
      </c>
      <c r="F7024" s="5">
        <v>215.9</v>
      </c>
      <c r="G7024" s="5">
        <v>107.3</v>
      </c>
      <c r="H7024" s="5">
        <v>107.1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108.8</v>
      </c>
      <c r="D7025" s="5">
        <v>0.1</v>
      </c>
      <c r="E7025" s="5">
        <v>109</v>
      </c>
      <c r="F7025" s="5">
        <v>215.9</v>
      </c>
      <c r="G7025" s="5">
        <v>107.3</v>
      </c>
      <c r="H7025" s="5">
        <v>107.1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108.1</v>
      </c>
      <c r="D7026" s="5">
        <v>0.1</v>
      </c>
      <c r="E7026" s="5">
        <v>108.3</v>
      </c>
      <c r="F7026" s="5">
        <v>215.8</v>
      </c>
      <c r="G7026" s="5">
        <v>107.2</v>
      </c>
      <c r="H7026" s="5">
        <v>107.1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108.1</v>
      </c>
      <c r="D7027" s="5">
        <v>0.1</v>
      </c>
      <c r="E7027" s="5">
        <v>108.3</v>
      </c>
      <c r="F7027" s="5">
        <v>215.8</v>
      </c>
      <c r="G7027" s="5">
        <v>107.2</v>
      </c>
      <c r="H7027" s="5">
        <v>107.1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108.1</v>
      </c>
      <c r="D7028" s="5">
        <v>0.1</v>
      </c>
      <c r="E7028" s="5">
        <v>108.3</v>
      </c>
      <c r="F7028" s="5">
        <v>215.8</v>
      </c>
      <c r="G7028" s="5">
        <v>107.2</v>
      </c>
      <c r="H7028" s="5">
        <v>107.1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108.1</v>
      </c>
      <c r="D7029" s="5">
        <v>0.1</v>
      </c>
      <c r="E7029" s="5">
        <v>109.1</v>
      </c>
      <c r="F7029" s="5">
        <v>217.1</v>
      </c>
      <c r="G7029" s="5">
        <v>108</v>
      </c>
      <c r="H7029" s="5">
        <v>107.9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108.9</v>
      </c>
      <c r="D7030" s="5">
        <v>0.1</v>
      </c>
      <c r="E7030" s="5">
        <v>109.1</v>
      </c>
      <c r="F7030" s="5">
        <v>217.1</v>
      </c>
      <c r="G7030" s="5">
        <v>108</v>
      </c>
      <c r="H7030" s="5">
        <v>107.9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108.9</v>
      </c>
      <c r="D7031" s="5">
        <v>0.1</v>
      </c>
      <c r="E7031" s="5">
        <v>109.1</v>
      </c>
      <c r="F7031" s="5">
        <v>216.5</v>
      </c>
      <c r="G7031" s="5">
        <v>107.6</v>
      </c>
      <c r="H7031" s="5">
        <v>107.5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108.7</v>
      </c>
      <c r="D7032" s="5">
        <v>0.1</v>
      </c>
      <c r="E7032" s="5">
        <v>108.8</v>
      </c>
      <c r="F7032" s="5">
        <v>216.5</v>
      </c>
      <c r="G7032" s="5">
        <v>107.6</v>
      </c>
      <c r="H7032" s="5">
        <v>107.5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108.7</v>
      </c>
      <c r="D7033" s="5">
        <v>0.1</v>
      </c>
      <c r="E7033" s="5">
        <v>108.8</v>
      </c>
      <c r="F7033" s="5">
        <v>216.5</v>
      </c>
      <c r="G7033" s="5">
        <v>107.7</v>
      </c>
      <c r="H7033" s="5">
        <v>107.5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108.9</v>
      </c>
      <c r="D7034" s="5">
        <v>0.1</v>
      </c>
      <c r="E7034" s="5">
        <v>109.1</v>
      </c>
      <c r="F7034" s="5">
        <v>216.5</v>
      </c>
      <c r="G7034" s="5">
        <v>107.7</v>
      </c>
      <c r="H7034" s="5">
        <v>107.5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108.9</v>
      </c>
      <c r="D7035" s="5">
        <v>0.1</v>
      </c>
      <c r="E7035" s="5">
        <v>109.1</v>
      </c>
      <c r="F7035" s="5">
        <v>216.5</v>
      </c>
      <c r="G7035" s="5">
        <v>107.7</v>
      </c>
      <c r="H7035" s="5">
        <v>107.5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108.6</v>
      </c>
      <c r="D7036" s="5">
        <v>0.1</v>
      </c>
      <c r="E7036" s="5">
        <v>108.8</v>
      </c>
      <c r="F7036" s="5">
        <v>216.3</v>
      </c>
      <c r="G7036" s="5">
        <v>107.5</v>
      </c>
      <c r="H7036" s="5">
        <v>107.4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108.6</v>
      </c>
      <c r="D7037" s="5">
        <v>0.1</v>
      </c>
      <c r="E7037" s="5">
        <v>108.8</v>
      </c>
      <c r="F7037" s="5">
        <v>216.3</v>
      </c>
      <c r="G7037" s="5">
        <v>107.5</v>
      </c>
      <c r="H7037" s="5">
        <v>107.4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108.6</v>
      </c>
      <c r="D7038" s="5">
        <v>0.1</v>
      </c>
      <c r="E7038" s="5">
        <v>108.8</v>
      </c>
      <c r="F7038" s="5">
        <v>216.3</v>
      </c>
      <c r="G7038" s="5">
        <v>107.5</v>
      </c>
      <c r="H7038" s="5">
        <v>107.4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108.9</v>
      </c>
      <c r="D7039" s="5">
        <v>0.1</v>
      </c>
      <c r="E7039" s="5">
        <v>108.8</v>
      </c>
      <c r="F7039" s="5">
        <v>216.3</v>
      </c>
      <c r="G7039" s="5">
        <v>107.5</v>
      </c>
      <c r="H7039" s="5">
        <v>107.4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108.9</v>
      </c>
      <c r="D7040" s="5">
        <v>0.1</v>
      </c>
      <c r="E7040" s="5">
        <v>109.1</v>
      </c>
      <c r="F7040" s="5">
        <v>216.6</v>
      </c>
      <c r="G7040" s="5">
        <v>107.7</v>
      </c>
      <c r="H7040" s="5">
        <v>107.5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108.9</v>
      </c>
      <c r="D7041" s="5">
        <v>0.1</v>
      </c>
      <c r="E7041" s="5">
        <v>109.1</v>
      </c>
      <c r="F7041" s="5">
        <v>216.6</v>
      </c>
      <c r="G7041" s="5">
        <v>107.7</v>
      </c>
      <c r="H7041" s="5">
        <v>107.5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109.1</v>
      </c>
      <c r="D7042" s="5">
        <v>0.1</v>
      </c>
      <c r="E7042" s="5">
        <v>109.2</v>
      </c>
      <c r="F7042" s="5">
        <v>216.9</v>
      </c>
      <c r="G7042" s="5">
        <v>107.8</v>
      </c>
      <c r="H7042" s="5">
        <v>107.6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109.1</v>
      </c>
      <c r="D7043" s="5">
        <v>0.1</v>
      </c>
      <c r="E7043" s="5">
        <v>109.2</v>
      </c>
      <c r="F7043" s="5">
        <v>216.9</v>
      </c>
      <c r="G7043" s="5">
        <v>107.8</v>
      </c>
      <c r="H7043" s="5">
        <v>107.6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108.5</v>
      </c>
      <c r="D7044" s="5">
        <v>0.1</v>
      </c>
      <c r="E7044" s="5">
        <v>108.6</v>
      </c>
      <c r="F7044" s="5">
        <v>215.5</v>
      </c>
      <c r="G7044" s="5">
        <v>107.5</v>
      </c>
      <c r="H7044" s="5">
        <v>107.4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108.5</v>
      </c>
      <c r="D7045" s="5">
        <v>0.1</v>
      </c>
      <c r="E7045" s="5">
        <v>108.6</v>
      </c>
      <c r="F7045" s="5">
        <v>215.5</v>
      </c>
      <c r="G7045" s="5">
        <v>107.5</v>
      </c>
      <c r="H7045" s="5">
        <v>107.4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106.1</v>
      </c>
      <c r="D7046" s="5">
        <v>0.1</v>
      </c>
      <c r="E7046" s="5">
        <v>106.2</v>
      </c>
      <c r="F7046" s="5">
        <v>211.5</v>
      </c>
      <c r="G7046" s="5">
        <v>105.1</v>
      </c>
      <c r="H7046" s="5">
        <v>105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106.1</v>
      </c>
      <c r="D7047" s="5">
        <v>0.1</v>
      </c>
      <c r="E7047" s="5">
        <v>106.2</v>
      </c>
      <c r="F7047" s="5">
        <v>211.5</v>
      </c>
      <c r="G7047" s="5">
        <v>105.1</v>
      </c>
      <c r="H7047" s="5">
        <v>105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106.1</v>
      </c>
      <c r="D7048" s="5">
        <v>0.1</v>
      </c>
      <c r="E7048" s="5">
        <v>106.2</v>
      </c>
      <c r="F7048" s="5">
        <v>211.5</v>
      </c>
      <c r="G7048" s="5">
        <v>105.1</v>
      </c>
      <c r="H7048" s="5">
        <v>105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106.1</v>
      </c>
      <c r="D7049" s="5">
        <v>0.1</v>
      </c>
      <c r="E7049" s="5">
        <v>106.2</v>
      </c>
      <c r="F7049" s="5">
        <v>211.5</v>
      </c>
      <c r="G7049" s="5">
        <v>105.1</v>
      </c>
      <c r="H7049" s="5">
        <v>105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107.7</v>
      </c>
      <c r="D7050" s="5">
        <v>0.1</v>
      </c>
      <c r="E7050" s="5">
        <v>107.8</v>
      </c>
      <c r="F7050" s="5">
        <v>213.8</v>
      </c>
      <c r="G7050" s="5">
        <v>106.2</v>
      </c>
      <c r="H7050" s="5">
        <v>106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107.7</v>
      </c>
      <c r="D7051" s="5">
        <v>0.1</v>
      </c>
      <c r="E7051" s="5">
        <v>107.8</v>
      </c>
      <c r="F7051" s="5">
        <v>213.8</v>
      </c>
      <c r="G7051" s="5">
        <v>106.2</v>
      </c>
      <c r="H7051" s="5">
        <v>106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107</v>
      </c>
      <c r="D7052" s="5">
        <v>0.1</v>
      </c>
      <c r="E7052" s="5">
        <v>107.2</v>
      </c>
      <c r="F7052" s="5">
        <v>212.6</v>
      </c>
      <c r="G7052" s="5">
        <v>105.7</v>
      </c>
      <c r="H7052" s="5">
        <v>105.5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107</v>
      </c>
      <c r="D7053" s="5">
        <v>0.1</v>
      </c>
      <c r="E7053" s="5">
        <v>107.2</v>
      </c>
      <c r="F7053" s="5">
        <v>212.6</v>
      </c>
      <c r="G7053" s="5">
        <v>105.7</v>
      </c>
      <c r="H7053" s="5">
        <v>105.5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107.2</v>
      </c>
      <c r="D7054" s="5">
        <v>0.1</v>
      </c>
      <c r="E7054" s="5">
        <v>107.4</v>
      </c>
      <c r="F7054" s="5">
        <v>213.9</v>
      </c>
      <c r="G7054" s="5">
        <v>106.2</v>
      </c>
      <c r="H7054" s="5">
        <v>106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107.2</v>
      </c>
      <c r="D7055" s="5">
        <v>0.1</v>
      </c>
      <c r="E7055" s="5">
        <v>107.4</v>
      </c>
      <c r="F7055" s="5">
        <v>213.9</v>
      </c>
      <c r="G7055" s="5">
        <v>106.2</v>
      </c>
      <c r="H7055" s="5">
        <v>106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107.7</v>
      </c>
      <c r="D7056" s="5">
        <v>0.1</v>
      </c>
      <c r="E7056" s="5">
        <v>107.8</v>
      </c>
      <c r="F7056" s="5">
        <v>214.5</v>
      </c>
      <c r="G7056" s="5">
        <v>106.5</v>
      </c>
      <c r="H7056" s="5">
        <v>106.4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107.7</v>
      </c>
      <c r="D7057" s="5">
        <v>0.1</v>
      </c>
      <c r="E7057" s="5">
        <v>107.8</v>
      </c>
      <c r="F7057" s="5">
        <v>214.5</v>
      </c>
      <c r="G7057" s="5">
        <v>106.5</v>
      </c>
      <c r="H7057" s="5">
        <v>106.4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107.7</v>
      </c>
      <c r="D7058" s="5">
        <v>0.1</v>
      </c>
      <c r="E7058" s="5">
        <v>107.8</v>
      </c>
      <c r="F7058" s="5">
        <v>214.5</v>
      </c>
      <c r="G7058" s="5">
        <v>106.5</v>
      </c>
      <c r="H7058" s="5">
        <v>106.4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108.2</v>
      </c>
      <c r="D7059" s="5">
        <v>0.1</v>
      </c>
      <c r="E7059" s="5">
        <v>108.5</v>
      </c>
      <c r="F7059" s="5">
        <v>215.1</v>
      </c>
      <c r="G7059" s="5">
        <v>106.9</v>
      </c>
      <c r="H7059" s="5">
        <v>106.7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108.2</v>
      </c>
      <c r="D7060" s="5">
        <v>0.1</v>
      </c>
      <c r="E7060" s="5">
        <v>108.5</v>
      </c>
      <c r="F7060" s="5">
        <v>215.1</v>
      </c>
      <c r="G7060" s="5">
        <v>106.9</v>
      </c>
      <c r="H7060" s="5">
        <v>106.7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108.7</v>
      </c>
      <c r="D7061" s="5">
        <v>0.1</v>
      </c>
      <c r="E7061" s="5">
        <v>108.8</v>
      </c>
      <c r="F7061" s="5">
        <v>215.9</v>
      </c>
      <c r="G7061" s="5">
        <v>107.3</v>
      </c>
      <c r="H7061" s="5">
        <v>107.2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108.7</v>
      </c>
      <c r="D7062" s="5">
        <v>0.1</v>
      </c>
      <c r="E7062" s="5">
        <v>108.8</v>
      </c>
      <c r="F7062" s="5">
        <v>215.9</v>
      </c>
      <c r="G7062" s="5">
        <v>107.3</v>
      </c>
      <c r="H7062" s="5">
        <v>107.2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108.6</v>
      </c>
      <c r="D7063" s="5">
        <v>0.1</v>
      </c>
      <c r="E7063" s="5">
        <v>108.7</v>
      </c>
      <c r="F7063" s="5">
        <v>215.3</v>
      </c>
      <c r="G7063" s="5">
        <v>107.1</v>
      </c>
      <c r="H7063" s="5">
        <v>106.9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108.6</v>
      </c>
      <c r="D7064" s="5">
        <v>0.1</v>
      </c>
      <c r="E7064" s="5">
        <v>108.7</v>
      </c>
      <c r="F7064" s="5">
        <v>215.3</v>
      </c>
      <c r="G7064" s="5">
        <v>107.1</v>
      </c>
      <c r="H7064" s="5">
        <v>106.9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107.9</v>
      </c>
      <c r="D7065" s="5">
        <v>0.1</v>
      </c>
      <c r="E7065" s="5">
        <v>108.1</v>
      </c>
      <c r="F7065" s="5">
        <v>214.8</v>
      </c>
      <c r="G7065" s="5">
        <v>106.9</v>
      </c>
      <c r="H7065" s="5">
        <v>106.8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107.9</v>
      </c>
      <c r="D7066" s="5">
        <v>0.1</v>
      </c>
      <c r="E7066" s="5">
        <v>108.1</v>
      </c>
      <c r="F7066" s="5">
        <v>214.8</v>
      </c>
      <c r="G7066" s="5">
        <v>106.9</v>
      </c>
      <c r="H7066" s="5">
        <v>106.8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107.9</v>
      </c>
      <c r="D7067" s="5">
        <v>0.1</v>
      </c>
      <c r="E7067" s="5">
        <v>108.1</v>
      </c>
      <c r="F7067" s="5">
        <v>214.8</v>
      </c>
      <c r="G7067" s="5">
        <v>106.9</v>
      </c>
      <c r="H7067" s="5">
        <v>106.8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107.9</v>
      </c>
      <c r="D7068" s="5">
        <v>0.1</v>
      </c>
      <c r="E7068" s="5">
        <v>108.1</v>
      </c>
      <c r="F7068" s="5">
        <v>214.8</v>
      </c>
      <c r="G7068" s="5">
        <v>106.9</v>
      </c>
      <c r="H7068" s="5">
        <v>106.8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108.5</v>
      </c>
      <c r="D7069" s="5">
        <v>0.1</v>
      </c>
      <c r="E7069" s="5">
        <v>108.6</v>
      </c>
      <c r="F7069" s="5">
        <v>215.4</v>
      </c>
      <c r="G7069" s="5">
        <v>107.1</v>
      </c>
      <c r="H7069" s="5">
        <v>107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108.5</v>
      </c>
      <c r="D7070" s="5">
        <v>0.1</v>
      </c>
      <c r="E7070" s="5">
        <v>108.6</v>
      </c>
      <c r="F7070" s="5">
        <v>215.4</v>
      </c>
      <c r="G7070" s="5">
        <v>107.1</v>
      </c>
      <c r="H7070" s="5">
        <v>107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108.3</v>
      </c>
      <c r="D7071" s="5">
        <v>0.1</v>
      </c>
      <c r="E7071" s="5">
        <v>108.5</v>
      </c>
      <c r="F7071" s="5">
        <v>215</v>
      </c>
      <c r="G7071" s="5">
        <v>106.9</v>
      </c>
      <c r="H7071" s="5">
        <v>106.8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108.3</v>
      </c>
      <c r="D7072" s="5">
        <v>0.1</v>
      </c>
      <c r="E7072" s="5">
        <v>108.5</v>
      </c>
      <c r="F7072" s="5">
        <v>215</v>
      </c>
      <c r="G7072" s="5">
        <v>106.9</v>
      </c>
      <c r="H7072" s="5">
        <v>106.8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108.2</v>
      </c>
      <c r="D7073" s="5">
        <v>0.1</v>
      </c>
      <c r="E7073" s="5">
        <v>108.4</v>
      </c>
      <c r="F7073" s="5">
        <v>214.7</v>
      </c>
      <c r="G7073" s="5">
        <v>106.7</v>
      </c>
      <c r="H7073" s="5">
        <v>106.6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108.2</v>
      </c>
      <c r="D7074" s="5">
        <v>0.1</v>
      </c>
      <c r="E7074" s="5">
        <v>108.4</v>
      </c>
      <c r="F7074" s="5">
        <v>214.7</v>
      </c>
      <c r="G7074" s="5">
        <v>106.7</v>
      </c>
      <c r="H7074" s="5">
        <v>106.6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107.5</v>
      </c>
      <c r="D7075" s="5">
        <v>0.1</v>
      </c>
      <c r="E7075" s="5">
        <v>107.6</v>
      </c>
      <c r="F7075" s="5">
        <v>213.5</v>
      </c>
      <c r="G7075" s="5">
        <v>106.1</v>
      </c>
      <c r="H7075" s="5">
        <v>106.6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107.5</v>
      </c>
      <c r="D7076" s="5">
        <v>0.1</v>
      </c>
      <c r="E7076" s="5">
        <v>107.6</v>
      </c>
      <c r="F7076" s="5">
        <v>213.5</v>
      </c>
      <c r="G7076" s="5">
        <v>106.1</v>
      </c>
      <c r="H7076" s="5">
        <v>106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107.5</v>
      </c>
      <c r="D7077" s="5">
        <v>0.1</v>
      </c>
      <c r="E7077" s="5">
        <v>107.6</v>
      </c>
      <c r="F7077" s="5">
        <v>213.5</v>
      </c>
      <c r="G7077" s="5">
        <v>106.1</v>
      </c>
      <c r="H7077" s="5">
        <v>106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107.5</v>
      </c>
      <c r="D7078" s="5">
        <v>0.1</v>
      </c>
      <c r="E7078" s="5">
        <v>107.6</v>
      </c>
      <c r="F7078" s="5">
        <v>213.5</v>
      </c>
      <c r="G7078" s="5">
        <v>106.1</v>
      </c>
      <c r="H7078" s="5">
        <v>106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108.1</v>
      </c>
      <c r="D7079" s="5">
        <v>0.1</v>
      </c>
      <c r="E7079" s="5">
        <v>107.6</v>
      </c>
      <c r="F7079" s="5">
        <v>213.5</v>
      </c>
      <c r="G7079" s="5">
        <v>106.1</v>
      </c>
      <c r="H7079" s="5">
        <v>106.7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108.1</v>
      </c>
      <c r="D7080" s="5">
        <v>0.1</v>
      </c>
      <c r="E7080" s="5">
        <v>108.1</v>
      </c>
      <c r="F7080" s="5">
        <v>215</v>
      </c>
      <c r="G7080" s="5">
        <v>106.9</v>
      </c>
      <c r="H7080" s="5">
        <v>106.7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108.1</v>
      </c>
      <c r="D7081" s="5">
        <v>0.1</v>
      </c>
      <c r="E7081" s="5">
        <v>108.1</v>
      </c>
      <c r="F7081" s="5">
        <v>215</v>
      </c>
      <c r="G7081" s="5">
        <v>106.9</v>
      </c>
      <c r="H7081" s="5">
        <v>106.9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108</v>
      </c>
      <c r="D7082" s="5">
        <v>0.1</v>
      </c>
      <c r="E7082" s="5">
        <v>108.1</v>
      </c>
      <c r="F7082" s="5">
        <v>215.3</v>
      </c>
      <c r="G7082" s="5">
        <v>107</v>
      </c>
      <c r="H7082" s="5">
        <v>106.9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108</v>
      </c>
      <c r="D7083" s="5">
        <v>0.1</v>
      </c>
      <c r="E7083" s="5">
        <v>108.1</v>
      </c>
      <c r="F7083" s="5">
        <v>215.3</v>
      </c>
      <c r="G7083" s="5">
        <v>107</v>
      </c>
      <c r="H7083" s="5">
        <v>106.9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107.8</v>
      </c>
      <c r="D7084" s="5">
        <v>0.1</v>
      </c>
      <c r="E7084" s="5">
        <v>108</v>
      </c>
      <c r="F7084" s="5">
        <v>214.6</v>
      </c>
      <c r="G7084" s="5">
        <v>106.6</v>
      </c>
      <c r="H7084" s="5">
        <v>106.5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107.8</v>
      </c>
      <c r="D7085" s="5">
        <v>0.1</v>
      </c>
      <c r="E7085" s="5">
        <v>108</v>
      </c>
      <c r="F7085" s="5">
        <v>214.6</v>
      </c>
      <c r="G7085" s="5">
        <v>106.6</v>
      </c>
      <c r="H7085" s="5">
        <v>106.5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107.7</v>
      </c>
      <c r="D7086" s="5">
        <v>0.1</v>
      </c>
      <c r="E7086" s="5">
        <v>107.8</v>
      </c>
      <c r="F7086" s="5">
        <v>213.8</v>
      </c>
      <c r="G7086" s="5">
        <v>106.2</v>
      </c>
      <c r="H7086" s="5">
        <v>106.1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107.7</v>
      </c>
      <c r="D7087" s="5">
        <v>0.1</v>
      </c>
      <c r="E7087" s="5">
        <v>107.8</v>
      </c>
      <c r="F7087" s="5">
        <v>213.8</v>
      </c>
      <c r="G7087" s="5">
        <v>106.2</v>
      </c>
      <c r="H7087" s="5">
        <v>106.1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107.7</v>
      </c>
      <c r="D7088" s="5">
        <v>0.1</v>
      </c>
      <c r="E7088" s="5">
        <v>107.8</v>
      </c>
      <c r="F7088" s="5">
        <v>213.8</v>
      </c>
      <c r="G7088" s="5">
        <v>106.2</v>
      </c>
      <c r="H7088" s="5">
        <v>106.1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108.5</v>
      </c>
      <c r="D7089" s="5">
        <v>0.1</v>
      </c>
      <c r="E7089" s="5">
        <v>108.6</v>
      </c>
      <c r="F7089" s="5">
        <v>215.6</v>
      </c>
      <c r="G7089" s="5">
        <v>107.2</v>
      </c>
      <c r="H7089" s="5">
        <v>107.1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108.5</v>
      </c>
      <c r="D7090" s="5">
        <v>0.1</v>
      </c>
      <c r="E7090" s="5">
        <v>108.6</v>
      </c>
      <c r="F7090" s="5">
        <v>215.6</v>
      </c>
      <c r="G7090" s="5">
        <v>107.2</v>
      </c>
      <c r="H7090" s="5">
        <v>107.1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108.8</v>
      </c>
      <c r="D7091" s="5">
        <v>0.1</v>
      </c>
      <c r="E7091" s="5">
        <v>108.9</v>
      </c>
      <c r="F7091" s="5">
        <v>215.9</v>
      </c>
      <c r="G7091" s="5">
        <v>107.4</v>
      </c>
      <c r="H7091" s="5">
        <v>107.2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108.8</v>
      </c>
      <c r="D7092" s="5">
        <v>0.1</v>
      </c>
      <c r="E7092" s="5">
        <v>108.9</v>
      </c>
      <c r="F7092" s="5">
        <v>215.9</v>
      </c>
      <c r="G7092" s="5">
        <v>107.4</v>
      </c>
      <c r="H7092" s="5">
        <v>107.2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107.9</v>
      </c>
      <c r="D7093" s="5">
        <v>0.1</v>
      </c>
      <c r="E7093" s="5">
        <v>108.1</v>
      </c>
      <c r="F7093" s="5">
        <v>214.7</v>
      </c>
      <c r="G7093" s="5">
        <v>106.8</v>
      </c>
      <c r="H7093" s="5">
        <v>106.7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107.9</v>
      </c>
      <c r="D7094" s="5">
        <v>0.1</v>
      </c>
      <c r="E7094" s="5">
        <v>108.1</v>
      </c>
      <c r="F7094" s="5">
        <v>214.7</v>
      </c>
      <c r="G7094" s="5">
        <v>106.8</v>
      </c>
      <c r="H7094" s="5">
        <v>106.7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107.7</v>
      </c>
      <c r="D7095" s="5">
        <v>0.1</v>
      </c>
      <c r="E7095" s="5">
        <v>107.8</v>
      </c>
      <c r="F7095" s="5">
        <v>214.4</v>
      </c>
      <c r="G7095" s="5">
        <v>106.6</v>
      </c>
      <c r="H7095" s="5">
        <v>106.5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107.7</v>
      </c>
      <c r="D7096" s="5">
        <v>0.1</v>
      </c>
      <c r="E7096" s="5">
        <v>107.8</v>
      </c>
      <c r="F7096" s="5">
        <v>214.4</v>
      </c>
      <c r="G7096" s="5">
        <v>106.6</v>
      </c>
      <c r="H7096" s="5">
        <v>106.5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107.7</v>
      </c>
      <c r="D7097" s="5">
        <v>0.1</v>
      </c>
      <c r="E7097" s="5">
        <v>107.8</v>
      </c>
      <c r="F7097" s="5">
        <v>214.4</v>
      </c>
      <c r="G7097" s="5">
        <v>106.6</v>
      </c>
      <c r="H7097" s="5">
        <v>106.5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107.7</v>
      </c>
      <c r="D7098" s="5">
        <v>0.1</v>
      </c>
      <c r="E7098" s="5">
        <v>107.8</v>
      </c>
      <c r="F7098" s="5">
        <v>214.4</v>
      </c>
      <c r="G7098" s="5">
        <v>106.6</v>
      </c>
      <c r="H7098" s="5">
        <v>106.5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107.3</v>
      </c>
      <c r="D7099" s="5">
        <v>0.1</v>
      </c>
      <c r="E7099" s="5">
        <v>107.4</v>
      </c>
      <c r="F7099" s="5">
        <v>214.6</v>
      </c>
      <c r="G7099" s="5">
        <v>106.8</v>
      </c>
      <c r="H7099" s="5">
        <v>106.6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107.3</v>
      </c>
      <c r="D7100" s="5">
        <v>0.1</v>
      </c>
      <c r="E7100" s="5">
        <v>107.4</v>
      </c>
      <c r="F7100" s="5">
        <v>214.6</v>
      </c>
      <c r="G7100" s="5">
        <v>106.8</v>
      </c>
      <c r="H7100" s="5">
        <v>106.6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107.7</v>
      </c>
      <c r="D7101" s="5">
        <v>0.1</v>
      </c>
      <c r="E7101" s="5">
        <v>107.8</v>
      </c>
      <c r="F7101" s="5">
        <v>215.3</v>
      </c>
      <c r="G7101" s="5">
        <v>107</v>
      </c>
      <c r="H7101" s="5">
        <v>106.8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107.7</v>
      </c>
      <c r="D7102" s="5">
        <v>0.1</v>
      </c>
      <c r="E7102" s="5">
        <v>107.8</v>
      </c>
      <c r="F7102" s="5">
        <v>215.3</v>
      </c>
      <c r="G7102" s="5">
        <v>107</v>
      </c>
      <c r="H7102" s="5">
        <v>106.8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107.9</v>
      </c>
      <c r="D7103" s="5">
        <v>0.1</v>
      </c>
      <c r="E7103" s="5">
        <v>108.1</v>
      </c>
      <c r="F7103" s="5">
        <v>214.6</v>
      </c>
      <c r="G7103" s="5">
        <v>106.7</v>
      </c>
      <c r="H7103" s="5">
        <v>106.6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107.9</v>
      </c>
      <c r="D7104" s="5">
        <v>0.1</v>
      </c>
      <c r="E7104" s="5">
        <v>108.1</v>
      </c>
      <c r="F7104" s="5">
        <v>214.6</v>
      </c>
      <c r="G7104" s="5">
        <v>106.7</v>
      </c>
      <c r="H7104" s="5">
        <v>106.6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107.5</v>
      </c>
      <c r="D7105" s="5">
        <v>0.1</v>
      </c>
      <c r="E7105" s="5">
        <v>107.7</v>
      </c>
      <c r="F7105" s="5">
        <v>214.6</v>
      </c>
      <c r="G7105" s="5">
        <v>106.7</v>
      </c>
      <c r="H7105" s="5">
        <v>106.6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107.5</v>
      </c>
      <c r="D7106" s="5">
        <v>0.1</v>
      </c>
      <c r="E7106" s="5">
        <v>107.7</v>
      </c>
      <c r="F7106" s="5">
        <v>214.6</v>
      </c>
      <c r="G7106" s="5">
        <v>106.7</v>
      </c>
      <c r="H7106" s="5">
        <v>106.6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107.5</v>
      </c>
      <c r="D7107" s="5">
        <v>0.1</v>
      </c>
      <c r="E7107" s="5">
        <v>107.7</v>
      </c>
      <c r="F7107" s="5">
        <v>214.6</v>
      </c>
      <c r="G7107" s="5">
        <v>106.7</v>
      </c>
      <c r="H7107" s="5">
        <v>106.6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107.5</v>
      </c>
      <c r="D7108" s="5">
        <v>0.1</v>
      </c>
      <c r="E7108" s="5">
        <v>107.7</v>
      </c>
      <c r="F7108" s="5">
        <v>214.6</v>
      </c>
      <c r="G7108" s="5">
        <v>106.7</v>
      </c>
      <c r="H7108" s="5">
        <v>106.6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107.4</v>
      </c>
      <c r="D7109" s="5">
        <v>0.1</v>
      </c>
      <c r="E7109" s="5">
        <v>107.5</v>
      </c>
      <c r="F7109" s="5">
        <v>214.8</v>
      </c>
      <c r="G7109" s="5">
        <v>106.8</v>
      </c>
      <c r="H7109" s="5">
        <v>106.7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107.4</v>
      </c>
      <c r="D7110" s="5">
        <v>0.1</v>
      </c>
      <c r="E7110" s="5">
        <v>107.5</v>
      </c>
      <c r="F7110" s="5">
        <v>214.8</v>
      </c>
      <c r="G7110" s="5">
        <v>106.8</v>
      </c>
      <c r="H7110" s="5">
        <v>106.7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108.3</v>
      </c>
      <c r="D7111" s="5">
        <v>0.1</v>
      </c>
      <c r="E7111" s="5">
        <v>108.5</v>
      </c>
      <c r="F7111" s="5">
        <v>215.3</v>
      </c>
      <c r="G7111" s="5">
        <v>107.2</v>
      </c>
      <c r="H7111" s="5">
        <v>107.1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108.3</v>
      </c>
      <c r="D7112" s="5">
        <v>0.1</v>
      </c>
      <c r="E7112" s="5">
        <v>108.5</v>
      </c>
      <c r="F7112" s="5">
        <v>215.3</v>
      </c>
      <c r="G7112" s="5">
        <v>107.2</v>
      </c>
      <c r="H7112" s="5">
        <v>107.1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107.9</v>
      </c>
      <c r="D7113" s="5">
        <v>0.1</v>
      </c>
      <c r="E7113" s="5">
        <v>108.1</v>
      </c>
      <c r="F7113" s="5">
        <v>214.8</v>
      </c>
      <c r="G7113" s="5">
        <v>106.8</v>
      </c>
      <c r="H7113" s="5">
        <v>106.6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107.9</v>
      </c>
      <c r="D7114" s="5">
        <v>0.1</v>
      </c>
      <c r="E7114" s="5">
        <v>108.1</v>
      </c>
      <c r="F7114" s="5">
        <v>214.8</v>
      </c>
      <c r="G7114" s="5">
        <v>106.8</v>
      </c>
      <c r="H7114" s="5">
        <v>106.6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107.9</v>
      </c>
      <c r="D7115" s="5">
        <v>0.1</v>
      </c>
      <c r="E7115" s="5">
        <v>108.1</v>
      </c>
      <c r="F7115" s="5">
        <v>214.5</v>
      </c>
      <c r="G7115" s="5">
        <v>106.6</v>
      </c>
      <c r="H7115" s="5">
        <v>106.5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107.9</v>
      </c>
      <c r="D7116" s="5">
        <v>0.1</v>
      </c>
      <c r="E7116" s="5">
        <v>108.1</v>
      </c>
      <c r="F7116" s="5">
        <v>214.5</v>
      </c>
      <c r="G7116" s="5">
        <v>106.6</v>
      </c>
      <c r="H7116" s="5">
        <v>106.5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107.9</v>
      </c>
      <c r="D7117" s="5">
        <v>0.1</v>
      </c>
      <c r="E7117" s="5">
        <v>108.1</v>
      </c>
      <c r="F7117" s="5">
        <v>214.5</v>
      </c>
      <c r="G7117" s="5">
        <v>106.6</v>
      </c>
      <c r="H7117" s="5">
        <v>106.5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107.9</v>
      </c>
      <c r="D7118" s="5">
        <v>0.1</v>
      </c>
      <c r="E7118" s="5">
        <v>108.1</v>
      </c>
      <c r="F7118" s="5">
        <v>214.5</v>
      </c>
      <c r="G7118" s="5">
        <v>106.6</v>
      </c>
      <c r="H7118" s="5">
        <v>106.5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108.2</v>
      </c>
      <c r="D7119" s="5">
        <v>0.1</v>
      </c>
      <c r="E7119" s="5">
        <v>108.4</v>
      </c>
      <c r="F7119" s="5">
        <v>214.7</v>
      </c>
      <c r="G7119" s="5">
        <v>106.9</v>
      </c>
      <c r="H7119" s="5">
        <v>106.8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108.2</v>
      </c>
      <c r="D7120" s="5">
        <v>0.1</v>
      </c>
      <c r="E7120" s="5">
        <v>108.4</v>
      </c>
      <c r="F7120" s="5">
        <v>214.7</v>
      </c>
      <c r="G7120" s="5">
        <v>106.9</v>
      </c>
      <c r="H7120" s="5">
        <v>106.8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108.1</v>
      </c>
      <c r="D7121" s="5">
        <v>0.1</v>
      </c>
      <c r="E7121" s="5">
        <v>108.3</v>
      </c>
      <c r="F7121" s="5">
        <v>214.9</v>
      </c>
      <c r="G7121" s="5">
        <v>106.8</v>
      </c>
      <c r="H7121" s="5">
        <v>106.6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108.1</v>
      </c>
      <c r="D7122" s="5">
        <v>0.1</v>
      </c>
      <c r="E7122" s="5">
        <v>108.3</v>
      </c>
      <c r="F7122" s="5">
        <v>214.9</v>
      </c>
      <c r="G7122" s="5">
        <v>106.8</v>
      </c>
      <c r="H7122" s="5">
        <v>106.6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107.6</v>
      </c>
      <c r="D7123" s="5">
        <v>0.1</v>
      </c>
      <c r="E7123" s="5">
        <v>107.8</v>
      </c>
      <c r="F7123" s="5">
        <v>214.4</v>
      </c>
      <c r="G7123" s="5">
        <v>106.6</v>
      </c>
      <c r="H7123" s="5">
        <v>106.4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107.6</v>
      </c>
      <c r="D7124" s="5">
        <v>0.1</v>
      </c>
      <c r="E7124" s="5">
        <v>107.8</v>
      </c>
      <c r="F7124" s="5">
        <v>214.4</v>
      </c>
      <c r="G7124" s="5">
        <v>106.6</v>
      </c>
      <c r="H7124" s="5">
        <v>106.4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107.9</v>
      </c>
      <c r="D7125" s="5">
        <v>0.1</v>
      </c>
      <c r="E7125" s="5">
        <v>108.1</v>
      </c>
      <c r="F7125" s="5">
        <v>214.6</v>
      </c>
      <c r="G7125" s="5">
        <v>106.7</v>
      </c>
      <c r="H7125" s="5">
        <v>106.6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107.9</v>
      </c>
      <c r="D7126" s="5">
        <v>0.1</v>
      </c>
      <c r="E7126" s="5">
        <v>108.1</v>
      </c>
      <c r="F7126" s="5">
        <v>214.6</v>
      </c>
      <c r="G7126" s="5">
        <v>106.7</v>
      </c>
      <c r="H7126" s="5">
        <v>106.6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107.9</v>
      </c>
      <c r="D7127" s="5">
        <v>0.1</v>
      </c>
      <c r="E7127" s="5">
        <v>108.1</v>
      </c>
      <c r="F7127" s="5">
        <v>214.6</v>
      </c>
      <c r="G7127" s="5">
        <v>106.7</v>
      </c>
      <c r="H7127" s="5">
        <v>106.6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107.9</v>
      </c>
      <c r="D7128" s="5">
        <v>0.1</v>
      </c>
      <c r="E7128" s="5">
        <v>108.1</v>
      </c>
      <c r="F7128" s="5">
        <v>214.6</v>
      </c>
      <c r="G7128" s="5">
        <v>106.7</v>
      </c>
      <c r="H7128" s="5">
        <v>106.6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107.9</v>
      </c>
      <c r="D7129" s="5">
        <v>0.1</v>
      </c>
      <c r="E7129" s="5">
        <v>108.1</v>
      </c>
      <c r="F7129" s="5">
        <v>214.9</v>
      </c>
      <c r="G7129" s="5">
        <v>106.8</v>
      </c>
      <c r="H7129" s="5">
        <v>106.7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107.9</v>
      </c>
      <c r="D7130" s="5">
        <v>0.1</v>
      </c>
      <c r="E7130" s="5">
        <v>108.1</v>
      </c>
      <c r="F7130" s="5">
        <v>214.9</v>
      </c>
      <c r="G7130" s="5">
        <v>106.8</v>
      </c>
      <c r="H7130" s="5">
        <v>106.7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108.5</v>
      </c>
      <c r="D7131" s="5">
        <v>0.1</v>
      </c>
      <c r="E7131" s="5">
        <v>108.6</v>
      </c>
      <c r="F7131" s="5">
        <v>215.5</v>
      </c>
      <c r="G7131" s="5">
        <v>107.1</v>
      </c>
      <c r="H7131" s="5">
        <v>106.9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108.5</v>
      </c>
      <c r="D7132" s="5">
        <v>0.1</v>
      </c>
      <c r="E7132" s="5">
        <v>108.6</v>
      </c>
      <c r="F7132" s="5">
        <v>215.5</v>
      </c>
      <c r="G7132" s="5">
        <v>107.1</v>
      </c>
      <c r="H7132" s="5">
        <v>106.9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108.1</v>
      </c>
      <c r="D7133" s="5">
        <v>0.1</v>
      </c>
      <c r="E7133" s="5">
        <v>108.2</v>
      </c>
      <c r="F7133" s="5">
        <v>215.1</v>
      </c>
      <c r="G7133" s="5">
        <v>107</v>
      </c>
      <c r="H7133" s="5">
        <v>106.8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108.1</v>
      </c>
      <c r="D7134" s="5">
        <v>0.1</v>
      </c>
      <c r="E7134" s="5">
        <v>108.2</v>
      </c>
      <c r="F7134" s="5">
        <v>215.1</v>
      </c>
      <c r="G7134" s="5">
        <v>107</v>
      </c>
      <c r="H7134" s="5">
        <v>106.8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108.4</v>
      </c>
      <c r="D7135" s="5">
        <v>0.1</v>
      </c>
      <c r="E7135" s="5">
        <v>108.5</v>
      </c>
      <c r="F7135" s="5">
        <v>215.1</v>
      </c>
      <c r="G7135" s="5">
        <v>107</v>
      </c>
      <c r="H7135" s="5">
        <v>106.9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108.4</v>
      </c>
      <c r="D7136" s="5">
        <v>0.1</v>
      </c>
      <c r="E7136" s="5">
        <v>108.5</v>
      </c>
      <c r="F7136" s="5">
        <v>215.1</v>
      </c>
      <c r="G7136" s="5">
        <v>107</v>
      </c>
      <c r="H7136" s="5">
        <v>106.9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108.4</v>
      </c>
      <c r="D7137" s="5">
        <v>0.1</v>
      </c>
      <c r="E7137" s="5">
        <v>108.5</v>
      </c>
      <c r="F7137" s="5">
        <v>215.1</v>
      </c>
      <c r="G7137" s="5">
        <v>107</v>
      </c>
      <c r="H7137" s="5">
        <v>106.9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108.4</v>
      </c>
      <c r="D7138" s="5">
        <v>0.1</v>
      </c>
      <c r="E7138" s="5">
        <v>108.5</v>
      </c>
      <c r="F7138" s="5">
        <v>215.1</v>
      </c>
      <c r="G7138" s="5">
        <v>107</v>
      </c>
      <c r="H7138" s="5">
        <v>106.9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109</v>
      </c>
      <c r="D7139" s="5">
        <v>0.1</v>
      </c>
      <c r="E7139" s="5">
        <v>109.1</v>
      </c>
      <c r="F7139" s="5">
        <v>216.1</v>
      </c>
      <c r="G7139" s="5">
        <v>107.1</v>
      </c>
      <c r="H7139" s="5">
        <v>107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109</v>
      </c>
      <c r="D7140" s="5">
        <v>0.1</v>
      </c>
      <c r="E7140" s="5">
        <v>109.1</v>
      </c>
      <c r="F7140" s="5">
        <v>216.1</v>
      </c>
      <c r="G7140" s="5">
        <v>107.1</v>
      </c>
      <c r="H7140" s="5">
        <v>107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108.9</v>
      </c>
      <c r="D7141" s="5">
        <v>0.1</v>
      </c>
      <c r="E7141" s="5">
        <v>109.1</v>
      </c>
      <c r="F7141" s="5">
        <v>215.8</v>
      </c>
      <c r="G7141" s="5">
        <v>107.3</v>
      </c>
      <c r="H7141" s="5">
        <v>107.1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108.9</v>
      </c>
      <c r="D7142" s="5">
        <v>0.1</v>
      </c>
      <c r="E7142" s="5">
        <v>109.1</v>
      </c>
      <c r="F7142" s="5">
        <v>215.8</v>
      </c>
      <c r="G7142" s="5">
        <v>107.3</v>
      </c>
      <c r="H7142" s="5">
        <v>107.1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112.9</v>
      </c>
      <c r="D7143" s="5">
        <v>0.1</v>
      </c>
      <c r="E7143" s="5">
        <v>113.1</v>
      </c>
      <c r="F7143" s="5">
        <v>224.7</v>
      </c>
      <c r="G7143" s="5">
        <v>111.7</v>
      </c>
      <c r="H7143" s="5">
        <v>111.5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112.9</v>
      </c>
      <c r="D7144" s="5">
        <v>0.1</v>
      </c>
      <c r="E7144" s="5">
        <v>113.1</v>
      </c>
      <c r="F7144" s="5">
        <v>224.7</v>
      </c>
      <c r="G7144" s="5">
        <v>111.7</v>
      </c>
      <c r="H7144" s="5">
        <v>111.5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113</v>
      </c>
      <c r="D7145" s="5">
        <v>0.1</v>
      </c>
      <c r="E7145" s="5">
        <v>113.2</v>
      </c>
      <c r="F7145" s="5">
        <v>225.3</v>
      </c>
      <c r="G7145" s="5">
        <v>112</v>
      </c>
      <c r="H7145" s="5">
        <v>111.8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113</v>
      </c>
      <c r="D7146" s="5">
        <v>0.1</v>
      </c>
      <c r="E7146" s="5">
        <v>113.2</v>
      </c>
      <c r="F7146" s="5">
        <v>225.3</v>
      </c>
      <c r="G7146" s="5">
        <v>112</v>
      </c>
      <c r="H7146" s="5">
        <v>111.8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113</v>
      </c>
      <c r="D7147" s="5">
        <v>0.1</v>
      </c>
      <c r="E7147" s="5">
        <v>113.2</v>
      </c>
      <c r="F7147" s="5">
        <v>225.3</v>
      </c>
      <c r="G7147" s="5">
        <v>112</v>
      </c>
      <c r="H7147" s="5">
        <v>111.8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113</v>
      </c>
      <c r="D7148" s="5">
        <v>0.1</v>
      </c>
      <c r="E7148" s="5">
        <v>113.2</v>
      </c>
      <c r="F7148" s="5">
        <v>225.3</v>
      </c>
      <c r="G7148" s="5">
        <v>112</v>
      </c>
      <c r="H7148" s="5">
        <v>111.8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112.6</v>
      </c>
      <c r="D7149" s="5">
        <v>0.1</v>
      </c>
      <c r="E7149" s="5">
        <v>112.7</v>
      </c>
      <c r="F7149" s="5">
        <v>224.7</v>
      </c>
      <c r="G7149" s="5">
        <v>111.7</v>
      </c>
      <c r="H7149" s="5">
        <v>111.5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112.6</v>
      </c>
      <c r="D7150" s="5">
        <v>0.1</v>
      </c>
      <c r="E7150" s="5">
        <v>112.7</v>
      </c>
      <c r="F7150" s="5">
        <v>224.7</v>
      </c>
      <c r="G7150" s="5">
        <v>111.7</v>
      </c>
      <c r="H7150" s="5">
        <v>111.5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113.6</v>
      </c>
      <c r="D7151" s="5">
        <v>0.1</v>
      </c>
      <c r="E7151" s="5">
        <v>113.7</v>
      </c>
      <c r="F7151" s="5">
        <v>226</v>
      </c>
      <c r="G7151" s="5">
        <v>112.3</v>
      </c>
      <c r="H7151" s="5">
        <v>112.2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113.6</v>
      </c>
      <c r="D7152" s="5">
        <v>0.1</v>
      </c>
      <c r="E7152" s="5">
        <v>113.7</v>
      </c>
      <c r="F7152" s="5">
        <v>226</v>
      </c>
      <c r="G7152" s="5">
        <v>112.3</v>
      </c>
      <c r="H7152" s="5">
        <v>112.2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113.2</v>
      </c>
      <c r="D7153" s="5">
        <v>0.1</v>
      </c>
      <c r="E7153" s="5">
        <v>113.3</v>
      </c>
      <c r="F7153" s="5">
        <v>225.6</v>
      </c>
      <c r="G7153" s="5">
        <v>112.1</v>
      </c>
      <c r="H7153" s="5">
        <v>111.9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113.2</v>
      </c>
      <c r="D7154" s="5">
        <v>0.1</v>
      </c>
      <c r="E7154" s="5">
        <v>113.3</v>
      </c>
      <c r="F7154" s="5">
        <v>225.6</v>
      </c>
      <c r="G7154" s="5">
        <v>112.1</v>
      </c>
      <c r="H7154" s="5">
        <v>111.9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113.1</v>
      </c>
      <c r="D7155" s="5">
        <v>0.1</v>
      </c>
      <c r="E7155" s="5">
        <v>113.2</v>
      </c>
      <c r="F7155" s="5">
        <v>225.2</v>
      </c>
      <c r="G7155" s="5">
        <v>112</v>
      </c>
      <c r="H7155" s="5">
        <v>111.8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113.1</v>
      </c>
      <c r="D7156" s="5">
        <v>0.1</v>
      </c>
      <c r="E7156" s="5">
        <v>113.2</v>
      </c>
      <c r="F7156" s="5">
        <v>225.2</v>
      </c>
      <c r="G7156" s="5">
        <v>112</v>
      </c>
      <c r="H7156" s="5">
        <v>111.8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113.1</v>
      </c>
      <c r="D7157" s="5">
        <v>0.1</v>
      </c>
      <c r="E7157" s="5">
        <v>113.2</v>
      </c>
      <c r="F7157" s="5">
        <v>225.2</v>
      </c>
      <c r="G7157" s="5">
        <v>112</v>
      </c>
      <c r="H7157" s="5">
        <v>111.8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113.1</v>
      </c>
      <c r="D7158" s="5">
        <v>0.1</v>
      </c>
      <c r="E7158" s="5">
        <v>113.2</v>
      </c>
      <c r="F7158" s="5">
        <v>225.2</v>
      </c>
      <c r="G7158" s="5">
        <v>112</v>
      </c>
      <c r="H7158" s="5">
        <v>111.8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113.5</v>
      </c>
      <c r="D7159" s="5">
        <v>0.1</v>
      </c>
      <c r="E7159" s="5">
        <v>113.6</v>
      </c>
      <c r="F7159" s="5">
        <v>225.5</v>
      </c>
      <c r="G7159" s="5">
        <v>112</v>
      </c>
      <c r="H7159" s="5">
        <v>111.7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113.5</v>
      </c>
      <c r="D7160" s="5">
        <v>0.1</v>
      </c>
      <c r="E7160" s="5">
        <v>113.6</v>
      </c>
      <c r="F7160" s="5">
        <v>225.5</v>
      </c>
      <c r="G7160" s="5">
        <v>112</v>
      </c>
      <c r="H7160" s="5">
        <v>111.7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113.8</v>
      </c>
      <c r="D7161" s="5">
        <v>0.1</v>
      </c>
      <c r="E7161" s="5">
        <v>113.9</v>
      </c>
      <c r="F7161" s="5">
        <v>226.2</v>
      </c>
      <c r="G7161" s="5">
        <v>112.4</v>
      </c>
      <c r="H7161" s="5">
        <v>112.2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113.8</v>
      </c>
      <c r="D7162" s="5">
        <v>0.1</v>
      </c>
      <c r="E7162" s="5">
        <v>113.9</v>
      </c>
      <c r="F7162" s="5">
        <v>226.2</v>
      </c>
      <c r="G7162" s="5">
        <v>112.4</v>
      </c>
      <c r="H7162" s="5">
        <v>112.2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113.5</v>
      </c>
      <c r="D7163" s="5">
        <v>0.1</v>
      </c>
      <c r="E7163" s="5">
        <v>113.6</v>
      </c>
      <c r="F7163" s="5">
        <v>226.4</v>
      </c>
      <c r="G7163" s="5">
        <v>112.5</v>
      </c>
      <c r="H7163" s="5">
        <v>112.3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113.5</v>
      </c>
      <c r="D7164" s="5">
        <v>0.1</v>
      </c>
      <c r="E7164" s="5">
        <v>113.6</v>
      </c>
      <c r="F7164" s="5">
        <v>226.4</v>
      </c>
      <c r="G7164" s="5">
        <v>112.5</v>
      </c>
      <c r="H7164" s="5">
        <v>112.3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113.5</v>
      </c>
      <c r="D7165" s="5">
        <v>0.1</v>
      </c>
      <c r="E7165" s="5">
        <v>113.6</v>
      </c>
      <c r="F7165" s="5">
        <v>226.4</v>
      </c>
      <c r="G7165" s="5">
        <v>112.5</v>
      </c>
      <c r="H7165" s="5">
        <v>112.3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113.5</v>
      </c>
      <c r="D7166" s="5">
        <v>0.1</v>
      </c>
      <c r="E7166" s="5">
        <v>113.6</v>
      </c>
      <c r="F7166" s="5">
        <v>226.4</v>
      </c>
      <c r="G7166" s="5">
        <v>112.5</v>
      </c>
      <c r="H7166" s="5">
        <v>112.3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113.5</v>
      </c>
      <c r="D7167" s="5">
        <v>0.1</v>
      </c>
      <c r="E7167" s="5">
        <v>113.6</v>
      </c>
      <c r="F7167" s="5">
        <v>226.4</v>
      </c>
      <c r="G7167" s="5">
        <v>112.5</v>
      </c>
      <c r="H7167" s="5">
        <v>112.3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113.5</v>
      </c>
      <c r="D7168" s="5">
        <v>0.1</v>
      </c>
      <c r="E7168" s="5">
        <v>113.6</v>
      </c>
      <c r="F7168" s="5">
        <v>226.4</v>
      </c>
      <c r="G7168" s="5">
        <v>112.5</v>
      </c>
      <c r="H7168" s="5">
        <v>112.3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113.3</v>
      </c>
      <c r="D7169" s="5">
        <v>0.1</v>
      </c>
      <c r="E7169" s="5">
        <v>113.5</v>
      </c>
      <c r="F7169" s="5">
        <v>225.6</v>
      </c>
      <c r="G7169" s="5">
        <v>112.2</v>
      </c>
      <c r="H7169" s="5">
        <v>112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113.3</v>
      </c>
      <c r="D7170" s="5">
        <v>0.1</v>
      </c>
      <c r="E7170" s="5">
        <v>113.5</v>
      </c>
      <c r="F7170" s="5">
        <v>225.6</v>
      </c>
      <c r="G7170" s="5">
        <v>112.2</v>
      </c>
      <c r="H7170" s="5">
        <v>112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113</v>
      </c>
      <c r="D7171" s="5">
        <v>0.1</v>
      </c>
      <c r="E7171" s="5">
        <v>113.2</v>
      </c>
      <c r="F7171" s="5">
        <v>225.5</v>
      </c>
      <c r="G7171" s="5">
        <v>112.1</v>
      </c>
      <c r="H7171" s="5">
        <v>111.9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113</v>
      </c>
      <c r="D7172" s="5">
        <v>0.1</v>
      </c>
      <c r="E7172" s="5">
        <v>113.2</v>
      </c>
      <c r="F7172" s="5">
        <v>225.5</v>
      </c>
      <c r="G7172" s="5">
        <v>112.1</v>
      </c>
      <c r="H7172" s="5">
        <v>111.9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113.2</v>
      </c>
      <c r="D7173" s="5">
        <v>0.1</v>
      </c>
      <c r="E7173" s="5">
        <v>113.4</v>
      </c>
      <c r="F7173" s="5">
        <v>225.2</v>
      </c>
      <c r="G7173" s="5">
        <v>112</v>
      </c>
      <c r="H7173" s="5">
        <v>111.8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113.2</v>
      </c>
      <c r="D7174" s="5">
        <v>0.1</v>
      </c>
      <c r="E7174" s="5">
        <v>113.4</v>
      </c>
      <c r="F7174" s="5">
        <v>225.2</v>
      </c>
      <c r="G7174" s="5">
        <v>112</v>
      </c>
      <c r="H7174" s="5">
        <v>111.8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112.3</v>
      </c>
      <c r="D7175" s="5">
        <v>0.1</v>
      </c>
      <c r="E7175" s="5">
        <v>112.4</v>
      </c>
      <c r="F7175" s="5">
        <v>223.4</v>
      </c>
      <c r="G7175" s="5">
        <v>111</v>
      </c>
      <c r="H7175" s="5">
        <v>110.8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112.3</v>
      </c>
      <c r="D7176" s="5">
        <v>0.1</v>
      </c>
      <c r="E7176" s="5">
        <v>112.4</v>
      </c>
      <c r="F7176" s="5">
        <v>223.4</v>
      </c>
      <c r="G7176" s="5">
        <v>111</v>
      </c>
      <c r="H7176" s="5">
        <v>110.8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112.3</v>
      </c>
      <c r="D7177" s="5">
        <v>0.1</v>
      </c>
      <c r="E7177" s="5">
        <v>112.4</v>
      </c>
      <c r="F7177" s="5">
        <v>223.4</v>
      </c>
      <c r="G7177" s="5">
        <v>111</v>
      </c>
      <c r="H7177" s="5">
        <v>110.8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112.3</v>
      </c>
      <c r="D7178" s="5">
        <v>0.1</v>
      </c>
      <c r="E7178" s="5">
        <v>112.4</v>
      </c>
      <c r="F7178" s="5">
        <v>223.4</v>
      </c>
      <c r="G7178" s="5">
        <v>111</v>
      </c>
      <c r="H7178" s="5">
        <v>110.8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112.7</v>
      </c>
      <c r="D7179" s="5">
        <v>0.1</v>
      </c>
      <c r="E7179" s="5">
        <v>112.9</v>
      </c>
      <c r="F7179" s="5">
        <v>225.6</v>
      </c>
      <c r="G7179" s="5">
        <v>112.1</v>
      </c>
      <c r="H7179" s="5">
        <v>112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112.7</v>
      </c>
      <c r="D7180" s="5">
        <v>0.1</v>
      </c>
      <c r="E7180" s="5">
        <v>112.9</v>
      </c>
      <c r="F7180" s="5">
        <v>225.6</v>
      </c>
      <c r="G7180" s="5">
        <v>112.1</v>
      </c>
      <c r="H7180" s="5">
        <v>112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113.6</v>
      </c>
      <c r="D7181" s="5">
        <v>0.1</v>
      </c>
      <c r="E7181" s="5">
        <v>113.7</v>
      </c>
      <c r="F7181" s="5">
        <v>225.7</v>
      </c>
      <c r="G7181" s="5">
        <v>112.2</v>
      </c>
      <c r="H7181" s="5">
        <v>112.1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113.6</v>
      </c>
      <c r="D7182" s="5">
        <v>0.1</v>
      </c>
      <c r="E7182" s="5">
        <v>113.7</v>
      </c>
      <c r="F7182" s="5">
        <v>225.7</v>
      </c>
      <c r="G7182" s="5">
        <v>112.2</v>
      </c>
      <c r="H7182" s="5">
        <v>112.1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113.2</v>
      </c>
      <c r="D7183" s="5">
        <v>0.1</v>
      </c>
      <c r="E7183" s="5">
        <v>113.3</v>
      </c>
      <c r="F7183" s="5">
        <v>225.2</v>
      </c>
      <c r="G7183" s="5">
        <v>112</v>
      </c>
      <c r="H7183" s="5">
        <v>111.8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113.2</v>
      </c>
      <c r="D7184" s="5">
        <v>0.1</v>
      </c>
      <c r="E7184" s="5">
        <v>113.3</v>
      </c>
      <c r="F7184" s="5">
        <v>225.2</v>
      </c>
      <c r="G7184" s="5">
        <v>112</v>
      </c>
      <c r="H7184" s="5">
        <v>111.8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113</v>
      </c>
      <c r="D7185" s="5">
        <v>0.1</v>
      </c>
      <c r="E7185" s="5">
        <v>113.2</v>
      </c>
      <c r="F7185" s="5">
        <v>225</v>
      </c>
      <c r="G7185" s="5">
        <v>111.9</v>
      </c>
      <c r="H7185" s="5">
        <v>111.8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113</v>
      </c>
      <c r="D7186" s="5">
        <v>0.1</v>
      </c>
      <c r="E7186" s="5">
        <v>113.2</v>
      </c>
      <c r="F7186" s="5">
        <v>225</v>
      </c>
      <c r="G7186" s="5">
        <v>111.9</v>
      </c>
      <c r="H7186" s="5">
        <v>111.8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113</v>
      </c>
      <c r="D7187" s="5">
        <v>0.1</v>
      </c>
      <c r="E7187" s="5">
        <v>113.2</v>
      </c>
      <c r="F7187" s="5">
        <v>225</v>
      </c>
      <c r="G7187" s="5">
        <v>111.9</v>
      </c>
      <c r="H7187" s="5">
        <v>111.8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113.3</v>
      </c>
      <c r="D7188" s="5">
        <v>0.1</v>
      </c>
      <c r="E7188" s="5">
        <v>113.5</v>
      </c>
      <c r="F7188" s="5">
        <v>225.5</v>
      </c>
      <c r="G7188" s="5">
        <v>112.1</v>
      </c>
      <c r="H7188" s="5">
        <v>112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113.3</v>
      </c>
      <c r="D7189" s="5">
        <v>0.1</v>
      </c>
      <c r="E7189" s="5">
        <v>113.5</v>
      </c>
      <c r="F7189" s="5">
        <v>225.5</v>
      </c>
      <c r="G7189" s="5">
        <v>112.1</v>
      </c>
      <c r="H7189" s="5">
        <v>112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113.5</v>
      </c>
      <c r="D7190" s="5">
        <v>0.1</v>
      </c>
      <c r="E7190" s="5">
        <v>113.6</v>
      </c>
      <c r="F7190" s="5">
        <v>225.6</v>
      </c>
      <c r="G7190" s="5">
        <v>112.2</v>
      </c>
      <c r="H7190" s="5">
        <v>112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113.5</v>
      </c>
      <c r="D7191" s="5">
        <v>0.1</v>
      </c>
      <c r="E7191" s="5">
        <v>113.6</v>
      </c>
      <c r="F7191" s="5">
        <v>225.6</v>
      </c>
      <c r="G7191" s="5">
        <v>112.2</v>
      </c>
      <c r="H7191" s="5">
        <v>112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113.5</v>
      </c>
      <c r="D7192" s="5">
        <v>0.1</v>
      </c>
      <c r="E7192" s="5">
        <v>113.6</v>
      </c>
      <c r="F7192" s="5">
        <v>225.4</v>
      </c>
      <c r="G7192" s="5">
        <v>112.1</v>
      </c>
      <c r="H7192" s="5">
        <v>111.9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113.4</v>
      </c>
      <c r="D7193" s="5">
        <v>0.1</v>
      </c>
      <c r="E7193" s="5">
        <v>113.6</v>
      </c>
      <c r="F7193" s="5">
        <v>225.4</v>
      </c>
      <c r="G7193" s="5">
        <v>112.1</v>
      </c>
      <c r="H7193" s="5">
        <v>111.9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113.4</v>
      </c>
      <c r="D7194" s="5">
        <v>0.1</v>
      </c>
      <c r="E7194" s="5">
        <v>113.6</v>
      </c>
      <c r="F7194" s="5">
        <v>224.6</v>
      </c>
      <c r="G7194" s="5">
        <v>111.7</v>
      </c>
      <c r="H7194" s="5">
        <v>111.5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112.7</v>
      </c>
      <c r="D7195" s="5">
        <v>0.1</v>
      </c>
      <c r="E7195" s="5">
        <v>112.9</v>
      </c>
      <c r="F7195" s="5">
        <v>224.6</v>
      </c>
      <c r="G7195" s="5">
        <v>111.7</v>
      </c>
      <c r="H7195" s="5">
        <v>111.5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112.7</v>
      </c>
      <c r="D7196" s="5">
        <v>0.1</v>
      </c>
      <c r="E7196" s="5">
        <v>112.9</v>
      </c>
      <c r="F7196" s="5">
        <v>224.6</v>
      </c>
      <c r="G7196" s="5">
        <v>111.7</v>
      </c>
      <c r="H7196" s="5">
        <v>111.5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112.7</v>
      </c>
      <c r="D7197" s="5">
        <v>0.1</v>
      </c>
      <c r="E7197" s="5">
        <v>112.9</v>
      </c>
      <c r="F7197" s="5">
        <v>224.6</v>
      </c>
      <c r="G7197" s="5">
        <v>111.7</v>
      </c>
      <c r="H7197" s="5">
        <v>111.5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113.2</v>
      </c>
      <c r="D7198" s="5">
        <v>0.1</v>
      </c>
      <c r="E7198" s="5">
        <v>113.4</v>
      </c>
      <c r="F7198" s="5">
        <v>224.8</v>
      </c>
      <c r="G7198" s="5">
        <v>111.7</v>
      </c>
      <c r="H7198" s="5">
        <v>111.5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113.2</v>
      </c>
      <c r="D7199" s="5">
        <v>0.1</v>
      </c>
      <c r="E7199" s="5">
        <v>113.4</v>
      </c>
      <c r="F7199" s="5">
        <v>224.8</v>
      </c>
      <c r="G7199" s="5">
        <v>111.7</v>
      </c>
      <c r="H7199" s="5">
        <v>111.5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113</v>
      </c>
      <c r="D7200" s="5">
        <v>0.1</v>
      </c>
      <c r="E7200" s="5">
        <v>113.4</v>
      </c>
      <c r="F7200" s="5">
        <v>224.8</v>
      </c>
      <c r="G7200" s="5">
        <v>111.7</v>
      </c>
      <c r="H7200" s="5">
        <v>111.5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113</v>
      </c>
      <c r="D7201" s="5">
        <v>0.1</v>
      </c>
      <c r="E7201" s="5">
        <v>113.2</v>
      </c>
      <c r="F7201" s="5">
        <v>225.1</v>
      </c>
      <c r="G7201" s="5">
        <v>111.7</v>
      </c>
      <c r="H7201" s="5">
        <v>111.4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113.1</v>
      </c>
      <c r="D7202" s="5">
        <v>0.1</v>
      </c>
      <c r="E7202" s="5">
        <v>113.2</v>
      </c>
      <c r="F7202" s="5">
        <v>225.1</v>
      </c>
      <c r="G7202" s="5">
        <v>111.7</v>
      </c>
      <c r="H7202" s="5">
        <v>111.4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113.1</v>
      </c>
      <c r="D7203" s="5">
        <v>0.1</v>
      </c>
      <c r="E7203" s="5">
        <v>113.2</v>
      </c>
      <c r="F7203" s="5">
        <v>225</v>
      </c>
      <c r="G7203" s="5">
        <v>111.9</v>
      </c>
      <c r="H7203" s="5">
        <v>111.7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113.1</v>
      </c>
      <c r="D7204" s="5">
        <v>0.1</v>
      </c>
      <c r="E7204" s="5">
        <v>113.2</v>
      </c>
      <c r="F7204" s="5">
        <v>225</v>
      </c>
      <c r="G7204" s="5">
        <v>111.9</v>
      </c>
      <c r="H7204" s="5">
        <v>111.7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113.4</v>
      </c>
      <c r="D7205" s="5">
        <v>0.1</v>
      </c>
      <c r="E7205" s="5">
        <v>113.6</v>
      </c>
      <c r="F7205" s="5">
        <v>225.8</v>
      </c>
      <c r="G7205" s="5">
        <v>112.3</v>
      </c>
      <c r="H7205" s="5">
        <v>112.1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113.4</v>
      </c>
      <c r="D7206" s="5">
        <v>0.1</v>
      </c>
      <c r="E7206" s="5">
        <v>113.6</v>
      </c>
      <c r="F7206" s="5">
        <v>225.8</v>
      </c>
      <c r="G7206" s="5">
        <v>112.3</v>
      </c>
      <c r="H7206" s="5">
        <v>112.1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113.4</v>
      </c>
      <c r="D7207" s="5">
        <v>0.1</v>
      </c>
      <c r="E7207" s="5">
        <v>113.6</v>
      </c>
      <c r="F7207" s="5">
        <v>225.8</v>
      </c>
      <c r="G7207" s="5">
        <v>112.3</v>
      </c>
      <c r="H7207" s="5">
        <v>112.1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113.4</v>
      </c>
      <c r="D7208" s="5">
        <v>0.1</v>
      </c>
      <c r="E7208" s="5">
        <v>113.6</v>
      </c>
      <c r="F7208" s="5">
        <v>225.8</v>
      </c>
      <c r="G7208" s="5">
        <v>112.3</v>
      </c>
      <c r="H7208" s="5">
        <v>112.1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112.5</v>
      </c>
      <c r="D7209" s="5">
        <v>0.1</v>
      </c>
      <c r="E7209" s="5">
        <v>112.6</v>
      </c>
      <c r="F7209" s="5">
        <v>224.2</v>
      </c>
      <c r="G7209" s="5">
        <v>111.5</v>
      </c>
      <c r="H7209" s="5">
        <v>111.3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112.5</v>
      </c>
      <c r="D7210" s="5">
        <v>0.1</v>
      </c>
      <c r="E7210" s="5">
        <v>112.6</v>
      </c>
      <c r="F7210" s="5">
        <v>224.2</v>
      </c>
      <c r="G7210" s="5">
        <v>111.5</v>
      </c>
      <c r="H7210" s="5">
        <v>111.3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113.2</v>
      </c>
      <c r="D7211" s="5">
        <v>0.1</v>
      </c>
      <c r="E7211" s="5">
        <v>113.3</v>
      </c>
      <c r="F7211" s="5">
        <v>225.2</v>
      </c>
      <c r="G7211" s="5">
        <v>112</v>
      </c>
      <c r="H7211" s="5">
        <v>111.8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113.2</v>
      </c>
      <c r="D7212" s="5">
        <v>0.1</v>
      </c>
      <c r="E7212" s="5">
        <v>113.3</v>
      </c>
      <c r="F7212" s="5">
        <v>225.2</v>
      </c>
      <c r="G7212" s="5">
        <v>112</v>
      </c>
      <c r="H7212" s="5">
        <v>111.8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113.6</v>
      </c>
      <c r="D7213" s="5">
        <v>0.1</v>
      </c>
      <c r="E7213" s="5">
        <v>113.8</v>
      </c>
      <c r="F7213" s="5">
        <v>225.2</v>
      </c>
      <c r="G7213" s="5">
        <v>111.9</v>
      </c>
      <c r="H7213" s="5">
        <v>111.9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113.6</v>
      </c>
      <c r="D7214" s="5">
        <v>0.1</v>
      </c>
      <c r="E7214" s="5">
        <v>113.8</v>
      </c>
      <c r="F7214" s="5">
        <v>225.2</v>
      </c>
      <c r="G7214" s="5">
        <v>111.9</v>
      </c>
      <c r="H7214" s="5">
        <v>111.9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113.5</v>
      </c>
      <c r="D7215" s="5">
        <v>0.1</v>
      </c>
      <c r="E7215" s="5">
        <v>113.6</v>
      </c>
      <c r="F7215" s="5">
        <v>225.8</v>
      </c>
      <c r="G7215" s="5">
        <v>112.2</v>
      </c>
      <c r="H7215" s="5">
        <v>112.1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113.5</v>
      </c>
      <c r="D7216" s="5">
        <v>0.1</v>
      </c>
      <c r="E7216" s="5">
        <v>113.6</v>
      </c>
      <c r="F7216" s="5">
        <v>225.8</v>
      </c>
      <c r="G7216" s="5">
        <v>112.2</v>
      </c>
      <c r="H7216" s="5">
        <v>112.1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113.5</v>
      </c>
      <c r="D7217" s="5">
        <v>0.1</v>
      </c>
      <c r="E7217" s="5">
        <v>113.6</v>
      </c>
      <c r="F7217" s="5">
        <v>225.8</v>
      </c>
      <c r="G7217" s="5">
        <v>112.2</v>
      </c>
      <c r="H7217" s="5">
        <v>112.1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113.5</v>
      </c>
      <c r="D7218" s="5">
        <v>0.1</v>
      </c>
      <c r="E7218" s="5">
        <v>113.6</v>
      </c>
      <c r="F7218" s="5">
        <v>225.8</v>
      </c>
      <c r="G7218" s="5">
        <v>112.2</v>
      </c>
      <c r="H7218" s="5">
        <v>112.1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113.5</v>
      </c>
      <c r="D7219" s="5">
        <v>0.1</v>
      </c>
      <c r="E7219" s="5">
        <v>113.6</v>
      </c>
      <c r="F7219" s="5">
        <v>225.8</v>
      </c>
      <c r="G7219" s="5">
        <v>112.2</v>
      </c>
      <c r="H7219" s="5">
        <v>112.1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113.5</v>
      </c>
      <c r="D7220" s="5">
        <v>0.1</v>
      </c>
      <c r="E7220" s="5">
        <v>113.6</v>
      </c>
      <c r="F7220" s="5">
        <v>225.8</v>
      </c>
      <c r="G7220" s="5">
        <v>112</v>
      </c>
      <c r="H7220" s="5">
        <v>111.8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113.1</v>
      </c>
      <c r="D7221" s="5">
        <v>0.1</v>
      </c>
      <c r="E7221" s="5">
        <v>113.2</v>
      </c>
      <c r="F7221" s="5">
        <v>225.2</v>
      </c>
      <c r="G7221" s="5">
        <v>112</v>
      </c>
      <c r="H7221" s="5">
        <v>111.8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113.1</v>
      </c>
      <c r="D7222" s="5">
        <v>0.1</v>
      </c>
      <c r="E7222" s="5">
        <v>113.2</v>
      </c>
      <c r="F7222" s="5">
        <v>225.2</v>
      </c>
      <c r="G7222" s="5">
        <v>112</v>
      </c>
      <c r="H7222" s="5">
        <v>111.9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113.6</v>
      </c>
      <c r="D7223" s="5">
        <v>0.1</v>
      </c>
      <c r="E7223" s="5">
        <v>113.7</v>
      </c>
      <c r="F7223" s="5">
        <v>225.4</v>
      </c>
      <c r="G7223" s="5">
        <v>112</v>
      </c>
      <c r="H7223" s="5">
        <v>111.9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113.6</v>
      </c>
      <c r="D7224" s="5">
        <v>0.1</v>
      </c>
      <c r="E7224" s="5">
        <v>113.7</v>
      </c>
      <c r="F7224" s="5">
        <v>225.4</v>
      </c>
      <c r="G7224" s="5">
        <v>112</v>
      </c>
      <c r="H7224" s="5">
        <v>111.9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113.3</v>
      </c>
      <c r="D7225" s="5">
        <v>0.1</v>
      </c>
      <c r="E7225" s="5">
        <v>113.5</v>
      </c>
      <c r="F7225" s="5">
        <v>225.5</v>
      </c>
      <c r="G7225" s="5">
        <v>112.1</v>
      </c>
      <c r="H7225" s="5">
        <v>111.9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113.3</v>
      </c>
      <c r="D7226" s="5">
        <v>0.1</v>
      </c>
      <c r="E7226" s="5">
        <v>113.5</v>
      </c>
      <c r="F7226" s="5">
        <v>225.5</v>
      </c>
      <c r="G7226" s="5">
        <v>112.1</v>
      </c>
      <c r="H7226" s="5">
        <v>111.9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113.3</v>
      </c>
      <c r="D7227" s="5">
        <v>0.1</v>
      </c>
      <c r="E7227" s="5">
        <v>113.5</v>
      </c>
      <c r="F7227" s="5">
        <v>225.5</v>
      </c>
      <c r="G7227" s="5">
        <v>112.1</v>
      </c>
      <c r="H7227" s="5">
        <v>111.9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113.2</v>
      </c>
      <c r="D7228" s="5">
        <v>0.1</v>
      </c>
      <c r="E7228" s="5">
        <v>113.4</v>
      </c>
      <c r="F7228" s="5">
        <v>225.1</v>
      </c>
      <c r="G7228" s="5">
        <v>111.9</v>
      </c>
      <c r="H7228" s="5">
        <v>111.8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113.2</v>
      </c>
      <c r="D7229" s="5">
        <v>0.1</v>
      </c>
      <c r="E7229" s="5">
        <v>113.4</v>
      </c>
      <c r="F7229" s="5">
        <v>225.1</v>
      </c>
      <c r="G7229" s="5">
        <v>111.9</v>
      </c>
      <c r="H7229" s="5">
        <v>111.8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113</v>
      </c>
      <c r="D7230" s="5">
        <v>0.1</v>
      </c>
      <c r="E7230" s="5">
        <v>113.2</v>
      </c>
      <c r="F7230" s="5">
        <v>224.7</v>
      </c>
      <c r="G7230" s="5">
        <v>111.6</v>
      </c>
      <c r="H7230" s="5">
        <v>111.4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113</v>
      </c>
      <c r="D7231" s="5">
        <v>0.1</v>
      </c>
      <c r="E7231" s="5">
        <v>113.2</v>
      </c>
      <c r="F7231" s="5">
        <v>224.7</v>
      </c>
      <c r="G7231" s="5">
        <v>111.6</v>
      </c>
      <c r="H7231" s="5">
        <v>111.4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113</v>
      </c>
      <c r="D7232" s="5">
        <v>0.1</v>
      </c>
      <c r="E7232" s="5">
        <v>113.2</v>
      </c>
      <c r="F7232" s="5">
        <v>224.7</v>
      </c>
      <c r="G7232" s="5">
        <v>111.6</v>
      </c>
      <c r="H7232" s="5">
        <v>111.4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113</v>
      </c>
      <c r="D7233" s="5">
        <v>0.1</v>
      </c>
      <c r="E7233" s="5">
        <v>113.2</v>
      </c>
      <c r="F7233" s="5">
        <v>224.7</v>
      </c>
      <c r="G7233" s="5">
        <v>111.6</v>
      </c>
      <c r="H7233" s="5">
        <v>111.4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112.9</v>
      </c>
      <c r="D7234" s="5">
        <v>0.1</v>
      </c>
      <c r="E7234" s="5">
        <v>113.1</v>
      </c>
      <c r="F7234" s="5">
        <v>224.5</v>
      </c>
      <c r="G7234" s="5">
        <v>111.6</v>
      </c>
      <c r="H7234" s="5">
        <v>111.5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112.9</v>
      </c>
      <c r="D7235" s="5">
        <v>0.1</v>
      </c>
      <c r="E7235" s="5">
        <v>113.1</v>
      </c>
      <c r="F7235" s="5">
        <v>224.5</v>
      </c>
      <c r="G7235" s="5">
        <v>111.6</v>
      </c>
      <c r="H7235" s="5">
        <v>111.5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112.9</v>
      </c>
      <c r="D7236" s="5">
        <v>0.1</v>
      </c>
      <c r="E7236" s="5">
        <v>113.1</v>
      </c>
      <c r="F7236" s="5">
        <v>224.5</v>
      </c>
      <c r="G7236" s="5">
        <v>111.6</v>
      </c>
      <c r="H7236" s="5">
        <v>111.5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112.9</v>
      </c>
      <c r="D7237" s="5">
        <v>0.1</v>
      </c>
      <c r="E7237" s="5">
        <v>113.1</v>
      </c>
      <c r="F7237" s="5">
        <v>224.5</v>
      </c>
      <c r="G7237" s="5">
        <v>111.6</v>
      </c>
      <c r="H7237" s="5">
        <v>111.5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112.5</v>
      </c>
      <c r="D7238" s="5">
        <v>0.1</v>
      </c>
      <c r="E7238" s="5">
        <v>112.6</v>
      </c>
      <c r="F7238" s="5">
        <v>224.7</v>
      </c>
      <c r="G7238" s="5">
        <v>111.8</v>
      </c>
      <c r="H7238" s="5">
        <v>111.6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112.5</v>
      </c>
      <c r="D7239" s="5">
        <v>0.1</v>
      </c>
      <c r="E7239" s="5">
        <v>112.6</v>
      </c>
      <c r="F7239" s="5">
        <v>224.7</v>
      </c>
      <c r="G7239" s="5">
        <v>111.8</v>
      </c>
      <c r="H7239" s="5">
        <v>111.6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112.9</v>
      </c>
      <c r="D7240" s="5">
        <v>0.1</v>
      </c>
      <c r="E7240" s="5">
        <v>113</v>
      </c>
      <c r="F7240" s="5">
        <v>223.9</v>
      </c>
      <c r="G7240" s="5">
        <v>111.4</v>
      </c>
      <c r="H7240" s="5">
        <v>111.2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112.9</v>
      </c>
      <c r="D7241" s="5">
        <v>0.1</v>
      </c>
      <c r="E7241" s="5">
        <v>113</v>
      </c>
      <c r="F7241" s="5">
        <v>223.9</v>
      </c>
      <c r="G7241" s="5">
        <v>111.4</v>
      </c>
      <c r="H7241" s="5">
        <v>111.2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112.7</v>
      </c>
      <c r="D7242" s="5">
        <v>0.1</v>
      </c>
      <c r="E7242" s="5">
        <v>112.9</v>
      </c>
      <c r="F7242" s="5">
        <v>223.9</v>
      </c>
      <c r="G7242" s="5">
        <v>111.3</v>
      </c>
      <c r="H7242" s="5">
        <v>111.2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112.7</v>
      </c>
      <c r="D7243" s="5">
        <v>0.1</v>
      </c>
      <c r="E7243" s="5">
        <v>112.9</v>
      </c>
      <c r="F7243" s="5">
        <v>223.9</v>
      </c>
      <c r="G7243" s="5">
        <v>111.3</v>
      </c>
      <c r="H7243" s="5">
        <v>111.2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112.9</v>
      </c>
      <c r="D7244" s="5">
        <v>0.1</v>
      </c>
      <c r="E7244" s="5">
        <v>113.1</v>
      </c>
      <c r="F7244" s="5">
        <v>224.2</v>
      </c>
      <c r="G7244" s="5">
        <v>111.5</v>
      </c>
      <c r="H7244" s="5">
        <v>111.3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112.9</v>
      </c>
      <c r="D7245" s="5">
        <v>0.1</v>
      </c>
      <c r="E7245" s="5">
        <v>113.1</v>
      </c>
      <c r="F7245" s="5">
        <v>224.2</v>
      </c>
      <c r="G7245" s="5">
        <v>111.5</v>
      </c>
      <c r="H7245" s="5">
        <v>111.3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112.9</v>
      </c>
      <c r="D7246" s="5">
        <v>0.1</v>
      </c>
      <c r="E7246" s="5">
        <v>113.1</v>
      </c>
      <c r="F7246" s="5">
        <v>224.2</v>
      </c>
      <c r="G7246" s="5">
        <v>111.5</v>
      </c>
      <c r="H7246" s="5">
        <v>111.3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112.9</v>
      </c>
      <c r="D7247" s="5">
        <v>0.1</v>
      </c>
      <c r="E7247" s="5">
        <v>113.1</v>
      </c>
      <c r="F7247" s="5">
        <v>224.2</v>
      </c>
      <c r="G7247" s="5">
        <v>111.5</v>
      </c>
      <c r="H7247" s="5">
        <v>111.3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112.4</v>
      </c>
      <c r="D7248" s="5">
        <v>0.1</v>
      </c>
      <c r="E7248" s="5">
        <v>112.6</v>
      </c>
      <c r="F7248" s="5">
        <v>223.5</v>
      </c>
      <c r="G7248" s="5">
        <v>111.1</v>
      </c>
      <c r="H7248" s="5">
        <v>110.9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112.4</v>
      </c>
      <c r="D7249" s="5">
        <v>0.1</v>
      </c>
      <c r="E7249" s="5">
        <v>112.6</v>
      </c>
      <c r="F7249" s="5">
        <v>223.5</v>
      </c>
      <c r="G7249" s="5">
        <v>111.1</v>
      </c>
      <c r="H7249" s="5">
        <v>110.9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112.6</v>
      </c>
      <c r="D7250" s="5">
        <v>0.1</v>
      </c>
      <c r="E7250" s="5">
        <v>112.6</v>
      </c>
      <c r="F7250" s="5">
        <v>223</v>
      </c>
      <c r="G7250" s="5">
        <v>110.9</v>
      </c>
      <c r="H7250" s="5">
        <v>110.8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112.6</v>
      </c>
      <c r="D7251" s="5">
        <v>0.1</v>
      </c>
      <c r="E7251" s="5">
        <v>112.6</v>
      </c>
      <c r="F7251" s="5">
        <v>223</v>
      </c>
      <c r="G7251" s="5">
        <v>110.9</v>
      </c>
      <c r="H7251" s="5">
        <v>110.8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112.3</v>
      </c>
      <c r="D7252" s="5">
        <v>0.1</v>
      </c>
      <c r="E7252" s="5">
        <v>112.4</v>
      </c>
      <c r="F7252" s="5">
        <v>222.1</v>
      </c>
      <c r="G7252" s="5">
        <v>110.4</v>
      </c>
      <c r="H7252" s="5">
        <v>110.3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112.3</v>
      </c>
      <c r="D7253" s="5">
        <v>0.1</v>
      </c>
      <c r="E7253" s="5">
        <v>112.4</v>
      </c>
      <c r="F7253" s="5">
        <v>222.1</v>
      </c>
      <c r="G7253" s="5">
        <v>110.4</v>
      </c>
      <c r="H7253" s="5">
        <v>110.3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112.6</v>
      </c>
      <c r="D7254" s="5">
        <v>0.1</v>
      </c>
      <c r="E7254" s="5">
        <v>112.7</v>
      </c>
      <c r="F7254" s="5">
        <v>223.2</v>
      </c>
      <c r="G7254" s="5">
        <v>110.4</v>
      </c>
      <c r="H7254" s="5">
        <v>110.7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112.6</v>
      </c>
      <c r="D7255" s="5">
        <v>0.1</v>
      </c>
      <c r="E7255" s="5">
        <v>112.7</v>
      </c>
      <c r="F7255" s="5">
        <v>223.2</v>
      </c>
      <c r="G7255" s="5">
        <v>110.9</v>
      </c>
      <c r="H7255" s="5">
        <v>110.7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112.6</v>
      </c>
      <c r="D7256" s="5">
        <v>0.1</v>
      </c>
      <c r="E7256" s="5">
        <v>112.7</v>
      </c>
      <c r="F7256" s="5">
        <v>223.2</v>
      </c>
      <c r="G7256" s="5">
        <v>110.9</v>
      </c>
      <c r="H7256" s="5">
        <v>110.7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112.6</v>
      </c>
      <c r="D7257" s="5">
        <v>0.1</v>
      </c>
      <c r="E7257" s="5">
        <v>112.7</v>
      </c>
      <c r="F7257" s="5">
        <v>223.2</v>
      </c>
      <c r="G7257" s="5">
        <v>110.9</v>
      </c>
      <c r="H7257" s="5">
        <v>110.7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112.5</v>
      </c>
      <c r="D7258" s="5">
        <v>0.1</v>
      </c>
      <c r="E7258" s="5">
        <v>112.6</v>
      </c>
      <c r="F7258" s="5">
        <v>223.8</v>
      </c>
      <c r="G7258" s="5">
        <v>111.2</v>
      </c>
      <c r="H7258" s="5">
        <v>111.1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112.5</v>
      </c>
      <c r="D7259" s="5">
        <v>0.1</v>
      </c>
      <c r="E7259" s="5">
        <v>112.6</v>
      </c>
      <c r="F7259" s="5">
        <v>223.8</v>
      </c>
      <c r="G7259" s="5">
        <v>111.2</v>
      </c>
      <c r="H7259" s="5">
        <v>111.1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112.6</v>
      </c>
      <c r="D7260" s="5">
        <v>0.1</v>
      </c>
      <c r="E7260" s="5">
        <v>112.7</v>
      </c>
      <c r="F7260" s="5">
        <v>224.3</v>
      </c>
      <c r="G7260" s="5">
        <v>111.5</v>
      </c>
      <c r="H7260" s="5">
        <v>111.4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112.6</v>
      </c>
      <c r="D7261" s="5">
        <v>0.1</v>
      </c>
      <c r="E7261" s="5">
        <v>112.7</v>
      </c>
      <c r="F7261" s="5">
        <v>224.3</v>
      </c>
      <c r="G7261" s="5">
        <v>111.5</v>
      </c>
      <c r="H7261" s="5">
        <v>111.4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112.9</v>
      </c>
      <c r="D7262" s="5">
        <v>0.1</v>
      </c>
      <c r="E7262" s="5">
        <v>113.1</v>
      </c>
      <c r="F7262" s="5">
        <v>224.1</v>
      </c>
      <c r="G7262" s="5">
        <v>111.4</v>
      </c>
      <c r="H7262" s="5">
        <v>111.2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112.9</v>
      </c>
      <c r="D7263" s="5">
        <v>0.1</v>
      </c>
      <c r="E7263" s="5">
        <v>113.1</v>
      </c>
      <c r="F7263" s="5">
        <v>224.1</v>
      </c>
      <c r="G7263" s="5">
        <v>111.4</v>
      </c>
      <c r="H7263" s="5">
        <v>111.2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113</v>
      </c>
      <c r="D7264" s="5">
        <v>0.1</v>
      </c>
      <c r="E7264" s="5">
        <v>113.2</v>
      </c>
      <c r="F7264" s="5">
        <v>224.2</v>
      </c>
      <c r="G7264" s="5">
        <v>111.5</v>
      </c>
      <c r="H7264" s="5">
        <v>111.4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113</v>
      </c>
      <c r="D7265" s="5">
        <v>0.1</v>
      </c>
      <c r="E7265" s="5">
        <v>113.2</v>
      </c>
      <c r="F7265" s="5">
        <v>224.2</v>
      </c>
      <c r="G7265" s="5">
        <v>111.5</v>
      </c>
      <c r="H7265" s="5">
        <v>111.4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113</v>
      </c>
      <c r="D7266" s="5">
        <v>0.1</v>
      </c>
      <c r="E7266" s="5">
        <v>113.2</v>
      </c>
      <c r="F7266" s="5">
        <v>224.2</v>
      </c>
      <c r="G7266" s="5">
        <v>111.5</v>
      </c>
      <c r="H7266" s="5">
        <v>111.4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113</v>
      </c>
      <c r="D7267" s="5">
        <v>0.1</v>
      </c>
      <c r="E7267" s="5">
        <v>113.2</v>
      </c>
      <c r="F7267" s="5">
        <v>224.2</v>
      </c>
      <c r="G7267" s="5">
        <v>111.5</v>
      </c>
      <c r="H7267" s="5">
        <v>111.4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112.3</v>
      </c>
      <c r="D7268" s="5">
        <v>0.1</v>
      </c>
      <c r="E7268" s="5">
        <v>112.5</v>
      </c>
      <c r="F7268" s="5">
        <v>224.3</v>
      </c>
      <c r="G7268" s="5">
        <v>111.5</v>
      </c>
      <c r="H7268" s="5">
        <v>111.3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112.3</v>
      </c>
      <c r="D7269" s="5">
        <v>0.1</v>
      </c>
      <c r="E7269" s="5">
        <v>112.5</v>
      </c>
      <c r="F7269" s="5">
        <v>224.3</v>
      </c>
      <c r="G7269" s="5">
        <v>111.5</v>
      </c>
      <c r="H7269" s="5">
        <v>111.3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112.6</v>
      </c>
      <c r="D7270" s="5">
        <v>0.1</v>
      </c>
      <c r="E7270" s="5">
        <v>112.7</v>
      </c>
      <c r="F7270" s="5">
        <v>223.6</v>
      </c>
      <c r="G7270" s="5">
        <v>111.1</v>
      </c>
      <c r="H7270" s="5">
        <v>110.9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112.6</v>
      </c>
      <c r="D7271" s="5">
        <v>0.1</v>
      </c>
      <c r="E7271" s="5">
        <v>112.7</v>
      </c>
      <c r="F7271" s="5">
        <v>223.6</v>
      </c>
      <c r="G7271" s="5">
        <v>111.1</v>
      </c>
      <c r="H7271" s="5">
        <v>110.9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112.6</v>
      </c>
      <c r="D7272" s="5">
        <v>0.1</v>
      </c>
      <c r="E7272" s="5">
        <v>112.8</v>
      </c>
      <c r="F7272" s="5">
        <v>224.3</v>
      </c>
      <c r="G7272" s="5">
        <v>111.5</v>
      </c>
      <c r="H7272" s="5">
        <v>111.4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112.6</v>
      </c>
      <c r="D7273" s="5">
        <v>0.1</v>
      </c>
      <c r="E7273" s="5">
        <v>112.8</v>
      </c>
      <c r="F7273" s="5">
        <v>224.3</v>
      </c>
      <c r="G7273" s="5">
        <v>111.5</v>
      </c>
      <c r="H7273" s="5">
        <v>111.4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112.7</v>
      </c>
      <c r="D7274" s="5">
        <v>0.1</v>
      </c>
      <c r="E7274" s="5">
        <v>112.9</v>
      </c>
      <c r="F7274" s="5">
        <v>224.2</v>
      </c>
      <c r="G7274" s="5">
        <v>111.4</v>
      </c>
      <c r="H7274" s="5">
        <v>111.3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112.7</v>
      </c>
      <c r="D7275" s="5">
        <v>0.1</v>
      </c>
      <c r="E7275" s="5">
        <v>112.9</v>
      </c>
      <c r="F7275" s="5">
        <v>224.2</v>
      </c>
      <c r="G7275" s="5">
        <v>111.4</v>
      </c>
      <c r="H7275" s="5">
        <v>111.3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112.7</v>
      </c>
      <c r="D7276" s="5">
        <v>0.1</v>
      </c>
      <c r="E7276" s="5">
        <v>112.9</v>
      </c>
      <c r="F7276" s="5">
        <v>224.2</v>
      </c>
      <c r="G7276" s="5">
        <v>111.4</v>
      </c>
      <c r="H7276" s="5">
        <v>111.3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112.7</v>
      </c>
      <c r="D7277" s="5">
        <v>0.1</v>
      </c>
      <c r="E7277" s="5">
        <v>112.9</v>
      </c>
      <c r="F7277" s="5">
        <v>224.2</v>
      </c>
      <c r="G7277" s="5">
        <v>111.4</v>
      </c>
      <c r="H7277" s="5">
        <v>111.3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112.6</v>
      </c>
      <c r="D7278" s="5">
        <v>0.1</v>
      </c>
      <c r="E7278" s="5">
        <v>112.8</v>
      </c>
      <c r="F7278" s="5">
        <v>224.7</v>
      </c>
      <c r="G7278" s="5">
        <v>111.7</v>
      </c>
      <c r="H7278" s="5">
        <v>111.5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112.6</v>
      </c>
      <c r="D7279" s="5">
        <v>0.1</v>
      </c>
      <c r="E7279" s="5">
        <v>112.8</v>
      </c>
      <c r="F7279" s="5">
        <v>224.7</v>
      </c>
      <c r="G7279" s="5">
        <v>111.7</v>
      </c>
      <c r="H7279" s="5">
        <v>111.5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112.7</v>
      </c>
      <c r="D7280" s="5">
        <v>0.1</v>
      </c>
      <c r="E7280" s="5">
        <v>112.9</v>
      </c>
      <c r="F7280" s="5">
        <v>224.4</v>
      </c>
      <c r="G7280" s="5">
        <v>111.5</v>
      </c>
      <c r="H7280" s="5">
        <v>111.4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112.7</v>
      </c>
      <c r="D7281" s="5">
        <v>0.1</v>
      </c>
      <c r="E7281" s="5">
        <v>112.9</v>
      </c>
      <c r="F7281" s="5">
        <v>224.4</v>
      </c>
      <c r="G7281" s="5">
        <v>111.5</v>
      </c>
      <c r="H7281" s="5">
        <v>111.4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112.9</v>
      </c>
      <c r="D7282" s="5">
        <v>0.1</v>
      </c>
      <c r="E7282" s="5">
        <v>113.1</v>
      </c>
      <c r="F7282" s="5">
        <v>223.8</v>
      </c>
      <c r="G7282" s="5">
        <v>111.3</v>
      </c>
      <c r="H7282" s="5">
        <v>111.1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112.9</v>
      </c>
      <c r="D7283" s="5">
        <v>0.1</v>
      </c>
      <c r="E7283" s="5">
        <v>113.1</v>
      </c>
      <c r="F7283" s="5">
        <v>223.8</v>
      </c>
      <c r="G7283" s="5">
        <v>111.3</v>
      </c>
      <c r="H7283" s="5">
        <v>111.1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113.1</v>
      </c>
      <c r="D7284" s="5">
        <v>0.1</v>
      </c>
      <c r="E7284" s="5">
        <v>113.2</v>
      </c>
      <c r="F7284" s="5">
        <v>224.6</v>
      </c>
      <c r="G7284" s="5">
        <v>111.6</v>
      </c>
      <c r="H7284" s="5">
        <v>111.5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113.1</v>
      </c>
      <c r="D7285" s="5">
        <v>0.1</v>
      </c>
      <c r="E7285" s="5">
        <v>113.2</v>
      </c>
      <c r="F7285" s="5">
        <v>224.6</v>
      </c>
      <c r="G7285" s="5">
        <v>111.6</v>
      </c>
      <c r="H7285" s="5">
        <v>111.5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113.1</v>
      </c>
      <c r="D7286" s="5">
        <v>0.1</v>
      </c>
      <c r="E7286" s="5">
        <v>113.2</v>
      </c>
      <c r="F7286" s="5">
        <v>224.6</v>
      </c>
      <c r="G7286" s="5">
        <v>111.6</v>
      </c>
      <c r="H7286" s="5">
        <v>111.5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113.1</v>
      </c>
      <c r="D7287" s="5">
        <v>0.1</v>
      </c>
      <c r="E7287" s="5">
        <v>113.2</v>
      </c>
      <c r="F7287" s="5">
        <v>224.6</v>
      </c>
      <c r="G7287" s="5">
        <v>111.6</v>
      </c>
      <c r="H7287" s="5">
        <v>111.5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112.9</v>
      </c>
      <c r="D7288" s="5">
        <v>0.1</v>
      </c>
      <c r="E7288" s="5">
        <v>113.1</v>
      </c>
      <c r="F7288" s="5">
        <v>223.7</v>
      </c>
      <c r="G7288" s="5">
        <v>111.2</v>
      </c>
      <c r="H7288" s="5">
        <v>111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112.9</v>
      </c>
      <c r="D7289" s="5">
        <v>0.1</v>
      </c>
      <c r="E7289" s="5">
        <v>113.1</v>
      </c>
      <c r="F7289" s="5">
        <v>223.7</v>
      </c>
      <c r="G7289" s="5">
        <v>111.2</v>
      </c>
      <c r="H7289" s="5">
        <v>111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112.7</v>
      </c>
      <c r="D7290" s="5">
        <v>0.1</v>
      </c>
      <c r="E7290" s="5">
        <v>112.9</v>
      </c>
      <c r="F7290" s="5">
        <v>224.1</v>
      </c>
      <c r="G7290" s="5">
        <v>111.3</v>
      </c>
      <c r="H7290" s="5">
        <v>111.2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112.7</v>
      </c>
      <c r="D7291" s="5">
        <v>0.1</v>
      </c>
      <c r="E7291" s="5">
        <v>112.9</v>
      </c>
      <c r="F7291" s="5">
        <v>224.1</v>
      </c>
      <c r="G7291" s="5">
        <v>111.3</v>
      </c>
      <c r="H7291" s="5">
        <v>111.2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112.3</v>
      </c>
      <c r="D7292" s="5">
        <v>0.1</v>
      </c>
      <c r="E7292" s="5">
        <v>112.5</v>
      </c>
      <c r="F7292" s="5">
        <v>223.8</v>
      </c>
      <c r="G7292" s="5">
        <v>111.3</v>
      </c>
      <c r="H7292" s="5">
        <v>111.1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112.3</v>
      </c>
      <c r="D7293" s="5">
        <v>0.1</v>
      </c>
      <c r="E7293" s="5">
        <v>112.5</v>
      </c>
      <c r="F7293" s="5">
        <v>223.8</v>
      </c>
      <c r="G7293" s="5">
        <v>111.3</v>
      </c>
      <c r="H7293" s="5">
        <v>111.1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112.8</v>
      </c>
      <c r="D7294" s="5">
        <v>0.1</v>
      </c>
      <c r="E7294" s="5">
        <v>112.9</v>
      </c>
      <c r="F7294" s="5">
        <v>224.1</v>
      </c>
      <c r="G7294" s="5">
        <v>111.4</v>
      </c>
      <c r="H7294" s="5">
        <v>111.2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112.8</v>
      </c>
      <c r="D7295" s="5">
        <v>0.1</v>
      </c>
      <c r="E7295" s="5">
        <v>112.9</v>
      </c>
      <c r="F7295" s="5">
        <v>224.1</v>
      </c>
      <c r="G7295" s="5">
        <v>111.4</v>
      </c>
      <c r="H7295" s="5">
        <v>111.2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112.8</v>
      </c>
      <c r="D7296" s="5">
        <v>0.1</v>
      </c>
      <c r="E7296" s="5">
        <v>112.9</v>
      </c>
      <c r="F7296" s="5">
        <v>224.1</v>
      </c>
      <c r="G7296" s="5">
        <v>111.4</v>
      </c>
      <c r="H7296" s="5">
        <v>111.2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112.8</v>
      </c>
      <c r="D7297" s="5">
        <v>0.1</v>
      </c>
      <c r="E7297" s="5">
        <v>112.9</v>
      </c>
      <c r="F7297" s="5">
        <v>224.1</v>
      </c>
      <c r="G7297" s="5">
        <v>111.4</v>
      </c>
      <c r="H7297" s="5">
        <v>111.2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113.1</v>
      </c>
      <c r="D7298" s="5">
        <v>0.1</v>
      </c>
      <c r="E7298" s="5">
        <v>113.2</v>
      </c>
      <c r="F7298" s="5">
        <v>224.4</v>
      </c>
      <c r="G7298" s="5">
        <v>111.6</v>
      </c>
      <c r="H7298" s="5">
        <v>111.4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113.1</v>
      </c>
      <c r="D7299" s="5">
        <v>0.1</v>
      </c>
      <c r="E7299" s="5">
        <v>113.2</v>
      </c>
      <c r="F7299" s="5">
        <v>224.4</v>
      </c>
      <c r="G7299" s="5">
        <v>111.6</v>
      </c>
      <c r="H7299" s="5">
        <v>111.4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113</v>
      </c>
      <c r="D7300" s="5">
        <v>0.1</v>
      </c>
      <c r="E7300" s="5">
        <v>113.1</v>
      </c>
      <c r="F7300" s="5">
        <v>224</v>
      </c>
      <c r="G7300" s="5">
        <v>111.3</v>
      </c>
      <c r="H7300" s="5">
        <v>111.2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113</v>
      </c>
      <c r="D7301" s="5">
        <v>0.1</v>
      </c>
      <c r="E7301" s="5">
        <v>113.1</v>
      </c>
      <c r="F7301" s="5">
        <v>224</v>
      </c>
      <c r="G7301" s="5">
        <v>111.3</v>
      </c>
      <c r="H7301" s="5">
        <v>111.2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112.9</v>
      </c>
      <c r="D7302" s="5">
        <v>0.1</v>
      </c>
      <c r="E7302" s="5">
        <v>113</v>
      </c>
      <c r="F7302" s="5">
        <v>224.6</v>
      </c>
      <c r="G7302" s="5">
        <v>111.6</v>
      </c>
      <c r="H7302" s="5">
        <v>111.5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112.9</v>
      </c>
      <c r="D7303" s="5">
        <v>0.1</v>
      </c>
      <c r="E7303" s="5">
        <v>113</v>
      </c>
      <c r="F7303" s="5">
        <v>224.6</v>
      </c>
      <c r="G7303" s="5">
        <v>111.6</v>
      </c>
      <c r="H7303" s="5">
        <v>111.5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112.3</v>
      </c>
      <c r="D7304" s="5">
        <v>0.1</v>
      </c>
      <c r="E7304" s="5">
        <v>112.4</v>
      </c>
      <c r="F7304" s="5">
        <v>224.6</v>
      </c>
      <c r="G7304" s="5">
        <v>111.6</v>
      </c>
      <c r="H7304" s="5">
        <v>111.4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112.3</v>
      </c>
      <c r="D7305" s="5">
        <v>0.1</v>
      </c>
      <c r="E7305" s="5">
        <v>112.4</v>
      </c>
      <c r="F7305" s="5">
        <v>224.6</v>
      </c>
      <c r="G7305" s="5">
        <v>111.6</v>
      </c>
      <c r="H7305" s="5">
        <v>111.4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112.3</v>
      </c>
      <c r="D7306" s="5">
        <v>0.1</v>
      </c>
      <c r="E7306" s="5">
        <v>112.4</v>
      </c>
      <c r="F7306" s="5">
        <v>224.6</v>
      </c>
      <c r="G7306" s="5">
        <v>111.6</v>
      </c>
      <c r="H7306" s="5">
        <v>111.4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112.3</v>
      </c>
      <c r="D7307" s="5">
        <v>0.1</v>
      </c>
      <c r="E7307" s="5">
        <v>112.4</v>
      </c>
      <c r="F7307" s="5">
        <v>224.6</v>
      </c>
      <c r="G7307" s="5">
        <v>111.6</v>
      </c>
      <c r="H7307" s="5">
        <v>111.4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112.7</v>
      </c>
      <c r="D7308" s="5">
        <v>0.1</v>
      </c>
      <c r="E7308" s="5">
        <v>112.9</v>
      </c>
      <c r="F7308" s="5">
        <v>224.6</v>
      </c>
      <c r="G7308" s="5">
        <v>111.7</v>
      </c>
      <c r="H7308" s="5">
        <v>111.5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112.7</v>
      </c>
      <c r="D7309" s="5">
        <v>0.1</v>
      </c>
      <c r="E7309" s="5">
        <v>112.9</v>
      </c>
      <c r="F7309" s="5">
        <v>224.6</v>
      </c>
      <c r="G7309" s="5">
        <v>111.7</v>
      </c>
      <c r="H7309" s="5">
        <v>111.5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113.2</v>
      </c>
      <c r="D7310" s="5">
        <v>0.1</v>
      </c>
      <c r="E7310" s="5">
        <v>113.4</v>
      </c>
      <c r="F7310" s="5">
        <v>224.8</v>
      </c>
      <c r="G7310" s="5">
        <v>111.8</v>
      </c>
      <c r="H7310" s="5">
        <v>111.6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113.2</v>
      </c>
      <c r="D7311" s="5">
        <v>0.1</v>
      </c>
      <c r="E7311" s="5">
        <v>113.4</v>
      </c>
      <c r="F7311" s="5">
        <v>224.8</v>
      </c>
      <c r="G7311" s="5">
        <v>111.8</v>
      </c>
      <c r="H7311" s="5">
        <v>111.6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112.7</v>
      </c>
      <c r="D7312" s="5">
        <v>0.1</v>
      </c>
      <c r="E7312" s="5">
        <v>112.9</v>
      </c>
      <c r="F7312" s="5">
        <v>224.4</v>
      </c>
      <c r="G7312" s="5">
        <v>111.6</v>
      </c>
      <c r="H7312" s="5">
        <v>111.5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112.7</v>
      </c>
      <c r="D7313" s="5">
        <v>0.1</v>
      </c>
      <c r="E7313" s="5">
        <v>112.9</v>
      </c>
      <c r="F7313" s="5">
        <v>224.4</v>
      </c>
      <c r="G7313" s="5">
        <v>111.6</v>
      </c>
      <c r="H7313" s="5">
        <v>111.5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112.9</v>
      </c>
      <c r="D7314" s="5">
        <v>0.1</v>
      </c>
      <c r="E7314" s="5">
        <v>113</v>
      </c>
      <c r="F7314" s="5">
        <v>224.7</v>
      </c>
      <c r="G7314" s="5">
        <v>111.8</v>
      </c>
      <c r="H7314" s="5">
        <v>111.7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112.9</v>
      </c>
      <c r="D7315" s="5">
        <v>0.1</v>
      </c>
      <c r="E7315" s="5">
        <v>113</v>
      </c>
      <c r="F7315" s="5">
        <v>224.7</v>
      </c>
      <c r="G7315" s="5">
        <v>111.8</v>
      </c>
      <c r="H7315" s="5">
        <v>111.7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112.9</v>
      </c>
      <c r="D7316" s="5">
        <v>0.1</v>
      </c>
      <c r="E7316" s="5">
        <v>113</v>
      </c>
      <c r="F7316" s="5">
        <v>224.7</v>
      </c>
      <c r="G7316" s="5">
        <v>111.8</v>
      </c>
      <c r="H7316" s="5">
        <v>111.7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112.9</v>
      </c>
      <c r="D7317" s="5">
        <v>0.1</v>
      </c>
      <c r="E7317" s="5">
        <v>113</v>
      </c>
      <c r="F7317" s="5">
        <v>224.7</v>
      </c>
      <c r="G7317" s="5">
        <v>111.8</v>
      </c>
      <c r="H7317" s="5">
        <v>111.7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112.7</v>
      </c>
      <c r="D7318" s="5">
        <v>0.1</v>
      </c>
      <c r="E7318" s="5">
        <v>112.9</v>
      </c>
      <c r="F7318" s="5">
        <v>224.7</v>
      </c>
      <c r="G7318" s="5">
        <v>111.7</v>
      </c>
      <c r="H7318" s="5">
        <v>111.6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112.7</v>
      </c>
      <c r="D7319" s="5">
        <v>0.1</v>
      </c>
      <c r="E7319" s="5">
        <v>112.9</v>
      </c>
      <c r="F7319" s="5">
        <v>224.7</v>
      </c>
      <c r="G7319" s="5">
        <v>111.7</v>
      </c>
      <c r="H7319" s="5">
        <v>111.6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113</v>
      </c>
      <c r="D7320" s="5">
        <v>0.1</v>
      </c>
      <c r="E7320" s="5">
        <v>113.2</v>
      </c>
      <c r="F7320" s="5">
        <v>224.9</v>
      </c>
      <c r="G7320" s="5">
        <v>111.9</v>
      </c>
      <c r="H7320" s="5">
        <v>111.7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113</v>
      </c>
      <c r="D7321" s="5">
        <v>0.1</v>
      </c>
      <c r="E7321" s="5">
        <v>113.2</v>
      </c>
      <c r="F7321" s="5">
        <v>224.9</v>
      </c>
      <c r="G7321" s="5">
        <v>111.9</v>
      </c>
      <c r="H7321" s="5">
        <v>111.7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110</v>
      </c>
      <c r="D7322" s="5">
        <v>0.1</v>
      </c>
      <c r="E7322" s="5">
        <v>110.1</v>
      </c>
      <c r="F7322" s="5">
        <v>215.5</v>
      </c>
      <c r="G7322" s="5">
        <v>107</v>
      </c>
      <c r="H7322" s="5">
        <v>107.1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110</v>
      </c>
      <c r="D7323" s="5">
        <v>0.1</v>
      </c>
      <c r="E7323" s="5">
        <v>110.1</v>
      </c>
      <c r="F7323" s="5">
        <v>215.5</v>
      </c>
      <c r="G7323" s="5">
        <v>107</v>
      </c>
      <c r="H7323" s="5">
        <v>107.1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108.6</v>
      </c>
      <c r="D7324" s="5">
        <v>0.1</v>
      </c>
      <c r="E7324" s="5">
        <v>108.8</v>
      </c>
      <c r="F7324" s="5">
        <v>216.6</v>
      </c>
      <c r="G7324" s="5">
        <v>107.7</v>
      </c>
      <c r="H7324" s="5">
        <v>107.5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108.6</v>
      </c>
      <c r="D7325" s="5">
        <v>0.1</v>
      </c>
      <c r="E7325" s="5">
        <v>108.8</v>
      </c>
      <c r="F7325" s="5">
        <v>216.6</v>
      </c>
      <c r="G7325" s="5">
        <v>107.7</v>
      </c>
      <c r="H7325" s="5">
        <v>107.5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108.6</v>
      </c>
      <c r="D7326" s="5">
        <v>0.1</v>
      </c>
      <c r="E7326" s="5">
        <v>108.8</v>
      </c>
      <c r="F7326" s="5">
        <v>216.6</v>
      </c>
      <c r="G7326" s="5">
        <v>107.7</v>
      </c>
      <c r="H7326" s="5">
        <v>107.5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108.6</v>
      </c>
      <c r="D7327" s="5">
        <v>0.1</v>
      </c>
      <c r="E7327" s="5">
        <v>108.8</v>
      </c>
      <c r="F7327" s="5">
        <v>216.6</v>
      </c>
      <c r="G7327" s="5">
        <v>106.9</v>
      </c>
      <c r="H7327" s="5">
        <v>106.8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108.2</v>
      </c>
      <c r="D7328" s="5">
        <v>0.1</v>
      </c>
      <c r="E7328" s="5">
        <v>108.3</v>
      </c>
      <c r="F7328" s="5">
        <v>215</v>
      </c>
      <c r="G7328" s="5">
        <v>106.9</v>
      </c>
      <c r="H7328" s="5">
        <v>106.8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108.2</v>
      </c>
      <c r="D7329" s="5">
        <v>0.1</v>
      </c>
      <c r="E7329" s="5">
        <v>108.3</v>
      </c>
      <c r="F7329" s="5">
        <v>215</v>
      </c>
      <c r="G7329" s="5">
        <v>106.2</v>
      </c>
      <c r="H7329" s="5">
        <v>106.1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107.2</v>
      </c>
      <c r="D7330" s="5">
        <v>0.1</v>
      </c>
      <c r="E7330" s="5">
        <v>107.4</v>
      </c>
      <c r="F7330" s="5">
        <v>213.5</v>
      </c>
      <c r="G7330" s="5">
        <v>106.2</v>
      </c>
      <c r="H7330" s="5">
        <v>106.1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107.2</v>
      </c>
      <c r="D7331" s="5">
        <v>0.1</v>
      </c>
      <c r="E7331" s="5">
        <v>107.4</v>
      </c>
      <c r="F7331" s="5">
        <v>213.5</v>
      </c>
      <c r="G7331" s="5">
        <v>106.2</v>
      </c>
      <c r="H7331" s="5">
        <v>106.2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107.8</v>
      </c>
      <c r="D7332" s="5">
        <v>0.1</v>
      </c>
      <c r="E7332" s="5">
        <v>108</v>
      </c>
      <c r="F7332" s="5">
        <v>214.1</v>
      </c>
      <c r="G7332" s="5">
        <v>106.4</v>
      </c>
      <c r="H7332" s="5">
        <v>106.2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107.8</v>
      </c>
      <c r="D7333" s="5">
        <v>0.1</v>
      </c>
      <c r="E7333" s="5">
        <v>108</v>
      </c>
      <c r="F7333" s="5">
        <v>214.1</v>
      </c>
      <c r="G7333" s="5">
        <v>106.4</v>
      </c>
      <c r="H7333" s="5">
        <v>106.5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107.9</v>
      </c>
      <c r="D7334" s="5">
        <v>0.1</v>
      </c>
      <c r="E7334" s="5">
        <v>108.1</v>
      </c>
      <c r="F7334" s="5">
        <v>214.4</v>
      </c>
      <c r="G7334" s="5">
        <v>106.6</v>
      </c>
      <c r="H7334" s="5">
        <v>106.5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107.9</v>
      </c>
      <c r="D7335" s="5">
        <v>0.1</v>
      </c>
      <c r="E7335" s="5">
        <v>108.1</v>
      </c>
      <c r="F7335" s="5">
        <v>214.4</v>
      </c>
      <c r="G7335" s="5">
        <v>106.6</v>
      </c>
      <c r="H7335" s="5">
        <v>106.5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107.9</v>
      </c>
      <c r="D7336" s="5">
        <v>0.1</v>
      </c>
      <c r="E7336" s="5">
        <v>108.1</v>
      </c>
      <c r="F7336" s="5">
        <v>214.4</v>
      </c>
      <c r="G7336" s="5">
        <v>106.6</v>
      </c>
      <c r="H7336" s="5">
        <v>106.5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107.6</v>
      </c>
      <c r="D7337" s="5">
        <v>0.1</v>
      </c>
      <c r="E7337" s="5">
        <v>107.8</v>
      </c>
      <c r="F7337" s="5">
        <v>213.7</v>
      </c>
      <c r="G7337" s="5">
        <v>106.6</v>
      </c>
      <c r="H7337" s="5">
        <v>106.5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107.6</v>
      </c>
      <c r="D7338" s="5">
        <v>0.1</v>
      </c>
      <c r="E7338" s="5">
        <v>107.8</v>
      </c>
      <c r="F7338" s="5">
        <v>213.7</v>
      </c>
      <c r="G7338" s="5">
        <v>106.2</v>
      </c>
      <c r="H7338" s="5">
        <v>106.1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107.2</v>
      </c>
      <c r="D7339" s="5">
        <v>0.1</v>
      </c>
      <c r="E7339" s="5">
        <v>107.3</v>
      </c>
      <c r="F7339" s="5">
        <v>213.7</v>
      </c>
      <c r="G7339" s="5">
        <v>106.2</v>
      </c>
      <c r="H7339" s="5">
        <v>106.1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107.2</v>
      </c>
      <c r="D7340" s="5">
        <v>0.1</v>
      </c>
      <c r="E7340" s="5">
        <v>107.3</v>
      </c>
      <c r="F7340" s="5">
        <v>213.6</v>
      </c>
      <c r="G7340" s="5">
        <v>106.2</v>
      </c>
      <c r="H7340" s="5">
        <v>106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108.2</v>
      </c>
      <c r="D7341" s="5">
        <v>0.1</v>
      </c>
      <c r="E7341" s="5">
        <v>107.3</v>
      </c>
      <c r="F7341" s="5">
        <v>213.6</v>
      </c>
      <c r="G7341" s="5">
        <v>106.2</v>
      </c>
      <c r="H7341" s="5">
        <v>106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108.2</v>
      </c>
      <c r="D7342" s="5">
        <v>0.1</v>
      </c>
      <c r="E7342" s="5">
        <v>108.4</v>
      </c>
      <c r="F7342" s="5">
        <v>215.5</v>
      </c>
      <c r="G7342" s="5">
        <v>107.1</v>
      </c>
      <c r="H7342" s="5">
        <v>107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108.2</v>
      </c>
      <c r="D7343" s="5">
        <v>0.1</v>
      </c>
      <c r="E7343" s="5">
        <v>108.4</v>
      </c>
      <c r="F7343" s="5">
        <v>215.5</v>
      </c>
      <c r="G7343" s="5">
        <v>107.1</v>
      </c>
      <c r="H7343" s="5">
        <v>107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108</v>
      </c>
      <c r="D7344" s="5">
        <v>0.1</v>
      </c>
      <c r="E7344" s="5">
        <v>108.1</v>
      </c>
      <c r="F7344" s="5">
        <v>215</v>
      </c>
      <c r="G7344" s="5">
        <v>106.8</v>
      </c>
      <c r="H7344" s="5">
        <v>106.6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108</v>
      </c>
      <c r="D7345" s="5">
        <v>0.1</v>
      </c>
      <c r="E7345" s="5">
        <v>108.1</v>
      </c>
      <c r="F7345" s="5">
        <v>215</v>
      </c>
      <c r="G7345" s="5">
        <v>106.8</v>
      </c>
      <c r="H7345" s="5">
        <v>106.6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108</v>
      </c>
      <c r="D7346" s="5">
        <v>0.1</v>
      </c>
      <c r="E7346" s="5">
        <v>108.1</v>
      </c>
      <c r="F7346" s="5">
        <v>215</v>
      </c>
      <c r="G7346" s="5">
        <v>106.8</v>
      </c>
      <c r="H7346" s="5">
        <v>106.6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108</v>
      </c>
      <c r="D7347" s="5">
        <v>0.1</v>
      </c>
      <c r="E7347" s="5">
        <v>108.1</v>
      </c>
      <c r="F7347" s="5">
        <v>215</v>
      </c>
      <c r="G7347" s="5">
        <v>106.8</v>
      </c>
      <c r="H7347" s="5">
        <v>106.6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107.2</v>
      </c>
      <c r="D7348" s="5">
        <v>0.1</v>
      </c>
      <c r="E7348" s="5">
        <v>107.4</v>
      </c>
      <c r="F7348" s="5">
        <v>214.2</v>
      </c>
      <c r="G7348" s="5">
        <v>106.7</v>
      </c>
      <c r="H7348" s="5">
        <v>106.9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107.2</v>
      </c>
      <c r="D7349" s="5">
        <v>0.1</v>
      </c>
      <c r="E7349" s="5">
        <v>107.4</v>
      </c>
      <c r="F7349" s="5">
        <v>214.2</v>
      </c>
      <c r="G7349" s="5">
        <v>106.7</v>
      </c>
      <c r="H7349" s="5">
        <v>106.9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107.6</v>
      </c>
      <c r="D7350" s="5">
        <v>0.1</v>
      </c>
      <c r="E7350" s="5">
        <v>107.8</v>
      </c>
      <c r="F7350" s="5">
        <v>214.6</v>
      </c>
      <c r="G7350" s="5">
        <v>106.7</v>
      </c>
      <c r="H7350" s="5">
        <v>106.6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107.6</v>
      </c>
      <c r="D7351" s="5">
        <v>0.1</v>
      </c>
      <c r="E7351" s="5">
        <v>107.8</v>
      </c>
      <c r="F7351" s="5">
        <v>214.6</v>
      </c>
      <c r="G7351" s="5">
        <v>106.7</v>
      </c>
      <c r="H7351" s="5">
        <v>106.6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107.9</v>
      </c>
      <c r="D7352" s="5">
        <v>0.1</v>
      </c>
      <c r="E7352" s="5">
        <v>108.1</v>
      </c>
      <c r="F7352" s="5">
        <v>214.7</v>
      </c>
      <c r="G7352" s="5">
        <v>106.8</v>
      </c>
      <c r="H7352" s="5">
        <v>106.7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107.9</v>
      </c>
      <c r="D7353" s="5">
        <v>0.1</v>
      </c>
      <c r="E7353" s="5">
        <v>108.1</v>
      </c>
      <c r="F7353" s="5">
        <v>214.7</v>
      </c>
      <c r="G7353" s="5">
        <v>106.8</v>
      </c>
      <c r="H7353" s="5">
        <v>106.7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108.4</v>
      </c>
      <c r="D7354" s="5">
        <v>0.1</v>
      </c>
      <c r="E7354" s="5">
        <v>108.5</v>
      </c>
      <c r="F7354" s="5">
        <v>215</v>
      </c>
      <c r="G7354" s="5">
        <v>106.9</v>
      </c>
      <c r="H7354" s="5">
        <v>106.8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108.4</v>
      </c>
      <c r="D7355" s="5">
        <v>0.1</v>
      </c>
      <c r="E7355" s="5">
        <v>108.5</v>
      </c>
      <c r="F7355" s="5">
        <v>215</v>
      </c>
      <c r="G7355" s="5">
        <v>106.9</v>
      </c>
      <c r="H7355" s="5">
        <v>106.8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108.4</v>
      </c>
      <c r="D7356" s="5">
        <v>0.1</v>
      </c>
      <c r="E7356" s="5">
        <v>108.5</v>
      </c>
      <c r="F7356" s="5">
        <v>215</v>
      </c>
      <c r="G7356" s="5">
        <v>106.9</v>
      </c>
      <c r="H7356" s="5">
        <v>106.8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108.4</v>
      </c>
      <c r="D7357" s="5">
        <v>0.1</v>
      </c>
      <c r="E7357" s="5">
        <v>108.5</v>
      </c>
      <c r="F7357" s="5">
        <v>215</v>
      </c>
      <c r="G7357" s="5">
        <v>106.9</v>
      </c>
      <c r="H7357" s="5">
        <v>107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108.4</v>
      </c>
      <c r="D7358" s="5">
        <v>0.1</v>
      </c>
      <c r="E7358" s="5">
        <v>108.5</v>
      </c>
      <c r="F7358" s="5">
        <v>215.4</v>
      </c>
      <c r="G7358" s="5">
        <v>107.1</v>
      </c>
      <c r="H7358" s="5">
        <v>107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108.4</v>
      </c>
      <c r="D7359" s="5">
        <v>0.1</v>
      </c>
      <c r="E7359" s="5">
        <v>108.5</v>
      </c>
      <c r="F7359" s="5">
        <v>215.4</v>
      </c>
      <c r="G7359" s="5">
        <v>107.1</v>
      </c>
      <c r="H7359" s="5">
        <v>107.5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108.8</v>
      </c>
      <c r="D7360" s="5">
        <v>0.1</v>
      </c>
      <c r="E7360" s="5">
        <v>109</v>
      </c>
      <c r="F7360" s="5">
        <v>216.5</v>
      </c>
      <c r="G7360" s="5">
        <v>107.7</v>
      </c>
      <c r="H7360" s="5">
        <v>107.5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108.8</v>
      </c>
      <c r="D7361" s="5">
        <v>0.1</v>
      </c>
      <c r="E7361" s="5">
        <v>109</v>
      </c>
      <c r="F7361" s="5">
        <v>216.5</v>
      </c>
      <c r="G7361" s="5">
        <v>107.7</v>
      </c>
      <c r="H7361" s="5">
        <v>107.5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108.2</v>
      </c>
      <c r="D7362" s="5">
        <v>0.1</v>
      </c>
      <c r="E7362" s="5">
        <v>108.4</v>
      </c>
      <c r="F7362" s="5">
        <v>215.6</v>
      </c>
      <c r="G7362" s="5">
        <v>107.1</v>
      </c>
      <c r="H7362" s="5">
        <v>106.9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108.2</v>
      </c>
      <c r="D7363" s="5">
        <v>0.1</v>
      </c>
      <c r="E7363" s="5">
        <v>108.4</v>
      </c>
      <c r="F7363" s="5">
        <v>215.6</v>
      </c>
      <c r="G7363" s="5">
        <v>107.1</v>
      </c>
      <c r="H7363" s="5">
        <v>106.9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109.7</v>
      </c>
      <c r="D7364" s="5">
        <v>0.1</v>
      </c>
      <c r="E7364" s="5">
        <v>109.8</v>
      </c>
      <c r="F7364" s="5">
        <v>218.4</v>
      </c>
      <c r="G7364" s="5">
        <v>108.5</v>
      </c>
      <c r="H7364" s="5">
        <v>108.4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109.7</v>
      </c>
      <c r="D7365" s="5">
        <v>0.1</v>
      </c>
      <c r="E7365" s="5">
        <v>109.8</v>
      </c>
      <c r="F7365" s="5">
        <v>218.4</v>
      </c>
      <c r="G7365" s="5">
        <v>108.5</v>
      </c>
      <c r="H7365" s="5">
        <v>108.4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109.7</v>
      </c>
      <c r="D7366" s="5">
        <v>0.1</v>
      </c>
      <c r="E7366" s="5">
        <v>109.8</v>
      </c>
      <c r="F7366" s="5">
        <v>218.4</v>
      </c>
      <c r="G7366" s="5">
        <v>108.5</v>
      </c>
      <c r="H7366" s="5">
        <v>108.4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110.2</v>
      </c>
      <c r="D7367" s="5">
        <v>0.1</v>
      </c>
      <c r="E7367" s="5">
        <v>110.4</v>
      </c>
      <c r="F7367" s="5">
        <v>218.9</v>
      </c>
      <c r="G7367" s="5">
        <v>108.8</v>
      </c>
      <c r="H7367" s="5">
        <v>108.7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110.2</v>
      </c>
      <c r="D7368" s="5">
        <v>0.1</v>
      </c>
      <c r="E7368" s="5">
        <v>110.4</v>
      </c>
      <c r="F7368" s="5">
        <v>218.9</v>
      </c>
      <c r="G7368" s="5">
        <v>108.8</v>
      </c>
      <c r="H7368" s="5">
        <v>108.7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109.8</v>
      </c>
      <c r="D7369" s="5">
        <v>0.1</v>
      </c>
      <c r="E7369" s="5">
        <v>110</v>
      </c>
      <c r="F7369" s="5">
        <v>218.8</v>
      </c>
      <c r="G7369" s="5">
        <v>108.8</v>
      </c>
      <c r="H7369" s="5">
        <v>108.6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109.8</v>
      </c>
      <c r="D7370" s="5">
        <v>0.1</v>
      </c>
      <c r="E7370" s="5">
        <v>110</v>
      </c>
      <c r="F7370" s="5">
        <v>218.8</v>
      </c>
      <c r="G7370" s="5">
        <v>108.8</v>
      </c>
      <c r="H7370" s="5">
        <v>108.6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109.7</v>
      </c>
      <c r="D7371" s="5">
        <v>0.1</v>
      </c>
      <c r="E7371" s="5">
        <v>109.9</v>
      </c>
      <c r="F7371" s="5">
        <v>218.6</v>
      </c>
      <c r="G7371" s="5">
        <v>108.7</v>
      </c>
      <c r="H7371" s="5">
        <v>108.6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109.7</v>
      </c>
      <c r="D7372" s="5">
        <v>0.1</v>
      </c>
      <c r="E7372" s="5">
        <v>109.9</v>
      </c>
      <c r="F7372" s="5">
        <v>218.6</v>
      </c>
      <c r="G7372" s="5">
        <v>108.7</v>
      </c>
      <c r="H7372" s="5">
        <v>108.6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109.5</v>
      </c>
      <c r="D7373" s="5">
        <v>0.1</v>
      </c>
      <c r="E7373" s="5">
        <v>109.7</v>
      </c>
      <c r="F7373" s="5">
        <v>217.9</v>
      </c>
      <c r="G7373" s="5">
        <v>108.3</v>
      </c>
      <c r="H7373" s="5">
        <v>108.2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109.5</v>
      </c>
      <c r="D7374" s="5">
        <v>0.1</v>
      </c>
      <c r="E7374" s="5">
        <v>109.7</v>
      </c>
      <c r="F7374" s="5">
        <v>217.9</v>
      </c>
      <c r="G7374" s="5">
        <v>108.3</v>
      </c>
      <c r="H7374" s="5">
        <v>108.2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109.5</v>
      </c>
      <c r="D7375" s="5">
        <v>0.1</v>
      </c>
      <c r="E7375" s="5">
        <v>109.7</v>
      </c>
      <c r="F7375" s="5">
        <v>217.9</v>
      </c>
      <c r="G7375" s="5">
        <v>108.3</v>
      </c>
      <c r="H7375" s="5">
        <v>108.2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109.5</v>
      </c>
      <c r="D7376" s="5">
        <v>0.1</v>
      </c>
      <c r="E7376" s="5">
        <v>109.7</v>
      </c>
      <c r="F7376" s="5">
        <v>217.9</v>
      </c>
      <c r="G7376" s="5">
        <v>108.3</v>
      </c>
      <c r="H7376" s="5">
        <v>108.2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110.4</v>
      </c>
      <c r="D7377" s="5">
        <v>0.1</v>
      </c>
      <c r="E7377" s="5">
        <v>110.6</v>
      </c>
      <c r="F7377" s="5">
        <v>218.6</v>
      </c>
      <c r="G7377" s="5">
        <v>108.7</v>
      </c>
      <c r="H7377" s="5">
        <v>108.6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110.4</v>
      </c>
      <c r="D7378" s="5">
        <v>0.1</v>
      </c>
      <c r="E7378" s="5">
        <v>110.6</v>
      </c>
      <c r="F7378" s="5">
        <v>218.6</v>
      </c>
      <c r="G7378" s="5">
        <v>108.7</v>
      </c>
      <c r="H7378" s="5">
        <v>108.6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110</v>
      </c>
      <c r="D7379" s="5">
        <v>0.1</v>
      </c>
      <c r="E7379" s="5">
        <v>110.1</v>
      </c>
      <c r="F7379" s="5">
        <v>218.3</v>
      </c>
      <c r="G7379" s="5">
        <v>108.6</v>
      </c>
      <c r="H7379" s="5">
        <v>108.5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110</v>
      </c>
      <c r="D7380" s="5">
        <v>0.1</v>
      </c>
      <c r="E7380" s="5">
        <v>110.1</v>
      </c>
      <c r="F7380" s="5">
        <v>218.3</v>
      </c>
      <c r="G7380" s="5">
        <v>108.6</v>
      </c>
      <c r="H7380" s="5">
        <v>108.5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110.1</v>
      </c>
      <c r="D7381" s="5">
        <v>0.1</v>
      </c>
      <c r="E7381" s="5">
        <v>110.2</v>
      </c>
      <c r="F7381" s="5">
        <v>218.6</v>
      </c>
      <c r="G7381" s="5">
        <v>108.7</v>
      </c>
      <c r="H7381" s="5">
        <v>108.6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110.1</v>
      </c>
      <c r="D7382" s="5">
        <v>0.1</v>
      </c>
      <c r="E7382" s="5">
        <v>110.2</v>
      </c>
      <c r="F7382" s="5">
        <v>218.6</v>
      </c>
      <c r="G7382" s="5">
        <v>108.7</v>
      </c>
      <c r="H7382" s="5">
        <v>108.6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110.3</v>
      </c>
      <c r="D7383" s="5">
        <v>0.1</v>
      </c>
      <c r="E7383" s="5">
        <v>110.4</v>
      </c>
      <c r="F7383" s="5">
        <v>218.6</v>
      </c>
      <c r="G7383" s="5">
        <v>108.7</v>
      </c>
      <c r="H7383" s="5">
        <v>108.6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110.3</v>
      </c>
      <c r="D7384" s="5">
        <v>0.1</v>
      </c>
      <c r="E7384" s="5">
        <v>110.4</v>
      </c>
      <c r="F7384" s="5">
        <v>219.6</v>
      </c>
      <c r="G7384" s="5">
        <v>109.2</v>
      </c>
      <c r="H7384" s="5">
        <v>109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110.3</v>
      </c>
      <c r="D7385" s="5">
        <v>0.1</v>
      </c>
      <c r="E7385" s="5">
        <v>110.4</v>
      </c>
      <c r="F7385" s="5">
        <v>219.6</v>
      </c>
      <c r="G7385" s="5">
        <v>109.2</v>
      </c>
      <c r="H7385" s="5">
        <v>109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110.3</v>
      </c>
      <c r="D7386" s="5">
        <v>0.1</v>
      </c>
      <c r="E7386" s="5">
        <v>110.4</v>
      </c>
      <c r="F7386" s="5">
        <v>219.6</v>
      </c>
      <c r="G7386" s="5">
        <v>109.2</v>
      </c>
      <c r="H7386" s="5">
        <v>109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110.1</v>
      </c>
      <c r="D7387" s="5">
        <v>0.1</v>
      </c>
      <c r="E7387" s="5">
        <v>109.6</v>
      </c>
      <c r="F7387" s="5">
        <v>218.7</v>
      </c>
      <c r="G7387" s="5">
        <v>108.8</v>
      </c>
      <c r="H7387" s="5">
        <v>108.7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110.1</v>
      </c>
      <c r="D7388" s="5">
        <v>0.1</v>
      </c>
      <c r="E7388" s="5">
        <v>109.6</v>
      </c>
      <c r="F7388" s="5">
        <v>218.7</v>
      </c>
      <c r="G7388" s="5">
        <v>108.8</v>
      </c>
      <c r="H7388" s="5">
        <v>108.7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109.7</v>
      </c>
      <c r="D7389" s="5">
        <v>0.1</v>
      </c>
      <c r="E7389" s="5">
        <v>109.8</v>
      </c>
      <c r="F7389" s="5">
        <v>217.9</v>
      </c>
      <c r="G7389" s="5">
        <v>108.4</v>
      </c>
      <c r="H7389" s="5">
        <v>108.2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109.7</v>
      </c>
      <c r="D7390" s="5">
        <v>0.1</v>
      </c>
      <c r="E7390" s="5">
        <v>109.8</v>
      </c>
      <c r="F7390" s="5">
        <v>217.9</v>
      </c>
      <c r="G7390" s="5">
        <v>108.4</v>
      </c>
      <c r="H7390" s="5">
        <v>108.2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109.9</v>
      </c>
      <c r="D7391" s="5">
        <v>0.1</v>
      </c>
      <c r="E7391" s="5">
        <v>110.1</v>
      </c>
      <c r="F7391" s="5">
        <v>218</v>
      </c>
      <c r="G7391" s="5">
        <v>108.4</v>
      </c>
      <c r="H7391" s="5">
        <v>108.2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109.9</v>
      </c>
      <c r="D7392" s="5">
        <v>0.1</v>
      </c>
      <c r="E7392" s="5">
        <v>110.1</v>
      </c>
      <c r="F7392" s="5">
        <v>218</v>
      </c>
      <c r="G7392" s="5">
        <v>108.4</v>
      </c>
      <c r="H7392" s="5">
        <v>108.2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109.9</v>
      </c>
      <c r="D7393" s="5">
        <v>0.1</v>
      </c>
      <c r="E7393" s="5">
        <v>110.1</v>
      </c>
      <c r="F7393" s="5">
        <v>218.7</v>
      </c>
      <c r="G7393" s="5">
        <v>108.7</v>
      </c>
      <c r="H7393" s="5">
        <v>108.6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109.9</v>
      </c>
      <c r="D7394" s="5">
        <v>0.1</v>
      </c>
      <c r="E7394" s="5">
        <v>110.1</v>
      </c>
      <c r="F7394" s="5">
        <v>218.7</v>
      </c>
      <c r="G7394" s="5">
        <v>108.7</v>
      </c>
      <c r="H7394" s="5">
        <v>108.6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109.9</v>
      </c>
      <c r="D7395" s="5">
        <v>0.1</v>
      </c>
      <c r="E7395" s="5">
        <v>110.1</v>
      </c>
      <c r="F7395" s="5">
        <v>218.7</v>
      </c>
      <c r="G7395" s="5">
        <v>108.7</v>
      </c>
      <c r="H7395" s="5">
        <v>108.6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109.9</v>
      </c>
      <c r="D7396" s="5">
        <v>0.1</v>
      </c>
      <c r="E7396" s="5">
        <v>110.1</v>
      </c>
      <c r="F7396" s="5">
        <v>218.7</v>
      </c>
      <c r="G7396" s="5">
        <v>108.7</v>
      </c>
      <c r="H7396" s="5">
        <v>108.6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110.4</v>
      </c>
      <c r="D7397" s="5">
        <v>0.1</v>
      </c>
      <c r="E7397" s="5">
        <v>110.6</v>
      </c>
      <c r="F7397" s="5">
        <v>219.7</v>
      </c>
      <c r="G7397" s="5">
        <v>109.2</v>
      </c>
      <c r="H7397" s="5">
        <v>109.1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110.4</v>
      </c>
      <c r="D7398" s="5">
        <v>0.1</v>
      </c>
      <c r="E7398" s="5">
        <v>110.6</v>
      </c>
      <c r="F7398" s="5">
        <v>219.7</v>
      </c>
      <c r="G7398" s="5">
        <v>109.2</v>
      </c>
      <c r="H7398" s="5">
        <v>109.1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110.1</v>
      </c>
      <c r="D7399" s="5">
        <v>0.1</v>
      </c>
      <c r="E7399" s="5">
        <v>110.2</v>
      </c>
      <c r="F7399" s="5">
        <v>218.2</v>
      </c>
      <c r="G7399" s="5">
        <v>108.5</v>
      </c>
      <c r="H7399" s="5">
        <v>108.3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110.1</v>
      </c>
      <c r="D7400" s="5">
        <v>0.1</v>
      </c>
      <c r="E7400" s="5">
        <v>110.2</v>
      </c>
      <c r="F7400" s="5">
        <v>218.2</v>
      </c>
      <c r="G7400" s="5">
        <v>108.5</v>
      </c>
      <c r="H7400" s="5">
        <v>108.3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110.1</v>
      </c>
      <c r="D7401" s="5">
        <v>0.1</v>
      </c>
      <c r="E7401" s="5">
        <v>110.2</v>
      </c>
      <c r="F7401" s="5">
        <v>219.1</v>
      </c>
      <c r="G7401" s="5">
        <v>108.8</v>
      </c>
      <c r="H7401" s="5">
        <v>108.7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110.1</v>
      </c>
      <c r="D7402" s="5">
        <v>0.1</v>
      </c>
      <c r="E7402" s="5">
        <v>110.2</v>
      </c>
      <c r="F7402" s="5">
        <v>219.1</v>
      </c>
      <c r="G7402" s="5">
        <v>108.8</v>
      </c>
      <c r="H7402" s="5">
        <v>108.7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109.9</v>
      </c>
      <c r="D7403" s="5">
        <v>0.1</v>
      </c>
      <c r="E7403" s="5">
        <v>110.1</v>
      </c>
      <c r="F7403" s="5">
        <v>218.2</v>
      </c>
      <c r="G7403" s="5">
        <v>108.5</v>
      </c>
      <c r="H7403" s="5">
        <v>108.4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109.9</v>
      </c>
      <c r="D7404" s="5">
        <v>0.1</v>
      </c>
      <c r="E7404" s="5">
        <v>110.1</v>
      </c>
      <c r="F7404" s="5">
        <v>218.2</v>
      </c>
      <c r="G7404" s="5">
        <v>108.5</v>
      </c>
      <c r="H7404" s="5">
        <v>108.4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109.9</v>
      </c>
      <c r="D7405" s="5">
        <v>0.1</v>
      </c>
      <c r="E7405" s="5">
        <v>110.1</v>
      </c>
      <c r="F7405" s="5">
        <v>218.2</v>
      </c>
      <c r="G7405" s="5">
        <v>108.5</v>
      </c>
      <c r="H7405" s="5">
        <v>108.4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109.9</v>
      </c>
      <c r="D7406" s="5">
        <v>0.1</v>
      </c>
      <c r="E7406" s="5">
        <v>110.1</v>
      </c>
      <c r="F7406" s="5">
        <v>218.2</v>
      </c>
      <c r="G7406" s="5">
        <v>108.5</v>
      </c>
      <c r="H7406" s="5">
        <v>108.4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109.7</v>
      </c>
      <c r="D7407" s="5">
        <v>0.1</v>
      </c>
      <c r="E7407" s="5">
        <v>109.8</v>
      </c>
      <c r="F7407" s="5">
        <v>218.9</v>
      </c>
      <c r="G7407" s="5">
        <v>108.8</v>
      </c>
      <c r="H7407" s="5">
        <v>108.6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109.7</v>
      </c>
      <c r="D7408" s="5">
        <v>0.1</v>
      </c>
      <c r="E7408" s="5">
        <v>109.8</v>
      </c>
      <c r="F7408" s="5">
        <v>218.9</v>
      </c>
      <c r="G7408" s="5">
        <v>108.8</v>
      </c>
      <c r="H7408" s="5">
        <v>108.6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109.7</v>
      </c>
      <c r="D7409" s="5">
        <v>0.1</v>
      </c>
      <c r="E7409" s="5">
        <v>110</v>
      </c>
      <c r="F7409" s="5">
        <v>218.4</v>
      </c>
      <c r="G7409" s="5">
        <v>108.6</v>
      </c>
      <c r="H7409" s="5">
        <v>108.5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109.7</v>
      </c>
      <c r="D7410" s="5">
        <v>0.1</v>
      </c>
      <c r="E7410" s="5">
        <v>110</v>
      </c>
      <c r="F7410" s="5">
        <v>218.4</v>
      </c>
      <c r="G7410" s="5">
        <v>108.6</v>
      </c>
      <c r="H7410" s="5">
        <v>108.5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110.1</v>
      </c>
      <c r="D7411" s="5">
        <v>0.1</v>
      </c>
      <c r="E7411" s="5">
        <v>110.2</v>
      </c>
      <c r="F7411" s="5">
        <v>219.1</v>
      </c>
      <c r="G7411" s="5">
        <v>108.9</v>
      </c>
      <c r="H7411" s="5">
        <v>108.7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110.1</v>
      </c>
      <c r="D7412" s="5">
        <v>0.1</v>
      </c>
      <c r="E7412" s="5">
        <v>110.2</v>
      </c>
      <c r="F7412" s="5">
        <v>219.1</v>
      </c>
      <c r="G7412" s="5">
        <v>108.9</v>
      </c>
      <c r="H7412" s="5">
        <v>108.7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110.4</v>
      </c>
      <c r="D7413" s="5">
        <v>0.1</v>
      </c>
      <c r="E7413" s="5">
        <v>110.6</v>
      </c>
      <c r="F7413" s="5">
        <v>219.8</v>
      </c>
      <c r="G7413" s="5">
        <v>109.2</v>
      </c>
      <c r="H7413" s="5">
        <v>109.1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110.4</v>
      </c>
      <c r="D7414" s="5">
        <v>0.1</v>
      </c>
      <c r="E7414" s="5">
        <v>110.6</v>
      </c>
      <c r="F7414" s="5">
        <v>219.8</v>
      </c>
      <c r="G7414" s="5">
        <v>109.2</v>
      </c>
      <c r="H7414" s="5">
        <v>109.1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110.4</v>
      </c>
      <c r="D7415" s="5">
        <v>0.1</v>
      </c>
      <c r="E7415" s="5">
        <v>110.6</v>
      </c>
      <c r="F7415" s="5">
        <v>219.8</v>
      </c>
      <c r="G7415" s="5">
        <v>109.2</v>
      </c>
      <c r="H7415" s="5">
        <v>109.1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110.4</v>
      </c>
      <c r="D7416" s="5">
        <v>0.1</v>
      </c>
      <c r="E7416" s="5">
        <v>110.6</v>
      </c>
      <c r="F7416" s="5">
        <v>219.8</v>
      </c>
      <c r="G7416" s="5">
        <v>109.2</v>
      </c>
      <c r="H7416" s="5">
        <v>109.1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110</v>
      </c>
      <c r="D7417" s="5">
        <v>0.1</v>
      </c>
      <c r="E7417" s="5">
        <v>110.1</v>
      </c>
      <c r="F7417" s="5">
        <v>219.2</v>
      </c>
      <c r="G7417" s="5">
        <v>109</v>
      </c>
      <c r="H7417" s="5">
        <v>108.8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110</v>
      </c>
      <c r="D7418" s="5">
        <v>0.1</v>
      </c>
      <c r="E7418" s="5">
        <v>110.1</v>
      </c>
      <c r="F7418" s="5">
        <v>219.2</v>
      </c>
      <c r="G7418" s="5">
        <v>109</v>
      </c>
      <c r="H7418" s="5">
        <v>108.8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110</v>
      </c>
      <c r="D7419" s="5">
        <v>0.1</v>
      </c>
      <c r="E7419" s="5">
        <v>110.1</v>
      </c>
      <c r="F7419" s="5">
        <v>218.5</v>
      </c>
      <c r="G7419" s="5">
        <v>108.6</v>
      </c>
      <c r="H7419" s="5">
        <v>108.4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110</v>
      </c>
      <c r="D7420" s="5">
        <v>0.1</v>
      </c>
      <c r="E7420" s="5">
        <v>110.1</v>
      </c>
      <c r="F7420" s="5">
        <v>218.5</v>
      </c>
      <c r="G7420" s="5">
        <v>108.6</v>
      </c>
      <c r="H7420" s="5">
        <v>108.4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109.8</v>
      </c>
      <c r="D7421" s="5">
        <v>0.1</v>
      </c>
      <c r="E7421" s="5">
        <v>110</v>
      </c>
      <c r="F7421" s="5">
        <v>218.5</v>
      </c>
      <c r="G7421" s="5">
        <v>108.8</v>
      </c>
      <c r="H7421" s="5">
        <v>108.8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109.8</v>
      </c>
      <c r="D7422" s="5">
        <v>0.1</v>
      </c>
      <c r="E7422" s="5">
        <v>110</v>
      </c>
      <c r="F7422" s="5">
        <v>218.5</v>
      </c>
      <c r="G7422" s="5">
        <v>108.8</v>
      </c>
      <c r="H7422" s="5">
        <v>108.8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109.7</v>
      </c>
      <c r="D7423" s="5">
        <v>0.1</v>
      </c>
      <c r="E7423" s="5">
        <v>109.8</v>
      </c>
      <c r="F7423" s="5">
        <v>218</v>
      </c>
      <c r="G7423" s="5">
        <v>108.4</v>
      </c>
      <c r="H7423" s="5">
        <v>108.3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109.7</v>
      </c>
      <c r="D7424" s="5">
        <v>0.1</v>
      </c>
      <c r="E7424" s="5">
        <v>109.8</v>
      </c>
      <c r="F7424" s="5">
        <v>218</v>
      </c>
      <c r="G7424" s="5">
        <v>108.4</v>
      </c>
      <c r="H7424" s="5">
        <v>108.3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109.7</v>
      </c>
      <c r="D7425" s="5">
        <v>0.1</v>
      </c>
      <c r="E7425" s="5">
        <v>109.8</v>
      </c>
      <c r="F7425" s="5">
        <v>218</v>
      </c>
      <c r="G7425" s="5">
        <v>108.4</v>
      </c>
      <c r="H7425" s="5">
        <v>108.3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109.7</v>
      </c>
      <c r="D7426" s="5">
        <v>0.1</v>
      </c>
      <c r="E7426" s="5">
        <v>109.8</v>
      </c>
      <c r="F7426" s="5">
        <v>218</v>
      </c>
      <c r="G7426" s="5">
        <v>108.4</v>
      </c>
      <c r="H7426" s="5">
        <v>108.3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109.8</v>
      </c>
      <c r="D7427" s="5">
        <v>0.1</v>
      </c>
      <c r="E7427" s="5">
        <v>110</v>
      </c>
      <c r="F7427" s="5">
        <v>218.5</v>
      </c>
      <c r="G7427" s="5">
        <v>108.6</v>
      </c>
      <c r="H7427" s="5">
        <v>108.5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109.8</v>
      </c>
      <c r="D7428" s="5">
        <v>0.1</v>
      </c>
      <c r="E7428" s="5">
        <v>110</v>
      </c>
      <c r="F7428" s="5">
        <v>218.5</v>
      </c>
      <c r="G7428" s="5">
        <v>108.6</v>
      </c>
      <c r="H7428" s="5">
        <v>108.5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110.1</v>
      </c>
      <c r="D7429" s="5">
        <v>0.1</v>
      </c>
      <c r="E7429" s="5">
        <v>110.3</v>
      </c>
      <c r="F7429" s="5">
        <v>219.4</v>
      </c>
      <c r="G7429" s="5">
        <v>109.1</v>
      </c>
      <c r="H7429" s="5">
        <v>109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110.1</v>
      </c>
      <c r="D7430" s="5">
        <v>0.1</v>
      </c>
      <c r="E7430" s="5">
        <v>110.3</v>
      </c>
      <c r="F7430" s="5">
        <v>219.4</v>
      </c>
      <c r="G7430" s="5">
        <v>109.1</v>
      </c>
      <c r="H7430" s="5">
        <v>109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110.1</v>
      </c>
      <c r="D7431" s="5">
        <v>0.1</v>
      </c>
      <c r="E7431" s="5">
        <v>110.2</v>
      </c>
      <c r="F7431" s="5">
        <v>218.8</v>
      </c>
      <c r="G7431" s="5">
        <v>108.8</v>
      </c>
      <c r="H7431" s="5">
        <v>108.6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110.1</v>
      </c>
      <c r="D7432" s="5">
        <v>0.1</v>
      </c>
      <c r="E7432" s="5">
        <v>110.2</v>
      </c>
      <c r="F7432" s="5">
        <v>218.8</v>
      </c>
      <c r="G7432" s="5">
        <v>108.8</v>
      </c>
      <c r="H7432" s="5">
        <v>108.6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109.9</v>
      </c>
      <c r="D7433" s="5">
        <v>0.1</v>
      </c>
      <c r="E7433" s="5">
        <v>110.1</v>
      </c>
      <c r="F7433" s="5">
        <v>219.1</v>
      </c>
      <c r="G7433" s="5">
        <v>108.9</v>
      </c>
      <c r="H7433" s="5">
        <v>108.7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109.9</v>
      </c>
      <c r="D7434" s="5">
        <v>0.1</v>
      </c>
      <c r="E7434" s="5">
        <v>110.1</v>
      </c>
      <c r="F7434" s="5">
        <v>219.1</v>
      </c>
      <c r="G7434" s="5">
        <v>108.9</v>
      </c>
      <c r="H7434" s="5">
        <v>108.7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109.9</v>
      </c>
      <c r="D7435" s="5">
        <v>0.1</v>
      </c>
      <c r="E7435" s="5">
        <v>110.1</v>
      </c>
      <c r="F7435" s="5">
        <v>219.1</v>
      </c>
      <c r="G7435" s="5">
        <v>108.9</v>
      </c>
      <c r="H7435" s="5">
        <v>108.7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109.9</v>
      </c>
      <c r="D7436" s="5">
        <v>0.1</v>
      </c>
      <c r="E7436" s="5">
        <v>110.1</v>
      </c>
      <c r="F7436" s="5">
        <v>219.1</v>
      </c>
      <c r="G7436" s="5">
        <v>108.9</v>
      </c>
      <c r="H7436" s="5">
        <v>108.7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109.7</v>
      </c>
      <c r="D7437" s="5">
        <v>0.1</v>
      </c>
      <c r="E7437" s="5">
        <v>109.9</v>
      </c>
      <c r="F7437" s="5">
        <v>219.8</v>
      </c>
      <c r="G7437" s="5">
        <v>109.3</v>
      </c>
      <c r="H7437" s="5">
        <v>109.1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109.7</v>
      </c>
      <c r="D7438" s="5">
        <v>0.1</v>
      </c>
      <c r="E7438" s="5">
        <v>109.9</v>
      </c>
      <c r="F7438" s="5">
        <v>219.8</v>
      </c>
      <c r="G7438" s="5">
        <v>109.3</v>
      </c>
      <c r="H7438" s="5">
        <v>109.1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109.8</v>
      </c>
      <c r="D7439" s="5">
        <v>0.1</v>
      </c>
      <c r="E7439" s="5">
        <v>110</v>
      </c>
      <c r="F7439" s="5">
        <v>219.9</v>
      </c>
      <c r="G7439" s="5">
        <v>109.4</v>
      </c>
      <c r="H7439" s="5">
        <v>109.2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109.8</v>
      </c>
      <c r="D7440" s="5">
        <v>0.1</v>
      </c>
      <c r="E7440" s="5">
        <v>110</v>
      </c>
      <c r="F7440" s="5">
        <v>219.9</v>
      </c>
      <c r="G7440" s="5">
        <v>109.4</v>
      </c>
      <c r="H7440" s="5">
        <v>109.2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109.8</v>
      </c>
      <c r="D7441" s="5">
        <v>0.1</v>
      </c>
      <c r="E7441" s="5">
        <v>110</v>
      </c>
      <c r="F7441" s="5">
        <v>218.4</v>
      </c>
      <c r="G7441" s="5">
        <v>108.6</v>
      </c>
      <c r="H7441" s="5">
        <v>108.7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109.8</v>
      </c>
      <c r="D7442" s="5">
        <v>0.1</v>
      </c>
      <c r="E7442" s="5">
        <v>110</v>
      </c>
      <c r="F7442" s="5">
        <v>218.4</v>
      </c>
      <c r="G7442" s="5">
        <v>108.6</v>
      </c>
      <c r="H7442" s="5">
        <v>108.7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110.5</v>
      </c>
      <c r="D7443" s="5">
        <v>0.1</v>
      </c>
      <c r="E7443" s="5">
        <v>110.7</v>
      </c>
      <c r="F7443" s="5">
        <v>219.2</v>
      </c>
      <c r="G7443" s="5">
        <v>109</v>
      </c>
      <c r="H7443" s="5">
        <v>108.8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110.5</v>
      </c>
      <c r="D7444" s="5">
        <v>0.1</v>
      </c>
      <c r="E7444" s="5">
        <v>110.7</v>
      </c>
      <c r="F7444" s="5">
        <v>219.2</v>
      </c>
      <c r="G7444" s="5">
        <v>109</v>
      </c>
      <c r="H7444" s="5">
        <v>108.8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110.5</v>
      </c>
      <c r="D7445" s="5">
        <v>0.1</v>
      </c>
      <c r="E7445" s="5">
        <v>110.7</v>
      </c>
      <c r="F7445" s="5">
        <v>219.2</v>
      </c>
      <c r="G7445" s="5">
        <v>109</v>
      </c>
      <c r="H7445" s="5">
        <v>108.8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110.5</v>
      </c>
      <c r="D7446" s="5">
        <v>0.1</v>
      </c>
      <c r="E7446" s="5">
        <v>110.7</v>
      </c>
      <c r="F7446" s="5">
        <v>219.2</v>
      </c>
      <c r="G7446" s="5">
        <v>109</v>
      </c>
      <c r="H7446" s="5">
        <v>108.8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110.1</v>
      </c>
      <c r="D7447" s="5">
        <v>0.1</v>
      </c>
      <c r="E7447" s="5">
        <v>110.2</v>
      </c>
      <c r="F7447" s="5">
        <v>219</v>
      </c>
      <c r="G7447" s="5">
        <v>108.8</v>
      </c>
      <c r="H7447" s="5">
        <v>108.7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110.1</v>
      </c>
      <c r="D7448" s="5">
        <v>0.1</v>
      </c>
      <c r="E7448" s="5">
        <v>110.2</v>
      </c>
      <c r="F7448" s="5">
        <v>219</v>
      </c>
      <c r="G7448" s="5">
        <v>108.8</v>
      </c>
      <c r="H7448" s="5">
        <v>108.7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109.9</v>
      </c>
      <c r="D7449" s="5">
        <v>0.1</v>
      </c>
      <c r="E7449" s="5">
        <v>110.1</v>
      </c>
      <c r="F7449" s="5">
        <v>218.2</v>
      </c>
      <c r="G7449" s="5">
        <v>108.4</v>
      </c>
      <c r="H7449" s="5">
        <v>108.3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109.9</v>
      </c>
      <c r="D7450" s="5">
        <v>0.1</v>
      </c>
      <c r="E7450" s="5">
        <v>110.1</v>
      </c>
      <c r="F7450" s="5">
        <v>218.2</v>
      </c>
      <c r="G7450" s="5">
        <v>108.4</v>
      </c>
      <c r="H7450" s="5">
        <v>108.3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109.9</v>
      </c>
      <c r="D7451" s="5">
        <v>0.1</v>
      </c>
      <c r="E7451" s="5">
        <v>110.1</v>
      </c>
      <c r="F7451" s="5">
        <v>218.4</v>
      </c>
      <c r="G7451" s="5">
        <v>108.6</v>
      </c>
      <c r="H7451" s="5">
        <v>108.4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109.9</v>
      </c>
      <c r="D7452" s="5">
        <v>0.1</v>
      </c>
      <c r="E7452" s="5">
        <v>110.1</v>
      </c>
      <c r="F7452" s="5">
        <v>218.4</v>
      </c>
      <c r="G7452" s="5">
        <v>108.6</v>
      </c>
      <c r="H7452" s="5">
        <v>108.4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110</v>
      </c>
      <c r="D7453" s="5">
        <v>0.1</v>
      </c>
      <c r="E7453" s="5">
        <v>110.1</v>
      </c>
      <c r="F7453" s="5">
        <v>218.7</v>
      </c>
      <c r="G7453" s="5">
        <v>108.7</v>
      </c>
      <c r="H7453" s="5">
        <v>108.5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110</v>
      </c>
      <c r="D7454" s="5">
        <v>0.1</v>
      </c>
      <c r="E7454" s="5">
        <v>110.1</v>
      </c>
      <c r="F7454" s="5">
        <v>218.7</v>
      </c>
      <c r="G7454" s="5">
        <v>108.7</v>
      </c>
      <c r="H7454" s="5">
        <v>108.5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110</v>
      </c>
      <c r="D7455" s="5">
        <v>0.1</v>
      </c>
      <c r="E7455" s="5">
        <v>110.1</v>
      </c>
      <c r="F7455" s="5">
        <v>218.7</v>
      </c>
      <c r="G7455" s="5">
        <v>108.7</v>
      </c>
      <c r="H7455" s="5">
        <v>108.5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110</v>
      </c>
      <c r="D7456" s="5">
        <v>0.1</v>
      </c>
      <c r="E7456" s="5">
        <v>110.1</v>
      </c>
      <c r="F7456" s="5">
        <v>218.7</v>
      </c>
      <c r="G7456" s="5">
        <v>108.7</v>
      </c>
      <c r="H7456" s="5">
        <v>108.5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110.3</v>
      </c>
      <c r="D7457" s="5">
        <v>0.1</v>
      </c>
      <c r="E7457" s="5">
        <v>110.4</v>
      </c>
      <c r="F7457" s="5">
        <v>219.2</v>
      </c>
      <c r="G7457" s="5">
        <v>108.9</v>
      </c>
      <c r="H7457" s="5">
        <v>108.8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110.3</v>
      </c>
      <c r="D7458" s="5">
        <v>0.1</v>
      </c>
      <c r="E7458" s="5">
        <v>110.4</v>
      </c>
      <c r="F7458" s="5">
        <v>219.2</v>
      </c>
      <c r="G7458" s="5">
        <v>108.9</v>
      </c>
      <c r="H7458" s="5">
        <v>108.8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110.2</v>
      </c>
      <c r="D7459" s="5">
        <v>0.1</v>
      </c>
      <c r="E7459" s="5">
        <v>110.4</v>
      </c>
      <c r="F7459" s="5">
        <v>219</v>
      </c>
      <c r="G7459" s="5">
        <v>108.8</v>
      </c>
      <c r="H7459" s="5">
        <v>108.6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110.2</v>
      </c>
      <c r="D7460" s="5">
        <v>0.1</v>
      </c>
      <c r="E7460" s="5">
        <v>110.4</v>
      </c>
      <c r="F7460" s="5">
        <v>219</v>
      </c>
      <c r="G7460" s="5">
        <v>108.8</v>
      </c>
      <c r="H7460" s="5">
        <v>108.6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109.5</v>
      </c>
      <c r="D7461" s="5">
        <v>0.1</v>
      </c>
      <c r="E7461" s="5">
        <v>109.7</v>
      </c>
      <c r="F7461" s="5">
        <v>218.5</v>
      </c>
      <c r="G7461" s="5">
        <v>108.6</v>
      </c>
      <c r="H7461" s="5">
        <v>108.6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109.5</v>
      </c>
      <c r="D7462" s="5">
        <v>0.1</v>
      </c>
      <c r="E7462" s="5">
        <v>109.7</v>
      </c>
      <c r="F7462" s="5">
        <v>218.5</v>
      </c>
      <c r="G7462" s="5">
        <v>108.6</v>
      </c>
      <c r="H7462" s="5">
        <v>108.6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109.9</v>
      </c>
      <c r="D7463" s="5">
        <v>0.1</v>
      </c>
      <c r="E7463" s="5">
        <v>110.1</v>
      </c>
      <c r="F7463" s="5">
        <v>219.1</v>
      </c>
      <c r="G7463" s="5">
        <v>109</v>
      </c>
      <c r="H7463" s="5">
        <v>108.8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109.9</v>
      </c>
      <c r="D7464" s="5">
        <v>0.1</v>
      </c>
      <c r="E7464" s="5">
        <v>110.1</v>
      </c>
      <c r="F7464" s="5">
        <v>219.1</v>
      </c>
      <c r="G7464" s="5">
        <v>109</v>
      </c>
      <c r="H7464" s="5">
        <v>108.8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109.9</v>
      </c>
      <c r="D7465" s="5">
        <v>0.1</v>
      </c>
      <c r="E7465" s="5">
        <v>110.1</v>
      </c>
      <c r="F7465" s="5">
        <v>219.1</v>
      </c>
      <c r="G7465" s="5">
        <v>109</v>
      </c>
      <c r="H7465" s="5">
        <v>108.8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109.9</v>
      </c>
      <c r="D7466" s="5">
        <v>0.1</v>
      </c>
      <c r="E7466" s="5">
        <v>110.1</v>
      </c>
      <c r="F7466" s="5">
        <v>219.1</v>
      </c>
      <c r="G7466" s="5">
        <v>109</v>
      </c>
      <c r="H7466" s="5">
        <v>108.8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110.4</v>
      </c>
      <c r="D7467" s="5">
        <v>0.1</v>
      </c>
      <c r="E7467" s="5">
        <v>110.5</v>
      </c>
      <c r="F7467" s="5">
        <v>219.9</v>
      </c>
      <c r="G7467" s="5">
        <v>109.3</v>
      </c>
      <c r="H7467" s="5">
        <v>109.1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110.4</v>
      </c>
      <c r="D7468" s="5">
        <v>0.1</v>
      </c>
      <c r="E7468" s="5">
        <v>110.5</v>
      </c>
      <c r="F7468" s="5">
        <v>219.9</v>
      </c>
      <c r="G7468" s="5">
        <v>109.3</v>
      </c>
      <c r="H7468" s="5">
        <v>109.1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110.2</v>
      </c>
      <c r="D7469" s="5">
        <v>0.1</v>
      </c>
      <c r="E7469" s="5">
        <v>110.4</v>
      </c>
      <c r="F7469" s="5">
        <v>219</v>
      </c>
      <c r="G7469" s="5">
        <v>108.9</v>
      </c>
      <c r="H7469" s="5">
        <v>108.8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110.2</v>
      </c>
      <c r="D7470" s="5">
        <v>0.1</v>
      </c>
      <c r="E7470" s="5">
        <v>110.4</v>
      </c>
      <c r="F7470" s="5">
        <v>219</v>
      </c>
      <c r="G7470" s="5">
        <v>108.9</v>
      </c>
      <c r="H7470" s="5">
        <v>108.8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110</v>
      </c>
      <c r="D7471" s="5">
        <v>0.1</v>
      </c>
      <c r="E7471" s="5">
        <v>110.1</v>
      </c>
      <c r="F7471" s="5">
        <v>219</v>
      </c>
      <c r="G7471" s="5">
        <v>108.9</v>
      </c>
      <c r="H7471" s="5">
        <v>108.8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110</v>
      </c>
      <c r="D7472" s="5">
        <v>0.1</v>
      </c>
      <c r="E7472" s="5">
        <v>110.1</v>
      </c>
      <c r="F7472" s="5">
        <v>219</v>
      </c>
      <c r="G7472" s="5">
        <v>108.9</v>
      </c>
      <c r="H7472" s="5">
        <v>108.8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110.4</v>
      </c>
      <c r="D7473" s="5">
        <v>0.1</v>
      </c>
      <c r="E7473" s="5">
        <v>110.6</v>
      </c>
      <c r="F7473" s="5">
        <v>219.6</v>
      </c>
      <c r="G7473" s="5">
        <v>109.2</v>
      </c>
      <c r="H7473" s="5">
        <v>109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110.4</v>
      </c>
      <c r="D7474" s="5">
        <v>0.1</v>
      </c>
      <c r="E7474" s="5">
        <v>110.6</v>
      </c>
      <c r="F7474" s="5">
        <v>219.6</v>
      </c>
      <c r="G7474" s="5">
        <v>109.2</v>
      </c>
      <c r="H7474" s="5">
        <v>109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110.4</v>
      </c>
      <c r="D7475" s="5">
        <v>0.1</v>
      </c>
      <c r="E7475" s="5">
        <v>110.6</v>
      </c>
      <c r="F7475" s="5">
        <v>219.6</v>
      </c>
      <c r="G7475" s="5">
        <v>109.2</v>
      </c>
      <c r="H7475" s="5">
        <v>109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110.4</v>
      </c>
      <c r="D7476" s="5">
        <v>0.1</v>
      </c>
      <c r="E7476" s="5">
        <v>110.6</v>
      </c>
      <c r="F7476" s="5">
        <v>219.6</v>
      </c>
      <c r="G7476" s="5">
        <v>109.2</v>
      </c>
      <c r="H7476" s="5">
        <v>109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110.5</v>
      </c>
      <c r="D7477" s="5">
        <v>0.1</v>
      </c>
      <c r="E7477" s="5">
        <v>110.7</v>
      </c>
      <c r="F7477" s="5">
        <v>220</v>
      </c>
      <c r="G7477" s="5">
        <v>109.3</v>
      </c>
      <c r="H7477" s="5">
        <v>109.2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110.5</v>
      </c>
      <c r="D7478" s="5">
        <v>0.1</v>
      </c>
      <c r="E7478" s="5">
        <v>110.7</v>
      </c>
      <c r="F7478" s="5">
        <v>220</v>
      </c>
      <c r="G7478" s="5">
        <v>109.3</v>
      </c>
      <c r="H7478" s="5">
        <v>109.2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109.9</v>
      </c>
      <c r="D7479" s="5">
        <v>0.1</v>
      </c>
      <c r="E7479" s="5">
        <v>110.1</v>
      </c>
      <c r="F7479" s="5">
        <v>218.9</v>
      </c>
      <c r="G7479" s="5">
        <v>108.8</v>
      </c>
      <c r="H7479" s="5">
        <v>108.7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109.9</v>
      </c>
      <c r="D7480" s="5">
        <v>0.1</v>
      </c>
      <c r="E7480" s="5">
        <v>110.1</v>
      </c>
      <c r="F7480" s="5">
        <v>218.9</v>
      </c>
      <c r="G7480" s="5">
        <v>108.8</v>
      </c>
      <c r="H7480" s="5">
        <v>108.7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109.3</v>
      </c>
      <c r="D7481" s="5">
        <v>0.1</v>
      </c>
      <c r="E7481" s="5">
        <v>109.4</v>
      </c>
      <c r="F7481" s="5">
        <v>218.3</v>
      </c>
      <c r="G7481" s="5">
        <v>108.6</v>
      </c>
      <c r="H7481" s="5">
        <v>108.5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109.3</v>
      </c>
      <c r="D7482" s="5">
        <v>0.1</v>
      </c>
      <c r="E7482" s="5">
        <v>109.4</v>
      </c>
      <c r="F7482" s="5">
        <v>218.3</v>
      </c>
      <c r="G7482" s="5">
        <v>108.6</v>
      </c>
      <c r="H7482" s="5">
        <v>108.5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109.7</v>
      </c>
      <c r="D7483" s="5">
        <v>0.1</v>
      </c>
      <c r="E7483" s="5">
        <v>109.8</v>
      </c>
      <c r="F7483" s="5">
        <v>217.7</v>
      </c>
      <c r="G7483" s="5">
        <v>108.2</v>
      </c>
      <c r="H7483" s="5">
        <v>108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109.7</v>
      </c>
      <c r="D7484" s="5">
        <v>0.1</v>
      </c>
      <c r="E7484" s="5">
        <v>109.8</v>
      </c>
      <c r="F7484" s="5">
        <v>217.7</v>
      </c>
      <c r="G7484" s="5">
        <v>108.2</v>
      </c>
      <c r="H7484" s="5">
        <v>108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109.7</v>
      </c>
      <c r="D7485" s="5">
        <v>0.1</v>
      </c>
      <c r="E7485" s="5">
        <v>109.8</v>
      </c>
      <c r="F7485" s="5">
        <v>217.7</v>
      </c>
      <c r="G7485" s="5">
        <v>108.2</v>
      </c>
      <c r="H7485" s="5">
        <v>108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110</v>
      </c>
      <c r="D7486" s="5">
        <v>0.1</v>
      </c>
      <c r="E7486" s="5">
        <v>110.1</v>
      </c>
      <c r="F7486" s="5">
        <v>219</v>
      </c>
      <c r="G7486" s="5">
        <v>108.9</v>
      </c>
      <c r="H7486" s="5">
        <v>108.7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110</v>
      </c>
      <c r="D7487" s="5">
        <v>0.1</v>
      </c>
      <c r="E7487" s="5">
        <v>110.1</v>
      </c>
      <c r="F7487" s="5">
        <v>219</v>
      </c>
      <c r="G7487" s="5">
        <v>108.9</v>
      </c>
      <c r="H7487" s="5">
        <v>108.7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109.9</v>
      </c>
      <c r="D7488" s="5">
        <v>0.1</v>
      </c>
      <c r="E7488" s="5">
        <v>110.1</v>
      </c>
      <c r="F7488" s="5">
        <v>218.8</v>
      </c>
      <c r="G7488" s="5">
        <v>108.8</v>
      </c>
      <c r="H7488" s="5">
        <v>108.6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109.9</v>
      </c>
      <c r="D7489" s="5">
        <v>0.1</v>
      </c>
      <c r="E7489" s="5">
        <v>110.1</v>
      </c>
      <c r="F7489" s="5">
        <v>218.8</v>
      </c>
      <c r="G7489" s="5">
        <v>108.8</v>
      </c>
      <c r="H7489" s="5">
        <v>108.6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110.1</v>
      </c>
      <c r="D7490" s="5">
        <v>0.1</v>
      </c>
      <c r="E7490" s="5">
        <v>110.2</v>
      </c>
      <c r="F7490" s="5">
        <v>218.8</v>
      </c>
      <c r="G7490" s="5">
        <v>108.8</v>
      </c>
      <c r="H7490" s="5">
        <v>108.6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110.1</v>
      </c>
      <c r="D7491" s="5">
        <v>0.1</v>
      </c>
      <c r="E7491" s="5">
        <v>110.2</v>
      </c>
      <c r="F7491" s="5">
        <v>218.8</v>
      </c>
      <c r="G7491" s="5">
        <v>108.8</v>
      </c>
      <c r="H7491" s="5">
        <v>108.6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110.1</v>
      </c>
      <c r="D7492" s="5">
        <v>0.1</v>
      </c>
      <c r="E7492" s="5">
        <v>110.3</v>
      </c>
      <c r="F7492" s="5">
        <v>218.8</v>
      </c>
      <c r="G7492" s="5">
        <v>108.9</v>
      </c>
      <c r="H7492" s="5">
        <v>108.8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110.1</v>
      </c>
      <c r="D7493" s="5">
        <v>0.1</v>
      </c>
      <c r="E7493" s="5">
        <v>110.3</v>
      </c>
      <c r="F7493" s="5">
        <v>218.8</v>
      </c>
      <c r="G7493" s="5">
        <v>108.9</v>
      </c>
      <c r="H7493" s="5">
        <v>108.8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110.1</v>
      </c>
      <c r="D7494" s="5">
        <v>0.1</v>
      </c>
      <c r="E7494" s="5">
        <v>110.3</v>
      </c>
      <c r="F7494" s="5">
        <v>218.8</v>
      </c>
      <c r="G7494" s="5">
        <v>108.9</v>
      </c>
      <c r="H7494" s="5">
        <v>108.8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110.1</v>
      </c>
      <c r="D7495" s="5">
        <v>0.1</v>
      </c>
      <c r="E7495" s="5">
        <v>110.3</v>
      </c>
      <c r="F7495" s="5">
        <v>218.8</v>
      </c>
      <c r="G7495" s="5">
        <v>108.9</v>
      </c>
      <c r="H7495" s="5">
        <v>108.8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110.9</v>
      </c>
      <c r="D7496" s="5">
        <v>0.1</v>
      </c>
      <c r="E7496" s="5">
        <v>111</v>
      </c>
      <c r="F7496" s="5">
        <v>218.8</v>
      </c>
      <c r="G7496" s="5">
        <v>108.9</v>
      </c>
      <c r="H7496" s="5">
        <v>108.8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110.9</v>
      </c>
      <c r="D7497" s="5">
        <v>0.1</v>
      </c>
      <c r="E7497" s="5">
        <v>111</v>
      </c>
      <c r="F7497" s="5">
        <v>219.5</v>
      </c>
      <c r="G7497" s="5">
        <v>109.1</v>
      </c>
      <c r="H7497" s="5">
        <v>108.9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109.8</v>
      </c>
      <c r="D7498" s="5">
        <v>0.1</v>
      </c>
      <c r="E7498" s="5">
        <v>111</v>
      </c>
      <c r="F7498" s="5">
        <v>219.5</v>
      </c>
      <c r="G7498" s="5">
        <v>109.1</v>
      </c>
      <c r="H7498" s="5">
        <v>108.9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109.8</v>
      </c>
      <c r="D7499" s="5">
        <v>0.1</v>
      </c>
      <c r="E7499" s="5">
        <v>110</v>
      </c>
      <c r="F7499" s="5">
        <v>218.6</v>
      </c>
      <c r="G7499" s="5">
        <v>108.7</v>
      </c>
      <c r="H7499" s="5">
        <v>108.5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109.8</v>
      </c>
      <c r="D7500" s="5">
        <v>0.1</v>
      </c>
      <c r="E7500" s="5">
        <v>110</v>
      </c>
      <c r="F7500" s="5">
        <v>218.6</v>
      </c>
      <c r="G7500" s="5">
        <v>108.7</v>
      </c>
      <c r="H7500" s="5">
        <v>108.5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109.9</v>
      </c>
      <c r="D7501" s="5">
        <v>0.1</v>
      </c>
      <c r="E7501" s="5">
        <v>110.1</v>
      </c>
      <c r="F7501" s="5">
        <v>218.8</v>
      </c>
      <c r="G7501" s="5">
        <v>108.8</v>
      </c>
      <c r="H7501" s="5">
        <v>108.7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109.9</v>
      </c>
      <c r="D7502" s="5">
        <v>0.1</v>
      </c>
      <c r="E7502" s="5">
        <v>110.1</v>
      </c>
      <c r="F7502" s="5">
        <v>218.8</v>
      </c>
      <c r="G7502" s="5">
        <v>108.8</v>
      </c>
      <c r="H7502" s="5">
        <v>108.7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110.3</v>
      </c>
      <c r="D7503" s="5">
        <v>0.1</v>
      </c>
      <c r="E7503" s="5">
        <v>110.5</v>
      </c>
      <c r="F7503" s="5">
        <v>218.8</v>
      </c>
      <c r="G7503" s="5">
        <v>108.7</v>
      </c>
      <c r="H7503" s="5">
        <v>108.6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110.3</v>
      </c>
      <c r="D7504" s="5">
        <v>0.1</v>
      </c>
      <c r="E7504" s="5">
        <v>110.5</v>
      </c>
      <c r="F7504" s="5">
        <v>218.8</v>
      </c>
      <c r="G7504" s="5">
        <v>108.7</v>
      </c>
      <c r="H7504" s="5">
        <v>108.6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110.3</v>
      </c>
      <c r="D7505" s="5">
        <v>0.1</v>
      </c>
      <c r="E7505" s="5">
        <v>110.5</v>
      </c>
      <c r="F7505" s="5">
        <v>218.8</v>
      </c>
      <c r="G7505" s="5">
        <v>108.7</v>
      </c>
      <c r="H7505" s="5">
        <v>108.6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110.3</v>
      </c>
      <c r="D7506" s="5">
        <v>0.1</v>
      </c>
      <c r="E7506" s="5">
        <v>110.5</v>
      </c>
      <c r="F7506" s="5">
        <v>218.8</v>
      </c>
      <c r="G7506" s="5">
        <v>108.7</v>
      </c>
      <c r="H7506" s="5">
        <v>108.6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110.1</v>
      </c>
      <c r="D7507" s="5">
        <v>0.1</v>
      </c>
      <c r="E7507" s="5">
        <v>110.2</v>
      </c>
      <c r="F7507" s="5">
        <v>218.9</v>
      </c>
      <c r="G7507" s="5">
        <v>108.8</v>
      </c>
      <c r="H7507" s="5">
        <v>108.7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110.1</v>
      </c>
      <c r="D7508" s="5">
        <v>0.1</v>
      </c>
      <c r="E7508" s="5">
        <v>110.2</v>
      </c>
      <c r="F7508" s="5">
        <v>218.9</v>
      </c>
      <c r="G7508" s="5">
        <v>108.8</v>
      </c>
      <c r="H7508" s="5">
        <v>108.7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109.1</v>
      </c>
      <c r="D7509" s="5">
        <v>0.1</v>
      </c>
      <c r="E7509" s="5">
        <v>109.2</v>
      </c>
      <c r="F7509" s="5">
        <v>217.5</v>
      </c>
      <c r="G7509" s="5">
        <v>108.1</v>
      </c>
      <c r="H7509" s="5">
        <v>108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109.1</v>
      </c>
      <c r="D7510" s="5">
        <v>0.1</v>
      </c>
      <c r="E7510" s="5">
        <v>109.2</v>
      </c>
      <c r="F7510" s="5">
        <v>217.5</v>
      </c>
      <c r="G7510" s="5">
        <v>108.1</v>
      </c>
      <c r="H7510" s="5">
        <v>108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109.1</v>
      </c>
      <c r="D7511" s="5">
        <v>0.1</v>
      </c>
      <c r="E7511" s="5">
        <v>109.2</v>
      </c>
      <c r="F7511" s="5">
        <v>217.4</v>
      </c>
      <c r="G7511" s="5">
        <v>108.2</v>
      </c>
      <c r="H7511" s="5">
        <v>108.1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109.1</v>
      </c>
      <c r="D7512" s="5">
        <v>0.1</v>
      </c>
      <c r="E7512" s="5">
        <v>109.2</v>
      </c>
      <c r="F7512" s="5">
        <v>217.4</v>
      </c>
      <c r="G7512" s="5">
        <v>108.2</v>
      </c>
      <c r="H7512" s="5">
        <v>108.1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109.2</v>
      </c>
      <c r="D7513" s="5">
        <v>0.1</v>
      </c>
      <c r="E7513" s="5">
        <v>109.3</v>
      </c>
      <c r="F7513" s="5">
        <v>217.1</v>
      </c>
      <c r="G7513" s="5">
        <v>108.1</v>
      </c>
      <c r="H7513" s="5">
        <v>108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109.2</v>
      </c>
      <c r="D7514" s="5">
        <v>0.1</v>
      </c>
      <c r="E7514" s="5">
        <v>109.3</v>
      </c>
      <c r="F7514" s="5">
        <v>217.1</v>
      </c>
      <c r="G7514" s="5">
        <v>108.1</v>
      </c>
      <c r="H7514" s="5">
        <v>108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109.2</v>
      </c>
      <c r="D7515" s="5">
        <v>0.1</v>
      </c>
      <c r="E7515" s="5">
        <v>109.3</v>
      </c>
      <c r="F7515" s="5">
        <v>217.1</v>
      </c>
      <c r="G7515" s="5">
        <v>108.1</v>
      </c>
      <c r="H7515" s="5">
        <v>108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109.6</v>
      </c>
      <c r="D7516" s="5">
        <v>0.1</v>
      </c>
      <c r="E7516" s="5">
        <v>109.7</v>
      </c>
      <c r="F7516" s="5">
        <v>217.8</v>
      </c>
      <c r="G7516" s="5">
        <v>108.3</v>
      </c>
      <c r="H7516" s="5">
        <v>108.2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109.6</v>
      </c>
      <c r="D7517" s="5">
        <v>0.1</v>
      </c>
      <c r="E7517" s="5">
        <v>109.7</v>
      </c>
      <c r="F7517" s="5">
        <v>217.8</v>
      </c>
      <c r="G7517" s="5">
        <v>108.3</v>
      </c>
      <c r="H7517" s="5">
        <v>108.2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110.1</v>
      </c>
      <c r="D7518" s="5">
        <v>0.1</v>
      </c>
      <c r="E7518" s="5">
        <v>110.3</v>
      </c>
      <c r="F7518" s="5">
        <v>218.6</v>
      </c>
      <c r="G7518" s="5">
        <v>108.7</v>
      </c>
      <c r="H7518" s="5">
        <v>108.6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110.1</v>
      </c>
      <c r="D7519" s="5">
        <v>0.1</v>
      </c>
      <c r="E7519" s="5">
        <v>110.3</v>
      </c>
      <c r="F7519" s="5">
        <v>218.6</v>
      </c>
      <c r="G7519" s="5">
        <v>108.7</v>
      </c>
      <c r="H7519" s="5">
        <v>108.6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109.6</v>
      </c>
      <c r="D7520" s="5">
        <v>0.1</v>
      </c>
      <c r="E7520" s="5">
        <v>109.7</v>
      </c>
      <c r="F7520" s="5">
        <v>217.6</v>
      </c>
      <c r="G7520" s="5">
        <v>108.2</v>
      </c>
      <c r="H7520" s="5">
        <v>108.1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109.6</v>
      </c>
      <c r="D7521" s="5">
        <v>0.1</v>
      </c>
      <c r="E7521" s="5">
        <v>109.7</v>
      </c>
      <c r="F7521" s="5">
        <v>217.6</v>
      </c>
      <c r="G7521" s="5">
        <v>108.2</v>
      </c>
      <c r="H7521" s="5">
        <v>108.1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109.5</v>
      </c>
      <c r="D7522" s="5">
        <v>0.1</v>
      </c>
      <c r="E7522" s="5">
        <v>109.7</v>
      </c>
      <c r="F7522" s="5">
        <v>217.5</v>
      </c>
      <c r="G7522" s="5">
        <v>108.1</v>
      </c>
      <c r="H7522" s="5">
        <v>108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109.5</v>
      </c>
      <c r="D7523" s="5">
        <v>0.1</v>
      </c>
      <c r="E7523" s="5">
        <v>109.7</v>
      </c>
      <c r="F7523" s="5">
        <v>217.5</v>
      </c>
      <c r="G7523" s="5">
        <v>108.1</v>
      </c>
      <c r="H7523" s="5">
        <v>108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109.5</v>
      </c>
      <c r="D7524" s="5">
        <v>0.1</v>
      </c>
      <c r="E7524" s="5">
        <v>109.7</v>
      </c>
      <c r="F7524" s="5">
        <v>217.5</v>
      </c>
      <c r="G7524" s="5">
        <v>108.1</v>
      </c>
      <c r="H7524" s="5">
        <v>108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109.5</v>
      </c>
      <c r="D7525" s="5">
        <v>0.1</v>
      </c>
      <c r="E7525" s="5">
        <v>109.7</v>
      </c>
      <c r="F7525" s="5">
        <v>217.5</v>
      </c>
      <c r="G7525" s="5">
        <v>108.1</v>
      </c>
      <c r="H7525" s="5">
        <v>108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108.9</v>
      </c>
      <c r="D7526" s="5">
        <v>0.1</v>
      </c>
      <c r="E7526" s="5">
        <v>109.1</v>
      </c>
      <c r="F7526" s="5">
        <v>216.6</v>
      </c>
      <c r="G7526" s="5">
        <v>107.7</v>
      </c>
      <c r="H7526" s="5">
        <v>107.5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108.9</v>
      </c>
      <c r="D7527" s="5">
        <v>0.1</v>
      </c>
      <c r="E7527" s="5">
        <v>109.1</v>
      </c>
      <c r="F7527" s="5">
        <v>216.6</v>
      </c>
      <c r="G7527" s="5">
        <v>107.7</v>
      </c>
      <c r="H7527" s="5">
        <v>107.5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109.1</v>
      </c>
      <c r="D7528" s="5">
        <v>0.1</v>
      </c>
      <c r="E7528" s="5">
        <v>109.2</v>
      </c>
      <c r="F7528" s="5">
        <v>217.5</v>
      </c>
      <c r="G7528" s="5">
        <v>108.2</v>
      </c>
      <c r="H7528" s="5">
        <v>108.1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109.1</v>
      </c>
      <c r="D7529" s="5">
        <v>0.1</v>
      </c>
      <c r="E7529" s="5">
        <v>109.2</v>
      </c>
      <c r="F7529" s="5">
        <v>217.5</v>
      </c>
      <c r="G7529" s="5">
        <v>108.2</v>
      </c>
      <c r="H7529" s="5">
        <v>108.1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108.7</v>
      </c>
      <c r="D7530" s="5">
        <v>0.1</v>
      </c>
      <c r="E7530" s="5">
        <v>108.8</v>
      </c>
      <c r="F7530" s="5">
        <v>216.6</v>
      </c>
      <c r="G7530" s="5">
        <v>107.8</v>
      </c>
      <c r="H7530" s="5">
        <v>107.9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108.7</v>
      </c>
      <c r="D7531" s="5">
        <v>0.1</v>
      </c>
      <c r="E7531" s="5">
        <v>108.8</v>
      </c>
      <c r="F7531" s="5">
        <v>216.6</v>
      </c>
      <c r="G7531" s="5">
        <v>107.8</v>
      </c>
      <c r="H7531" s="5">
        <v>107.9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108.8</v>
      </c>
      <c r="D7532" s="5">
        <v>0.1</v>
      </c>
      <c r="E7532" s="5">
        <v>109</v>
      </c>
      <c r="F7532" s="5">
        <v>216.7</v>
      </c>
      <c r="G7532" s="5">
        <v>107.8</v>
      </c>
      <c r="H7532" s="5">
        <v>107.6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108.8</v>
      </c>
      <c r="D7533" s="5">
        <v>0.1</v>
      </c>
      <c r="E7533" s="5">
        <v>109</v>
      </c>
      <c r="F7533" s="5">
        <v>216.7</v>
      </c>
      <c r="G7533" s="5">
        <v>107.8</v>
      </c>
      <c r="H7533" s="5">
        <v>107.6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108.8</v>
      </c>
      <c r="D7534" s="5">
        <v>0.1</v>
      </c>
      <c r="E7534" s="5">
        <v>109</v>
      </c>
      <c r="F7534" s="5">
        <v>216.7</v>
      </c>
      <c r="G7534" s="5">
        <v>107.8</v>
      </c>
      <c r="H7534" s="5">
        <v>107.6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108.8</v>
      </c>
      <c r="D7535" s="5">
        <v>0.1</v>
      </c>
      <c r="E7535" s="5">
        <v>109</v>
      </c>
      <c r="F7535" s="5">
        <v>216.7</v>
      </c>
      <c r="G7535" s="5">
        <v>107.8</v>
      </c>
      <c r="H7535" s="5">
        <v>107.6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109.1</v>
      </c>
      <c r="D7536" s="5">
        <v>0.1</v>
      </c>
      <c r="E7536" s="5">
        <v>109.3</v>
      </c>
      <c r="F7536" s="5">
        <v>217.7</v>
      </c>
      <c r="G7536" s="5">
        <v>108.2</v>
      </c>
      <c r="H7536" s="5">
        <v>108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109.1</v>
      </c>
      <c r="D7537" s="5">
        <v>0.1</v>
      </c>
      <c r="E7537" s="5">
        <v>109.3</v>
      </c>
      <c r="F7537" s="5">
        <v>217.7</v>
      </c>
      <c r="G7537" s="5">
        <v>108.2</v>
      </c>
      <c r="H7537" s="5">
        <v>108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109.8</v>
      </c>
      <c r="D7538" s="5">
        <v>0.1</v>
      </c>
      <c r="E7538" s="5">
        <v>110</v>
      </c>
      <c r="F7538" s="5">
        <v>218.3</v>
      </c>
      <c r="G7538" s="5">
        <v>108.5</v>
      </c>
      <c r="H7538" s="5">
        <v>108.4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109.8</v>
      </c>
      <c r="D7539" s="5">
        <v>0.1</v>
      </c>
      <c r="E7539" s="5">
        <v>110</v>
      </c>
      <c r="F7539" s="5">
        <v>218.3</v>
      </c>
      <c r="G7539" s="5">
        <v>108.5</v>
      </c>
      <c r="H7539" s="5">
        <v>108.4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109.4</v>
      </c>
      <c r="D7540" s="5">
        <v>0.1</v>
      </c>
      <c r="E7540" s="5">
        <v>109.5</v>
      </c>
      <c r="F7540" s="5">
        <v>217.6</v>
      </c>
      <c r="G7540" s="5">
        <v>108.2</v>
      </c>
      <c r="H7540" s="5">
        <v>108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109.4</v>
      </c>
      <c r="D7541" s="5">
        <v>0.1</v>
      </c>
      <c r="E7541" s="5">
        <v>109.5</v>
      </c>
      <c r="F7541" s="5">
        <v>217.6</v>
      </c>
      <c r="G7541" s="5">
        <v>108.2</v>
      </c>
      <c r="H7541" s="5">
        <v>108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109.6</v>
      </c>
      <c r="D7542" s="5">
        <v>0.1</v>
      </c>
      <c r="E7542" s="5">
        <v>109.7</v>
      </c>
      <c r="F7542" s="5">
        <v>217.3</v>
      </c>
      <c r="G7542" s="5">
        <v>108</v>
      </c>
      <c r="H7542" s="5">
        <v>107.9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109.6</v>
      </c>
      <c r="D7543" s="5">
        <v>0.1</v>
      </c>
      <c r="E7543" s="5">
        <v>109.7</v>
      </c>
      <c r="F7543" s="5">
        <v>217.3</v>
      </c>
      <c r="G7543" s="5">
        <v>108</v>
      </c>
      <c r="H7543" s="5">
        <v>107.9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109.6</v>
      </c>
      <c r="D7544" s="5">
        <v>0.1</v>
      </c>
      <c r="E7544" s="5">
        <v>109.7</v>
      </c>
      <c r="F7544" s="5">
        <v>217.3</v>
      </c>
      <c r="G7544" s="5">
        <v>108</v>
      </c>
      <c r="H7544" s="5">
        <v>107.9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109.6</v>
      </c>
      <c r="D7545" s="5">
        <v>0.1</v>
      </c>
      <c r="E7545" s="5">
        <v>109.7</v>
      </c>
      <c r="F7545" s="5">
        <v>217.3</v>
      </c>
      <c r="G7545" s="5">
        <v>108</v>
      </c>
      <c r="H7545" s="5">
        <v>107.9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108.5</v>
      </c>
      <c r="D7546" s="5">
        <v>0.1</v>
      </c>
      <c r="E7546" s="5">
        <v>108.7</v>
      </c>
      <c r="F7546" s="5">
        <v>217.4</v>
      </c>
      <c r="G7546" s="5">
        <v>108.1</v>
      </c>
      <c r="H7546" s="5">
        <v>107.9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108.5</v>
      </c>
      <c r="D7547" s="5">
        <v>0.1</v>
      </c>
      <c r="E7547" s="5">
        <v>108.7</v>
      </c>
      <c r="F7547" s="5">
        <v>217.4</v>
      </c>
      <c r="G7547" s="5">
        <v>108.1</v>
      </c>
      <c r="H7547" s="5">
        <v>107.9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109.4</v>
      </c>
      <c r="D7548" s="5">
        <v>0.1</v>
      </c>
      <c r="E7548" s="5">
        <v>109.7</v>
      </c>
      <c r="F7548" s="5">
        <v>217.8</v>
      </c>
      <c r="G7548" s="5">
        <v>108.2</v>
      </c>
      <c r="H7548" s="5">
        <v>108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109.4</v>
      </c>
      <c r="D7549" s="5">
        <v>0.1</v>
      </c>
      <c r="E7549" s="5">
        <v>109.7</v>
      </c>
      <c r="F7549" s="5">
        <v>217.8</v>
      </c>
      <c r="G7549" s="5">
        <v>108.2</v>
      </c>
      <c r="H7549" s="5">
        <v>108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109.4</v>
      </c>
      <c r="D7550" s="5">
        <v>0.1</v>
      </c>
      <c r="E7550" s="5">
        <v>109.7</v>
      </c>
      <c r="F7550" s="5">
        <v>217.8</v>
      </c>
      <c r="G7550" s="5">
        <v>108.2</v>
      </c>
      <c r="H7550" s="5">
        <v>108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109.4</v>
      </c>
      <c r="D7551" s="5">
        <v>0.1</v>
      </c>
      <c r="E7551" s="5">
        <v>109.7</v>
      </c>
      <c r="F7551" s="5">
        <v>217.8</v>
      </c>
      <c r="G7551" s="5">
        <v>108.2</v>
      </c>
      <c r="H7551" s="5">
        <v>108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109.4</v>
      </c>
      <c r="D7552" s="5">
        <v>0.1</v>
      </c>
      <c r="E7552" s="5">
        <v>109.6</v>
      </c>
      <c r="F7552" s="5">
        <v>217.8</v>
      </c>
      <c r="G7552" s="5">
        <v>108.3</v>
      </c>
      <c r="H7552" s="5">
        <v>108.2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109.4</v>
      </c>
      <c r="D7553" s="5">
        <v>0.1</v>
      </c>
      <c r="E7553" s="5">
        <v>109.6</v>
      </c>
      <c r="F7553" s="5">
        <v>217.8</v>
      </c>
      <c r="G7553" s="5">
        <v>108.3</v>
      </c>
      <c r="H7553" s="5">
        <v>108.2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109.4</v>
      </c>
      <c r="D7554" s="5">
        <v>0.1</v>
      </c>
      <c r="E7554" s="5">
        <v>109.6</v>
      </c>
      <c r="F7554" s="5">
        <v>217.8</v>
      </c>
      <c r="G7554" s="5">
        <v>108.3</v>
      </c>
      <c r="H7554" s="5">
        <v>108.2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109.4</v>
      </c>
      <c r="D7555" s="5">
        <v>0.1</v>
      </c>
      <c r="E7555" s="5">
        <v>109.6</v>
      </c>
      <c r="F7555" s="5">
        <v>217.8</v>
      </c>
      <c r="G7555" s="5">
        <v>108.3</v>
      </c>
      <c r="H7555" s="5">
        <v>108.2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109.9</v>
      </c>
      <c r="D7556" s="5">
        <v>0.1</v>
      </c>
      <c r="E7556" s="5">
        <v>110.1</v>
      </c>
      <c r="F7556" s="5">
        <v>218.2</v>
      </c>
      <c r="G7556" s="5">
        <v>108.5</v>
      </c>
      <c r="H7556" s="5">
        <v>108.4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109.9</v>
      </c>
      <c r="D7557" s="5">
        <v>0.1</v>
      </c>
      <c r="E7557" s="5">
        <v>110.1</v>
      </c>
      <c r="F7557" s="5">
        <v>218.2</v>
      </c>
      <c r="G7557" s="5">
        <v>108.5</v>
      </c>
      <c r="H7557" s="5">
        <v>108.4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109.8</v>
      </c>
      <c r="D7558" s="5">
        <v>0.1</v>
      </c>
      <c r="E7558" s="5">
        <v>110</v>
      </c>
      <c r="F7558" s="5">
        <v>218.8</v>
      </c>
      <c r="G7558" s="5">
        <v>108.8</v>
      </c>
      <c r="H7558" s="5">
        <v>108.6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109.8</v>
      </c>
      <c r="D7559" s="5">
        <v>0.1</v>
      </c>
      <c r="E7559" s="5">
        <v>110</v>
      </c>
      <c r="F7559" s="5">
        <v>218.8</v>
      </c>
      <c r="G7559" s="5">
        <v>108.8</v>
      </c>
      <c r="H7559" s="5">
        <v>108.6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109.6</v>
      </c>
      <c r="D7560" s="5">
        <v>0.1</v>
      </c>
      <c r="E7560" s="5">
        <v>109.7</v>
      </c>
      <c r="F7560" s="5">
        <v>218.6</v>
      </c>
      <c r="G7560" s="5">
        <v>108.7</v>
      </c>
      <c r="H7560" s="5">
        <v>108.6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109.6</v>
      </c>
      <c r="D7561" s="5">
        <v>0.1</v>
      </c>
      <c r="E7561" s="5">
        <v>109.7</v>
      </c>
      <c r="F7561" s="5">
        <v>218.6</v>
      </c>
      <c r="G7561" s="5">
        <v>108.7</v>
      </c>
      <c r="H7561" s="5">
        <v>108.6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110.2</v>
      </c>
      <c r="D7562" s="5">
        <v>0.1</v>
      </c>
      <c r="E7562" s="5">
        <v>110.4</v>
      </c>
      <c r="F7562" s="5">
        <v>219</v>
      </c>
      <c r="G7562" s="5">
        <v>108.9</v>
      </c>
      <c r="H7562" s="5">
        <v>108.8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110.2</v>
      </c>
      <c r="D7563" s="5">
        <v>0.1</v>
      </c>
      <c r="E7563" s="5">
        <v>110.4</v>
      </c>
      <c r="F7563" s="5">
        <v>219</v>
      </c>
      <c r="G7563" s="5">
        <v>108.9</v>
      </c>
      <c r="H7563" s="5">
        <v>108.8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110.2</v>
      </c>
      <c r="D7564" s="5">
        <v>0.1</v>
      </c>
      <c r="E7564" s="5">
        <v>110.4</v>
      </c>
      <c r="F7564" s="5">
        <v>219</v>
      </c>
      <c r="G7564" s="5">
        <v>108.9</v>
      </c>
      <c r="H7564" s="5">
        <v>108.8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110.2</v>
      </c>
      <c r="D7565" s="5">
        <v>0.1</v>
      </c>
      <c r="E7565" s="5">
        <v>110.4</v>
      </c>
      <c r="F7565" s="5">
        <v>219</v>
      </c>
      <c r="G7565" s="5">
        <v>108.9</v>
      </c>
      <c r="H7565" s="5">
        <v>108.8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109.1</v>
      </c>
      <c r="D7566" s="5">
        <v>0.1</v>
      </c>
      <c r="E7566" s="5">
        <v>109.2</v>
      </c>
      <c r="F7566" s="5">
        <v>217.9</v>
      </c>
      <c r="G7566" s="5">
        <v>108.3</v>
      </c>
      <c r="H7566" s="5">
        <v>108.1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109.1</v>
      </c>
      <c r="D7567" s="5">
        <v>0.1</v>
      </c>
      <c r="E7567" s="5">
        <v>109.2</v>
      </c>
      <c r="F7567" s="5">
        <v>217.9</v>
      </c>
      <c r="G7567" s="5">
        <v>108.3</v>
      </c>
      <c r="H7567" s="5">
        <v>108.1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109.2</v>
      </c>
      <c r="D7568" s="5">
        <v>0.1</v>
      </c>
      <c r="E7568" s="5">
        <v>109.4</v>
      </c>
      <c r="F7568" s="5">
        <v>218.2</v>
      </c>
      <c r="G7568" s="5">
        <v>108.5</v>
      </c>
      <c r="H7568" s="5">
        <v>108.3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109.2</v>
      </c>
      <c r="D7569" s="5">
        <v>0.1</v>
      </c>
      <c r="E7569" s="5">
        <v>109.4</v>
      </c>
      <c r="F7569" s="5">
        <v>218.2</v>
      </c>
      <c r="G7569" s="5">
        <v>108.5</v>
      </c>
      <c r="H7569" s="5">
        <v>108.3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109.5</v>
      </c>
      <c r="D7570" s="5">
        <v>0.1</v>
      </c>
      <c r="E7570" s="5">
        <v>109.7</v>
      </c>
      <c r="F7570" s="5">
        <v>217.9</v>
      </c>
      <c r="G7570" s="5">
        <v>108.3</v>
      </c>
      <c r="H7570" s="5">
        <v>108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109.5</v>
      </c>
      <c r="D7571" s="5">
        <v>0.1</v>
      </c>
      <c r="E7571" s="5">
        <v>109.7</v>
      </c>
      <c r="F7571" s="5">
        <v>217.9</v>
      </c>
      <c r="G7571" s="5">
        <v>108.3</v>
      </c>
      <c r="H7571" s="5">
        <v>108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109.2</v>
      </c>
      <c r="D7572" s="5">
        <v>0.1</v>
      </c>
      <c r="E7572" s="5">
        <v>109.4</v>
      </c>
      <c r="F7572" s="5">
        <v>217.4</v>
      </c>
      <c r="G7572" s="5">
        <v>108</v>
      </c>
      <c r="H7572" s="5">
        <v>107.8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109.2</v>
      </c>
      <c r="D7573" s="5">
        <v>0.1</v>
      </c>
      <c r="E7573" s="5">
        <v>109.4</v>
      </c>
      <c r="F7573" s="5">
        <v>217.4</v>
      </c>
      <c r="G7573" s="5">
        <v>108</v>
      </c>
      <c r="H7573" s="5">
        <v>107.8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109.2</v>
      </c>
      <c r="D7574" s="5">
        <v>0.1</v>
      </c>
      <c r="E7574" s="5">
        <v>109.4</v>
      </c>
      <c r="F7574" s="5">
        <v>217.4</v>
      </c>
      <c r="G7574" s="5">
        <v>108</v>
      </c>
      <c r="H7574" s="5">
        <v>107.8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109.2</v>
      </c>
      <c r="D7575" s="5">
        <v>0.1</v>
      </c>
      <c r="E7575" s="5">
        <v>109.4</v>
      </c>
      <c r="F7575" s="5">
        <v>217.4</v>
      </c>
      <c r="G7575" s="5">
        <v>108</v>
      </c>
      <c r="H7575" s="5">
        <v>107.8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109.1</v>
      </c>
      <c r="D7576" s="5">
        <v>0.1</v>
      </c>
      <c r="E7576" s="5">
        <v>109.2</v>
      </c>
      <c r="F7576" s="5">
        <v>217.2</v>
      </c>
      <c r="G7576" s="5">
        <v>108</v>
      </c>
      <c r="H7576" s="5">
        <v>107.8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109.1</v>
      </c>
      <c r="D7577" s="5">
        <v>0.1</v>
      </c>
      <c r="E7577" s="5">
        <v>109.2</v>
      </c>
      <c r="F7577" s="5">
        <v>217.2</v>
      </c>
      <c r="G7577" s="5">
        <v>108</v>
      </c>
      <c r="H7577" s="5">
        <v>107.8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109.4</v>
      </c>
      <c r="D7578" s="5">
        <v>0.1</v>
      </c>
      <c r="E7578" s="5">
        <v>109.6</v>
      </c>
      <c r="F7578" s="5">
        <v>218</v>
      </c>
      <c r="G7578" s="5">
        <v>108.4</v>
      </c>
      <c r="H7578" s="5">
        <v>108.2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109.4</v>
      </c>
      <c r="D7579" s="5">
        <v>0.1</v>
      </c>
      <c r="E7579" s="5">
        <v>109.6</v>
      </c>
      <c r="F7579" s="5">
        <v>218</v>
      </c>
      <c r="G7579" s="5">
        <v>108.4</v>
      </c>
      <c r="H7579" s="5">
        <v>108.2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109.9</v>
      </c>
      <c r="D7580" s="5">
        <v>0.1</v>
      </c>
      <c r="E7580" s="5">
        <v>110.1</v>
      </c>
      <c r="F7580" s="5">
        <v>218.1</v>
      </c>
      <c r="G7580" s="5">
        <v>108.4</v>
      </c>
      <c r="H7580" s="5">
        <v>108.3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109.9</v>
      </c>
      <c r="D7581" s="5">
        <v>0.1</v>
      </c>
      <c r="E7581" s="5">
        <v>110.1</v>
      </c>
      <c r="F7581" s="5">
        <v>218.1</v>
      </c>
      <c r="G7581" s="5">
        <v>108.4</v>
      </c>
      <c r="H7581" s="5">
        <v>108.3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109.9</v>
      </c>
      <c r="D7582" s="5">
        <v>0.1</v>
      </c>
      <c r="E7582" s="5">
        <v>110.1</v>
      </c>
      <c r="F7582" s="5">
        <v>218.1</v>
      </c>
      <c r="G7582" s="5">
        <v>108.4</v>
      </c>
      <c r="H7582" s="5">
        <v>108.3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109.9</v>
      </c>
      <c r="D7583" s="5">
        <v>0.1</v>
      </c>
      <c r="E7583" s="5">
        <v>110.1</v>
      </c>
      <c r="F7583" s="5">
        <v>218.1</v>
      </c>
      <c r="G7583" s="5">
        <v>108.4</v>
      </c>
      <c r="H7583" s="5">
        <v>108.3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109.9</v>
      </c>
      <c r="D7584" s="5">
        <v>0.1</v>
      </c>
      <c r="E7584" s="5">
        <v>110.1</v>
      </c>
      <c r="F7584" s="5">
        <v>218.1</v>
      </c>
      <c r="G7584" s="5">
        <v>108.4</v>
      </c>
      <c r="H7584" s="5">
        <v>108.3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109.9</v>
      </c>
      <c r="D7585" s="5">
        <v>0.1</v>
      </c>
      <c r="E7585" s="5">
        <v>110.1</v>
      </c>
      <c r="F7585" s="5">
        <v>218.1</v>
      </c>
      <c r="G7585" s="5">
        <v>108.4</v>
      </c>
      <c r="H7585" s="5">
        <v>108.3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109.9</v>
      </c>
      <c r="D7586" s="5">
        <v>0.1</v>
      </c>
      <c r="E7586" s="5">
        <v>110.1</v>
      </c>
      <c r="F7586" s="5">
        <v>218.2</v>
      </c>
      <c r="G7586" s="5">
        <v>108.5</v>
      </c>
      <c r="H7586" s="5">
        <v>108.3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109.9</v>
      </c>
      <c r="D7587" s="5">
        <v>0.1</v>
      </c>
      <c r="E7587" s="5">
        <v>110.1</v>
      </c>
      <c r="F7587" s="5">
        <v>218.2</v>
      </c>
      <c r="G7587" s="5">
        <v>108.5</v>
      </c>
      <c r="H7587" s="5">
        <v>108.3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109.6</v>
      </c>
      <c r="D7588" s="5">
        <v>0.1</v>
      </c>
      <c r="E7588" s="5">
        <v>109.7</v>
      </c>
      <c r="F7588" s="5">
        <v>217.8</v>
      </c>
      <c r="G7588" s="5">
        <v>108.3</v>
      </c>
      <c r="H7588" s="5">
        <v>108.2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109.6</v>
      </c>
      <c r="D7589" s="5">
        <v>0.1</v>
      </c>
      <c r="E7589" s="5">
        <v>109.7</v>
      </c>
      <c r="F7589" s="5">
        <v>217.8</v>
      </c>
      <c r="G7589" s="5">
        <v>108.3</v>
      </c>
      <c r="H7589" s="5">
        <v>108.2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108.9</v>
      </c>
      <c r="D7590" s="5">
        <v>0.1</v>
      </c>
      <c r="E7590" s="5">
        <v>109.1</v>
      </c>
      <c r="F7590" s="5">
        <v>216.4</v>
      </c>
      <c r="G7590" s="5">
        <v>107.6</v>
      </c>
      <c r="H7590" s="5">
        <v>107.6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108.9</v>
      </c>
      <c r="D7591" s="5">
        <v>0.1</v>
      </c>
      <c r="E7591" s="5">
        <v>109.1</v>
      </c>
      <c r="F7591" s="5">
        <v>216.4</v>
      </c>
      <c r="G7591" s="5">
        <v>107.6</v>
      </c>
      <c r="H7591" s="5">
        <v>107.6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108.6</v>
      </c>
      <c r="D7592" s="5">
        <v>0.1</v>
      </c>
      <c r="E7592" s="5">
        <v>108.8</v>
      </c>
      <c r="F7592" s="5">
        <v>216.7</v>
      </c>
      <c r="G7592" s="5">
        <v>107.7</v>
      </c>
      <c r="H7592" s="5">
        <v>107.5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108.6</v>
      </c>
      <c r="D7593" s="5">
        <v>0.1</v>
      </c>
      <c r="E7593" s="5">
        <v>108.8</v>
      </c>
      <c r="F7593" s="5">
        <v>216.7</v>
      </c>
      <c r="G7593" s="5">
        <v>107.7</v>
      </c>
      <c r="H7593" s="5">
        <v>107.5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108.6</v>
      </c>
      <c r="D7594" s="5">
        <v>0.1</v>
      </c>
      <c r="E7594" s="5">
        <v>108.8</v>
      </c>
      <c r="F7594" s="5">
        <v>216.7</v>
      </c>
      <c r="G7594" s="5">
        <v>107.7</v>
      </c>
      <c r="H7594" s="5">
        <v>107.5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108.6</v>
      </c>
      <c r="D7595" s="5">
        <v>0.1</v>
      </c>
      <c r="E7595" s="5">
        <v>108.8</v>
      </c>
      <c r="F7595" s="5">
        <v>216.7</v>
      </c>
      <c r="G7595" s="5">
        <v>107.7</v>
      </c>
      <c r="H7595" s="5">
        <v>107.5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109.1</v>
      </c>
      <c r="D7596" s="5">
        <v>0.1</v>
      </c>
      <c r="E7596" s="5">
        <v>109.3</v>
      </c>
      <c r="F7596" s="5">
        <v>217.8</v>
      </c>
      <c r="G7596" s="5">
        <v>108.3</v>
      </c>
      <c r="H7596" s="5">
        <v>108.1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109.1</v>
      </c>
      <c r="D7597" s="5">
        <v>0.1</v>
      </c>
      <c r="E7597" s="5">
        <v>109.3</v>
      </c>
      <c r="F7597" s="5">
        <v>217.8</v>
      </c>
      <c r="G7597" s="5">
        <v>108.3</v>
      </c>
      <c r="H7597" s="5">
        <v>108.1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108.4</v>
      </c>
      <c r="D7598" s="5">
        <v>0.1</v>
      </c>
      <c r="E7598" s="5">
        <v>108.5</v>
      </c>
      <c r="F7598" s="5">
        <v>215.6</v>
      </c>
      <c r="G7598" s="5">
        <v>107.2</v>
      </c>
      <c r="H7598" s="5">
        <v>107.1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108.4</v>
      </c>
      <c r="D7599" s="5">
        <v>0.1</v>
      </c>
      <c r="E7599" s="5">
        <v>108.5</v>
      </c>
      <c r="F7599" s="5">
        <v>215.6</v>
      </c>
      <c r="G7599" s="5">
        <v>107.2</v>
      </c>
      <c r="H7599" s="5">
        <v>107.1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108</v>
      </c>
      <c r="D7600" s="5">
        <v>0.1</v>
      </c>
      <c r="E7600" s="5">
        <v>108.1</v>
      </c>
      <c r="F7600" s="5">
        <v>215.4</v>
      </c>
      <c r="G7600" s="5">
        <v>107.1</v>
      </c>
      <c r="H7600" s="5">
        <v>106.9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108</v>
      </c>
      <c r="D7601" s="5">
        <v>0.1</v>
      </c>
      <c r="E7601" s="5">
        <v>108.1</v>
      </c>
      <c r="F7601" s="5">
        <v>215.4</v>
      </c>
      <c r="G7601" s="5">
        <v>107.1</v>
      </c>
      <c r="H7601" s="5">
        <v>106.9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108.9</v>
      </c>
      <c r="D7602" s="5">
        <v>0.1</v>
      </c>
      <c r="E7602" s="5">
        <v>109.1</v>
      </c>
      <c r="F7602" s="5">
        <v>214.6</v>
      </c>
      <c r="G7602" s="5">
        <v>106.7</v>
      </c>
      <c r="H7602" s="5">
        <v>106.6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108.9</v>
      </c>
      <c r="D7603" s="5">
        <v>0.1</v>
      </c>
      <c r="E7603" s="5">
        <v>109.1</v>
      </c>
      <c r="F7603" s="5">
        <v>214.6</v>
      </c>
      <c r="G7603" s="5">
        <v>106.7</v>
      </c>
      <c r="H7603" s="5">
        <v>106.6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108.9</v>
      </c>
      <c r="D7604" s="5">
        <v>0.1</v>
      </c>
      <c r="E7604" s="5">
        <v>109.1</v>
      </c>
      <c r="F7604" s="5">
        <v>214.6</v>
      </c>
      <c r="G7604" s="5">
        <v>106.7</v>
      </c>
      <c r="H7604" s="5">
        <v>106.6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108.9</v>
      </c>
      <c r="D7605" s="5">
        <v>0.1</v>
      </c>
      <c r="E7605" s="5">
        <v>109.1</v>
      </c>
      <c r="F7605" s="5">
        <v>214.6</v>
      </c>
      <c r="G7605" s="5">
        <v>108.2</v>
      </c>
      <c r="H7605" s="5">
        <v>108.1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109.1</v>
      </c>
      <c r="D7606" s="5">
        <v>0.1</v>
      </c>
      <c r="E7606" s="5">
        <v>109.2</v>
      </c>
      <c r="F7606" s="5">
        <v>217.5</v>
      </c>
      <c r="G7606" s="5">
        <v>108.2</v>
      </c>
      <c r="H7606" s="5">
        <v>108.1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109.1</v>
      </c>
      <c r="D7607" s="5">
        <v>0.1</v>
      </c>
      <c r="E7607" s="5">
        <v>109.2</v>
      </c>
      <c r="F7607" s="5">
        <v>217.5</v>
      </c>
      <c r="G7607" s="5">
        <v>108.2</v>
      </c>
      <c r="H7607" s="5">
        <v>108.1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109.1</v>
      </c>
      <c r="D7608" s="5">
        <v>0.1</v>
      </c>
      <c r="E7608" s="5">
        <v>109.2</v>
      </c>
      <c r="F7608" s="5">
        <v>217.8</v>
      </c>
      <c r="G7608" s="5">
        <v>108.3</v>
      </c>
      <c r="H7608" s="5">
        <v>108.1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109.1</v>
      </c>
      <c r="D7609" s="5">
        <v>0.1</v>
      </c>
      <c r="E7609" s="5">
        <v>109.2</v>
      </c>
      <c r="F7609" s="5">
        <v>217.8</v>
      </c>
      <c r="G7609" s="5">
        <v>108.3</v>
      </c>
      <c r="H7609" s="5">
        <v>108.1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108.9</v>
      </c>
      <c r="D7610" s="5">
        <v>0.1</v>
      </c>
      <c r="E7610" s="5">
        <v>109.1</v>
      </c>
      <c r="F7610" s="5">
        <v>216.9</v>
      </c>
      <c r="G7610" s="5">
        <v>107.8</v>
      </c>
      <c r="H7610" s="5">
        <v>107.7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108.9</v>
      </c>
      <c r="D7611" s="5">
        <v>0.1</v>
      </c>
      <c r="E7611" s="5">
        <v>109.1</v>
      </c>
      <c r="F7611" s="5">
        <v>216.9</v>
      </c>
      <c r="G7611" s="5">
        <v>107.8</v>
      </c>
      <c r="H7611" s="5">
        <v>107.7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109.1</v>
      </c>
      <c r="D7612" s="5">
        <v>0.1</v>
      </c>
      <c r="E7612" s="5">
        <v>109.2</v>
      </c>
      <c r="F7612" s="5">
        <v>217.4</v>
      </c>
      <c r="G7612" s="5">
        <v>108.2</v>
      </c>
      <c r="H7612" s="5">
        <v>108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109.1</v>
      </c>
      <c r="D7613" s="5">
        <v>0.1</v>
      </c>
      <c r="E7613" s="5">
        <v>109.2</v>
      </c>
      <c r="F7613" s="5">
        <v>217.4</v>
      </c>
      <c r="G7613" s="5">
        <v>108.2</v>
      </c>
      <c r="H7613" s="5">
        <v>108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109.1</v>
      </c>
      <c r="D7614" s="5">
        <v>0.1</v>
      </c>
      <c r="E7614" s="5">
        <v>109.2</v>
      </c>
      <c r="F7614" s="5">
        <v>217.4</v>
      </c>
      <c r="G7614" s="5">
        <v>108.2</v>
      </c>
      <c r="H7614" s="5">
        <v>108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109.1</v>
      </c>
      <c r="D7615" s="5">
        <v>0.1</v>
      </c>
      <c r="E7615" s="5">
        <v>109.2</v>
      </c>
      <c r="F7615" s="5">
        <v>217.4</v>
      </c>
      <c r="G7615" s="5">
        <v>108.2</v>
      </c>
      <c r="H7615" s="5">
        <v>108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109.1</v>
      </c>
      <c r="D7616" s="5">
        <v>0.1</v>
      </c>
      <c r="E7616" s="5">
        <v>109.3</v>
      </c>
      <c r="F7616" s="5">
        <v>217.1</v>
      </c>
      <c r="G7616" s="5">
        <v>107.9</v>
      </c>
      <c r="H7616" s="5">
        <v>107.7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109.1</v>
      </c>
      <c r="D7617" s="5">
        <v>0.1</v>
      </c>
      <c r="E7617" s="5">
        <v>109.3</v>
      </c>
      <c r="F7617" s="5">
        <v>217.1</v>
      </c>
      <c r="G7617" s="5">
        <v>107.9</v>
      </c>
      <c r="H7617" s="5">
        <v>107.7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109.8</v>
      </c>
      <c r="D7618" s="5">
        <v>0.1</v>
      </c>
      <c r="E7618" s="5">
        <v>110</v>
      </c>
      <c r="F7618" s="5">
        <v>217.6</v>
      </c>
      <c r="G7618" s="5">
        <v>108.2</v>
      </c>
      <c r="H7618" s="5">
        <v>108.1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109.8</v>
      </c>
      <c r="D7619" s="5">
        <v>0.1</v>
      </c>
      <c r="E7619" s="5">
        <v>110</v>
      </c>
      <c r="F7619" s="5">
        <v>217.6</v>
      </c>
      <c r="G7619" s="5">
        <v>108.2</v>
      </c>
      <c r="H7619" s="5">
        <v>108.1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109.4</v>
      </c>
      <c r="D7620" s="5">
        <v>0.1</v>
      </c>
      <c r="E7620" s="5">
        <v>109.5</v>
      </c>
      <c r="F7620" s="5">
        <v>217.4</v>
      </c>
      <c r="G7620" s="5">
        <v>108.1</v>
      </c>
      <c r="H7620" s="5">
        <v>107.9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109.4</v>
      </c>
      <c r="D7621" s="5">
        <v>0.1</v>
      </c>
      <c r="E7621" s="5">
        <v>109.5</v>
      </c>
      <c r="F7621" s="5">
        <v>217.4</v>
      </c>
      <c r="G7621" s="5">
        <v>108.1</v>
      </c>
      <c r="H7621" s="5">
        <v>107.9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109.4</v>
      </c>
      <c r="D7622" s="5">
        <v>0.1</v>
      </c>
      <c r="E7622" s="5">
        <v>109.6</v>
      </c>
      <c r="F7622" s="5">
        <v>217.6</v>
      </c>
      <c r="G7622" s="5">
        <v>108.2</v>
      </c>
      <c r="H7622" s="5">
        <v>108.1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109.4</v>
      </c>
      <c r="D7623" s="5">
        <v>0.1</v>
      </c>
      <c r="E7623" s="5">
        <v>109.6</v>
      </c>
      <c r="F7623" s="5">
        <v>217.6</v>
      </c>
      <c r="G7623" s="5">
        <v>108.2</v>
      </c>
      <c r="H7623" s="5">
        <v>108.1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109.4</v>
      </c>
      <c r="D7624" s="5">
        <v>0.1</v>
      </c>
      <c r="E7624" s="5">
        <v>109.6</v>
      </c>
      <c r="F7624" s="5">
        <v>217.6</v>
      </c>
      <c r="G7624" s="5">
        <v>108.2</v>
      </c>
      <c r="H7624" s="5">
        <v>108.1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109.4</v>
      </c>
      <c r="D7625" s="5">
        <v>0.1</v>
      </c>
      <c r="E7625" s="5">
        <v>109.6</v>
      </c>
      <c r="F7625" s="5">
        <v>217.6</v>
      </c>
      <c r="G7625" s="5">
        <v>108.2</v>
      </c>
      <c r="H7625" s="5">
        <v>108.1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108.8</v>
      </c>
      <c r="D7626" s="5">
        <v>0.1</v>
      </c>
      <c r="E7626" s="5">
        <v>108.9</v>
      </c>
      <c r="F7626" s="5">
        <v>216.4</v>
      </c>
      <c r="G7626" s="5">
        <v>107.6</v>
      </c>
      <c r="H7626" s="5">
        <v>107.4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108.8</v>
      </c>
      <c r="D7627" s="5">
        <v>0.1</v>
      </c>
      <c r="E7627" s="5">
        <v>108.9</v>
      </c>
      <c r="F7627" s="5">
        <v>216.4</v>
      </c>
      <c r="G7627" s="5">
        <v>107.6</v>
      </c>
      <c r="H7627" s="5">
        <v>107.4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109.1</v>
      </c>
      <c r="D7628" s="5">
        <v>0.1</v>
      </c>
      <c r="E7628" s="5">
        <v>109.1</v>
      </c>
      <c r="F7628" s="5">
        <v>216.6</v>
      </c>
      <c r="G7628" s="5">
        <v>107.7</v>
      </c>
      <c r="H7628" s="5">
        <v>107.6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109.1</v>
      </c>
      <c r="D7629" s="5">
        <v>0.1</v>
      </c>
      <c r="E7629" s="5">
        <v>109.1</v>
      </c>
      <c r="F7629" s="5">
        <v>216.6</v>
      </c>
      <c r="G7629" s="5">
        <v>107.7</v>
      </c>
      <c r="H7629" s="5">
        <v>107.6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108.9</v>
      </c>
      <c r="D7630" s="5">
        <v>0.1</v>
      </c>
      <c r="E7630" s="5">
        <v>109.1</v>
      </c>
      <c r="F7630" s="5">
        <v>216.7</v>
      </c>
      <c r="G7630" s="5">
        <v>107.8</v>
      </c>
      <c r="H7630" s="5">
        <v>107.6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108.9</v>
      </c>
      <c r="D7631" s="5">
        <v>0.1</v>
      </c>
      <c r="E7631" s="5">
        <v>109.1</v>
      </c>
      <c r="F7631" s="5">
        <v>216.7</v>
      </c>
      <c r="G7631" s="5">
        <v>107.8</v>
      </c>
      <c r="H7631" s="5">
        <v>107.6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109.5</v>
      </c>
      <c r="D7632" s="5">
        <v>0.1</v>
      </c>
      <c r="E7632" s="5">
        <v>109.7</v>
      </c>
      <c r="F7632" s="5">
        <v>217.1</v>
      </c>
      <c r="G7632" s="5">
        <v>107.9</v>
      </c>
      <c r="H7632" s="5">
        <v>107.8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109.5</v>
      </c>
      <c r="D7633" s="5">
        <v>0.1</v>
      </c>
      <c r="E7633" s="5">
        <v>109.7</v>
      </c>
      <c r="F7633" s="5">
        <v>217.1</v>
      </c>
      <c r="G7633" s="5">
        <v>107.9</v>
      </c>
      <c r="H7633" s="5">
        <v>107.8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109.5</v>
      </c>
      <c r="D7634" s="5">
        <v>0.1</v>
      </c>
      <c r="E7634" s="5">
        <v>109.7</v>
      </c>
      <c r="F7634" s="5">
        <v>217.1</v>
      </c>
      <c r="G7634" s="5">
        <v>107.9</v>
      </c>
      <c r="H7634" s="5">
        <v>107.8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109.5</v>
      </c>
      <c r="D7635" s="5">
        <v>0.1</v>
      </c>
      <c r="E7635" s="5">
        <v>109.7</v>
      </c>
      <c r="F7635" s="5">
        <v>217.1</v>
      </c>
      <c r="G7635" s="5">
        <v>107.9</v>
      </c>
      <c r="H7635" s="5">
        <v>107.8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109.5</v>
      </c>
      <c r="D7636" s="5">
        <v>0.1</v>
      </c>
      <c r="E7636" s="5">
        <v>109.7</v>
      </c>
      <c r="F7636" s="5">
        <v>217.8</v>
      </c>
      <c r="G7636" s="5">
        <v>108.3</v>
      </c>
      <c r="H7636" s="5">
        <v>108.1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109.5</v>
      </c>
      <c r="D7637" s="5">
        <v>0.1</v>
      </c>
      <c r="E7637" s="5">
        <v>109.7</v>
      </c>
      <c r="F7637" s="5">
        <v>217.8</v>
      </c>
      <c r="G7637" s="5">
        <v>108.3</v>
      </c>
      <c r="H7637" s="5">
        <v>108.1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109.4</v>
      </c>
      <c r="D7638" s="5">
        <v>0.1</v>
      </c>
      <c r="E7638" s="5">
        <v>109.6</v>
      </c>
      <c r="F7638" s="5">
        <v>217.6</v>
      </c>
      <c r="G7638" s="5">
        <v>108.2</v>
      </c>
      <c r="H7638" s="5">
        <v>108.1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109.4</v>
      </c>
      <c r="D7639" s="5">
        <v>0.1</v>
      </c>
      <c r="E7639" s="5">
        <v>109.6</v>
      </c>
      <c r="F7639" s="5">
        <v>217.6</v>
      </c>
      <c r="G7639" s="5">
        <v>108.2</v>
      </c>
      <c r="H7639" s="5">
        <v>108.1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109.5</v>
      </c>
      <c r="D7640" s="5">
        <v>0.1</v>
      </c>
      <c r="E7640" s="5">
        <v>109.7</v>
      </c>
      <c r="F7640" s="5">
        <v>217.5</v>
      </c>
      <c r="G7640" s="5">
        <v>108.5</v>
      </c>
      <c r="H7640" s="5">
        <v>108.4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109.5</v>
      </c>
      <c r="D7641" s="5">
        <v>0.1</v>
      </c>
      <c r="E7641" s="5">
        <v>109.7</v>
      </c>
      <c r="F7641" s="5">
        <v>217.5</v>
      </c>
      <c r="G7641" s="5">
        <v>108.5</v>
      </c>
      <c r="H7641" s="5">
        <v>108.4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109.4</v>
      </c>
      <c r="D7642" s="5">
        <v>0.1</v>
      </c>
      <c r="E7642" s="5">
        <v>109.6</v>
      </c>
      <c r="F7642" s="5">
        <v>217.5</v>
      </c>
      <c r="G7642" s="5">
        <v>108.2</v>
      </c>
      <c r="H7642" s="5">
        <v>108.1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109.4</v>
      </c>
      <c r="D7643" s="5">
        <v>0.1</v>
      </c>
      <c r="E7643" s="5">
        <v>109.6</v>
      </c>
      <c r="F7643" s="5">
        <v>217.5</v>
      </c>
      <c r="G7643" s="5">
        <v>108.2</v>
      </c>
      <c r="H7643" s="5">
        <v>108.1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109.4</v>
      </c>
      <c r="D7644" s="5">
        <v>0.1</v>
      </c>
      <c r="E7644" s="5">
        <v>109.6</v>
      </c>
      <c r="F7644" s="5">
        <v>217.5</v>
      </c>
      <c r="G7644" s="5">
        <v>108.2</v>
      </c>
      <c r="H7644" s="5">
        <v>108.1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109.6</v>
      </c>
      <c r="D7645" s="5">
        <v>0.1</v>
      </c>
      <c r="E7645" s="5">
        <v>109.7</v>
      </c>
      <c r="F7645" s="5">
        <v>217.6</v>
      </c>
      <c r="G7645" s="5">
        <v>108.2</v>
      </c>
      <c r="H7645" s="5">
        <v>108.1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109.6</v>
      </c>
      <c r="D7646" s="5">
        <v>0.1</v>
      </c>
      <c r="E7646" s="5">
        <v>109.7</v>
      </c>
      <c r="F7646" s="5">
        <v>217.6</v>
      </c>
      <c r="G7646" s="5">
        <v>108.2</v>
      </c>
      <c r="H7646" s="5">
        <v>108.1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109.8</v>
      </c>
      <c r="D7647" s="5">
        <v>0.1</v>
      </c>
      <c r="E7647" s="5">
        <v>110</v>
      </c>
      <c r="F7647" s="5">
        <v>218.3</v>
      </c>
      <c r="G7647" s="5">
        <v>108.6</v>
      </c>
      <c r="H7647" s="5">
        <v>108.4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109.8</v>
      </c>
      <c r="D7648" s="5">
        <v>0.1</v>
      </c>
      <c r="E7648" s="5">
        <v>110</v>
      </c>
      <c r="F7648" s="5">
        <v>218.3</v>
      </c>
      <c r="G7648" s="5">
        <v>108.6</v>
      </c>
      <c r="H7648" s="5">
        <v>108.4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109.4</v>
      </c>
      <c r="D7649" s="5">
        <v>0.1</v>
      </c>
      <c r="E7649" s="5">
        <v>109.6</v>
      </c>
      <c r="F7649" s="5">
        <v>217.5</v>
      </c>
      <c r="G7649" s="5">
        <v>108.1</v>
      </c>
      <c r="H7649" s="5">
        <v>108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109.4</v>
      </c>
      <c r="D7650" s="5">
        <v>0.1</v>
      </c>
      <c r="E7650" s="5">
        <v>109.6</v>
      </c>
      <c r="F7650" s="5">
        <v>217.5</v>
      </c>
      <c r="G7650" s="5">
        <v>108.1</v>
      </c>
      <c r="H7650" s="5">
        <v>108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109.1</v>
      </c>
      <c r="D7651" s="5">
        <v>0.1</v>
      </c>
      <c r="E7651" s="5">
        <v>109.3</v>
      </c>
      <c r="F7651" s="5">
        <v>217.1</v>
      </c>
      <c r="G7651" s="5">
        <v>108</v>
      </c>
      <c r="H7651" s="5">
        <v>107.8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109.1</v>
      </c>
      <c r="D7652" s="5">
        <v>0.1</v>
      </c>
      <c r="E7652" s="5">
        <v>109.3</v>
      </c>
      <c r="F7652" s="5">
        <v>217.1</v>
      </c>
      <c r="G7652" s="5">
        <v>108</v>
      </c>
      <c r="H7652" s="5">
        <v>107.8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109.1</v>
      </c>
      <c r="D7653" s="5">
        <v>0.1</v>
      </c>
      <c r="E7653" s="5">
        <v>109.3</v>
      </c>
      <c r="F7653" s="5">
        <v>217.1</v>
      </c>
      <c r="G7653" s="5">
        <v>108</v>
      </c>
      <c r="H7653" s="5">
        <v>107.8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109.1</v>
      </c>
      <c r="D7654" s="5">
        <v>0.1</v>
      </c>
      <c r="E7654" s="5">
        <v>109.3</v>
      </c>
      <c r="F7654" s="5">
        <v>217.1</v>
      </c>
      <c r="G7654" s="5">
        <v>108</v>
      </c>
      <c r="H7654" s="5">
        <v>107.8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109.6</v>
      </c>
      <c r="D7655" s="5">
        <v>0.1</v>
      </c>
      <c r="E7655" s="5">
        <v>109.7</v>
      </c>
      <c r="F7655" s="5">
        <v>217.6</v>
      </c>
      <c r="G7655" s="5">
        <v>108.2</v>
      </c>
      <c r="H7655" s="5">
        <v>108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109.6</v>
      </c>
      <c r="D7656" s="5">
        <v>0.1</v>
      </c>
      <c r="E7656" s="5">
        <v>109.7</v>
      </c>
      <c r="F7656" s="5">
        <v>217.6</v>
      </c>
      <c r="G7656" s="5">
        <v>108.2</v>
      </c>
      <c r="H7656" s="5">
        <v>108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108.9</v>
      </c>
      <c r="D7657" s="5">
        <v>0.1</v>
      </c>
      <c r="E7657" s="5">
        <v>109.1</v>
      </c>
      <c r="F7657" s="5">
        <v>217.8</v>
      </c>
      <c r="G7657" s="5">
        <v>108.3</v>
      </c>
      <c r="H7657" s="5">
        <v>108.1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108.9</v>
      </c>
      <c r="D7658" s="5">
        <v>0.1</v>
      </c>
      <c r="E7658" s="5">
        <v>109.1</v>
      </c>
      <c r="F7658" s="5">
        <v>217.8</v>
      </c>
      <c r="G7658" s="5">
        <v>108.3</v>
      </c>
      <c r="H7658" s="5">
        <v>108.1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109.1</v>
      </c>
      <c r="D7659" s="5">
        <v>0.1</v>
      </c>
      <c r="E7659" s="5">
        <v>109.3</v>
      </c>
      <c r="F7659" s="5">
        <v>217.1</v>
      </c>
      <c r="G7659" s="5">
        <v>108.1</v>
      </c>
      <c r="H7659" s="5">
        <v>107.9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109.1</v>
      </c>
      <c r="D7660" s="5">
        <v>0.1</v>
      </c>
      <c r="E7660" s="5">
        <v>109.3</v>
      </c>
      <c r="F7660" s="5">
        <v>217.1</v>
      </c>
      <c r="G7660" s="5">
        <v>108.1</v>
      </c>
      <c r="H7660" s="5">
        <v>107.9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109.4</v>
      </c>
      <c r="D7661" s="5">
        <v>0.1</v>
      </c>
      <c r="E7661" s="5">
        <v>109.6</v>
      </c>
      <c r="F7661" s="5">
        <v>217.4</v>
      </c>
      <c r="G7661" s="5">
        <v>108.1</v>
      </c>
      <c r="H7661" s="5">
        <v>108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109.4</v>
      </c>
      <c r="D7662" s="5">
        <v>0.1</v>
      </c>
      <c r="E7662" s="5">
        <v>109.6</v>
      </c>
      <c r="F7662" s="5">
        <v>217.4</v>
      </c>
      <c r="G7662" s="5">
        <v>108.1</v>
      </c>
      <c r="H7662" s="5">
        <v>108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109.4</v>
      </c>
      <c r="D7663" s="5">
        <v>0.1</v>
      </c>
      <c r="E7663" s="5">
        <v>109.6</v>
      </c>
      <c r="F7663" s="5">
        <v>217.4</v>
      </c>
      <c r="G7663" s="5">
        <v>108.1</v>
      </c>
      <c r="H7663" s="5">
        <v>108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109.4</v>
      </c>
      <c r="D7664" s="5">
        <v>0.1</v>
      </c>
      <c r="E7664" s="5">
        <v>109.6</v>
      </c>
      <c r="F7664" s="5">
        <v>217.4</v>
      </c>
      <c r="G7664" s="5">
        <v>108.1</v>
      </c>
      <c r="H7664" s="5">
        <v>108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108.3</v>
      </c>
      <c r="D7665" s="5">
        <v>0.1</v>
      </c>
      <c r="E7665" s="5">
        <v>109.6</v>
      </c>
      <c r="F7665" s="5">
        <v>217.4</v>
      </c>
      <c r="G7665" s="5">
        <v>108.1</v>
      </c>
      <c r="H7665" s="5">
        <v>108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108.3</v>
      </c>
      <c r="D7666" s="5">
        <v>0.1</v>
      </c>
      <c r="E7666" s="5">
        <v>108.5</v>
      </c>
      <c r="F7666" s="5">
        <v>216</v>
      </c>
      <c r="G7666" s="5">
        <v>107.4</v>
      </c>
      <c r="H7666" s="5">
        <v>107.2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108.3</v>
      </c>
      <c r="D7667" s="5">
        <v>0.1</v>
      </c>
      <c r="E7667" s="5">
        <v>108.5</v>
      </c>
      <c r="F7667" s="5">
        <v>216</v>
      </c>
      <c r="G7667" s="5">
        <v>107.4</v>
      </c>
      <c r="H7667" s="5">
        <v>107.2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108.9</v>
      </c>
      <c r="D7668" s="5">
        <v>0.1</v>
      </c>
      <c r="E7668" s="5">
        <v>109.1</v>
      </c>
      <c r="F7668" s="5">
        <v>216.9</v>
      </c>
      <c r="G7668" s="5">
        <v>107.9</v>
      </c>
      <c r="H7668" s="5">
        <v>107.7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108.9</v>
      </c>
      <c r="D7669" s="5">
        <v>0.1</v>
      </c>
      <c r="E7669" s="5">
        <v>109.1</v>
      </c>
      <c r="F7669" s="5">
        <v>216.9</v>
      </c>
      <c r="G7669" s="5">
        <v>107.9</v>
      </c>
      <c r="H7669" s="5">
        <v>107.7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108.7</v>
      </c>
      <c r="D7670" s="5">
        <v>0.1</v>
      </c>
      <c r="E7670" s="5">
        <v>108.8</v>
      </c>
      <c r="F7670" s="5">
        <v>216.5</v>
      </c>
      <c r="G7670" s="5">
        <v>107.7</v>
      </c>
      <c r="H7670" s="5">
        <v>107.6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108.7</v>
      </c>
      <c r="D7671" s="5">
        <v>0.1</v>
      </c>
      <c r="E7671" s="5">
        <v>108.8</v>
      </c>
      <c r="F7671" s="5">
        <v>216.5</v>
      </c>
      <c r="G7671" s="5">
        <v>107.7</v>
      </c>
      <c r="H7671" s="5">
        <v>107.6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109.1</v>
      </c>
      <c r="D7672" s="5">
        <v>0.1</v>
      </c>
      <c r="E7672" s="5">
        <v>109.2</v>
      </c>
      <c r="F7672" s="5">
        <v>217.5</v>
      </c>
      <c r="G7672" s="5">
        <v>108.1</v>
      </c>
      <c r="H7672" s="5">
        <v>108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109.1</v>
      </c>
      <c r="D7673" s="5">
        <v>0.1</v>
      </c>
      <c r="E7673" s="5">
        <v>109.2</v>
      </c>
      <c r="F7673" s="5">
        <v>217.5</v>
      </c>
      <c r="G7673" s="5">
        <v>108.1</v>
      </c>
      <c r="H7673" s="5">
        <v>108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109.1</v>
      </c>
      <c r="D7674" s="5">
        <v>0.1</v>
      </c>
      <c r="E7674" s="5">
        <v>109.2</v>
      </c>
      <c r="F7674" s="5">
        <v>217.5</v>
      </c>
      <c r="G7674" s="5">
        <v>108.1</v>
      </c>
      <c r="H7674" s="5">
        <v>108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109.3</v>
      </c>
      <c r="D7675" s="5">
        <v>0.1</v>
      </c>
      <c r="E7675" s="5">
        <v>109.4</v>
      </c>
      <c r="F7675" s="5">
        <v>217.5</v>
      </c>
      <c r="G7675" s="5">
        <v>108.1</v>
      </c>
      <c r="H7675" s="5">
        <v>108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109.3</v>
      </c>
      <c r="D7676" s="5">
        <v>0.1</v>
      </c>
      <c r="E7676" s="5">
        <v>109.4</v>
      </c>
      <c r="F7676" s="5">
        <v>217.5</v>
      </c>
      <c r="G7676" s="5">
        <v>108.1</v>
      </c>
      <c r="H7676" s="5">
        <v>108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109.4</v>
      </c>
      <c r="D7677" s="5">
        <v>0.1</v>
      </c>
      <c r="E7677" s="5">
        <v>109.6</v>
      </c>
      <c r="F7677" s="5">
        <v>217.6</v>
      </c>
      <c r="G7677" s="5">
        <v>108.2</v>
      </c>
      <c r="H7677" s="5">
        <v>108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109.4</v>
      </c>
      <c r="D7678" s="5">
        <v>0.1</v>
      </c>
      <c r="E7678" s="5">
        <v>109.6</v>
      </c>
      <c r="F7678" s="5">
        <v>217.6</v>
      </c>
      <c r="G7678" s="5">
        <v>108.2</v>
      </c>
      <c r="H7678" s="5">
        <v>108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109.1</v>
      </c>
      <c r="D7679" s="5">
        <v>0.1</v>
      </c>
      <c r="E7679" s="5">
        <v>109.3</v>
      </c>
      <c r="F7679" s="5">
        <v>217.2</v>
      </c>
      <c r="G7679" s="5">
        <v>108</v>
      </c>
      <c r="H7679" s="5">
        <v>107.8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109.1</v>
      </c>
      <c r="D7680" s="5">
        <v>0.1</v>
      </c>
      <c r="E7680" s="5">
        <v>109.3</v>
      </c>
      <c r="F7680" s="5">
        <v>217.2</v>
      </c>
      <c r="G7680" s="5">
        <v>108</v>
      </c>
      <c r="H7680" s="5">
        <v>107.8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109.1</v>
      </c>
      <c r="D7681" s="5">
        <v>0.1</v>
      </c>
      <c r="E7681" s="5">
        <v>109.3</v>
      </c>
      <c r="F7681" s="5">
        <v>217.2</v>
      </c>
      <c r="G7681" s="5">
        <v>108</v>
      </c>
      <c r="H7681" s="5">
        <v>107.8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109.1</v>
      </c>
      <c r="D7682" s="5">
        <v>0.1</v>
      </c>
      <c r="E7682" s="5">
        <v>109.3</v>
      </c>
      <c r="F7682" s="5">
        <v>217.2</v>
      </c>
      <c r="G7682" s="5">
        <v>108</v>
      </c>
      <c r="H7682" s="5">
        <v>107.8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109.1</v>
      </c>
      <c r="D7683" s="5">
        <v>0.1</v>
      </c>
      <c r="E7683" s="5">
        <v>109.3</v>
      </c>
      <c r="F7683" s="5">
        <v>217.2</v>
      </c>
      <c r="G7683" s="5">
        <v>108</v>
      </c>
      <c r="H7683" s="5">
        <v>107.8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109.1</v>
      </c>
      <c r="D7684" s="5">
        <v>0.1</v>
      </c>
      <c r="E7684" s="5">
        <v>109.3</v>
      </c>
      <c r="F7684" s="5">
        <v>217.2</v>
      </c>
      <c r="G7684" s="5">
        <v>108</v>
      </c>
      <c r="H7684" s="5">
        <v>107.8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109</v>
      </c>
      <c r="D7685" s="5">
        <v>0.1</v>
      </c>
      <c r="E7685" s="5">
        <v>109.1</v>
      </c>
      <c r="F7685" s="5">
        <v>217.2</v>
      </c>
      <c r="G7685" s="5">
        <v>108</v>
      </c>
      <c r="H7685" s="5">
        <v>107.8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109</v>
      </c>
      <c r="D7686" s="5">
        <v>0.1</v>
      </c>
      <c r="E7686" s="5">
        <v>109.1</v>
      </c>
      <c r="F7686" s="5">
        <v>217.2</v>
      </c>
      <c r="G7686" s="5">
        <v>108</v>
      </c>
      <c r="H7686" s="5">
        <v>107.8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108.7</v>
      </c>
      <c r="D7687" s="5">
        <v>0.1</v>
      </c>
      <c r="E7687" s="5">
        <v>108.8</v>
      </c>
      <c r="F7687" s="5">
        <v>216.3</v>
      </c>
      <c r="G7687" s="5">
        <v>107.5</v>
      </c>
      <c r="H7687" s="5">
        <v>107.4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108.7</v>
      </c>
      <c r="D7688" s="5">
        <v>0.1</v>
      </c>
      <c r="E7688" s="5">
        <v>108.8</v>
      </c>
      <c r="F7688" s="5">
        <v>216.3</v>
      </c>
      <c r="G7688" s="5">
        <v>107.5</v>
      </c>
      <c r="H7688" s="5">
        <v>107.4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109.3</v>
      </c>
      <c r="D7689" s="5">
        <v>0.1</v>
      </c>
      <c r="E7689" s="5">
        <v>109.4</v>
      </c>
      <c r="F7689" s="5">
        <v>217.2</v>
      </c>
      <c r="G7689" s="5">
        <v>108</v>
      </c>
      <c r="H7689" s="5">
        <v>107.8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109.3</v>
      </c>
      <c r="D7690" s="5">
        <v>0.1</v>
      </c>
      <c r="E7690" s="5">
        <v>109.4</v>
      </c>
      <c r="F7690" s="5">
        <v>217.2</v>
      </c>
      <c r="G7690" s="5">
        <v>108</v>
      </c>
      <c r="H7690" s="5">
        <v>107.8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108.7</v>
      </c>
      <c r="D7691" s="5">
        <v>0.1</v>
      </c>
      <c r="E7691" s="5">
        <v>108.8</v>
      </c>
      <c r="F7691" s="5">
        <v>216.3</v>
      </c>
      <c r="G7691" s="5">
        <v>107.5</v>
      </c>
      <c r="H7691" s="5">
        <v>107.4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108.7</v>
      </c>
      <c r="D7692" s="5">
        <v>0.1</v>
      </c>
      <c r="E7692" s="5">
        <v>108.8</v>
      </c>
      <c r="F7692" s="5">
        <v>216.3</v>
      </c>
      <c r="G7692" s="5">
        <v>107.5</v>
      </c>
      <c r="H7692" s="5">
        <v>107.4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108.7</v>
      </c>
      <c r="D7693" s="5">
        <v>0.1</v>
      </c>
      <c r="E7693" s="5">
        <v>108.8</v>
      </c>
      <c r="F7693" s="5">
        <v>216.3</v>
      </c>
      <c r="G7693" s="5">
        <v>107.5</v>
      </c>
      <c r="H7693" s="5">
        <v>107.4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108.7</v>
      </c>
      <c r="D7694" s="5">
        <v>0.1</v>
      </c>
      <c r="E7694" s="5">
        <v>108.8</v>
      </c>
      <c r="F7694" s="5">
        <v>216.3</v>
      </c>
      <c r="G7694" s="5">
        <v>107.5</v>
      </c>
      <c r="H7694" s="5">
        <v>107.4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108.8</v>
      </c>
      <c r="D7695" s="5">
        <v>0.1</v>
      </c>
      <c r="E7695" s="5">
        <v>108.8</v>
      </c>
      <c r="F7695" s="5">
        <v>215.7</v>
      </c>
      <c r="G7695" s="5">
        <v>107.2</v>
      </c>
      <c r="H7695" s="5">
        <v>107.1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108.8</v>
      </c>
      <c r="D7696" s="5">
        <v>0.1</v>
      </c>
      <c r="E7696" s="5">
        <v>108.8</v>
      </c>
      <c r="F7696" s="5">
        <v>215.7</v>
      </c>
      <c r="G7696" s="5">
        <v>107.2</v>
      </c>
      <c r="H7696" s="5">
        <v>107.1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109.3</v>
      </c>
      <c r="D7697" s="5">
        <v>0.1</v>
      </c>
      <c r="E7697" s="5">
        <v>109.4</v>
      </c>
      <c r="F7697" s="5">
        <v>217.2</v>
      </c>
      <c r="G7697" s="5">
        <v>108</v>
      </c>
      <c r="H7697" s="5">
        <v>107.8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109.3</v>
      </c>
      <c r="D7698" s="5">
        <v>0.1</v>
      </c>
      <c r="E7698" s="5">
        <v>109.4</v>
      </c>
      <c r="F7698" s="5">
        <v>217.2</v>
      </c>
      <c r="G7698" s="5">
        <v>108</v>
      </c>
      <c r="H7698" s="5">
        <v>107.8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109.3</v>
      </c>
      <c r="D7699" s="5">
        <v>0.1</v>
      </c>
      <c r="E7699" s="5">
        <v>109.4</v>
      </c>
      <c r="F7699" s="5">
        <v>217</v>
      </c>
      <c r="G7699" s="5">
        <v>107.9</v>
      </c>
      <c r="H7699" s="5">
        <v>107.8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109.3</v>
      </c>
      <c r="D7700" s="5">
        <v>0.1</v>
      </c>
      <c r="E7700" s="5">
        <v>109.4</v>
      </c>
      <c r="F7700" s="5">
        <v>217</v>
      </c>
      <c r="G7700" s="5">
        <v>107.9</v>
      </c>
      <c r="H7700" s="5">
        <v>107.8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109.1</v>
      </c>
      <c r="D7701" s="5">
        <v>0.1</v>
      </c>
      <c r="E7701" s="5">
        <v>109.3</v>
      </c>
      <c r="F7701" s="5">
        <v>216.5</v>
      </c>
      <c r="G7701" s="5">
        <v>107.6</v>
      </c>
      <c r="H7701" s="5">
        <v>107.5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109.1</v>
      </c>
      <c r="D7702" s="5">
        <v>0.1</v>
      </c>
      <c r="E7702" s="5">
        <v>109.3</v>
      </c>
      <c r="F7702" s="5">
        <v>216.5</v>
      </c>
      <c r="G7702" s="5">
        <v>107.6</v>
      </c>
      <c r="H7702" s="5">
        <v>107.5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109.1</v>
      </c>
      <c r="D7703" s="5">
        <v>0.1</v>
      </c>
      <c r="E7703" s="5">
        <v>109.3</v>
      </c>
      <c r="F7703" s="5">
        <v>216.5</v>
      </c>
      <c r="G7703" s="5">
        <v>107.6</v>
      </c>
      <c r="H7703" s="5">
        <v>107.5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109.1</v>
      </c>
      <c r="D7704" s="5">
        <v>0.1</v>
      </c>
      <c r="E7704" s="5">
        <v>109.3</v>
      </c>
      <c r="F7704" s="5">
        <v>216.5</v>
      </c>
      <c r="G7704" s="5">
        <v>107.6</v>
      </c>
      <c r="H7704" s="5">
        <v>107.5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109.1</v>
      </c>
      <c r="D7705" s="5">
        <v>0.1</v>
      </c>
      <c r="E7705" s="5">
        <v>109.3</v>
      </c>
      <c r="F7705" s="5">
        <v>216.5</v>
      </c>
      <c r="G7705" s="5">
        <v>107.6</v>
      </c>
      <c r="H7705" s="5">
        <v>107.5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109.1</v>
      </c>
      <c r="D7706" s="5">
        <v>0.1</v>
      </c>
      <c r="E7706" s="5">
        <v>109.3</v>
      </c>
      <c r="F7706" s="5">
        <v>216.5</v>
      </c>
      <c r="G7706" s="5">
        <v>107.6</v>
      </c>
      <c r="H7706" s="5">
        <v>107.5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109.1</v>
      </c>
      <c r="D7707" s="5">
        <v>0.1</v>
      </c>
      <c r="E7707" s="5">
        <v>109.3</v>
      </c>
      <c r="F7707" s="5">
        <v>216.5</v>
      </c>
      <c r="G7707" s="5">
        <v>107.6</v>
      </c>
      <c r="H7707" s="5">
        <v>107.5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109.1</v>
      </c>
      <c r="D7708" s="5">
        <v>0.1</v>
      </c>
      <c r="E7708" s="5">
        <v>109.3</v>
      </c>
      <c r="F7708" s="5">
        <v>216.5</v>
      </c>
      <c r="G7708" s="5">
        <v>107.6</v>
      </c>
      <c r="H7708" s="5">
        <v>107.5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109.4</v>
      </c>
      <c r="D7709" s="5">
        <v>0.1</v>
      </c>
      <c r="E7709" s="5">
        <v>109.5</v>
      </c>
      <c r="F7709" s="5">
        <v>217.6</v>
      </c>
      <c r="G7709" s="5">
        <v>108.2</v>
      </c>
      <c r="H7709" s="5">
        <v>108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109.4</v>
      </c>
      <c r="D7710" s="5">
        <v>0.1</v>
      </c>
      <c r="E7710" s="5">
        <v>109.5</v>
      </c>
      <c r="F7710" s="5">
        <v>217.6</v>
      </c>
      <c r="G7710" s="5">
        <v>108.2</v>
      </c>
      <c r="H7710" s="5">
        <v>108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108.9</v>
      </c>
      <c r="D7711" s="5">
        <v>0.1</v>
      </c>
      <c r="E7711" s="5">
        <v>109.1</v>
      </c>
      <c r="F7711" s="5">
        <v>217.3</v>
      </c>
      <c r="G7711" s="5">
        <v>108</v>
      </c>
      <c r="H7711" s="5">
        <v>107.8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108.9</v>
      </c>
      <c r="D7712" s="5">
        <v>0.1</v>
      </c>
      <c r="E7712" s="5">
        <v>109.1</v>
      </c>
      <c r="F7712" s="5">
        <v>217.3</v>
      </c>
      <c r="G7712" s="5">
        <v>108</v>
      </c>
      <c r="H7712" s="5">
        <v>107.8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108.9</v>
      </c>
      <c r="D7713" s="5">
        <v>0.1</v>
      </c>
      <c r="E7713" s="5">
        <v>109.1</v>
      </c>
      <c r="F7713" s="5">
        <v>217.3</v>
      </c>
      <c r="G7713" s="5">
        <v>108</v>
      </c>
      <c r="H7713" s="5">
        <v>107.8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108.9</v>
      </c>
      <c r="D7714" s="5">
        <v>0.1</v>
      </c>
      <c r="E7714" s="5">
        <v>109.1</v>
      </c>
      <c r="F7714" s="5">
        <v>217.3</v>
      </c>
      <c r="G7714" s="5">
        <v>108</v>
      </c>
      <c r="H7714" s="5">
        <v>107.8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109.4</v>
      </c>
      <c r="D7715" s="5">
        <v>0.1</v>
      </c>
      <c r="E7715" s="5">
        <v>109.6</v>
      </c>
      <c r="F7715" s="5">
        <v>217.9</v>
      </c>
      <c r="G7715" s="5">
        <v>108.3</v>
      </c>
      <c r="H7715" s="5">
        <v>108.2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109.4</v>
      </c>
      <c r="D7716" s="5">
        <v>0.1</v>
      </c>
      <c r="E7716" s="5">
        <v>109.6</v>
      </c>
      <c r="F7716" s="5">
        <v>217.9</v>
      </c>
      <c r="G7716" s="5">
        <v>108.3</v>
      </c>
      <c r="H7716" s="5">
        <v>108.2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110</v>
      </c>
      <c r="D7717" s="5">
        <v>0.1</v>
      </c>
      <c r="E7717" s="5">
        <v>110.1</v>
      </c>
      <c r="F7717" s="5">
        <v>218.5</v>
      </c>
      <c r="G7717" s="5">
        <v>108.6</v>
      </c>
      <c r="H7717" s="5">
        <v>108.4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110</v>
      </c>
      <c r="D7718" s="5">
        <v>0.1</v>
      </c>
      <c r="E7718" s="5">
        <v>110.1</v>
      </c>
      <c r="F7718" s="5">
        <v>218.5</v>
      </c>
      <c r="G7718" s="5">
        <v>108.6</v>
      </c>
      <c r="H7718" s="5">
        <v>108.4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110.1</v>
      </c>
      <c r="D7719" s="5">
        <v>0.1</v>
      </c>
      <c r="E7719" s="5">
        <v>110.2</v>
      </c>
      <c r="F7719" s="5">
        <v>218.3</v>
      </c>
      <c r="G7719" s="5">
        <v>108.5</v>
      </c>
      <c r="H7719" s="5">
        <v>108.3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110.1</v>
      </c>
      <c r="D7720" s="5">
        <v>0.1</v>
      </c>
      <c r="E7720" s="5">
        <v>110.2</v>
      </c>
      <c r="F7720" s="5">
        <v>218.3</v>
      </c>
      <c r="G7720" s="5">
        <v>108.5</v>
      </c>
      <c r="H7720" s="5">
        <v>108.3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109.1</v>
      </c>
      <c r="D7721" s="5">
        <v>0.1</v>
      </c>
      <c r="E7721" s="5">
        <v>109.2</v>
      </c>
      <c r="F7721" s="5">
        <v>218</v>
      </c>
      <c r="G7721" s="5">
        <v>108.5</v>
      </c>
      <c r="H7721" s="5">
        <v>108.3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109.1</v>
      </c>
      <c r="D7722" s="5">
        <v>0.1</v>
      </c>
      <c r="E7722" s="5">
        <v>109.2</v>
      </c>
      <c r="F7722" s="5">
        <v>218</v>
      </c>
      <c r="G7722" s="5">
        <v>108.5</v>
      </c>
      <c r="H7722" s="5">
        <v>108.3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109.1</v>
      </c>
      <c r="D7723" s="5">
        <v>0.1</v>
      </c>
      <c r="E7723" s="5">
        <v>109.2</v>
      </c>
      <c r="F7723" s="5">
        <v>218</v>
      </c>
      <c r="G7723" s="5">
        <v>108.5</v>
      </c>
      <c r="H7723" s="5">
        <v>108.3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109.1</v>
      </c>
      <c r="D7724" s="5">
        <v>0.1</v>
      </c>
      <c r="E7724" s="5">
        <v>109.2</v>
      </c>
      <c r="F7724" s="5">
        <v>218</v>
      </c>
      <c r="G7724" s="5">
        <v>108.5</v>
      </c>
      <c r="H7724" s="5">
        <v>108.3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109.7</v>
      </c>
      <c r="D7725" s="5">
        <v>0.1</v>
      </c>
      <c r="E7725" s="5">
        <v>109.9</v>
      </c>
      <c r="F7725" s="5">
        <v>218.3</v>
      </c>
      <c r="G7725" s="5">
        <v>108.5</v>
      </c>
      <c r="H7725" s="5">
        <v>108.4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109.7</v>
      </c>
      <c r="D7726" s="5">
        <v>0.1</v>
      </c>
      <c r="E7726" s="5">
        <v>109.9</v>
      </c>
      <c r="F7726" s="5">
        <v>218.3</v>
      </c>
      <c r="G7726" s="5">
        <v>108.5</v>
      </c>
      <c r="H7726" s="5">
        <v>108.4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109.4</v>
      </c>
      <c r="D7727" s="5">
        <v>0.1</v>
      </c>
      <c r="E7727" s="5">
        <v>109.6</v>
      </c>
      <c r="F7727" s="5">
        <v>217.5</v>
      </c>
      <c r="G7727" s="5">
        <v>108.1</v>
      </c>
      <c r="H7727" s="5">
        <v>108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109.4</v>
      </c>
      <c r="D7728" s="5">
        <v>0.1</v>
      </c>
      <c r="E7728" s="5">
        <v>109.6</v>
      </c>
      <c r="F7728" s="5">
        <v>217.5</v>
      </c>
      <c r="G7728" s="5">
        <v>108.1</v>
      </c>
      <c r="H7728" s="5">
        <v>108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110.5</v>
      </c>
      <c r="D7729" s="5">
        <v>0.1</v>
      </c>
      <c r="E7729" s="5">
        <v>110.7</v>
      </c>
      <c r="F7729" s="5">
        <v>219</v>
      </c>
      <c r="G7729" s="5">
        <v>108.9</v>
      </c>
      <c r="H7729" s="5">
        <v>108.8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110.5</v>
      </c>
      <c r="D7730" s="5">
        <v>0.1</v>
      </c>
      <c r="E7730" s="5">
        <v>110.7</v>
      </c>
      <c r="F7730" s="5">
        <v>219</v>
      </c>
      <c r="G7730" s="5">
        <v>108.9</v>
      </c>
      <c r="H7730" s="5">
        <v>108.8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111.3</v>
      </c>
      <c r="D7731" s="5">
        <v>0.1</v>
      </c>
      <c r="E7731" s="5">
        <v>111.5</v>
      </c>
      <c r="F7731" s="5">
        <v>219.9</v>
      </c>
      <c r="G7731" s="5">
        <v>109.3</v>
      </c>
      <c r="H7731" s="5">
        <v>109.3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111.3</v>
      </c>
      <c r="D7732" s="5">
        <v>0.1</v>
      </c>
      <c r="E7732" s="5">
        <v>111.5</v>
      </c>
      <c r="F7732" s="5">
        <v>219.9</v>
      </c>
      <c r="G7732" s="5">
        <v>109.3</v>
      </c>
      <c r="H7732" s="5">
        <v>109.3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111.3</v>
      </c>
      <c r="D7733" s="5">
        <v>0.1</v>
      </c>
      <c r="E7733" s="5">
        <v>111.5</v>
      </c>
      <c r="F7733" s="5">
        <v>219.9</v>
      </c>
      <c r="G7733" s="5">
        <v>109.3</v>
      </c>
      <c r="H7733" s="5">
        <v>109.3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111.3</v>
      </c>
      <c r="D7734" s="5">
        <v>0.1</v>
      </c>
      <c r="E7734" s="5">
        <v>111.5</v>
      </c>
      <c r="F7734" s="5">
        <v>219.9</v>
      </c>
      <c r="G7734" s="5">
        <v>109.3</v>
      </c>
      <c r="H7734" s="5">
        <v>109.3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111.1</v>
      </c>
      <c r="D7735" s="5">
        <v>0.1</v>
      </c>
      <c r="E7735" s="5">
        <v>111.3</v>
      </c>
      <c r="F7735" s="5">
        <v>221.1</v>
      </c>
      <c r="G7735" s="5">
        <v>110</v>
      </c>
      <c r="H7735" s="5">
        <v>109.8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111.1</v>
      </c>
      <c r="D7736" s="5">
        <v>0.1</v>
      </c>
      <c r="E7736" s="5">
        <v>111.3</v>
      </c>
      <c r="F7736" s="5">
        <v>221.1</v>
      </c>
      <c r="G7736" s="5">
        <v>110</v>
      </c>
      <c r="H7736" s="5">
        <v>109.8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111.2</v>
      </c>
      <c r="D7737" s="5">
        <v>0.1</v>
      </c>
      <c r="E7737" s="5">
        <v>111.3</v>
      </c>
      <c r="F7737" s="5">
        <v>220.7</v>
      </c>
      <c r="G7737" s="5">
        <v>109.7</v>
      </c>
      <c r="H7737" s="5">
        <v>109.5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111.2</v>
      </c>
      <c r="D7738" s="5">
        <v>0.1</v>
      </c>
      <c r="E7738" s="5">
        <v>111.3</v>
      </c>
      <c r="F7738" s="5">
        <v>220.7</v>
      </c>
      <c r="G7738" s="5">
        <v>109.7</v>
      </c>
      <c r="H7738" s="5">
        <v>109.5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111.2</v>
      </c>
      <c r="D7739" s="5">
        <v>0.1</v>
      </c>
      <c r="E7739" s="5">
        <v>111.3</v>
      </c>
      <c r="F7739" s="5">
        <v>221.4</v>
      </c>
      <c r="G7739" s="5">
        <v>109.9</v>
      </c>
      <c r="H7739" s="5">
        <v>109.7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111.2</v>
      </c>
      <c r="D7740" s="5">
        <v>0.1</v>
      </c>
      <c r="E7740" s="5">
        <v>111.3</v>
      </c>
      <c r="F7740" s="5">
        <v>221.4</v>
      </c>
      <c r="G7740" s="5">
        <v>109.9</v>
      </c>
      <c r="H7740" s="5">
        <v>109.7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111.6</v>
      </c>
      <c r="D7741" s="5">
        <v>0.1</v>
      </c>
      <c r="E7741" s="5">
        <v>111.7</v>
      </c>
      <c r="F7741" s="5">
        <v>221.9</v>
      </c>
      <c r="G7741" s="5">
        <v>110.3</v>
      </c>
      <c r="H7741" s="5">
        <v>110.2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111.6</v>
      </c>
      <c r="D7742" s="5">
        <v>0.1</v>
      </c>
      <c r="E7742" s="5">
        <v>111.7</v>
      </c>
      <c r="F7742" s="5">
        <v>221.9</v>
      </c>
      <c r="G7742" s="5">
        <v>110.3</v>
      </c>
      <c r="H7742" s="5">
        <v>110.2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111.6</v>
      </c>
      <c r="D7743" s="5">
        <v>0.1</v>
      </c>
      <c r="E7743" s="5">
        <v>111.7</v>
      </c>
      <c r="F7743" s="5">
        <v>221.9</v>
      </c>
      <c r="G7743" s="5">
        <v>110.3</v>
      </c>
      <c r="H7743" s="5">
        <v>110.2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111.6</v>
      </c>
      <c r="D7744" s="5">
        <v>0.1</v>
      </c>
      <c r="E7744" s="5">
        <v>111.7</v>
      </c>
      <c r="F7744" s="5">
        <v>221.9</v>
      </c>
      <c r="G7744" s="5">
        <v>110.3</v>
      </c>
      <c r="H7744" s="5">
        <v>110.2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111.5</v>
      </c>
      <c r="D7745" s="5">
        <v>0.1</v>
      </c>
      <c r="E7745" s="5">
        <v>111.6</v>
      </c>
      <c r="F7745" s="5">
        <v>221.7</v>
      </c>
      <c r="G7745" s="5">
        <v>110.3</v>
      </c>
      <c r="H7745" s="5">
        <v>110.1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111.5</v>
      </c>
      <c r="D7746" s="5">
        <v>0.1</v>
      </c>
      <c r="E7746" s="5">
        <v>111.6</v>
      </c>
      <c r="F7746" s="5">
        <v>221.7</v>
      </c>
      <c r="G7746" s="5">
        <v>110.3</v>
      </c>
      <c r="H7746" s="5">
        <v>110.1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111.9</v>
      </c>
      <c r="D7747" s="5">
        <v>0.1</v>
      </c>
      <c r="E7747" s="5">
        <v>112</v>
      </c>
      <c r="F7747" s="5">
        <v>222.4</v>
      </c>
      <c r="G7747" s="5">
        <v>110.6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111.9</v>
      </c>
      <c r="D7748" s="5">
        <v>0.1</v>
      </c>
      <c r="E7748" s="5">
        <v>112</v>
      </c>
      <c r="F7748" s="5">
        <v>222.4</v>
      </c>
      <c r="G7748" s="5">
        <v>110.6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110.6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110.6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110.6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110.6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111.6</v>
      </c>
      <c r="D7755" s="5">
        <v>0.1</v>
      </c>
      <c r="E7755" s="5">
        <v>111.7</v>
      </c>
      <c r="F7755" s="5">
        <v>222.1</v>
      </c>
      <c r="G7755" s="5">
        <v>110.4</v>
      </c>
      <c r="H7755" s="5">
        <v>110.3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111.6</v>
      </c>
      <c r="D7756" s="5">
        <v>0.1</v>
      </c>
      <c r="E7756" s="5">
        <v>111.7</v>
      </c>
      <c r="F7756" s="5">
        <v>222.1</v>
      </c>
      <c r="G7756" s="5">
        <v>110.4</v>
      </c>
      <c r="H7756" s="5">
        <v>110.3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111.6</v>
      </c>
      <c r="D7757" s="5">
        <v>0.1</v>
      </c>
      <c r="E7757" s="5">
        <v>111.7</v>
      </c>
      <c r="F7757" s="5">
        <v>222.5</v>
      </c>
      <c r="G7757" s="5">
        <v>110.6</v>
      </c>
      <c r="H7757" s="5">
        <v>110.5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111.6</v>
      </c>
      <c r="D7758" s="5">
        <v>0.1</v>
      </c>
      <c r="E7758" s="5">
        <v>111.7</v>
      </c>
      <c r="F7758" s="5">
        <v>222.5</v>
      </c>
      <c r="G7758" s="5">
        <v>110.6</v>
      </c>
      <c r="H7758" s="5">
        <v>110.5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111.8</v>
      </c>
      <c r="D7759" s="5">
        <v>0.1</v>
      </c>
      <c r="E7759" s="5">
        <v>112</v>
      </c>
      <c r="F7759" s="5">
        <v>222.6</v>
      </c>
      <c r="G7759" s="5">
        <v>110.7</v>
      </c>
      <c r="H7759" s="5">
        <v>110.5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111.8</v>
      </c>
      <c r="D7760" s="5">
        <v>0.1</v>
      </c>
      <c r="E7760" s="5">
        <v>112</v>
      </c>
      <c r="F7760" s="5">
        <v>222.6</v>
      </c>
      <c r="G7760" s="5">
        <v>110.7</v>
      </c>
      <c r="H7760" s="5">
        <v>110.5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111.6</v>
      </c>
      <c r="D7761" s="5">
        <v>0.1</v>
      </c>
      <c r="E7761" s="5">
        <v>111.7</v>
      </c>
      <c r="F7761" s="5">
        <v>223.2</v>
      </c>
      <c r="G7761" s="5">
        <v>110.9</v>
      </c>
      <c r="H7761" s="5">
        <v>110.8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111.6</v>
      </c>
      <c r="D7762" s="5">
        <v>0.1</v>
      </c>
      <c r="E7762" s="5">
        <v>111.7</v>
      </c>
      <c r="F7762" s="5">
        <v>223.2</v>
      </c>
      <c r="G7762" s="5">
        <v>110.9</v>
      </c>
      <c r="H7762" s="5">
        <v>110.8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111.6</v>
      </c>
      <c r="D7763" s="5">
        <v>0.1</v>
      </c>
      <c r="E7763" s="5">
        <v>111.7</v>
      </c>
      <c r="F7763" s="5">
        <v>223.2</v>
      </c>
      <c r="G7763" s="5">
        <v>110.9</v>
      </c>
      <c r="H7763" s="5">
        <v>110.8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112.6</v>
      </c>
      <c r="D7764" s="5">
        <v>0.1</v>
      </c>
      <c r="E7764" s="5">
        <v>112.7</v>
      </c>
      <c r="F7764" s="5">
        <v>223.4</v>
      </c>
      <c r="G7764" s="5">
        <v>111</v>
      </c>
      <c r="H7764" s="5">
        <v>110.8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112.6</v>
      </c>
      <c r="D7765" s="5">
        <v>0.1</v>
      </c>
      <c r="E7765" s="5">
        <v>112.7</v>
      </c>
      <c r="F7765" s="5">
        <v>223.4</v>
      </c>
      <c r="G7765" s="5">
        <v>111</v>
      </c>
      <c r="H7765" s="5">
        <v>110.9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111.9</v>
      </c>
      <c r="D7766" s="5">
        <v>0.1</v>
      </c>
      <c r="E7766" s="5">
        <v>112.7</v>
      </c>
      <c r="F7766" s="5">
        <v>223.4</v>
      </c>
      <c r="G7766" s="5">
        <v>111</v>
      </c>
      <c r="H7766" s="5">
        <v>110.9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111.9</v>
      </c>
      <c r="D7767" s="5">
        <v>0.1</v>
      </c>
      <c r="E7767" s="5">
        <v>112</v>
      </c>
      <c r="F7767" s="5">
        <v>222.4</v>
      </c>
      <c r="G7767" s="5">
        <v>110.6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111.8</v>
      </c>
      <c r="D7768" s="5">
        <v>0.1</v>
      </c>
      <c r="E7768" s="5">
        <v>112</v>
      </c>
      <c r="F7768" s="5">
        <v>222.4</v>
      </c>
      <c r="G7768" s="5">
        <v>110.6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111.8</v>
      </c>
      <c r="D7769" s="5">
        <v>0.1</v>
      </c>
      <c r="E7769" s="5">
        <v>112</v>
      </c>
      <c r="F7769" s="5">
        <v>221.8</v>
      </c>
      <c r="G7769" s="5">
        <v>110.2</v>
      </c>
      <c r="H7769" s="5">
        <v>110.1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</v>
      </c>
      <c r="F7770" s="5">
        <v>221.8</v>
      </c>
      <c r="G7770" s="5">
        <v>110.2</v>
      </c>
      <c r="H7770" s="5">
        <v>110.1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112</v>
      </c>
      <c r="D10669" s="5">
        <v>0.1</v>
      </c>
      <c r="E10669" s="5">
        <v>112.1</v>
      </c>
      <c r="F10669" s="5">
        <v>222.4</v>
      </c>
      <c r="G10669" s="5">
        <v>110.5</v>
      </c>
      <c r="H10669" s="5">
        <v>110.4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112</v>
      </c>
      <c r="D10670" s="5">
        <v>0.1</v>
      </c>
      <c r="E10670" s="5">
        <v>112.1</v>
      </c>
      <c r="F10670" s="5">
        <v>222.4</v>
      </c>
      <c r="G10670" s="5">
        <v>110.5</v>
      </c>
      <c r="H10670" s="5">
        <v>110.4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112</v>
      </c>
      <c r="D10671" s="5">
        <v>0.1</v>
      </c>
      <c r="E10671" s="5">
        <v>112.1</v>
      </c>
      <c r="F10671" s="5">
        <v>222.4</v>
      </c>
      <c r="G10671" s="5">
        <v>110.5</v>
      </c>
      <c r="H10671" s="5">
        <v>110.4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112</v>
      </c>
      <c r="D10672" s="5">
        <v>0.1</v>
      </c>
      <c r="E10672" s="5">
        <v>112.1</v>
      </c>
      <c r="F10672" s="5">
        <v>222.4</v>
      </c>
      <c r="G10672" s="5">
        <v>110.5</v>
      </c>
      <c r="H10672" s="5">
        <v>110.4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112</v>
      </c>
      <c r="D10673" s="5">
        <v>0.1</v>
      </c>
      <c r="E10673" s="5">
        <v>112.1</v>
      </c>
      <c r="F10673" s="5">
        <v>222.4</v>
      </c>
      <c r="G10673" s="5">
        <v>110.5</v>
      </c>
      <c r="H10673" s="5">
        <v>110.4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112</v>
      </c>
      <c r="D10674" s="5">
        <v>0.1</v>
      </c>
      <c r="E10674" s="5">
        <v>112.1</v>
      </c>
      <c r="F10674" s="5">
        <v>222.4</v>
      </c>
      <c r="G10674" s="5">
        <v>110.5</v>
      </c>
      <c r="H10674" s="5">
        <v>110.4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112</v>
      </c>
      <c r="D10675" s="5">
        <v>0.1</v>
      </c>
      <c r="E10675" s="5">
        <v>112.1</v>
      </c>
      <c r="F10675" s="5">
        <v>222.4</v>
      </c>
      <c r="G10675" s="5">
        <v>110.5</v>
      </c>
      <c r="H10675" s="5">
        <v>110.4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112</v>
      </c>
      <c r="D10676" s="5">
        <v>0.1</v>
      </c>
      <c r="E10676" s="5">
        <v>112.1</v>
      </c>
      <c r="F10676" s="5">
        <v>222.4</v>
      </c>
      <c r="G10676" s="5">
        <v>110.5</v>
      </c>
      <c r="H10676" s="5">
        <v>110.4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112</v>
      </c>
      <c r="D10677" s="5">
        <v>0.1</v>
      </c>
      <c r="E10677" s="5">
        <v>112.1</v>
      </c>
      <c r="F10677" s="5">
        <v>222.4</v>
      </c>
      <c r="G10677" s="5">
        <v>110.5</v>
      </c>
      <c r="H10677" s="5">
        <v>110.4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112</v>
      </c>
      <c r="D10678" s="5">
        <v>0.1</v>
      </c>
      <c r="E10678" s="5">
        <v>112.1</v>
      </c>
      <c r="F10678" s="5">
        <v>222.4</v>
      </c>
      <c r="G10678" s="5">
        <v>110.5</v>
      </c>
      <c r="H10678" s="5">
        <v>110.4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112</v>
      </c>
      <c r="D10679" s="5">
        <v>0.1</v>
      </c>
      <c r="E10679" s="5">
        <v>112.1</v>
      </c>
      <c r="F10679" s="5">
        <v>222.4</v>
      </c>
      <c r="G10679" s="5">
        <v>110.5</v>
      </c>
      <c r="H10679" s="5">
        <v>110.4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112</v>
      </c>
      <c r="D10680" s="5">
        <v>0.1</v>
      </c>
      <c r="E10680" s="5">
        <v>112.1</v>
      </c>
      <c r="F10680" s="5">
        <v>222.4</v>
      </c>
      <c r="G10680" s="5">
        <v>110.5</v>
      </c>
      <c r="H10680" s="5">
        <v>110.4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112</v>
      </c>
      <c r="D10681" s="5">
        <v>0.1</v>
      </c>
      <c r="E10681" s="5">
        <v>112.1</v>
      </c>
      <c r="F10681" s="5">
        <v>222.4</v>
      </c>
      <c r="G10681" s="5">
        <v>110.5</v>
      </c>
      <c r="H10681" s="5">
        <v>110.4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112</v>
      </c>
      <c r="D10682" s="5">
        <v>0.1</v>
      </c>
      <c r="E10682" s="5">
        <v>112.1</v>
      </c>
      <c r="F10682" s="5">
        <v>222.4</v>
      </c>
      <c r="G10682" s="5">
        <v>110.5</v>
      </c>
      <c r="H10682" s="5">
        <v>110.4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112</v>
      </c>
      <c r="D10683" s="5">
        <v>0.1</v>
      </c>
      <c r="E10683" s="5">
        <v>112.1</v>
      </c>
      <c r="F10683" s="5">
        <v>222.4</v>
      </c>
      <c r="G10683" s="5">
        <v>110.5</v>
      </c>
      <c r="H10683" s="5">
        <v>110.4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112</v>
      </c>
      <c r="D10684" s="5">
        <v>0.1</v>
      </c>
      <c r="E10684" s="5">
        <v>112.1</v>
      </c>
      <c r="F10684" s="5">
        <v>222.4</v>
      </c>
      <c r="G10684" s="5">
        <v>110.5</v>
      </c>
      <c r="H10684" s="5">
        <v>110.4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112</v>
      </c>
      <c r="D10685" s="5">
        <v>0.1</v>
      </c>
      <c r="E10685" s="5">
        <v>112.1</v>
      </c>
      <c r="F10685" s="5">
        <v>222.4</v>
      </c>
      <c r="G10685" s="5">
        <v>110.5</v>
      </c>
      <c r="H10685" s="5">
        <v>110.4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112</v>
      </c>
      <c r="D10686" s="5">
        <v>0.1</v>
      </c>
      <c r="E10686" s="5">
        <v>112.1</v>
      </c>
      <c r="F10686" s="5">
        <v>222.4</v>
      </c>
      <c r="G10686" s="5">
        <v>110.5</v>
      </c>
      <c r="H10686" s="5">
        <v>110.4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112</v>
      </c>
      <c r="D10687" s="5">
        <v>0.1</v>
      </c>
      <c r="E10687" s="5">
        <v>112.1</v>
      </c>
      <c r="F10687" s="5">
        <v>222.4</v>
      </c>
      <c r="G10687" s="5">
        <v>110.5</v>
      </c>
      <c r="H10687" s="5">
        <v>110.4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112</v>
      </c>
      <c r="D10688" s="5">
        <v>0.1</v>
      </c>
      <c r="E10688" s="5">
        <v>112.1</v>
      </c>
      <c r="F10688" s="5">
        <v>222.4</v>
      </c>
      <c r="G10688" s="5">
        <v>110.5</v>
      </c>
      <c r="H10688" s="5">
        <v>110.4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112</v>
      </c>
      <c r="D10689" s="5">
        <v>0.1</v>
      </c>
      <c r="E10689" s="5">
        <v>112.1</v>
      </c>
      <c r="F10689" s="5">
        <v>222.4</v>
      </c>
      <c r="G10689" s="5">
        <v>110.5</v>
      </c>
      <c r="H10689" s="5">
        <v>110.4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112</v>
      </c>
      <c r="D10690" s="5">
        <v>0.1</v>
      </c>
      <c r="E10690" s="5">
        <v>112.1</v>
      </c>
      <c r="F10690" s="5">
        <v>222.4</v>
      </c>
      <c r="G10690" s="5">
        <v>110.5</v>
      </c>
      <c r="H10690" s="5">
        <v>110.4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112</v>
      </c>
      <c r="D10691" s="5">
        <v>0.1</v>
      </c>
      <c r="E10691" s="5">
        <v>112.1</v>
      </c>
      <c r="F10691" s="5">
        <v>222.4</v>
      </c>
      <c r="G10691" s="5">
        <v>110.5</v>
      </c>
      <c r="H10691" s="5">
        <v>110.4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112</v>
      </c>
      <c r="D10692" s="5">
        <v>0.1</v>
      </c>
      <c r="E10692" s="5">
        <v>112.1</v>
      </c>
      <c r="F10692" s="5">
        <v>222.4</v>
      </c>
      <c r="G10692" s="5">
        <v>110.5</v>
      </c>
      <c r="H10692" s="5">
        <v>110.4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112</v>
      </c>
      <c r="D10693" s="5">
        <v>0.1</v>
      </c>
      <c r="E10693" s="5">
        <v>112.1</v>
      </c>
      <c r="F10693" s="5">
        <v>222.4</v>
      </c>
      <c r="G10693" s="5">
        <v>110.5</v>
      </c>
      <c r="H10693" s="5">
        <v>110.4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112</v>
      </c>
      <c r="D10694" s="5">
        <v>0.1</v>
      </c>
      <c r="E10694" s="5">
        <v>112.1</v>
      </c>
      <c r="F10694" s="5">
        <v>222.4</v>
      </c>
      <c r="G10694" s="5">
        <v>110.5</v>
      </c>
      <c r="H10694" s="5">
        <v>110.4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112</v>
      </c>
      <c r="D10695" s="5">
        <v>0.1</v>
      </c>
      <c r="E10695" s="5">
        <v>112.1</v>
      </c>
      <c r="F10695" s="5">
        <v>222.4</v>
      </c>
      <c r="G10695" s="5">
        <v>110.5</v>
      </c>
      <c r="H10695" s="5">
        <v>110.4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112</v>
      </c>
      <c r="D10696" s="5">
        <v>0.1</v>
      </c>
      <c r="E10696" s="5">
        <v>112.1</v>
      </c>
      <c r="F10696" s="5">
        <v>222.4</v>
      </c>
      <c r="G10696" s="5">
        <v>110.5</v>
      </c>
      <c r="H10696" s="5">
        <v>110.4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112</v>
      </c>
      <c r="D10697" s="5">
        <v>0.1</v>
      </c>
      <c r="E10697" s="5">
        <v>112.1</v>
      </c>
      <c r="F10697" s="5">
        <v>222.4</v>
      </c>
      <c r="G10697" s="5">
        <v>110.5</v>
      </c>
      <c r="H10697" s="5">
        <v>110.4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112</v>
      </c>
      <c r="D10698" s="5">
        <v>0.1</v>
      </c>
      <c r="E10698" s="5">
        <v>112.1</v>
      </c>
      <c r="F10698" s="5">
        <v>222.4</v>
      </c>
      <c r="G10698" s="5">
        <v>110.5</v>
      </c>
      <c r="H10698" s="5">
        <v>110.4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112</v>
      </c>
      <c r="D10699" s="5">
        <v>0.1</v>
      </c>
      <c r="E10699" s="5">
        <v>112.1</v>
      </c>
      <c r="F10699" s="5">
        <v>222.4</v>
      </c>
      <c r="G10699" s="5">
        <v>110.5</v>
      </c>
      <c r="H10699" s="5">
        <v>110.4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112</v>
      </c>
      <c r="D10700" s="5">
        <v>0.1</v>
      </c>
      <c r="E10700" s="5">
        <v>112.1</v>
      </c>
      <c r="F10700" s="5">
        <v>222.4</v>
      </c>
      <c r="G10700" s="5">
        <v>110.5</v>
      </c>
      <c r="H10700" s="5">
        <v>110.4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112</v>
      </c>
      <c r="D10701" s="5">
        <v>0.1</v>
      </c>
      <c r="E10701" s="5">
        <v>112.1</v>
      </c>
      <c r="F10701" s="5">
        <v>222.4</v>
      </c>
      <c r="G10701" s="5">
        <v>110.5</v>
      </c>
      <c r="H10701" s="5">
        <v>110.4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112</v>
      </c>
      <c r="D10702" s="5">
        <v>0.1</v>
      </c>
      <c r="E10702" s="5">
        <v>112.1</v>
      </c>
      <c r="F10702" s="5">
        <v>222.4</v>
      </c>
      <c r="G10702" s="5">
        <v>110.5</v>
      </c>
      <c r="H10702" s="5">
        <v>110.4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112</v>
      </c>
      <c r="D10703" s="5">
        <v>0.1</v>
      </c>
      <c r="E10703" s="5">
        <v>112.1</v>
      </c>
      <c r="F10703" s="5">
        <v>222.4</v>
      </c>
      <c r="G10703" s="5">
        <v>110.5</v>
      </c>
      <c r="H10703" s="5">
        <v>110.4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112</v>
      </c>
      <c r="D10704" s="5">
        <v>0.1</v>
      </c>
      <c r="E10704" s="5">
        <v>112.1</v>
      </c>
      <c r="F10704" s="5">
        <v>222.4</v>
      </c>
      <c r="G10704" s="5">
        <v>110.5</v>
      </c>
      <c r="H10704" s="5">
        <v>110.4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112</v>
      </c>
      <c r="D10705" s="5">
        <v>0.1</v>
      </c>
      <c r="E10705" s="5">
        <v>112.1</v>
      </c>
      <c r="F10705" s="5">
        <v>222.4</v>
      </c>
      <c r="G10705" s="5">
        <v>110.5</v>
      </c>
      <c r="H10705" s="5">
        <v>110.4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112</v>
      </c>
      <c r="D10706" s="5">
        <v>0.1</v>
      </c>
      <c r="E10706" s="5">
        <v>112.1</v>
      </c>
      <c r="F10706" s="5">
        <v>222.4</v>
      </c>
      <c r="G10706" s="5">
        <v>110.5</v>
      </c>
      <c r="H10706" s="5">
        <v>110.4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112</v>
      </c>
      <c r="D10707" s="5">
        <v>0.1</v>
      </c>
      <c r="E10707" s="5">
        <v>112.1</v>
      </c>
      <c r="F10707" s="5">
        <v>222.4</v>
      </c>
      <c r="G10707" s="5">
        <v>110.5</v>
      </c>
      <c r="H10707" s="5">
        <v>110.4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112</v>
      </c>
      <c r="D10708" s="5">
        <v>0.1</v>
      </c>
      <c r="E10708" s="5">
        <v>112.1</v>
      </c>
      <c r="F10708" s="5">
        <v>222.4</v>
      </c>
      <c r="G10708" s="5">
        <v>110.5</v>
      </c>
      <c r="H10708" s="5">
        <v>110.4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112</v>
      </c>
      <c r="D10709" s="5">
        <v>0.1</v>
      </c>
      <c r="E10709" s="5">
        <v>112.1</v>
      </c>
      <c r="F10709" s="5">
        <v>222.4</v>
      </c>
      <c r="G10709" s="5">
        <v>110.5</v>
      </c>
      <c r="H10709" s="5">
        <v>110.4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112</v>
      </c>
      <c r="D10710" s="5">
        <v>0.1</v>
      </c>
      <c r="E10710" s="5">
        <v>112.1</v>
      </c>
      <c r="F10710" s="5">
        <v>222.4</v>
      </c>
      <c r="G10710" s="5">
        <v>110.5</v>
      </c>
      <c r="H10710" s="5">
        <v>110.4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112</v>
      </c>
      <c r="D10711" s="5">
        <v>0.1</v>
      </c>
      <c r="E10711" s="5">
        <v>112.1</v>
      </c>
      <c r="F10711" s="5">
        <v>222.4</v>
      </c>
      <c r="G10711" s="5">
        <v>110.5</v>
      </c>
      <c r="H10711" s="5">
        <v>110.4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112</v>
      </c>
      <c r="D10712" s="5">
        <v>0.1</v>
      </c>
      <c r="E10712" s="5">
        <v>112.1</v>
      </c>
      <c r="F10712" s="5">
        <v>222.4</v>
      </c>
      <c r="G10712" s="5">
        <v>110.5</v>
      </c>
      <c r="H10712" s="5">
        <v>110.4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112</v>
      </c>
      <c r="D10713" s="5">
        <v>0.1</v>
      </c>
      <c r="E10713" s="5">
        <v>112.1</v>
      </c>
      <c r="F10713" s="5">
        <v>222.4</v>
      </c>
      <c r="G10713" s="5">
        <v>110.5</v>
      </c>
      <c r="H10713" s="5">
        <v>110.4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112</v>
      </c>
      <c r="D10714" s="5">
        <v>0.1</v>
      </c>
      <c r="E10714" s="5">
        <v>112.1</v>
      </c>
      <c r="F10714" s="5">
        <v>222.4</v>
      </c>
      <c r="G10714" s="5">
        <v>110.5</v>
      </c>
      <c r="H10714" s="5">
        <v>110.4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112</v>
      </c>
      <c r="D10715" s="5">
        <v>0.1</v>
      </c>
      <c r="E10715" s="5">
        <v>112.1</v>
      </c>
      <c r="F10715" s="5">
        <v>222.4</v>
      </c>
      <c r="G10715" s="5">
        <v>110.5</v>
      </c>
      <c r="H10715" s="5">
        <v>110.4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112</v>
      </c>
      <c r="D10716" s="5">
        <v>0.1</v>
      </c>
      <c r="E10716" s="5">
        <v>112.1</v>
      </c>
      <c r="F10716" s="5">
        <v>222.4</v>
      </c>
      <c r="G10716" s="5">
        <v>110.5</v>
      </c>
      <c r="H10716" s="5">
        <v>110.4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112</v>
      </c>
      <c r="D10717" s="5">
        <v>0.1</v>
      </c>
      <c r="E10717" s="5">
        <v>112.1</v>
      </c>
      <c r="F10717" s="5">
        <v>222.4</v>
      </c>
      <c r="G10717" s="5">
        <v>110.5</v>
      </c>
      <c r="H10717" s="5">
        <v>110.4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112</v>
      </c>
      <c r="D10718" s="5">
        <v>0.1</v>
      </c>
      <c r="E10718" s="5">
        <v>112.1</v>
      </c>
      <c r="F10718" s="5">
        <v>222.4</v>
      </c>
      <c r="G10718" s="5">
        <v>110.5</v>
      </c>
      <c r="H10718" s="5">
        <v>110.4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112</v>
      </c>
      <c r="D10719" s="5">
        <v>0.1</v>
      </c>
      <c r="E10719" s="5">
        <v>112.1</v>
      </c>
      <c r="F10719" s="5">
        <v>222.4</v>
      </c>
      <c r="G10719" s="5">
        <v>110.5</v>
      </c>
      <c r="H10719" s="5">
        <v>110.4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112</v>
      </c>
      <c r="D10720" s="5">
        <v>0.1</v>
      </c>
      <c r="E10720" s="5">
        <v>112.1</v>
      </c>
      <c r="F10720" s="5">
        <v>222.4</v>
      </c>
      <c r="G10720" s="5">
        <v>110.5</v>
      </c>
      <c r="H10720" s="5">
        <v>110.4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112</v>
      </c>
      <c r="D10721" s="5">
        <v>0.1</v>
      </c>
      <c r="E10721" s="5">
        <v>112.1</v>
      </c>
      <c r="F10721" s="5">
        <v>222.4</v>
      </c>
      <c r="G10721" s="5">
        <v>110.5</v>
      </c>
      <c r="H10721" s="5">
        <v>110.4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112</v>
      </c>
      <c r="D10722" s="5">
        <v>0.1</v>
      </c>
      <c r="E10722" s="5">
        <v>112.1</v>
      </c>
      <c r="F10722" s="5">
        <v>222.4</v>
      </c>
      <c r="G10722" s="5">
        <v>110.5</v>
      </c>
      <c r="H10722" s="5">
        <v>110.4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112</v>
      </c>
      <c r="D10723" s="5">
        <v>0.1</v>
      </c>
      <c r="E10723" s="5">
        <v>112.1</v>
      </c>
      <c r="F10723" s="5">
        <v>222.4</v>
      </c>
      <c r="G10723" s="5">
        <v>110.5</v>
      </c>
      <c r="H10723" s="5">
        <v>110.4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112</v>
      </c>
      <c r="D10724" s="5">
        <v>0.1</v>
      </c>
      <c r="E10724" s="5">
        <v>112.1</v>
      </c>
      <c r="F10724" s="5">
        <v>222.4</v>
      </c>
      <c r="G10724" s="5">
        <v>110.5</v>
      </c>
      <c r="H10724" s="5">
        <v>110.4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112</v>
      </c>
      <c r="D10725" s="5">
        <v>0.1</v>
      </c>
      <c r="E10725" s="5">
        <v>112.1</v>
      </c>
      <c r="F10725" s="5">
        <v>222.4</v>
      </c>
      <c r="G10725" s="5">
        <v>110.5</v>
      </c>
      <c r="H10725" s="5">
        <v>110.4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112</v>
      </c>
      <c r="D10726" s="5">
        <v>0.1</v>
      </c>
      <c r="E10726" s="5">
        <v>112.1</v>
      </c>
      <c r="F10726" s="5">
        <v>222.4</v>
      </c>
      <c r="G10726" s="5">
        <v>110.5</v>
      </c>
      <c r="H10726" s="5">
        <v>110.4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112</v>
      </c>
      <c r="D10727" s="5">
        <v>0.1</v>
      </c>
      <c r="E10727" s="5">
        <v>112.1</v>
      </c>
      <c r="F10727" s="5">
        <v>222.4</v>
      </c>
      <c r="G10727" s="5">
        <v>110.5</v>
      </c>
      <c r="H10727" s="5">
        <v>110.4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112</v>
      </c>
      <c r="D10728" s="5">
        <v>0.1</v>
      </c>
      <c r="E10728" s="5">
        <v>112.1</v>
      </c>
      <c r="F10728" s="5">
        <v>222.4</v>
      </c>
      <c r="G10728" s="5">
        <v>110.5</v>
      </c>
      <c r="H10728" s="5">
        <v>110.4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112</v>
      </c>
      <c r="D10729" s="5">
        <v>0.1</v>
      </c>
      <c r="E10729" s="5">
        <v>112.1</v>
      </c>
      <c r="F10729" s="5">
        <v>222.4</v>
      </c>
      <c r="G10729" s="5">
        <v>110.5</v>
      </c>
      <c r="H10729" s="5">
        <v>110.4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112</v>
      </c>
      <c r="D10730" s="5">
        <v>0.1</v>
      </c>
      <c r="E10730" s="5">
        <v>112.1</v>
      </c>
      <c r="F10730" s="5">
        <v>222.4</v>
      </c>
      <c r="G10730" s="5">
        <v>110.5</v>
      </c>
      <c r="H10730" s="5">
        <v>110.4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112</v>
      </c>
      <c r="D10731" s="5">
        <v>0.1</v>
      </c>
      <c r="E10731" s="5">
        <v>112.1</v>
      </c>
      <c r="F10731" s="5">
        <v>222.4</v>
      </c>
      <c r="G10731" s="5">
        <v>110.5</v>
      </c>
      <c r="H10731" s="5">
        <v>110.4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112</v>
      </c>
      <c r="D10732" s="5">
        <v>0.1</v>
      </c>
      <c r="E10732" s="5">
        <v>112.1</v>
      </c>
      <c r="F10732" s="5">
        <v>222.4</v>
      </c>
      <c r="G10732" s="5">
        <v>110.5</v>
      </c>
      <c r="H10732" s="5">
        <v>110.4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112</v>
      </c>
      <c r="D10733" s="5">
        <v>0.1</v>
      </c>
      <c r="E10733" s="5">
        <v>112.1</v>
      </c>
      <c r="F10733" s="5">
        <v>222.4</v>
      </c>
      <c r="G10733" s="5">
        <v>110.5</v>
      </c>
      <c r="H10733" s="5">
        <v>110.4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112</v>
      </c>
      <c r="D10734" s="5">
        <v>0.1</v>
      </c>
      <c r="E10734" s="5">
        <v>112.1</v>
      </c>
      <c r="F10734" s="5">
        <v>222.4</v>
      </c>
      <c r="G10734" s="5">
        <v>110.5</v>
      </c>
      <c r="H10734" s="5">
        <v>110.4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112</v>
      </c>
      <c r="D10735" s="5">
        <v>0.1</v>
      </c>
      <c r="E10735" s="5">
        <v>112.1</v>
      </c>
      <c r="F10735" s="5">
        <v>222.4</v>
      </c>
      <c r="G10735" s="5">
        <v>110.5</v>
      </c>
      <c r="H10735" s="5">
        <v>110.4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112</v>
      </c>
      <c r="D10736" s="5">
        <v>0.1</v>
      </c>
      <c r="E10736" s="5">
        <v>112.1</v>
      </c>
      <c r="F10736" s="5">
        <v>222.4</v>
      </c>
      <c r="G10736" s="5">
        <v>110.5</v>
      </c>
      <c r="H10736" s="5">
        <v>110.4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112</v>
      </c>
      <c r="D10737" s="5">
        <v>0.1</v>
      </c>
      <c r="E10737" s="5">
        <v>112.1</v>
      </c>
      <c r="F10737" s="5">
        <v>222.4</v>
      </c>
      <c r="G10737" s="5">
        <v>110.5</v>
      </c>
      <c r="H10737" s="5">
        <v>110.4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112</v>
      </c>
      <c r="D10738" s="5">
        <v>0.1</v>
      </c>
      <c r="E10738" s="5">
        <v>112.1</v>
      </c>
      <c r="F10738" s="5">
        <v>222.4</v>
      </c>
      <c r="G10738" s="5">
        <v>110.5</v>
      </c>
      <c r="H10738" s="5">
        <v>110.4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112</v>
      </c>
      <c r="D10739" s="5">
        <v>0.1</v>
      </c>
      <c r="E10739" s="5">
        <v>112.1</v>
      </c>
      <c r="F10739" s="5">
        <v>222.4</v>
      </c>
      <c r="G10739" s="5">
        <v>110.5</v>
      </c>
      <c r="H10739" s="5">
        <v>110.4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112</v>
      </c>
      <c r="D10740" s="5">
        <v>0.1</v>
      </c>
      <c r="E10740" s="5">
        <v>112.1</v>
      </c>
      <c r="F10740" s="5">
        <v>222.4</v>
      </c>
      <c r="G10740" s="5">
        <v>110.5</v>
      </c>
      <c r="H10740" s="5">
        <v>110.4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112</v>
      </c>
      <c r="D10741" s="5">
        <v>0.1</v>
      </c>
      <c r="E10741" s="5">
        <v>112.1</v>
      </c>
      <c r="F10741" s="5">
        <v>222.4</v>
      </c>
      <c r="G10741" s="5">
        <v>110.5</v>
      </c>
      <c r="H10741" s="5">
        <v>110.4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112</v>
      </c>
      <c r="D10742" s="5">
        <v>0.1</v>
      </c>
      <c r="E10742" s="5">
        <v>112.1</v>
      </c>
      <c r="F10742" s="5">
        <v>222.4</v>
      </c>
      <c r="G10742" s="5">
        <v>110.5</v>
      </c>
      <c r="H10742" s="5">
        <v>110.4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112</v>
      </c>
      <c r="D10743" s="5">
        <v>0.1</v>
      </c>
      <c r="E10743" s="5">
        <v>112.1</v>
      </c>
      <c r="F10743" s="5">
        <v>222.4</v>
      </c>
      <c r="G10743" s="5">
        <v>110.5</v>
      </c>
      <c r="H10743" s="5">
        <v>110.4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112</v>
      </c>
      <c r="D10744" s="5">
        <v>0.1</v>
      </c>
      <c r="E10744" s="5">
        <v>112.1</v>
      </c>
      <c r="F10744" s="5">
        <v>222.4</v>
      </c>
      <c r="G10744" s="5">
        <v>110.5</v>
      </c>
      <c r="H10744" s="5">
        <v>110.4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112</v>
      </c>
      <c r="D10745" s="5">
        <v>0.1</v>
      </c>
      <c r="E10745" s="5">
        <v>112.1</v>
      </c>
      <c r="F10745" s="5">
        <v>222.4</v>
      </c>
      <c r="G10745" s="5">
        <v>110.5</v>
      </c>
      <c r="H10745" s="5">
        <v>110.4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112</v>
      </c>
      <c r="D10746" s="5">
        <v>0.1</v>
      </c>
      <c r="E10746" s="5">
        <v>112.1</v>
      </c>
      <c r="F10746" s="5">
        <v>222.4</v>
      </c>
      <c r="G10746" s="5">
        <v>110.5</v>
      </c>
      <c r="H10746" s="5">
        <v>110.4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112</v>
      </c>
      <c r="D10747" s="5">
        <v>0.1</v>
      </c>
      <c r="E10747" s="5">
        <v>112.1</v>
      </c>
      <c r="F10747" s="5">
        <v>222.4</v>
      </c>
      <c r="G10747" s="5">
        <v>110.5</v>
      </c>
      <c r="H10747" s="5">
        <v>110.4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112</v>
      </c>
      <c r="D10748" s="5">
        <v>0.1</v>
      </c>
      <c r="E10748" s="5">
        <v>112.1</v>
      </c>
      <c r="F10748" s="5">
        <v>222.4</v>
      </c>
      <c r="G10748" s="5">
        <v>110.5</v>
      </c>
      <c r="H10748" s="5">
        <v>110.4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112</v>
      </c>
      <c r="D10749" s="5">
        <v>0.1</v>
      </c>
      <c r="E10749" s="5">
        <v>112.1</v>
      </c>
      <c r="F10749" s="5">
        <v>222.4</v>
      </c>
      <c r="G10749" s="5">
        <v>110.5</v>
      </c>
      <c r="H10749" s="5">
        <v>110.4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112</v>
      </c>
      <c r="D10750" s="5">
        <v>0.1</v>
      </c>
      <c r="E10750" s="5">
        <v>112.1</v>
      </c>
      <c r="F10750" s="5">
        <v>222.4</v>
      </c>
      <c r="G10750" s="5">
        <v>110.5</v>
      </c>
      <c r="H10750" s="5">
        <v>110.4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112</v>
      </c>
      <c r="D10751" s="5">
        <v>0.1</v>
      </c>
      <c r="E10751" s="5">
        <v>112.1</v>
      </c>
      <c r="F10751" s="5">
        <v>222.4</v>
      </c>
      <c r="G10751" s="5">
        <v>110.5</v>
      </c>
      <c r="H10751" s="5">
        <v>110.4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112</v>
      </c>
      <c r="D10752" s="5">
        <v>0.1</v>
      </c>
      <c r="E10752" s="5">
        <v>112.1</v>
      </c>
      <c r="F10752" s="5">
        <v>222.4</v>
      </c>
      <c r="G10752" s="5">
        <v>110.5</v>
      </c>
      <c r="H10752" s="5">
        <v>110.4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112</v>
      </c>
      <c r="D10753" s="5">
        <v>0.1</v>
      </c>
      <c r="E10753" s="5">
        <v>112.1</v>
      </c>
      <c r="F10753" s="5">
        <v>222.4</v>
      </c>
      <c r="G10753" s="5">
        <v>110.5</v>
      </c>
      <c r="H10753" s="5">
        <v>110.4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112</v>
      </c>
      <c r="D10754" s="5">
        <v>0.1</v>
      </c>
      <c r="E10754" s="5">
        <v>112.1</v>
      </c>
      <c r="F10754" s="5">
        <v>222.4</v>
      </c>
      <c r="G10754" s="5">
        <v>110.5</v>
      </c>
      <c r="H10754" s="5">
        <v>110.4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112</v>
      </c>
      <c r="D10755" s="5">
        <v>0.1</v>
      </c>
      <c r="E10755" s="5">
        <v>112.1</v>
      </c>
      <c r="F10755" s="5">
        <v>222.4</v>
      </c>
      <c r="G10755" s="5">
        <v>110.5</v>
      </c>
      <c r="H10755" s="5">
        <v>110.4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112</v>
      </c>
      <c r="D10756" s="5">
        <v>0.1</v>
      </c>
      <c r="E10756" s="5">
        <v>112.1</v>
      </c>
      <c r="F10756" s="5">
        <v>222.4</v>
      </c>
      <c r="G10756" s="5">
        <v>110.5</v>
      </c>
      <c r="H10756" s="5">
        <v>110.4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112</v>
      </c>
      <c r="D10757" s="5">
        <v>0.1</v>
      </c>
      <c r="E10757" s="5">
        <v>112.1</v>
      </c>
      <c r="F10757" s="5">
        <v>222.4</v>
      </c>
      <c r="G10757" s="5">
        <v>110.5</v>
      </c>
      <c r="H10757" s="5">
        <v>110.4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112</v>
      </c>
      <c r="D10758" s="5">
        <v>0.1</v>
      </c>
      <c r="E10758" s="5">
        <v>112.1</v>
      </c>
      <c r="F10758" s="5">
        <v>222.4</v>
      </c>
      <c r="G10758" s="5">
        <v>110.5</v>
      </c>
      <c r="H10758" s="5">
        <v>110.4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112</v>
      </c>
      <c r="D10759" s="5">
        <v>0.1</v>
      </c>
      <c r="E10759" s="5">
        <v>112.1</v>
      </c>
      <c r="F10759" s="5">
        <v>222.4</v>
      </c>
      <c r="G10759" s="5">
        <v>110.5</v>
      </c>
      <c r="H10759" s="5">
        <v>110.4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112</v>
      </c>
      <c r="D10760" s="5">
        <v>0.1</v>
      </c>
      <c r="E10760" s="5">
        <v>112.1</v>
      </c>
      <c r="F10760" s="5">
        <v>222.4</v>
      </c>
      <c r="G10760" s="5">
        <v>110.5</v>
      </c>
      <c r="H10760" s="5">
        <v>110.4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112</v>
      </c>
      <c r="D10761" s="5">
        <v>0.1</v>
      </c>
      <c r="E10761" s="5">
        <v>112.1</v>
      </c>
      <c r="F10761" s="5">
        <v>222.4</v>
      </c>
      <c r="G10761" s="5">
        <v>110.5</v>
      </c>
      <c r="H10761" s="5">
        <v>110.4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112</v>
      </c>
      <c r="D10762" s="5">
        <v>0.1</v>
      </c>
      <c r="E10762" s="5">
        <v>112.1</v>
      </c>
      <c r="F10762" s="5">
        <v>222.4</v>
      </c>
      <c r="G10762" s="5">
        <v>110.5</v>
      </c>
      <c r="H10762" s="5">
        <v>110.4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112</v>
      </c>
      <c r="D10763" s="5">
        <v>0.1</v>
      </c>
      <c r="E10763" s="5">
        <v>112.1</v>
      </c>
      <c r="F10763" s="5">
        <v>222.4</v>
      </c>
      <c r="G10763" s="5">
        <v>110.5</v>
      </c>
      <c r="H10763" s="5">
        <v>110.4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112</v>
      </c>
      <c r="D10764" s="5">
        <v>0.1</v>
      </c>
      <c r="E10764" s="5">
        <v>112.1</v>
      </c>
      <c r="F10764" s="5">
        <v>222.4</v>
      </c>
      <c r="G10764" s="5">
        <v>110.5</v>
      </c>
      <c r="H10764" s="5">
        <v>110.4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112</v>
      </c>
      <c r="D10765" s="5">
        <v>0.1</v>
      </c>
      <c r="E10765" s="5">
        <v>112.1</v>
      </c>
      <c r="F10765" s="5">
        <v>222.4</v>
      </c>
      <c r="G10765" s="5">
        <v>110.5</v>
      </c>
      <c r="H10765" s="5">
        <v>110.4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112</v>
      </c>
      <c r="D10766" s="5">
        <v>0.1</v>
      </c>
      <c r="E10766" s="5">
        <v>112.1</v>
      </c>
      <c r="F10766" s="5">
        <v>222.4</v>
      </c>
      <c r="G10766" s="5">
        <v>110.5</v>
      </c>
      <c r="H10766" s="5">
        <v>110.4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112</v>
      </c>
      <c r="D10767" s="5">
        <v>0.1</v>
      </c>
      <c r="E10767" s="5">
        <v>112.1</v>
      </c>
      <c r="F10767" s="5">
        <v>222.4</v>
      </c>
      <c r="G10767" s="5">
        <v>110.5</v>
      </c>
      <c r="H10767" s="5">
        <v>110.4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112</v>
      </c>
      <c r="D10768" s="5">
        <v>0.1</v>
      </c>
      <c r="E10768" s="5">
        <v>112.1</v>
      </c>
      <c r="F10768" s="5">
        <v>222.4</v>
      </c>
      <c r="G10768" s="5">
        <v>110.5</v>
      </c>
      <c r="H10768" s="5">
        <v>110.4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112</v>
      </c>
      <c r="D10769" s="5">
        <v>0.1</v>
      </c>
      <c r="E10769" s="5">
        <v>112.1</v>
      </c>
      <c r="F10769" s="5">
        <v>222.4</v>
      </c>
      <c r="G10769" s="5">
        <v>110.5</v>
      </c>
      <c r="H10769" s="5">
        <v>110.4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112</v>
      </c>
      <c r="D10770" s="5">
        <v>0.1</v>
      </c>
      <c r="E10770" s="5">
        <v>112.1</v>
      </c>
      <c r="F10770" s="5">
        <v>222.4</v>
      </c>
      <c r="G10770" s="5">
        <v>110.5</v>
      </c>
      <c r="H10770" s="5">
        <v>110.4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112</v>
      </c>
      <c r="D10771" s="5">
        <v>0.1</v>
      </c>
      <c r="E10771" s="5">
        <v>112.1</v>
      </c>
      <c r="F10771" s="5">
        <v>222.4</v>
      </c>
      <c r="G10771" s="5">
        <v>110.5</v>
      </c>
      <c r="H10771" s="5">
        <v>110.4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112</v>
      </c>
      <c r="D10772" s="5">
        <v>0.1</v>
      </c>
      <c r="E10772" s="5">
        <v>112.1</v>
      </c>
      <c r="F10772" s="5">
        <v>222.4</v>
      </c>
      <c r="G10772" s="5">
        <v>110.5</v>
      </c>
      <c r="H10772" s="5">
        <v>110.4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112</v>
      </c>
      <c r="D10773" s="5">
        <v>0.1</v>
      </c>
      <c r="E10773" s="5">
        <v>112.1</v>
      </c>
      <c r="F10773" s="5">
        <v>222.4</v>
      </c>
      <c r="G10773" s="5">
        <v>110.5</v>
      </c>
      <c r="H10773" s="5">
        <v>110.4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112</v>
      </c>
      <c r="D10774" s="5">
        <v>0.1</v>
      </c>
      <c r="E10774" s="5">
        <v>112.1</v>
      </c>
      <c r="F10774" s="5">
        <v>222.4</v>
      </c>
      <c r="G10774" s="5">
        <v>110.5</v>
      </c>
      <c r="H10774" s="5">
        <v>110.4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112</v>
      </c>
      <c r="D10775" s="5">
        <v>0.1</v>
      </c>
      <c r="E10775" s="5">
        <v>112.1</v>
      </c>
      <c r="F10775" s="5">
        <v>222.4</v>
      </c>
      <c r="G10775" s="5">
        <v>110.5</v>
      </c>
      <c r="H10775" s="5">
        <v>110.4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112</v>
      </c>
      <c r="D10776" s="5">
        <v>0.1</v>
      </c>
      <c r="E10776" s="5">
        <v>112.1</v>
      </c>
      <c r="F10776" s="5">
        <v>222.4</v>
      </c>
      <c r="G10776" s="5">
        <v>110.5</v>
      </c>
      <c r="H10776" s="5">
        <v>110.4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112</v>
      </c>
      <c r="D10777" s="5">
        <v>0.1</v>
      </c>
      <c r="E10777" s="5">
        <v>112.1</v>
      </c>
      <c r="F10777" s="5">
        <v>222.4</v>
      </c>
      <c r="G10777" s="5">
        <v>110.5</v>
      </c>
      <c r="H10777" s="5">
        <v>110.4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112</v>
      </c>
      <c r="D10778" s="5">
        <v>0.1</v>
      </c>
      <c r="E10778" s="5">
        <v>112.1</v>
      </c>
      <c r="F10778" s="5">
        <v>222.4</v>
      </c>
      <c r="G10778" s="5">
        <v>110.5</v>
      </c>
      <c r="H10778" s="5">
        <v>110.4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112</v>
      </c>
      <c r="D10779" s="5">
        <v>0.1</v>
      </c>
      <c r="E10779" s="5">
        <v>112.1</v>
      </c>
      <c r="F10779" s="5">
        <v>222.4</v>
      </c>
      <c r="G10779" s="5">
        <v>110.5</v>
      </c>
      <c r="H10779" s="5">
        <v>110.4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112</v>
      </c>
      <c r="D10780" s="5">
        <v>0.1</v>
      </c>
      <c r="E10780" s="5">
        <v>112.1</v>
      </c>
      <c r="F10780" s="5">
        <v>222.4</v>
      </c>
      <c r="G10780" s="5">
        <v>110.5</v>
      </c>
      <c r="H10780" s="5">
        <v>110.4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112</v>
      </c>
      <c r="D10781" s="5">
        <v>0.1</v>
      </c>
      <c r="E10781" s="5">
        <v>112.1</v>
      </c>
      <c r="F10781" s="5">
        <v>222.4</v>
      </c>
      <c r="G10781" s="5">
        <v>110.5</v>
      </c>
      <c r="H10781" s="5">
        <v>110.4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112</v>
      </c>
      <c r="D10782" s="5">
        <v>0.1</v>
      </c>
      <c r="E10782" s="5">
        <v>112.1</v>
      </c>
      <c r="F10782" s="5">
        <v>222.4</v>
      </c>
      <c r="G10782" s="5">
        <v>110.5</v>
      </c>
      <c r="H10782" s="5">
        <v>110.4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112</v>
      </c>
      <c r="D10783" s="5">
        <v>0.1</v>
      </c>
      <c r="E10783" s="5">
        <v>112.1</v>
      </c>
      <c r="F10783" s="5">
        <v>222.4</v>
      </c>
      <c r="G10783" s="5">
        <v>110.5</v>
      </c>
      <c r="H10783" s="5">
        <v>110.4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112</v>
      </c>
      <c r="D10784" s="5">
        <v>0.1</v>
      </c>
      <c r="E10784" s="5">
        <v>112.1</v>
      </c>
      <c r="F10784" s="5">
        <v>222.4</v>
      </c>
      <c r="G10784" s="5">
        <v>110.5</v>
      </c>
      <c r="H10784" s="5">
        <v>110.4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112</v>
      </c>
      <c r="D10785" s="5">
        <v>0.1</v>
      </c>
      <c r="E10785" s="5">
        <v>112.1</v>
      </c>
      <c r="F10785" s="5">
        <v>222.4</v>
      </c>
      <c r="G10785" s="5">
        <v>110.5</v>
      </c>
      <c r="H10785" s="5">
        <v>110.4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112</v>
      </c>
      <c r="D10786" s="5">
        <v>0.1</v>
      </c>
      <c r="E10786" s="5">
        <v>112.1</v>
      </c>
      <c r="F10786" s="5">
        <v>222.4</v>
      </c>
      <c r="G10786" s="5">
        <v>110.5</v>
      </c>
      <c r="H10786" s="5">
        <v>110.4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112</v>
      </c>
      <c r="D10787" s="5">
        <v>0.1</v>
      </c>
      <c r="E10787" s="5">
        <v>112.1</v>
      </c>
      <c r="F10787" s="5">
        <v>222.4</v>
      </c>
      <c r="G10787" s="5">
        <v>110.5</v>
      </c>
      <c r="H10787" s="5">
        <v>110.4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112</v>
      </c>
      <c r="D10788" s="5">
        <v>0.1</v>
      </c>
      <c r="E10788" s="5">
        <v>112.1</v>
      </c>
      <c r="F10788" s="5">
        <v>222.4</v>
      </c>
      <c r="G10788" s="5">
        <v>110.5</v>
      </c>
      <c r="H10788" s="5">
        <v>110.4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112</v>
      </c>
      <c r="D10789" s="5">
        <v>0.1</v>
      </c>
      <c r="E10789" s="5">
        <v>112.1</v>
      </c>
      <c r="F10789" s="5">
        <v>222.4</v>
      </c>
      <c r="G10789" s="5">
        <v>110.5</v>
      </c>
      <c r="H10789" s="5">
        <v>110.4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112</v>
      </c>
      <c r="D10790" s="5">
        <v>0.1</v>
      </c>
      <c r="E10790" s="5">
        <v>112.1</v>
      </c>
      <c r="F10790" s="5">
        <v>222.4</v>
      </c>
      <c r="G10790" s="5">
        <v>110.5</v>
      </c>
      <c r="H10790" s="5">
        <v>110.4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112</v>
      </c>
      <c r="D10791" s="5">
        <v>0.1</v>
      </c>
      <c r="E10791" s="5">
        <v>112.1</v>
      </c>
      <c r="F10791" s="5">
        <v>222.4</v>
      </c>
      <c r="G10791" s="5">
        <v>110.5</v>
      </c>
      <c r="H10791" s="5">
        <v>110.4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112</v>
      </c>
      <c r="D10792" s="5">
        <v>0.1</v>
      </c>
      <c r="E10792" s="5">
        <v>112.1</v>
      </c>
      <c r="F10792" s="5">
        <v>222.4</v>
      </c>
      <c r="G10792" s="5">
        <v>110.5</v>
      </c>
      <c r="H10792" s="5">
        <v>110.4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112</v>
      </c>
      <c r="D10793" s="5">
        <v>0.1</v>
      </c>
      <c r="E10793" s="5">
        <v>112.1</v>
      </c>
      <c r="F10793" s="5">
        <v>222.4</v>
      </c>
      <c r="G10793" s="5">
        <v>110.5</v>
      </c>
      <c r="H10793" s="5">
        <v>110.4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112</v>
      </c>
      <c r="D10794" s="5">
        <v>0.1</v>
      </c>
      <c r="E10794" s="5">
        <v>112.1</v>
      </c>
      <c r="F10794" s="5">
        <v>222.4</v>
      </c>
      <c r="G10794" s="5">
        <v>110.5</v>
      </c>
      <c r="H10794" s="5">
        <v>110.4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112</v>
      </c>
      <c r="D10795" s="5">
        <v>0.1</v>
      </c>
      <c r="E10795" s="5">
        <v>112.1</v>
      </c>
      <c r="F10795" s="5">
        <v>222.4</v>
      </c>
      <c r="G10795" s="5">
        <v>110.5</v>
      </c>
      <c r="H10795" s="5">
        <v>110.4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112</v>
      </c>
      <c r="D10796" s="5">
        <v>0.1</v>
      </c>
      <c r="E10796" s="5">
        <v>112.1</v>
      </c>
      <c r="F10796" s="5">
        <v>222.4</v>
      </c>
      <c r="G10796" s="5">
        <v>110.5</v>
      </c>
      <c r="H10796" s="5">
        <v>110.4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112</v>
      </c>
      <c r="D10797" s="5">
        <v>0.1</v>
      </c>
      <c r="E10797" s="5">
        <v>112.1</v>
      </c>
      <c r="F10797" s="5">
        <v>222.4</v>
      </c>
      <c r="G10797" s="5">
        <v>110.5</v>
      </c>
      <c r="H10797" s="5">
        <v>110.4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112</v>
      </c>
      <c r="D10798" s="5">
        <v>0.1</v>
      </c>
      <c r="E10798" s="5">
        <v>112.1</v>
      </c>
      <c r="F10798" s="5">
        <v>222.4</v>
      </c>
      <c r="G10798" s="5">
        <v>110.5</v>
      </c>
      <c r="H10798" s="5">
        <v>110.4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112</v>
      </c>
      <c r="D10799" s="5">
        <v>0.1</v>
      </c>
      <c r="E10799" s="5">
        <v>112.1</v>
      </c>
      <c r="F10799" s="5">
        <v>222.4</v>
      </c>
      <c r="G10799" s="5">
        <v>110.5</v>
      </c>
      <c r="H10799" s="5">
        <v>110.4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112</v>
      </c>
      <c r="D10800" s="5">
        <v>0.1</v>
      </c>
      <c r="E10800" s="5">
        <v>112.1</v>
      </c>
      <c r="F10800" s="5">
        <v>222.4</v>
      </c>
      <c r="G10800" s="5">
        <v>110.5</v>
      </c>
      <c r="H10800" s="5">
        <v>110.4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112</v>
      </c>
      <c r="D10801" s="5">
        <v>0.1</v>
      </c>
      <c r="E10801" s="5">
        <v>112.1</v>
      </c>
      <c r="F10801" s="5">
        <v>222.4</v>
      </c>
      <c r="G10801" s="5">
        <v>110.5</v>
      </c>
      <c r="H10801" s="5">
        <v>110.4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112</v>
      </c>
      <c r="D10802" s="5">
        <v>0.1</v>
      </c>
      <c r="E10802" s="5">
        <v>112.1</v>
      </c>
      <c r="F10802" s="5">
        <v>222.4</v>
      </c>
      <c r="G10802" s="5">
        <v>110.5</v>
      </c>
      <c r="H10802" s="5">
        <v>110.4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112</v>
      </c>
      <c r="D10803" s="5">
        <v>0.1</v>
      </c>
      <c r="E10803" s="5">
        <v>112.1</v>
      </c>
      <c r="F10803" s="5">
        <v>222.4</v>
      </c>
      <c r="G10803" s="5">
        <v>110.5</v>
      </c>
      <c r="H10803" s="5">
        <v>110.4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112</v>
      </c>
      <c r="D10804" s="5">
        <v>0.1</v>
      </c>
      <c r="E10804" s="5">
        <v>112.1</v>
      </c>
      <c r="F10804" s="5">
        <v>222.4</v>
      </c>
      <c r="G10804" s="5">
        <v>110.5</v>
      </c>
      <c r="H10804" s="5">
        <v>110.4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112</v>
      </c>
      <c r="D10805" s="5">
        <v>0.1</v>
      </c>
      <c r="E10805" s="5">
        <v>112.1</v>
      </c>
      <c r="F10805" s="5">
        <v>222.4</v>
      </c>
      <c r="G10805" s="5">
        <v>110.5</v>
      </c>
      <c r="H10805" s="5">
        <v>110.4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112</v>
      </c>
      <c r="D10806" s="5">
        <v>0.1</v>
      </c>
      <c r="E10806" s="5">
        <v>112.1</v>
      </c>
      <c r="F10806" s="5">
        <v>222.4</v>
      </c>
      <c r="G10806" s="5">
        <v>110.5</v>
      </c>
      <c r="H10806" s="5">
        <v>110.4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112</v>
      </c>
      <c r="D10807" s="5">
        <v>0.1</v>
      </c>
      <c r="E10807" s="5">
        <v>112.1</v>
      </c>
      <c r="F10807" s="5">
        <v>222.4</v>
      </c>
      <c r="G10807" s="5">
        <v>110.5</v>
      </c>
      <c r="H10807" s="5">
        <v>110.4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112</v>
      </c>
      <c r="D10808" s="5">
        <v>0.1</v>
      </c>
      <c r="E10808" s="5">
        <v>112.1</v>
      </c>
      <c r="F10808" s="5">
        <v>222.4</v>
      </c>
      <c r="G10808" s="5">
        <v>110.5</v>
      </c>
      <c r="H10808" s="5">
        <v>110.4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112</v>
      </c>
      <c r="D10809" s="5">
        <v>0.1</v>
      </c>
      <c r="E10809" s="5">
        <v>112.1</v>
      </c>
      <c r="F10809" s="5">
        <v>222.4</v>
      </c>
      <c r="G10809" s="5">
        <v>110.5</v>
      </c>
      <c r="H10809" s="5">
        <v>110.4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112</v>
      </c>
      <c r="D10810" s="5">
        <v>0.1</v>
      </c>
      <c r="E10810" s="5">
        <v>112.1</v>
      </c>
      <c r="F10810" s="5">
        <v>222.4</v>
      </c>
      <c r="G10810" s="5">
        <v>110.5</v>
      </c>
      <c r="H10810" s="5">
        <v>110.4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112</v>
      </c>
      <c r="D10811" s="5">
        <v>0.1</v>
      </c>
      <c r="E10811" s="5">
        <v>112.1</v>
      </c>
      <c r="F10811" s="5">
        <v>222.4</v>
      </c>
      <c r="G10811" s="5">
        <v>110.5</v>
      </c>
      <c r="H10811" s="5">
        <v>110.4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112</v>
      </c>
      <c r="D10812" s="5">
        <v>0.1</v>
      </c>
      <c r="E10812" s="5">
        <v>112.1</v>
      </c>
      <c r="F10812" s="5">
        <v>222.4</v>
      </c>
      <c r="G10812" s="5">
        <v>110.5</v>
      </c>
      <c r="H10812" s="5">
        <v>110.4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112</v>
      </c>
      <c r="D10813" s="5">
        <v>0.1</v>
      </c>
      <c r="E10813" s="5">
        <v>112.1</v>
      </c>
      <c r="F10813" s="5">
        <v>222.4</v>
      </c>
      <c r="G10813" s="5">
        <v>110.5</v>
      </c>
      <c r="H10813" s="5">
        <v>110.4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112</v>
      </c>
      <c r="D10814" s="5">
        <v>0.1</v>
      </c>
      <c r="E10814" s="5">
        <v>112.1</v>
      </c>
      <c r="F10814" s="5">
        <v>222.4</v>
      </c>
      <c r="G10814" s="5">
        <v>110.5</v>
      </c>
      <c r="H10814" s="5">
        <v>110.4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112</v>
      </c>
      <c r="D10815" s="5">
        <v>0.1</v>
      </c>
      <c r="E10815" s="5">
        <v>112.1</v>
      </c>
      <c r="F10815" s="5">
        <v>222.4</v>
      </c>
      <c r="G10815" s="5">
        <v>110.5</v>
      </c>
      <c r="H10815" s="5">
        <v>110.4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112</v>
      </c>
      <c r="D10816" s="5">
        <v>0.1</v>
      </c>
      <c r="E10816" s="5">
        <v>112.1</v>
      </c>
      <c r="F10816" s="5">
        <v>222.4</v>
      </c>
      <c r="G10816" s="5">
        <v>110.5</v>
      </c>
      <c r="H10816" s="5">
        <v>110.4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112</v>
      </c>
      <c r="D10817" s="5">
        <v>0.1</v>
      </c>
      <c r="E10817" s="5">
        <v>112.1</v>
      </c>
      <c r="F10817" s="5">
        <v>222.4</v>
      </c>
      <c r="G10817" s="5">
        <v>110.5</v>
      </c>
      <c r="H10817" s="5">
        <v>110.4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112</v>
      </c>
      <c r="D10818" s="5">
        <v>0.1</v>
      </c>
      <c r="E10818" s="5">
        <v>112.1</v>
      </c>
      <c r="F10818" s="5">
        <v>222.4</v>
      </c>
      <c r="G10818" s="5">
        <v>110.5</v>
      </c>
      <c r="H10818" s="5">
        <v>110.4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112</v>
      </c>
      <c r="D10819" s="5">
        <v>0.1</v>
      </c>
      <c r="E10819" s="5">
        <v>112.1</v>
      </c>
      <c r="F10819" s="5">
        <v>222.4</v>
      </c>
      <c r="G10819" s="5">
        <v>110.5</v>
      </c>
      <c r="H10819" s="5">
        <v>110.4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112</v>
      </c>
      <c r="D10820" s="5">
        <v>0.1</v>
      </c>
      <c r="E10820" s="5">
        <v>112.1</v>
      </c>
      <c r="F10820" s="5">
        <v>222.4</v>
      </c>
      <c r="G10820" s="5">
        <v>110.5</v>
      </c>
      <c r="H10820" s="5">
        <v>110.4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112</v>
      </c>
      <c r="D10821" s="5">
        <v>0.1</v>
      </c>
      <c r="E10821" s="5">
        <v>112.1</v>
      </c>
      <c r="F10821" s="5">
        <v>222.4</v>
      </c>
      <c r="G10821" s="5">
        <v>110.5</v>
      </c>
      <c r="H10821" s="5">
        <v>110.4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112</v>
      </c>
      <c r="D10822" s="5">
        <v>0.1</v>
      </c>
      <c r="E10822" s="5">
        <v>112.1</v>
      </c>
      <c r="F10822" s="5">
        <v>222.4</v>
      </c>
      <c r="G10822" s="5">
        <v>110.5</v>
      </c>
      <c r="H10822" s="5">
        <v>110.4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112</v>
      </c>
      <c r="D10823" s="5">
        <v>0.1</v>
      </c>
      <c r="E10823" s="5">
        <v>112.1</v>
      </c>
      <c r="F10823" s="5">
        <v>222.4</v>
      </c>
      <c r="G10823" s="5">
        <v>110.5</v>
      </c>
      <c r="H10823" s="5">
        <v>110.4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112</v>
      </c>
      <c r="D10824" s="5">
        <v>0.1</v>
      </c>
      <c r="E10824" s="5">
        <v>112.1</v>
      </c>
      <c r="F10824" s="5">
        <v>222.4</v>
      </c>
      <c r="G10824" s="5">
        <v>110.5</v>
      </c>
      <c r="H10824" s="5">
        <v>110.4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112</v>
      </c>
      <c r="D10825" s="5">
        <v>0.1</v>
      </c>
      <c r="E10825" s="5">
        <v>112.1</v>
      </c>
      <c r="F10825" s="5">
        <v>222.4</v>
      </c>
      <c r="G10825" s="5">
        <v>110.5</v>
      </c>
      <c r="H10825" s="5">
        <v>110.4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112</v>
      </c>
      <c r="D10826" s="5">
        <v>0.1</v>
      </c>
      <c r="E10826" s="5">
        <v>112.1</v>
      </c>
      <c r="F10826" s="5">
        <v>222.4</v>
      </c>
      <c r="G10826" s="5">
        <v>110.5</v>
      </c>
      <c r="H10826" s="5">
        <v>110.4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112</v>
      </c>
      <c r="D10827" s="5">
        <v>0.1</v>
      </c>
      <c r="E10827" s="5">
        <v>112.1</v>
      </c>
      <c r="F10827" s="5">
        <v>222.4</v>
      </c>
      <c r="G10827" s="5">
        <v>110.5</v>
      </c>
      <c r="H10827" s="5">
        <v>110.4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112</v>
      </c>
      <c r="D10828" s="5">
        <v>0.1</v>
      </c>
      <c r="E10828" s="5">
        <v>112.1</v>
      </c>
      <c r="F10828" s="5">
        <v>222.4</v>
      </c>
      <c r="G10828" s="5">
        <v>110.5</v>
      </c>
      <c r="H10828" s="5">
        <v>110.4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112</v>
      </c>
      <c r="D10829" s="5">
        <v>0.1</v>
      </c>
      <c r="E10829" s="5">
        <v>112.1</v>
      </c>
      <c r="F10829" s="5">
        <v>222.4</v>
      </c>
      <c r="G10829" s="5">
        <v>110.5</v>
      </c>
      <c r="H10829" s="5">
        <v>110.4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112</v>
      </c>
      <c r="D10830" s="5">
        <v>0.1</v>
      </c>
      <c r="E10830" s="5">
        <v>112.1</v>
      </c>
      <c r="F10830" s="5">
        <v>222.4</v>
      </c>
      <c r="G10830" s="5">
        <v>110.5</v>
      </c>
      <c r="H10830" s="5">
        <v>110.4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112</v>
      </c>
      <c r="D10831" s="5">
        <v>0.1</v>
      </c>
      <c r="E10831" s="5">
        <v>112.1</v>
      </c>
      <c r="F10831" s="5">
        <v>222.4</v>
      </c>
      <c r="G10831" s="5">
        <v>110.5</v>
      </c>
      <c r="H10831" s="5">
        <v>110.4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112</v>
      </c>
      <c r="D10832" s="5">
        <v>0.1</v>
      </c>
      <c r="E10832" s="5">
        <v>112.1</v>
      </c>
      <c r="F10832" s="5">
        <v>222.4</v>
      </c>
      <c r="G10832" s="5">
        <v>110.5</v>
      </c>
      <c r="H10832" s="5">
        <v>110.4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112</v>
      </c>
      <c r="D10833" s="5">
        <v>0.1</v>
      </c>
      <c r="E10833" s="5">
        <v>112.1</v>
      </c>
      <c r="F10833" s="5">
        <v>222.4</v>
      </c>
      <c r="G10833" s="5">
        <v>110.5</v>
      </c>
      <c r="H10833" s="5">
        <v>110.4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112</v>
      </c>
      <c r="D10834" s="5">
        <v>0.1</v>
      </c>
      <c r="E10834" s="5">
        <v>112.1</v>
      </c>
      <c r="F10834" s="5">
        <v>222.4</v>
      </c>
      <c r="G10834" s="5">
        <v>110.5</v>
      </c>
      <c r="H10834" s="5">
        <v>110.4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112</v>
      </c>
      <c r="D10835" s="5">
        <v>0.1</v>
      </c>
      <c r="E10835" s="5">
        <v>112.1</v>
      </c>
      <c r="F10835" s="5">
        <v>222.4</v>
      </c>
      <c r="G10835" s="5">
        <v>110.5</v>
      </c>
      <c r="H10835" s="5">
        <v>110.4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112</v>
      </c>
      <c r="D10836" s="5">
        <v>0.1</v>
      </c>
      <c r="E10836" s="5">
        <v>112.1</v>
      </c>
      <c r="F10836" s="5">
        <v>222.4</v>
      </c>
      <c r="G10836" s="5">
        <v>110.5</v>
      </c>
      <c r="H10836" s="5">
        <v>110.4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112</v>
      </c>
      <c r="D10837" s="5">
        <v>0.1</v>
      </c>
      <c r="E10837" s="5">
        <v>112.1</v>
      </c>
      <c r="F10837" s="5">
        <v>222.4</v>
      </c>
      <c r="G10837" s="5">
        <v>110.5</v>
      </c>
      <c r="H10837" s="5">
        <v>110.4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112</v>
      </c>
      <c r="D10838" s="5">
        <v>0.1</v>
      </c>
      <c r="E10838" s="5">
        <v>112.1</v>
      </c>
      <c r="F10838" s="5">
        <v>222.4</v>
      </c>
      <c r="G10838" s="5">
        <v>110.5</v>
      </c>
      <c r="H10838" s="5">
        <v>110.4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112</v>
      </c>
      <c r="D10839" s="5">
        <v>0.1</v>
      </c>
      <c r="E10839" s="5">
        <v>112.1</v>
      </c>
      <c r="F10839" s="5">
        <v>222.4</v>
      </c>
      <c r="G10839" s="5">
        <v>110.5</v>
      </c>
      <c r="H10839" s="5">
        <v>110.4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112</v>
      </c>
      <c r="D10840" s="5">
        <v>0.1</v>
      </c>
      <c r="E10840" s="5">
        <v>112.1</v>
      </c>
      <c r="F10840" s="5">
        <v>222.4</v>
      </c>
      <c r="G10840" s="5">
        <v>110.5</v>
      </c>
      <c r="H10840" s="5">
        <v>110.4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112</v>
      </c>
      <c r="D10841" s="5">
        <v>0.1</v>
      </c>
      <c r="E10841" s="5">
        <v>112.1</v>
      </c>
      <c r="F10841" s="5">
        <v>222.4</v>
      </c>
      <c r="G10841" s="5">
        <v>110.5</v>
      </c>
      <c r="H10841" s="5">
        <v>110.4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112</v>
      </c>
      <c r="D10842" s="5">
        <v>0.1</v>
      </c>
      <c r="E10842" s="5">
        <v>112.1</v>
      </c>
      <c r="F10842" s="5">
        <v>222.4</v>
      </c>
      <c r="G10842" s="5">
        <v>110.5</v>
      </c>
      <c r="H10842" s="5">
        <v>110.4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112</v>
      </c>
      <c r="D10843" s="5">
        <v>0.1</v>
      </c>
      <c r="E10843" s="5">
        <v>112.1</v>
      </c>
      <c r="F10843" s="5">
        <v>222.4</v>
      </c>
      <c r="G10843" s="5">
        <v>110.5</v>
      </c>
      <c r="H10843" s="5">
        <v>110.4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112</v>
      </c>
      <c r="D10844" s="5">
        <v>0.1</v>
      </c>
      <c r="E10844" s="5">
        <v>112.1</v>
      </c>
      <c r="F10844" s="5">
        <v>222.4</v>
      </c>
      <c r="G10844" s="5">
        <v>110.5</v>
      </c>
      <c r="H10844" s="5">
        <v>110.4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112</v>
      </c>
      <c r="D10845" s="5">
        <v>0.1</v>
      </c>
      <c r="E10845" s="5">
        <v>112.1</v>
      </c>
      <c r="F10845" s="5">
        <v>222.4</v>
      </c>
      <c r="G10845" s="5">
        <v>110.5</v>
      </c>
      <c r="H10845" s="5">
        <v>110.4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112</v>
      </c>
      <c r="D10846" s="5">
        <v>0.1</v>
      </c>
      <c r="E10846" s="5">
        <v>112.1</v>
      </c>
      <c r="F10846" s="5">
        <v>222.4</v>
      </c>
      <c r="G10846" s="5">
        <v>110.5</v>
      </c>
      <c r="H10846" s="5">
        <v>110.4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112</v>
      </c>
      <c r="D10847" s="5">
        <v>0.1</v>
      </c>
      <c r="E10847" s="5">
        <v>112.1</v>
      </c>
      <c r="F10847" s="5">
        <v>222.4</v>
      </c>
      <c r="G10847" s="5">
        <v>110.5</v>
      </c>
      <c r="H10847" s="5">
        <v>110.4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112</v>
      </c>
      <c r="D10848" s="5">
        <v>0.1</v>
      </c>
      <c r="E10848" s="5">
        <v>112.1</v>
      </c>
      <c r="F10848" s="5">
        <v>222.4</v>
      </c>
      <c r="G10848" s="5">
        <v>110.5</v>
      </c>
      <c r="H10848" s="5">
        <v>110.4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112</v>
      </c>
      <c r="D10849" s="5">
        <v>0.1</v>
      </c>
      <c r="E10849" s="5">
        <v>112.1</v>
      </c>
      <c r="F10849" s="5">
        <v>222.4</v>
      </c>
      <c r="G10849" s="5">
        <v>110.5</v>
      </c>
      <c r="H10849" s="5">
        <v>110.4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112</v>
      </c>
      <c r="D10850" s="5">
        <v>0.1</v>
      </c>
      <c r="E10850" s="5">
        <v>112.1</v>
      </c>
      <c r="F10850" s="5">
        <v>222.4</v>
      </c>
      <c r="G10850" s="5">
        <v>110.5</v>
      </c>
      <c r="H10850" s="5">
        <v>110.4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112</v>
      </c>
      <c r="D10851" s="5">
        <v>0.1</v>
      </c>
      <c r="E10851" s="5">
        <v>112.1</v>
      </c>
      <c r="F10851" s="5">
        <v>222.4</v>
      </c>
      <c r="G10851" s="5">
        <v>110.5</v>
      </c>
      <c r="H10851" s="5">
        <v>110.4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112</v>
      </c>
      <c r="D10852" s="5">
        <v>0.1</v>
      </c>
      <c r="E10852" s="5">
        <v>112.1</v>
      </c>
      <c r="F10852" s="5">
        <v>222.4</v>
      </c>
      <c r="G10852" s="5">
        <v>110.5</v>
      </c>
      <c r="H10852" s="5">
        <v>110.4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112</v>
      </c>
      <c r="D10853" s="5">
        <v>0.1</v>
      </c>
      <c r="E10853" s="5">
        <v>112.1</v>
      </c>
      <c r="F10853" s="5">
        <v>222.4</v>
      </c>
      <c r="G10853" s="5">
        <v>110.5</v>
      </c>
      <c r="H10853" s="5">
        <v>110.4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112</v>
      </c>
      <c r="D10854" s="5">
        <v>0.1</v>
      </c>
      <c r="E10854" s="5">
        <v>112.1</v>
      </c>
      <c r="F10854" s="5">
        <v>222.4</v>
      </c>
      <c r="G10854" s="5">
        <v>110.5</v>
      </c>
      <c r="H10854" s="5">
        <v>110.4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112</v>
      </c>
      <c r="D10855" s="5">
        <v>0.1</v>
      </c>
      <c r="E10855" s="5">
        <v>112.1</v>
      </c>
      <c r="F10855" s="5">
        <v>222.4</v>
      </c>
      <c r="G10855" s="5">
        <v>110.5</v>
      </c>
      <c r="H10855" s="5">
        <v>110.4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112</v>
      </c>
      <c r="D10856" s="5">
        <v>0.1</v>
      </c>
      <c r="E10856" s="5">
        <v>112.1</v>
      </c>
      <c r="F10856" s="5">
        <v>222.4</v>
      </c>
      <c r="G10856" s="5">
        <v>110.5</v>
      </c>
      <c r="H10856" s="5">
        <v>110.4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112</v>
      </c>
      <c r="D10857" s="5">
        <v>0.1</v>
      </c>
      <c r="E10857" s="5">
        <v>112.1</v>
      </c>
      <c r="F10857" s="5">
        <v>222.4</v>
      </c>
      <c r="G10857" s="5">
        <v>110.5</v>
      </c>
      <c r="H10857" s="5">
        <v>110.4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112</v>
      </c>
      <c r="D10858" s="5">
        <v>0.1</v>
      </c>
      <c r="E10858" s="5">
        <v>112.1</v>
      </c>
      <c r="F10858" s="5">
        <v>222.4</v>
      </c>
      <c r="G10858" s="5">
        <v>110.5</v>
      </c>
      <c r="H10858" s="5">
        <v>110.4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112</v>
      </c>
      <c r="D10859" s="5">
        <v>0.1</v>
      </c>
      <c r="E10859" s="5">
        <v>112.1</v>
      </c>
      <c r="F10859" s="5">
        <v>222.4</v>
      </c>
      <c r="G10859" s="5">
        <v>110.5</v>
      </c>
      <c r="H10859" s="5">
        <v>110.4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112</v>
      </c>
      <c r="D10860" s="5">
        <v>0.1</v>
      </c>
      <c r="E10860" s="5">
        <v>112.1</v>
      </c>
      <c r="F10860" s="5">
        <v>222.4</v>
      </c>
      <c r="G10860" s="5">
        <v>110.5</v>
      </c>
      <c r="H10860" s="5">
        <v>110.4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112</v>
      </c>
      <c r="D10861" s="5">
        <v>0.1</v>
      </c>
      <c r="E10861" s="5">
        <v>112.1</v>
      </c>
      <c r="F10861" s="5">
        <v>222.4</v>
      </c>
      <c r="G10861" s="5">
        <v>110.5</v>
      </c>
      <c r="H10861" s="5">
        <v>110.4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112</v>
      </c>
      <c r="D10862" s="5">
        <v>0.1</v>
      </c>
      <c r="E10862" s="5">
        <v>112.1</v>
      </c>
      <c r="F10862" s="5">
        <v>222.4</v>
      </c>
      <c r="G10862" s="5">
        <v>110.5</v>
      </c>
      <c r="H10862" s="5">
        <v>110.4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112</v>
      </c>
      <c r="D10863" s="5">
        <v>0.1</v>
      </c>
      <c r="E10863" s="5">
        <v>112.1</v>
      </c>
      <c r="F10863" s="5">
        <v>222.4</v>
      </c>
      <c r="G10863" s="5">
        <v>110.5</v>
      </c>
      <c r="H10863" s="5">
        <v>110.4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112</v>
      </c>
      <c r="D10864" s="5">
        <v>0.1</v>
      </c>
      <c r="E10864" s="5">
        <v>112.1</v>
      </c>
      <c r="F10864" s="5">
        <v>222.4</v>
      </c>
      <c r="G10864" s="5">
        <v>110.5</v>
      </c>
      <c r="H10864" s="5">
        <v>110.4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112</v>
      </c>
      <c r="D10865" s="5">
        <v>0.1</v>
      </c>
      <c r="E10865" s="5">
        <v>112.1</v>
      </c>
      <c r="F10865" s="5">
        <v>222.4</v>
      </c>
      <c r="G10865" s="5">
        <v>110.5</v>
      </c>
      <c r="H10865" s="5">
        <v>110.4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112</v>
      </c>
      <c r="D10866" s="5">
        <v>0.1</v>
      </c>
      <c r="E10866" s="5">
        <v>112.1</v>
      </c>
      <c r="F10866" s="5">
        <v>222.4</v>
      </c>
      <c r="G10866" s="5">
        <v>110.5</v>
      </c>
      <c r="H10866" s="5">
        <v>110.4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112</v>
      </c>
      <c r="D10867" s="5">
        <v>0.1</v>
      </c>
      <c r="E10867" s="5">
        <v>112.1</v>
      </c>
      <c r="F10867" s="5">
        <v>222.4</v>
      </c>
      <c r="G10867" s="5">
        <v>110.5</v>
      </c>
      <c r="H10867" s="5">
        <v>110.4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112</v>
      </c>
      <c r="D10868" s="5">
        <v>0.1</v>
      </c>
      <c r="E10868" s="5">
        <v>112.1</v>
      </c>
      <c r="F10868" s="5">
        <v>222.4</v>
      </c>
      <c r="G10868" s="5">
        <v>110.5</v>
      </c>
      <c r="H10868" s="5">
        <v>110.4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112</v>
      </c>
      <c r="D10869" s="5">
        <v>0.1</v>
      </c>
      <c r="E10869" s="5">
        <v>112.1</v>
      </c>
      <c r="F10869" s="5">
        <v>222.4</v>
      </c>
      <c r="G10869" s="5">
        <v>110.5</v>
      </c>
      <c r="H10869" s="5">
        <v>110.4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112</v>
      </c>
      <c r="D10870" s="5">
        <v>0.1</v>
      </c>
      <c r="E10870" s="5">
        <v>112.1</v>
      </c>
      <c r="F10870" s="5">
        <v>222.4</v>
      </c>
      <c r="G10870" s="5">
        <v>110.5</v>
      </c>
      <c r="H10870" s="5">
        <v>110.4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112</v>
      </c>
      <c r="D10871" s="5">
        <v>0.1</v>
      </c>
      <c r="E10871" s="5">
        <v>112.1</v>
      </c>
      <c r="F10871" s="5">
        <v>222.4</v>
      </c>
      <c r="G10871" s="5">
        <v>110.5</v>
      </c>
      <c r="H10871" s="5">
        <v>110.4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112</v>
      </c>
      <c r="D10872" s="5">
        <v>0.1</v>
      </c>
      <c r="E10872" s="5">
        <v>112.1</v>
      </c>
      <c r="F10872" s="5">
        <v>222.4</v>
      </c>
      <c r="G10872" s="5">
        <v>110.5</v>
      </c>
      <c r="H10872" s="5">
        <v>110.4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112</v>
      </c>
      <c r="D10873" s="5">
        <v>0.1</v>
      </c>
      <c r="E10873" s="5">
        <v>112.1</v>
      </c>
      <c r="F10873" s="5">
        <v>222.4</v>
      </c>
      <c r="G10873" s="5">
        <v>110.5</v>
      </c>
      <c r="H10873" s="5">
        <v>110.4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112</v>
      </c>
      <c r="D10874" s="5">
        <v>0.1</v>
      </c>
      <c r="E10874" s="5">
        <v>112.1</v>
      </c>
      <c r="F10874" s="5">
        <v>222.4</v>
      </c>
      <c r="G10874" s="5">
        <v>110.5</v>
      </c>
      <c r="H10874" s="5">
        <v>110.4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112</v>
      </c>
      <c r="D10875" s="5">
        <v>0.1</v>
      </c>
      <c r="E10875" s="5">
        <v>112.1</v>
      </c>
      <c r="F10875" s="5">
        <v>222.4</v>
      </c>
      <c r="G10875" s="5">
        <v>110.5</v>
      </c>
      <c r="H10875" s="5">
        <v>110.4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112</v>
      </c>
      <c r="D10876" s="5">
        <v>0.1</v>
      </c>
      <c r="E10876" s="5">
        <v>112.1</v>
      </c>
      <c r="F10876" s="5">
        <v>222.4</v>
      </c>
      <c r="G10876" s="5">
        <v>110.5</v>
      </c>
      <c r="H10876" s="5">
        <v>110.4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112</v>
      </c>
      <c r="D10877" s="5">
        <v>0.1</v>
      </c>
      <c r="E10877" s="5">
        <v>112.1</v>
      </c>
      <c r="F10877" s="5">
        <v>222.4</v>
      </c>
      <c r="G10877" s="5">
        <v>110.5</v>
      </c>
      <c r="H10877" s="5">
        <v>110.4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112</v>
      </c>
      <c r="D10878" s="5">
        <v>0.1</v>
      </c>
      <c r="E10878" s="5">
        <v>112.1</v>
      </c>
      <c r="F10878" s="5">
        <v>222.4</v>
      </c>
      <c r="G10878" s="5">
        <v>110.5</v>
      </c>
      <c r="H10878" s="5">
        <v>110.4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112</v>
      </c>
      <c r="D10879" s="5">
        <v>0.1</v>
      </c>
      <c r="E10879" s="5">
        <v>112.1</v>
      </c>
      <c r="F10879" s="5">
        <v>222.4</v>
      </c>
      <c r="G10879" s="5">
        <v>110.5</v>
      </c>
      <c r="H10879" s="5">
        <v>110.4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112</v>
      </c>
      <c r="D10880" s="5">
        <v>0.1</v>
      </c>
      <c r="E10880" s="5">
        <v>112.1</v>
      </c>
      <c r="F10880" s="5">
        <v>222.4</v>
      </c>
      <c r="G10880" s="5">
        <v>110.5</v>
      </c>
      <c r="H10880" s="5">
        <v>110.4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112</v>
      </c>
      <c r="D10881" s="5">
        <v>0.1</v>
      </c>
      <c r="E10881" s="5">
        <v>112.1</v>
      </c>
      <c r="F10881" s="5">
        <v>222.4</v>
      </c>
      <c r="G10881" s="5">
        <v>110.5</v>
      </c>
      <c r="H10881" s="5">
        <v>110.4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112</v>
      </c>
      <c r="D10882" s="5">
        <v>0.1</v>
      </c>
      <c r="E10882" s="5">
        <v>112.1</v>
      </c>
      <c r="F10882" s="5">
        <v>222.4</v>
      </c>
      <c r="G10882" s="5">
        <v>110.5</v>
      </c>
      <c r="H10882" s="5">
        <v>110.4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112</v>
      </c>
      <c r="D10883" s="5">
        <v>0.1</v>
      </c>
      <c r="E10883" s="5">
        <v>112.1</v>
      </c>
      <c r="F10883" s="5">
        <v>222.4</v>
      </c>
      <c r="G10883" s="5">
        <v>110.5</v>
      </c>
      <c r="H10883" s="5">
        <v>110.4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112</v>
      </c>
      <c r="D10884" s="5">
        <v>0.1</v>
      </c>
      <c r="E10884" s="5">
        <v>112.1</v>
      </c>
      <c r="F10884" s="5">
        <v>222.4</v>
      </c>
      <c r="G10884" s="5">
        <v>110.5</v>
      </c>
      <c r="H10884" s="5">
        <v>110.4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112</v>
      </c>
      <c r="D10885" s="5">
        <v>0.1</v>
      </c>
      <c r="E10885" s="5">
        <v>112.1</v>
      </c>
      <c r="F10885" s="5">
        <v>222.4</v>
      </c>
      <c r="G10885" s="5">
        <v>110.5</v>
      </c>
      <c r="H10885" s="5">
        <v>110.4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112</v>
      </c>
      <c r="D10886" s="5">
        <v>0.1</v>
      </c>
      <c r="E10886" s="5">
        <v>112.1</v>
      </c>
      <c r="F10886" s="5">
        <v>222.4</v>
      </c>
      <c r="G10886" s="5">
        <v>110.5</v>
      </c>
      <c r="H10886" s="5">
        <v>110.4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112</v>
      </c>
      <c r="D10887" s="5">
        <v>0.1</v>
      </c>
      <c r="E10887" s="5">
        <v>112.1</v>
      </c>
      <c r="F10887" s="5">
        <v>222.4</v>
      </c>
      <c r="G10887" s="5">
        <v>110.5</v>
      </c>
      <c r="H10887" s="5">
        <v>110.4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112</v>
      </c>
      <c r="D10888" s="5">
        <v>0.1</v>
      </c>
      <c r="E10888" s="5">
        <v>112.1</v>
      </c>
      <c r="F10888" s="5">
        <v>222.4</v>
      </c>
      <c r="G10888" s="5">
        <v>110.5</v>
      </c>
      <c r="H10888" s="5">
        <v>110.4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112</v>
      </c>
      <c r="D10889" s="5">
        <v>0.1</v>
      </c>
      <c r="E10889" s="5">
        <v>112.1</v>
      </c>
      <c r="F10889" s="5">
        <v>222.4</v>
      </c>
      <c r="G10889" s="5">
        <v>110.5</v>
      </c>
      <c r="H10889" s="5">
        <v>110.4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112</v>
      </c>
      <c r="D10890" s="5">
        <v>0.1</v>
      </c>
      <c r="E10890" s="5">
        <v>112.1</v>
      </c>
      <c r="F10890" s="5">
        <v>222.4</v>
      </c>
      <c r="G10890" s="5">
        <v>110.5</v>
      </c>
      <c r="H10890" s="5">
        <v>110.4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112</v>
      </c>
      <c r="D10891" s="5">
        <v>0.1</v>
      </c>
      <c r="E10891" s="5">
        <v>112.1</v>
      </c>
      <c r="F10891" s="5">
        <v>222.4</v>
      </c>
      <c r="G10891" s="5">
        <v>110.5</v>
      </c>
      <c r="H10891" s="5">
        <v>110.4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112</v>
      </c>
      <c r="D10892" s="5">
        <v>0.1</v>
      </c>
      <c r="E10892" s="5">
        <v>112.1</v>
      </c>
      <c r="F10892" s="5">
        <v>222.4</v>
      </c>
      <c r="G10892" s="5">
        <v>110.5</v>
      </c>
      <c r="H10892" s="5">
        <v>110.4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112</v>
      </c>
      <c r="D10893" s="5">
        <v>0.1</v>
      </c>
      <c r="E10893" s="5">
        <v>112.1</v>
      </c>
      <c r="F10893" s="5">
        <v>222.4</v>
      </c>
      <c r="G10893" s="5">
        <v>110.5</v>
      </c>
      <c r="H10893" s="5">
        <v>110.4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112</v>
      </c>
      <c r="D10894" s="5">
        <v>0.1</v>
      </c>
      <c r="E10894" s="5">
        <v>112.1</v>
      </c>
      <c r="F10894" s="5">
        <v>222.4</v>
      </c>
      <c r="G10894" s="5">
        <v>110.5</v>
      </c>
      <c r="H10894" s="5">
        <v>110.4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112</v>
      </c>
      <c r="D10895" s="5">
        <v>0.1</v>
      </c>
      <c r="E10895" s="5">
        <v>112.1</v>
      </c>
      <c r="F10895" s="5">
        <v>222.4</v>
      </c>
      <c r="G10895" s="5">
        <v>110.5</v>
      </c>
      <c r="H10895" s="5">
        <v>110.4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112</v>
      </c>
      <c r="D10896" s="5">
        <v>0.1</v>
      </c>
      <c r="E10896" s="5">
        <v>112.1</v>
      </c>
      <c r="F10896" s="5">
        <v>222.4</v>
      </c>
      <c r="G10896" s="5">
        <v>110.5</v>
      </c>
      <c r="H10896" s="5">
        <v>110.4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112</v>
      </c>
      <c r="D10897" s="5">
        <v>0.1</v>
      </c>
      <c r="E10897" s="5">
        <v>112.1</v>
      </c>
      <c r="F10897" s="5">
        <v>222.4</v>
      </c>
      <c r="G10897" s="5">
        <v>110.5</v>
      </c>
      <c r="H10897" s="5">
        <v>110.4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112</v>
      </c>
      <c r="D10898" s="5">
        <v>0.1</v>
      </c>
      <c r="E10898" s="5">
        <v>112.1</v>
      </c>
      <c r="F10898" s="5">
        <v>222.4</v>
      </c>
      <c r="G10898" s="5">
        <v>110.5</v>
      </c>
      <c r="H10898" s="5">
        <v>110.4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112</v>
      </c>
      <c r="D10899" s="5">
        <v>0.1</v>
      </c>
      <c r="E10899" s="5">
        <v>112.1</v>
      </c>
      <c r="F10899" s="5">
        <v>222.4</v>
      </c>
      <c r="G10899" s="5">
        <v>110.5</v>
      </c>
      <c r="H10899" s="5">
        <v>110.4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112</v>
      </c>
      <c r="D10900" s="5">
        <v>0.1</v>
      </c>
      <c r="E10900" s="5">
        <v>112.1</v>
      </c>
      <c r="F10900" s="5">
        <v>222.4</v>
      </c>
      <c r="G10900" s="5">
        <v>110.5</v>
      </c>
      <c r="H10900" s="5">
        <v>110.4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112</v>
      </c>
      <c r="D10901" s="5">
        <v>0.1</v>
      </c>
      <c r="E10901" s="5">
        <v>112.1</v>
      </c>
      <c r="F10901" s="5">
        <v>222.4</v>
      </c>
      <c r="G10901" s="5">
        <v>110.5</v>
      </c>
      <c r="H10901" s="5">
        <v>110.4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112</v>
      </c>
      <c r="D10902" s="5">
        <v>0.1</v>
      </c>
      <c r="E10902" s="5">
        <v>112.1</v>
      </c>
      <c r="F10902" s="5">
        <v>222.4</v>
      </c>
      <c r="G10902" s="5">
        <v>110.5</v>
      </c>
      <c r="H10902" s="5">
        <v>110.4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112</v>
      </c>
      <c r="D10903" s="5">
        <v>0.1</v>
      </c>
      <c r="E10903" s="5">
        <v>112.1</v>
      </c>
      <c r="F10903" s="5">
        <v>222.4</v>
      </c>
      <c r="G10903" s="5">
        <v>110.5</v>
      </c>
      <c r="H10903" s="5">
        <v>110.4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112</v>
      </c>
      <c r="D10904" s="5">
        <v>0.1</v>
      </c>
      <c r="E10904" s="5">
        <v>112.1</v>
      </c>
      <c r="F10904" s="5">
        <v>222.4</v>
      </c>
      <c r="G10904" s="5">
        <v>110.5</v>
      </c>
      <c r="H10904" s="5">
        <v>110.4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112</v>
      </c>
      <c r="D10905" s="5">
        <v>0.1</v>
      </c>
      <c r="E10905" s="5">
        <v>112.1</v>
      </c>
      <c r="F10905" s="5">
        <v>222.4</v>
      </c>
      <c r="G10905" s="5">
        <v>110.5</v>
      </c>
      <c r="H10905" s="5">
        <v>110.4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112</v>
      </c>
      <c r="D10906" s="5">
        <v>0.1</v>
      </c>
      <c r="E10906" s="5">
        <v>112.1</v>
      </c>
      <c r="F10906" s="5">
        <v>222.4</v>
      </c>
      <c r="G10906" s="5">
        <v>110.5</v>
      </c>
      <c r="H10906" s="5">
        <v>110.4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112</v>
      </c>
      <c r="D10907" s="5">
        <v>0.1</v>
      </c>
      <c r="E10907" s="5">
        <v>112.1</v>
      </c>
      <c r="F10907" s="5">
        <v>222.4</v>
      </c>
      <c r="G10907" s="5">
        <v>110.5</v>
      </c>
      <c r="H10907" s="5">
        <v>110.4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112</v>
      </c>
      <c r="D10908" s="5">
        <v>0.1</v>
      </c>
      <c r="E10908" s="5">
        <v>112.1</v>
      </c>
      <c r="F10908" s="5">
        <v>222.4</v>
      </c>
      <c r="G10908" s="5">
        <v>110.5</v>
      </c>
      <c r="H10908" s="5">
        <v>110.4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112</v>
      </c>
      <c r="D10909" s="5">
        <v>0.1</v>
      </c>
      <c r="E10909" s="5">
        <v>112.1</v>
      </c>
      <c r="F10909" s="5">
        <v>222.4</v>
      </c>
      <c r="G10909" s="5">
        <v>110.5</v>
      </c>
      <c r="H10909" s="5">
        <v>110.4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112</v>
      </c>
      <c r="D10910" s="5">
        <v>0.1</v>
      </c>
      <c r="E10910" s="5">
        <v>112.1</v>
      </c>
      <c r="F10910" s="5">
        <v>222.4</v>
      </c>
      <c r="G10910" s="5">
        <v>110.5</v>
      </c>
      <c r="H10910" s="5">
        <v>110.4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112</v>
      </c>
      <c r="D10911" s="5">
        <v>0.1</v>
      </c>
      <c r="E10911" s="5">
        <v>112.1</v>
      </c>
      <c r="F10911" s="5">
        <v>222.4</v>
      </c>
      <c r="G10911" s="5">
        <v>110.5</v>
      </c>
      <c r="H10911" s="5">
        <v>110.4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112</v>
      </c>
      <c r="D10912" s="5">
        <v>0.1</v>
      </c>
      <c r="E10912" s="5">
        <v>112.1</v>
      </c>
      <c r="F10912" s="5">
        <v>222.4</v>
      </c>
      <c r="G10912" s="5">
        <v>110.5</v>
      </c>
      <c r="H10912" s="5">
        <v>110.4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112</v>
      </c>
      <c r="D10913" s="5">
        <v>0.1</v>
      </c>
      <c r="E10913" s="5">
        <v>112.1</v>
      </c>
      <c r="F10913" s="5">
        <v>222.4</v>
      </c>
      <c r="G10913" s="5">
        <v>110.5</v>
      </c>
      <c r="H10913" s="5">
        <v>110.4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112</v>
      </c>
      <c r="D10914" s="5">
        <v>0.1</v>
      </c>
      <c r="E10914" s="5">
        <v>112.1</v>
      </c>
      <c r="F10914" s="5">
        <v>222.4</v>
      </c>
      <c r="G10914" s="5">
        <v>110.5</v>
      </c>
      <c r="H10914" s="5">
        <v>110.4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112</v>
      </c>
      <c r="D10915" s="5">
        <v>0.1</v>
      </c>
      <c r="E10915" s="5">
        <v>112.1</v>
      </c>
      <c r="F10915" s="5">
        <v>222.4</v>
      </c>
      <c r="G10915" s="5">
        <v>110.5</v>
      </c>
      <c r="H10915" s="5">
        <v>110.4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112</v>
      </c>
      <c r="D10916" s="5">
        <v>0.1</v>
      </c>
      <c r="E10916" s="5">
        <v>112.1</v>
      </c>
      <c r="F10916" s="5">
        <v>222.4</v>
      </c>
      <c r="G10916" s="5">
        <v>110.5</v>
      </c>
      <c r="H10916" s="5">
        <v>110.4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112</v>
      </c>
      <c r="D10917" s="5">
        <v>0.1</v>
      </c>
      <c r="E10917" s="5">
        <v>112.1</v>
      </c>
      <c r="F10917" s="5">
        <v>222.4</v>
      </c>
      <c r="G10917" s="5">
        <v>110.5</v>
      </c>
      <c r="H10917" s="5">
        <v>110.4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112</v>
      </c>
      <c r="D10918" s="5">
        <v>0.1</v>
      </c>
      <c r="E10918" s="5">
        <v>112.1</v>
      </c>
      <c r="F10918" s="5">
        <v>222.4</v>
      </c>
      <c r="G10918" s="5">
        <v>110.5</v>
      </c>
      <c r="H10918" s="5">
        <v>110.4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112</v>
      </c>
      <c r="D10919" s="5">
        <v>0.1</v>
      </c>
      <c r="E10919" s="5">
        <v>112.1</v>
      </c>
      <c r="F10919" s="5">
        <v>222.4</v>
      </c>
      <c r="G10919" s="5">
        <v>110.5</v>
      </c>
      <c r="H10919" s="5">
        <v>110.4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112</v>
      </c>
      <c r="D10920" s="5">
        <v>0.1</v>
      </c>
      <c r="E10920" s="5">
        <v>112.1</v>
      </c>
      <c r="F10920" s="5">
        <v>222.4</v>
      </c>
      <c r="G10920" s="5">
        <v>110.5</v>
      </c>
      <c r="H10920" s="5">
        <v>110.4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112</v>
      </c>
      <c r="D10921" s="5">
        <v>0.1</v>
      </c>
      <c r="E10921" s="5">
        <v>112.1</v>
      </c>
      <c r="F10921" s="5">
        <v>222.4</v>
      </c>
      <c r="G10921" s="5">
        <v>110.5</v>
      </c>
      <c r="H10921" s="5">
        <v>110.4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112</v>
      </c>
      <c r="D10922" s="5">
        <v>0.1</v>
      </c>
      <c r="E10922" s="5">
        <v>112.1</v>
      </c>
      <c r="F10922" s="5">
        <v>222.4</v>
      </c>
      <c r="G10922" s="5">
        <v>110.5</v>
      </c>
      <c r="H10922" s="5">
        <v>110.4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112</v>
      </c>
      <c r="D10923" s="5">
        <v>0.1</v>
      </c>
      <c r="E10923" s="5">
        <v>112.1</v>
      </c>
      <c r="F10923" s="5">
        <v>222.4</v>
      </c>
      <c r="G10923" s="5">
        <v>110.5</v>
      </c>
      <c r="H10923" s="5">
        <v>110.4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112</v>
      </c>
      <c r="D10924" s="5">
        <v>0.1</v>
      </c>
      <c r="E10924" s="5">
        <v>112.1</v>
      </c>
      <c r="F10924" s="5">
        <v>222.4</v>
      </c>
      <c r="G10924" s="5">
        <v>110.5</v>
      </c>
      <c r="H10924" s="5">
        <v>110.4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112</v>
      </c>
      <c r="D10925" s="5">
        <v>0.1</v>
      </c>
      <c r="E10925" s="5">
        <v>112.1</v>
      </c>
      <c r="F10925" s="5">
        <v>222.4</v>
      </c>
      <c r="G10925" s="5">
        <v>110.5</v>
      </c>
      <c r="H10925" s="5">
        <v>110.4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112</v>
      </c>
      <c r="D10926" s="5">
        <v>0.1</v>
      </c>
      <c r="E10926" s="5">
        <v>112.1</v>
      </c>
      <c r="F10926" s="5">
        <v>222.4</v>
      </c>
      <c r="G10926" s="5">
        <v>110.5</v>
      </c>
      <c r="H10926" s="5">
        <v>110.4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112</v>
      </c>
      <c r="D10927" s="5">
        <v>0.1</v>
      </c>
      <c r="E10927" s="5">
        <v>112.1</v>
      </c>
      <c r="F10927" s="5">
        <v>222.4</v>
      </c>
      <c r="G10927" s="5">
        <v>110.5</v>
      </c>
      <c r="H10927" s="5">
        <v>110.4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112</v>
      </c>
      <c r="D10928" s="5">
        <v>0.1</v>
      </c>
      <c r="E10928" s="5">
        <v>112.1</v>
      </c>
      <c r="F10928" s="5">
        <v>222.4</v>
      </c>
      <c r="G10928" s="5">
        <v>110.5</v>
      </c>
      <c r="H10928" s="5">
        <v>110.4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112</v>
      </c>
      <c r="D10929" s="5">
        <v>0.1</v>
      </c>
      <c r="E10929" s="5">
        <v>112.1</v>
      </c>
      <c r="F10929" s="5">
        <v>222.4</v>
      </c>
      <c r="G10929" s="5">
        <v>110.5</v>
      </c>
      <c r="H10929" s="5">
        <v>110.4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112</v>
      </c>
      <c r="D10930" s="5">
        <v>0.1</v>
      </c>
      <c r="E10930" s="5">
        <v>112.1</v>
      </c>
      <c r="F10930" s="5">
        <v>222.4</v>
      </c>
      <c r="G10930" s="5">
        <v>110.5</v>
      </c>
      <c r="H10930" s="5">
        <v>110.4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112</v>
      </c>
      <c r="D10931" s="5">
        <v>0.1</v>
      </c>
      <c r="E10931" s="5">
        <v>112.1</v>
      </c>
      <c r="F10931" s="5">
        <v>222.4</v>
      </c>
      <c r="G10931" s="5">
        <v>110.5</v>
      </c>
      <c r="H10931" s="5">
        <v>110.4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112</v>
      </c>
      <c r="D10932" s="5">
        <v>0.1</v>
      </c>
      <c r="E10932" s="5">
        <v>112.1</v>
      </c>
      <c r="F10932" s="5">
        <v>222.4</v>
      </c>
      <c r="G10932" s="5">
        <v>110.5</v>
      </c>
      <c r="H10932" s="5">
        <v>110.4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112</v>
      </c>
      <c r="D10933" s="5">
        <v>0.1</v>
      </c>
      <c r="E10933" s="5">
        <v>112.1</v>
      </c>
      <c r="F10933" s="5">
        <v>222.4</v>
      </c>
      <c r="G10933" s="5">
        <v>110.5</v>
      </c>
      <c r="H10933" s="5">
        <v>110.4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112</v>
      </c>
      <c r="D10934" s="5">
        <v>0.1</v>
      </c>
      <c r="E10934" s="5">
        <v>112.1</v>
      </c>
      <c r="F10934" s="5">
        <v>222.4</v>
      </c>
      <c r="G10934" s="5">
        <v>110.5</v>
      </c>
      <c r="H10934" s="5">
        <v>110.4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112</v>
      </c>
      <c r="D10935" s="5">
        <v>0.1</v>
      </c>
      <c r="E10935" s="5">
        <v>112.1</v>
      </c>
      <c r="F10935" s="5">
        <v>222.4</v>
      </c>
      <c r="G10935" s="5">
        <v>110.5</v>
      </c>
      <c r="H10935" s="5">
        <v>110.4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112</v>
      </c>
      <c r="D10936" s="5">
        <v>0.1</v>
      </c>
      <c r="E10936" s="5">
        <v>112.1</v>
      </c>
      <c r="F10936" s="5">
        <v>222.4</v>
      </c>
      <c r="G10936" s="5">
        <v>110.5</v>
      </c>
      <c r="H10936" s="5">
        <v>110.4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112</v>
      </c>
      <c r="D10937" s="5">
        <v>0.1</v>
      </c>
      <c r="E10937" s="5">
        <v>112.1</v>
      </c>
      <c r="F10937" s="5">
        <v>222.4</v>
      </c>
      <c r="G10937" s="5">
        <v>110.5</v>
      </c>
      <c r="H10937" s="5">
        <v>110.4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112</v>
      </c>
      <c r="D10938" s="5">
        <v>0.1</v>
      </c>
      <c r="E10938" s="5">
        <v>112.1</v>
      </c>
      <c r="F10938" s="5">
        <v>222.4</v>
      </c>
      <c r="G10938" s="5">
        <v>110.5</v>
      </c>
      <c r="H10938" s="5">
        <v>110.4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112</v>
      </c>
      <c r="D10939" s="5">
        <v>0.1</v>
      </c>
      <c r="E10939" s="5">
        <v>112.1</v>
      </c>
      <c r="F10939" s="5">
        <v>222.4</v>
      </c>
      <c r="G10939" s="5">
        <v>110.5</v>
      </c>
      <c r="H10939" s="5">
        <v>110.4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112</v>
      </c>
      <c r="D10940" s="5">
        <v>0.1</v>
      </c>
      <c r="E10940" s="5">
        <v>112.1</v>
      </c>
      <c r="F10940" s="5">
        <v>222.4</v>
      </c>
      <c r="G10940" s="5">
        <v>110.5</v>
      </c>
      <c r="H10940" s="5">
        <v>110.4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112</v>
      </c>
      <c r="D10941" s="5">
        <v>0.1</v>
      </c>
      <c r="E10941" s="5">
        <v>112.1</v>
      </c>
      <c r="F10941" s="5">
        <v>222.4</v>
      </c>
      <c r="G10941" s="5">
        <v>110.5</v>
      </c>
      <c r="H10941" s="5">
        <v>110.4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112</v>
      </c>
      <c r="D10942" s="5">
        <v>0.1</v>
      </c>
      <c r="E10942" s="5">
        <v>112.1</v>
      </c>
      <c r="F10942" s="5">
        <v>222.4</v>
      </c>
      <c r="G10942" s="5">
        <v>110.5</v>
      </c>
      <c r="H10942" s="5">
        <v>110.4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112</v>
      </c>
      <c r="D10943" s="5">
        <v>0.1</v>
      </c>
      <c r="E10943" s="5">
        <v>112.1</v>
      </c>
      <c r="F10943" s="5">
        <v>222.4</v>
      </c>
      <c r="G10943" s="5">
        <v>110.5</v>
      </c>
      <c r="H10943" s="5">
        <v>110.4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112</v>
      </c>
      <c r="D10944" s="5">
        <v>0.1</v>
      </c>
      <c r="E10944" s="5">
        <v>112.1</v>
      </c>
      <c r="F10944" s="5">
        <v>222.4</v>
      </c>
      <c r="G10944" s="5">
        <v>110.5</v>
      </c>
      <c r="H10944" s="5">
        <v>110.4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112</v>
      </c>
      <c r="D10945" s="5">
        <v>0.1</v>
      </c>
      <c r="E10945" s="5">
        <v>112.1</v>
      </c>
      <c r="F10945" s="5">
        <v>222.4</v>
      </c>
      <c r="G10945" s="5">
        <v>110.5</v>
      </c>
      <c r="H10945" s="5">
        <v>110.4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112</v>
      </c>
      <c r="D10946" s="5">
        <v>0.1</v>
      </c>
      <c r="E10946" s="5">
        <v>112.1</v>
      </c>
      <c r="F10946" s="5">
        <v>222.4</v>
      </c>
      <c r="G10946" s="5">
        <v>110.5</v>
      </c>
      <c r="H10946" s="5">
        <v>110.4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112</v>
      </c>
      <c r="D10947" s="5">
        <v>0.1</v>
      </c>
      <c r="E10947" s="5">
        <v>112.1</v>
      </c>
      <c r="F10947" s="5">
        <v>222.4</v>
      </c>
      <c r="G10947" s="5">
        <v>110.5</v>
      </c>
      <c r="H10947" s="5">
        <v>110.4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112</v>
      </c>
      <c r="D10948" s="5">
        <v>0.1</v>
      </c>
      <c r="E10948" s="5">
        <v>112.1</v>
      </c>
      <c r="F10948" s="5">
        <v>222.4</v>
      </c>
      <c r="G10948" s="5">
        <v>110.5</v>
      </c>
      <c r="H10948" s="5">
        <v>110.4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112</v>
      </c>
      <c r="D10949" s="5">
        <v>0.1</v>
      </c>
      <c r="E10949" s="5">
        <v>112.1</v>
      </c>
      <c r="F10949" s="5">
        <v>222.4</v>
      </c>
      <c r="G10949" s="5">
        <v>110.5</v>
      </c>
      <c r="H10949" s="5">
        <v>110.4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112</v>
      </c>
      <c r="D10950" s="5">
        <v>0.1</v>
      </c>
      <c r="E10950" s="5">
        <v>112.1</v>
      </c>
      <c r="F10950" s="5">
        <v>222.4</v>
      </c>
      <c r="G10950" s="5">
        <v>110.5</v>
      </c>
      <c r="H10950" s="5">
        <v>110.4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112</v>
      </c>
      <c r="D10951" s="5">
        <v>0.1</v>
      </c>
      <c r="E10951" s="5">
        <v>112.1</v>
      </c>
      <c r="F10951" s="5">
        <v>222.4</v>
      </c>
      <c r="G10951" s="5">
        <v>110.5</v>
      </c>
      <c r="H10951" s="5">
        <v>110.4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112</v>
      </c>
      <c r="D10952" s="5">
        <v>0.1</v>
      </c>
      <c r="E10952" s="5">
        <v>112.1</v>
      </c>
      <c r="F10952" s="5">
        <v>222.4</v>
      </c>
      <c r="G10952" s="5">
        <v>110.5</v>
      </c>
      <c r="H10952" s="5">
        <v>110.4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112</v>
      </c>
      <c r="D10953" s="5">
        <v>0.1</v>
      </c>
      <c r="E10953" s="5">
        <v>112.1</v>
      </c>
      <c r="F10953" s="5">
        <v>222.4</v>
      </c>
      <c r="G10953" s="5">
        <v>110.5</v>
      </c>
      <c r="H10953" s="5">
        <v>110.4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112</v>
      </c>
      <c r="D10954" s="5">
        <v>0.1</v>
      </c>
      <c r="E10954" s="5">
        <v>112.1</v>
      </c>
      <c r="F10954" s="5">
        <v>222.4</v>
      </c>
      <c r="G10954" s="5">
        <v>110.5</v>
      </c>
      <c r="H10954" s="5">
        <v>110.4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112</v>
      </c>
      <c r="D10955" s="5">
        <v>0.1</v>
      </c>
      <c r="E10955" s="5">
        <v>112.1</v>
      </c>
      <c r="F10955" s="5">
        <v>222.4</v>
      </c>
      <c r="G10955" s="5">
        <v>110.5</v>
      </c>
      <c r="H10955" s="5">
        <v>110.4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112</v>
      </c>
      <c r="D10956" s="5">
        <v>0.1</v>
      </c>
      <c r="E10956" s="5">
        <v>112.1</v>
      </c>
      <c r="F10956" s="5">
        <v>222.4</v>
      </c>
      <c r="G10956" s="5">
        <v>110.5</v>
      </c>
      <c r="H10956" s="5">
        <v>110.4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112</v>
      </c>
      <c r="D10957" s="5">
        <v>0.1</v>
      </c>
      <c r="E10957" s="5">
        <v>112.1</v>
      </c>
      <c r="F10957" s="5">
        <v>222.4</v>
      </c>
      <c r="G10957" s="5">
        <v>110.5</v>
      </c>
      <c r="H10957" s="5">
        <v>110.4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112</v>
      </c>
      <c r="D10958" s="5">
        <v>0.1</v>
      </c>
      <c r="E10958" s="5">
        <v>112.1</v>
      </c>
      <c r="F10958" s="5">
        <v>222.4</v>
      </c>
      <c r="G10958" s="5">
        <v>110.5</v>
      </c>
      <c r="H10958" s="5">
        <v>110.4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112</v>
      </c>
      <c r="D10959" s="5">
        <v>0.1</v>
      </c>
      <c r="E10959" s="5">
        <v>112.1</v>
      </c>
      <c r="F10959" s="5">
        <v>222.4</v>
      </c>
      <c r="G10959" s="5">
        <v>110.5</v>
      </c>
      <c r="H10959" s="5">
        <v>110.4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112</v>
      </c>
      <c r="D10960" s="5">
        <v>0.1</v>
      </c>
      <c r="E10960" s="5">
        <v>112.1</v>
      </c>
      <c r="F10960" s="5">
        <v>222.4</v>
      </c>
      <c r="G10960" s="5">
        <v>110.5</v>
      </c>
      <c r="H10960" s="5">
        <v>110.4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112</v>
      </c>
      <c r="D10961" s="5">
        <v>0.1</v>
      </c>
      <c r="E10961" s="5">
        <v>112.1</v>
      </c>
      <c r="F10961" s="5">
        <v>222.4</v>
      </c>
      <c r="G10961" s="5">
        <v>110.5</v>
      </c>
      <c r="H10961" s="5">
        <v>110.4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112</v>
      </c>
      <c r="D10962" s="5">
        <v>0.1</v>
      </c>
      <c r="E10962" s="5">
        <v>112.1</v>
      </c>
      <c r="F10962" s="5">
        <v>222.4</v>
      </c>
      <c r="G10962" s="5">
        <v>110.5</v>
      </c>
      <c r="H10962" s="5">
        <v>110.4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112</v>
      </c>
      <c r="D10963" s="5">
        <v>0.1</v>
      </c>
      <c r="E10963" s="5">
        <v>112.1</v>
      </c>
      <c r="F10963" s="5">
        <v>222.4</v>
      </c>
      <c r="G10963" s="5">
        <v>110.5</v>
      </c>
      <c r="H10963" s="5">
        <v>110.4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112</v>
      </c>
      <c r="D10964" s="5">
        <v>0.1</v>
      </c>
      <c r="E10964" s="5">
        <v>112.1</v>
      </c>
      <c r="F10964" s="5">
        <v>222.4</v>
      </c>
      <c r="G10964" s="5">
        <v>110.5</v>
      </c>
      <c r="H10964" s="5">
        <v>110.4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112</v>
      </c>
      <c r="D10965" s="5">
        <v>0.1</v>
      </c>
      <c r="E10965" s="5">
        <v>112.1</v>
      </c>
      <c r="F10965" s="5">
        <v>222.4</v>
      </c>
      <c r="G10965" s="5">
        <v>110.5</v>
      </c>
      <c r="H10965" s="5">
        <v>110.4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112</v>
      </c>
      <c r="D10966" s="5">
        <v>0.1</v>
      </c>
      <c r="E10966" s="5">
        <v>112.1</v>
      </c>
      <c r="F10966" s="5">
        <v>222.4</v>
      </c>
      <c r="G10966" s="5">
        <v>110.5</v>
      </c>
      <c r="H10966" s="5">
        <v>110.4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112</v>
      </c>
      <c r="D10967" s="5">
        <v>0.1</v>
      </c>
      <c r="E10967" s="5">
        <v>112.1</v>
      </c>
      <c r="F10967" s="5">
        <v>222.4</v>
      </c>
      <c r="G10967" s="5">
        <v>110.5</v>
      </c>
      <c r="H10967" s="5">
        <v>110.4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112</v>
      </c>
      <c r="D10968" s="5">
        <v>0.1</v>
      </c>
      <c r="E10968" s="5">
        <v>112.1</v>
      </c>
      <c r="F10968" s="5">
        <v>222.4</v>
      </c>
      <c r="G10968" s="5">
        <v>110.5</v>
      </c>
      <c r="H10968" s="5">
        <v>110.4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112</v>
      </c>
      <c r="D10969" s="5">
        <v>0.1</v>
      </c>
      <c r="E10969" s="5">
        <v>112.1</v>
      </c>
      <c r="F10969" s="5">
        <v>222.4</v>
      </c>
      <c r="G10969" s="5">
        <v>110.5</v>
      </c>
      <c r="H10969" s="5">
        <v>110.4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112</v>
      </c>
      <c r="D10970" s="5">
        <v>0.1</v>
      </c>
      <c r="E10970" s="5">
        <v>112.1</v>
      </c>
      <c r="F10970" s="5">
        <v>222.4</v>
      </c>
      <c r="G10970" s="5">
        <v>110.5</v>
      </c>
      <c r="H10970" s="5">
        <v>110.4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112</v>
      </c>
      <c r="D10971" s="5">
        <v>0.1</v>
      </c>
      <c r="E10971" s="5">
        <v>112.1</v>
      </c>
      <c r="F10971" s="5">
        <v>222.4</v>
      </c>
      <c r="G10971" s="5">
        <v>110.5</v>
      </c>
      <c r="H10971" s="5">
        <v>110.4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112</v>
      </c>
      <c r="D10972" s="5">
        <v>0.1</v>
      </c>
      <c r="E10972" s="5">
        <v>112.1</v>
      </c>
      <c r="F10972" s="5">
        <v>222.4</v>
      </c>
      <c r="G10972" s="5">
        <v>110.5</v>
      </c>
      <c r="H10972" s="5">
        <v>110.4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112</v>
      </c>
      <c r="D10973" s="5">
        <v>0.1</v>
      </c>
      <c r="E10973" s="5">
        <v>112.1</v>
      </c>
      <c r="F10973" s="5">
        <v>222.4</v>
      </c>
      <c r="G10973" s="5">
        <v>110.5</v>
      </c>
      <c r="H10973" s="5">
        <v>110.4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112</v>
      </c>
      <c r="D10974" s="5">
        <v>0.1</v>
      </c>
      <c r="E10974" s="5">
        <v>112.1</v>
      </c>
      <c r="F10974" s="5">
        <v>222.4</v>
      </c>
      <c r="G10974" s="5">
        <v>110.5</v>
      </c>
      <c r="H10974" s="5">
        <v>110.4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112</v>
      </c>
      <c r="D10975" s="5">
        <v>0.1</v>
      </c>
      <c r="E10975" s="5">
        <v>112.1</v>
      </c>
      <c r="F10975" s="5">
        <v>222.4</v>
      </c>
      <c r="G10975" s="5">
        <v>110.5</v>
      </c>
      <c r="H10975" s="5">
        <v>110.4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112</v>
      </c>
      <c r="D10976" s="5">
        <v>0.1</v>
      </c>
      <c r="E10976" s="5">
        <v>112.1</v>
      </c>
      <c r="F10976" s="5">
        <v>222.4</v>
      </c>
      <c r="G10976" s="5">
        <v>110.5</v>
      </c>
      <c r="H10976" s="5">
        <v>110.4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112</v>
      </c>
      <c r="D10977" s="5">
        <v>0.1</v>
      </c>
      <c r="E10977" s="5">
        <v>112.1</v>
      </c>
      <c r="F10977" s="5">
        <v>222.4</v>
      </c>
      <c r="G10977" s="5">
        <v>110.5</v>
      </c>
      <c r="H10977" s="5">
        <v>110.4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112</v>
      </c>
      <c r="D10978" s="5">
        <v>0.1</v>
      </c>
      <c r="E10978" s="5">
        <v>112.1</v>
      </c>
      <c r="F10978" s="5">
        <v>222.4</v>
      </c>
      <c r="G10978" s="5">
        <v>110.5</v>
      </c>
      <c r="H10978" s="5">
        <v>110.4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112</v>
      </c>
      <c r="D10979" s="5">
        <v>0.1</v>
      </c>
      <c r="E10979" s="5">
        <v>112.1</v>
      </c>
      <c r="F10979" s="5">
        <v>222.4</v>
      </c>
      <c r="G10979" s="5">
        <v>110.5</v>
      </c>
      <c r="H10979" s="5">
        <v>110.4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112</v>
      </c>
      <c r="D10980" s="5">
        <v>0.1</v>
      </c>
      <c r="E10980" s="5">
        <v>112.1</v>
      </c>
      <c r="F10980" s="5">
        <v>222.4</v>
      </c>
      <c r="G10980" s="5">
        <v>110.5</v>
      </c>
      <c r="H10980" s="5">
        <v>110.4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112</v>
      </c>
      <c r="D10981" s="5">
        <v>0.1</v>
      </c>
      <c r="E10981" s="5">
        <v>112.1</v>
      </c>
      <c r="F10981" s="5">
        <v>222.4</v>
      </c>
      <c r="G10981" s="5">
        <v>110.5</v>
      </c>
      <c r="H10981" s="5">
        <v>110.4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112</v>
      </c>
      <c r="D10982" s="5">
        <v>0.1</v>
      </c>
      <c r="E10982" s="5">
        <v>112.1</v>
      </c>
      <c r="F10982" s="5">
        <v>222.4</v>
      </c>
      <c r="G10982" s="5">
        <v>110.5</v>
      </c>
      <c r="H10982" s="5">
        <v>110.4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112</v>
      </c>
      <c r="D10983" s="5">
        <v>0.1</v>
      </c>
      <c r="E10983" s="5">
        <v>112.1</v>
      </c>
      <c r="F10983" s="5">
        <v>222.4</v>
      </c>
      <c r="G10983" s="5">
        <v>110.5</v>
      </c>
      <c r="H10983" s="5">
        <v>110.4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112</v>
      </c>
      <c r="D10984" s="5">
        <v>0.1</v>
      </c>
      <c r="E10984" s="5">
        <v>112.1</v>
      </c>
      <c r="F10984" s="5">
        <v>222.4</v>
      </c>
      <c r="G10984" s="5">
        <v>110.5</v>
      </c>
      <c r="H10984" s="5">
        <v>110.4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112</v>
      </c>
      <c r="D10985" s="5">
        <v>0.1</v>
      </c>
      <c r="E10985" s="5">
        <v>112.1</v>
      </c>
      <c r="F10985" s="5">
        <v>222.4</v>
      </c>
      <c r="G10985" s="5">
        <v>110.5</v>
      </c>
      <c r="H10985" s="5">
        <v>110.4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112</v>
      </c>
      <c r="D10986" s="5">
        <v>0.1</v>
      </c>
      <c r="E10986" s="5">
        <v>112.1</v>
      </c>
      <c r="F10986" s="5">
        <v>222.4</v>
      </c>
      <c r="G10986" s="5">
        <v>110.5</v>
      </c>
      <c r="H10986" s="5">
        <v>110.4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112</v>
      </c>
      <c r="D10987" s="5">
        <v>0.1</v>
      </c>
      <c r="E10987" s="5">
        <v>112.1</v>
      </c>
      <c r="F10987" s="5">
        <v>222.4</v>
      </c>
      <c r="G10987" s="5">
        <v>110.5</v>
      </c>
      <c r="H10987" s="5">
        <v>110.4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112</v>
      </c>
      <c r="D10988" s="5">
        <v>0.1</v>
      </c>
      <c r="E10988" s="5">
        <v>112.1</v>
      </c>
      <c r="F10988" s="5">
        <v>222.4</v>
      </c>
      <c r="G10988" s="5">
        <v>110.5</v>
      </c>
      <c r="H10988" s="5">
        <v>110.4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112</v>
      </c>
      <c r="D10989" s="5">
        <v>0.1</v>
      </c>
      <c r="E10989" s="5">
        <v>112.1</v>
      </c>
      <c r="F10989" s="5">
        <v>222.4</v>
      </c>
      <c r="G10989" s="5">
        <v>110.5</v>
      </c>
      <c r="H10989" s="5">
        <v>110.4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112</v>
      </c>
      <c r="D10990" s="5">
        <v>0.1</v>
      </c>
      <c r="E10990" s="5">
        <v>112.1</v>
      </c>
      <c r="F10990" s="5">
        <v>222.4</v>
      </c>
      <c r="G10990" s="5">
        <v>110.5</v>
      </c>
      <c r="H10990" s="5">
        <v>110.4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112</v>
      </c>
      <c r="D10991" s="5">
        <v>0.1</v>
      </c>
      <c r="E10991" s="5">
        <v>112.1</v>
      </c>
      <c r="F10991" s="5">
        <v>222.4</v>
      </c>
      <c r="G10991" s="5">
        <v>110.5</v>
      </c>
      <c r="H10991" s="5">
        <v>110.4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112</v>
      </c>
      <c r="D10992" s="5">
        <v>0.1</v>
      </c>
      <c r="E10992" s="5">
        <v>112.1</v>
      </c>
      <c r="F10992" s="5">
        <v>222.4</v>
      </c>
      <c r="G10992" s="5">
        <v>110.5</v>
      </c>
      <c r="H10992" s="5">
        <v>110.4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112</v>
      </c>
      <c r="D10993" s="5">
        <v>0.1</v>
      </c>
      <c r="E10993" s="5">
        <v>112.1</v>
      </c>
      <c r="F10993" s="5">
        <v>222.4</v>
      </c>
      <c r="G10993" s="5">
        <v>110.5</v>
      </c>
      <c r="H10993" s="5">
        <v>110.4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112</v>
      </c>
      <c r="D10994" s="5">
        <v>0.1</v>
      </c>
      <c r="E10994" s="5">
        <v>112.1</v>
      </c>
      <c r="F10994" s="5">
        <v>222.4</v>
      </c>
      <c r="G10994" s="5">
        <v>110.5</v>
      </c>
      <c r="H10994" s="5">
        <v>110.4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112</v>
      </c>
      <c r="D10995" s="5">
        <v>0.1</v>
      </c>
      <c r="E10995" s="5">
        <v>112.1</v>
      </c>
      <c r="F10995" s="5">
        <v>222.4</v>
      </c>
      <c r="G10995" s="5">
        <v>110.5</v>
      </c>
      <c r="H10995" s="5">
        <v>110.4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112</v>
      </c>
      <c r="D10996" s="5">
        <v>0.1</v>
      </c>
      <c r="E10996" s="5">
        <v>112.1</v>
      </c>
      <c r="F10996" s="5">
        <v>222.4</v>
      </c>
      <c r="G10996" s="5">
        <v>110.5</v>
      </c>
      <c r="H10996" s="5">
        <v>110.4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112</v>
      </c>
      <c r="D10997" s="5">
        <v>0.1</v>
      </c>
      <c r="E10997" s="5">
        <v>112.1</v>
      </c>
      <c r="F10997" s="5">
        <v>222.4</v>
      </c>
      <c r="G10997" s="5">
        <v>110.5</v>
      </c>
      <c r="H10997" s="5">
        <v>110.4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112</v>
      </c>
      <c r="D10998" s="5">
        <v>0.1</v>
      </c>
      <c r="E10998" s="5">
        <v>112.1</v>
      </c>
      <c r="F10998" s="5">
        <v>222.4</v>
      </c>
      <c r="G10998" s="5">
        <v>110.5</v>
      </c>
      <c r="H10998" s="5">
        <v>110.4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112</v>
      </c>
      <c r="D10999" s="5">
        <v>0.1</v>
      </c>
      <c r="E10999" s="5">
        <v>112.1</v>
      </c>
      <c r="F10999" s="5">
        <v>222.4</v>
      </c>
      <c r="G10999" s="5">
        <v>110.5</v>
      </c>
      <c r="H10999" s="5">
        <v>110.4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112</v>
      </c>
      <c r="D11000" s="5">
        <v>0.1</v>
      </c>
      <c r="E11000" s="5">
        <v>112.1</v>
      </c>
      <c r="F11000" s="5">
        <v>222.4</v>
      </c>
      <c r="G11000" s="5">
        <v>110.5</v>
      </c>
      <c r="H11000" s="5">
        <v>110.4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112</v>
      </c>
      <c r="D11001" s="5">
        <v>0.1</v>
      </c>
      <c r="E11001" s="5">
        <v>112.1</v>
      </c>
      <c r="F11001" s="5">
        <v>222.4</v>
      </c>
      <c r="G11001" s="5">
        <v>110.5</v>
      </c>
      <c r="H11001" s="5">
        <v>110.4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112</v>
      </c>
      <c r="D11002" s="5">
        <v>0.1</v>
      </c>
      <c r="E11002" s="5">
        <v>112.1</v>
      </c>
      <c r="F11002" s="5">
        <v>222.4</v>
      </c>
      <c r="G11002" s="5">
        <v>110.5</v>
      </c>
      <c r="H11002" s="5">
        <v>110.4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112</v>
      </c>
      <c r="D11003" s="5">
        <v>0.1</v>
      </c>
      <c r="E11003" s="5">
        <v>112.1</v>
      </c>
      <c r="F11003" s="5">
        <v>222.4</v>
      </c>
      <c r="G11003" s="5">
        <v>110.5</v>
      </c>
      <c r="H11003" s="5">
        <v>110.4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112</v>
      </c>
      <c r="D11004" s="5">
        <v>0.1</v>
      </c>
      <c r="E11004" s="5">
        <v>112.1</v>
      </c>
      <c r="F11004" s="5">
        <v>222.4</v>
      </c>
      <c r="G11004" s="5">
        <v>110.5</v>
      </c>
      <c r="H11004" s="5">
        <v>110.4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112</v>
      </c>
      <c r="D11005" s="5">
        <v>0.1</v>
      </c>
      <c r="E11005" s="5">
        <v>112.1</v>
      </c>
      <c r="F11005" s="5">
        <v>222.4</v>
      </c>
      <c r="G11005" s="5">
        <v>110.5</v>
      </c>
      <c r="H11005" s="5">
        <v>110.4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112</v>
      </c>
      <c r="D11006" s="5">
        <v>0.1</v>
      </c>
      <c r="E11006" s="5">
        <v>112.1</v>
      </c>
      <c r="F11006" s="5">
        <v>222.4</v>
      </c>
      <c r="G11006" s="5">
        <v>110.5</v>
      </c>
      <c r="H11006" s="5">
        <v>110.4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112</v>
      </c>
      <c r="D11007" s="5">
        <v>0.1</v>
      </c>
      <c r="E11007" s="5">
        <v>112.1</v>
      </c>
      <c r="F11007" s="5">
        <v>222.4</v>
      </c>
      <c r="G11007" s="5">
        <v>110.5</v>
      </c>
      <c r="H11007" s="5">
        <v>110.4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112</v>
      </c>
      <c r="D11008" s="5">
        <v>0.1</v>
      </c>
      <c r="E11008" s="5">
        <v>112.1</v>
      </c>
      <c r="F11008" s="5">
        <v>222.4</v>
      </c>
      <c r="G11008" s="5">
        <v>110.5</v>
      </c>
      <c r="H11008" s="5">
        <v>110.4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112</v>
      </c>
      <c r="D11009" s="5">
        <v>0.1</v>
      </c>
      <c r="E11009" s="5">
        <v>112.1</v>
      </c>
      <c r="F11009" s="5">
        <v>222.4</v>
      </c>
      <c r="G11009" s="5">
        <v>110.5</v>
      </c>
      <c r="H11009" s="5">
        <v>110.4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112</v>
      </c>
      <c r="D11010" s="5">
        <v>0.1</v>
      </c>
      <c r="E11010" s="5">
        <v>112.1</v>
      </c>
      <c r="F11010" s="5">
        <v>222.4</v>
      </c>
      <c r="G11010" s="5">
        <v>110.5</v>
      </c>
      <c r="H11010" s="5">
        <v>110.4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112</v>
      </c>
      <c r="D11011" s="5">
        <v>0.1</v>
      </c>
      <c r="E11011" s="5">
        <v>112.1</v>
      </c>
      <c r="F11011" s="5">
        <v>222.4</v>
      </c>
      <c r="G11011" s="5">
        <v>110.5</v>
      </c>
      <c r="H11011" s="5">
        <v>110.4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112</v>
      </c>
      <c r="D11012" s="5">
        <v>0.1</v>
      </c>
      <c r="E11012" s="5">
        <v>112.1</v>
      </c>
      <c r="F11012" s="5">
        <v>222.4</v>
      </c>
      <c r="G11012" s="5">
        <v>110.5</v>
      </c>
      <c r="H11012" s="5">
        <v>110.4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112</v>
      </c>
      <c r="D11013" s="5">
        <v>0.1</v>
      </c>
      <c r="E11013" s="5">
        <v>112.1</v>
      </c>
      <c r="F11013" s="5">
        <v>222.4</v>
      </c>
      <c r="G11013" s="5">
        <v>110.5</v>
      </c>
      <c r="H11013" s="5">
        <v>110.4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112</v>
      </c>
      <c r="D11014" s="5">
        <v>0.1</v>
      </c>
      <c r="E11014" s="5">
        <v>112.1</v>
      </c>
      <c r="F11014" s="5">
        <v>222.4</v>
      </c>
      <c r="G11014" s="5">
        <v>110.5</v>
      </c>
      <c r="H11014" s="5">
        <v>110.4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112</v>
      </c>
      <c r="D11015" s="5">
        <v>0.1</v>
      </c>
      <c r="E11015" s="5">
        <v>112.1</v>
      </c>
      <c r="F11015" s="5">
        <v>222.4</v>
      </c>
      <c r="G11015" s="5">
        <v>110.5</v>
      </c>
      <c r="H11015" s="5">
        <v>110.4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112</v>
      </c>
      <c r="D11016" s="5">
        <v>0.1</v>
      </c>
      <c r="E11016" s="5">
        <v>112.1</v>
      </c>
      <c r="F11016" s="5">
        <v>222.4</v>
      </c>
      <c r="G11016" s="5">
        <v>110.5</v>
      </c>
      <c r="H11016" s="5">
        <v>110.4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112</v>
      </c>
      <c r="D11017" s="5">
        <v>0.1</v>
      </c>
      <c r="E11017" s="5">
        <v>112.1</v>
      </c>
      <c r="F11017" s="5">
        <v>222.4</v>
      </c>
      <c r="G11017" s="5">
        <v>110.5</v>
      </c>
      <c r="H11017" s="5">
        <v>110.4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112</v>
      </c>
      <c r="D11018" s="5">
        <v>0.1</v>
      </c>
      <c r="E11018" s="5">
        <v>112.1</v>
      </c>
      <c r="F11018" s="5">
        <v>222.4</v>
      </c>
      <c r="G11018" s="5">
        <v>110.5</v>
      </c>
      <c r="H11018" s="5">
        <v>110.4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112</v>
      </c>
      <c r="D11019" s="5">
        <v>0.1</v>
      </c>
      <c r="E11019" s="5">
        <v>112.1</v>
      </c>
      <c r="F11019" s="5">
        <v>222.4</v>
      </c>
      <c r="G11019" s="5">
        <v>110.5</v>
      </c>
      <c r="H11019" s="5">
        <v>110.4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112</v>
      </c>
      <c r="D11020" s="5">
        <v>0.1</v>
      </c>
      <c r="E11020" s="5">
        <v>112.1</v>
      </c>
      <c r="F11020" s="5">
        <v>222.4</v>
      </c>
      <c r="G11020" s="5">
        <v>110.5</v>
      </c>
      <c r="H11020" s="5">
        <v>110.4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112</v>
      </c>
      <c r="D11021" s="5">
        <v>0.1</v>
      </c>
      <c r="E11021" s="5">
        <v>112.1</v>
      </c>
      <c r="F11021" s="5">
        <v>222.4</v>
      </c>
      <c r="G11021" s="5">
        <v>110.5</v>
      </c>
      <c r="H11021" s="5">
        <v>110.4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112</v>
      </c>
      <c r="D11022" s="5">
        <v>0.1</v>
      </c>
      <c r="E11022" s="5">
        <v>112.1</v>
      </c>
      <c r="F11022" s="5">
        <v>222.4</v>
      </c>
      <c r="G11022" s="5">
        <v>110.5</v>
      </c>
      <c r="H11022" s="5">
        <v>110.4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112</v>
      </c>
      <c r="D11023" s="5">
        <v>0.1</v>
      </c>
      <c r="E11023" s="5">
        <v>112.1</v>
      </c>
      <c r="F11023" s="5">
        <v>222.4</v>
      </c>
      <c r="G11023" s="5">
        <v>110.5</v>
      </c>
      <c r="H11023" s="5">
        <v>110.4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112</v>
      </c>
      <c r="D11024" s="5">
        <v>0.1</v>
      </c>
      <c r="E11024" s="5">
        <v>112.1</v>
      </c>
      <c r="F11024" s="5">
        <v>222.4</v>
      </c>
      <c r="G11024" s="5">
        <v>110.5</v>
      </c>
      <c r="H11024" s="5">
        <v>110.4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112</v>
      </c>
      <c r="D11025" s="5">
        <v>0.1</v>
      </c>
      <c r="E11025" s="5">
        <v>112.1</v>
      </c>
      <c r="F11025" s="5">
        <v>222.4</v>
      </c>
      <c r="G11025" s="5">
        <v>110.5</v>
      </c>
      <c r="H11025" s="5">
        <v>110.4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112</v>
      </c>
      <c r="D11026" s="5">
        <v>0.1</v>
      </c>
      <c r="E11026" s="5">
        <v>112.1</v>
      </c>
      <c r="F11026" s="5">
        <v>222.4</v>
      </c>
      <c r="G11026" s="5">
        <v>110.5</v>
      </c>
      <c r="H11026" s="5">
        <v>110.4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112</v>
      </c>
      <c r="D11027" s="5">
        <v>0.1</v>
      </c>
      <c r="E11027" s="5">
        <v>112.1</v>
      </c>
      <c r="F11027" s="5">
        <v>222.4</v>
      </c>
      <c r="G11027" s="5">
        <v>110.5</v>
      </c>
      <c r="H11027" s="5">
        <v>110.4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112</v>
      </c>
      <c r="D11028" s="5">
        <v>0.1</v>
      </c>
      <c r="E11028" s="5">
        <v>112.1</v>
      </c>
      <c r="F11028" s="5">
        <v>222.4</v>
      </c>
      <c r="G11028" s="5">
        <v>110.5</v>
      </c>
      <c r="H11028" s="5">
        <v>110.4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112</v>
      </c>
      <c r="D11029" s="5">
        <v>0.1</v>
      </c>
      <c r="E11029" s="5">
        <v>112.1</v>
      </c>
      <c r="F11029" s="5">
        <v>222.4</v>
      </c>
      <c r="G11029" s="5">
        <v>110.5</v>
      </c>
      <c r="H11029" s="5">
        <v>110.4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112</v>
      </c>
      <c r="D11030" s="5">
        <v>0.1</v>
      </c>
      <c r="E11030" s="5">
        <v>112.1</v>
      </c>
      <c r="F11030" s="5">
        <v>222.4</v>
      </c>
      <c r="G11030" s="5">
        <v>110.5</v>
      </c>
      <c r="H11030" s="5">
        <v>110.4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112</v>
      </c>
      <c r="D11031" s="5">
        <v>0.1</v>
      </c>
      <c r="E11031" s="5">
        <v>112.1</v>
      </c>
      <c r="F11031" s="5">
        <v>222.4</v>
      </c>
      <c r="G11031" s="5">
        <v>110.5</v>
      </c>
      <c r="H11031" s="5">
        <v>110.4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112</v>
      </c>
      <c r="D11032" s="5">
        <v>0.1</v>
      </c>
      <c r="E11032" s="5">
        <v>112.1</v>
      </c>
      <c r="F11032" s="5">
        <v>222.4</v>
      </c>
      <c r="G11032" s="5">
        <v>110.5</v>
      </c>
      <c r="H11032" s="5">
        <v>110.4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112</v>
      </c>
      <c r="D11033" s="5">
        <v>0.1</v>
      </c>
      <c r="E11033" s="5">
        <v>112.1</v>
      </c>
      <c r="F11033" s="5">
        <v>222.4</v>
      </c>
      <c r="G11033" s="5">
        <v>110.5</v>
      </c>
      <c r="H11033" s="5">
        <v>110.4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112</v>
      </c>
      <c r="D11034" s="5">
        <v>0.1</v>
      </c>
      <c r="E11034" s="5">
        <v>112.1</v>
      </c>
      <c r="F11034" s="5">
        <v>222.4</v>
      </c>
      <c r="G11034" s="5">
        <v>110.5</v>
      </c>
      <c r="H11034" s="5">
        <v>110.4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112</v>
      </c>
      <c r="D11035" s="5">
        <v>0.1</v>
      </c>
      <c r="E11035" s="5">
        <v>112.1</v>
      </c>
      <c r="F11035" s="5">
        <v>222.4</v>
      </c>
      <c r="G11035" s="5">
        <v>110.5</v>
      </c>
      <c r="H11035" s="5">
        <v>110.4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112</v>
      </c>
      <c r="D11036" s="5">
        <v>0.1</v>
      </c>
      <c r="E11036" s="5">
        <v>112.1</v>
      </c>
      <c r="F11036" s="5">
        <v>222.4</v>
      </c>
      <c r="G11036" s="5">
        <v>110.5</v>
      </c>
      <c r="H11036" s="5">
        <v>110.4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112</v>
      </c>
      <c r="D11037" s="5">
        <v>0.1</v>
      </c>
      <c r="E11037" s="5">
        <v>112.1</v>
      </c>
      <c r="F11037" s="5">
        <v>222.4</v>
      </c>
      <c r="G11037" s="5">
        <v>110.5</v>
      </c>
      <c r="H11037" s="5">
        <v>110.4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112</v>
      </c>
      <c r="D11038" s="5">
        <v>0.1</v>
      </c>
      <c r="E11038" s="5">
        <v>112.1</v>
      </c>
      <c r="F11038" s="5">
        <v>222.4</v>
      </c>
      <c r="G11038" s="5">
        <v>110.5</v>
      </c>
      <c r="H11038" s="5">
        <v>110.4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112</v>
      </c>
      <c r="D11039" s="5">
        <v>0.1</v>
      </c>
      <c r="E11039" s="5">
        <v>112.1</v>
      </c>
      <c r="F11039" s="5">
        <v>222.4</v>
      </c>
      <c r="G11039" s="5">
        <v>110.5</v>
      </c>
      <c r="H11039" s="5">
        <v>110.4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112</v>
      </c>
      <c r="D11040" s="5">
        <v>0.1</v>
      </c>
      <c r="E11040" s="5">
        <v>112.1</v>
      </c>
      <c r="F11040" s="5">
        <v>222.4</v>
      </c>
      <c r="G11040" s="5">
        <v>110.5</v>
      </c>
      <c r="H11040" s="5">
        <v>110.4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112</v>
      </c>
      <c r="D11041" s="5">
        <v>0.1</v>
      </c>
      <c r="E11041" s="5">
        <v>112.1</v>
      </c>
      <c r="F11041" s="5">
        <v>222.4</v>
      </c>
      <c r="G11041" s="5">
        <v>110.5</v>
      </c>
      <c r="H11041" s="5">
        <v>110.4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112</v>
      </c>
      <c r="D11042" s="5">
        <v>0.1</v>
      </c>
      <c r="E11042" s="5">
        <v>112.1</v>
      </c>
      <c r="F11042" s="5">
        <v>222.4</v>
      </c>
      <c r="G11042" s="5">
        <v>110.5</v>
      </c>
      <c r="H11042" s="5">
        <v>110.4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112</v>
      </c>
      <c r="D11043" s="5">
        <v>0.1</v>
      </c>
      <c r="E11043" s="5">
        <v>112.1</v>
      </c>
      <c r="F11043" s="5">
        <v>222.4</v>
      </c>
      <c r="G11043" s="5">
        <v>110.5</v>
      </c>
      <c r="H11043" s="5">
        <v>110.4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112</v>
      </c>
      <c r="D11044" s="5">
        <v>0.1</v>
      </c>
      <c r="E11044" s="5">
        <v>112.1</v>
      </c>
      <c r="F11044" s="5">
        <v>222.4</v>
      </c>
      <c r="G11044" s="5">
        <v>110.5</v>
      </c>
      <c r="H11044" s="5">
        <v>110.4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112</v>
      </c>
      <c r="D11045" s="5">
        <v>0.1</v>
      </c>
      <c r="E11045" s="5">
        <v>112.1</v>
      </c>
      <c r="F11045" s="5">
        <v>222.4</v>
      </c>
      <c r="G11045" s="5">
        <v>110.5</v>
      </c>
      <c r="H11045" s="5">
        <v>110.4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112</v>
      </c>
      <c r="D11046" s="5">
        <v>0.1</v>
      </c>
      <c r="E11046" s="5">
        <v>112.1</v>
      </c>
      <c r="F11046" s="5">
        <v>222.4</v>
      </c>
      <c r="G11046" s="5">
        <v>110.5</v>
      </c>
      <c r="H11046" s="5">
        <v>110.4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112</v>
      </c>
      <c r="D11047" s="5">
        <v>0.1</v>
      </c>
      <c r="E11047" s="5">
        <v>112.1</v>
      </c>
      <c r="F11047" s="5">
        <v>222.4</v>
      </c>
      <c r="G11047" s="5">
        <v>110.5</v>
      </c>
      <c r="H11047" s="5">
        <v>110.4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112</v>
      </c>
      <c r="D11048" s="5">
        <v>0.1</v>
      </c>
      <c r="E11048" s="5">
        <v>112.1</v>
      </c>
      <c r="F11048" s="5">
        <v>222.4</v>
      </c>
      <c r="G11048" s="5">
        <v>110.5</v>
      </c>
      <c r="H11048" s="5">
        <v>110.4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112</v>
      </c>
      <c r="D11049" s="5">
        <v>0.1</v>
      </c>
      <c r="E11049" s="5">
        <v>112.1</v>
      </c>
      <c r="F11049" s="5">
        <v>222.4</v>
      </c>
      <c r="G11049" s="5">
        <v>110.5</v>
      </c>
      <c r="H11049" s="5">
        <v>110.4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112</v>
      </c>
      <c r="D11050" s="5">
        <v>0.1</v>
      </c>
      <c r="E11050" s="5">
        <v>112.1</v>
      </c>
      <c r="F11050" s="5">
        <v>222.4</v>
      </c>
      <c r="G11050" s="5">
        <v>110.5</v>
      </c>
      <c r="H11050" s="5">
        <v>110.4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112</v>
      </c>
      <c r="D11051" s="5">
        <v>0.1</v>
      </c>
      <c r="E11051" s="5">
        <v>112.1</v>
      </c>
      <c r="F11051" s="5">
        <v>222.4</v>
      </c>
      <c r="G11051" s="5">
        <v>110.5</v>
      </c>
      <c r="H11051" s="5">
        <v>110.4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112</v>
      </c>
      <c r="D11052" s="5">
        <v>0.1</v>
      </c>
      <c r="E11052" s="5">
        <v>112.1</v>
      </c>
      <c r="F11052" s="5">
        <v>222.4</v>
      </c>
      <c r="G11052" s="5">
        <v>110.5</v>
      </c>
      <c r="H11052" s="5">
        <v>110.4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112</v>
      </c>
      <c r="D11053" s="5">
        <v>0.1</v>
      </c>
      <c r="E11053" s="5">
        <v>112.1</v>
      </c>
      <c r="F11053" s="5">
        <v>222.4</v>
      </c>
      <c r="G11053" s="5">
        <v>110.5</v>
      </c>
      <c r="H11053" s="5">
        <v>110.4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112</v>
      </c>
      <c r="D11054" s="5">
        <v>0.1</v>
      </c>
      <c r="E11054" s="5">
        <v>112.1</v>
      </c>
      <c r="F11054" s="5">
        <v>222.4</v>
      </c>
      <c r="G11054" s="5">
        <v>110.5</v>
      </c>
      <c r="H11054" s="5">
        <v>110.4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112</v>
      </c>
      <c r="D11055" s="5">
        <v>0.1</v>
      </c>
      <c r="E11055" s="5">
        <v>112.1</v>
      </c>
      <c r="F11055" s="5">
        <v>222.4</v>
      </c>
      <c r="G11055" s="5">
        <v>110.5</v>
      </c>
      <c r="H11055" s="5">
        <v>110.4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112</v>
      </c>
      <c r="D11056" s="5">
        <v>0.1</v>
      </c>
      <c r="E11056" s="5">
        <v>112.1</v>
      </c>
      <c r="F11056" s="5">
        <v>222.4</v>
      </c>
      <c r="G11056" s="5">
        <v>110.5</v>
      </c>
      <c r="H11056" s="5">
        <v>110.4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112</v>
      </c>
      <c r="D11057" s="5">
        <v>0.1</v>
      </c>
      <c r="E11057" s="5">
        <v>112.1</v>
      </c>
      <c r="F11057" s="5">
        <v>222.4</v>
      </c>
      <c r="G11057" s="5">
        <v>110.5</v>
      </c>
      <c r="H11057" s="5">
        <v>110.4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112</v>
      </c>
      <c r="D11058" s="5">
        <v>0.1</v>
      </c>
      <c r="E11058" s="5">
        <v>112.1</v>
      </c>
      <c r="F11058" s="5">
        <v>222.4</v>
      </c>
      <c r="G11058" s="5">
        <v>110.5</v>
      </c>
      <c r="H11058" s="5">
        <v>110.4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112</v>
      </c>
      <c r="D11059" s="5">
        <v>0.1</v>
      </c>
      <c r="E11059" s="5">
        <v>112.1</v>
      </c>
      <c r="F11059" s="5">
        <v>222.4</v>
      </c>
      <c r="G11059" s="5">
        <v>110.5</v>
      </c>
      <c r="H11059" s="5">
        <v>110.4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112</v>
      </c>
      <c r="D11060" s="5">
        <v>0.1</v>
      </c>
      <c r="E11060" s="5">
        <v>112.1</v>
      </c>
      <c r="F11060" s="5">
        <v>222.4</v>
      </c>
      <c r="G11060" s="5">
        <v>110.5</v>
      </c>
      <c r="H11060" s="5">
        <v>110.4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112</v>
      </c>
      <c r="D11061" s="5">
        <v>0.1</v>
      </c>
      <c r="E11061" s="5">
        <v>112.1</v>
      </c>
      <c r="F11061" s="5">
        <v>222.4</v>
      </c>
      <c r="G11061" s="5">
        <v>110.5</v>
      </c>
      <c r="H11061" s="5">
        <v>110.4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112</v>
      </c>
      <c r="D11062" s="5">
        <v>0.1</v>
      </c>
      <c r="E11062" s="5">
        <v>112.1</v>
      </c>
      <c r="F11062" s="5">
        <v>222.4</v>
      </c>
      <c r="G11062" s="5">
        <v>110.5</v>
      </c>
      <c r="H11062" s="5">
        <v>110.4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112</v>
      </c>
      <c r="D11063" s="5">
        <v>0.1</v>
      </c>
      <c r="E11063" s="5">
        <v>112.1</v>
      </c>
      <c r="F11063" s="5">
        <v>222.4</v>
      </c>
      <c r="G11063" s="5">
        <v>110.5</v>
      </c>
      <c r="H11063" s="5">
        <v>110.4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112</v>
      </c>
      <c r="D11064" s="5">
        <v>0.1</v>
      </c>
      <c r="E11064" s="5">
        <v>112.1</v>
      </c>
      <c r="F11064" s="5">
        <v>222.4</v>
      </c>
      <c r="G11064" s="5">
        <v>110.5</v>
      </c>
      <c r="H11064" s="5">
        <v>110.4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112</v>
      </c>
      <c r="D11065" s="5">
        <v>0.1</v>
      </c>
      <c r="E11065" s="5">
        <v>112.1</v>
      </c>
      <c r="F11065" s="5">
        <v>222.4</v>
      </c>
      <c r="G11065" s="5">
        <v>110.5</v>
      </c>
      <c r="H11065" s="5">
        <v>110.4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112</v>
      </c>
      <c r="D11066" s="5">
        <v>0.1</v>
      </c>
      <c r="E11066" s="5">
        <v>112.1</v>
      </c>
      <c r="F11066" s="5">
        <v>222.4</v>
      </c>
      <c r="G11066" s="5">
        <v>110.5</v>
      </c>
      <c r="H11066" s="5">
        <v>110.4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112</v>
      </c>
      <c r="D11067" s="5">
        <v>0.1</v>
      </c>
      <c r="E11067" s="5">
        <v>112.1</v>
      </c>
      <c r="F11067" s="5">
        <v>222.4</v>
      </c>
      <c r="G11067" s="5">
        <v>110.5</v>
      </c>
      <c r="H11067" s="5">
        <v>110.4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112</v>
      </c>
      <c r="D11068" s="5">
        <v>0.1</v>
      </c>
      <c r="E11068" s="5">
        <v>112.1</v>
      </c>
      <c r="F11068" s="5">
        <v>222.4</v>
      </c>
      <c r="G11068" s="5">
        <v>110.5</v>
      </c>
      <c r="H11068" s="5">
        <v>110.4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112</v>
      </c>
      <c r="D11069" s="5">
        <v>0.1</v>
      </c>
      <c r="E11069" s="5">
        <v>112.1</v>
      </c>
      <c r="F11069" s="5">
        <v>222.4</v>
      </c>
      <c r="G11069" s="5">
        <v>110.5</v>
      </c>
      <c r="H11069" s="5">
        <v>110.4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112</v>
      </c>
      <c r="D11070" s="5">
        <v>0.1</v>
      </c>
      <c r="E11070" s="5">
        <v>112.1</v>
      </c>
      <c r="F11070" s="5">
        <v>222.4</v>
      </c>
      <c r="G11070" s="5">
        <v>110.5</v>
      </c>
      <c r="H11070" s="5">
        <v>110.4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112</v>
      </c>
      <c r="D11071" s="5">
        <v>0.1</v>
      </c>
      <c r="E11071" s="5">
        <v>112.1</v>
      </c>
      <c r="F11071" s="5">
        <v>222.4</v>
      </c>
      <c r="G11071" s="5">
        <v>110.5</v>
      </c>
      <c r="H11071" s="5">
        <v>110.4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112</v>
      </c>
      <c r="D11072" s="5">
        <v>0.1</v>
      </c>
      <c r="E11072" s="5">
        <v>112.1</v>
      </c>
      <c r="F11072" s="5">
        <v>222.4</v>
      </c>
      <c r="G11072" s="5">
        <v>110.5</v>
      </c>
      <c r="H11072" s="5">
        <v>110.4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112</v>
      </c>
      <c r="D11073" s="5">
        <v>0.1</v>
      </c>
      <c r="E11073" s="5">
        <v>112.1</v>
      </c>
      <c r="F11073" s="5">
        <v>222.4</v>
      </c>
      <c r="G11073" s="5">
        <v>110.5</v>
      </c>
      <c r="H11073" s="5">
        <v>110.4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112</v>
      </c>
      <c r="D11074" s="5">
        <v>0.1</v>
      </c>
      <c r="E11074" s="5">
        <v>112.1</v>
      </c>
      <c r="F11074" s="5">
        <v>222.4</v>
      </c>
      <c r="G11074" s="5">
        <v>110.5</v>
      </c>
      <c r="H11074" s="5">
        <v>110.4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112</v>
      </c>
      <c r="D11075" s="5">
        <v>0.1</v>
      </c>
      <c r="E11075" s="5">
        <v>112.1</v>
      </c>
      <c r="F11075" s="5">
        <v>222.4</v>
      </c>
      <c r="G11075" s="5">
        <v>110.5</v>
      </c>
      <c r="H11075" s="5">
        <v>110.4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112</v>
      </c>
      <c r="D11076" s="5">
        <v>0.1</v>
      </c>
      <c r="E11076" s="5">
        <v>112.1</v>
      </c>
      <c r="F11076" s="5">
        <v>222.4</v>
      </c>
      <c r="G11076" s="5">
        <v>110.5</v>
      </c>
      <c r="H11076" s="5">
        <v>110.4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112</v>
      </c>
      <c r="D11077" s="5">
        <v>0.1</v>
      </c>
      <c r="E11077" s="5">
        <v>112.1</v>
      </c>
      <c r="F11077" s="5">
        <v>222.4</v>
      </c>
      <c r="G11077" s="5">
        <v>110.5</v>
      </c>
      <c r="H11077" s="5">
        <v>110.4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112</v>
      </c>
      <c r="D11078" s="5">
        <v>0.1</v>
      </c>
      <c r="E11078" s="5">
        <v>112.1</v>
      </c>
      <c r="F11078" s="5">
        <v>222.4</v>
      </c>
      <c r="G11078" s="5">
        <v>110.5</v>
      </c>
      <c r="H11078" s="5">
        <v>110.4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112</v>
      </c>
      <c r="D11079" s="5">
        <v>0.1</v>
      </c>
      <c r="E11079" s="5">
        <v>112.1</v>
      </c>
      <c r="F11079" s="5">
        <v>222.4</v>
      </c>
      <c r="G11079" s="5">
        <v>110.5</v>
      </c>
      <c r="H11079" s="5">
        <v>110.4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112</v>
      </c>
      <c r="D11080" s="5">
        <v>0.1</v>
      </c>
      <c r="E11080" s="5">
        <v>112.1</v>
      </c>
      <c r="F11080" s="5">
        <v>222.4</v>
      </c>
      <c r="G11080" s="5">
        <v>110.5</v>
      </c>
      <c r="H11080" s="5">
        <v>110.4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112</v>
      </c>
      <c r="D11081" s="5">
        <v>0.1</v>
      </c>
      <c r="E11081" s="5">
        <v>112.1</v>
      </c>
      <c r="F11081" s="5">
        <v>222.4</v>
      </c>
      <c r="G11081" s="5">
        <v>110.5</v>
      </c>
      <c r="H11081" s="5">
        <v>110.4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112</v>
      </c>
      <c r="D11082" s="5">
        <v>0.1</v>
      </c>
      <c r="E11082" s="5">
        <v>112.1</v>
      </c>
      <c r="F11082" s="5">
        <v>222.4</v>
      </c>
      <c r="G11082" s="5">
        <v>110.5</v>
      </c>
      <c r="H11082" s="5">
        <v>110.4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112</v>
      </c>
      <c r="D11083" s="5">
        <v>0.1</v>
      </c>
      <c r="E11083" s="5">
        <v>112.1</v>
      </c>
      <c r="F11083" s="5">
        <v>222.4</v>
      </c>
      <c r="G11083" s="5">
        <v>110.5</v>
      </c>
      <c r="H11083" s="5">
        <v>110.4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112</v>
      </c>
      <c r="D11084" s="5">
        <v>0.1</v>
      </c>
      <c r="E11084" s="5">
        <v>112.1</v>
      </c>
      <c r="F11084" s="5">
        <v>222.4</v>
      </c>
      <c r="G11084" s="5">
        <v>110.5</v>
      </c>
      <c r="H11084" s="5">
        <v>110.4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112</v>
      </c>
      <c r="D11085" s="5">
        <v>0.1</v>
      </c>
      <c r="E11085" s="5">
        <v>112.1</v>
      </c>
      <c r="F11085" s="5">
        <v>222.4</v>
      </c>
      <c r="G11085" s="5">
        <v>110.5</v>
      </c>
      <c r="H11085" s="5">
        <v>110.4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112</v>
      </c>
      <c r="D11086" s="5">
        <v>0.1</v>
      </c>
      <c r="E11086" s="5">
        <v>112.1</v>
      </c>
      <c r="F11086" s="5">
        <v>222.4</v>
      </c>
      <c r="G11086" s="5">
        <v>110.5</v>
      </c>
      <c r="H11086" s="5">
        <v>110.4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112</v>
      </c>
      <c r="D11087" s="5">
        <v>0.1</v>
      </c>
      <c r="E11087" s="5">
        <v>112.1</v>
      </c>
      <c r="F11087" s="5">
        <v>222.4</v>
      </c>
      <c r="G11087" s="5">
        <v>110.5</v>
      </c>
      <c r="H11087" s="5">
        <v>110.4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112</v>
      </c>
      <c r="D11088" s="5">
        <v>0.1</v>
      </c>
      <c r="E11088" s="5">
        <v>112.1</v>
      </c>
      <c r="F11088" s="5">
        <v>222.4</v>
      </c>
      <c r="G11088" s="5">
        <v>110.5</v>
      </c>
      <c r="H11088" s="5">
        <v>110.4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112</v>
      </c>
      <c r="D11089" s="5">
        <v>0.1</v>
      </c>
      <c r="E11089" s="5">
        <v>112.1</v>
      </c>
      <c r="F11089" s="5">
        <v>222.4</v>
      </c>
      <c r="G11089" s="5">
        <v>110.5</v>
      </c>
      <c r="H11089" s="5">
        <v>110.4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112</v>
      </c>
      <c r="D11090" s="5">
        <v>0.1</v>
      </c>
      <c r="E11090" s="5">
        <v>112.1</v>
      </c>
      <c r="F11090" s="5">
        <v>222.4</v>
      </c>
      <c r="G11090" s="5">
        <v>110.5</v>
      </c>
      <c r="H11090" s="5">
        <v>110.4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112</v>
      </c>
      <c r="D11091" s="5">
        <v>0.1</v>
      </c>
      <c r="E11091" s="5">
        <v>112.1</v>
      </c>
      <c r="F11091" s="5">
        <v>222.4</v>
      </c>
      <c r="G11091" s="5">
        <v>110.5</v>
      </c>
      <c r="H11091" s="5">
        <v>110.4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112</v>
      </c>
      <c r="D11092" s="5">
        <v>0.1</v>
      </c>
      <c r="E11092" s="5">
        <v>112.1</v>
      </c>
      <c r="F11092" s="5">
        <v>222.4</v>
      </c>
      <c r="G11092" s="5">
        <v>110.5</v>
      </c>
      <c r="H11092" s="5">
        <v>110.4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112</v>
      </c>
      <c r="D11093" s="5">
        <v>0.1</v>
      </c>
      <c r="E11093" s="5">
        <v>112.1</v>
      </c>
      <c r="F11093" s="5">
        <v>222.4</v>
      </c>
      <c r="G11093" s="5">
        <v>110.5</v>
      </c>
      <c r="H11093" s="5">
        <v>110.4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112</v>
      </c>
      <c r="D11094" s="5">
        <v>0.1</v>
      </c>
      <c r="E11094" s="5">
        <v>112.1</v>
      </c>
      <c r="F11094" s="5">
        <v>222.4</v>
      </c>
      <c r="G11094" s="5">
        <v>110.5</v>
      </c>
      <c r="H11094" s="5">
        <v>110.4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112</v>
      </c>
      <c r="D11095" s="5">
        <v>0.1</v>
      </c>
      <c r="E11095" s="5">
        <v>112.1</v>
      </c>
      <c r="F11095" s="5">
        <v>222.4</v>
      </c>
      <c r="G11095" s="5">
        <v>110.5</v>
      </c>
      <c r="H11095" s="5">
        <v>110.4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112</v>
      </c>
      <c r="D11096" s="5">
        <v>0.1</v>
      </c>
      <c r="E11096" s="5">
        <v>112.1</v>
      </c>
      <c r="F11096" s="5">
        <v>222.4</v>
      </c>
      <c r="G11096" s="5">
        <v>110.5</v>
      </c>
      <c r="H11096" s="5">
        <v>110.4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112</v>
      </c>
      <c r="D11097" s="5">
        <v>0.1</v>
      </c>
      <c r="E11097" s="5">
        <v>112.1</v>
      </c>
      <c r="F11097" s="5">
        <v>222.4</v>
      </c>
      <c r="G11097" s="5">
        <v>110.5</v>
      </c>
      <c r="H11097" s="5">
        <v>110.4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112</v>
      </c>
      <c r="D11098" s="5">
        <v>0.1</v>
      </c>
      <c r="E11098" s="5">
        <v>112.1</v>
      </c>
      <c r="F11098" s="5">
        <v>222.4</v>
      </c>
      <c r="G11098" s="5">
        <v>110.5</v>
      </c>
      <c r="H11098" s="5">
        <v>110.4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112</v>
      </c>
      <c r="D11099" s="5">
        <v>0.1</v>
      </c>
      <c r="E11099" s="5">
        <v>112.1</v>
      </c>
      <c r="F11099" s="5">
        <v>222.4</v>
      </c>
      <c r="G11099" s="5">
        <v>110.5</v>
      </c>
      <c r="H11099" s="5">
        <v>110.4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112</v>
      </c>
      <c r="D11100" s="5">
        <v>0.1</v>
      </c>
      <c r="E11100" s="5">
        <v>112.1</v>
      </c>
      <c r="F11100" s="5">
        <v>222.4</v>
      </c>
      <c r="G11100" s="5">
        <v>110.5</v>
      </c>
      <c r="H11100" s="5">
        <v>110.4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112</v>
      </c>
      <c r="D11101" s="5">
        <v>0.1</v>
      </c>
      <c r="E11101" s="5">
        <v>112.1</v>
      </c>
      <c r="F11101" s="5">
        <v>222.4</v>
      </c>
      <c r="G11101" s="5">
        <v>110.5</v>
      </c>
      <c r="H11101" s="5">
        <v>110.4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112</v>
      </c>
      <c r="D11102" s="5">
        <v>0.1</v>
      </c>
      <c r="E11102" s="5">
        <v>112.1</v>
      </c>
      <c r="F11102" s="5">
        <v>222.4</v>
      </c>
      <c r="G11102" s="5">
        <v>110.5</v>
      </c>
      <c r="H11102" s="5">
        <v>110.4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112</v>
      </c>
      <c r="D11103" s="5">
        <v>0.1</v>
      </c>
      <c r="E11103" s="5">
        <v>112.1</v>
      </c>
      <c r="F11103" s="5">
        <v>222.4</v>
      </c>
      <c r="G11103" s="5">
        <v>110.5</v>
      </c>
      <c r="H11103" s="5">
        <v>110.4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112</v>
      </c>
      <c r="D11104" s="5">
        <v>0.1</v>
      </c>
      <c r="E11104" s="5">
        <v>112.1</v>
      </c>
      <c r="F11104" s="5">
        <v>222.4</v>
      </c>
      <c r="G11104" s="5">
        <v>110.5</v>
      </c>
      <c r="H11104" s="5">
        <v>110.4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112</v>
      </c>
      <c r="D11105" s="5">
        <v>0.1</v>
      </c>
      <c r="E11105" s="5">
        <v>112.1</v>
      </c>
      <c r="F11105" s="5">
        <v>222.4</v>
      </c>
      <c r="G11105" s="5">
        <v>110.5</v>
      </c>
      <c r="H11105" s="5">
        <v>110.4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112</v>
      </c>
      <c r="D11106" s="5">
        <v>0.1</v>
      </c>
      <c r="E11106" s="5">
        <v>112.1</v>
      </c>
      <c r="F11106" s="5">
        <v>222.4</v>
      </c>
      <c r="G11106" s="5">
        <v>110.5</v>
      </c>
      <c r="H11106" s="5">
        <v>110.4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112</v>
      </c>
      <c r="D11107" s="5">
        <v>0.1</v>
      </c>
      <c r="E11107" s="5">
        <v>112.1</v>
      </c>
      <c r="F11107" s="5">
        <v>222.4</v>
      </c>
      <c r="G11107" s="5">
        <v>110.5</v>
      </c>
      <c r="H11107" s="5">
        <v>110.4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112</v>
      </c>
      <c r="D11108" s="5">
        <v>0.1</v>
      </c>
      <c r="E11108" s="5">
        <v>112.1</v>
      </c>
      <c r="F11108" s="5">
        <v>222.4</v>
      </c>
      <c r="G11108" s="5">
        <v>110.5</v>
      </c>
      <c r="H11108" s="5">
        <v>110.4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112</v>
      </c>
      <c r="D11109" s="5">
        <v>0.1</v>
      </c>
      <c r="E11109" s="5">
        <v>112.1</v>
      </c>
      <c r="F11109" s="5">
        <v>222.4</v>
      </c>
      <c r="G11109" s="5">
        <v>110.5</v>
      </c>
      <c r="H11109" s="5">
        <v>110.4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112</v>
      </c>
      <c r="D11110" s="5">
        <v>0.1</v>
      </c>
      <c r="E11110" s="5">
        <v>112.1</v>
      </c>
      <c r="F11110" s="5">
        <v>222.4</v>
      </c>
      <c r="G11110" s="5">
        <v>110.5</v>
      </c>
      <c r="H11110" s="5">
        <v>110.4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112</v>
      </c>
      <c r="D11111" s="5">
        <v>0.1</v>
      </c>
      <c r="E11111" s="5">
        <v>112.1</v>
      </c>
      <c r="F11111" s="5">
        <v>222.4</v>
      </c>
      <c r="G11111" s="5">
        <v>110.5</v>
      </c>
      <c r="H11111" s="5">
        <v>110.4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112</v>
      </c>
      <c r="D11112" s="5">
        <v>0.1</v>
      </c>
      <c r="E11112" s="5">
        <v>112.1</v>
      </c>
      <c r="F11112" s="5">
        <v>222.4</v>
      </c>
      <c r="G11112" s="5">
        <v>110.5</v>
      </c>
      <c r="H11112" s="5">
        <v>110.4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112</v>
      </c>
      <c r="D11113" s="5">
        <v>0.1</v>
      </c>
      <c r="E11113" s="5">
        <v>112.1</v>
      </c>
      <c r="F11113" s="5">
        <v>222.4</v>
      </c>
      <c r="G11113" s="5">
        <v>110.5</v>
      </c>
      <c r="H11113" s="5">
        <v>110.4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112</v>
      </c>
      <c r="D11114" s="5">
        <v>0.1</v>
      </c>
      <c r="E11114" s="5">
        <v>112.1</v>
      </c>
      <c r="F11114" s="5">
        <v>222.4</v>
      </c>
      <c r="G11114" s="5">
        <v>110.5</v>
      </c>
      <c r="H11114" s="5">
        <v>110.4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112</v>
      </c>
      <c r="D11115" s="5">
        <v>0.1</v>
      </c>
      <c r="E11115" s="5">
        <v>112.1</v>
      </c>
      <c r="F11115" s="5">
        <v>222.4</v>
      </c>
      <c r="G11115" s="5">
        <v>110.5</v>
      </c>
      <c r="H11115" s="5">
        <v>110.4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112</v>
      </c>
      <c r="D11116" s="5">
        <v>0.1</v>
      </c>
      <c r="E11116" s="5">
        <v>112.1</v>
      </c>
      <c r="F11116" s="5">
        <v>222.4</v>
      </c>
      <c r="G11116" s="5">
        <v>110.5</v>
      </c>
      <c r="H11116" s="5">
        <v>110.4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112</v>
      </c>
      <c r="D11117" s="5">
        <v>0.1</v>
      </c>
      <c r="E11117" s="5">
        <v>112.1</v>
      </c>
      <c r="F11117" s="5">
        <v>222.4</v>
      </c>
      <c r="G11117" s="5">
        <v>110.5</v>
      </c>
      <c r="H11117" s="5">
        <v>110.4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112</v>
      </c>
      <c r="D11118" s="5">
        <v>0.1</v>
      </c>
      <c r="E11118" s="5">
        <v>112.1</v>
      </c>
      <c r="F11118" s="5">
        <v>222.4</v>
      </c>
      <c r="G11118" s="5">
        <v>110.5</v>
      </c>
      <c r="H11118" s="5">
        <v>110.4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112</v>
      </c>
      <c r="D11119" s="5">
        <v>0.1</v>
      </c>
      <c r="E11119" s="5">
        <v>112.1</v>
      </c>
      <c r="F11119" s="5">
        <v>222.4</v>
      </c>
      <c r="G11119" s="5">
        <v>110.5</v>
      </c>
      <c r="H11119" s="5">
        <v>110.4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112</v>
      </c>
      <c r="D11120" s="5">
        <v>0.1</v>
      </c>
      <c r="E11120" s="5">
        <v>112.1</v>
      </c>
      <c r="F11120" s="5">
        <v>222.4</v>
      </c>
      <c r="G11120" s="5">
        <v>110.5</v>
      </c>
      <c r="H11120" s="5">
        <v>110.4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112</v>
      </c>
      <c r="D11121" s="5">
        <v>0.1</v>
      </c>
      <c r="E11121" s="5">
        <v>112.1</v>
      </c>
      <c r="F11121" s="5">
        <v>222.4</v>
      </c>
      <c r="G11121" s="5">
        <v>110.5</v>
      </c>
      <c r="H11121" s="5">
        <v>110.4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112</v>
      </c>
      <c r="D11122" s="5">
        <v>0.1</v>
      </c>
      <c r="E11122" s="5">
        <v>112.1</v>
      </c>
      <c r="F11122" s="5">
        <v>222.4</v>
      </c>
      <c r="G11122" s="5">
        <v>110.5</v>
      </c>
      <c r="H11122" s="5">
        <v>110.4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112</v>
      </c>
      <c r="D11123" s="5">
        <v>0.1</v>
      </c>
      <c r="E11123" s="5">
        <v>112.1</v>
      </c>
      <c r="F11123" s="5">
        <v>222.4</v>
      </c>
      <c r="G11123" s="5">
        <v>110.5</v>
      </c>
      <c r="H11123" s="5">
        <v>110.4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112</v>
      </c>
      <c r="D11124" s="5">
        <v>0.1</v>
      </c>
      <c r="E11124" s="5">
        <v>112.1</v>
      </c>
      <c r="F11124" s="5">
        <v>222.4</v>
      </c>
      <c r="G11124" s="5">
        <v>110.5</v>
      </c>
      <c r="H11124" s="5">
        <v>110.4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112</v>
      </c>
      <c r="D11125" s="5">
        <v>0.1</v>
      </c>
      <c r="E11125" s="5">
        <v>112.1</v>
      </c>
      <c r="F11125" s="5">
        <v>222.4</v>
      </c>
      <c r="G11125" s="5">
        <v>110.5</v>
      </c>
      <c r="H11125" s="5">
        <v>110.4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112</v>
      </c>
      <c r="D11126" s="5">
        <v>0.1</v>
      </c>
      <c r="E11126" s="5">
        <v>112.1</v>
      </c>
      <c r="F11126" s="5">
        <v>222.4</v>
      </c>
      <c r="G11126" s="5">
        <v>110.5</v>
      </c>
      <c r="H11126" s="5">
        <v>110.4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112</v>
      </c>
      <c r="D11127" s="5">
        <v>0.1</v>
      </c>
      <c r="E11127" s="5">
        <v>112.1</v>
      </c>
      <c r="F11127" s="5">
        <v>222.4</v>
      </c>
      <c r="G11127" s="5">
        <v>110.5</v>
      </c>
      <c r="H11127" s="5">
        <v>110.4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112</v>
      </c>
      <c r="D11128" s="5">
        <v>0.1</v>
      </c>
      <c r="E11128" s="5">
        <v>112.1</v>
      </c>
      <c r="F11128" s="5">
        <v>222.4</v>
      </c>
      <c r="G11128" s="5">
        <v>110.5</v>
      </c>
      <c r="H11128" s="5">
        <v>110.4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112</v>
      </c>
      <c r="D11129" s="5">
        <v>0.1</v>
      </c>
      <c r="E11129" s="5">
        <v>112.1</v>
      </c>
      <c r="F11129" s="5">
        <v>222.4</v>
      </c>
      <c r="G11129" s="5">
        <v>110.5</v>
      </c>
      <c r="H11129" s="5">
        <v>110.4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112</v>
      </c>
      <c r="D11130" s="5">
        <v>0.1</v>
      </c>
      <c r="E11130" s="5">
        <v>112.1</v>
      </c>
      <c r="F11130" s="5">
        <v>222.4</v>
      </c>
      <c r="G11130" s="5">
        <v>110.5</v>
      </c>
      <c r="H11130" s="5">
        <v>110.4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112</v>
      </c>
      <c r="D11131" s="5">
        <v>0.1</v>
      </c>
      <c r="E11131" s="5">
        <v>112.1</v>
      </c>
      <c r="F11131" s="5">
        <v>222.4</v>
      </c>
      <c r="G11131" s="5">
        <v>110.5</v>
      </c>
      <c r="H11131" s="5">
        <v>110.4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112</v>
      </c>
      <c r="D11132" s="5">
        <v>0.1</v>
      </c>
      <c r="E11132" s="5">
        <v>112.1</v>
      </c>
      <c r="F11132" s="5">
        <v>222.4</v>
      </c>
      <c r="G11132" s="5">
        <v>110.5</v>
      </c>
      <c r="H11132" s="5">
        <v>110.4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112</v>
      </c>
      <c r="D11133" s="5">
        <v>0.1</v>
      </c>
      <c r="E11133" s="5">
        <v>112.1</v>
      </c>
      <c r="F11133" s="5">
        <v>222.4</v>
      </c>
      <c r="G11133" s="5">
        <v>110.5</v>
      </c>
      <c r="H11133" s="5">
        <v>110.4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112</v>
      </c>
      <c r="D11134" s="5">
        <v>0.1</v>
      </c>
      <c r="E11134" s="5">
        <v>112.1</v>
      </c>
      <c r="F11134" s="5">
        <v>222.4</v>
      </c>
      <c r="G11134" s="5">
        <v>110.5</v>
      </c>
      <c r="H11134" s="5">
        <v>110.4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112</v>
      </c>
      <c r="D11135" s="5">
        <v>0.1</v>
      </c>
      <c r="E11135" s="5">
        <v>112.1</v>
      </c>
      <c r="F11135" s="5">
        <v>222.4</v>
      </c>
      <c r="G11135" s="5">
        <v>110.5</v>
      </c>
      <c r="H11135" s="5">
        <v>110.4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112</v>
      </c>
      <c r="D11136" s="5">
        <v>0.1</v>
      </c>
      <c r="E11136" s="5">
        <v>112.1</v>
      </c>
      <c r="F11136" s="5">
        <v>222.4</v>
      </c>
      <c r="G11136" s="5">
        <v>110.5</v>
      </c>
      <c r="H11136" s="5">
        <v>110.4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112</v>
      </c>
      <c r="D11137" s="5">
        <v>0.1</v>
      </c>
      <c r="E11137" s="5">
        <v>112.1</v>
      </c>
      <c r="F11137" s="5">
        <v>222.4</v>
      </c>
      <c r="G11137" s="5">
        <v>110.5</v>
      </c>
      <c r="H11137" s="5">
        <v>110.4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112</v>
      </c>
      <c r="D11138" s="5">
        <v>0.1</v>
      </c>
      <c r="E11138" s="5">
        <v>112.1</v>
      </c>
      <c r="F11138" s="5">
        <v>222.4</v>
      </c>
      <c r="G11138" s="5">
        <v>110.5</v>
      </c>
      <c r="H11138" s="5">
        <v>110.4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112</v>
      </c>
      <c r="D11139" s="5">
        <v>0.1</v>
      </c>
      <c r="E11139" s="5">
        <v>112.1</v>
      </c>
      <c r="F11139" s="5">
        <v>222.4</v>
      </c>
      <c r="G11139" s="5">
        <v>110.5</v>
      </c>
      <c r="H11139" s="5">
        <v>110.4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112</v>
      </c>
      <c r="D11140" s="5">
        <v>0.1</v>
      </c>
      <c r="E11140" s="5">
        <v>112.1</v>
      </c>
      <c r="F11140" s="5">
        <v>222.4</v>
      </c>
      <c r="G11140" s="5">
        <v>110.5</v>
      </c>
      <c r="H11140" s="5">
        <v>110.4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112</v>
      </c>
      <c r="D11141" s="5">
        <v>0.1</v>
      </c>
      <c r="E11141" s="5">
        <v>112.1</v>
      </c>
      <c r="F11141" s="5">
        <v>222.4</v>
      </c>
      <c r="G11141" s="5">
        <v>110.5</v>
      </c>
      <c r="H11141" s="5">
        <v>110.4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112</v>
      </c>
      <c r="D11142" s="5">
        <v>0.1</v>
      </c>
      <c r="E11142" s="5">
        <v>112.1</v>
      </c>
      <c r="F11142" s="5">
        <v>222.4</v>
      </c>
      <c r="G11142" s="5">
        <v>110.5</v>
      </c>
      <c r="H11142" s="5">
        <v>110.4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112</v>
      </c>
      <c r="D11143" s="5">
        <v>0.1</v>
      </c>
      <c r="E11143" s="5">
        <v>112.1</v>
      </c>
      <c r="F11143" s="5">
        <v>222.4</v>
      </c>
      <c r="G11143" s="5">
        <v>110.5</v>
      </c>
      <c r="H11143" s="5">
        <v>110.4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112</v>
      </c>
      <c r="D11144" s="5">
        <v>0.1</v>
      </c>
      <c r="E11144" s="5">
        <v>112.1</v>
      </c>
      <c r="F11144" s="5">
        <v>222.4</v>
      </c>
      <c r="G11144" s="5">
        <v>110.5</v>
      </c>
      <c r="H11144" s="5">
        <v>110.4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112</v>
      </c>
      <c r="D11145" s="5">
        <v>0.1</v>
      </c>
      <c r="E11145" s="5">
        <v>112.1</v>
      </c>
      <c r="F11145" s="5">
        <v>222.4</v>
      </c>
      <c r="G11145" s="5">
        <v>110.5</v>
      </c>
      <c r="H11145" s="5">
        <v>110.4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112</v>
      </c>
      <c r="D11146" s="5">
        <v>0.1</v>
      </c>
      <c r="E11146" s="5">
        <v>112.1</v>
      </c>
      <c r="F11146" s="5">
        <v>222.4</v>
      </c>
      <c r="G11146" s="5">
        <v>110.5</v>
      </c>
      <c r="H11146" s="5">
        <v>110.4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112</v>
      </c>
      <c r="D11147" s="5">
        <v>0.1</v>
      </c>
      <c r="E11147" s="5">
        <v>112.1</v>
      </c>
      <c r="F11147" s="5">
        <v>222.4</v>
      </c>
      <c r="G11147" s="5">
        <v>110.5</v>
      </c>
      <c r="H11147" s="5">
        <v>110.4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112</v>
      </c>
      <c r="D11148" s="5">
        <v>0.1</v>
      </c>
      <c r="E11148" s="5">
        <v>112.1</v>
      </c>
      <c r="F11148" s="5">
        <v>222.4</v>
      </c>
      <c r="G11148" s="5">
        <v>110.5</v>
      </c>
      <c r="H11148" s="5">
        <v>110.4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112</v>
      </c>
      <c r="D11149" s="5">
        <v>0.1</v>
      </c>
      <c r="E11149" s="5">
        <v>112.1</v>
      </c>
      <c r="F11149" s="5">
        <v>222.4</v>
      </c>
      <c r="G11149" s="5">
        <v>110.5</v>
      </c>
      <c r="H11149" s="5">
        <v>110.4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112</v>
      </c>
      <c r="D11150" s="5">
        <v>0.1</v>
      </c>
      <c r="E11150" s="5">
        <v>112.1</v>
      </c>
      <c r="F11150" s="5">
        <v>222.4</v>
      </c>
      <c r="G11150" s="5">
        <v>110.5</v>
      </c>
      <c r="H11150" s="5">
        <v>110.4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112</v>
      </c>
      <c r="D11151" s="5">
        <v>0.1</v>
      </c>
      <c r="E11151" s="5">
        <v>112.1</v>
      </c>
      <c r="F11151" s="5">
        <v>222.4</v>
      </c>
      <c r="G11151" s="5">
        <v>110.5</v>
      </c>
      <c r="H11151" s="5">
        <v>110.4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112</v>
      </c>
      <c r="D11152" s="5">
        <v>0.1</v>
      </c>
      <c r="E11152" s="5">
        <v>112.1</v>
      </c>
      <c r="F11152" s="5">
        <v>222.4</v>
      </c>
      <c r="G11152" s="5">
        <v>110.5</v>
      </c>
      <c r="H11152" s="5">
        <v>110.4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112</v>
      </c>
      <c r="D11153" s="5">
        <v>0.1</v>
      </c>
      <c r="E11153" s="5">
        <v>112.1</v>
      </c>
      <c r="F11153" s="5">
        <v>222.4</v>
      </c>
      <c r="G11153" s="5">
        <v>110.5</v>
      </c>
      <c r="H11153" s="5">
        <v>110.4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112</v>
      </c>
      <c r="D11154" s="5">
        <v>0.1</v>
      </c>
      <c r="E11154" s="5">
        <v>112.1</v>
      </c>
      <c r="F11154" s="5">
        <v>222.4</v>
      </c>
      <c r="G11154" s="5">
        <v>110.5</v>
      </c>
      <c r="H11154" s="5">
        <v>110.4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112</v>
      </c>
      <c r="D11155" s="5">
        <v>0.1</v>
      </c>
      <c r="E11155" s="5">
        <v>112.1</v>
      </c>
      <c r="F11155" s="5">
        <v>222.4</v>
      </c>
      <c r="G11155" s="5">
        <v>110.5</v>
      </c>
      <c r="H11155" s="5">
        <v>110.4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112</v>
      </c>
      <c r="D11156" s="5">
        <v>0.1</v>
      </c>
      <c r="E11156" s="5">
        <v>112.1</v>
      </c>
      <c r="F11156" s="5">
        <v>222.4</v>
      </c>
      <c r="G11156" s="5">
        <v>110.5</v>
      </c>
      <c r="H11156" s="5">
        <v>110.4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112</v>
      </c>
      <c r="D11157" s="5">
        <v>0.1</v>
      </c>
      <c r="E11157" s="5">
        <v>112.1</v>
      </c>
      <c r="F11157" s="5">
        <v>222.4</v>
      </c>
      <c r="G11157" s="5">
        <v>110.5</v>
      </c>
      <c r="H11157" s="5">
        <v>110.4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112</v>
      </c>
      <c r="D11158" s="5">
        <v>0.1</v>
      </c>
      <c r="E11158" s="5">
        <v>112.1</v>
      </c>
      <c r="F11158" s="5">
        <v>222.4</v>
      </c>
      <c r="G11158" s="5">
        <v>110.5</v>
      </c>
      <c r="H11158" s="5">
        <v>110.4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112</v>
      </c>
      <c r="D11159" s="5">
        <v>0.1</v>
      </c>
      <c r="E11159" s="5">
        <v>112.1</v>
      </c>
      <c r="F11159" s="5">
        <v>222.4</v>
      </c>
      <c r="G11159" s="5">
        <v>110.5</v>
      </c>
      <c r="H11159" s="5">
        <v>110.4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112</v>
      </c>
      <c r="D11160" s="5">
        <v>0.1</v>
      </c>
      <c r="E11160" s="5">
        <v>112.1</v>
      </c>
      <c r="F11160" s="5">
        <v>222.4</v>
      </c>
      <c r="G11160" s="5">
        <v>110.5</v>
      </c>
      <c r="H11160" s="5">
        <v>110.4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112</v>
      </c>
      <c r="D11161" s="5">
        <v>0.1</v>
      </c>
      <c r="E11161" s="5">
        <v>112.1</v>
      </c>
      <c r="F11161" s="5">
        <v>222.4</v>
      </c>
      <c r="G11161" s="5">
        <v>110.5</v>
      </c>
      <c r="H11161" s="5">
        <v>110.4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112</v>
      </c>
      <c r="D11162" s="5">
        <v>0.1</v>
      </c>
      <c r="E11162" s="5">
        <v>112.1</v>
      </c>
      <c r="F11162" s="5">
        <v>222.4</v>
      </c>
      <c r="G11162" s="5">
        <v>110.5</v>
      </c>
      <c r="H11162" s="5">
        <v>110.4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112</v>
      </c>
      <c r="D11163" s="5">
        <v>0.1</v>
      </c>
      <c r="E11163" s="5">
        <v>112.1</v>
      </c>
      <c r="F11163" s="5">
        <v>222.4</v>
      </c>
      <c r="G11163" s="5">
        <v>110.5</v>
      </c>
      <c r="H11163" s="5">
        <v>110.4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112</v>
      </c>
      <c r="D11164" s="5">
        <v>0.1</v>
      </c>
      <c r="E11164" s="5">
        <v>112.1</v>
      </c>
      <c r="F11164" s="5">
        <v>222.4</v>
      </c>
      <c r="G11164" s="5">
        <v>110.5</v>
      </c>
      <c r="H11164" s="5">
        <v>110.4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112</v>
      </c>
      <c r="D11165" s="5">
        <v>0.1</v>
      </c>
      <c r="E11165" s="5">
        <v>112.1</v>
      </c>
      <c r="F11165" s="5">
        <v>222.4</v>
      </c>
      <c r="G11165" s="5">
        <v>110.5</v>
      </c>
      <c r="H11165" s="5">
        <v>110.4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112</v>
      </c>
      <c r="D11166" s="5">
        <v>0.1</v>
      </c>
      <c r="E11166" s="5">
        <v>112.1</v>
      </c>
      <c r="F11166" s="5">
        <v>222.4</v>
      </c>
      <c r="G11166" s="5">
        <v>110.5</v>
      </c>
      <c r="H11166" s="5">
        <v>110.4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112</v>
      </c>
      <c r="D11167" s="5">
        <v>0.1</v>
      </c>
      <c r="E11167" s="5">
        <v>112.1</v>
      </c>
      <c r="F11167" s="5">
        <v>222.4</v>
      </c>
      <c r="G11167" s="5">
        <v>110.5</v>
      </c>
      <c r="H11167" s="5">
        <v>110.4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112</v>
      </c>
      <c r="D11168" s="5">
        <v>0.1</v>
      </c>
      <c r="E11168" s="5">
        <v>112.1</v>
      </c>
      <c r="F11168" s="5">
        <v>222.4</v>
      </c>
      <c r="G11168" s="5">
        <v>110.5</v>
      </c>
      <c r="H11168" s="5">
        <v>110.4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112</v>
      </c>
      <c r="D11169" s="5">
        <v>0.1</v>
      </c>
      <c r="E11169" s="5">
        <v>112.1</v>
      </c>
      <c r="F11169" s="5">
        <v>222.4</v>
      </c>
      <c r="G11169" s="5">
        <v>110.5</v>
      </c>
      <c r="H11169" s="5">
        <v>110.4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112</v>
      </c>
      <c r="D11170" s="5">
        <v>0.1</v>
      </c>
      <c r="E11170" s="5">
        <v>112.1</v>
      </c>
      <c r="F11170" s="5">
        <v>222.4</v>
      </c>
      <c r="G11170" s="5">
        <v>110.5</v>
      </c>
      <c r="H11170" s="5">
        <v>110.4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112</v>
      </c>
      <c r="D11171" s="5">
        <v>0.1</v>
      </c>
      <c r="E11171" s="5">
        <v>112.1</v>
      </c>
      <c r="F11171" s="5">
        <v>222.4</v>
      </c>
      <c r="G11171" s="5">
        <v>110.5</v>
      </c>
      <c r="H11171" s="5">
        <v>110.4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112</v>
      </c>
      <c r="D11172" s="5">
        <v>0.1</v>
      </c>
      <c r="E11172" s="5">
        <v>112.1</v>
      </c>
      <c r="F11172" s="5">
        <v>222.4</v>
      </c>
      <c r="G11172" s="5">
        <v>110.5</v>
      </c>
      <c r="H11172" s="5">
        <v>110.4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112</v>
      </c>
      <c r="D11173" s="5">
        <v>0.1</v>
      </c>
      <c r="E11173" s="5">
        <v>112.1</v>
      </c>
      <c r="F11173" s="5">
        <v>222.4</v>
      </c>
      <c r="G11173" s="5">
        <v>110.5</v>
      </c>
      <c r="H11173" s="5">
        <v>110.4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112</v>
      </c>
      <c r="D11174" s="5">
        <v>0.1</v>
      </c>
      <c r="E11174" s="5">
        <v>112.1</v>
      </c>
      <c r="F11174" s="5">
        <v>222.4</v>
      </c>
      <c r="G11174" s="5">
        <v>110.5</v>
      </c>
      <c r="H11174" s="5">
        <v>110.4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112</v>
      </c>
      <c r="D11175" s="5">
        <v>0.1</v>
      </c>
      <c r="E11175" s="5">
        <v>112.1</v>
      </c>
      <c r="F11175" s="5">
        <v>222.4</v>
      </c>
      <c r="G11175" s="5">
        <v>110.5</v>
      </c>
      <c r="H11175" s="5">
        <v>110.4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112</v>
      </c>
      <c r="D11176" s="5">
        <v>0.1</v>
      </c>
      <c r="E11176" s="5">
        <v>112.1</v>
      </c>
      <c r="F11176" s="5">
        <v>222.4</v>
      </c>
      <c r="G11176" s="5">
        <v>110.5</v>
      </c>
      <c r="H11176" s="5">
        <v>110.4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112</v>
      </c>
      <c r="D11177" s="5">
        <v>0.1</v>
      </c>
      <c r="E11177" s="5">
        <v>112.1</v>
      </c>
      <c r="F11177" s="5">
        <v>222.4</v>
      </c>
      <c r="G11177" s="5">
        <v>110.5</v>
      </c>
      <c r="H11177" s="5">
        <v>110.4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112</v>
      </c>
      <c r="D11178" s="5">
        <v>0.1</v>
      </c>
      <c r="E11178" s="5">
        <v>112.1</v>
      </c>
      <c r="F11178" s="5">
        <v>222.4</v>
      </c>
      <c r="G11178" s="5">
        <v>110.5</v>
      </c>
      <c r="H11178" s="5">
        <v>110.4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112</v>
      </c>
      <c r="D11179" s="5">
        <v>0.1</v>
      </c>
      <c r="E11179" s="5">
        <v>112.1</v>
      </c>
      <c r="F11179" s="5">
        <v>222.4</v>
      </c>
      <c r="G11179" s="5">
        <v>110.5</v>
      </c>
      <c r="H11179" s="5">
        <v>110.4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112</v>
      </c>
      <c r="D11180" s="5">
        <v>0.1</v>
      </c>
      <c r="E11180" s="5">
        <v>112.1</v>
      </c>
      <c r="F11180" s="5">
        <v>222.4</v>
      </c>
      <c r="G11180" s="5">
        <v>110.5</v>
      </c>
      <c r="H11180" s="5">
        <v>110.4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112</v>
      </c>
      <c r="D11181" s="5">
        <v>0.1</v>
      </c>
      <c r="E11181" s="5">
        <v>112.1</v>
      </c>
      <c r="F11181" s="5">
        <v>222.4</v>
      </c>
      <c r="G11181" s="5">
        <v>110.5</v>
      </c>
      <c r="H11181" s="5">
        <v>110.4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112</v>
      </c>
      <c r="D11182" s="5">
        <v>0.1</v>
      </c>
      <c r="E11182" s="5">
        <v>112.1</v>
      </c>
      <c r="F11182" s="5">
        <v>222.4</v>
      </c>
      <c r="G11182" s="5">
        <v>110.5</v>
      </c>
      <c r="H11182" s="5">
        <v>110.4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112</v>
      </c>
      <c r="D11183" s="5">
        <v>0.1</v>
      </c>
      <c r="E11183" s="5">
        <v>112.1</v>
      </c>
      <c r="F11183" s="5">
        <v>222.4</v>
      </c>
      <c r="G11183" s="5">
        <v>110.5</v>
      </c>
      <c r="H11183" s="5">
        <v>110.4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112</v>
      </c>
      <c r="D11184" s="5">
        <v>0.1</v>
      </c>
      <c r="E11184" s="5">
        <v>112.1</v>
      </c>
      <c r="F11184" s="5">
        <v>222.4</v>
      </c>
      <c r="G11184" s="5">
        <v>110.5</v>
      </c>
      <c r="H11184" s="5">
        <v>110.4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112</v>
      </c>
      <c r="D11185" s="5">
        <v>0.1</v>
      </c>
      <c r="E11185" s="5">
        <v>112.1</v>
      </c>
      <c r="F11185" s="5">
        <v>222.4</v>
      </c>
      <c r="G11185" s="5">
        <v>110.5</v>
      </c>
      <c r="H11185" s="5">
        <v>110.4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112</v>
      </c>
      <c r="D11186" s="5">
        <v>0.1</v>
      </c>
      <c r="E11186" s="5">
        <v>112.1</v>
      </c>
      <c r="F11186" s="5">
        <v>222.4</v>
      </c>
      <c r="G11186" s="5">
        <v>110.5</v>
      </c>
      <c r="H11186" s="5">
        <v>110.4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112</v>
      </c>
      <c r="D11187" s="5">
        <v>0.1</v>
      </c>
      <c r="E11187" s="5">
        <v>112.1</v>
      </c>
      <c r="F11187" s="5">
        <v>222.4</v>
      </c>
      <c r="G11187" s="5">
        <v>110.5</v>
      </c>
      <c r="H11187" s="5">
        <v>110.4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112</v>
      </c>
      <c r="D11188" s="5">
        <v>0.1</v>
      </c>
      <c r="E11188" s="5">
        <v>112.1</v>
      </c>
      <c r="F11188" s="5">
        <v>222.4</v>
      </c>
      <c r="G11188" s="5">
        <v>110.5</v>
      </c>
      <c r="H11188" s="5">
        <v>110.4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112</v>
      </c>
      <c r="D11189" s="5">
        <v>0.1</v>
      </c>
      <c r="E11189" s="5">
        <v>112.1</v>
      </c>
      <c r="F11189" s="5">
        <v>222.4</v>
      </c>
      <c r="G11189" s="5">
        <v>110.5</v>
      </c>
      <c r="H11189" s="5">
        <v>110.4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112</v>
      </c>
      <c r="D11190" s="5">
        <v>0.1</v>
      </c>
      <c r="E11190" s="5">
        <v>112.1</v>
      </c>
      <c r="F11190" s="5">
        <v>222.4</v>
      </c>
      <c r="G11190" s="5">
        <v>110.5</v>
      </c>
      <c r="H11190" s="5">
        <v>110.4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112</v>
      </c>
      <c r="D11191" s="5">
        <v>0.1</v>
      </c>
      <c r="E11191" s="5">
        <v>112.1</v>
      </c>
      <c r="F11191" s="5">
        <v>222.4</v>
      </c>
      <c r="G11191" s="5">
        <v>110.5</v>
      </c>
      <c r="H11191" s="5">
        <v>110.4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112</v>
      </c>
      <c r="D11192" s="5">
        <v>0.1</v>
      </c>
      <c r="E11192" s="5">
        <v>112.1</v>
      </c>
      <c r="F11192" s="5">
        <v>222.4</v>
      </c>
      <c r="G11192" s="5">
        <v>110.5</v>
      </c>
      <c r="H11192" s="5">
        <v>110.4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112</v>
      </c>
      <c r="D11193" s="5">
        <v>0.1</v>
      </c>
      <c r="E11193" s="5">
        <v>112.1</v>
      </c>
      <c r="F11193" s="5">
        <v>222.4</v>
      </c>
      <c r="G11193" s="5">
        <v>110.5</v>
      </c>
      <c r="H11193" s="5">
        <v>110.4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112</v>
      </c>
      <c r="D11194" s="5">
        <v>0.1</v>
      </c>
      <c r="E11194" s="5">
        <v>112.1</v>
      </c>
      <c r="F11194" s="5">
        <v>222.4</v>
      </c>
      <c r="G11194" s="5">
        <v>110.5</v>
      </c>
      <c r="H11194" s="5">
        <v>110.4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112</v>
      </c>
      <c r="D11195" s="5">
        <v>0.1</v>
      </c>
      <c r="E11195" s="5">
        <v>112.1</v>
      </c>
      <c r="F11195" s="5">
        <v>222.4</v>
      </c>
      <c r="G11195" s="5">
        <v>110.5</v>
      </c>
      <c r="H11195" s="5">
        <v>110.4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112</v>
      </c>
      <c r="D11196" s="5">
        <v>0.1</v>
      </c>
      <c r="E11196" s="5">
        <v>112.1</v>
      </c>
      <c r="F11196" s="5">
        <v>222.4</v>
      </c>
      <c r="G11196" s="5">
        <v>110.5</v>
      </c>
      <c r="H11196" s="5">
        <v>110.4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112</v>
      </c>
      <c r="D11197" s="5">
        <v>0.1</v>
      </c>
      <c r="E11197" s="5">
        <v>112.1</v>
      </c>
      <c r="F11197" s="5">
        <v>222.4</v>
      </c>
      <c r="G11197" s="5">
        <v>110.5</v>
      </c>
      <c r="H11197" s="5">
        <v>110.4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112</v>
      </c>
      <c r="D11198" s="5">
        <v>0.1</v>
      </c>
      <c r="E11198" s="5">
        <v>112.1</v>
      </c>
      <c r="F11198" s="5">
        <v>222.4</v>
      </c>
      <c r="G11198" s="5">
        <v>110.5</v>
      </c>
      <c r="H11198" s="5">
        <v>110.4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112</v>
      </c>
      <c r="D11199" s="5">
        <v>0.1</v>
      </c>
      <c r="E11199" s="5">
        <v>112.1</v>
      </c>
      <c r="F11199" s="5">
        <v>222.4</v>
      </c>
      <c r="G11199" s="5">
        <v>110.5</v>
      </c>
      <c r="H11199" s="5">
        <v>110.4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112</v>
      </c>
      <c r="D11200" s="5">
        <v>0.1</v>
      </c>
      <c r="E11200" s="5">
        <v>112.1</v>
      </c>
      <c r="F11200" s="5">
        <v>222.4</v>
      </c>
      <c r="G11200" s="5">
        <v>110.5</v>
      </c>
      <c r="H11200" s="5">
        <v>110.4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112</v>
      </c>
      <c r="D11201" s="5">
        <v>0.1</v>
      </c>
      <c r="E11201" s="5">
        <v>112.1</v>
      </c>
      <c r="F11201" s="5">
        <v>222.4</v>
      </c>
      <c r="G11201" s="5">
        <v>110.5</v>
      </c>
      <c r="H11201" s="5">
        <v>110.4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112</v>
      </c>
      <c r="D11202" s="5">
        <v>0.1</v>
      </c>
      <c r="E11202" s="5">
        <v>112.1</v>
      </c>
      <c r="F11202" s="5">
        <v>222.4</v>
      </c>
      <c r="G11202" s="5">
        <v>110.5</v>
      </c>
      <c r="H11202" s="5">
        <v>110.4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112</v>
      </c>
      <c r="D11203" s="5">
        <v>0.1</v>
      </c>
      <c r="E11203" s="5">
        <v>112.1</v>
      </c>
      <c r="F11203" s="5">
        <v>222.4</v>
      </c>
      <c r="G11203" s="5">
        <v>110.5</v>
      </c>
      <c r="H11203" s="5">
        <v>110.4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112</v>
      </c>
      <c r="D11204" s="5">
        <v>0.1</v>
      </c>
      <c r="E11204" s="5">
        <v>112.1</v>
      </c>
      <c r="F11204" s="5">
        <v>222.4</v>
      </c>
      <c r="G11204" s="5">
        <v>110.5</v>
      </c>
      <c r="H11204" s="5">
        <v>110.4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112</v>
      </c>
      <c r="D11205" s="5">
        <v>0.1</v>
      </c>
      <c r="E11205" s="5">
        <v>112.1</v>
      </c>
      <c r="F11205" s="5">
        <v>222.4</v>
      </c>
      <c r="G11205" s="5">
        <v>110.5</v>
      </c>
      <c r="H11205" s="5">
        <v>110.4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112</v>
      </c>
      <c r="D11206" s="5">
        <v>0.1</v>
      </c>
      <c r="E11206" s="5">
        <v>112.1</v>
      </c>
      <c r="F11206" s="5">
        <v>222.4</v>
      </c>
      <c r="G11206" s="5">
        <v>110.5</v>
      </c>
      <c r="H11206" s="5">
        <v>110.4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112</v>
      </c>
      <c r="D11207" s="5">
        <v>0.1</v>
      </c>
      <c r="E11207" s="5">
        <v>112.1</v>
      </c>
      <c r="F11207" s="5">
        <v>222.4</v>
      </c>
      <c r="G11207" s="5">
        <v>110.5</v>
      </c>
      <c r="H11207" s="5">
        <v>110.4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112</v>
      </c>
      <c r="D11208" s="5">
        <v>0.1</v>
      </c>
      <c r="E11208" s="5">
        <v>112.1</v>
      </c>
      <c r="F11208" s="5">
        <v>222.4</v>
      </c>
      <c r="G11208" s="5">
        <v>110.5</v>
      </c>
      <c r="H11208" s="5">
        <v>110.4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112</v>
      </c>
      <c r="D11209" s="5">
        <v>0.1</v>
      </c>
      <c r="E11209" s="5">
        <v>112.1</v>
      </c>
      <c r="F11209" s="5">
        <v>222.4</v>
      </c>
      <c r="G11209" s="5">
        <v>110.5</v>
      </c>
      <c r="H11209" s="5">
        <v>110.4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112</v>
      </c>
      <c r="D11210" s="5">
        <v>0.1</v>
      </c>
      <c r="E11210" s="5">
        <v>112.1</v>
      </c>
      <c r="F11210" s="5">
        <v>222.4</v>
      </c>
      <c r="G11210" s="5">
        <v>110.5</v>
      </c>
      <c r="H11210" s="5">
        <v>110.4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112</v>
      </c>
      <c r="D11211" s="5">
        <v>0.1</v>
      </c>
      <c r="E11211" s="5">
        <v>112.1</v>
      </c>
      <c r="F11211" s="5">
        <v>222.4</v>
      </c>
      <c r="G11211" s="5">
        <v>110.5</v>
      </c>
      <c r="H11211" s="5">
        <v>110.4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112</v>
      </c>
      <c r="D11212" s="5">
        <v>0.1</v>
      </c>
      <c r="E11212" s="5">
        <v>112.1</v>
      </c>
      <c r="F11212" s="5">
        <v>222.4</v>
      </c>
      <c r="G11212" s="5">
        <v>110.5</v>
      </c>
      <c r="H11212" s="5">
        <v>110.4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112</v>
      </c>
      <c r="D11213" s="5">
        <v>0.1</v>
      </c>
      <c r="E11213" s="5">
        <v>112.1</v>
      </c>
      <c r="F11213" s="5">
        <v>222.4</v>
      </c>
      <c r="G11213" s="5">
        <v>110.5</v>
      </c>
      <c r="H11213" s="5">
        <v>110.4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112</v>
      </c>
      <c r="D11214" s="5">
        <v>0.1</v>
      </c>
      <c r="E11214" s="5">
        <v>112.1</v>
      </c>
      <c r="F11214" s="5">
        <v>222.4</v>
      </c>
      <c r="G11214" s="5">
        <v>110.5</v>
      </c>
      <c r="H11214" s="5">
        <v>110.4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112</v>
      </c>
      <c r="D11215" s="5">
        <v>0.1</v>
      </c>
      <c r="E11215" s="5">
        <v>112.1</v>
      </c>
      <c r="F11215" s="5">
        <v>222.4</v>
      </c>
      <c r="G11215" s="5">
        <v>110.5</v>
      </c>
      <c r="H11215" s="5">
        <v>110.4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112</v>
      </c>
      <c r="D11216" s="5">
        <v>0.1</v>
      </c>
      <c r="E11216" s="5">
        <v>112.1</v>
      </c>
      <c r="F11216" s="5">
        <v>222.4</v>
      </c>
      <c r="G11216" s="5">
        <v>110.5</v>
      </c>
      <c r="H11216" s="5">
        <v>110.4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112</v>
      </c>
      <c r="D11217" s="5">
        <v>0.1</v>
      </c>
      <c r="E11217" s="5">
        <v>112.1</v>
      </c>
      <c r="F11217" s="5">
        <v>222.4</v>
      </c>
      <c r="G11217" s="5">
        <v>110.5</v>
      </c>
      <c r="H11217" s="5">
        <v>110.4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112</v>
      </c>
      <c r="D11218" s="5">
        <v>0.1</v>
      </c>
      <c r="E11218" s="5">
        <v>112.1</v>
      </c>
      <c r="F11218" s="5">
        <v>222.4</v>
      </c>
      <c r="G11218" s="5">
        <v>110.5</v>
      </c>
      <c r="H11218" s="5">
        <v>110.4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112</v>
      </c>
      <c r="D11219" s="5">
        <v>0.1</v>
      </c>
      <c r="E11219" s="5">
        <v>112.1</v>
      </c>
      <c r="F11219" s="5">
        <v>222.4</v>
      </c>
      <c r="G11219" s="5">
        <v>110.5</v>
      </c>
      <c r="H11219" s="5">
        <v>110.4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112</v>
      </c>
      <c r="D11220" s="5">
        <v>0.1</v>
      </c>
      <c r="E11220" s="5">
        <v>112.1</v>
      </c>
      <c r="F11220" s="5">
        <v>222.4</v>
      </c>
      <c r="G11220" s="5">
        <v>110.5</v>
      </c>
      <c r="H11220" s="5">
        <v>110.4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112</v>
      </c>
      <c r="D11221" s="5">
        <v>0.1</v>
      </c>
      <c r="E11221" s="5">
        <v>112.1</v>
      </c>
      <c r="F11221" s="5">
        <v>222.4</v>
      </c>
      <c r="G11221" s="5">
        <v>110.5</v>
      </c>
      <c r="H11221" s="5">
        <v>110.4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112</v>
      </c>
      <c r="D11222" s="5">
        <v>0.1</v>
      </c>
      <c r="E11222" s="5">
        <v>112.1</v>
      </c>
      <c r="F11222" s="5">
        <v>222.4</v>
      </c>
      <c r="G11222" s="5">
        <v>110.5</v>
      </c>
      <c r="H11222" s="5">
        <v>110.4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112</v>
      </c>
      <c r="D11223" s="5">
        <v>0.1</v>
      </c>
      <c r="E11223" s="5">
        <v>112.1</v>
      </c>
      <c r="F11223" s="5">
        <v>222.4</v>
      </c>
      <c r="G11223" s="5">
        <v>110.5</v>
      </c>
      <c r="H11223" s="5">
        <v>110.4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112</v>
      </c>
      <c r="D11224" s="5">
        <v>0.1</v>
      </c>
      <c r="E11224" s="5">
        <v>112.1</v>
      </c>
      <c r="F11224" s="5">
        <v>222.4</v>
      </c>
      <c r="G11224" s="5">
        <v>110.5</v>
      </c>
      <c r="H11224" s="5">
        <v>110.4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112</v>
      </c>
      <c r="D11225" s="5">
        <v>0.1</v>
      </c>
      <c r="E11225" s="5">
        <v>112.1</v>
      </c>
      <c r="F11225" s="5">
        <v>222.4</v>
      </c>
      <c r="G11225" s="5">
        <v>110.5</v>
      </c>
      <c r="H11225" s="5">
        <v>110.4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112</v>
      </c>
      <c r="D11226" s="5">
        <v>0.1</v>
      </c>
      <c r="E11226" s="5">
        <v>112.1</v>
      </c>
      <c r="F11226" s="5">
        <v>222.4</v>
      </c>
      <c r="G11226" s="5">
        <v>110.5</v>
      </c>
      <c r="H11226" s="5">
        <v>110.4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112</v>
      </c>
      <c r="D11227" s="5">
        <v>0.1</v>
      </c>
      <c r="E11227" s="5">
        <v>112.1</v>
      </c>
      <c r="F11227" s="5">
        <v>222.4</v>
      </c>
      <c r="G11227" s="5">
        <v>110.5</v>
      </c>
      <c r="H11227" s="5">
        <v>110.4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112</v>
      </c>
      <c r="D11228" s="5">
        <v>0.1</v>
      </c>
      <c r="E11228" s="5">
        <v>112.1</v>
      </c>
      <c r="F11228" s="5">
        <v>222.4</v>
      </c>
      <c r="G11228" s="5">
        <v>110.5</v>
      </c>
      <c r="H11228" s="5">
        <v>110.4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112</v>
      </c>
      <c r="D11229" s="5">
        <v>0.1</v>
      </c>
      <c r="E11229" s="5">
        <v>112.1</v>
      </c>
      <c r="F11229" s="5">
        <v>222.4</v>
      </c>
      <c r="G11229" s="5">
        <v>110.5</v>
      </c>
      <c r="H11229" s="5">
        <v>110.4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112</v>
      </c>
      <c r="D11230" s="5">
        <v>0.1</v>
      </c>
      <c r="E11230" s="5">
        <v>112.1</v>
      </c>
      <c r="F11230" s="5">
        <v>222.4</v>
      </c>
      <c r="G11230" s="5">
        <v>110.5</v>
      </c>
      <c r="H11230" s="5">
        <v>110.4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112</v>
      </c>
      <c r="D11231" s="5">
        <v>0.1</v>
      </c>
      <c r="E11231" s="5">
        <v>112.1</v>
      </c>
      <c r="F11231" s="5">
        <v>222.4</v>
      </c>
      <c r="G11231" s="5">
        <v>110.5</v>
      </c>
      <c r="H11231" s="5">
        <v>110.4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112</v>
      </c>
      <c r="D11232" s="5">
        <v>0.1</v>
      </c>
      <c r="E11232" s="5">
        <v>112.1</v>
      </c>
      <c r="F11232" s="5">
        <v>222.4</v>
      </c>
      <c r="G11232" s="5">
        <v>110.5</v>
      </c>
      <c r="H11232" s="5">
        <v>110.4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112</v>
      </c>
      <c r="D11233" s="5">
        <v>0.1</v>
      </c>
      <c r="E11233" s="5">
        <v>112.1</v>
      </c>
      <c r="F11233" s="5">
        <v>222.4</v>
      </c>
      <c r="G11233" s="5">
        <v>110.5</v>
      </c>
      <c r="H11233" s="5">
        <v>110.4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112</v>
      </c>
      <c r="D11234" s="5">
        <v>0.1</v>
      </c>
      <c r="E11234" s="5">
        <v>112.1</v>
      </c>
      <c r="F11234" s="5">
        <v>222.4</v>
      </c>
      <c r="G11234" s="5">
        <v>110.5</v>
      </c>
      <c r="H11234" s="5">
        <v>110.4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112</v>
      </c>
      <c r="D11235" s="5">
        <v>0.1</v>
      </c>
      <c r="E11235" s="5">
        <v>112.1</v>
      </c>
      <c r="F11235" s="5">
        <v>222.4</v>
      </c>
      <c r="G11235" s="5">
        <v>110.5</v>
      </c>
      <c r="H11235" s="5">
        <v>110.4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112</v>
      </c>
      <c r="D11236" s="5">
        <v>0.1</v>
      </c>
      <c r="E11236" s="5">
        <v>112.1</v>
      </c>
      <c r="F11236" s="5">
        <v>222.4</v>
      </c>
      <c r="G11236" s="5">
        <v>110.5</v>
      </c>
      <c r="H11236" s="5">
        <v>110.4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112</v>
      </c>
      <c r="D11237" s="5">
        <v>0.1</v>
      </c>
      <c r="E11237" s="5">
        <v>112.1</v>
      </c>
      <c r="F11237" s="5">
        <v>222.4</v>
      </c>
      <c r="G11237" s="5">
        <v>110.5</v>
      </c>
      <c r="H11237" s="5">
        <v>110.4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112</v>
      </c>
      <c r="D11238" s="5">
        <v>0.1</v>
      </c>
      <c r="E11238" s="5">
        <v>112.1</v>
      </c>
      <c r="F11238" s="5">
        <v>222.4</v>
      </c>
      <c r="G11238" s="5">
        <v>110.5</v>
      </c>
      <c r="H11238" s="5">
        <v>110.4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112</v>
      </c>
      <c r="D11239" s="5">
        <v>0.1</v>
      </c>
      <c r="E11239" s="5">
        <v>112.1</v>
      </c>
      <c r="F11239" s="5">
        <v>222.4</v>
      </c>
      <c r="G11239" s="5">
        <v>110.5</v>
      </c>
      <c r="H11239" s="5">
        <v>110.4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112</v>
      </c>
      <c r="D11240" s="5">
        <v>0.1</v>
      </c>
      <c r="E11240" s="5">
        <v>112.1</v>
      </c>
      <c r="F11240" s="5">
        <v>222.4</v>
      </c>
      <c r="G11240" s="5">
        <v>110.5</v>
      </c>
      <c r="H11240" s="5">
        <v>110.4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112</v>
      </c>
      <c r="D11241" s="5">
        <v>0.1</v>
      </c>
      <c r="E11241" s="5">
        <v>112.1</v>
      </c>
      <c r="F11241" s="5">
        <v>222.4</v>
      </c>
      <c r="G11241" s="5">
        <v>110.5</v>
      </c>
      <c r="H11241" s="5">
        <v>110.4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112</v>
      </c>
      <c r="D11242" s="5">
        <v>0.1</v>
      </c>
      <c r="E11242" s="5">
        <v>112.1</v>
      </c>
      <c r="F11242" s="5">
        <v>222.4</v>
      </c>
      <c r="G11242" s="5">
        <v>110.5</v>
      </c>
      <c r="H11242" s="5">
        <v>110.4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112</v>
      </c>
      <c r="D11243" s="5">
        <v>0.1</v>
      </c>
      <c r="E11243" s="5">
        <v>112.1</v>
      </c>
      <c r="F11243" s="5">
        <v>222.4</v>
      </c>
      <c r="G11243" s="5">
        <v>110.5</v>
      </c>
      <c r="H11243" s="5">
        <v>110.4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112</v>
      </c>
      <c r="D11244" s="5">
        <v>0.1</v>
      </c>
      <c r="E11244" s="5">
        <v>112.1</v>
      </c>
      <c r="F11244" s="5">
        <v>222.4</v>
      </c>
      <c r="G11244" s="5">
        <v>110.5</v>
      </c>
      <c r="H11244" s="5">
        <v>110.4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112</v>
      </c>
      <c r="D11245" s="5">
        <v>0.1</v>
      </c>
      <c r="E11245" s="5">
        <v>112.1</v>
      </c>
      <c r="F11245" s="5">
        <v>222.4</v>
      </c>
      <c r="G11245" s="5">
        <v>110.5</v>
      </c>
      <c r="H11245" s="5">
        <v>110.4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112</v>
      </c>
      <c r="D11246" s="5">
        <v>0.1</v>
      </c>
      <c r="E11246" s="5">
        <v>112.1</v>
      </c>
      <c r="F11246" s="5">
        <v>222.4</v>
      </c>
      <c r="G11246" s="5">
        <v>110.5</v>
      </c>
      <c r="H11246" s="5">
        <v>110.4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112</v>
      </c>
      <c r="D11247" s="5">
        <v>0.1</v>
      </c>
      <c r="E11247" s="5">
        <v>112.1</v>
      </c>
      <c r="F11247" s="5">
        <v>222.4</v>
      </c>
      <c r="G11247" s="5">
        <v>110.5</v>
      </c>
      <c r="H11247" s="5">
        <v>110.4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112</v>
      </c>
      <c r="D11248" s="5">
        <v>0.1</v>
      </c>
      <c r="E11248" s="5">
        <v>112.1</v>
      </c>
      <c r="F11248" s="5">
        <v>222.4</v>
      </c>
      <c r="G11248" s="5">
        <v>110.5</v>
      </c>
      <c r="H11248" s="5">
        <v>110.4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112</v>
      </c>
      <c r="D11249" s="5">
        <v>0.1</v>
      </c>
      <c r="E11249" s="5">
        <v>112.1</v>
      </c>
      <c r="F11249" s="5">
        <v>222.4</v>
      </c>
      <c r="G11249" s="5">
        <v>110.5</v>
      </c>
      <c r="H11249" s="5">
        <v>110.4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112</v>
      </c>
      <c r="D11250" s="5">
        <v>0.1</v>
      </c>
      <c r="E11250" s="5">
        <v>112.1</v>
      </c>
      <c r="F11250" s="5">
        <v>222.4</v>
      </c>
      <c r="G11250" s="5">
        <v>110.5</v>
      </c>
      <c r="H11250" s="5">
        <v>110.4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112</v>
      </c>
      <c r="D11251" s="5">
        <v>0.1</v>
      </c>
      <c r="E11251" s="5">
        <v>112.1</v>
      </c>
      <c r="F11251" s="5">
        <v>222.4</v>
      </c>
      <c r="G11251" s="5">
        <v>110.5</v>
      </c>
      <c r="H11251" s="5">
        <v>110.4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112</v>
      </c>
      <c r="D11252" s="5">
        <v>0.1</v>
      </c>
      <c r="E11252" s="5">
        <v>112.1</v>
      </c>
      <c r="F11252" s="5">
        <v>222.4</v>
      </c>
      <c r="G11252" s="5">
        <v>110.5</v>
      </c>
      <c r="H11252" s="5">
        <v>110.4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112</v>
      </c>
      <c r="D11253" s="5">
        <v>0.1</v>
      </c>
      <c r="E11253" s="5">
        <v>112.1</v>
      </c>
      <c r="F11253" s="5">
        <v>222.4</v>
      </c>
      <c r="G11253" s="5">
        <v>110.5</v>
      </c>
      <c r="H11253" s="5">
        <v>110.4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112</v>
      </c>
      <c r="D11254" s="5">
        <v>0.1</v>
      </c>
      <c r="E11254" s="5">
        <v>112.1</v>
      </c>
      <c r="F11254" s="5">
        <v>222.4</v>
      </c>
      <c r="G11254" s="5">
        <v>110.5</v>
      </c>
      <c r="H11254" s="5">
        <v>110.4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112</v>
      </c>
      <c r="D11255" s="5">
        <v>0.1</v>
      </c>
      <c r="E11255" s="5">
        <v>112.1</v>
      </c>
      <c r="F11255" s="5">
        <v>222.4</v>
      </c>
      <c r="G11255" s="5">
        <v>110.5</v>
      </c>
      <c r="H11255" s="5">
        <v>110.4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112</v>
      </c>
      <c r="D11256" s="5">
        <v>0.1</v>
      </c>
      <c r="E11256" s="5">
        <v>112.1</v>
      </c>
      <c r="F11256" s="5">
        <v>222.4</v>
      </c>
      <c r="G11256" s="5">
        <v>110.5</v>
      </c>
      <c r="H11256" s="5">
        <v>110.4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112</v>
      </c>
      <c r="D11257" s="5">
        <v>0.1</v>
      </c>
      <c r="E11257" s="5">
        <v>112.1</v>
      </c>
      <c r="F11257" s="5">
        <v>222.4</v>
      </c>
      <c r="G11257" s="5">
        <v>110.5</v>
      </c>
      <c r="H11257" s="5">
        <v>110.4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112</v>
      </c>
      <c r="D11258" s="5">
        <v>0.1</v>
      </c>
      <c r="E11258" s="5">
        <v>112.1</v>
      </c>
      <c r="F11258" s="5">
        <v>222.4</v>
      </c>
      <c r="G11258" s="5">
        <v>110.5</v>
      </c>
      <c r="H11258" s="5">
        <v>110.4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112</v>
      </c>
      <c r="D11259" s="5">
        <v>0.1</v>
      </c>
      <c r="E11259" s="5">
        <v>112.1</v>
      </c>
      <c r="F11259" s="5">
        <v>222.4</v>
      </c>
      <c r="G11259" s="5">
        <v>110.5</v>
      </c>
      <c r="H11259" s="5">
        <v>110.4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112</v>
      </c>
      <c r="D11260" s="5">
        <v>0.1</v>
      </c>
      <c r="E11260" s="5">
        <v>112.1</v>
      </c>
      <c r="F11260" s="5">
        <v>222.4</v>
      </c>
      <c r="G11260" s="5">
        <v>110.5</v>
      </c>
      <c r="H11260" s="5">
        <v>110.4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112</v>
      </c>
      <c r="D11261" s="5">
        <v>0.1</v>
      </c>
      <c r="E11261" s="5">
        <v>112.1</v>
      </c>
      <c r="F11261" s="5">
        <v>222.4</v>
      </c>
      <c r="G11261" s="5">
        <v>110.5</v>
      </c>
      <c r="H11261" s="5">
        <v>110.4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112</v>
      </c>
      <c r="D11262" s="5">
        <v>0.1</v>
      </c>
      <c r="E11262" s="5">
        <v>112.1</v>
      </c>
      <c r="F11262" s="5">
        <v>222.4</v>
      </c>
      <c r="G11262" s="5">
        <v>110.5</v>
      </c>
      <c r="H11262" s="5">
        <v>110.4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112</v>
      </c>
      <c r="D11263" s="5">
        <v>0.1</v>
      </c>
      <c r="E11263" s="5">
        <v>112.1</v>
      </c>
      <c r="F11263" s="5">
        <v>222.4</v>
      </c>
      <c r="G11263" s="5">
        <v>110.5</v>
      </c>
      <c r="H11263" s="5">
        <v>110.4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112</v>
      </c>
      <c r="D11264" s="5">
        <v>0.1</v>
      </c>
      <c r="E11264" s="5">
        <v>112.1</v>
      </c>
      <c r="F11264" s="5">
        <v>222.4</v>
      </c>
      <c r="G11264" s="5">
        <v>110.5</v>
      </c>
      <c r="H11264" s="5">
        <v>110.4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112</v>
      </c>
      <c r="D11265" s="5">
        <v>0.1</v>
      </c>
      <c r="E11265" s="5">
        <v>112.1</v>
      </c>
      <c r="F11265" s="5">
        <v>222.4</v>
      </c>
      <c r="G11265" s="5">
        <v>110.5</v>
      </c>
      <c r="H11265" s="5">
        <v>110.4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112</v>
      </c>
      <c r="D11266" s="5">
        <v>0.1</v>
      </c>
      <c r="E11266" s="5">
        <v>112.1</v>
      </c>
      <c r="F11266" s="5">
        <v>222.4</v>
      </c>
      <c r="G11266" s="5">
        <v>110.5</v>
      </c>
      <c r="H11266" s="5">
        <v>110.4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112</v>
      </c>
      <c r="D11267" s="5">
        <v>0.1</v>
      </c>
      <c r="E11267" s="5">
        <v>112.1</v>
      </c>
      <c r="F11267" s="5">
        <v>222.4</v>
      </c>
      <c r="G11267" s="5">
        <v>110.5</v>
      </c>
      <c r="H11267" s="5">
        <v>110.4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112</v>
      </c>
      <c r="D11268" s="5">
        <v>0.1</v>
      </c>
      <c r="E11268" s="5">
        <v>112.1</v>
      </c>
      <c r="F11268" s="5">
        <v>222.4</v>
      </c>
      <c r="G11268" s="5">
        <v>110.5</v>
      </c>
      <c r="H11268" s="5">
        <v>110.4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112</v>
      </c>
      <c r="D11269" s="5">
        <v>0.1</v>
      </c>
      <c r="E11269" s="5">
        <v>112.1</v>
      </c>
      <c r="F11269" s="5">
        <v>222.4</v>
      </c>
      <c r="G11269" s="5">
        <v>110.5</v>
      </c>
      <c r="H11269" s="5">
        <v>110.4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112</v>
      </c>
      <c r="D11270" s="5">
        <v>0.1</v>
      </c>
      <c r="E11270" s="5">
        <v>112.1</v>
      </c>
      <c r="F11270" s="5">
        <v>222.4</v>
      </c>
      <c r="G11270" s="5">
        <v>110.5</v>
      </c>
      <c r="H11270" s="5">
        <v>110.4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112</v>
      </c>
      <c r="D11271" s="5">
        <v>0.1</v>
      </c>
      <c r="E11271" s="5">
        <v>112.1</v>
      </c>
      <c r="F11271" s="5">
        <v>222.4</v>
      </c>
      <c r="G11271" s="5">
        <v>110.5</v>
      </c>
      <c r="H11271" s="5">
        <v>110.4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112</v>
      </c>
      <c r="D11272" s="5">
        <v>0.1</v>
      </c>
      <c r="E11272" s="5">
        <v>112.1</v>
      </c>
      <c r="F11272" s="5">
        <v>222.4</v>
      </c>
      <c r="G11272" s="5">
        <v>110.5</v>
      </c>
      <c r="H11272" s="5">
        <v>110.4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112</v>
      </c>
      <c r="D11273" s="5">
        <v>0.1</v>
      </c>
      <c r="E11273" s="5">
        <v>112.1</v>
      </c>
      <c r="F11273" s="5">
        <v>222.4</v>
      </c>
      <c r="G11273" s="5">
        <v>110.5</v>
      </c>
      <c r="H11273" s="5">
        <v>110.4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112</v>
      </c>
      <c r="D11274" s="5">
        <v>0.1</v>
      </c>
      <c r="E11274" s="5">
        <v>112.1</v>
      </c>
      <c r="F11274" s="5">
        <v>222.4</v>
      </c>
      <c r="G11274" s="5">
        <v>110.5</v>
      </c>
      <c r="H11274" s="5">
        <v>110.4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112</v>
      </c>
      <c r="D11275" s="5">
        <v>0.1</v>
      </c>
      <c r="E11275" s="5">
        <v>112.1</v>
      </c>
      <c r="F11275" s="5">
        <v>222.4</v>
      </c>
      <c r="G11275" s="5">
        <v>110.5</v>
      </c>
      <c r="H11275" s="5">
        <v>110.4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112</v>
      </c>
      <c r="D11276" s="5">
        <v>0.1</v>
      </c>
      <c r="E11276" s="5">
        <v>112.1</v>
      </c>
      <c r="F11276" s="5">
        <v>222.4</v>
      </c>
      <c r="G11276" s="5">
        <v>110.5</v>
      </c>
      <c r="H11276" s="5">
        <v>110.4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112</v>
      </c>
      <c r="D11277" s="5">
        <v>0.1</v>
      </c>
      <c r="E11277" s="5">
        <v>112.1</v>
      </c>
      <c r="F11277" s="5">
        <v>222.4</v>
      </c>
      <c r="G11277" s="5">
        <v>110.5</v>
      </c>
      <c r="H11277" s="5">
        <v>110.4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112</v>
      </c>
      <c r="D11278" s="5">
        <v>0.1</v>
      </c>
      <c r="E11278" s="5">
        <v>112.1</v>
      </c>
      <c r="F11278" s="5">
        <v>222.4</v>
      </c>
      <c r="G11278" s="5">
        <v>110.5</v>
      </c>
      <c r="H11278" s="5">
        <v>110.4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112</v>
      </c>
      <c r="D11279" s="5">
        <v>0.1</v>
      </c>
      <c r="E11279" s="5">
        <v>112.1</v>
      </c>
      <c r="F11279" s="5">
        <v>222.4</v>
      </c>
      <c r="G11279" s="5">
        <v>110.5</v>
      </c>
      <c r="H11279" s="5">
        <v>110.4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112</v>
      </c>
      <c r="D11280" s="5">
        <v>0.1</v>
      </c>
      <c r="E11280" s="5">
        <v>112.1</v>
      </c>
      <c r="F11280" s="5">
        <v>222.4</v>
      </c>
      <c r="G11280" s="5">
        <v>110.5</v>
      </c>
      <c r="H11280" s="5">
        <v>110.4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112</v>
      </c>
      <c r="D11281" s="5">
        <v>0.1</v>
      </c>
      <c r="E11281" s="5">
        <v>112.1</v>
      </c>
      <c r="F11281" s="5">
        <v>222.4</v>
      </c>
      <c r="G11281" s="5">
        <v>110.5</v>
      </c>
      <c r="H11281" s="5">
        <v>110.4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112</v>
      </c>
      <c r="D11282" s="5">
        <v>0.1</v>
      </c>
      <c r="E11282" s="5">
        <v>112.1</v>
      </c>
      <c r="F11282" s="5">
        <v>222.4</v>
      </c>
      <c r="G11282" s="5">
        <v>110.5</v>
      </c>
      <c r="H11282" s="5">
        <v>110.4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112</v>
      </c>
      <c r="D11283" s="5">
        <v>0.1</v>
      </c>
      <c r="E11283" s="5">
        <v>112.1</v>
      </c>
      <c r="F11283" s="5">
        <v>222.4</v>
      </c>
      <c r="G11283" s="5">
        <v>110.5</v>
      </c>
      <c r="H11283" s="5">
        <v>110.4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112</v>
      </c>
      <c r="D11284" s="5">
        <v>0.1</v>
      </c>
      <c r="E11284" s="5">
        <v>112.1</v>
      </c>
      <c r="F11284" s="5">
        <v>222.4</v>
      </c>
      <c r="G11284" s="5">
        <v>110.5</v>
      </c>
      <c r="H11284" s="5">
        <v>110.4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112</v>
      </c>
      <c r="D11285" s="5">
        <v>0.1</v>
      </c>
      <c r="E11285" s="5">
        <v>112.1</v>
      </c>
      <c r="F11285" s="5">
        <v>222.4</v>
      </c>
      <c r="G11285" s="5">
        <v>110.5</v>
      </c>
      <c r="H11285" s="5">
        <v>110.4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112</v>
      </c>
      <c r="D11286" s="5">
        <v>0.1</v>
      </c>
      <c r="E11286" s="5">
        <v>112.1</v>
      </c>
      <c r="F11286" s="5">
        <v>222.4</v>
      </c>
      <c r="G11286" s="5">
        <v>110.5</v>
      </c>
      <c r="H11286" s="5">
        <v>110.4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112</v>
      </c>
      <c r="D11287" s="5">
        <v>0.1</v>
      </c>
      <c r="E11287" s="5">
        <v>112.1</v>
      </c>
      <c r="F11287" s="5">
        <v>222.4</v>
      </c>
      <c r="G11287" s="5">
        <v>110.5</v>
      </c>
      <c r="H11287" s="5">
        <v>110.4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112</v>
      </c>
      <c r="D11288" s="5">
        <v>0.1</v>
      </c>
      <c r="E11288" s="5">
        <v>112.1</v>
      </c>
      <c r="F11288" s="5">
        <v>222.4</v>
      </c>
      <c r="G11288" s="5">
        <v>110.5</v>
      </c>
      <c r="H11288" s="5">
        <v>110.4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112</v>
      </c>
      <c r="D11289" s="5">
        <v>0.1</v>
      </c>
      <c r="E11289" s="5">
        <v>112.1</v>
      </c>
      <c r="F11289" s="5">
        <v>222.4</v>
      </c>
      <c r="G11289" s="5">
        <v>110.5</v>
      </c>
      <c r="H11289" s="5">
        <v>110.4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112</v>
      </c>
      <c r="D11290" s="5">
        <v>0.1</v>
      </c>
      <c r="E11290" s="5">
        <v>112.1</v>
      </c>
      <c r="F11290" s="5">
        <v>222.4</v>
      </c>
      <c r="G11290" s="5">
        <v>110.5</v>
      </c>
      <c r="H11290" s="5">
        <v>110.4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112</v>
      </c>
      <c r="D11291" s="5">
        <v>0.1</v>
      </c>
      <c r="E11291" s="5">
        <v>112.1</v>
      </c>
      <c r="F11291" s="5">
        <v>222.4</v>
      </c>
      <c r="G11291" s="5">
        <v>110.5</v>
      </c>
      <c r="H11291" s="5">
        <v>110.4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112</v>
      </c>
      <c r="D11292" s="5">
        <v>0.1</v>
      </c>
      <c r="E11292" s="5">
        <v>112.1</v>
      </c>
      <c r="F11292" s="5">
        <v>222.4</v>
      </c>
      <c r="G11292" s="5">
        <v>110.5</v>
      </c>
      <c r="H11292" s="5">
        <v>110.4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112</v>
      </c>
      <c r="D11293" s="5">
        <v>0.1</v>
      </c>
      <c r="E11293" s="5">
        <v>112.1</v>
      </c>
      <c r="F11293" s="5">
        <v>222.4</v>
      </c>
      <c r="G11293" s="5">
        <v>110.5</v>
      </c>
      <c r="H11293" s="5">
        <v>110.4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112</v>
      </c>
      <c r="D11294" s="5">
        <v>0.1</v>
      </c>
      <c r="E11294" s="5">
        <v>112.1</v>
      </c>
      <c r="F11294" s="5">
        <v>222.4</v>
      </c>
      <c r="G11294" s="5">
        <v>110.5</v>
      </c>
      <c r="H11294" s="5">
        <v>110.4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112</v>
      </c>
      <c r="D11295" s="5">
        <v>0.1</v>
      </c>
      <c r="E11295" s="5">
        <v>112.1</v>
      </c>
      <c r="F11295" s="5">
        <v>222.4</v>
      </c>
      <c r="G11295" s="5">
        <v>110.5</v>
      </c>
      <c r="H11295" s="5">
        <v>110.4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112</v>
      </c>
      <c r="D11296" s="5">
        <v>0.1</v>
      </c>
      <c r="E11296" s="5">
        <v>112.1</v>
      </c>
      <c r="F11296" s="5">
        <v>222.4</v>
      </c>
      <c r="G11296" s="5">
        <v>110.5</v>
      </c>
      <c r="H11296" s="5">
        <v>110.4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112</v>
      </c>
      <c r="D11297" s="5">
        <v>0.1</v>
      </c>
      <c r="E11297" s="5">
        <v>112.1</v>
      </c>
      <c r="F11297" s="5">
        <v>222.4</v>
      </c>
      <c r="G11297" s="5">
        <v>110.5</v>
      </c>
      <c r="H11297" s="5">
        <v>110.4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112</v>
      </c>
      <c r="D11298" s="5">
        <v>0.1</v>
      </c>
      <c r="E11298" s="5">
        <v>112.1</v>
      </c>
      <c r="F11298" s="5">
        <v>222.4</v>
      </c>
      <c r="G11298" s="5">
        <v>110.5</v>
      </c>
      <c r="H11298" s="5">
        <v>110.4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112</v>
      </c>
      <c r="D11299" s="5">
        <v>0.1</v>
      </c>
      <c r="E11299" s="5">
        <v>112.1</v>
      </c>
      <c r="F11299" s="5">
        <v>222.4</v>
      </c>
      <c r="G11299" s="5">
        <v>110.5</v>
      </c>
      <c r="H11299" s="5">
        <v>110.4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112</v>
      </c>
      <c r="D11300" s="5">
        <v>0.1</v>
      </c>
      <c r="E11300" s="5">
        <v>112.1</v>
      </c>
      <c r="F11300" s="5">
        <v>222.4</v>
      </c>
      <c r="G11300" s="5">
        <v>110.5</v>
      </c>
      <c r="H11300" s="5">
        <v>110.4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112</v>
      </c>
      <c r="D11301" s="5">
        <v>0.1</v>
      </c>
      <c r="E11301" s="5">
        <v>112.1</v>
      </c>
      <c r="F11301" s="5">
        <v>222.4</v>
      </c>
      <c r="G11301" s="5">
        <v>110.5</v>
      </c>
      <c r="H11301" s="5">
        <v>110.4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112</v>
      </c>
      <c r="D11302" s="5">
        <v>0.1</v>
      </c>
      <c r="E11302" s="5">
        <v>112.1</v>
      </c>
      <c r="F11302" s="5">
        <v>222.4</v>
      </c>
      <c r="G11302" s="5">
        <v>110.5</v>
      </c>
      <c r="H11302" s="5">
        <v>110.4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112</v>
      </c>
      <c r="D11303" s="5">
        <v>0.1</v>
      </c>
      <c r="E11303" s="5">
        <v>112.1</v>
      </c>
      <c r="F11303" s="5">
        <v>222.4</v>
      </c>
      <c r="G11303" s="5">
        <v>110.5</v>
      </c>
      <c r="H11303" s="5">
        <v>110.4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112</v>
      </c>
      <c r="D11304" s="5">
        <v>0.1</v>
      </c>
      <c r="E11304" s="5">
        <v>112.1</v>
      </c>
      <c r="F11304" s="5">
        <v>222.4</v>
      </c>
      <c r="G11304" s="5">
        <v>110.5</v>
      </c>
      <c r="H11304" s="5">
        <v>110.4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112</v>
      </c>
      <c r="D11305" s="5">
        <v>0.1</v>
      </c>
      <c r="E11305" s="5">
        <v>112.1</v>
      </c>
      <c r="F11305" s="5">
        <v>222.4</v>
      </c>
      <c r="G11305" s="5">
        <v>110.5</v>
      </c>
      <c r="H11305" s="5">
        <v>110.4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112</v>
      </c>
      <c r="D11306" s="5">
        <v>0.1</v>
      </c>
      <c r="E11306" s="5">
        <v>112.1</v>
      </c>
      <c r="F11306" s="5">
        <v>222.4</v>
      </c>
      <c r="G11306" s="5">
        <v>110.5</v>
      </c>
      <c r="H11306" s="5">
        <v>110.4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112</v>
      </c>
      <c r="D11307" s="5">
        <v>0.1</v>
      </c>
      <c r="E11307" s="5">
        <v>112.1</v>
      </c>
      <c r="F11307" s="5">
        <v>222.4</v>
      </c>
      <c r="G11307" s="5">
        <v>110.5</v>
      </c>
      <c r="H11307" s="5">
        <v>110.4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112</v>
      </c>
      <c r="D11308" s="5">
        <v>0.1</v>
      </c>
      <c r="E11308" s="5">
        <v>112.1</v>
      </c>
      <c r="F11308" s="5">
        <v>222.4</v>
      </c>
      <c r="G11308" s="5">
        <v>110.5</v>
      </c>
      <c r="H11308" s="5">
        <v>110.4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112</v>
      </c>
      <c r="D11309" s="5">
        <v>0.1</v>
      </c>
      <c r="E11309" s="5">
        <v>112.1</v>
      </c>
      <c r="F11309" s="5">
        <v>222.4</v>
      </c>
      <c r="G11309" s="5">
        <v>110.5</v>
      </c>
      <c r="H11309" s="5">
        <v>110.4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112</v>
      </c>
      <c r="D11310" s="5">
        <v>0.1</v>
      </c>
      <c r="E11310" s="5">
        <v>112.1</v>
      </c>
      <c r="F11310" s="5">
        <v>222.4</v>
      </c>
      <c r="G11310" s="5">
        <v>110.5</v>
      </c>
      <c r="H11310" s="5">
        <v>110.4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112</v>
      </c>
      <c r="D11311" s="5">
        <v>0.1</v>
      </c>
      <c r="E11311" s="5">
        <v>112.1</v>
      </c>
      <c r="F11311" s="5">
        <v>222.4</v>
      </c>
      <c r="G11311" s="5">
        <v>110.5</v>
      </c>
      <c r="H11311" s="5">
        <v>110.4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112</v>
      </c>
      <c r="D11312" s="5">
        <v>0.1</v>
      </c>
      <c r="E11312" s="5">
        <v>112.1</v>
      </c>
      <c r="F11312" s="5">
        <v>222.4</v>
      </c>
      <c r="G11312" s="5">
        <v>110.5</v>
      </c>
      <c r="H11312" s="5">
        <v>110.4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112</v>
      </c>
      <c r="D11313" s="5">
        <v>0.1</v>
      </c>
      <c r="E11313" s="5">
        <v>112.1</v>
      </c>
      <c r="F11313" s="5">
        <v>222.4</v>
      </c>
      <c r="G11313" s="5">
        <v>110.5</v>
      </c>
      <c r="H11313" s="5">
        <v>110.4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112</v>
      </c>
      <c r="D11314" s="5">
        <v>0.1</v>
      </c>
      <c r="E11314" s="5">
        <v>112.1</v>
      </c>
      <c r="F11314" s="5">
        <v>222.4</v>
      </c>
      <c r="G11314" s="5">
        <v>110.5</v>
      </c>
      <c r="H11314" s="5">
        <v>110.4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112</v>
      </c>
      <c r="D11315" s="5">
        <v>0.1</v>
      </c>
      <c r="E11315" s="5">
        <v>112.1</v>
      </c>
      <c r="F11315" s="5">
        <v>222.4</v>
      </c>
      <c r="G11315" s="5">
        <v>110.5</v>
      </c>
      <c r="H11315" s="5">
        <v>110.4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112</v>
      </c>
      <c r="D11316" s="5">
        <v>0.1</v>
      </c>
      <c r="E11316" s="5">
        <v>112.1</v>
      </c>
      <c r="F11316" s="5">
        <v>222.4</v>
      </c>
      <c r="G11316" s="5">
        <v>110.5</v>
      </c>
      <c r="H11316" s="5">
        <v>110.4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112</v>
      </c>
      <c r="D11317" s="5">
        <v>0.1</v>
      </c>
      <c r="E11317" s="5">
        <v>112.1</v>
      </c>
      <c r="F11317" s="5">
        <v>222.4</v>
      </c>
      <c r="G11317" s="5">
        <v>110.5</v>
      </c>
      <c r="H11317" s="5">
        <v>110.4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112</v>
      </c>
      <c r="D11318" s="5">
        <v>0.1</v>
      </c>
      <c r="E11318" s="5">
        <v>112.1</v>
      </c>
      <c r="F11318" s="5">
        <v>222.4</v>
      </c>
      <c r="G11318" s="5">
        <v>110.5</v>
      </c>
      <c r="H11318" s="5">
        <v>110.4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112</v>
      </c>
      <c r="D11319" s="5">
        <v>0.1</v>
      </c>
      <c r="E11319" s="5">
        <v>112.1</v>
      </c>
      <c r="F11319" s="5">
        <v>222.4</v>
      </c>
      <c r="G11319" s="5">
        <v>110.5</v>
      </c>
      <c r="H11319" s="5">
        <v>110.4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112</v>
      </c>
      <c r="D11320" s="5">
        <v>0.1</v>
      </c>
      <c r="E11320" s="5">
        <v>112.1</v>
      </c>
      <c r="F11320" s="5">
        <v>222.4</v>
      </c>
      <c r="G11320" s="5">
        <v>110.5</v>
      </c>
      <c r="H11320" s="5">
        <v>110.4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112</v>
      </c>
      <c r="D11321" s="5">
        <v>0.1</v>
      </c>
      <c r="E11321" s="5">
        <v>112.1</v>
      </c>
      <c r="F11321" s="5">
        <v>222.4</v>
      </c>
      <c r="G11321" s="5">
        <v>110.5</v>
      </c>
      <c r="H11321" s="5">
        <v>110.4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112</v>
      </c>
      <c r="D11322" s="5">
        <v>0.1</v>
      </c>
      <c r="E11322" s="5">
        <v>112.1</v>
      </c>
      <c r="F11322" s="5">
        <v>222.4</v>
      </c>
      <c r="G11322" s="5">
        <v>110.5</v>
      </c>
      <c r="H11322" s="5">
        <v>110.4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112</v>
      </c>
      <c r="D11323" s="5">
        <v>0.1</v>
      </c>
      <c r="E11323" s="5">
        <v>112.1</v>
      </c>
      <c r="F11323" s="5">
        <v>222.4</v>
      </c>
      <c r="G11323" s="5">
        <v>110.5</v>
      </c>
      <c r="H11323" s="5">
        <v>110.4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112</v>
      </c>
      <c r="D11324" s="5">
        <v>0.1</v>
      </c>
      <c r="E11324" s="5">
        <v>112.1</v>
      </c>
      <c r="F11324" s="5">
        <v>222.4</v>
      </c>
      <c r="G11324" s="5">
        <v>110.5</v>
      </c>
      <c r="H11324" s="5">
        <v>110.4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112</v>
      </c>
      <c r="D11325" s="5">
        <v>0.1</v>
      </c>
      <c r="E11325" s="5">
        <v>112.1</v>
      </c>
      <c r="F11325" s="5">
        <v>222.4</v>
      </c>
      <c r="G11325" s="5">
        <v>110.5</v>
      </c>
      <c r="H11325" s="5">
        <v>110.4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112</v>
      </c>
      <c r="D11326" s="5">
        <v>0.1</v>
      </c>
      <c r="E11326" s="5">
        <v>112.1</v>
      </c>
      <c r="F11326" s="5">
        <v>222.4</v>
      </c>
      <c r="G11326" s="5">
        <v>110.5</v>
      </c>
      <c r="H11326" s="5">
        <v>110.4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112</v>
      </c>
      <c r="D11327" s="5">
        <v>0.1</v>
      </c>
      <c r="E11327" s="5">
        <v>112.1</v>
      </c>
      <c r="F11327" s="5">
        <v>222.4</v>
      </c>
      <c r="G11327" s="5">
        <v>110.5</v>
      </c>
      <c r="H11327" s="5">
        <v>110.4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112</v>
      </c>
      <c r="D11328" s="5">
        <v>0.1</v>
      </c>
      <c r="E11328" s="5">
        <v>112.1</v>
      </c>
      <c r="F11328" s="5">
        <v>222.4</v>
      </c>
      <c r="G11328" s="5">
        <v>110.5</v>
      </c>
      <c r="H11328" s="5">
        <v>110.4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112</v>
      </c>
      <c r="D11329" s="5">
        <v>0.1</v>
      </c>
      <c r="E11329" s="5">
        <v>112.1</v>
      </c>
      <c r="F11329" s="5">
        <v>222.4</v>
      </c>
      <c r="G11329" s="5">
        <v>110.5</v>
      </c>
      <c r="H11329" s="5">
        <v>110.4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112</v>
      </c>
      <c r="D11330" s="5">
        <v>0.1</v>
      </c>
      <c r="E11330" s="5">
        <v>112.1</v>
      </c>
      <c r="F11330" s="5">
        <v>222.4</v>
      </c>
      <c r="G11330" s="5">
        <v>110.5</v>
      </c>
      <c r="H11330" s="5">
        <v>110.4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112</v>
      </c>
      <c r="D11331" s="5">
        <v>0.1</v>
      </c>
      <c r="E11331" s="5">
        <v>112.1</v>
      </c>
      <c r="F11331" s="5">
        <v>222.4</v>
      </c>
      <c r="G11331" s="5">
        <v>110.5</v>
      </c>
      <c r="H11331" s="5">
        <v>110.4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112</v>
      </c>
      <c r="D11332" s="5">
        <v>0.1</v>
      </c>
      <c r="E11332" s="5">
        <v>112.1</v>
      </c>
      <c r="F11332" s="5">
        <v>222.4</v>
      </c>
      <c r="G11332" s="5">
        <v>110.5</v>
      </c>
      <c r="H11332" s="5">
        <v>110.4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112</v>
      </c>
      <c r="D11333" s="5">
        <v>0.1</v>
      </c>
      <c r="E11333" s="5">
        <v>112.1</v>
      </c>
      <c r="F11333" s="5">
        <v>222.4</v>
      </c>
      <c r="G11333" s="5">
        <v>110.5</v>
      </c>
      <c r="H11333" s="5">
        <v>110.4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112</v>
      </c>
      <c r="D11334" s="5">
        <v>0.1</v>
      </c>
      <c r="E11334" s="5">
        <v>112.1</v>
      </c>
      <c r="F11334" s="5">
        <v>222.4</v>
      </c>
      <c r="G11334" s="5">
        <v>110.5</v>
      </c>
      <c r="H11334" s="5">
        <v>110.4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112</v>
      </c>
      <c r="D11335" s="5">
        <v>0.1</v>
      </c>
      <c r="E11335" s="5">
        <v>112.1</v>
      </c>
      <c r="F11335" s="5">
        <v>222.4</v>
      </c>
      <c r="G11335" s="5">
        <v>110.5</v>
      </c>
      <c r="H11335" s="5">
        <v>110.4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112</v>
      </c>
      <c r="D11336" s="5">
        <v>0.1</v>
      </c>
      <c r="E11336" s="5">
        <v>112.1</v>
      </c>
      <c r="F11336" s="5">
        <v>222.4</v>
      </c>
      <c r="G11336" s="5">
        <v>110.5</v>
      </c>
      <c r="H11336" s="5">
        <v>110.4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112</v>
      </c>
      <c r="D11337" s="5">
        <v>0.1</v>
      </c>
      <c r="E11337" s="5">
        <v>112.1</v>
      </c>
      <c r="F11337" s="5">
        <v>222.4</v>
      </c>
      <c r="G11337" s="5">
        <v>110.5</v>
      </c>
      <c r="H11337" s="5">
        <v>110.4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112</v>
      </c>
      <c r="D11338" s="5">
        <v>0.1</v>
      </c>
      <c r="E11338" s="5">
        <v>112.1</v>
      </c>
      <c r="F11338" s="5">
        <v>222.4</v>
      </c>
      <c r="G11338" s="5">
        <v>110.5</v>
      </c>
      <c r="H11338" s="5">
        <v>110.4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112</v>
      </c>
      <c r="D11339" s="5">
        <v>0.1</v>
      </c>
      <c r="E11339" s="5">
        <v>112.1</v>
      </c>
      <c r="F11339" s="5">
        <v>222.4</v>
      </c>
      <c r="G11339" s="5">
        <v>110.5</v>
      </c>
      <c r="H11339" s="5">
        <v>110.4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112</v>
      </c>
      <c r="D11340" s="5">
        <v>0.1</v>
      </c>
      <c r="E11340" s="5">
        <v>112.1</v>
      </c>
      <c r="F11340" s="5">
        <v>222.4</v>
      </c>
      <c r="G11340" s="5">
        <v>110.5</v>
      </c>
      <c r="H11340" s="5">
        <v>110.4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112</v>
      </c>
      <c r="D11341" s="5">
        <v>0.1</v>
      </c>
      <c r="E11341" s="5">
        <v>112.1</v>
      </c>
      <c r="F11341" s="5">
        <v>222.4</v>
      </c>
      <c r="G11341" s="5">
        <v>110.5</v>
      </c>
      <c r="H11341" s="5">
        <v>110.4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112</v>
      </c>
      <c r="D11342" s="5">
        <v>0.1</v>
      </c>
      <c r="E11342" s="5">
        <v>112.1</v>
      </c>
      <c r="F11342" s="5">
        <v>222.4</v>
      </c>
      <c r="G11342" s="5">
        <v>110.5</v>
      </c>
      <c r="H11342" s="5">
        <v>110.4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112</v>
      </c>
      <c r="D11343" s="5">
        <v>0.1</v>
      </c>
      <c r="E11343" s="5">
        <v>112.1</v>
      </c>
      <c r="F11343" s="5">
        <v>222.4</v>
      </c>
      <c r="G11343" s="5">
        <v>110.5</v>
      </c>
      <c r="H11343" s="5">
        <v>110.4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112</v>
      </c>
      <c r="D11344" s="5">
        <v>0.1</v>
      </c>
      <c r="E11344" s="5">
        <v>112.1</v>
      </c>
      <c r="F11344" s="5">
        <v>222.4</v>
      </c>
      <c r="G11344" s="5">
        <v>110.5</v>
      </c>
      <c r="H11344" s="5">
        <v>110.4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112</v>
      </c>
      <c r="D11345" s="5">
        <v>0.1</v>
      </c>
      <c r="E11345" s="5">
        <v>112.1</v>
      </c>
      <c r="F11345" s="5">
        <v>222.4</v>
      </c>
      <c r="G11345" s="5">
        <v>110.5</v>
      </c>
      <c r="H11345" s="5">
        <v>110.4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112</v>
      </c>
      <c r="D11346" s="5">
        <v>0.1</v>
      </c>
      <c r="E11346" s="5">
        <v>112.1</v>
      </c>
      <c r="F11346" s="5">
        <v>222.4</v>
      </c>
      <c r="G11346" s="5">
        <v>110.5</v>
      </c>
      <c r="H11346" s="5">
        <v>110.4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112</v>
      </c>
      <c r="D11347" s="5">
        <v>0.1</v>
      </c>
      <c r="E11347" s="5">
        <v>112.1</v>
      </c>
      <c r="F11347" s="5">
        <v>222.4</v>
      </c>
      <c r="G11347" s="5">
        <v>110.5</v>
      </c>
      <c r="H11347" s="5">
        <v>110.4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112</v>
      </c>
      <c r="D11348" s="5">
        <v>0.1</v>
      </c>
      <c r="E11348" s="5">
        <v>112.1</v>
      </c>
      <c r="F11348" s="5">
        <v>222.4</v>
      </c>
      <c r="G11348" s="5">
        <v>110.5</v>
      </c>
      <c r="H11348" s="5">
        <v>110.4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112</v>
      </c>
      <c r="D11349" s="5">
        <v>0.1</v>
      </c>
      <c r="E11349" s="5">
        <v>112.1</v>
      </c>
      <c r="F11349" s="5">
        <v>222.4</v>
      </c>
      <c r="G11349" s="5">
        <v>110.5</v>
      </c>
      <c r="H11349" s="5">
        <v>110.4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112</v>
      </c>
      <c r="D11350" s="5">
        <v>0.1</v>
      </c>
      <c r="E11350" s="5">
        <v>112.1</v>
      </c>
      <c r="F11350" s="5">
        <v>222.4</v>
      </c>
      <c r="G11350" s="5">
        <v>110.5</v>
      </c>
      <c r="H11350" s="5">
        <v>110.4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112</v>
      </c>
      <c r="D11351" s="5">
        <v>0.1</v>
      </c>
      <c r="E11351" s="5">
        <v>112.1</v>
      </c>
      <c r="F11351" s="5">
        <v>222.4</v>
      </c>
      <c r="G11351" s="5">
        <v>110.5</v>
      </c>
      <c r="H11351" s="5">
        <v>110.4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112</v>
      </c>
      <c r="D11352" s="5">
        <v>0.1</v>
      </c>
      <c r="E11352" s="5">
        <v>112.1</v>
      </c>
      <c r="F11352" s="5">
        <v>222.4</v>
      </c>
      <c r="G11352" s="5">
        <v>110.5</v>
      </c>
      <c r="H11352" s="5">
        <v>110.4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112</v>
      </c>
      <c r="D11353" s="5">
        <v>0.1</v>
      </c>
      <c r="E11353" s="5">
        <v>112.1</v>
      </c>
      <c r="F11353" s="5">
        <v>222.4</v>
      </c>
      <c r="G11353" s="5">
        <v>110.5</v>
      </c>
      <c r="H11353" s="5">
        <v>110.4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112</v>
      </c>
      <c r="D11354" s="5">
        <v>0.1</v>
      </c>
      <c r="E11354" s="5">
        <v>112.1</v>
      </c>
      <c r="F11354" s="5">
        <v>222.4</v>
      </c>
      <c r="G11354" s="5">
        <v>110.5</v>
      </c>
      <c r="H11354" s="5">
        <v>110.4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112</v>
      </c>
      <c r="D11355" s="5">
        <v>0.1</v>
      </c>
      <c r="E11355" s="5">
        <v>112.1</v>
      </c>
      <c r="F11355" s="5">
        <v>222.4</v>
      </c>
      <c r="G11355" s="5">
        <v>110.5</v>
      </c>
      <c r="H11355" s="5">
        <v>110.4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112</v>
      </c>
      <c r="D11356" s="5">
        <v>0.1</v>
      </c>
      <c r="E11356" s="5">
        <v>112.1</v>
      </c>
      <c r="F11356" s="5">
        <v>222.4</v>
      </c>
      <c r="G11356" s="5">
        <v>110.5</v>
      </c>
      <c r="H11356" s="5">
        <v>110.4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112</v>
      </c>
      <c r="D11357" s="5">
        <v>0.1</v>
      </c>
      <c r="E11357" s="5">
        <v>112.1</v>
      </c>
      <c r="F11357" s="5">
        <v>222.4</v>
      </c>
      <c r="G11357" s="5">
        <v>110.5</v>
      </c>
      <c r="H11357" s="5">
        <v>110.4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112</v>
      </c>
      <c r="D11358" s="5">
        <v>0.1</v>
      </c>
      <c r="E11358" s="5">
        <v>112.1</v>
      </c>
      <c r="F11358" s="5">
        <v>222.4</v>
      </c>
      <c r="G11358" s="5">
        <v>110.5</v>
      </c>
      <c r="H11358" s="5">
        <v>110.4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112</v>
      </c>
      <c r="D11359" s="5">
        <v>0.1</v>
      </c>
      <c r="E11359" s="5">
        <v>112.1</v>
      </c>
      <c r="F11359" s="5">
        <v>222.4</v>
      </c>
      <c r="G11359" s="5">
        <v>110.5</v>
      </c>
      <c r="H11359" s="5">
        <v>110.4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112</v>
      </c>
      <c r="D11360" s="5">
        <v>0.1</v>
      </c>
      <c r="E11360" s="5">
        <v>112.1</v>
      </c>
      <c r="F11360" s="5">
        <v>222.4</v>
      </c>
      <c r="G11360" s="5">
        <v>110.5</v>
      </c>
      <c r="H11360" s="5">
        <v>110.4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112</v>
      </c>
      <c r="D11361" s="5">
        <v>0.1</v>
      </c>
      <c r="E11361" s="5">
        <v>112.1</v>
      </c>
      <c r="F11361" s="5">
        <v>222.4</v>
      </c>
      <c r="G11361" s="5">
        <v>110.5</v>
      </c>
      <c r="H11361" s="5">
        <v>110.4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112</v>
      </c>
      <c r="D11362" s="5">
        <v>0.1</v>
      </c>
      <c r="E11362" s="5">
        <v>112.1</v>
      </c>
      <c r="F11362" s="5">
        <v>222.4</v>
      </c>
      <c r="G11362" s="5">
        <v>110.5</v>
      </c>
      <c r="H11362" s="5">
        <v>110.4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112</v>
      </c>
      <c r="D11363" s="5">
        <v>0.1</v>
      </c>
      <c r="E11363" s="5">
        <v>112.1</v>
      </c>
      <c r="F11363" s="5">
        <v>222.4</v>
      </c>
      <c r="G11363" s="5">
        <v>110.5</v>
      </c>
      <c r="H11363" s="5">
        <v>110.4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112</v>
      </c>
      <c r="D11364" s="5">
        <v>0.1</v>
      </c>
      <c r="E11364" s="5">
        <v>112.1</v>
      </c>
      <c r="F11364" s="5">
        <v>222.4</v>
      </c>
      <c r="G11364" s="5">
        <v>110.5</v>
      </c>
      <c r="H11364" s="5">
        <v>110.4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112</v>
      </c>
      <c r="D11365" s="5">
        <v>0.1</v>
      </c>
      <c r="E11365" s="5">
        <v>112.1</v>
      </c>
      <c r="F11365" s="5">
        <v>222.4</v>
      </c>
      <c r="G11365" s="5">
        <v>110.5</v>
      </c>
      <c r="H11365" s="5">
        <v>110.4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112</v>
      </c>
      <c r="D11366" s="5">
        <v>0.1</v>
      </c>
      <c r="E11366" s="5">
        <v>112.1</v>
      </c>
      <c r="F11366" s="5">
        <v>222.4</v>
      </c>
      <c r="G11366" s="5">
        <v>110.5</v>
      </c>
      <c r="H11366" s="5">
        <v>110.4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112</v>
      </c>
      <c r="D11367" s="5">
        <v>0.1</v>
      </c>
      <c r="E11367" s="5">
        <v>112.1</v>
      </c>
      <c r="F11367" s="5">
        <v>222.4</v>
      </c>
      <c r="G11367" s="5">
        <v>110.5</v>
      </c>
      <c r="H11367" s="5">
        <v>110.4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112</v>
      </c>
      <c r="D11368" s="5">
        <v>0.1</v>
      </c>
      <c r="E11368" s="5">
        <v>112.1</v>
      </c>
      <c r="F11368" s="5">
        <v>222.4</v>
      </c>
      <c r="G11368" s="5">
        <v>110.5</v>
      </c>
      <c r="H11368" s="5">
        <v>110.4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112</v>
      </c>
      <c r="D11369" s="5">
        <v>0.1</v>
      </c>
      <c r="E11369" s="5">
        <v>112.1</v>
      </c>
      <c r="F11369" s="5">
        <v>222.4</v>
      </c>
      <c r="G11369" s="5">
        <v>110.5</v>
      </c>
      <c r="H11369" s="5">
        <v>110.4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112</v>
      </c>
      <c r="D11370" s="5">
        <v>0.1</v>
      </c>
      <c r="E11370" s="5">
        <v>112.1</v>
      </c>
      <c r="F11370" s="5">
        <v>222.4</v>
      </c>
      <c r="G11370" s="5">
        <v>110.5</v>
      </c>
      <c r="H11370" s="5">
        <v>110.4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112</v>
      </c>
      <c r="D11371" s="5">
        <v>0.1</v>
      </c>
      <c r="E11371" s="5">
        <v>112.1</v>
      </c>
      <c r="F11371" s="5">
        <v>222.4</v>
      </c>
      <c r="G11371" s="5">
        <v>110.5</v>
      </c>
      <c r="H11371" s="5">
        <v>110.4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112</v>
      </c>
      <c r="D11372" s="5">
        <v>0.1</v>
      </c>
      <c r="E11372" s="5">
        <v>112.1</v>
      </c>
      <c r="F11372" s="5">
        <v>222.4</v>
      </c>
      <c r="G11372" s="5">
        <v>110.5</v>
      </c>
      <c r="H11372" s="5">
        <v>110.4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112</v>
      </c>
      <c r="D11373" s="5">
        <v>0.1</v>
      </c>
      <c r="E11373" s="5">
        <v>112.1</v>
      </c>
      <c r="F11373" s="5">
        <v>222.4</v>
      </c>
      <c r="G11373" s="5">
        <v>110.5</v>
      </c>
      <c r="H11373" s="5">
        <v>110.4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112</v>
      </c>
      <c r="D11374" s="5">
        <v>0.1</v>
      </c>
      <c r="E11374" s="5">
        <v>112.1</v>
      </c>
      <c r="F11374" s="5">
        <v>222.4</v>
      </c>
      <c r="G11374" s="5">
        <v>110.5</v>
      </c>
      <c r="H11374" s="5">
        <v>110.4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112</v>
      </c>
      <c r="D11375" s="5">
        <v>0.1</v>
      </c>
      <c r="E11375" s="5">
        <v>112.1</v>
      </c>
      <c r="F11375" s="5">
        <v>222.4</v>
      </c>
      <c r="G11375" s="5">
        <v>110.5</v>
      </c>
      <c r="H11375" s="5">
        <v>110.4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112</v>
      </c>
      <c r="D11376" s="5">
        <v>0.1</v>
      </c>
      <c r="E11376" s="5">
        <v>112.1</v>
      </c>
      <c r="F11376" s="5">
        <v>222.4</v>
      </c>
      <c r="G11376" s="5">
        <v>110.5</v>
      </c>
      <c r="H11376" s="5">
        <v>110.4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112</v>
      </c>
      <c r="D11377" s="5">
        <v>0.1</v>
      </c>
      <c r="E11377" s="5">
        <v>112.1</v>
      </c>
      <c r="F11377" s="5">
        <v>222.4</v>
      </c>
      <c r="G11377" s="5">
        <v>110.5</v>
      </c>
      <c r="H11377" s="5">
        <v>110.4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112</v>
      </c>
      <c r="D11378" s="5">
        <v>0.1</v>
      </c>
      <c r="E11378" s="5">
        <v>112.1</v>
      </c>
      <c r="F11378" s="5">
        <v>222.4</v>
      </c>
      <c r="G11378" s="5">
        <v>110.5</v>
      </c>
      <c r="H11378" s="5">
        <v>110.4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112</v>
      </c>
      <c r="D11379" s="5">
        <v>0.1</v>
      </c>
      <c r="E11379" s="5">
        <v>112.1</v>
      </c>
      <c r="F11379" s="5">
        <v>222.4</v>
      </c>
      <c r="G11379" s="5">
        <v>110.5</v>
      </c>
      <c r="H11379" s="5">
        <v>110.4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112</v>
      </c>
      <c r="D11380" s="5">
        <v>0.1</v>
      </c>
      <c r="E11380" s="5">
        <v>112.1</v>
      </c>
      <c r="F11380" s="5">
        <v>222.4</v>
      </c>
      <c r="G11380" s="5">
        <v>110.5</v>
      </c>
      <c r="H11380" s="5">
        <v>110.4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112</v>
      </c>
      <c r="D11381" s="5">
        <v>0.1</v>
      </c>
      <c r="E11381" s="5">
        <v>112.1</v>
      </c>
      <c r="F11381" s="5">
        <v>222.4</v>
      </c>
      <c r="G11381" s="5">
        <v>110.5</v>
      </c>
      <c r="H11381" s="5">
        <v>110.4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112</v>
      </c>
      <c r="D11382" s="5">
        <v>0.1</v>
      </c>
      <c r="E11382" s="5">
        <v>112.1</v>
      </c>
      <c r="F11382" s="5">
        <v>222.4</v>
      </c>
      <c r="G11382" s="5">
        <v>110.5</v>
      </c>
      <c r="H11382" s="5">
        <v>110.4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112</v>
      </c>
      <c r="D11383" s="5">
        <v>0.1</v>
      </c>
      <c r="E11383" s="5">
        <v>112.1</v>
      </c>
      <c r="F11383" s="5">
        <v>222.4</v>
      </c>
      <c r="G11383" s="5">
        <v>110.5</v>
      </c>
      <c r="H11383" s="5">
        <v>110.4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112</v>
      </c>
      <c r="D11384" s="5">
        <v>0.1</v>
      </c>
      <c r="E11384" s="5">
        <v>112.1</v>
      </c>
      <c r="F11384" s="5">
        <v>222.4</v>
      </c>
      <c r="G11384" s="5">
        <v>110.5</v>
      </c>
      <c r="H11384" s="5">
        <v>110.4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112</v>
      </c>
      <c r="D11385" s="5">
        <v>0.1</v>
      </c>
      <c r="E11385" s="5">
        <v>112.1</v>
      </c>
      <c r="F11385" s="5">
        <v>222.4</v>
      </c>
      <c r="G11385" s="5">
        <v>110.5</v>
      </c>
      <c r="H11385" s="5">
        <v>110.4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112</v>
      </c>
      <c r="D11386" s="5">
        <v>0.1</v>
      </c>
      <c r="E11386" s="5">
        <v>112.1</v>
      </c>
      <c r="F11386" s="5">
        <v>222.4</v>
      </c>
      <c r="G11386" s="5">
        <v>110.5</v>
      </c>
      <c r="H11386" s="5">
        <v>110.4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112</v>
      </c>
      <c r="D11387" s="5">
        <v>0.1</v>
      </c>
      <c r="E11387" s="5">
        <v>112.1</v>
      </c>
      <c r="F11387" s="5">
        <v>222.4</v>
      </c>
      <c r="G11387" s="5">
        <v>110.5</v>
      </c>
      <c r="H11387" s="5">
        <v>110.4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112</v>
      </c>
      <c r="D11388" s="5">
        <v>0.1</v>
      </c>
      <c r="E11388" s="5">
        <v>112.1</v>
      </c>
      <c r="F11388" s="5">
        <v>222.4</v>
      </c>
      <c r="G11388" s="5">
        <v>110.5</v>
      </c>
      <c r="H11388" s="5">
        <v>110.4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112</v>
      </c>
      <c r="D11389" s="5">
        <v>0.1</v>
      </c>
      <c r="E11389" s="5">
        <v>112.1</v>
      </c>
      <c r="F11389" s="5">
        <v>222.4</v>
      </c>
      <c r="G11389" s="5">
        <v>110.5</v>
      </c>
      <c r="H11389" s="5">
        <v>110.4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112</v>
      </c>
      <c r="D11390" s="5">
        <v>0.1</v>
      </c>
      <c r="E11390" s="5">
        <v>112.1</v>
      </c>
      <c r="F11390" s="5">
        <v>222.4</v>
      </c>
      <c r="G11390" s="5">
        <v>110.5</v>
      </c>
      <c r="H11390" s="5">
        <v>110.4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112</v>
      </c>
      <c r="D11391" s="5">
        <v>0.1</v>
      </c>
      <c r="E11391" s="5">
        <v>112.1</v>
      </c>
      <c r="F11391" s="5">
        <v>222.4</v>
      </c>
      <c r="G11391" s="5">
        <v>110.5</v>
      </c>
      <c r="H11391" s="5">
        <v>110.4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112</v>
      </c>
      <c r="D11392" s="5">
        <v>0.1</v>
      </c>
      <c r="E11392" s="5">
        <v>112.1</v>
      </c>
      <c r="F11392" s="5">
        <v>222.4</v>
      </c>
      <c r="G11392" s="5">
        <v>110.5</v>
      </c>
      <c r="H11392" s="5">
        <v>110.4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112</v>
      </c>
      <c r="D11393" s="5">
        <v>0.1</v>
      </c>
      <c r="E11393" s="5">
        <v>112.1</v>
      </c>
      <c r="F11393" s="5">
        <v>222.4</v>
      </c>
      <c r="G11393" s="5">
        <v>110.5</v>
      </c>
      <c r="H11393" s="5">
        <v>110.4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112</v>
      </c>
      <c r="D11394" s="5">
        <v>0.1</v>
      </c>
      <c r="E11394" s="5">
        <v>112.1</v>
      </c>
      <c r="F11394" s="5">
        <v>222.4</v>
      </c>
      <c r="G11394" s="5">
        <v>110.5</v>
      </c>
      <c r="H11394" s="5">
        <v>110.4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112</v>
      </c>
      <c r="D11395" s="5">
        <v>0.1</v>
      </c>
      <c r="E11395" s="5">
        <v>112.1</v>
      </c>
      <c r="F11395" s="5">
        <v>222.4</v>
      </c>
      <c r="G11395" s="5">
        <v>110.5</v>
      </c>
      <c r="H11395" s="5">
        <v>110.4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112</v>
      </c>
      <c r="D11396" s="5">
        <v>0.1</v>
      </c>
      <c r="E11396" s="5">
        <v>112.1</v>
      </c>
      <c r="F11396" s="5">
        <v>222.4</v>
      </c>
      <c r="G11396" s="5">
        <v>110.5</v>
      </c>
      <c r="H11396" s="5">
        <v>110.4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112</v>
      </c>
      <c r="D11397" s="5">
        <v>0.1</v>
      </c>
      <c r="E11397" s="5">
        <v>112.1</v>
      </c>
      <c r="F11397" s="5">
        <v>222.4</v>
      </c>
      <c r="G11397" s="5">
        <v>110.5</v>
      </c>
      <c r="H11397" s="5">
        <v>110.4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112</v>
      </c>
      <c r="D11398" s="5">
        <v>0.1</v>
      </c>
      <c r="E11398" s="5">
        <v>112.1</v>
      </c>
      <c r="F11398" s="5">
        <v>222.4</v>
      </c>
      <c r="G11398" s="5">
        <v>110.5</v>
      </c>
      <c r="H11398" s="5">
        <v>110.4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112</v>
      </c>
      <c r="D11399" s="5">
        <v>0.1</v>
      </c>
      <c r="E11399" s="5">
        <v>112.1</v>
      </c>
      <c r="F11399" s="5">
        <v>222.4</v>
      </c>
      <c r="G11399" s="5">
        <v>110.5</v>
      </c>
      <c r="H11399" s="5">
        <v>110.4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112</v>
      </c>
      <c r="D11400" s="5">
        <v>0.1</v>
      </c>
      <c r="E11400" s="5">
        <v>112.1</v>
      </c>
      <c r="F11400" s="5">
        <v>222.4</v>
      </c>
      <c r="G11400" s="5">
        <v>110.5</v>
      </c>
      <c r="H11400" s="5">
        <v>110.4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112</v>
      </c>
      <c r="D11401" s="5">
        <v>0.1</v>
      </c>
      <c r="E11401" s="5">
        <v>112.1</v>
      </c>
      <c r="F11401" s="5">
        <v>222.4</v>
      </c>
      <c r="G11401" s="5">
        <v>110.5</v>
      </c>
      <c r="H11401" s="5">
        <v>110.4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112</v>
      </c>
      <c r="D11402" s="5">
        <v>0.1</v>
      </c>
      <c r="E11402" s="5">
        <v>112.1</v>
      </c>
      <c r="F11402" s="5">
        <v>222.4</v>
      </c>
      <c r="G11402" s="5">
        <v>110.5</v>
      </c>
      <c r="H11402" s="5">
        <v>110.4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112</v>
      </c>
      <c r="D11403" s="5">
        <v>0.1</v>
      </c>
      <c r="E11403" s="5">
        <v>112.1</v>
      </c>
      <c r="F11403" s="5">
        <v>222.4</v>
      </c>
      <c r="G11403" s="5">
        <v>110.5</v>
      </c>
      <c r="H11403" s="5">
        <v>110.4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112</v>
      </c>
      <c r="D11404" s="5">
        <v>0.1</v>
      </c>
      <c r="E11404" s="5">
        <v>112.1</v>
      </c>
      <c r="F11404" s="5">
        <v>222.4</v>
      </c>
      <c r="G11404" s="5">
        <v>110.5</v>
      </c>
      <c r="H11404" s="5">
        <v>110.4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112</v>
      </c>
      <c r="D11405" s="5">
        <v>0.1</v>
      </c>
      <c r="E11405" s="5">
        <v>112.1</v>
      </c>
      <c r="F11405" s="5">
        <v>222.4</v>
      </c>
      <c r="G11405" s="5">
        <v>110.5</v>
      </c>
      <c r="H11405" s="5">
        <v>110.4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112</v>
      </c>
      <c r="D11406" s="5">
        <v>0.1</v>
      </c>
      <c r="E11406" s="5">
        <v>112.1</v>
      </c>
      <c r="F11406" s="5">
        <v>222.4</v>
      </c>
      <c r="G11406" s="5">
        <v>110.5</v>
      </c>
      <c r="H11406" s="5">
        <v>110.4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112</v>
      </c>
      <c r="D11407" s="5">
        <v>0.1</v>
      </c>
      <c r="E11407" s="5">
        <v>112.1</v>
      </c>
      <c r="F11407" s="5">
        <v>222.4</v>
      </c>
      <c r="G11407" s="5">
        <v>110.5</v>
      </c>
      <c r="H11407" s="5">
        <v>110.4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112</v>
      </c>
      <c r="D11408" s="5">
        <v>0.1</v>
      </c>
      <c r="E11408" s="5">
        <v>112.1</v>
      </c>
      <c r="F11408" s="5">
        <v>222.4</v>
      </c>
      <c r="G11408" s="5">
        <v>110.5</v>
      </c>
      <c r="H11408" s="5">
        <v>110.4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112</v>
      </c>
      <c r="D11409" s="5">
        <v>0.1</v>
      </c>
      <c r="E11409" s="5">
        <v>112.1</v>
      </c>
      <c r="F11409" s="5">
        <v>222.4</v>
      </c>
      <c r="G11409" s="5">
        <v>110.5</v>
      </c>
      <c r="H11409" s="5">
        <v>110.4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112</v>
      </c>
      <c r="D11410" s="5">
        <v>0.1</v>
      </c>
      <c r="E11410" s="5">
        <v>112.1</v>
      </c>
      <c r="F11410" s="5">
        <v>222.4</v>
      </c>
      <c r="G11410" s="5">
        <v>110.5</v>
      </c>
      <c r="H11410" s="5">
        <v>110.4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112</v>
      </c>
      <c r="D11411" s="5">
        <v>0.1</v>
      </c>
      <c r="E11411" s="5">
        <v>112.1</v>
      </c>
      <c r="F11411" s="5">
        <v>222.4</v>
      </c>
      <c r="G11411" s="5">
        <v>110.5</v>
      </c>
      <c r="H11411" s="5">
        <v>110.4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112</v>
      </c>
      <c r="D11412" s="5">
        <v>0.1</v>
      </c>
      <c r="E11412" s="5">
        <v>112.1</v>
      </c>
      <c r="F11412" s="5">
        <v>222.4</v>
      </c>
      <c r="G11412" s="5">
        <v>110.5</v>
      </c>
      <c r="H11412" s="5">
        <v>110.4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112</v>
      </c>
      <c r="D11413" s="5">
        <v>0.1</v>
      </c>
      <c r="E11413" s="5">
        <v>112.1</v>
      </c>
      <c r="F11413" s="5">
        <v>222.4</v>
      </c>
      <c r="G11413" s="5">
        <v>110.5</v>
      </c>
      <c r="H11413" s="5">
        <v>110.4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112</v>
      </c>
      <c r="D11414" s="5">
        <v>0.1</v>
      </c>
      <c r="E11414" s="5">
        <v>112.1</v>
      </c>
      <c r="F11414" s="5">
        <v>222.4</v>
      </c>
      <c r="G11414" s="5">
        <v>110.5</v>
      </c>
      <c r="H11414" s="5">
        <v>110.4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112</v>
      </c>
      <c r="D11415" s="5">
        <v>0.1</v>
      </c>
      <c r="E11415" s="5">
        <v>112.1</v>
      </c>
      <c r="F11415" s="5">
        <v>222.4</v>
      </c>
      <c r="G11415" s="5">
        <v>110.5</v>
      </c>
      <c r="H11415" s="5">
        <v>110.4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112</v>
      </c>
      <c r="D11416" s="5">
        <v>0.1</v>
      </c>
      <c r="E11416" s="5">
        <v>112.1</v>
      </c>
      <c r="F11416" s="5">
        <v>222.4</v>
      </c>
      <c r="G11416" s="5">
        <v>110.5</v>
      </c>
      <c r="H11416" s="5">
        <v>110.4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112</v>
      </c>
      <c r="D11417" s="5">
        <v>0.1</v>
      </c>
      <c r="E11417" s="5">
        <v>112.1</v>
      </c>
      <c r="F11417" s="5">
        <v>222.4</v>
      </c>
      <c r="G11417" s="5">
        <v>110.5</v>
      </c>
      <c r="H11417" s="5">
        <v>110.4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112</v>
      </c>
      <c r="D11418" s="5">
        <v>0.1</v>
      </c>
      <c r="E11418" s="5">
        <v>112.1</v>
      </c>
      <c r="F11418" s="5">
        <v>222.4</v>
      </c>
      <c r="G11418" s="5">
        <v>110.5</v>
      </c>
      <c r="H11418" s="5">
        <v>110.4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112</v>
      </c>
      <c r="D11419" s="5">
        <v>0.1</v>
      </c>
      <c r="E11419" s="5">
        <v>112.1</v>
      </c>
      <c r="F11419" s="5">
        <v>222.4</v>
      </c>
      <c r="G11419" s="5">
        <v>110.5</v>
      </c>
      <c r="H11419" s="5">
        <v>110.4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112</v>
      </c>
      <c r="D11420" s="5">
        <v>0.1</v>
      </c>
      <c r="E11420" s="5">
        <v>112.1</v>
      </c>
      <c r="F11420" s="5">
        <v>222.4</v>
      </c>
      <c r="G11420" s="5">
        <v>110.5</v>
      </c>
      <c r="H11420" s="5">
        <v>110.4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112</v>
      </c>
      <c r="D11421" s="5">
        <v>0.1</v>
      </c>
      <c r="E11421" s="5">
        <v>112.1</v>
      </c>
      <c r="F11421" s="5">
        <v>222.4</v>
      </c>
      <c r="G11421" s="5">
        <v>110.5</v>
      </c>
      <c r="H11421" s="5">
        <v>110.4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112</v>
      </c>
      <c r="D11422" s="5">
        <v>0.1</v>
      </c>
      <c r="E11422" s="5">
        <v>112.1</v>
      </c>
      <c r="F11422" s="5">
        <v>222.4</v>
      </c>
      <c r="G11422" s="5">
        <v>110.5</v>
      </c>
      <c r="H11422" s="5">
        <v>110.4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112</v>
      </c>
      <c r="D11423" s="5">
        <v>0.1</v>
      </c>
      <c r="E11423" s="5">
        <v>112.1</v>
      </c>
      <c r="F11423" s="5">
        <v>222.4</v>
      </c>
      <c r="G11423" s="5">
        <v>110.5</v>
      </c>
      <c r="H11423" s="5">
        <v>110.4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112</v>
      </c>
      <c r="D11424" s="5">
        <v>0.1</v>
      </c>
      <c r="E11424" s="5">
        <v>112.1</v>
      </c>
      <c r="F11424" s="5">
        <v>222.4</v>
      </c>
      <c r="G11424" s="5">
        <v>110.5</v>
      </c>
      <c r="H11424" s="5">
        <v>110.4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112</v>
      </c>
      <c r="D11425" s="5">
        <v>0.1</v>
      </c>
      <c r="E11425" s="5">
        <v>112.1</v>
      </c>
      <c r="F11425" s="5">
        <v>222.4</v>
      </c>
      <c r="G11425" s="5">
        <v>110.5</v>
      </c>
      <c r="H11425" s="5">
        <v>110.4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112</v>
      </c>
      <c r="D11426" s="5">
        <v>0.1</v>
      </c>
      <c r="E11426" s="5">
        <v>112.1</v>
      </c>
      <c r="F11426" s="5">
        <v>222.4</v>
      </c>
      <c r="G11426" s="5">
        <v>110.5</v>
      </c>
      <c r="H11426" s="5">
        <v>110.4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112</v>
      </c>
      <c r="D11427" s="5">
        <v>0.1</v>
      </c>
      <c r="E11427" s="5">
        <v>112.1</v>
      </c>
      <c r="F11427" s="5">
        <v>222.4</v>
      </c>
      <c r="G11427" s="5">
        <v>110.5</v>
      </c>
      <c r="H11427" s="5">
        <v>110.4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112</v>
      </c>
      <c r="D11428" s="5">
        <v>0.1</v>
      </c>
      <c r="E11428" s="5">
        <v>112.1</v>
      </c>
      <c r="F11428" s="5">
        <v>222.4</v>
      </c>
      <c r="G11428" s="5">
        <v>110.5</v>
      </c>
      <c r="H11428" s="5">
        <v>110.4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112</v>
      </c>
      <c r="D11429" s="5">
        <v>0.1</v>
      </c>
      <c r="E11429" s="5">
        <v>112.1</v>
      </c>
      <c r="F11429" s="5">
        <v>222.4</v>
      </c>
      <c r="G11429" s="5">
        <v>110.5</v>
      </c>
      <c r="H11429" s="5">
        <v>110.4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112</v>
      </c>
      <c r="D11430" s="5">
        <v>0.1</v>
      </c>
      <c r="E11430" s="5">
        <v>112.1</v>
      </c>
      <c r="F11430" s="5">
        <v>222.4</v>
      </c>
      <c r="G11430" s="5">
        <v>110.5</v>
      </c>
      <c r="H11430" s="5">
        <v>110.4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112</v>
      </c>
      <c r="D11431" s="5">
        <v>0.1</v>
      </c>
      <c r="E11431" s="5">
        <v>112.1</v>
      </c>
      <c r="F11431" s="5">
        <v>222.4</v>
      </c>
      <c r="G11431" s="5">
        <v>110.5</v>
      </c>
      <c r="H11431" s="5">
        <v>110.4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112</v>
      </c>
      <c r="D11432" s="5">
        <v>0.1</v>
      </c>
      <c r="E11432" s="5">
        <v>112.1</v>
      </c>
      <c r="F11432" s="5">
        <v>222.4</v>
      </c>
      <c r="G11432" s="5">
        <v>110.5</v>
      </c>
      <c r="H11432" s="5">
        <v>110.4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112</v>
      </c>
      <c r="D11433" s="5">
        <v>0.1</v>
      </c>
      <c r="E11433" s="5">
        <v>112.1</v>
      </c>
      <c r="F11433" s="5">
        <v>222.4</v>
      </c>
      <c r="G11433" s="5">
        <v>110.5</v>
      </c>
      <c r="H11433" s="5">
        <v>110.4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112</v>
      </c>
      <c r="D11434" s="5">
        <v>0.1</v>
      </c>
      <c r="E11434" s="5">
        <v>112.1</v>
      </c>
      <c r="F11434" s="5">
        <v>222.4</v>
      </c>
      <c r="G11434" s="5">
        <v>110.5</v>
      </c>
      <c r="H11434" s="5">
        <v>110.4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112</v>
      </c>
      <c r="D11435" s="5">
        <v>0.1</v>
      </c>
      <c r="E11435" s="5">
        <v>112.1</v>
      </c>
      <c r="F11435" s="5">
        <v>222.4</v>
      </c>
      <c r="G11435" s="5">
        <v>110.5</v>
      </c>
      <c r="H11435" s="5">
        <v>110.4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112</v>
      </c>
      <c r="D11436" s="5">
        <v>0.1</v>
      </c>
      <c r="E11436" s="5">
        <v>112.1</v>
      </c>
      <c r="F11436" s="5">
        <v>222.4</v>
      </c>
      <c r="G11436" s="5">
        <v>110.5</v>
      </c>
      <c r="H11436" s="5">
        <v>110.4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112</v>
      </c>
      <c r="D11437" s="5">
        <v>0.1</v>
      </c>
      <c r="E11437" s="5">
        <v>112.1</v>
      </c>
      <c r="F11437" s="5">
        <v>222.4</v>
      </c>
      <c r="G11437" s="5">
        <v>110.5</v>
      </c>
      <c r="H11437" s="5">
        <v>110.4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112</v>
      </c>
      <c r="D11438" s="5">
        <v>0.1</v>
      </c>
      <c r="E11438" s="5">
        <v>112.1</v>
      </c>
      <c r="F11438" s="5">
        <v>222.4</v>
      </c>
      <c r="G11438" s="5">
        <v>110.5</v>
      </c>
      <c r="H11438" s="5">
        <v>110.4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112</v>
      </c>
      <c r="D11439" s="5">
        <v>0.1</v>
      </c>
      <c r="E11439" s="5">
        <v>112.1</v>
      </c>
      <c r="F11439" s="5">
        <v>222.4</v>
      </c>
      <c r="G11439" s="5">
        <v>110.5</v>
      </c>
      <c r="H11439" s="5">
        <v>110.4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112</v>
      </c>
      <c r="D11440" s="5">
        <v>0.1</v>
      </c>
      <c r="E11440" s="5">
        <v>112.1</v>
      </c>
      <c r="F11440" s="5">
        <v>222.4</v>
      </c>
      <c r="G11440" s="5">
        <v>110.5</v>
      </c>
      <c r="H11440" s="5">
        <v>110.4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112</v>
      </c>
      <c r="D11441" s="5">
        <v>0.1</v>
      </c>
      <c r="E11441" s="5">
        <v>112.1</v>
      </c>
      <c r="F11441" s="5">
        <v>222.4</v>
      </c>
      <c r="G11441" s="5">
        <v>110.5</v>
      </c>
      <c r="H11441" s="5">
        <v>110.4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112</v>
      </c>
      <c r="D11442" s="5">
        <v>0.1</v>
      </c>
      <c r="E11442" s="5">
        <v>112.1</v>
      </c>
      <c r="F11442" s="5">
        <v>222.4</v>
      </c>
      <c r="G11442" s="5">
        <v>110.5</v>
      </c>
      <c r="H11442" s="5">
        <v>110.4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112</v>
      </c>
      <c r="D11443" s="5">
        <v>0.1</v>
      </c>
      <c r="E11443" s="5">
        <v>112.1</v>
      </c>
      <c r="F11443" s="5">
        <v>222.4</v>
      </c>
      <c r="G11443" s="5">
        <v>110.5</v>
      </c>
      <c r="H11443" s="5">
        <v>110.4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112</v>
      </c>
      <c r="D11444" s="5">
        <v>0.1</v>
      </c>
      <c r="E11444" s="5">
        <v>112.1</v>
      </c>
      <c r="F11444" s="5">
        <v>222.4</v>
      </c>
      <c r="G11444" s="5">
        <v>110.5</v>
      </c>
      <c r="H11444" s="5">
        <v>110.4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112</v>
      </c>
      <c r="D11445" s="5">
        <v>0.1</v>
      </c>
      <c r="E11445" s="5">
        <v>112.1</v>
      </c>
      <c r="F11445" s="5">
        <v>222.4</v>
      </c>
      <c r="G11445" s="5">
        <v>110.5</v>
      </c>
      <c r="H11445" s="5">
        <v>110.4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112</v>
      </c>
      <c r="D11446" s="5">
        <v>0.1</v>
      </c>
      <c r="E11446" s="5">
        <v>112.1</v>
      </c>
      <c r="F11446" s="5">
        <v>222.4</v>
      </c>
      <c r="G11446" s="5">
        <v>110.5</v>
      </c>
      <c r="H11446" s="5">
        <v>110.4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112</v>
      </c>
      <c r="D11447" s="5">
        <v>0.1</v>
      </c>
      <c r="E11447" s="5">
        <v>112.1</v>
      </c>
      <c r="F11447" s="5">
        <v>222.4</v>
      </c>
      <c r="G11447" s="5">
        <v>110.5</v>
      </c>
      <c r="H11447" s="5">
        <v>110.4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112</v>
      </c>
      <c r="D11448" s="5">
        <v>0.1</v>
      </c>
      <c r="E11448" s="5">
        <v>112.1</v>
      </c>
      <c r="F11448" s="5">
        <v>222.4</v>
      </c>
      <c r="G11448" s="5">
        <v>110.5</v>
      </c>
      <c r="H11448" s="5">
        <v>110.4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112</v>
      </c>
      <c r="D11449" s="5">
        <v>0.1</v>
      </c>
      <c r="E11449" s="5">
        <v>112.1</v>
      </c>
      <c r="F11449" s="5">
        <v>222.4</v>
      </c>
      <c r="G11449" s="5">
        <v>110.5</v>
      </c>
      <c r="H11449" s="5">
        <v>110.4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112</v>
      </c>
      <c r="D11450" s="5">
        <v>0.1</v>
      </c>
      <c r="E11450" s="5">
        <v>112.1</v>
      </c>
      <c r="F11450" s="5">
        <v>222.4</v>
      </c>
      <c r="G11450" s="5">
        <v>110.5</v>
      </c>
      <c r="H11450" s="5">
        <v>110.4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112</v>
      </c>
      <c r="D11451" s="5">
        <v>0.1</v>
      </c>
      <c r="E11451" s="5">
        <v>112.1</v>
      </c>
      <c r="F11451" s="5">
        <v>222.4</v>
      </c>
      <c r="G11451" s="5">
        <v>110.5</v>
      </c>
      <c r="H11451" s="5">
        <v>110.4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112</v>
      </c>
      <c r="D11452" s="5">
        <v>0.1</v>
      </c>
      <c r="E11452" s="5">
        <v>112.1</v>
      </c>
      <c r="F11452" s="5">
        <v>222.4</v>
      </c>
      <c r="G11452" s="5">
        <v>110.5</v>
      </c>
      <c r="H11452" s="5">
        <v>110.4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112</v>
      </c>
      <c r="D11453" s="5">
        <v>0.1</v>
      </c>
      <c r="E11453" s="5">
        <v>112.1</v>
      </c>
      <c r="F11453" s="5">
        <v>222.4</v>
      </c>
      <c r="G11453" s="5">
        <v>110.5</v>
      </c>
      <c r="H11453" s="5">
        <v>110.4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112</v>
      </c>
      <c r="D11454" s="5">
        <v>0.1</v>
      </c>
      <c r="E11454" s="5">
        <v>112.1</v>
      </c>
      <c r="F11454" s="5">
        <v>222.4</v>
      </c>
      <c r="G11454" s="5">
        <v>110.5</v>
      </c>
      <c r="H11454" s="5">
        <v>110.4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112</v>
      </c>
      <c r="D11455" s="5">
        <v>0.1</v>
      </c>
      <c r="E11455" s="5">
        <v>112.1</v>
      </c>
      <c r="F11455" s="5">
        <v>222.4</v>
      </c>
      <c r="G11455" s="5">
        <v>110.5</v>
      </c>
      <c r="H11455" s="5">
        <v>110.4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112</v>
      </c>
      <c r="D11456" s="5">
        <v>0.1</v>
      </c>
      <c r="E11456" s="5">
        <v>112.1</v>
      </c>
      <c r="F11456" s="5">
        <v>222.4</v>
      </c>
      <c r="G11456" s="5">
        <v>110.5</v>
      </c>
      <c r="H11456" s="5">
        <v>110.4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112</v>
      </c>
      <c r="D11457" s="5">
        <v>0.1</v>
      </c>
      <c r="E11457" s="5">
        <v>112.1</v>
      </c>
      <c r="F11457" s="5">
        <v>222.4</v>
      </c>
      <c r="G11457" s="5">
        <v>110.5</v>
      </c>
      <c r="H11457" s="5">
        <v>110.4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112</v>
      </c>
      <c r="D11458" s="5">
        <v>0.1</v>
      </c>
      <c r="E11458" s="5">
        <v>112.1</v>
      </c>
      <c r="F11458" s="5">
        <v>222.4</v>
      </c>
      <c r="G11458" s="5">
        <v>110.5</v>
      </c>
      <c r="H11458" s="5">
        <v>110.4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112</v>
      </c>
      <c r="D11459" s="5">
        <v>0.1</v>
      </c>
      <c r="E11459" s="5">
        <v>112.1</v>
      </c>
      <c r="F11459" s="5">
        <v>222.4</v>
      </c>
      <c r="G11459" s="5">
        <v>110.5</v>
      </c>
      <c r="H11459" s="5">
        <v>110.4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112</v>
      </c>
      <c r="D11460" s="5">
        <v>0.1</v>
      </c>
      <c r="E11460" s="5">
        <v>112.1</v>
      </c>
      <c r="F11460" s="5">
        <v>222.4</v>
      </c>
      <c r="G11460" s="5">
        <v>110.5</v>
      </c>
      <c r="H11460" s="5">
        <v>110.4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112</v>
      </c>
      <c r="D11461" s="5">
        <v>0.1</v>
      </c>
      <c r="E11461" s="5">
        <v>112.1</v>
      </c>
      <c r="F11461" s="5">
        <v>222.4</v>
      </c>
      <c r="G11461" s="5">
        <v>110.5</v>
      </c>
      <c r="H11461" s="5">
        <v>110.4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112</v>
      </c>
      <c r="D11462" s="5">
        <v>0.1</v>
      </c>
      <c r="E11462" s="5">
        <v>112.1</v>
      </c>
      <c r="F11462" s="5">
        <v>222.4</v>
      </c>
      <c r="G11462" s="5">
        <v>110.5</v>
      </c>
      <c r="H11462" s="5">
        <v>110.4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112</v>
      </c>
      <c r="D11463" s="5">
        <v>0.1</v>
      </c>
      <c r="E11463" s="5">
        <v>112.1</v>
      </c>
      <c r="F11463" s="5">
        <v>222.4</v>
      </c>
      <c r="G11463" s="5">
        <v>110.5</v>
      </c>
      <c r="H11463" s="5">
        <v>110.4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112</v>
      </c>
      <c r="D11464" s="5">
        <v>0.1</v>
      </c>
      <c r="E11464" s="5">
        <v>112.1</v>
      </c>
      <c r="F11464" s="5">
        <v>222.4</v>
      </c>
      <c r="G11464" s="5">
        <v>110.5</v>
      </c>
      <c r="H11464" s="5">
        <v>110.4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112</v>
      </c>
      <c r="D11465" s="5">
        <v>0.1</v>
      </c>
      <c r="E11465" s="5">
        <v>112.1</v>
      </c>
      <c r="F11465" s="5">
        <v>222.4</v>
      </c>
      <c r="G11465" s="5">
        <v>110.5</v>
      </c>
      <c r="H11465" s="5">
        <v>110.4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112</v>
      </c>
      <c r="D11466" s="5">
        <v>0.1</v>
      </c>
      <c r="E11466" s="5">
        <v>112.1</v>
      </c>
      <c r="F11466" s="5">
        <v>222.4</v>
      </c>
      <c r="G11466" s="5">
        <v>110.5</v>
      </c>
      <c r="H11466" s="5">
        <v>110.4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112</v>
      </c>
      <c r="D11467" s="5">
        <v>0.1</v>
      </c>
      <c r="E11467" s="5">
        <v>112.1</v>
      </c>
      <c r="F11467" s="5">
        <v>222.4</v>
      </c>
      <c r="G11467" s="5">
        <v>110.5</v>
      </c>
      <c r="H11467" s="5">
        <v>110.4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112</v>
      </c>
      <c r="D11468" s="5">
        <v>0.1</v>
      </c>
      <c r="E11468" s="5">
        <v>112.1</v>
      </c>
      <c r="F11468" s="5">
        <v>222.4</v>
      </c>
      <c r="G11468" s="5">
        <v>110.5</v>
      </c>
      <c r="H11468" s="5">
        <v>110.4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112</v>
      </c>
      <c r="D11469" s="5">
        <v>0.1</v>
      </c>
      <c r="E11469" s="5">
        <v>112.1</v>
      </c>
      <c r="F11469" s="5">
        <v>222.4</v>
      </c>
      <c r="G11469" s="5">
        <v>110.5</v>
      </c>
      <c r="H11469" s="5">
        <v>110.4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112</v>
      </c>
      <c r="D11470" s="5">
        <v>0.1</v>
      </c>
      <c r="E11470" s="5">
        <v>112.1</v>
      </c>
      <c r="F11470" s="5">
        <v>222.4</v>
      </c>
      <c r="G11470" s="5">
        <v>110.5</v>
      </c>
      <c r="H11470" s="5">
        <v>110.4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112</v>
      </c>
      <c r="D11471" s="5">
        <v>0.1</v>
      </c>
      <c r="E11471" s="5">
        <v>112.1</v>
      </c>
      <c r="F11471" s="5">
        <v>222.4</v>
      </c>
      <c r="G11471" s="5">
        <v>110.5</v>
      </c>
      <c r="H11471" s="5">
        <v>110.4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112</v>
      </c>
      <c r="D11472" s="5">
        <v>0.1</v>
      </c>
      <c r="E11472" s="5">
        <v>112.1</v>
      </c>
      <c r="F11472" s="5">
        <v>222.4</v>
      </c>
      <c r="G11472" s="5">
        <v>110.5</v>
      </c>
      <c r="H11472" s="5">
        <v>110.4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112</v>
      </c>
      <c r="D11473" s="5">
        <v>0.1</v>
      </c>
      <c r="E11473" s="5">
        <v>112.1</v>
      </c>
      <c r="F11473" s="5">
        <v>222.4</v>
      </c>
      <c r="G11473" s="5">
        <v>110.5</v>
      </c>
      <c r="H11473" s="5">
        <v>110.4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112</v>
      </c>
      <c r="D11474" s="5">
        <v>0.1</v>
      </c>
      <c r="E11474" s="5">
        <v>112.1</v>
      </c>
      <c r="F11474" s="5">
        <v>222.4</v>
      </c>
      <c r="G11474" s="5">
        <v>110.5</v>
      </c>
      <c r="H11474" s="5">
        <v>110.4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112</v>
      </c>
      <c r="D11475" s="5">
        <v>0.1</v>
      </c>
      <c r="E11475" s="5">
        <v>112.1</v>
      </c>
      <c r="F11475" s="5">
        <v>222.4</v>
      </c>
      <c r="G11475" s="5">
        <v>110.5</v>
      </c>
      <c r="H11475" s="5">
        <v>110.4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112</v>
      </c>
      <c r="D11476" s="5">
        <v>0.1</v>
      </c>
      <c r="E11476" s="5">
        <v>112.1</v>
      </c>
      <c r="F11476" s="5">
        <v>222.4</v>
      </c>
      <c r="G11476" s="5">
        <v>110.5</v>
      </c>
      <c r="H11476" s="5">
        <v>110.4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112</v>
      </c>
      <c r="D11477" s="5">
        <v>0.1</v>
      </c>
      <c r="E11477" s="5">
        <v>112.1</v>
      </c>
      <c r="F11477" s="5">
        <v>222.4</v>
      </c>
      <c r="G11477" s="5">
        <v>110.5</v>
      </c>
      <c r="H11477" s="5">
        <v>110.4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112</v>
      </c>
      <c r="D11478" s="5">
        <v>0.1</v>
      </c>
      <c r="E11478" s="5">
        <v>112.1</v>
      </c>
      <c r="F11478" s="5">
        <v>222.4</v>
      </c>
      <c r="G11478" s="5">
        <v>110.5</v>
      </c>
      <c r="H11478" s="5">
        <v>110.4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112</v>
      </c>
      <c r="D11479" s="5">
        <v>0.1</v>
      </c>
      <c r="E11479" s="5">
        <v>112.1</v>
      </c>
      <c r="F11479" s="5">
        <v>222.4</v>
      </c>
      <c r="G11479" s="5">
        <v>110.5</v>
      </c>
      <c r="H11479" s="5">
        <v>110.4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112</v>
      </c>
      <c r="D11480" s="5">
        <v>0.1</v>
      </c>
      <c r="E11480" s="5">
        <v>112.1</v>
      </c>
      <c r="F11480" s="5">
        <v>222.4</v>
      </c>
      <c r="G11480" s="5">
        <v>110.5</v>
      </c>
      <c r="H11480" s="5">
        <v>110.4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112</v>
      </c>
      <c r="D11481" s="5">
        <v>0.1</v>
      </c>
      <c r="E11481" s="5">
        <v>112.1</v>
      </c>
      <c r="F11481" s="5">
        <v>222.4</v>
      </c>
      <c r="G11481" s="5">
        <v>110.5</v>
      </c>
      <c r="H11481" s="5">
        <v>110.4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112</v>
      </c>
      <c r="D11482" s="5">
        <v>0.1</v>
      </c>
      <c r="E11482" s="5">
        <v>112.1</v>
      </c>
      <c r="F11482" s="5">
        <v>222.4</v>
      </c>
      <c r="G11482" s="5">
        <v>110.5</v>
      </c>
      <c r="H11482" s="5">
        <v>110.4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112</v>
      </c>
      <c r="D11483" s="5">
        <v>0.1</v>
      </c>
      <c r="E11483" s="5">
        <v>112.1</v>
      </c>
      <c r="F11483" s="5">
        <v>222.4</v>
      </c>
      <c r="G11483" s="5">
        <v>110.5</v>
      </c>
      <c r="H11483" s="5">
        <v>110.4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112</v>
      </c>
      <c r="D11484" s="5">
        <v>0.1</v>
      </c>
      <c r="E11484" s="5">
        <v>112.1</v>
      </c>
      <c r="F11484" s="5">
        <v>222.4</v>
      </c>
      <c r="G11484" s="5">
        <v>110.5</v>
      </c>
      <c r="H11484" s="5">
        <v>110.4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112</v>
      </c>
      <c r="D11485" s="5">
        <v>0.1</v>
      </c>
      <c r="E11485" s="5">
        <v>112.1</v>
      </c>
      <c r="F11485" s="5">
        <v>222.4</v>
      </c>
      <c r="G11485" s="5">
        <v>110.5</v>
      </c>
      <c r="H11485" s="5">
        <v>110.4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112</v>
      </c>
      <c r="D11486" s="5">
        <v>0.1</v>
      </c>
      <c r="E11486" s="5">
        <v>112.1</v>
      </c>
      <c r="F11486" s="5">
        <v>222.4</v>
      </c>
      <c r="G11486" s="5">
        <v>110.5</v>
      </c>
      <c r="H11486" s="5">
        <v>110.4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112</v>
      </c>
      <c r="D11487" s="5">
        <v>0.1</v>
      </c>
      <c r="E11487" s="5">
        <v>112.1</v>
      </c>
      <c r="F11487" s="5">
        <v>222.4</v>
      </c>
      <c r="G11487" s="5">
        <v>110.5</v>
      </c>
      <c r="H11487" s="5">
        <v>110.4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112</v>
      </c>
      <c r="D11488" s="5">
        <v>0.1</v>
      </c>
      <c r="E11488" s="5">
        <v>112.1</v>
      </c>
      <c r="F11488" s="5">
        <v>222.4</v>
      </c>
      <c r="G11488" s="5">
        <v>110.5</v>
      </c>
      <c r="H11488" s="5">
        <v>110.4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112</v>
      </c>
      <c r="D11489" s="5">
        <v>0.1</v>
      </c>
      <c r="E11489" s="5">
        <v>112.1</v>
      </c>
      <c r="F11489" s="5">
        <v>222.4</v>
      </c>
      <c r="G11489" s="5">
        <v>110.5</v>
      </c>
      <c r="H11489" s="5">
        <v>110.4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112</v>
      </c>
      <c r="D11490" s="5">
        <v>0.1</v>
      </c>
      <c r="E11490" s="5">
        <v>112.1</v>
      </c>
      <c r="F11490" s="5">
        <v>222.4</v>
      </c>
      <c r="G11490" s="5">
        <v>110.5</v>
      </c>
      <c r="H11490" s="5">
        <v>110.4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112</v>
      </c>
      <c r="D11491" s="5">
        <v>0.1</v>
      </c>
      <c r="E11491" s="5">
        <v>112.1</v>
      </c>
      <c r="F11491" s="5">
        <v>222.4</v>
      </c>
      <c r="G11491" s="5">
        <v>110.5</v>
      </c>
      <c r="H11491" s="5">
        <v>110.4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112</v>
      </c>
      <c r="D11492" s="5">
        <v>0.1</v>
      </c>
      <c r="E11492" s="5">
        <v>112.1</v>
      </c>
      <c r="F11492" s="5">
        <v>222.4</v>
      </c>
      <c r="G11492" s="5">
        <v>110.5</v>
      </c>
      <c r="H11492" s="5">
        <v>110.4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112</v>
      </c>
      <c r="D11493" s="5">
        <v>0.1</v>
      </c>
      <c r="E11493" s="5">
        <v>112.1</v>
      </c>
      <c r="F11493" s="5">
        <v>222.4</v>
      </c>
      <c r="G11493" s="5">
        <v>110.5</v>
      </c>
      <c r="H11493" s="5">
        <v>110.4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112</v>
      </c>
      <c r="D11494" s="5">
        <v>0.1</v>
      </c>
      <c r="E11494" s="5">
        <v>112.1</v>
      </c>
      <c r="F11494" s="5">
        <v>222.4</v>
      </c>
      <c r="G11494" s="5">
        <v>110.5</v>
      </c>
      <c r="H11494" s="5">
        <v>110.4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112</v>
      </c>
      <c r="D11495" s="5">
        <v>0.1</v>
      </c>
      <c r="E11495" s="5">
        <v>112.1</v>
      </c>
      <c r="F11495" s="5">
        <v>222.4</v>
      </c>
      <c r="G11495" s="5">
        <v>110.5</v>
      </c>
      <c r="H11495" s="5">
        <v>110.4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112</v>
      </c>
      <c r="D11496" s="5">
        <v>0.1</v>
      </c>
      <c r="E11496" s="5">
        <v>112.1</v>
      </c>
      <c r="F11496" s="5">
        <v>222.4</v>
      </c>
      <c r="G11496" s="5">
        <v>110.5</v>
      </c>
      <c r="H11496" s="5">
        <v>110.4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112</v>
      </c>
      <c r="D11497" s="5">
        <v>0.1</v>
      </c>
      <c r="E11497" s="5">
        <v>112.1</v>
      </c>
      <c r="F11497" s="5">
        <v>222.4</v>
      </c>
      <c r="G11497" s="5">
        <v>110.5</v>
      </c>
      <c r="H11497" s="5">
        <v>110.4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112</v>
      </c>
      <c r="D11498" s="5">
        <v>0.1</v>
      </c>
      <c r="E11498" s="5">
        <v>112.1</v>
      </c>
      <c r="F11498" s="5">
        <v>222.4</v>
      </c>
      <c r="G11498" s="5">
        <v>110.5</v>
      </c>
      <c r="H11498" s="5">
        <v>110.4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112</v>
      </c>
      <c r="D11499" s="5">
        <v>0.1</v>
      </c>
      <c r="E11499" s="5">
        <v>112.1</v>
      </c>
      <c r="F11499" s="5">
        <v>222.4</v>
      </c>
      <c r="G11499" s="5">
        <v>110.5</v>
      </c>
      <c r="H11499" s="5">
        <v>110.4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112</v>
      </c>
      <c r="D11500" s="5">
        <v>0.1</v>
      </c>
      <c r="E11500" s="5">
        <v>112.1</v>
      </c>
      <c r="F11500" s="5">
        <v>222.4</v>
      </c>
      <c r="G11500" s="5">
        <v>110.5</v>
      </c>
      <c r="H11500" s="5">
        <v>110.4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112</v>
      </c>
      <c r="D11501" s="5">
        <v>0.1</v>
      </c>
      <c r="E11501" s="5">
        <v>112.1</v>
      </c>
      <c r="F11501" s="5">
        <v>222.4</v>
      </c>
      <c r="G11501" s="5">
        <v>110.5</v>
      </c>
      <c r="H11501" s="5">
        <v>110.4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112</v>
      </c>
      <c r="D11502" s="5">
        <v>0.1</v>
      </c>
      <c r="E11502" s="5">
        <v>112.1</v>
      </c>
      <c r="F11502" s="5">
        <v>222.4</v>
      </c>
      <c r="G11502" s="5">
        <v>110.5</v>
      </c>
      <c r="H11502" s="5">
        <v>110.4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112</v>
      </c>
      <c r="D11503" s="5">
        <v>0.1</v>
      </c>
      <c r="E11503" s="5">
        <v>112.1</v>
      </c>
      <c r="F11503" s="5">
        <v>222.4</v>
      </c>
      <c r="G11503" s="5">
        <v>110.5</v>
      </c>
      <c r="H11503" s="5">
        <v>110.4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112</v>
      </c>
      <c r="D11504" s="5">
        <v>0.1</v>
      </c>
      <c r="E11504" s="5">
        <v>112.1</v>
      </c>
      <c r="F11504" s="5">
        <v>222.4</v>
      </c>
      <c r="G11504" s="5">
        <v>110.5</v>
      </c>
      <c r="H11504" s="5">
        <v>110.4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112</v>
      </c>
      <c r="D11505" s="5">
        <v>0.1</v>
      </c>
      <c r="E11505" s="5">
        <v>112.1</v>
      </c>
      <c r="F11505" s="5">
        <v>222.4</v>
      </c>
      <c r="G11505" s="5">
        <v>110.5</v>
      </c>
      <c r="H11505" s="5">
        <v>110.4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112</v>
      </c>
      <c r="D11506" s="5">
        <v>0.1</v>
      </c>
      <c r="E11506" s="5">
        <v>112.1</v>
      </c>
      <c r="F11506" s="5">
        <v>222.4</v>
      </c>
      <c r="G11506" s="5">
        <v>110.5</v>
      </c>
      <c r="H11506" s="5">
        <v>110.4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112</v>
      </c>
      <c r="D11507" s="5">
        <v>0.1</v>
      </c>
      <c r="E11507" s="5">
        <v>112.1</v>
      </c>
      <c r="F11507" s="5">
        <v>222.4</v>
      </c>
      <c r="G11507" s="5">
        <v>110.5</v>
      </c>
      <c r="H11507" s="5">
        <v>110.4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112</v>
      </c>
      <c r="D11508" s="5">
        <v>0.1</v>
      </c>
      <c r="E11508" s="5">
        <v>112.1</v>
      </c>
      <c r="F11508" s="5">
        <v>222.4</v>
      </c>
      <c r="G11508" s="5">
        <v>110.5</v>
      </c>
      <c r="H11508" s="5">
        <v>110.4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112</v>
      </c>
      <c r="D11509" s="5">
        <v>0.1</v>
      </c>
      <c r="E11509" s="5">
        <v>112.1</v>
      </c>
      <c r="F11509" s="5">
        <v>222.4</v>
      </c>
      <c r="G11509" s="5">
        <v>110.5</v>
      </c>
      <c r="H11509" s="5">
        <v>110.4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112</v>
      </c>
      <c r="D11510" s="5">
        <v>0.1</v>
      </c>
      <c r="E11510" s="5">
        <v>112.1</v>
      </c>
      <c r="F11510" s="5">
        <v>222.4</v>
      </c>
      <c r="G11510" s="5">
        <v>110.5</v>
      </c>
      <c r="H11510" s="5">
        <v>110.4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112</v>
      </c>
      <c r="D11511" s="5">
        <v>0.1</v>
      </c>
      <c r="E11511" s="5">
        <v>112.1</v>
      </c>
      <c r="F11511" s="5">
        <v>222.4</v>
      </c>
      <c r="G11511" s="5">
        <v>110.5</v>
      </c>
      <c r="H11511" s="5">
        <v>110.4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112</v>
      </c>
      <c r="D11512" s="5">
        <v>0.1</v>
      </c>
      <c r="E11512" s="5">
        <v>112.1</v>
      </c>
      <c r="F11512" s="5">
        <v>222.4</v>
      </c>
      <c r="G11512" s="5">
        <v>110.5</v>
      </c>
      <c r="H11512" s="5">
        <v>110.4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112</v>
      </c>
      <c r="D11513" s="5">
        <v>0.1</v>
      </c>
      <c r="E11513" s="5">
        <v>112.1</v>
      </c>
      <c r="F11513" s="5">
        <v>222.4</v>
      </c>
      <c r="G11513" s="5">
        <v>110.5</v>
      </c>
      <c r="H11513" s="5">
        <v>110.4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112</v>
      </c>
      <c r="D11514" s="5">
        <v>0.1</v>
      </c>
      <c r="E11514" s="5">
        <v>112.1</v>
      </c>
      <c r="F11514" s="5">
        <v>222.4</v>
      </c>
      <c r="G11514" s="5">
        <v>110.5</v>
      </c>
      <c r="H11514" s="5">
        <v>110.4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112</v>
      </c>
      <c r="D11515" s="5">
        <v>0.1</v>
      </c>
      <c r="E11515" s="5">
        <v>112.1</v>
      </c>
      <c r="F11515" s="5">
        <v>222.4</v>
      </c>
      <c r="G11515" s="5">
        <v>110.5</v>
      </c>
      <c r="H11515" s="5">
        <v>110.4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112</v>
      </c>
      <c r="D11516" s="5">
        <v>0.1</v>
      </c>
      <c r="E11516" s="5">
        <v>112.1</v>
      </c>
      <c r="F11516" s="5">
        <v>222.4</v>
      </c>
      <c r="G11516" s="5">
        <v>110.5</v>
      </c>
      <c r="H11516" s="5">
        <v>110.4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112</v>
      </c>
      <c r="D11517" s="5">
        <v>0.1</v>
      </c>
      <c r="E11517" s="5">
        <v>112.1</v>
      </c>
      <c r="F11517" s="5">
        <v>222.4</v>
      </c>
      <c r="G11517" s="5">
        <v>110.5</v>
      </c>
      <c r="H11517" s="5">
        <v>110.4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112</v>
      </c>
      <c r="D11518" s="5">
        <v>0.1</v>
      </c>
      <c r="E11518" s="5">
        <v>112.1</v>
      </c>
      <c r="F11518" s="5">
        <v>222.4</v>
      </c>
      <c r="G11518" s="5">
        <v>110.5</v>
      </c>
      <c r="H11518" s="5">
        <v>110.4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112</v>
      </c>
      <c r="D11519" s="5">
        <v>0.1</v>
      </c>
      <c r="E11519" s="5">
        <v>112.1</v>
      </c>
      <c r="F11519" s="5">
        <v>222.4</v>
      </c>
      <c r="G11519" s="5">
        <v>110.5</v>
      </c>
      <c r="H11519" s="5">
        <v>110.4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112</v>
      </c>
      <c r="D11520" s="5">
        <v>0.1</v>
      </c>
      <c r="E11520" s="5">
        <v>112.1</v>
      </c>
      <c r="F11520" s="5">
        <v>222.4</v>
      </c>
      <c r="G11520" s="5">
        <v>110.5</v>
      </c>
      <c r="H11520" s="5">
        <v>110.4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112</v>
      </c>
      <c r="D11521" s="5">
        <v>0.1</v>
      </c>
      <c r="E11521" s="5">
        <v>112.1</v>
      </c>
      <c r="F11521" s="5">
        <v>222.4</v>
      </c>
      <c r="G11521" s="5">
        <v>110.5</v>
      </c>
      <c r="H11521" s="5">
        <v>110.4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112</v>
      </c>
      <c r="D11522" s="5">
        <v>0.1</v>
      </c>
      <c r="E11522" s="5">
        <v>112.1</v>
      </c>
      <c r="F11522" s="5">
        <v>222.4</v>
      </c>
      <c r="G11522" s="5">
        <v>110.5</v>
      </c>
      <c r="H11522" s="5">
        <v>110.4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112</v>
      </c>
      <c r="D11523" s="5">
        <v>0.1</v>
      </c>
      <c r="E11523" s="5">
        <v>112.1</v>
      </c>
      <c r="F11523" s="5">
        <v>222.4</v>
      </c>
      <c r="G11523" s="5">
        <v>110.5</v>
      </c>
      <c r="H11523" s="5">
        <v>110.4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112</v>
      </c>
      <c r="D11524" s="5">
        <v>0.1</v>
      </c>
      <c r="E11524" s="5">
        <v>112.1</v>
      </c>
      <c r="F11524" s="5">
        <v>222.4</v>
      </c>
      <c r="G11524" s="5">
        <v>110.5</v>
      </c>
      <c r="H11524" s="5">
        <v>110.4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112</v>
      </c>
      <c r="D11525" s="5">
        <v>0.1</v>
      </c>
      <c r="E11525" s="5">
        <v>112.1</v>
      </c>
      <c r="F11525" s="5">
        <v>222.4</v>
      </c>
      <c r="G11525" s="5">
        <v>110.5</v>
      </c>
      <c r="H11525" s="5">
        <v>110.4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112</v>
      </c>
      <c r="D11526" s="5">
        <v>0.1</v>
      </c>
      <c r="E11526" s="5">
        <v>112.1</v>
      </c>
      <c r="F11526" s="5">
        <v>222.4</v>
      </c>
      <c r="G11526" s="5">
        <v>110.5</v>
      </c>
      <c r="H11526" s="5">
        <v>110.4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112</v>
      </c>
      <c r="D11527" s="5">
        <v>0.1</v>
      </c>
      <c r="E11527" s="5">
        <v>112.1</v>
      </c>
      <c r="F11527" s="5">
        <v>222.4</v>
      </c>
      <c r="G11527" s="5">
        <v>110.5</v>
      </c>
      <c r="H11527" s="5">
        <v>110.4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112</v>
      </c>
      <c r="D11528" s="5">
        <v>0.1</v>
      </c>
      <c r="E11528" s="5">
        <v>112.1</v>
      </c>
      <c r="F11528" s="5">
        <v>222.4</v>
      </c>
      <c r="G11528" s="5">
        <v>110.5</v>
      </c>
      <c r="H11528" s="5">
        <v>110.4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112</v>
      </c>
      <c r="D11529" s="5">
        <v>0.1</v>
      </c>
      <c r="E11529" s="5">
        <v>112.1</v>
      </c>
      <c r="F11529" s="5">
        <v>222.4</v>
      </c>
      <c r="G11529" s="5">
        <v>110.5</v>
      </c>
      <c r="H11529" s="5">
        <v>110.4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112</v>
      </c>
      <c r="D11530" s="5">
        <v>0.1</v>
      </c>
      <c r="E11530" s="5">
        <v>112.1</v>
      </c>
      <c r="F11530" s="5">
        <v>222.4</v>
      </c>
      <c r="G11530" s="5">
        <v>110.5</v>
      </c>
      <c r="H11530" s="5">
        <v>110.4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112</v>
      </c>
      <c r="D11531" s="5">
        <v>0.1</v>
      </c>
      <c r="E11531" s="5">
        <v>112.1</v>
      </c>
      <c r="F11531" s="5">
        <v>222.4</v>
      </c>
      <c r="G11531" s="5">
        <v>110.5</v>
      </c>
      <c r="H11531" s="5">
        <v>110.4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112</v>
      </c>
      <c r="D11532" s="5">
        <v>0.1</v>
      </c>
      <c r="E11532" s="5">
        <v>112.1</v>
      </c>
      <c r="F11532" s="5">
        <v>222.4</v>
      </c>
      <c r="G11532" s="5">
        <v>110.5</v>
      </c>
      <c r="H11532" s="5">
        <v>110.4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112</v>
      </c>
      <c r="D11533" s="5">
        <v>0.1</v>
      </c>
      <c r="E11533" s="5">
        <v>112.1</v>
      </c>
      <c r="F11533" s="5">
        <v>222.4</v>
      </c>
      <c r="G11533" s="5">
        <v>110.5</v>
      </c>
      <c r="H11533" s="5">
        <v>110.4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112</v>
      </c>
      <c r="D11534" s="5">
        <v>0.1</v>
      </c>
      <c r="E11534" s="5">
        <v>112.1</v>
      </c>
      <c r="F11534" s="5">
        <v>222.4</v>
      </c>
      <c r="G11534" s="5">
        <v>110.5</v>
      </c>
      <c r="H11534" s="5">
        <v>110.4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112</v>
      </c>
      <c r="D11535" s="5">
        <v>0.1</v>
      </c>
      <c r="E11535" s="5">
        <v>112.1</v>
      </c>
      <c r="F11535" s="5">
        <v>222.4</v>
      </c>
      <c r="G11535" s="5">
        <v>110.5</v>
      </c>
      <c r="H11535" s="5">
        <v>110.4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112</v>
      </c>
      <c r="D11536" s="5">
        <v>0.1</v>
      </c>
      <c r="E11536" s="5">
        <v>112.1</v>
      </c>
      <c r="F11536" s="5">
        <v>222.4</v>
      </c>
      <c r="G11536" s="5">
        <v>110.5</v>
      </c>
      <c r="H11536" s="5">
        <v>110.4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112</v>
      </c>
      <c r="D11537" s="5">
        <v>0.1</v>
      </c>
      <c r="E11537" s="5">
        <v>112.1</v>
      </c>
      <c r="F11537" s="5">
        <v>222.4</v>
      </c>
      <c r="G11537" s="5">
        <v>110.5</v>
      </c>
      <c r="H11537" s="5">
        <v>110.4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112</v>
      </c>
      <c r="D11538" s="5">
        <v>0.1</v>
      </c>
      <c r="E11538" s="5">
        <v>112.1</v>
      </c>
      <c r="F11538" s="5">
        <v>222.4</v>
      </c>
      <c r="G11538" s="5">
        <v>110.5</v>
      </c>
      <c r="H11538" s="5">
        <v>110.4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112</v>
      </c>
      <c r="D11539" s="5">
        <v>0.1</v>
      </c>
      <c r="E11539" s="5">
        <v>112.1</v>
      </c>
      <c r="F11539" s="5">
        <v>222.4</v>
      </c>
      <c r="G11539" s="5">
        <v>110.5</v>
      </c>
      <c r="H11539" s="5">
        <v>110.4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112</v>
      </c>
      <c r="D11540" s="5">
        <v>0.1</v>
      </c>
      <c r="E11540" s="5">
        <v>112.1</v>
      </c>
      <c r="F11540" s="5">
        <v>222.4</v>
      </c>
      <c r="G11540" s="5">
        <v>110.5</v>
      </c>
      <c r="H11540" s="5">
        <v>110.4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112</v>
      </c>
      <c r="D11541" s="5">
        <v>0.1</v>
      </c>
      <c r="E11541" s="5">
        <v>112.1</v>
      </c>
      <c r="F11541" s="5">
        <v>222.4</v>
      </c>
      <c r="G11541" s="5">
        <v>110.5</v>
      </c>
      <c r="H11541" s="5">
        <v>110.4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112</v>
      </c>
      <c r="D11542" s="5">
        <v>0.1</v>
      </c>
      <c r="E11542" s="5">
        <v>112.1</v>
      </c>
      <c r="F11542" s="5">
        <v>222.4</v>
      </c>
      <c r="G11542" s="5">
        <v>110.5</v>
      </c>
      <c r="H11542" s="5">
        <v>110.4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112</v>
      </c>
      <c r="D11543" s="5">
        <v>0.1</v>
      </c>
      <c r="E11543" s="5">
        <v>112.1</v>
      </c>
      <c r="F11543" s="5">
        <v>222.4</v>
      </c>
      <c r="G11543" s="5">
        <v>110.5</v>
      </c>
      <c r="H11543" s="5">
        <v>110.4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112</v>
      </c>
      <c r="D11544" s="5">
        <v>0.1</v>
      </c>
      <c r="E11544" s="5">
        <v>112.1</v>
      </c>
      <c r="F11544" s="5">
        <v>222.4</v>
      </c>
      <c r="G11544" s="5">
        <v>110.5</v>
      </c>
      <c r="H11544" s="5">
        <v>110.4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112</v>
      </c>
      <c r="D11545" s="5">
        <v>0.1</v>
      </c>
      <c r="E11545" s="5">
        <v>112.1</v>
      </c>
      <c r="F11545" s="5">
        <v>222.4</v>
      </c>
      <c r="G11545" s="5">
        <v>110.5</v>
      </c>
      <c r="H11545" s="5">
        <v>110.4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112</v>
      </c>
      <c r="D11546" s="5">
        <v>0.1</v>
      </c>
      <c r="E11546" s="5">
        <v>112.1</v>
      </c>
      <c r="F11546" s="5">
        <v>222.4</v>
      </c>
      <c r="G11546" s="5">
        <v>110.5</v>
      </c>
      <c r="H11546" s="5">
        <v>110.4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112</v>
      </c>
      <c r="D11547" s="5">
        <v>0.1</v>
      </c>
      <c r="E11547" s="5">
        <v>112.1</v>
      </c>
      <c r="F11547" s="5">
        <v>222.4</v>
      </c>
      <c r="G11547" s="5">
        <v>110.5</v>
      </c>
      <c r="H11547" s="5">
        <v>110.4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112</v>
      </c>
      <c r="D11548" s="5">
        <v>0.1</v>
      </c>
      <c r="E11548" s="5">
        <v>112.1</v>
      </c>
      <c r="F11548" s="5">
        <v>222.4</v>
      </c>
      <c r="G11548" s="5">
        <v>110.5</v>
      </c>
      <c r="H11548" s="5">
        <v>110.4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112</v>
      </c>
      <c r="D11549" s="5">
        <v>0.1</v>
      </c>
      <c r="E11549" s="5">
        <v>112.1</v>
      </c>
      <c r="F11549" s="5">
        <v>222.4</v>
      </c>
      <c r="G11549" s="5">
        <v>110.5</v>
      </c>
      <c r="H11549" s="5">
        <v>110.4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112</v>
      </c>
      <c r="D11550" s="5">
        <v>0.1</v>
      </c>
      <c r="E11550" s="5">
        <v>112.1</v>
      </c>
      <c r="F11550" s="5">
        <v>222.4</v>
      </c>
      <c r="G11550" s="5">
        <v>110.5</v>
      </c>
      <c r="H11550" s="5">
        <v>110.4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112</v>
      </c>
      <c r="D11551" s="5">
        <v>0.1</v>
      </c>
      <c r="E11551" s="5">
        <v>112.1</v>
      </c>
      <c r="F11551" s="5">
        <v>222.4</v>
      </c>
      <c r="G11551" s="5">
        <v>110.5</v>
      </c>
      <c r="H11551" s="5">
        <v>110.4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112</v>
      </c>
      <c r="D11552" s="5">
        <v>0.1</v>
      </c>
      <c r="E11552" s="5">
        <v>112.1</v>
      </c>
      <c r="F11552" s="5">
        <v>222.4</v>
      </c>
      <c r="G11552" s="5">
        <v>110.5</v>
      </c>
      <c r="H11552" s="5">
        <v>110.4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112</v>
      </c>
      <c r="D11553" s="5">
        <v>0.1</v>
      </c>
      <c r="E11553" s="5">
        <v>112.1</v>
      </c>
      <c r="F11553" s="5">
        <v>222.4</v>
      </c>
      <c r="G11553" s="5">
        <v>110.5</v>
      </c>
      <c r="H11553" s="5">
        <v>110.4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112</v>
      </c>
      <c r="D11554" s="5">
        <v>0.1</v>
      </c>
      <c r="E11554" s="5">
        <v>112.1</v>
      </c>
      <c r="F11554" s="5">
        <v>222.4</v>
      </c>
      <c r="G11554" s="5">
        <v>110.5</v>
      </c>
      <c r="H11554" s="5">
        <v>110.4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112</v>
      </c>
      <c r="D11555" s="5">
        <v>0.1</v>
      </c>
      <c r="E11555" s="5">
        <v>112.1</v>
      </c>
      <c r="F11555" s="5">
        <v>222.4</v>
      </c>
      <c r="G11555" s="5">
        <v>110.5</v>
      </c>
      <c r="H11555" s="5">
        <v>110.4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112</v>
      </c>
      <c r="D11556" s="5">
        <v>0.1</v>
      </c>
      <c r="E11556" s="5">
        <v>112.1</v>
      </c>
      <c r="F11556" s="5">
        <v>222.4</v>
      </c>
      <c r="G11556" s="5">
        <v>110.5</v>
      </c>
      <c r="H11556" s="5">
        <v>110.4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112</v>
      </c>
      <c r="D11557" s="5">
        <v>0.1</v>
      </c>
      <c r="E11557" s="5">
        <v>112.1</v>
      </c>
      <c r="F11557" s="5">
        <v>222.4</v>
      </c>
      <c r="G11557" s="5">
        <v>110.5</v>
      </c>
      <c r="H11557" s="5">
        <v>110.4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112</v>
      </c>
      <c r="D11558" s="5">
        <v>0.1</v>
      </c>
      <c r="E11558" s="5">
        <v>112.1</v>
      </c>
      <c r="F11558" s="5">
        <v>222.4</v>
      </c>
      <c r="G11558" s="5">
        <v>110.5</v>
      </c>
      <c r="H11558" s="5">
        <v>110.4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112</v>
      </c>
      <c r="D11559" s="5">
        <v>0.1</v>
      </c>
      <c r="E11559" s="5">
        <v>112.1</v>
      </c>
      <c r="F11559" s="5">
        <v>222.4</v>
      </c>
      <c r="G11559" s="5">
        <v>110.5</v>
      </c>
      <c r="H11559" s="5">
        <v>110.4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112</v>
      </c>
      <c r="D11560" s="5">
        <v>0.1</v>
      </c>
      <c r="E11560" s="5">
        <v>112.1</v>
      </c>
      <c r="F11560" s="5">
        <v>222.4</v>
      </c>
      <c r="G11560" s="5">
        <v>110.5</v>
      </c>
      <c r="H11560" s="5">
        <v>110.4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112</v>
      </c>
      <c r="D11561" s="5">
        <v>0.1</v>
      </c>
      <c r="E11561" s="5">
        <v>112.1</v>
      </c>
      <c r="F11561" s="5">
        <v>222.4</v>
      </c>
      <c r="G11561" s="5">
        <v>110.5</v>
      </c>
      <c r="H11561" s="5">
        <v>110.4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112</v>
      </c>
      <c r="D11562" s="5">
        <v>0.1</v>
      </c>
      <c r="E11562" s="5">
        <v>112.1</v>
      </c>
      <c r="F11562" s="5">
        <v>222.4</v>
      </c>
      <c r="G11562" s="5">
        <v>110.5</v>
      </c>
      <c r="H11562" s="5">
        <v>110.4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112</v>
      </c>
      <c r="D11563" s="5">
        <v>0.1</v>
      </c>
      <c r="E11563" s="5">
        <v>112.1</v>
      </c>
      <c r="F11563" s="5">
        <v>222.4</v>
      </c>
      <c r="G11563" s="5">
        <v>110.5</v>
      </c>
      <c r="H11563" s="5">
        <v>110.4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112</v>
      </c>
      <c r="D11564" s="5">
        <v>0.1</v>
      </c>
      <c r="E11564" s="5">
        <v>112.1</v>
      </c>
      <c r="F11564" s="5">
        <v>222.4</v>
      </c>
      <c r="G11564" s="5">
        <v>110.5</v>
      </c>
      <c r="H11564" s="5">
        <v>110.4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112</v>
      </c>
      <c r="D11565" s="5">
        <v>0.1</v>
      </c>
      <c r="E11565" s="5">
        <v>112.1</v>
      </c>
      <c r="F11565" s="5">
        <v>222.4</v>
      </c>
      <c r="G11565" s="5">
        <v>110.5</v>
      </c>
      <c r="H11565" s="5">
        <v>110.4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112</v>
      </c>
      <c r="D11566" s="5">
        <v>0.1</v>
      </c>
      <c r="E11566" s="5">
        <v>112.1</v>
      </c>
      <c r="F11566" s="5">
        <v>222.4</v>
      </c>
      <c r="G11566" s="5">
        <v>110.5</v>
      </c>
      <c r="H11566" s="5">
        <v>110.4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112</v>
      </c>
      <c r="D11567" s="5">
        <v>0.1</v>
      </c>
      <c r="E11567" s="5">
        <v>112.1</v>
      </c>
      <c r="F11567" s="5">
        <v>222.4</v>
      </c>
      <c r="G11567" s="5">
        <v>110.5</v>
      </c>
      <c r="H11567" s="5">
        <v>110.4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112</v>
      </c>
      <c r="D11568" s="5">
        <v>0.1</v>
      </c>
      <c r="E11568" s="5">
        <v>112.1</v>
      </c>
      <c r="F11568" s="5">
        <v>222.4</v>
      </c>
      <c r="G11568" s="5">
        <v>110.5</v>
      </c>
      <c r="H11568" s="5">
        <v>110.4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112</v>
      </c>
      <c r="D11569" s="5">
        <v>0.1</v>
      </c>
      <c r="E11569" s="5">
        <v>112.1</v>
      </c>
      <c r="F11569" s="5">
        <v>222.4</v>
      </c>
      <c r="G11569" s="5">
        <v>110.5</v>
      </c>
      <c r="H11569" s="5">
        <v>110.4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112</v>
      </c>
      <c r="D11570" s="5">
        <v>0.1</v>
      </c>
      <c r="E11570" s="5">
        <v>112.1</v>
      </c>
      <c r="F11570" s="5">
        <v>222.4</v>
      </c>
      <c r="G11570" s="5">
        <v>110.5</v>
      </c>
      <c r="H11570" s="5">
        <v>110.4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112</v>
      </c>
      <c r="D11571" s="5">
        <v>0.1</v>
      </c>
      <c r="E11571" s="5">
        <v>112.1</v>
      </c>
      <c r="F11571" s="5">
        <v>222.4</v>
      </c>
      <c r="G11571" s="5">
        <v>110.5</v>
      </c>
      <c r="H11571" s="5">
        <v>110.4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112</v>
      </c>
      <c r="D11572" s="5">
        <v>0.1</v>
      </c>
      <c r="E11572" s="5">
        <v>112.1</v>
      </c>
      <c r="F11572" s="5">
        <v>222.4</v>
      </c>
      <c r="G11572" s="5">
        <v>110.5</v>
      </c>
      <c r="H11572" s="5">
        <v>110.4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112</v>
      </c>
      <c r="D11573" s="5">
        <v>0.1</v>
      </c>
      <c r="E11573" s="5">
        <v>112.1</v>
      </c>
      <c r="F11573" s="5">
        <v>222.4</v>
      </c>
      <c r="G11573" s="5">
        <v>110.5</v>
      </c>
      <c r="H11573" s="5">
        <v>110.4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112</v>
      </c>
      <c r="D11574" s="5">
        <v>0.1</v>
      </c>
      <c r="E11574" s="5">
        <v>112.1</v>
      </c>
      <c r="F11574" s="5">
        <v>222.4</v>
      </c>
      <c r="G11574" s="5">
        <v>110.5</v>
      </c>
      <c r="H11574" s="5">
        <v>110.4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112</v>
      </c>
      <c r="D11575" s="5">
        <v>0.1</v>
      </c>
      <c r="E11575" s="5">
        <v>112.1</v>
      </c>
      <c r="F11575" s="5">
        <v>222.4</v>
      </c>
      <c r="G11575" s="5">
        <v>110.5</v>
      </c>
      <c r="H11575" s="5">
        <v>110.4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112</v>
      </c>
      <c r="D11576" s="5">
        <v>0.1</v>
      </c>
      <c r="E11576" s="5">
        <v>112.1</v>
      </c>
      <c r="F11576" s="5">
        <v>222.4</v>
      </c>
      <c r="G11576" s="5">
        <v>110.5</v>
      </c>
      <c r="H11576" s="5">
        <v>110.4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112</v>
      </c>
      <c r="D11577" s="5">
        <v>0.1</v>
      </c>
      <c r="E11577" s="5">
        <v>112.1</v>
      </c>
      <c r="F11577" s="5">
        <v>222.4</v>
      </c>
      <c r="G11577" s="5">
        <v>110.5</v>
      </c>
      <c r="H11577" s="5">
        <v>110.4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112</v>
      </c>
      <c r="D11578" s="5">
        <v>0.1</v>
      </c>
      <c r="E11578" s="5">
        <v>112.1</v>
      </c>
      <c r="F11578" s="5">
        <v>222.4</v>
      </c>
      <c r="G11578" s="5">
        <v>110.5</v>
      </c>
      <c r="H11578" s="5">
        <v>110.4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112</v>
      </c>
      <c r="D11579" s="5">
        <v>0.1</v>
      </c>
      <c r="E11579" s="5">
        <v>112.1</v>
      </c>
      <c r="F11579" s="5">
        <v>222.4</v>
      </c>
      <c r="G11579" s="5">
        <v>110.5</v>
      </c>
      <c r="H11579" s="5">
        <v>110.4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112</v>
      </c>
      <c r="D11580" s="5">
        <v>0.1</v>
      </c>
      <c r="E11580" s="5">
        <v>112.1</v>
      </c>
      <c r="F11580" s="5">
        <v>222.4</v>
      </c>
      <c r="G11580" s="5">
        <v>110.5</v>
      </c>
      <c r="H11580" s="5">
        <v>110.4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112</v>
      </c>
      <c r="D11581" s="5">
        <v>0.1</v>
      </c>
      <c r="E11581" s="5">
        <v>112.1</v>
      </c>
      <c r="F11581" s="5">
        <v>222.4</v>
      </c>
      <c r="G11581" s="5">
        <v>110.5</v>
      </c>
      <c r="H11581" s="5">
        <v>110.4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112</v>
      </c>
      <c r="D11582" s="5">
        <v>0.1</v>
      </c>
      <c r="E11582" s="5">
        <v>112.1</v>
      </c>
      <c r="F11582" s="5">
        <v>222.4</v>
      </c>
      <c r="G11582" s="5">
        <v>110.5</v>
      </c>
      <c r="H11582" s="5">
        <v>110.4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112</v>
      </c>
      <c r="D11583" s="5">
        <v>0.1</v>
      </c>
      <c r="E11583" s="5">
        <v>112.1</v>
      </c>
      <c r="F11583" s="5">
        <v>222.4</v>
      </c>
      <c r="G11583" s="5">
        <v>110.5</v>
      </c>
      <c r="H11583" s="5">
        <v>110.4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112</v>
      </c>
      <c r="D11584" s="5">
        <v>0.1</v>
      </c>
      <c r="E11584" s="5">
        <v>112.1</v>
      </c>
      <c r="F11584" s="5">
        <v>222.4</v>
      </c>
      <c r="G11584" s="5">
        <v>110.5</v>
      </c>
      <c r="H11584" s="5">
        <v>110.4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112</v>
      </c>
      <c r="D11585" s="5">
        <v>0.1</v>
      </c>
      <c r="E11585" s="5">
        <v>112.1</v>
      </c>
      <c r="F11585" s="5">
        <v>222.4</v>
      </c>
      <c r="G11585" s="5">
        <v>110.5</v>
      </c>
      <c r="H11585" s="5">
        <v>110.4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112</v>
      </c>
      <c r="D11586" s="5">
        <v>0.1</v>
      </c>
      <c r="E11586" s="5">
        <v>112.1</v>
      </c>
      <c r="F11586" s="5">
        <v>222.4</v>
      </c>
      <c r="G11586" s="5">
        <v>110.5</v>
      </c>
      <c r="H11586" s="5">
        <v>110.4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112</v>
      </c>
      <c r="D11587" s="5">
        <v>0.1</v>
      </c>
      <c r="E11587" s="5">
        <v>112.1</v>
      </c>
      <c r="F11587" s="5">
        <v>222.4</v>
      </c>
      <c r="G11587" s="5">
        <v>110.5</v>
      </c>
      <c r="H11587" s="5">
        <v>110.4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112</v>
      </c>
      <c r="D11588" s="5">
        <v>0.1</v>
      </c>
      <c r="E11588" s="5">
        <v>112.1</v>
      </c>
      <c r="F11588" s="5">
        <v>222.4</v>
      </c>
      <c r="G11588" s="5">
        <v>110.5</v>
      </c>
      <c r="H11588" s="5">
        <v>110.4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112</v>
      </c>
      <c r="D11589" s="5">
        <v>0.1</v>
      </c>
      <c r="E11589" s="5">
        <v>112.1</v>
      </c>
      <c r="F11589" s="5">
        <v>222.4</v>
      </c>
      <c r="G11589" s="5">
        <v>110.5</v>
      </c>
      <c r="H11589" s="5">
        <v>110.4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112</v>
      </c>
      <c r="D11590" s="5">
        <v>0.1</v>
      </c>
      <c r="E11590" s="5">
        <v>112.1</v>
      </c>
      <c r="F11590" s="5">
        <v>222.4</v>
      </c>
      <c r="G11590" s="5">
        <v>110.5</v>
      </c>
      <c r="H11590" s="5">
        <v>110.4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112</v>
      </c>
      <c r="D11591" s="5">
        <v>0.1</v>
      </c>
      <c r="E11591" s="5">
        <v>112.1</v>
      </c>
      <c r="F11591" s="5">
        <v>222.4</v>
      </c>
      <c r="G11591" s="5">
        <v>110.5</v>
      </c>
      <c r="H11591" s="5">
        <v>110.4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112</v>
      </c>
      <c r="D11592" s="5">
        <v>0.1</v>
      </c>
      <c r="E11592" s="5">
        <v>112.1</v>
      </c>
      <c r="F11592" s="5">
        <v>222.4</v>
      </c>
      <c r="G11592" s="5">
        <v>110.5</v>
      </c>
      <c r="H11592" s="5">
        <v>110.4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112</v>
      </c>
      <c r="D11593" s="5">
        <v>0.1</v>
      </c>
      <c r="E11593" s="5">
        <v>112.1</v>
      </c>
      <c r="F11593" s="5">
        <v>222.4</v>
      </c>
      <c r="G11593" s="5">
        <v>110.5</v>
      </c>
      <c r="H11593" s="5">
        <v>110.4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112</v>
      </c>
      <c r="D11594" s="5">
        <v>0.1</v>
      </c>
      <c r="E11594" s="5">
        <v>112.1</v>
      </c>
      <c r="F11594" s="5">
        <v>222.4</v>
      </c>
      <c r="G11594" s="5">
        <v>110.5</v>
      </c>
      <c r="H11594" s="5">
        <v>110.4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112</v>
      </c>
      <c r="D11595" s="5">
        <v>0.1</v>
      </c>
      <c r="E11595" s="5">
        <v>112.1</v>
      </c>
      <c r="F11595" s="5">
        <v>222.4</v>
      </c>
      <c r="G11595" s="5">
        <v>110.5</v>
      </c>
      <c r="H11595" s="5">
        <v>110.4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112</v>
      </c>
      <c r="D11596" s="5">
        <v>0.1</v>
      </c>
      <c r="E11596" s="5">
        <v>112.1</v>
      </c>
      <c r="F11596" s="5">
        <v>222.4</v>
      </c>
      <c r="G11596" s="5">
        <v>110.5</v>
      </c>
      <c r="H11596" s="5">
        <v>110.4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112</v>
      </c>
      <c r="D11597" s="5">
        <v>0.1</v>
      </c>
      <c r="E11597" s="5">
        <v>112.1</v>
      </c>
      <c r="F11597" s="5">
        <v>222.4</v>
      </c>
      <c r="G11597" s="5">
        <v>110.5</v>
      </c>
      <c r="H11597" s="5">
        <v>110.4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112</v>
      </c>
      <c r="D11598" s="5">
        <v>0.1</v>
      </c>
      <c r="E11598" s="5">
        <v>112.1</v>
      </c>
      <c r="F11598" s="5">
        <v>222.4</v>
      </c>
      <c r="G11598" s="5">
        <v>110.5</v>
      </c>
      <c r="H11598" s="5">
        <v>110.4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112</v>
      </c>
      <c r="D11599" s="5">
        <v>0.1</v>
      </c>
      <c r="E11599" s="5">
        <v>112.1</v>
      </c>
      <c r="F11599" s="5">
        <v>222.4</v>
      </c>
      <c r="G11599" s="5">
        <v>110.5</v>
      </c>
      <c r="H11599" s="5">
        <v>110.4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112</v>
      </c>
      <c r="D11600" s="5">
        <v>0.1</v>
      </c>
      <c r="E11600" s="5">
        <v>112.1</v>
      </c>
      <c r="F11600" s="5">
        <v>222.4</v>
      </c>
      <c r="G11600" s="5">
        <v>110.5</v>
      </c>
      <c r="H11600" s="5">
        <v>110.4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112</v>
      </c>
      <c r="D11601" s="5">
        <v>0.1</v>
      </c>
      <c r="E11601" s="5">
        <v>112.1</v>
      </c>
      <c r="F11601" s="5">
        <v>222.4</v>
      </c>
      <c r="G11601" s="5">
        <v>110.5</v>
      </c>
      <c r="H11601" s="5">
        <v>110.4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112</v>
      </c>
      <c r="D11602" s="5">
        <v>0.1</v>
      </c>
      <c r="E11602" s="5">
        <v>112.1</v>
      </c>
      <c r="F11602" s="5">
        <v>222.4</v>
      </c>
      <c r="G11602" s="5">
        <v>110.5</v>
      </c>
      <c r="H11602" s="5">
        <v>110.4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112</v>
      </c>
      <c r="D11603" s="5">
        <v>0.1</v>
      </c>
      <c r="E11603" s="5">
        <v>112.1</v>
      </c>
      <c r="F11603" s="5">
        <v>222.4</v>
      </c>
      <c r="G11603" s="5">
        <v>110.5</v>
      </c>
      <c r="H11603" s="5">
        <v>110.4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112</v>
      </c>
      <c r="D11604" s="5">
        <v>0.1</v>
      </c>
      <c r="E11604" s="5">
        <v>112.1</v>
      </c>
      <c r="F11604" s="5">
        <v>222.4</v>
      </c>
      <c r="G11604" s="5">
        <v>110.5</v>
      </c>
      <c r="H11604" s="5">
        <v>110.4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112</v>
      </c>
      <c r="D11605" s="5">
        <v>0.1</v>
      </c>
      <c r="E11605" s="5">
        <v>112.1</v>
      </c>
      <c r="F11605" s="5">
        <v>222.4</v>
      </c>
      <c r="G11605" s="5">
        <v>110.5</v>
      </c>
      <c r="H11605" s="5">
        <v>110.4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112</v>
      </c>
      <c r="D11606" s="5">
        <v>0.1</v>
      </c>
      <c r="E11606" s="5">
        <v>112.1</v>
      </c>
      <c r="F11606" s="5">
        <v>222.4</v>
      </c>
      <c r="G11606" s="5">
        <v>110.5</v>
      </c>
      <c r="H11606" s="5">
        <v>110.4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112</v>
      </c>
      <c r="D11607" s="5">
        <v>0.1</v>
      </c>
      <c r="E11607" s="5">
        <v>112.1</v>
      </c>
      <c r="F11607" s="5">
        <v>222.4</v>
      </c>
      <c r="G11607" s="5">
        <v>110.5</v>
      </c>
      <c r="H11607" s="5">
        <v>110.4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112</v>
      </c>
      <c r="D11608" s="5">
        <v>0.1</v>
      </c>
      <c r="E11608" s="5">
        <v>112.1</v>
      </c>
      <c r="F11608" s="5">
        <v>222.4</v>
      </c>
      <c r="G11608" s="5">
        <v>110.5</v>
      </c>
      <c r="H11608" s="5">
        <v>110.4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112</v>
      </c>
      <c r="D11609" s="5">
        <v>0.1</v>
      </c>
      <c r="E11609" s="5">
        <v>112.1</v>
      </c>
      <c r="F11609" s="5">
        <v>222.4</v>
      </c>
      <c r="G11609" s="5">
        <v>110.5</v>
      </c>
      <c r="H11609" s="5">
        <v>110.4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112</v>
      </c>
      <c r="D11610" s="5">
        <v>0.1</v>
      </c>
      <c r="E11610" s="5">
        <v>112.1</v>
      </c>
      <c r="F11610" s="5">
        <v>222.4</v>
      </c>
      <c r="G11610" s="5">
        <v>110.5</v>
      </c>
      <c r="H11610" s="5">
        <v>110.4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112</v>
      </c>
      <c r="D11611" s="5">
        <v>0.1</v>
      </c>
      <c r="E11611" s="5">
        <v>112.1</v>
      </c>
      <c r="F11611" s="5">
        <v>222.4</v>
      </c>
      <c r="G11611" s="5">
        <v>110.5</v>
      </c>
      <c r="H11611" s="5">
        <v>110.4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112</v>
      </c>
      <c r="D11612" s="5">
        <v>0.1</v>
      </c>
      <c r="E11612" s="5">
        <v>112.1</v>
      </c>
      <c r="F11612" s="5">
        <v>222.4</v>
      </c>
      <c r="G11612" s="5">
        <v>110.5</v>
      </c>
      <c r="H11612" s="5">
        <v>110.4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112</v>
      </c>
      <c r="D11613" s="5">
        <v>0.1</v>
      </c>
      <c r="E11613" s="5">
        <v>112.1</v>
      </c>
      <c r="F11613" s="5">
        <v>222.4</v>
      </c>
      <c r="G11613" s="5">
        <v>110.5</v>
      </c>
      <c r="H11613" s="5">
        <v>110.4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112</v>
      </c>
      <c r="D11614" s="5">
        <v>0.1</v>
      </c>
      <c r="E11614" s="5">
        <v>112.1</v>
      </c>
      <c r="F11614" s="5">
        <v>222.4</v>
      </c>
      <c r="G11614" s="5">
        <v>110.5</v>
      </c>
      <c r="H11614" s="5">
        <v>110.4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112</v>
      </c>
      <c r="D11615" s="5">
        <v>0.1</v>
      </c>
      <c r="E11615" s="5">
        <v>112.1</v>
      </c>
      <c r="F11615" s="5">
        <v>222.4</v>
      </c>
      <c r="G11615" s="5">
        <v>110.5</v>
      </c>
      <c r="H11615" s="5">
        <v>110.4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112</v>
      </c>
      <c r="D11616" s="5">
        <v>0.1</v>
      </c>
      <c r="E11616" s="5">
        <v>112.1</v>
      </c>
      <c r="F11616" s="5">
        <v>222.4</v>
      </c>
      <c r="G11616" s="5">
        <v>110.5</v>
      </c>
      <c r="H11616" s="5">
        <v>110.4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112</v>
      </c>
      <c r="D11617" s="5">
        <v>0.1</v>
      </c>
      <c r="E11617" s="5">
        <v>112.1</v>
      </c>
      <c r="F11617" s="5">
        <v>222.4</v>
      </c>
      <c r="G11617" s="5">
        <v>110.5</v>
      </c>
      <c r="H11617" s="5">
        <v>110.4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112</v>
      </c>
      <c r="D11618" s="5">
        <v>0.1</v>
      </c>
      <c r="E11618" s="5">
        <v>112.1</v>
      </c>
      <c r="F11618" s="5">
        <v>222.4</v>
      </c>
      <c r="G11618" s="5">
        <v>110.5</v>
      </c>
      <c r="H11618" s="5">
        <v>110.4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112</v>
      </c>
      <c r="D11619" s="5">
        <v>0.1</v>
      </c>
      <c r="E11619" s="5">
        <v>112.1</v>
      </c>
      <c r="F11619" s="5">
        <v>222.4</v>
      </c>
      <c r="G11619" s="5">
        <v>110.5</v>
      </c>
      <c r="H11619" s="5">
        <v>110.4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112</v>
      </c>
      <c r="D11620" s="5">
        <v>0.1</v>
      </c>
      <c r="E11620" s="5">
        <v>112.1</v>
      </c>
      <c r="F11620" s="5">
        <v>222.4</v>
      </c>
      <c r="G11620" s="5">
        <v>110.5</v>
      </c>
      <c r="H11620" s="5">
        <v>110.4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112</v>
      </c>
      <c r="D11621" s="5">
        <v>0.1</v>
      </c>
      <c r="E11621" s="5">
        <v>112.1</v>
      </c>
      <c r="F11621" s="5">
        <v>222.4</v>
      </c>
      <c r="G11621" s="5">
        <v>110.5</v>
      </c>
      <c r="H11621" s="5">
        <v>110.4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112</v>
      </c>
      <c r="D11622" s="5">
        <v>0.1</v>
      </c>
      <c r="E11622" s="5">
        <v>112.1</v>
      </c>
      <c r="F11622" s="5">
        <v>222.4</v>
      </c>
      <c r="G11622" s="5">
        <v>110.5</v>
      </c>
      <c r="H11622" s="5">
        <v>110.4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112</v>
      </c>
      <c r="D11623" s="5">
        <v>0.1</v>
      </c>
      <c r="E11623" s="5">
        <v>112.1</v>
      </c>
      <c r="F11623" s="5">
        <v>222.4</v>
      </c>
      <c r="G11623" s="5">
        <v>110.5</v>
      </c>
      <c r="H11623" s="5">
        <v>110.4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112</v>
      </c>
      <c r="D11624" s="5">
        <v>0.1</v>
      </c>
      <c r="E11624" s="5">
        <v>112.1</v>
      </c>
      <c r="F11624" s="5">
        <v>222.4</v>
      </c>
      <c r="G11624" s="5">
        <v>110.5</v>
      </c>
      <c r="H11624" s="5">
        <v>110.4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112</v>
      </c>
      <c r="D11625" s="5">
        <v>0.1</v>
      </c>
      <c r="E11625" s="5">
        <v>112.1</v>
      </c>
      <c r="F11625" s="5">
        <v>222.4</v>
      </c>
      <c r="G11625" s="5">
        <v>110.5</v>
      </c>
      <c r="H11625" s="5">
        <v>110.4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112</v>
      </c>
      <c r="D11626" s="5">
        <v>0.1</v>
      </c>
      <c r="E11626" s="5">
        <v>112.1</v>
      </c>
      <c r="F11626" s="5">
        <v>222.4</v>
      </c>
      <c r="G11626" s="5">
        <v>110.5</v>
      </c>
      <c r="H11626" s="5">
        <v>110.4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112</v>
      </c>
      <c r="D11627" s="5">
        <v>0.1</v>
      </c>
      <c r="E11627" s="5">
        <v>112.1</v>
      </c>
      <c r="F11627" s="5">
        <v>222.4</v>
      </c>
      <c r="G11627" s="5">
        <v>110.5</v>
      </c>
      <c r="H11627" s="5">
        <v>110.4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112</v>
      </c>
      <c r="D11628" s="5">
        <v>0.1</v>
      </c>
      <c r="E11628" s="5">
        <v>112.1</v>
      </c>
      <c r="F11628" s="5">
        <v>222.4</v>
      </c>
      <c r="G11628" s="5">
        <v>110.5</v>
      </c>
      <c r="H11628" s="5">
        <v>110.4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112</v>
      </c>
      <c r="D11629" s="5">
        <v>0.1</v>
      </c>
      <c r="E11629" s="5">
        <v>112.1</v>
      </c>
      <c r="F11629" s="5">
        <v>222.4</v>
      </c>
      <c r="G11629" s="5">
        <v>110.5</v>
      </c>
      <c r="H11629" s="5">
        <v>110.4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112</v>
      </c>
      <c r="D11630" s="5">
        <v>0.1</v>
      </c>
      <c r="E11630" s="5">
        <v>112.1</v>
      </c>
      <c r="F11630" s="5">
        <v>222.4</v>
      </c>
      <c r="G11630" s="5">
        <v>110.5</v>
      </c>
      <c r="H11630" s="5">
        <v>110.4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112</v>
      </c>
      <c r="D11631" s="5">
        <v>0.1</v>
      </c>
      <c r="E11631" s="5">
        <v>112.1</v>
      </c>
      <c r="F11631" s="5">
        <v>222.4</v>
      </c>
      <c r="G11631" s="5">
        <v>110.5</v>
      </c>
      <c r="H11631" s="5">
        <v>110.4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112</v>
      </c>
      <c r="D11632" s="5">
        <v>0.1</v>
      </c>
      <c r="E11632" s="5">
        <v>112.1</v>
      </c>
      <c r="F11632" s="5">
        <v>222.4</v>
      </c>
      <c r="G11632" s="5">
        <v>110.5</v>
      </c>
      <c r="H11632" s="5">
        <v>110.4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112</v>
      </c>
      <c r="D11633" s="5">
        <v>0.1</v>
      </c>
      <c r="E11633" s="5">
        <v>112.1</v>
      </c>
      <c r="F11633" s="5">
        <v>222.4</v>
      </c>
      <c r="G11633" s="5">
        <v>110.5</v>
      </c>
      <c r="H11633" s="5">
        <v>110.4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112</v>
      </c>
      <c r="D11634" s="5">
        <v>0.1</v>
      </c>
      <c r="E11634" s="5">
        <v>112.1</v>
      </c>
      <c r="F11634" s="5">
        <v>222.4</v>
      </c>
      <c r="G11634" s="5">
        <v>110.5</v>
      </c>
      <c r="H11634" s="5">
        <v>110.4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112</v>
      </c>
      <c r="D11635" s="5">
        <v>0.1</v>
      </c>
      <c r="E11635" s="5">
        <v>112.1</v>
      </c>
      <c r="F11635" s="5">
        <v>222.4</v>
      </c>
      <c r="G11635" s="5">
        <v>110.5</v>
      </c>
      <c r="H11635" s="5">
        <v>110.4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112</v>
      </c>
      <c r="D11636" s="5">
        <v>0.1</v>
      </c>
      <c r="E11636" s="5">
        <v>112.1</v>
      </c>
      <c r="F11636" s="5">
        <v>222.4</v>
      </c>
      <c r="G11636" s="5">
        <v>110.5</v>
      </c>
      <c r="H11636" s="5">
        <v>110.4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112</v>
      </c>
      <c r="D11637" s="5">
        <v>0.1</v>
      </c>
      <c r="E11637" s="5">
        <v>112.1</v>
      </c>
      <c r="F11637" s="5">
        <v>222.4</v>
      </c>
      <c r="G11637" s="5">
        <v>110.5</v>
      </c>
      <c r="H11637" s="5">
        <v>110.4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112</v>
      </c>
      <c r="D11638" s="5">
        <v>0.1</v>
      </c>
      <c r="E11638" s="5">
        <v>112.1</v>
      </c>
      <c r="F11638" s="5">
        <v>222.4</v>
      </c>
      <c r="G11638" s="5">
        <v>110.5</v>
      </c>
      <c r="H11638" s="5">
        <v>110.4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112</v>
      </c>
      <c r="D11639" s="5">
        <v>0.1</v>
      </c>
      <c r="E11639" s="5">
        <v>112.1</v>
      </c>
      <c r="F11639" s="5">
        <v>222.4</v>
      </c>
      <c r="G11639" s="5">
        <v>110.5</v>
      </c>
      <c r="H11639" s="5">
        <v>110.4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112</v>
      </c>
      <c r="D11640" s="5">
        <v>0.1</v>
      </c>
      <c r="E11640" s="5">
        <v>112.1</v>
      </c>
      <c r="F11640" s="5">
        <v>222.4</v>
      </c>
      <c r="G11640" s="5">
        <v>110.5</v>
      </c>
      <c r="H11640" s="5">
        <v>110.4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112</v>
      </c>
      <c r="D11641" s="5">
        <v>0.1</v>
      </c>
      <c r="E11641" s="5">
        <v>112.1</v>
      </c>
      <c r="F11641" s="5">
        <v>222.4</v>
      </c>
      <c r="G11641" s="5">
        <v>110.5</v>
      </c>
      <c r="H11641" s="5">
        <v>110.4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112</v>
      </c>
      <c r="D11642" s="5">
        <v>0.1</v>
      </c>
      <c r="E11642" s="5">
        <v>112.1</v>
      </c>
      <c r="F11642" s="5">
        <v>222.4</v>
      </c>
      <c r="G11642" s="5">
        <v>110.5</v>
      </c>
      <c r="H11642" s="5">
        <v>110.4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112</v>
      </c>
      <c r="D11643" s="5">
        <v>0.1</v>
      </c>
      <c r="E11643" s="5">
        <v>112.1</v>
      </c>
      <c r="F11643" s="5">
        <v>222.4</v>
      </c>
      <c r="G11643" s="5">
        <v>110.5</v>
      </c>
      <c r="H11643" s="5">
        <v>110.4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112</v>
      </c>
      <c r="D11644" s="5">
        <v>0.1</v>
      </c>
      <c r="E11644" s="5">
        <v>112.1</v>
      </c>
      <c r="F11644" s="5">
        <v>222.4</v>
      </c>
      <c r="G11644" s="5">
        <v>110.5</v>
      </c>
      <c r="H11644" s="5">
        <v>110.4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112</v>
      </c>
      <c r="D11645" s="5">
        <v>0.1</v>
      </c>
      <c r="E11645" s="5">
        <v>112.1</v>
      </c>
      <c r="F11645" s="5">
        <v>222.4</v>
      </c>
      <c r="G11645" s="5">
        <v>110.5</v>
      </c>
      <c r="H11645" s="5">
        <v>110.4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112</v>
      </c>
      <c r="D11646" s="5">
        <v>0.1</v>
      </c>
      <c r="E11646" s="5">
        <v>112.1</v>
      </c>
      <c r="F11646" s="5">
        <v>222.4</v>
      </c>
      <c r="G11646" s="5">
        <v>110.5</v>
      </c>
      <c r="H11646" s="5">
        <v>110.4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112</v>
      </c>
      <c r="D11647" s="5">
        <v>0.1</v>
      </c>
      <c r="E11647" s="5">
        <v>112.1</v>
      </c>
      <c r="F11647" s="5">
        <v>222.4</v>
      </c>
      <c r="G11647" s="5">
        <v>110.5</v>
      </c>
      <c r="H11647" s="5">
        <v>110.4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112</v>
      </c>
      <c r="D11648" s="5">
        <v>0.1</v>
      </c>
      <c r="E11648" s="5">
        <v>112.1</v>
      </c>
      <c r="F11648" s="5">
        <v>222.4</v>
      </c>
      <c r="G11648" s="5">
        <v>110.5</v>
      </c>
      <c r="H11648" s="5">
        <v>110.4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112</v>
      </c>
      <c r="D11649" s="5">
        <v>0.1</v>
      </c>
      <c r="E11649" s="5">
        <v>112.1</v>
      </c>
      <c r="F11649" s="5">
        <v>222.4</v>
      </c>
      <c r="G11649" s="5">
        <v>110.5</v>
      </c>
      <c r="H11649" s="5">
        <v>110.4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112</v>
      </c>
      <c r="D11650" s="5">
        <v>0.1</v>
      </c>
      <c r="E11650" s="5">
        <v>112.1</v>
      </c>
      <c r="F11650" s="5">
        <v>222.4</v>
      </c>
      <c r="G11650" s="5">
        <v>110.5</v>
      </c>
      <c r="H11650" s="5">
        <v>110.4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112</v>
      </c>
      <c r="D11651" s="5">
        <v>0.1</v>
      </c>
      <c r="E11651" s="5">
        <v>112.1</v>
      </c>
      <c r="F11651" s="5">
        <v>222.4</v>
      </c>
      <c r="G11651" s="5">
        <v>110.5</v>
      </c>
      <c r="H11651" s="5">
        <v>110.4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112</v>
      </c>
      <c r="D11652" s="5">
        <v>0.1</v>
      </c>
      <c r="E11652" s="5">
        <v>112.1</v>
      </c>
      <c r="F11652" s="5">
        <v>222.4</v>
      </c>
      <c r="G11652" s="5">
        <v>110.5</v>
      </c>
      <c r="H11652" s="5">
        <v>110.4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112</v>
      </c>
      <c r="D11653" s="5">
        <v>0.1</v>
      </c>
      <c r="E11653" s="5">
        <v>112.1</v>
      </c>
      <c r="F11653" s="5">
        <v>222.4</v>
      </c>
      <c r="G11653" s="5">
        <v>110.5</v>
      </c>
      <c r="H11653" s="5">
        <v>110.4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112</v>
      </c>
      <c r="D11654" s="5">
        <v>0.1</v>
      </c>
      <c r="E11654" s="5">
        <v>112.1</v>
      </c>
      <c r="F11654" s="5">
        <v>222.4</v>
      </c>
      <c r="G11654" s="5">
        <v>110.5</v>
      </c>
      <c r="H11654" s="5">
        <v>110.4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112</v>
      </c>
      <c r="D11655" s="5">
        <v>0.1</v>
      </c>
      <c r="E11655" s="5">
        <v>112.1</v>
      </c>
      <c r="F11655" s="5">
        <v>222.4</v>
      </c>
      <c r="G11655" s="5">
        <v>110.5</v>
      </c>
      <c r="H11655" s="5">
        <v>110.4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112</v>
      </c>
      <c r="D11656" s="5">
        <v>0.1</v>
      </c>
      <c r="E11656" s="5">
        <v>112.1</v>
      </c>
      <c r="F11656" s="5">
        <v>222.4</v>
      </c>
      <c r="G11656" s="5">
        <v>110.5</v>
      </c>
      <c r="H11656" s="5">
        <v>110.4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112</v>
      </c>
      <c r="D11657" s="5">
        <v>0.1</v>
      </c>
      <c r="E11657" s="5">
        <v>112.1</v>
      </c>
      <c r="F11657" s="5">
        <v>222.4</v>
      </c>
      <c r="G11657" s="5">
        <v>110.5</v>
      </c>
      <c r="H11657" s="5">
        <v>110.4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112</v>
      </c>
      <c r="D11658" s="5">
        <v>0.1</v>
      </c>
      <c r="E11658" s="5">
        <v>112.1</v>
      </c>
      <c r="F11658" s="5">
        <v>222.4</v>
      </c>
      <c r="G11658" s="5">
        <v>110.5</v>
      </c>
      <c r="H11658" s="5">
        <v>110.4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112</v>
      </c>
      <c r="D11659" s="5">
        <v>0.1</v>
      </c>
      <c r="E11659" s="5">
        <v>112.1</v>
      </c>
      <c r="F11659" s="5">
        <v>222.4</v>
      </c>
      <c r="G11659" s="5">
        <v>110.5</v>
      </c>
      <c r="H11659" s="5">
        <v>110.4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112</v>
      </c>
      <c r="D11660" s="5">
        <v>0.1</v>
      </c>
      <c r="E11660" s="5">
        <v>112.1</v>
      </c>
      <c r="F11660" s="5">
        <v>222.4</v>
      </c>
      <c r="G11660" s="5">
        <v>110.5</v>
      </c>
      <c r="H11660" s="5">
        <v>110.4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112</v>
      </c>
      <c r="D11661" s="5">
        <v>0.1</v>
      </c>
      <c r="E11661" s="5">
        <v>112.1</v>
      </c>
      <c r="F11661" s="5">
        <v>222.4</v>
      </c>
      <c r="G11661" s="5">
        <v>110.5</v>
      </c>
      <c r="H11661" s="5">
        <v>110.4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112</v>
      </c>
      <c r="D11662" s="5">
        <v>0.1</v>
      </c>
      <c r="E11662" s="5">
        <v>112.1</v>
      </c>
      <c r="F11662" s="5">
        <v>222.4</v>
      </c>
      <c r="G11662" s="5">
        <v>110.5</v>
      </c>
      <c r="H11662" s="5">
        <v>110.4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112</v>
      </c>
      <c r="D11663" s="5">
        <v>0.1</v>
      </c>
      <c r="E11663" s="5">
        <v>112.1</v>
      </c>
      <c r="F11663" s="5">
        <v>222.4</v>
      </c>
      <c r="G11663" s="5">
        <v>110.5</v>
      </c>
      <c r="H11663" s="5">
        <v>110.4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112</v>
      </c>
      <c r="D11664" s="5">
        <v>0.1</v>
      </c>
      <c r="E11664" s="5">
        <v>112.1</v>
      </c>
      <c r="F11664" s="5">
        <v>222.4</v>
      </c>
      <c r="G11664" s="5">
        <v>110.5</v>
      </c>
      <c r="H11664" s="5">
        <v>110.4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112</v>
      </c>
      <c r="D11665" s="5">
        <v>0.1</v>
      </c>
      <c r="E11665" s="5">
        <v>112.1</v>
      </c>
      <c r="F11665" s="5">
        <v>222.4</v>
      </c>
      <c r="G11665" s="5">
        <v>110.5</v>
      </c>
      <c r="H11665" s="5">
        <v>110.4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112</v>
      </c>
      <c r="D11666" s="5">
        <v>0.1</v>
      </c>
      <c r="E11666" s="5">
        <v>112.1</v>
      </c>
      <c r="F11666" s="5">
        <v>222.4</v>
      </c>
      <c r="G11666" s="5">
        <v>110.5</v>
      </c>
      <c r="H11666" s="5">
        <v>110.4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112</v>
      </c>
      <c r="D11667" s="5">
        <v>0.1</v>
      </c>
      <c r="E11667" s="5">
        <v>112.1</v>
      </c>
      <c r="F11667" s="5">
        <v>222.4</v>
      </c>
      <c r="G11667" s="5">
        <v>110.5</v>
      </c>
      <c r="H11667" s="5">
        <v>110.4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112</v>
      </c>
      <c r="D11668" s="5">
        <v>0.1</v>
      </c>
      <c r="E11668" s="5">
        <v>112.1</v>
      </c>
      <c r="F11668" s="5">
        <v>222.4</v>
      </c>
      <c r="G11668" s="5">
        <v>110.5</v>
      </c>
      <c r="H11668" s="5">
        <v>110.4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112</v>
      </c>
      <c r="D11669" s="5">
        <v>0.1</v>
      </c>
      <c r="E11669" s="5">
        <v>112.1</v>
      </c>
      <c r="F11669" s="5">
        <v>222.4</v>
      </c>
      <c r="G11669" s="5">
        <v>110.5</v>
      </c>
      <c r="H11669" s="5">
        <v>110.4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112</v>
      </c>
      <c r="D11670" s="5">
        <v>0.1</v>
      </c>
      <c r="E11670" s="5">
        <v>112.1</v>
      </c>
      <c r="F11670" s="5">
        <v>222.4</v>
      </c>
      <c r="G11670" s="5">
        <v>110.5</v>
      </c>
      <c r="H11670" s="5">
        <v>110.4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112</v>
      </c>
      <c r="D11671" s="5">
        <v>0.1</v>
      </c>
      <c r="E11671" s="5">
        <v>112.1</v>
      </c>
      <c r="F11671" s="5">
        <v>222.4</v>
      </c>
      <c r="G11671" s="5">
        <v>110.5</v>
      </c>
      <c r="H11671" s="5">
        <v>110.4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112</v>
      </c>
      <c r="D11672" s="5">
        <v>0.1</v>
      </c>
      <c r="E11672" s="5">
        <v>112.1</v>
      </c>
      <c r="F11672" s="5">
        <v>222.4</v>
      </c>
      <c r="G11672" s="5">
        <v>110.5</v>
      </c>
      <c r="H11672" s="5">
        <v>110.4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112</v>
      </c>
      <c r="D11673" s="5">
        <v>0.1</v>
      </c>
      <c r="E11673" s="5">
        <v>112.1</v>
      </c>
      <c r="F11673" s="5">
        <v>222.4</v>
      </c>
      <c r="G11673" s="5">
        <v>110.5</v>
      </c>
      <c r="H11673" s="5">
        <v>110.4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112</v>
      </c>
      <c r="D11674" s="5">
        <v>0.1</v>
      </c>
      <c r="E11674" s="5">
        <v>112.1</v>
      </c>
      <c r="F11674" s="5">
        <v>222.4</v>
      </c>
      <c r="G11674" s="5">
        <v>110.5</v>
      </c>
      <c r="H11674" s="5">
        <v>110.4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112</v>
      </c>
      <c r="D11675" s="5">
        <v>0.1</v>
      </c>
      <c r="E11675" s="5">
        <v>112.1</v>
      </c>
      <c r="F11675" s="5">
        <v>222.4</v>
      </c>
      <c r="G11675" s="5">
        <v>110.5</v>
      </c>
      <c r="H11675" s="5">
        <v>110.4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112</v>
      </c>
      <c r="D11676" s="5">
        <v>0.1</v>
      </c>
      <c r="E11676" s="5">
        <v>112.1</v>
      </c>
      <c r="F11676" s="5">
        <v>222.4</v>
      </c>
      <c r="G11676" s="5">
        <v>110.5</v>
      </c>
      <c r="H11676" s="5">
        <v>110.4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112</v>
      </c>
      <c r="D11677" s="5">
        <v>0.1</v>
      </c>
      <c r="E11677" s="5">
        <v>112.1</v>
      </c>
      <c r="F11677" s="5">
        <v>222.4</v>
      </c>
      <c r="G11677" s="5">
        <v>110.5</v>
      </c>
      <c r="H11677" s="5">
        <v>110.4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112</v>
      </c>
      <c r="D11678" s="5">
        <v>0.1</v>
      </c>
      <c r="E11678" s="5">
        <v>112.1</v>
      </c>
      <c r="F11678" s="5">
        <v>222.4</v>
      </c>
      <c r="G11678" s="5">
        <v>110.5</v>
      </c>
      <c r="H11678" s="5">
        <v>110.4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112</v>
      </c>
      <c r="D11679" s="5">
        <v>0.1</v>
      </c>
      <c r="E11679" s="5">
        <v>112.1</v>
      </c>
      <c r="F11679" s="5">
        <v>222.4</v>
      </c>
      <c r="G11679" s="5">
        <v>110.5</v>
      </c>
      <c r="H11679" s="5">
        <v>110.4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112</v>
      </c>
      <c r="D11680" s="5">
        <v>0.1</v>
      </c>
      <c r="E11680" s="5">
        <v>112.1</v>
      </c>
      <c r="F11680" s="5">
        <v>222.4</v>
      </c>
      <c r="G11680" s="5">
        <v>110.5</v>
      </c>
      <c r="H11680" s="5">
        <v>110.4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112</v>
      </c>
      <c r="D11681" s="5">
        <v>0.1</v>
      </c>
      <c r="E11681" s="5">
        <v>112.1</v>
      </c>
      <c r="F11681" s="5">
        <v>222.4</v>
      </c>
      <c r="G11681" s="5">
        <v>110.5</v>
      </c>
      <c r="H11681" s="5">
        <v>110.4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112</v>
      </c>
      <c r="D11682" s="5">
        <v>0.1</v>
      </c>
      <c r="E11682" s="5">
        <v>112.1</v>
      </c>
      <c r="F11682" s="5">
        <v>222.4</v>
      </c>
      <c r="G11682" s="5">
        <v>110.5</v>
      </c>
      <c r="H11682" s="5">
        <v>110.4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112</v>
      </c>
      <c r="D11683" s="5">
        <v>0.1</v>
      </c>
      <c r="E11683" s="5">
        <v>112.1</v>
      </c>
      <c r="F11683" s="5">
        <v>222.4</v>
      </c>
      <c r="G11683" s="5">
        <v>110.5</v>
      </c>
      <c r="H11683" s="5">
        <v>110.4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112</v>
      </c>
      <c r="D11684" s="5">
        <v>0.1</v>
      </c>
      <c r="E11684" s="5">
        <v>112.1</v>
      </c>
      <c r="F11684" s="5">
        <v>222.4</v>
      </c>
      <c r="G11684" s="5">
        <v>110.5</v>
      </c>
      <c r="H11684" s="5">
        <v>110.4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112</v>
      </c>
      <c r="D11685" s="5">
        <v>0.1</v>
      </c>
      <c r="E11685" s="5">
        <v>112.1</v>
      </c>
      <c r="F11685" s="5">
        <v>222.4</v>
      </c>
      <c r="G11685" s="5">
        <v>110.5</v>
      </c>
      <c r="H11685" s="5">
        <v>110.4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112</v>
      </c>
      <c r="D11686" s="5">
        <v>0.1</v>
      </c>
      <c r="E11686" s="5">
        <v>112.1</v>
      </c>
      <c r="F11686" s="5">
        <v>222.4</v>
      </c>
      <c r="G11686" s="5">
        <v>110.5</v>
      </c>
      <c r="H11686" s="5">
        <v>110.4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112</v>
      </c>
      <c r="D11687" s="5">
        <v>0.1</v>
      </c>
      <c r="E11687" s="5">
        <v>112.1</v>
      </c>
      <c r="F11687" s="5">
        <v>222.4</v>
      </c>
      <c r="G11687" s="5">
        <v>110.5</v>
      </c>
      <c r="H11687" s="5">
        <v>110.4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112</v>
      </c>
      <c r="D11688" s="5">
        <v>0.1</v>
      </c>
      <c r="E11688" s="5">
        <v>112.1</v>
      </c>
      <c r="F11688" s="5">
        <v>222.4</v>
      </c>
      <c r="G11688" s="5">
        <v>110.5</v>
      </c>
      <c r="H11688" s="5">
        <v>110.4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112</v>
      </c>
      <c r="D11689" s="5">
        <v>0.1</v>
      </c>
      <c r="E11689" s="5">
        <v>112.1</v>
      </c>
      <c r="F11689" s="5">
        <v>222.4</v>
      </c>
      <c r="G11689" s="5">
        <v>110.5</v>
      </c>
      <c r="H11689" s="5">
        <v>110.4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112</v>
      </c>
      <c r="D11690" s="5">
        <v>0.1</v>
      </c>
      <c r="E11690" s="5">
        <v>112.1</v>
      </c>
      <c r="F11690" s="5">
        <v>222.4</v>
      </c>
      <c r="G11690" s="5">
        <v>110.5</v>
      </c>
      <c r="H11690" s="5">
        <v>110.4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112</v>
      </c>
      <c r="D11691" s="5">
        <v>0.1</v>
      </c>
      <c r="E11691" s="5">
        <v>112.1</v>
      </c>
      <c r="F11691" s="5">
        <v>222.4</v>
      </c>
      <c r="G11691" s="5">
        <v>110.5</v>
      </c>
      <c r="H11691" s="5">
        <v>110.4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112</v>
      </c>
      <c r="D11692" s="5">
        <v>0.1</v>
      </c>
      <c r="E11692" s="5">
        <v>112.1</v>
      </c>
      <c r="F11692" s="5">
        <v>222.4</v>
      </c>
      <c r="G11692" s="5">
        <v>110.5</v>
      </c>
      <c r="H11692" s="5">
        <v>110.4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112</v>
      </c>
      <c r="D11693" s="5">
        <v>0.1</v>
      </c>
      <c r="E11693" s="5">
        <v>112.1</v>
      </c>
      <c r="F11693" s="5">
        <v>222.4</v>
      </c>
      <c r="G11693" s="5">
        <v>110.5</v>
      </c>
      <c r="H11693" s="5">
        <v>110.4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112</v>
      </c>
      <c r="D11694" s="5">
        <v>0.1</v>
      </c>
      <c r="E11694" s="5">
        <v>112.1</v>
      </c>
      <c r="F11694" s="5">
        <v>222.4</v>
      </c>
      <c r="G11694" s="5">
        <v>110.5</v>
      </c>
      <c r="H11694" s="5">
        <v>110.4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112</v>
      </c>
      <c r="D11695" s="5">
        <v>0.1</v>
      </c>
      <c r="E11695" s="5">
        <v>112.1</v>
      </c>
      <c r="F11695" s="5">
        <v>222.4</v>
      </c>
      <c r="G11695" s="5">
        <v>110.5</v>
      </c>
      <c r="H11695" s="5">
        <v>110.4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112</v>
      </c>
      <c r="D11696" s="5">
        <v>0.1</v>
      </c>
      <c r="E11696" s="5">
        <v>112.1</v>
      </c>
      <c r="F11696" s="5">
        <v>222.4</v>
      </c>
      <c r="G11696" s="5">
        <v>110.5</v>
      </c>
      <c r="H11696" s="5">
        <v>110.4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112</v>
      </c>
      <c r="D11697" s="5">
        <v>0.1</v>
      </c>
      <c r="E11697" s="5">
        <v>112.1</v>
      </c>
      <c r="F11697" s="5">
        <v>222.4</v>
      </c>
      <c r="G11697" s="5">
        <v>110.5</v>
      </c>
      <c r="H11697" s="5">
        <v>110.4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112</v>
      </c>
      <c r="D11698" s="5">
        <v>0.1</v>
      </c>
      <c r="E11698" s="5">
        <v>112.1</v>
      </c>
      <c r="F11698" s="5">
        <v>222.4</v>
      </c>
      <c r="G11698" s="5">
        <v>110.5</v>
      </c>
      <c r="H11698" s="5">
        <v>110.4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112</v>
      </c>
      <c r="D11699" s="5">
        <v>0.1</v>
      </c>
      <c r="E11699" s="5">
        <v>112.1</v>
      </c>
      <c r="F11699" s="5">
        <v>222.4</v>
      </c>
      <c r="G11699" s="5">
        <v>110.5</v>
      </c>
      <c r="H11699" s="5">
        <v>110.4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112</v>
      </c>
      <c r="D11700" s="5">
        <v>0.1</v>
      </c>
      <c r="E11700" s="5">
        <v>112.1</v>
      </c>
      <c r="F11700" s="5">
        <v>222.4</v>
      </c>
      <c r="G11700" s="5">
        <v>110.5</v>
      </c>
      <c r="H11700" s="5">
        <v>110.4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112</v>
      </c>
      <c r="D11701" s="5">
        <v>0.1</v>
      </c>
      <c r="E11701" s="5">
        <v>112.1</v>
      </c>
      <c r="F11701" s="5">
        <v>222.4</v>
      </c>
      <c r="G11701" s="5">
        <v>110.5</v>
      </c>
      <c r="H11701" s="5">
        <v>110.4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112</v>
      </c>
      <c r="D11702" s="5">
        <v>0.1</v>
      </c>
      <c r="E11702" s="5">
        <v>112.1</v>
      </c>
      <c r="F11702" s="5">
        <v>222.4</v>
      </c>
      <c r="G11702" s="5">
        <v>110.5</v>
      </c>
      <c r="H11702" s="5">
        <v>110.4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112</v>
      </c>
      <c r="D11703" s="5">
        <v>0.1</v>
      </c>
      <c r="E11703" s="5">
        <v>112.1</v>
      </c>
      <c r="F11703" s="5">
        <v>222.4</v>
      </c>
      <c r="G11703" s="5">
        <v>110.5</v>
      </c>
      <c r="H11703" s="5">
        <v>110.4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112</v>
      </c>
      <c r="D11704" s="5">
        <v>0.1</v>
      </c>
      <c r="E11704" s="5">
        <v>112.1</v>
      </c>
      <c r="F11704" s="5">
        <v>222.4</v>
      </c>
      <c r="G11704" s="5">
        <v>110.5</v>
      </c>
      <c r="H11704" s="5">
        <v>110.4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112</v>
      </c>
      <c r="D11705" s="5">
        <v>0.1</v>
      </c>
      <c r="E11705" s="5">
        <v>112.1</v>
      </c>
      <c r="F11705" s="5">
        <v>222.4</v>
      </c>
      <c r="G11705" s="5">
        <v>110.5</v>
      </c>
      <c r="H11705" s="5">
        <v>110.4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112</v>
      </c>
      <c r="D11706" s="5">
        <v>0.1</v>
      </c>
      <c r="E11706" s="5">
        <v>112.1</v>
      </c>
      <c r="F11706" s="5">
        <v>222.4</v>
      </c>
      <c r="G11706" s="5">
        <v>110.5</v>
      </c>
      <c r="H11706" s="5">
        <v>110.4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112</v>
      </c>
      <c r="D11707" s="5">
        <v>0.1</v>
      </c>
      <c r="E11707" s="5">
        <v>112.1</v>
      </c>
      <c r="F11707" s="5">
        <v>222.4</v>
      </c>
      <c r="G11707" s="5">
        <v>110.5</v>
      </c>
      <c r="H11707" s="5">
        <v>110.4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112</v>
      </c>
      <c r="D11708" s="5">
        <v>0.1</v>
      </c>
      <c r="E11708" s="5">
        <v>112.1</v>
      </c>
      <c r="F11708" s="5">
        <v>222.4</v>
      </c>
      <c r="G11708" s="5">
        <v>110.5</v>
      </c>
      <c r="H11708" s="5">
        <v>110.4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112</v>
      </c>
      <c r="D11709" s="5">
        <v>0.1</v>
      </c>
      <c r="E11709" s="5">
        <v>112.1</v>
      </c>
      <c r="F11709" s="5">
        <v>222.4</v>
      </c>
      <c r="G11709" s="5">
        <v>110.5</v>
      </c>
      <c r="H11709" s="5">
        <v>110.4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112</v>
      </c>
      <c r="D11710" s="5">
        <v>0.1</v>
      </c>
      <c r="E11710" s="5">
        <v>112.1</v>
      </c>
      <c r="F11710" s="5">
        <v>222.4</v>
      </c>
      <c r="G11710" s="5">
        <v>110.5</v>
      </c>
      <c r="H11710" s="5">
        <v>110.4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112</v>
      </c>
      <c r="D11711" s="5">
        <v>0.1</v>
      </c>
      <c r="E11711" s="5">
        <v>112.1</v>
      </c>
      <c r="F11711" s="5">
        <v>222.4</v>
      </c>
      <c r="G11711" s="5">
        <v>110.5</v>
      </c>
      <c r="H11711" s="5">
        <v>110.4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112</v>
      </c>
      <c r="D11712" s="5">
        <v>0.1</v>
      </c>
      <c r="E11712" s="5">
        <v>112.1</v>
      </c>
      <c r="F11712" s="5">
        <v>222.4</v>
      </c>
      <c r="G11712" s="5">
        <v>110.5</v>
      </c>
      <c r="H11712" s="5">
        <v>110.4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112</v>
      </c>
      <c r="D11713" s="5">
        <v>0.1</v>
      </c>
      <c r="E11713" s="5">
        <v>112.1</v>
      </c>
      <c r="F11713" s="5">
        <v>222.4</v>
      </c>
      <c r="G11713" s="5">
        <v>110.5</v>
      </c>
      <c r="H11713" s="5">
        <v>110.4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112</v>
      </c>
      <c r="D11714" s="5">
        <v>0.1</v>
      </c>
      <c r="E11714" s="5">
        <v>112.1</v>
      </c>
      <c r="F11714" s="5">
        <v>222.4</v>
      </c>
      <c r="G11714" s="5">
        <v>110.5</v>
      </c>
      <c r="H11714" s="5">
        <v>110.4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112</v>
      </c>
      <c r="D11715" s="5">
        <v>0.1</v>
      </c>
      <c r="E11715" s="5">
        <v>112.1</v>
      </c>
      <c r="F11715" s="5">
        <v>222.4</v>
      </c>
      <c r="G11715" s="5">
        <v>110.5</v>
      </c>
      <c r="H11715" s="5">
        <v>110.4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112</v>
      </c>
      <c r="D11716" s="5">
        <v>0.1</v>
      </c>
      <c r="E11716" s="5">
        <v>112.1</v>
      </c>
      <c r="F11716" s="5">
        <v>222.4</v>
      </c>
      <c r="G11716" s="5">
        <v>110.5</v>
      </c>
      <c r="H11716" s="5">
        <v>110.4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112</v>
      </c>
      <c r="D11717" s="5">
        <v>0.1</v>
      </c>
      <c r="E11717" s="5">
        <v>112.1</v>
      </c>
      <c r="F11717" s="5">
        <v>222.4</v>
      </c>
      <c r="G11717" s="5">
        <v>110.5</v>
      </c>
      <c r="H11717" s="5">
        <v>110.4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112</v>
      </c>
      <c r="D11718" s="5">
        <v>0.1</v>
      </c>
      <c r="E11718" s="5">
        <v>112.1</v>
      </c>
      <c r="F11718" s="5">
        <v>222.4</v>
      </c>
      <c r="G11718" s="5">
        <v>110.5</v>
      </c>
      <c r="H11718" s="5">
        <v>110.4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112</v>
      </c>
      <c r="D11719" s="5">
        <v>0.1</v>
      </c>
      <c r="E11719" s="5">
        <v>112.1</v>
      </c>
      <c r="F11719" s="5">
        <v>222.4</v>
      </c>
      <c r="G11719" s="5">
        <v>110.5</v>
      </c>
      <c r="H11719" s="5">
        <v>110.4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112</v>
      </c>
      <c r="D11720" s="5">
        <v>0.1</v>
      </c>
      <c r="E11720" s="5">
        <v>112.1</v>
      </c>
      <c r="F11720" s="5">
        <v>222.4</v>
      </c>
      <c r="G11720" s="5">
        <v>110.5</v>
      </c>
      <c r="H11720" s="5">
        <v>110.4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112</v>
      </c>
      <c r="D11721" s="5">
        <v>0.1</v>
      </c>
      <c r="E11721" s="5">
        <v>112.1</v>
      </c>
      <c r="F11721" s="5">
        <v>222.4</v>
      </c>
      <c r="G11721" s="5">
        <v>110.5</v>
      </c>
      <c r="H11721" s="5">
        <v>110.4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112</v>
      </c>
      <c r="D11722" s="5">
        <v>0.1</v>
      </c>
      <c r="E11722" s="5">
        <v>112.1</v>
      </c>
      <c r="F11722" s="5">
        <v>222.4</v>
      </c>
      <c r="G11722" s="5">
        <v>110.5</v>
      </c>
      <c r="H11722" s="5">
        <v>110.4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112</v>
      </c>
      <c r="D11723" s="5">
        <v>0.1</v>
      </c>
      <c r="E11723" s="5">
        <v>112.1</v>
      </c>
      <c r="F11723" s="5">
        <v>222.4</v>
      </c>
      <c r="G11723" s="5">
        <v>110.5</v>
      </c>
      <c r="H11723" s="5">
        <v>110.4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112</v>
      </c>
      <c r="D11724" s="5">
        <v>0.1</v>
      </c>
      <c r="E11724" s="5">
        <v>112.1</v>
      </c>
      <c r="F11724" s="5">
        <v>222.4</v>
      </c>
      <c r="G11724" s="5">
        <v>110.5</v>
      </c>
      <c r="H11724" s="5">
        <v>110.4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112</v>
      </c>
      <c r="D11725" s="5">
        <v>0.1</v>
      </c>
      <c r="E11725" s="5">
        <v>112.1</v>
      </c>
      <c r="F11725" s="5">
        <v>222.4</v>
      </c>
      <c r="G11725" s="5">
        <v>110.5</v>
      </c>
      <c r="H11725" s="5">
        <v>110.4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112</v>
      </c>
      <c r="D11726" s="5">
        <v>0.1</v>
      </c>
      <c r="E11726" s="5">
        <v>112.1</v>
      </c>
      <c r="F11726" s="5">
        <v>222.4</v>
      </c>
      <c r="G11726" s="5">
        <v>110.5</v>
      </c>
      <c r="H11726" s="5">
        <v>110.4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112</v>
      </c>
      <c r="D11727" s="5">
        <v>0.1</v>
      </c>
      <c r="E11727" s="5">
        <v>112.1</v>
      </c>
      <c r="F11727" s="5">
        <v>222.4</v>
      </c>
      <c r="G11727" s="5">
        <v>110.5</v>
      </c>
      <c r="H11727" s="5">
        <v>110.4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112</v>
      </c>
      <c r="D11728" s="5">
        <v>0.1</v>
      </c>
      <c r="E11728" s="5">
        <v>112.1</v>
      </c>
      <c r="F11728" s="5">
        <v>222.4</v>
      </c>
      <c r="G11728" s="5">
        <v>110.5</v>
      </c>
      <c r="H11728" s="5">
        <v>110.4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112</v>
      </c>
      <c r="D11729" s="5">
        <v>0.1</v>
      </c>
      <c r="E11729" s="5">
        <v>112.1</v>
      </c>
      <c r="F11729" s="5">
        <v>222.4</v>
      </c>
      <c r="G11729" s="5">
        <v>110.5</v>
      </c>
      <c r="H11729" s="5">
        <v>110.4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112</v>
      </c>
      <c r="D11730" s="5">
        <v>0.1</v>
      </c>
      <c r="E11730" s="5">
        <v>112.1</v>
      </c>
      <c r="F11730" s="5">
        <v>222.4</v>
      </c>
      <c r="G11730" s="5">
        <v>110.5</v>
      </c>
      <c r="H11730" s="5">
        <v>110.4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112</v>
      </c>
      <c r="D11731" s="5">
        <v>0.1</v>
      </c>
      <c r="E11731" s="5">
        <v>112.1</v>
      </c>
      <c r="F11731" s="5">
        <v>222.4</v>
      </c>
      <c r="G11731" s="5">
        <v>110.5</v>
      </c>
      <c r="H11731" s="5">
        <v>110.4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112</v>
      </c>
      <c r="D11732" s="5">
        <v>0.1</v>
      </c>
      <c r="E11732" s="5">
        <v>112.1</v>
      </c>
      <c r="F11732" s="5">
        <v>222.4</v>
      </c>
      <c r="G11732" s="5">
        <v>110.5</v>
      </c>
      <c r="H11732" s="5">
        <v>110.4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112</v>
      </c>
      <c r="D11733" s="5">
        <v>0.1</v>
      </c>
      <c r="E11733" s="5">
        <v>112.1</v>
      </c>
      <c r="F11733" s="5">
        <v>222.4</v>
      </c>
      <c r="G11733" s="5">
        <v>110.5</v>
      </c>
      <c r="H11733" s="5">
        <v>110.4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112</v>
      </c>
      <c r="D11734" s="5">
        <v>0.1</v>
      </c>
      <c r="E11734" s="5">
        <v>112.1</v>
      </c>
      <c r="F11734" s="5">
        <v>222.4</v>
      </c>
      <c r="G11734" s="5">
        <v>110.5</v>
      </c>
      <c r="H11734" s="5">
        <v>110.4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112</v>
      </c>
      <c r="D11735" s="5">
        <v>0.1</v>
      </c>
      <c r="E11735" s="5">
        <v>112.1</v>
      </c>
      <c r="F11735" s="5">
        <v>222.4</v>
      </c>
      <c r="G11735" s="5">
        <v>110.5</v>
      </c>
      <c r="H11735" s="5">
        <v>110.4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112</v>
      </c>
      <c r="D11736" s="5">
        <v>0.1</v>
      </c>
      <c r="E11736" s="5">
        <v>112.1</v>
      </c>
      <c r="F11736" s="5">
        <v>222.4</v>
      </c>
      <c r="G11736" s="5">
        <v>110.5</v>
      </c>
      <c r="H11736" s="5">
        <v>110.4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112</v>
      </c>
      <c r="D11737" s="5">
        <v>0.1</v>
      </c>
      <c r="E11737" s="5">
        <v>112.1</v>
      </c>
      <c r="F11737" s="5">
        <v>222.4</v>
      </c>
      <c r="G11737" s="5">
        <v>110.5</v>
      </c>
      <c r="H11737" s="5">
        <v>110.4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112</v>
      </c>
      <c r="D11738" s="5">
        <v>0.1</v>
      </c>
      <c r="E11738" s="5">
        <v>112.1</v>
      </c>
      <c r="F11738" s="5">
        <v>222.4</v>
      </c>
      <c r="G11738" s="5">
        <v>110.5</v>
      </c>
      <c r="H11738" s="5">
        <v>110.4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112</v>
      </c>
      <c r="D11739" s="5">
        <v>0.1</v>
      </c>
      <c r="E11739" s="5">
        <v>112.1</v>
      </c>
      <c r="F11739" s="5">
        <v>222.4</v>
      </c>
      <c r="G11739" s="5">
        <v>110.5</v>
      </c>
      <c r="H11739" s="5">
        <v>110.4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112</v>
      </c>
      <c r="D11740" s="5">
        <v>0.1</v>
      </c>
      <c r="E11740" s="5">
        <v>112.1</v>
      </c>
      <c r="F11740" s="5">
        <v>222.4</v>
      </c>
      <c r="G11740" s="5">
        <v>110.5</v>
      </c>
      <c r="H11740" s="5">
        <v>110.4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112</v>
      </c>
      <c r="D11741" s="5">
        <v>0.1</v>
      </c>
      <c r="E11741" s="5">
        <v>112.1</v>
      </c>
      <c r="F11741" s="5">
        <v>222.4</v>
      </c>
      <c r="G11741" s="5">
        <v>110.5</v>
      </c>
      <c r="H11741" s="5">
        <v>110.4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112</v>
      </c>
      <c r="D11742" s="5">
        <v>0.1</v>
      </c>
      <c r="E11742" s="5">
        <v>112.1</v>
      </c>
      <c r="F11742" s="5">
        <v>222.4</v>
      </c>
      <c r="G11742" s="5">
        <v>110.5</v>
      </c>
      <c r="H11742" s="5">
        <v>110.4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112</v>
      </c>
      <c r="D11743" s="5">
        <v>0.1</v>
      </c>
      <c r="E11743" s="5">
        <v>112.1</v>
      </c>
      <c r="F11743" s="5">
        <v>222.4</v>
      </c>
      <c r="G11743" s="5">
        <v>110.5</v>
      </c>
      <c r="H11743" s="5">
        <v>110.4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112</v>
      </c>
      <c r="D11744" s="5">
        <v>0.1</v>
      </c>
      <c r="E11744" s="5">
        <v>112.1</v>
      </c>
      <c r="F11744" s="5">
        <v>222.4</v>
      </c>
      <c r="G11744" s="5">
        <v>110.5</v>
      </c>
      <c r="H11744" s="5">
        <v>110.4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112</v>
      </c>
      <c r="D11745" s="5">
        <v>0.1</v>
      </c>
      <c r="E11745" s="5">
        <v>112.1</v>
      </c>
      <c r="F11745" s="5">
        <v>222.4</v>
      </c>
      <c r="G11745" s="5">
        <v>110.5</v>
      </c>
      <c r="H11745" s="5">
        <v>110.4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112</v>
      </c>
      <c r="D11746" s="5">
        <v>0.1</v>
      </c>
      <c r="E11746" s="5">
        <v>112.1</v>
      </c>
      <c r="F11746" s="5">
        <v>222.4</v>
      </c>
      <c r="G11746" s="5">
        <v>110.5</v>
      </c>
      <c r="H11746" s="5">
        <v>110.4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112</v>
      </c>
      <c r="D11747" s="5">
        <v>0.1</v>
      </c>
      <c r="E11747" s="5">
        <v>112.1</v>
      </c>
      <c r="F11747" s="5">
        <v>222.4</v>
      </c>
      <c r="G11747" s="5">
        <v>110.5</v>
      </c>
      <c r="H11747" s="5">
        <v>110.4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112</v>
      </c>
      <c r="D11748" s="5">
        <v>0.1</v>
      </c>
      <c r="E11748" s="5">
        <v>112.1</v>
      </c>
      <c r="F11748" s="5">
        <v>222.4</v>
      </c>
      <c r="G11748" s="5">
        <v>110.5</v>
      </c>
      <c r="H11748" s="5">
        <v>110.4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112</v>
      </c>
      <c r="D11749" s="5">
        <v>0.1</v>
      </c>
      <c r="E11749" s="5">
        <v>112.1</v>
      </c>
      <c r="F11749" s="5">
        <v>222.4</v>
      </c>
      <c r="G11749" s="5">
        <v>110.5</v>
      </c>
      <c r="H11749" s="5">
        <v>110.4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112</v>
      </c>
      <c r="D11750" s="5">
        <v>0.1</v>
      </c>
      <c r="E11750" s="5">
        <v>112.1</v>
      </c>
      <c r="F11750" s="5">
        <v>222.4</v>
      </c>
      <c r="G11750" s="5">
        <v>110.5</v>
      </c>
      <c r="H11750" s="5">
        <v>110.4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112</v>
      </c>
      <c r="D11751" s="5">
        <v>0.1</v>
      </c>
      <c r="E11751" s="5">
        <v>112.1</v>
      </c>
      <c r="F11751" s="5">
        <v>222.4</v>
      </c>
      <c r="G11751" s="5">
        <v>110.5</v>
      </c>
      <c r="H11751" s="5">
        <v>110.4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112</v>
      </c>
      <c r="D11752" s="5">
        <v>0.1</v>
      </c>
      <c r="E11752" s="5">
        <v>112.1</v>
      </c>
      <c r="F11752" s="5">
        <v>222.4</v>
      </c>
      <c r="G11752" s="5">
        <v>110.5</v>
      </c>
      <c r="H11752" s="5">
        <v>110.4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112</v>
      </c>
      <c r="D11753" s="5">
        <v>0.1</v>
      </c>
      <c r="E11753" s="5">
        <v>112.1</v>
      </c>
      <c r="F11753" s="5">
        <v>222.4</v>
      </c>
      <c r="G11753" s="5">
        <v>110.5</v>
      </c>
      <c r="H11753" s="5">
        <v>110.4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112</v>
      </c>
      <c r="D11754" s="5">
        <v>0.1</v>
      </c>
      <c r="E11754" s="5">
        <v>112.1</v>
      </c>
      <c r="F11754" s="5">
        <v>222.4</v>
      </c>
      <c r="G11754" s="5">
        <v>110.5</v>
      </c>
      <c r="H11754" s="5">
        <v>110.4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112</v>
      </c>
      <c r="D11755" s="5">
        <v>0.1</v>
      </c>
      <c r="E11755" s="5">
        <v>112.1</v>
      </c>
      <c r="F11755" s="5">
        <v>222.4</v>
      </c>
      <c r="G11755" s="5">
        <v>110.5</v>
      </c>
      <c r="H11755" s="5">
        <v>110.4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112</v>
      </c>
      <c r="D11756" s="5">
        <v>0.1</v>
      </c>
      <c r="E11756" s="5">
        <v>112.1</v>
      </c>
      <c r="F11756" s="5">
        <v>222.4</v>
      </c>
      <c r="G11756" s="5">
        <v>110.5</v>
      </c>
      <c r="H11756" s="5">
        <v>110.4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112</v>
      </c>
      <c r="D11757" s="5">
        <v>0.1</v>
      </c>
      <c r="E11757" s="5">
        <v>112.1</v>
      </c>
      <c r="F11757" s="5">
        <v>222.4</v>
      </c>
      <c r="G11757" s="5">
        <v>110.5</v>
      </c>
      <c r="H11757" s="5">
        <v>110.4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112</v>
      </c>
      <c r="D11758" s="5">
        <v>0.1</v>
      </c>
      <c r="E11758" s="5">
        <v>112.1</v>
      </c>
      <c r="F11758" s="5">
        <v>222.4</v>
      </c>
      <c r="G11758" s="5">
        <v>110.5</v>
      </c>
      <c r="H11758" s="5">
        <v>110.4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112</v>
      </c>
      <c r="D11759" s="5">
        <v>0.1</v>
      </c>
      <c r="E11759" s="5">
        <v>112.1</v>
      </c>
      <c r="F11759" s="5">
        <v>222.4</v>
      </c>
      <c r="G11759" s="5">
        <v>110.5</v>
      </c>
      <c r="H11759" s="5">
        <v>110.4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112</v>
      </c>
      <c r="D11760" s="5">
        <v>0.1</v>
      </c>
      <c r="E11760" s="5">
        <v>112.1</v>
      </c>
      <c r="F11760" s="5">
        <v>222.4</v>
      </c>
      <c r="G11760" s="5">
        <v>110.5</v>
      </c>
      <c r="H11760" s="5">
        <v>110.4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112</v>
      </c>
      <c r="D11761" s="5">
        <v>0.1</v>
      </c>
      <c r="E11761" s="5">
        <v>112.1</v>
      </c>
      <c r="F11761" s="5">
        <v>222.4</v>
      </c>
      <c r="G11761" s="5">
        <v>110.5</v>
      </c>
      <c r="H11761" s="5">
        <v>110.4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112</v>
      </c>
      <c r="D11762" s="5">
        <v>0.1</v>
      </c>
      <c r="E11762" s="5">
        <v>112.1</v>
      </c>
      <c r="F11762" s="5">
        <v>222.4</v>
      </c>
      <c r="G11762" s="5">
        <v>110.5</v>
      </c>
      <c r="H11762" s="5">
        <v>110.4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112</v>
      </c>
      <c r="D11763" s="5">
        <v>0.1</v>
      </c>
      <c r="E11763" s="5">
        <v>112.1</v>
      </c>
      <c r="F11763" s="5">
        <v>222.4</v>
      </c>
      <c r="G11763" s="5">
        <v>110.5</v>
      </c>
      <c r="H11763" s="5">
        <v>110.4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112</v>
      </c>
      <c r="D11764" s="5">
        <v>0.1</v>
      </c>
      <c r="E11764" s="5">
        <v>112.1</v>
      </c>
      <c r="F11764" s="5">
        <v>222.4</v>
      </c>
      <c r="G11764" s="5">
        <v>110.5</v>
      </c>
      <c r="H11764" s="5">
        <v>110.4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112</v>
      </c>
      <c r="D11765" s="5">
        <v>0.1</v>
      </c>
      <c r="E11765" s="5">
        <v>112.1</v>
      </c>
      <c r="F11765" s="5">
        <v>222.4</v>
      </c>
      <c r="G11765" s="5">
        <v>110.5</v>
      </c>
      <c r="H11765" s="5">
        <v>110.4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112</v>
      </c>
      <c r="D11766" s="5">
        <v>0.1</v>
      </c>
      <c r="E11766" s="5">
        <v>112.1</v>
      </c>
      <c r="F11766" s="5">
        <v>222.4</v>
      </c>
      <c r="G11766" s="5">
        <v>110.5</v>
      </c>
      <c r="H11766" s="5">
        <v>110.4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112</v>
      </c>
      <c r="D11767" s="5">
        <v>0.1</v>
      </c>
      <c r="E11767" s="5">
        <v>112.1</v>
      </c>
      <c r="F11767" s="5">
        <v>222.4</v>
      </c>
      <c r="G11767" s="5">
        <v>110.5</v>
      </c>
      <c r="H11767" s="5">
        <v>110.4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112</v>
      </c>
      <c r="D11768" s="5">
        <v>0.1</v>
      </c>
      <c r="E11768" s="5">
        <v>112.1</v>
      </c>
      <c r="F11768" s="5">
        <v>222.4</v>
      </c>
      <c r="G11768" s="5">
        <v>110.5</v>
      </c>
      <c r="H11768" s="5">
        <v>110.4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112</v>
      </c>
      <c r="D11769" s="5">
        <v>0.1</v>
      </c>
      <c r="E11769" s="5">
        <v>112.1</v>
      </c>
      <c r="F11769" s="5">
        <v>222.4</v>
      </c>
      <c r="G11769" s="5">
        <v>110.5</v>
      </c>
      <c r="H11769" s="5">
        <v>110.4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112</v>
      </c>
      <c r="D11770" s="5">
        <v>0.1</v>
      </c>
      <c r="E11770" s="5">
        <v>112.1</v>
      </c>
      <c r="F11770" s="5">
        <v>222.4</v>
      </c>
      <c r="G11770" s="5">
        <v>110.5</v>
      </c>
      <c r="H11770" s="5">
        <v>110.4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112</v>
      </c>
      <c r="D11771" s="5">
        <v>0.1</v>
      </c>
      <c r="E11771" s="5">
        <v>112.1</v>
      </c>
      <c r="F11771" s="5">
        <v>222.4</v>
      </c>
      <c r="G11771" s="5">
        <v>110.5</v>
      </c>
      <c r="H11771" s="5">
        <v>110.4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112</v>
      </c>
      <c r="D11772" s="5">
        <v>0.1</v>
      </c>
      <c r="E11772" s="5">
        <v>112.1</v>
      </c>
      <c r="F11772" s="5">
        <v>222.4</v>
      </c>
      <c r="G11772" s="5">
        <v>110.5</v>
      </c>
      <c r="H11772" s="5">
        <v>110.4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112</v>
      </c>
      <c r="D11773" s="5">
        <v>0.1</v>
      </c>
      <c r="E11773" s="5">
        <v>112.1</v>
      </c>
      <c r="F11773" s="5">
        <v>222.4</v>
      </c>
      <c r="G11773" s="5">
        <v>110.5</v>
      </c>
      <c r="H11773" s="5">
        <v>110.4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112</v>
      </c>
      <c r="D11774" s="5">
        <v>0.1</v>
      </c>
      <c r="E11774" s="5">
        <v>112.1</v>
      </c>
      <c r="F11774" s="5">
        <v>222.4</v>
      </c>
      <c r="G11774" s="5">
        <v>110.5</v>
      </c>
      <c r="H11774" s="5">
        <v>110.4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112</v>
      </c>
      <c r="D11775" s="5">
        <v>0.1</v>
      </c>
      <c r="E11775" s="5">
        <v>112.1</v>
      </c>
      <c r="F11775" s="5">
        <v>222.4</v>
      </c>
      <c r="G11775" s="5">
        <v>110.5</v>
      </c>
      <c r="H11775" s="5">
        <v>110.4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112</v>
      </c>
      <c r="D11776" s="5">
        <v>0.1</v>
      </c>
      <c r="E11776" s="5">
        <v>112.1</v>
      </c>
      <c r="F11776" s="5">
        <v>222.4</v>
      </c>
      <c r="G11776" s="5">
        <v>110.5</v>
      </c>
      <c r="H11776" s="5">
        <v>110.4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112</v>
      </c>
      <c r="D11777" s="5">
        <v>0.1</v>
      </c>
      <c r="E11777" s="5">
        <v>112.1</v>
      </c>
      <c r="F11777" s="5">
        <v>222.4</v>
      </c>
      <c r="G11777" s="5">
        <v>110.5</v>
      </c>
      <c r="H11777" s="5">
        <v>110.4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112</v>
      </c>
      <c r="D11778" s="5">
        <v>0.1</v>
      </c>
      <c r="E11778" s="5">
        <v>112.1</v>
      </c>
      <c r="F11778" s="5">
        <v>222.4</v>
      </c>
      <c r="G11778" s="5">
        <v>110.5</v>
      </c>
      <c r="H11778" s="5">
        <v>110.4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112</v>
      </c>
      <c r="D11779" s="5">
        <v>0.1</v>
      </c>
      <c r="E11779" s="5">
        <v>112.1</v>
      </c>
      <c r="F11779" s="5">
        <v>222.4</v>
      </c>
      <c r="G11779" s="5">
        <v>110.5</v>
      </c>
      <c r="H11779" s="5">
        <v>110.4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112</v>
      </c>
      <c r="D11780" s="5">
        <v>0.1</v>
      </c>
      <c r="E11780" s="5">
        <v>112.1</v>
      </c>
      <c r="F11780" s="5">
        <v>222.4</v>
      </c>
      <c r="G11780" s="5">
        <v>110.5</v>
      </c>
      <c r="H11780" s="5">
        <v>110.4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112</v>
      </c>
      <c r="D11781" s="5">
        <v>0.1</v>
      </c>
      <c r="E11781" s="5">
        <v>112.1</v>
      </c>
      <c r="F11781" s="5">
        <v>222.4</v>
      </c>
      <c r="G11781" s="5">
        <v>110.5</v>
      </c>
      <c r="H11781" s="5">
        <v>110.4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112</v>
      </c>
      <c r="D11782" s="5">
        <v>0.1</v>
      </c>
      <c r="E11782" s="5">
        <v>112.1</v>
      </c>
      <c r="F11782" s="5">
        <v>222.4</v>
      </c>
      <c r="G11782" s="5">
        <v>110.5</v>
      </c>
      <c r="H11782" s="5">
        <v>110.4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112</v>
      </c>
      <c r="D11783" s="5">
        <v>0.1</v>
      </c>
      <c r="E11783" s="5">
        <v>112.1</v>
      </c>
      <c r="F11783" s="5">
        <v>222.4</v>
      </c>
      <c r="G11783" s="5">
        <v>110.5</v>
      </c>
      <c r="H11783" s="5">
        <v>110.4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112</v>
      </c>
      <c r="D11784" s="5">
        <v>0.1</v>
      </c>
      <c r="E11784" s="5">
        <v>112.1</v>
      </c>
      <c r="F11784" s="5">
        <v>222.4</v>
      </c>
      <c r="G11784" s="5">
        <v>110.5</v>
      </c>
      <c r="H11784" s="5">
        <v>110.4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112</v>
      </c>
      <c r="D11785" s="5">
        <v>0.1</v>
      </c>
      <c r="E11785" s="5">
        <v>112.1</v>
      </c>
      <c r="F11785" s="5">
        <v>222.4</v>
      </c>
      <c r="G11785" s="5">
        <v>110.5</v>
      </c>
      <c r="H11785" s="5">
        <v>110.4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112</v>
      </c>
      <c r="D11786" s="5">
        <v>0.1</v>
      </c>
      <c r="E11786" s="5">
        <v>112.1</v>
      </c>
      <c r="F11786" s="5">
        <v>222.4</v>
      </c>
      <c r="G11786" s="5">
        <v>110.5</v>
      </c>
      <c r="H11786" s="5">
        <v>110.4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112</v>
      </c>
      <c r="D11787" s="5">
        <v>0.1</v>
      </c>
      <c r="E11787" s="5">
        <v>112.1</v>
      </c>
      <c r="F11787" s="5">
        <v>222.4</v>
      </c>
      <c r="G11787" s="5">
        <v>110.5</v>
      </c>
      <c r="H11787" s="5">
        <v>110.4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112</v>
      </c>
      <c r="D11788" s="5">
        <v>0.1</v>
      </c>
      <c r="E11788" s="5">
        <v>112.1</v>
      </c>
      <c r="F11788" s="5">
        <v>222.4</v>
      </c>
      <c r="G11788" s="5">
        <v>110.5</v>
      </c>
      <c r="H11788" s="5">
        <v>110.4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112</v>
      </c>
      <c r="D11789" s="5">
        <v>0.1</v>
      </c>
      <c r="E11789" s="5">
        <v>112.1</v>
      </c>
      <c r="F11789" s="5">
        <v>222.4</v>
      </c>
      <c r="G11789" s="5">
        <v>110.5</v>
      </c>
      <c r="H11789" s="5">
        <v>110.4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112</v>
      </c>
      <c r="D11790" s="5">
        <v>0.1</v>
      </c>
      <c r="E11790" s="5">
        <v>112.1</v>
      </c>
      <c r="F11790" s="5">
        <v>222.4</v>
      </c>
      <c r="G11790" s="5">
        <v>110.5</v>
      </c>
      <c r="H11790" s="5">
        <v>110.4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112</v>
      </c>
      <c r="D11791" s="5">
        <v>0.1</v>
      </c>
      <c r="E11791" s="5">
        <v>112.1</v>
      </c>
      <c r="F11791" s="5">
        <v>222.4</v>
      </c>
      <c r="G11791" s="5">
        <v>110.5</v>
      </c>
      <c r="H11791" s="5">
        <v>110.4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112</v>
      </c>
      <c r="D11792" s="5">
        <v>0.1</v>
      </c>
      <c r="E11792" s="5">
        <v>112.1</v>
      </c>
      <c r="F11792" s="5">
        <v>222.4</v>
      </c>
      <c r="G11792" s="5">
        <v>110.5</v>
      </c>
      <c r="H11792" s="5">
        <v>110.4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112</v>
      </c>
      <c r="D11793" s="5">
        <v>0.1</v>
      </c>
      <c r="E11793" s="5">
        <v>112.1</v>
      </c>
      <c r="F11793" s="5">
        <v>222.4</v>
      </c>
      <c r="G11793" s="5">
        <v>110.5</v>
      </c>
      <c r="H11793" s="5">
        <v>110.4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112</v>
      </c>
      <c r="D11794" s="5">
        <v>0.1</v>
      </c>
      <c r="E11794" s="5">
        <v>112.1</v>
      </c>
      <c r="F11794" s="5">
        <v>222.4</v>
      </c>
      <c r="G11794" s="5">
        <v>110.5</v>
      </c>
      <c r="H11794" s="5">
        <v>110.4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112</v>
      </c>
      <c r="D11795" s="5">
        <v>0.1</v>
      </c>
      <c r="E11795" s="5">
        <v>112.1</v>
      </c>
      <c r="F11795" s="5">
        <v>222.4</v>
      </c>
      <c r="G11795" s="5">
        <v>110.5</v>
      </c>
      <c r="H11795" s="5">
        <v>110.4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112</v>
      </c>
      <c r="D11796" s="5">
        <v>0.1</v>
      </c>
      <c r="E11796" s="5">
        <v>112.1</v>
      </c>
      <c r="F11796" s="5">
        <v>222.4</v>
      </c>
      <c r="G11796" s="5">
        <v>110.5</v>
      </c>
      <c r="H11796" s="5">
        <v>110.4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112</v>
      </c>
      <c r="D11797" s="5">
        <v>0.1</v>
      </c>
      <c r="E11797" s="5">
        <v>112.1</v>
      </c>
      <c r="F11797" s="5">
        <v>222.4</v>
      </c>
      <c r="G11797" s="5">
        <v>110.5</v>
      </c>
      <c r="H11797" s="5">
        <v>110.4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112</v>
      </c>
      <c r="D11798" s="5">
        <v>0.1</v>
      </c>
      <c r="E11798" s="5">
        <v>112.1</v>
      </c>
      <c r="F11798" s="5">
        <v>222.4</v>
      </c>
      <c r="G11798" s="5">
        <v>110.5</v>
      </c>
      <c r="H11798" s="5">
        <v>110.4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112</v>
      </c>
      <c r="D11799" s="5">
        <v>0.1</v>
      </c>
      <c r="E11799" s="5">
        <v>112.1</v>
      </c>
      <c r="F11799" s="5">
        <v>222.4</v>
      </c>
      <c r="G11799" s="5">
        <v>110.5</v>
      </c>
      <c r="H11799" s="5">
        <v>110.4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112</v>
      </c>
      <c r="D11800" s="5">
        <v>0.1</v>
      </c>
      <c r="E11800" s="5">
        <v>112.1</v>
      </c>
      <c r="F11800" s="5">
        <v>222.4</v>
      </c>
      <c r="G11800" s="5">
        <v>110.5</v>
      </c>
      <c r="H11800" s="5">
        <v>110.4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112</v>
      </c>
      <c r="D11801" s="5">
        <v>0.1</v>
      </c>
      <c r="E11801" s="5">
        <v>112.1</v>
      </c>
      <c r="F11801" s="5">
        <v>222.4</v>
      </c>
      <c r="G11801" s="5">
        <v>110.5</v>
      </c>
      <c r="H11801" s="5">
        <v>110.4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112</v>
      </c>
      <c r="D11802" s="5">
        <v>0.1</v>
      </c>
      <c r="E11802" s="5">
        <v>112.1</v>
      </c>
      <c r="F11802" s="5">
        <v>222.4</v>
      </c>
      <c r="G11802" s="5">
        <v>110.5</v>
      </c>
      <c r="H11802" s="5">
        <v>110.4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112</v>
      </c>
      <c r="D11803" s="5">
        <v>0.1</v>
      </c>
      <c r="E11803" s="5">
        <v>112.1</v>
      </c>
      <c r="F11803" s="5">
        <v>222.4</v>
      </c>
      <c r="G11803" s="5">
        <v>110.5</v>
      </c>
      <c r="H11803" s="5">
        <v>110.4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112</v>
      </c>
      <c r="D11804" s="5">
        <v>0.1</v>
      </c>
      <c r="E11804" s="5">
        <v>112.1</v>
      </c>
      <c r="F11804" s="5">
        <v>222.4</v>
      </c>
      <c r="G11804" s="5">
        <v>110.5</v>
      </c>
      <c r="H11804" s="5">
        <v>110.4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112</v>
      </c>
      <c r="D11805" s="5">
        <v>0.1</v>
      </c>
      <c r="E11805" s="5">
        <v>112.1</v>
      </c>
      <c r="F11805" s="5">
        <v>222.4</v>
      </c>
      <c r="G11805" s="5">
        <v>110.5</v>
      </c>
      <c r="H11805" s="5">
        <v>110.4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112</v>
      </c>
      <c r="D11806" s="5">
        <v>0.1</v>
      </c>
      <c r="E11806" s="5">
        <v>112.1</v>
      </c>
      <c r="F11806" s="5">
        <v>222.4</v>
      </c>
      <c r="G11806" s="5">
        <v>110.5</v>
      </c>
      <c r="H11806" s="5">
        <v>110.4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112</v>
      </c>
      <c r="D11807" s="5">
        <v>0.1</v>
      </c>
      <c r="E11807" s="5">
        <v>112.1</v>
      </c>
      <c r="F11807" s="5">
        <v>222.4</v>
      </c>
      <c r="G11807" s="5">
        <v>110.5</v>
      </c>
      <c r="H11807" s="5">
        <v>110.4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112</v>
      </c>
      <c r="D11808" s="5">
        <v>0.1</v>
      </c>
      <c r="E11808" s="5">
        <v>112.1</v>
      </c>
      <c r="F11808" s="5">
        <v>222.4</v>
      </c>
      <c r="G11808" s="5">
        <v>110.5</v>
      </c>
      <c r="H11808" s="5">
        <v>110.4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112</v>
      </c>
      <c r="D11809" s="5">
        <v>0.1</v>
      </c>
      <c r="E11809" s="5">
        <v>112.1</v>
      </c>
      <c r="F11809" s="5">
        <v>222.4</v>
      </c>
      <c r="G11809" s="5">
        <v>110.5</v>
      </c>
      <c r="H11809" s="5">
        <v>110.4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112</v>
      </c>
      <c r="D11810" s="5">
        <v>0.1</v>
      </c>
      <c r="E11810" s="5">
        <v>112.1</v>
      </c>
      <c r="F11810" s="5">
        <v>222.4</v>
      </c>
      <c r="G11810" s="5">
        <v>110.5</v>
      </c>
      <c r="H11810" s="5">
        <v>110.4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112</v>
      </c>
      <c r="D11811" s="5">
        <v>0.1</v>
      </c>
      <c r="E11811" s="5">
        <v>112.1</v>
      </c>
      <c r="F11811" s="5">
        <v>222.4</v>
      </c>
      <c r="G11811" s="5">
        <v>110.5</v>
      </c>
      <c r="H11811" s="5">
        <v>110.4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112</v>
      </c>
      <c r="D11812" s="5">
        <v>0.1</v>
      </c>
      <c r="E11812" s="5">
        <v>112.1</v>
      </c>
      <c r="F11812" s="5">
        <v>222.4</v>
      </c>
      <c r="G11812" s="5">
        <v>110.5</v>
      </c>
      <c r="H11812" s="5">
        <v>110.4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112</v>
      </c>
      <c r="D11813" s="5">
        <v>0.1</v>
      </c>
      <c r="E11813" s="5">
        <v>112.1</v>
      </c>
      <c r="F11813" s="5">
        <v>222.4</v>
      </c>
      <c r="G11813" s="5">
        <v>110.5</v>
      </c>
      <c r="H11813" s="5">
        <v>110.4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112</v>
      </c>
      <c r="D11814" s="5">
        <v>0.1</v>
      </c>
      <c r="E11814" s="5">
        <v>112.1</v>
      </c>
      <c r="F11814" s="5">
        <v>222.4</v>
      </c>
      <c r="G11814" s="5">
        <v>110.5</v>
      </c>
      <c r="H11814" s="5">
        <v>110.4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112</v>
      </c>
      <c r="D11815" s="5">
        <v>0.1</v>
      </c>
      <c r="E11815" s="5">
        <v>112.1</v>
      </c>
      <c r="F11815" s="5">
        <v>222.4</v>
      </c>
      <c r="G11815" s="5">
        <v>110.5</v>
      </c>
      <c r="H11815" s="5">
        <v>110.4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112</v>
      </c>
      <c r="D11816" s="5">
        <v>0.1</v>
      </c>
      <c r="E11816" s="5">
        <v>112.1</v>
      </c>
      <c r="F11816" s="5">
        <v>222.4</v>
      </c>
      <c r="G11816" s="5">
        <v>110.5</v>
      </c>
      <c r="H11816" s="5">
        <v>110.4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112</v>
      </c>
      <c r="D11817" s="5">
        <v>0.1</v>
      </c>
      <c r="E11817" s="5">
        <v>112.1</v>
      </c>
      <c r="F11817" s="5">
        <v>222.4</v>
      </c>
      <c r="G11817" s="5">
        <v>110.5</v>
      </c>
      <c r="H11817" s="5">
        <v>110.4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112</v>
      </c>
      <c r="D11818" s="5">
        <v>0.1</v>
      </c>
      <c r="E11818" s="5">
        <v>112.1</v>
      </c>
      <c r="F11818" s="5">
        <v>222.4</v>
      </c>
      <c r="G11818" s="5">
        <v>110.5</v>
      </c>
      <c r="H11818" s="5">
        <v>110.4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112</v>
      </c>
      <c r="D11819" s="5">
        <v>0.1</v>
      </c>
      <c r="E11819" s="5">
        <v>112.1</v>
      </c>
      <c r="F11819" s="5">
        <v>222.4</v>
      </c>
      <c r="G11819" s="5">
        <v>110.5</v>
      </c>
      <c r="H11819" s="5">
        <v>110.4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112</v>
      </c>
      <c r="D11820" s="5">
        <v>0.1</v>
      </c>
      <c r="E11820" s="5">
        <v>112.1</v>
      </c>
      <c r="F11820" s="5">
        <v>222.4</v>
      </c>
      <c r="G11820" s="5">
        <v>110.5</v>
      </c>
      <c r="H11820" s="5">
        <v>110.4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112</v>
      </c>
      <c r="D11821" s="5">
        <v>0.1</v>
      </c>
      <c r="E11821" s="5">
        <v>112.1</v>
      </c>
      <c r="F11821" s="5">
        <v>222.4</v>
      </c>
      <c r="G11821" s="5">
        <v>110.5</v>
      </c>
      <c r="H11821" s="5">
        <v>110.4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112</v>
      </c>
      <c r="D11822" s="5">
        <v>0.1</v>
      </c>
      <c r="E11822" s="5">
        <v>112.1</v>
      </c>
      <c r="F11822" s="5">
        <v>222.4</v>
      </c>
      <c r="G11822" s="5">
        <v>110.5</v>
      </c>
      <c r="H11822" s="5">
        <v>110.4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112</v>
      </c>
      <c r="D11823" s="5">
        <v>0.1</v>
      </c>
      <c r="E11823" s="5">
        <v>112.1</v>
      </c>
      <c r="F11823" s="5">
        <v>222.4</v>
      </c>
      <c r="G11823" s="5">
        <v>110.5</v>
      </c>
      <c r="H11823" s="5">
        <v>110.4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112</v>
      </c>
      <c r="D11824" s="5">
        <v>0.1</v>
      </c>
      <c r="E11824" s="5">
        <v>112.1</v>
      </c>
      <c r="F11824" s="5">
        <v>222.4</v>
      </c>
      <c r="G11824" s="5">
        <v>110.5</v>
      </c>
      <c r="H11824" s="5">
        <v>110.4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112</v>
      </c>
      <c r="D11825" s="5">
        <v>0.1</v>
      </c>
      <c r="E11825" s="5">
        <v>112.1</v>
      </c>
      <c r="F11825" s="5">
        <v>222.4</v>
      </c>
      <c r="G11825" s="5">
        <v>110.5</v>
      </c>
      <c r="H11825" s="5">
        <v>110.4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112</v>
      </c>
      <c r="D11826" s="5">
        <v>0.1</v>
      </c>
      <c r="E11826" s="5">
        <v>112.1</v>
      </c>
      <c r="F11826" s="5">
        <v>222.4</v>
      </c>
      <c r="G11826" s="5">
        <v>110.5</v>
      </c>
      <c r="H11826" s="5">
        <v>110.4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112</v>
      </c>
      <c r="D11827" s="5">
        <v>0.1</v>
      </c>
      <c r="E11827" s="5">
        <v>112.1</v>
      </c>
      <c r="F11827" s="5">
        <v>222.4</v>
      </c>
      <c r="G11827" s="5">
        <v>110.5</v>
      </c>
      <c r="H11827" s="5">
        <v>110.4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112</v>
      </c>
      <c r="D11828" s="5">
        <v>0.1</v>
      </c>
      <c r="E11828" s="5">
        <v>112.1</v>
      </c>
      <c r="F11828" s="5">
        <v>222.4</v>
      </c>
      <c r="G11828" s="5">
        <v>110.5</v>
      </c>
      <c r="H11828" s="5">
        <v>110.4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112</v>
      </c>
      <c r="D11829" s="5">
        <v>0.1</v>
      </c>
      <c r="E11829" s="5">
        <v>112.1</v>
      </c>
      <c r="F11829" s="5">
        <v>222.4</v>
      </c>
      <c r="G11829" s="5">
        <v>110.5</v>
      </c>
      <c r="H11829" s="5">
        <v>110.4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112</v>
      </c>
      <c r="D11830" s="5">
        <v>0.1</v>
      </c>
      <c r="E11830" s="5">
        <v>112.1</v>
      </c>
      <c r="F11830" s="5">
        <v>222.4</v>
      </c>
      <c r="G11830" s="5">
        <v>110.5</v>
      </c>
      <c r="H11830" s="5">
        <v>110.4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112</v>
      </c>
      <c r="D11831" s="5">
        <v>0.1</v>
      </c>
      <c r="E11831" s="5">
        <v>112.1</v>
      </c>
      <c r="F11831" s="5">
        <v>222.4</v>
      </c>
      <c r="G11831" s="5">
        <v>110.5</v>
      </c>
      <c r="H11831" s="5">
        <v>110.4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112</v>
      </c>
      <c r="D11832" s="5">
        <v>0.1</v>
      </c>
      <c r="E11832" s="5">
        <v>112.1</v>
      </c>
      <c r="F11832" s="5">
        <v>222.4</v>
      </c>
      <c r="G11832" s="5">
        <v>110.5</v>
      </c>
      <c r="H11832" s="5">
        <v>110.4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112</v>
      </c>
      <c r="D11833" s="5">
        <v>0.1</v>
      </c>
      <c r="E11833" s="5">
        <v>112.1</v>
      </c>
      <c r="F11833" s="5">
        <v>222.4</v>
      </c>
      <c r="G11833" s="5">
        <v>110.5</v>
      </c>
      <c r="H11833" s="5">
        <v>110.4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112</v>
      </c>
      <c r="D11834" s="5">
        <v>0.1</v>
      </c>
      <c r="E11834" s="5">
        <v>112.1</v>
      </c>
      <c r="F11834" s="5">
        <v>222.4</v>
      </c>
      <c r="G11834" s="5">
        <v>110.5</v>
      </c>
      <c r="H11834" s="5">
        <v>110.4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112</v>
      </c>
      <c r="D11835" s="5">
        <v>0.1</v>
      </c>
      <c r="E11835" s="5">
        <v>112.1</v>
      </c>
      <c r="F11835" s="5">
        <v>222.4</v>
      </c>
      <c r="G11835" s="5">
        <v>110.5</v>
      </c>
      <c r="H11835" s="5">
        <v>110.4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112</v>
      </c>
      <c r="D11836" s="5">
        <v>0.1</v>
      </c>
      <c r="E11836" s="5">
        <v>112.1</v>
      </c>
      <c r="F11836" s="5">
        <v>222.4</v>
      </c>
      <c r="G11836" s="5">
        <v>110.5</v>
      </c>
      <c r="H11836" s="5">
        <v>110.4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112</v>
      </c>
      <c r="D11837" s="5">
        <v>0.1</v>
      </c>
      <c r="E11837" s="5">
        <v>112.1</v>
      </c>
      <c r="F11837" s="5">
        <v>222.4</v>
      </c>
      <c r="G11837" s="5">
        <v>110.5</v>
      </c>
      <c r="H11837" s="5">
        <v>110.4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112</v>
      </c>
      <c r="D11838" s="5">
        <v>0.1</v>
      </c>
      <c r="E11838" s="5">
        <v>112.1</v>
      </c>
      <c r="F11838" s="5">
        <v>222.4</v>
      </c>
      <c r="G11838" s="5">
        <v>110.5</v>
      </c>
      <c r="H11838" s="5">
        <v>110.4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112</v>
      </c>
      <c r="D11839" s="5">
        <v>0.1</v>
      </c>
      <c r="E11839" s="5">
        <v>112.1</v>
      </c>
      <c r="F11839" s="5">
        <v>222.4</v>
      </c>
      <c r="G11839" s="5">
        <v>110.5</v>
      </c>
      <c r="H11839" s="5">
        <v>110.4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112</v>
      </c>
      <c r="D11840" s="5">
        <v>0.1</v>
      </c>
      <c r="E11840" s="5">
        <v>112.1</v>
      </c>
      <c r="F11840" s="5">
        <v>222.4</v>
      </c>
      <c r="G11840" s="5">
        <v>110.5</v>
      </c>
      <c r="H11840" s="5">
        <v>110.4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112</v>
      </c>
      <c r="D11841" s="5">
        <v>0.1</v>
      </c>
      <c r="E11841" s="5">
        <v>112.1</v>
      </c>
      <c r="F11841" s="5">
        <v>222.4</v>
      </c>
      <c r="G11841" s="5">
        <v>110.5</v>
      </c>
      <c r="H11841" s="5">
        <v>110.4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112</v>
      </c>
      <c r="D11842" s="5">
        <v>0.1</v>
      </c>
      <c r="E11842" s="5">
        <v>112.1</v>
      </c>
      <c r="F11842" s="5">
        <v>222.4</v>
      </c>
      <c r="G11842" s="5">
        <v>110.5</v>
      </c>
      <c r="H11842" s="5">
        <v>110.4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112</v>
      </c>
      <c r="D11843" s="5">
        <v>0.1</v>
      </c>
      <c r="E11843" s="5">
        <v>112.1</v>
      </c>
      <c r="F11843" s="5">
        <v>222.4</v>
      </c>
      <c r="G11843" s="5">
        <v>110.5</v>
      </c>
      <c r="H11843" s="5">
        <v>110.4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112</v>
      </c>
      <c r="D11844" s="5">
        <v>0.1</v>
      </c>
      <c r="E11844" s="5">
        <v>112.1</v>
      </c>
      <c r="F11844" s="5">
        <v>222.4</v>
      </c>
      <c r="G11844" s="5">
        <v>110.5</v>
      </c>
      <c r="H11844" s="5">
        <v>110.4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112</v>
      </c>
      <c r="D11845" s="5">
        <v>0.1</v>
      </c>
      <c r="E11845" s="5">
        <v>112.1</v>
      </c>
      <c r="F11845" s="5">
        <v>222.4</v>
      </c>
      <c r="G11845" s="5">
        <v>110.5</v>
      </c>
      <c r="H11845" s="5">
        <v>110.4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112</v>
      </c>
      <c r="D11846" s="5">
        <v>0.1</v>
      </c>
      <c r="E11846" s="5">
        <v>112.1</v>
      </c>
      <c r="F11846" s="5">
        <v>222.4</v>
      </c>
      <c r="G11846" s="5">
        <v>110.5</v>
      </c>
      <c r="H11846" s="5">
        <v>110.4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112</v>
      </c>
      <c r="D11847" s="5">
        <v>0.1</v>
      </c>
      <c r="E11847" s="5">
        <v>112.1</v>
      </c>
      <c r="F11847" s="5">
        <v>222.4</v>
      </c>
      <c r="G11847" s="5">
        <v>110.5</v>
      </c>
      <c r="H11847" s="5">
        <v>110.4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112</v>
      </c>
      <c r="D11848" s="5">
        <v>0.1</v>
      </c>
      <c r="E11848" s="5">
        <v>112.1</v>
      </c>
      <c r="F11848" s="5">
        <v>222.4</v>
      </c>
      <c r="G11848" s="5">
        <v>110.5</v>
      </c>
      <c r="H11848" s="5">
        <v>110.4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112</v>
      </c>
      <c r="D11849" s="5">
        <v>0.1</v>
      </c>
      <c r="E11849" s="5">
        <v>112.1</v>
      </c>
      <c r="F11849" s="5">
        <v>222.4</v>
      </c>
      <c r="G11849" s="5">
        <v>110.5</v>
      </c>
      <c r="H11849" s="5">
        <v>110.4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112</v>
      </c>
      <c r="D11850" s="5">
        <v>0.1</v>
      </c>
      <c r="E11850" s="5">
        <v>112.1</v>
      </c>
      <c r="F11850" s="5">
        <v>222.4</v>
      </c>
      <c r="G11850" s="5">
        <v>110.5</v>
      </c>
      <c r="H11850" s="5">
        <v>110.4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112</v>
      </c>
      <c r="D11851" s="5">
        <v>0.1</v>
      </c>
      <c r="E11851" s="5">
        <v>112.1</v>
      </c>
      <c r="F11851" s="5">
        <v>222.4</v>
      </c>
      <c r="G11851" s="5">
        <v>110.5</v>
      </c>
      <c r="H11851" s="5">
        <v>110.4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112</v>
      </c>
      <c r="D11852" s="5">
        <v>0.1</v>
      </c>
      <c r="E11852" s="5">
        <v>112.1</v>
      </c>
      <c r="F11852" s="5">
        <v>222.4</v>
      </c>
      <c r="G11852" s="5">
        <v>110.5</v>
      </c>
      <c r="H11852" s="5">
        <v>110.4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112</v>
      </c>
      <c r="D11853" s="5">
        <v>0.1</v>
      </c>
      <c r="E11853" s="5">
        <v>112.1</v>
      </c>
      <c r="F11853" s="5">
        <v>222.4</v>
      </c>
      <c r="G11853" s="5">
        <v>110.5</v>
      </c>
      <c r="H11853" s="5">
        <v>110.4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112</v>
      </c>
      <c r="D11854" s="5">
        <v>0.1</v>
      </c>
      <c r="E11854" s="5">
        <v>112.1</v>
      </c>
      <c r="F11854" s="5">
        <v>222.4</v>
      </c>
      <c r="G11854" s="5">
        <v>110.5</v>
      </c>
      <c r="H11854" s="5">
        <v>110.4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112</v>
      </c>
      <c r="D11855" s="5">
        <v>0.1</v>
      </c>
      <c r="E11855" s="5">
        <v>112.1</v>
      </c>
      <c r="F11855" s="5">
        <v>222.4</v>
      </c>
      <c r="G11855" s="5">
        <v>110.5</v>
      </c>
      <c r="H11855" s="5">
        <v>110.4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112</v>
      </c>
      <c r="D11856" s="5">
        <v>0.1</v>
      </c>
      <c r="E11856" s="5">
        <v>112.1</v>
      </c>
      <c r="F11856" s="5">
        <v>222.4</v>
      </c>
      <c r="G11856" s="5">
        <v>110.5</v>
      </c>
      <c r="H11856" s="5">
        <v>110.4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112</v>
      </c>
      <c r="D11857" s="5">
        <v>0.1</v>
      </c>
      <c r="E11857" s="5">
        <v>112.1</v>
      </c>
      <c r="F11857" s="5">
        <v>222.4</v>
      </c>
      <c r="G11857" s="5">
        <v>110.5</v>
      </c>
      <c r="H11857" s="5">
        <v>110.4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112</v>
      </c>
      <c r="D11858" s="5">
        <v>0.1</v>
      </c>
      <c r="E11858" s="5">
        <v>112.1</v>
      </c>
      <c r="F11858" s="5">
        <v>222.4</v>
      </c>
      <c r="G11858" s="5">
        <v>110.5</v>
      </c>
      <c r="H11858" s="5">
        <v>110.4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112</v>
      </c>
      <c r="D11859" s="5">
        <v>0.1</v>
      </c>
      <c r="E11859" s="5">
        <v>112.1</v>
      </c>
      <c r="F11859" s="5">
        <v>222.4</v>
      </c>
      <c r="G11859" s="5">
        <v>110.5</v>
      </c>
      <c r="H11859" s="5">
        <v>110.4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112</v>
      </c>
      <c r="D11860" s="5">
        <v>0.1</v>
      </c>
      <c r="E11860" s="5">
        <v>112.1</v>
      </c>
      <c r="F11860" s="5">
        <v>222.4</v>
      </c>
      <c r="G11860" s="5">
        <v>110.5</v>
      </c>
      <c r="H11860" s="5">
        <v>110.4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112</v>
      </c>
      <c r="D11861" s="5">
        <v>0.1</v>
      </c>
      <c r="E11861" s="5">
        <v>112.1</v>
      </c>
      <c r="F11861" s="5">
        <v>222.4</v>
      </c>
      <c r="G11861" s="5">
        <v>110.5</v>
      </c>
      <c r="H11861" s="5">
        <v>110.4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112</v>
      </c>
      <c r="D11862" s="5">
        <v>0.1</v>
      </c>
      <c r="E11862" s="5">
        <v>112.1</v>
      </c>
      <c r="F11862" s="5">
        <v>222.4</v>
      </c>
      <c r="G11862" s="5">
        <v>110.5</v>
      </c>
      <c r="H11862" s="5">
        <v>110.4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112</v>
      </c>
      <c r="D11863" s="5">
        <v>0.1</v>
      </c>
      <c r="E11863" s="5">
        <v>112.1</v>
      </c>
      <c r="F11863" s="5">
        <v>222.4</v>
      </c>
      <c r="G11863" s="5">
        <v>110.5</v>
      </c>
      <c r="H11863" s="5">
        <v>110.4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112</v>
      </c>
      <c r="D11864" s="5">
        <v>0.1</v>
      </c>
      <c r="E11864" s="5">
        <v>112.1</v>
      </c>
      <c r="F11864" s="5">
        <v>222.4</v>
      </c>
      <c r="G11864" s="5">
        <v>110.5</v>
      </c>
      <c r="H11864" s="5">
        <v>110.4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112</v>
      </c>
      <c r="D11865" s="5">
        <v>0.1</v>
      </c>
      <c r="E11865" s="5">
        <v>112.1</v>
      </c>
      <c r="F11865" s="5">
        <v>222.4</v>
      </c>
      <c r="G11865" s="5">
        <v>110.5</v>
      </c>
      <c r="H11865" s="5">
        <v>110.4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112</v>
      </c>
      <c r="D11866" s="5">
        <v>0.1</v>
      </c>
      <c r="E11866" s="5">
        <v>112.1</v>
      </c>
      <c r="F11866" s="5">
        <v>222.4</v>
      </c>
      <c r="G11866" s="5">
        <v>110.5</v>
      </c>
      <c r="H11866" s="5">
        <v>110.4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112</v>
      </c>
      <c r="D11867" s="5">
        <v>0.1</v>
      </c>
      <c r="E11867" s="5">
        <v>112.1</v>
      </c>
      <c r="F11867" s="5">
        <v>222.4</v>
      </c>
      <c r="G11867" s="5">
        <v>110.5</v>
      </c>
      <c r="H11867" s="5">
        <v>110.4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112</v>
      </c>
      <c r="D11868" s="5">
        <v>0.1</v>
      </c>
      <c r="E11868" s="5">
        <v>112.1</v>
      </c>
      <c r="F11868" s="5">
        <v>222.4</v>
      </c>
      <c r="G11868" s="5">
        <v>110.5</v>
      </c>
      <c r="H11868" s="5">
        <v>110.4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112</v>
      </c>
      <c r="D11869" s="5">
        <v>0.1</v>
      </c>
      <c r="E11869" s="5">
        <v>112.1</v>
      </c>
      <c r="F11869" s="5">
        <v>222.4</v>
      </c>
      <c r="G11869" s="5">
        <v>110.5</v>
      </c>
      <c r="H11869" s="5">
        <v>110.4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112</v>
      </c>
      <c r="D11870" s="5">
        <v>0.1</v>
      </c>
      <c r="E11870" s="5">
        <v>112.1</v>
      </c>
      <c r="F11870" s="5">
        <v>222.4</v>
      </c>
      <c r="G11870" s="5">
        <v>110.5</v>
      </c>
      <c r="H11870" s="5">
        <v>110.4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112</v>
      </c>
      <c r="D11871" s="5">
        <v>0.1</v>
      </c>
      <c r="E11871" s="5">
        <v>112.1</v>
      </c>
      <c r="F11871" s="5">
        <v>222.4</v>
      </c>
      <c r="G11871" s="5">
        <v>110.5</v>
      </c>
      <c r="H11871" s="5">
        <v>110.4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112</v>
      </c>
      <c r="D11872" s="5">
        <v>0.1</v>
      </c>
      <c r="E11872" s="5">
        <v>112.1</v>
      </c>
      <c r="F11872" s="5">
        <v>222.4</v>
      </c>
      <c r="G11872" s="5">
        <v>110.5</v>
      </c>
      <c r="H11872" s="5">
        <v>110.4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112</v>
      </c>
      <c r="D11873" s="5">
        <v>0.1</v>
      </c>
      <c r="E11873" s="5">
        <v>112.1</v>
      </c>
      <c r="F11873" s="5">
        <v>222.4</v>
      </c>
      <c r="G11873" s="5">
        <v>110.5</v>
      </c>
      <c r="H11873" s="5">
        <v>110.4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112</v>
      </c>
      <c r="D11874" s="5">
        <v>0.1</v>
      </c>
      <c r="E11874" s="5">
        <v>112.1</v>
      </c>
      <c r="F11874" s="5">
        <v>222.4</v>
      </c>
      <c r="G11874" s="5">
        <v>110.5</v>
      </c>
      <c r="H11874" s="5">
        <v>110.4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112</v>
      </c>
      <c r="D11875" s="5">
        <v>0.1</v>
      </c>
      <c r="E11875" s="5">
        <v>112.1</v>
      </c>
      <c r="F11875" s="5">
        <v>222.4</v>
      </c>
      <c r="G11875" s="5">
        <v>110.5</v>
      </c>
      <c r="H11875" s="5">
        <v>110.4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112</v>
      </c>
      <c r="D11876" s="5">
        <v>0.1</v>
      </c>
      <c r="E11876" s="5">
        <v>112.1</v>
      </c>
      <c r="F11876" s="5">
        <v>222.4</v>
      </c>
      <c r="G11876" s="5">
        <v>110.5</v>
      </c>
      <c r="H11876" s="5">
        <v>110.4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112</v>
      </c>
      <c r="D11877" s="5">
        <v>0.1</v>
      </c>
      <c r="E11877" s="5">
        <v>112.1</v>
      </c>
      <c r="F11877" s="5">
        <v>222.4</v>
      </c>
      <c r="G11877" s="5">
        <v>110.5</v>
      </c>
      <c r="H11877" s="5">
        <v>110.4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112</v>
      </c>
      <c r="D11878" s="5">
        <v>0.1</v>
      </c>
      <c r="E11878" s="5">
        <v>112.1</v>
      </c>
      <c r="F11878" s="5">
        <v>222.4</v>
      </c>
      <c r="G11878" s="5">
        <v>110.5</v>
      </c>
      <c r="H11878" s="5">
        <v>110.4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112</v>
      </c>
      <c r="D11879" s="5">
        <v>0.1</v>
      </c>
      <c r="E11879" s="5">
        <v>112.1</v>
      </c>
      <c r="F11879" s="5">
        <v>222.4</v>
      </c>
      <c r="G11879" s="5">
        <v>110.5</v>
      </c>
      <c r="H11879" s="5">
        <v>110.4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112</v>
      </c>
      <c r="D11880" s="5">
        <v>0.1</v>
      </c>
      <c r="E11880" s="5">
        <v>112.1</v>
      </c>
      <c r="F11880" s="5">
        <v>222.4</v>
      </c>
      <c r="G11880" s="5">
        <v>110.5</v>
      </c>
      <c r="H11880" s="5">
        <v>110.4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112</v>
      </c>
      <c r="D11881" s="5">
        <v>0.1</v>
      </c>
      <c r="E11881" s="5">
        <v>112.1</v>
      </c>
      <c r="F11881" s="5">
        <v>222.4</v>
      </c>
      <c r="G11881" s="5">
        <v>110.5</v>
      </c>
      <c r="H11881" s="5">
        <v>110.4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112</v>
      </c>
      <c r="D11882" s="5">
        <v>0.1</v>
      </c>
      <c r="E11882" s="5">
        <v>112.1</v>
      </c>
      <c r="F11882" s="5">
        <v>222.4</v>
      </c>
      <c r="G11882" s="5">
        <v>110.5</v>
      </c>
      <c r="H11882" s="5">
        <v>110.4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112</v>
      </c>
      <c r="D11883" s="5">
        <v>0.1</v>
      </c>
      <c r="E11883" s="5">
        <v>112.1</v>
      </c>
      <c r="F11883" s="5">
        <v>222.4</v>
      </c>
      <c r="G11883" s="5">
        <v>110.5</v>
      </c>
      <c r="H11883" s="5">
        <v>110.4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112</v>
      </c>
      <c r="D11884" s="5">
        <v>0.1</v>
      </c>
      <c r="E11884" s="5">
        <v>112.1</v>
      </c>
      <c r="F11884" s="5">
        <v>222.4</v>
      </c>
      <c r="G11884" s="5">
        <v>110.5</v>
      </c>
      <c r="H11884" s="5">
        <v>110.4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112</v>
      </c>
      <c r="D11885" s="5">
        <v>0.1</v>
      </c>
      <c r="E11885" s="5">
        <v>112.1</v>
      </c>
      <c r="F11885" s="5">
        <v>222.4</v>
      </c>
      <c r="G11885" s="5">
        <v>110.5</v>
      </c>
      <c r="H11885" s="5">
        <v>110.4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112</v>
      </c>
      <c r="D11886" s="5">
        <v>0.1</v>
      </c>
      <c r="E11886" s="5">
        <v>112.1</v>
      </c>
      <c r="F11886" s="5">
        <v>222.4</v>
      </c>
      <c r="G11886" s="5">
        <v>110.5</v>
      </c>
      <c r="H11886" s="5">
        <v>110.4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112</v>
      </c>
      <c r="D11887" s="5">
        <v>0.1</v>
      </c>
      <c r="E11887" s="5">
        <v>112.1</v>
      </c>
      <c r="F11887" s="5">
        <v>222.4</v>
      </c>
      <c r="G11887" s="5">
        <v>110.5</v>
      </c>
      <c r="H11887" s="5">
        <v>110.4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112</v>
      </c>
      <c r="D11888" s="5">
        <v>0.1</v>
      </c>
      <c r="E11888" s="5">
        <v>112.1</v>
      </c>
      <c r="F11888" s="5">
        <v>222.4</v>
      </c>
      <c r="G11888" s="5">
        <v>110.5</v>
      </c>
      <c r="H11888" s="5">
        <v>110.4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112</v>
      </c>
      <c r="D11889" s="5">
        <v>0.1</v>
      </c>
      <c r="E11889" s="5">
        <v>112.1</v>
      </c>
      <c r="F11889" s="5">
        <v>222.4</v>
      </c>
      <c r="G11889" s="5">
        <v>110.5</v>
      </c>
      <c r="H11889" s="5">
        <v>110.4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112</v>
      </c>
      <c r="D11890" s="5">
        <v>0.1</v>
      </c>
      <c r="E11890" s="5">
        <v>112.1</v>
      </c>
      <c r="F11890" s="5">
        <v>222.4</v>
      </c>
      <c r="G11890" s="5">
        <v>110.5</v>
      </c>
      <c r="H11890" s="5">
        <v>110.4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112</v>
      </c>
      <c r="D11891" s="5">
        <v>0.1</v>
      </c>
      <c r="E11891" s="5">
        <v>112.1</v>
      </c>
      <c r="F11891" s="5">
        <v>222.4</v>
      </c>
      <c r="G11891" s="5">
        <v>110.5</v>
      </c>
      <c r="H11891" s="5">
        <v>110.4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112</v>
      </c>
      <c r="D11892" s="5">
        <v>0.1</v>
      </c>
      <c r="E11892" s="5">
        <v>112.1</v>
      </c>
      <c r="F11892" s="5">
        <v>222.4</v>
      </c>
      <c r="G11892" s="5">
        <v>110.5</v>
      </c>
      <c r="H11892" s="5">
        <v>110.4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112</v>
      </c>
      <c r="D11893" s="5">
        <v>0.1</v>
      </c>
      <c r="E11893" s="5">
        <v>112.1</v>
      </c>
      <c r="F11893" s="5">
        <v>222.4</v>
      </c>
      <c r="G11893" s="5">
        <v>110.5</v>
      </c>
      <c r="H11893" s="5">
        <v>110.4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112</v>
      </c>
      <c r="D11894" s="5">
        <v>0.1</v>
      </c>
      <c r="E11894" s="5">
        <v>112.1</v>
      </c>
      <c r="F11894" s="5">
        <v>222.4</v>
      </c>
      <c r="G11894" s="5">
        <v>110.5</v>
      </c>
      <c r="H11894" s="5">
        <v>110.4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112</v>
      </c>
      <c r="D11895" s="5">
        <v>0.1</v>
      </c>
      <c r="E11895" s="5">
        <v>112.1</v>
      </c>
      <c r="F11895" s="5">
        <v>222.4</v>
      </c>
      <c r="G11895" s="5">
        <v>110.5</v>
      </c>
      <c r="H11895" s="5">
        <v>110.4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112</v>
      </c>
      <c r="D11896" s="5">
        <v>0.1</v>
      </c>
      <c r="E11896" s="5">
        <v>112.1</v>
      </c>
      <c r="F11896" s="5">
        <v>222.4</v>
      </c>
      <c r="G11896" s="5">
        <v>110.5</v>
      </c>
      <c r="H11896" s="5">
        <v>110.4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112</v>
      </c>
      <c r="D11897" s="5">
        <v>0.1</v>
      </c>
      <c r="E11897" s="5">
        <v>112.1</v>
      </c>
      <c r="F11897" s="5">
        <v>222.4</v>
      </c>
      <c r="G11897" s="5">
        <v>110.5</v>
      </c>
      <c r="H11897" s="5">
        <v>110.4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112</v>
      </c>
      <c r="D11898" s="5">
        <v>0.1</v>
      </c>
      <c r="E11898" s="5">
        <v>112.1</v>
      </c>
      <c r="F11898" s="5">
        <v>222.4</v>
      </c>
      <c r="G11898" s="5">
        <v>110.5</v>
      </c>
      <c r="H11898" s="5">
        <v>110.4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112</v>
      </c>
      <c r="D11899" s="5">
        <v>0.1</v>
      </c>
      <c r="E11899" s="5">
        <v>112.1</v>
      </c>
      <c r="F11899" s="5">
        <v>222.4</v>
      </c>
      <c r="G11899" s="5">
        <v>110.5</v>
      </c>
      <c r="H11899" s="5">
        <v>110.4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112</v>
      </c>
      <c r="D11900" s="5">
        <v>0.1</v>
      </c>
      <c r="E11900" s="5">
        <v>112.1</v>
      </c>
      <c r="F11900" s="5">
        <v>222.4</v>
      </c>
      <c r="G11900" s="5">
        <v>110.5</v>
      </c>
      <c r="H11900" s="5">
        <v>110.4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112</v>
      </c>
      <c r="D11901" s="5">
        <v>0.1</v>
      </c>
      <c r="E11901" s="5">
        <v>112.1</v>
      </c>
      <c r="F11901" s="5">
        <v>222.4</v>
      </c>
      <c r="G11901" s="5">
        <v>110.5</v>
      </c>
      <c r="H11901" s="5">
        <v>110.4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112</v>
      </c>
      <c r="D11902" s="5">
        <v>0.1</v>
      </c>
      <c r="E11902" s="5">
        <v>112.1</v>
      </c>
      <c r="F11902" s="5">
        <v>222.4</v>
      </c>
      <c r="G11902" s="5">
        <v>110.5</v>
      </c>
      <c r="H11902" s="5">
        <v>110.4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112</v>
      </c>
      <c r="D11903" s="5">
        <v>0.1</v>
      </c>
      <c r="E11903" s="5">
        <v>112.1</v>
      </c>
      <c r="F11903" s="5">
        <v>222.4</v>
      </c>
      <c r="G11903" s="5">
        <v>110.5</v>
      </c>
      <c r="H11903" s="5">
        <v>110.4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112</v>
      </c>
      <c r="D11904" s="5">
        <v>0.1</v>
      </c>
      <c r="E11904" s="5">
        <v>112.1</v>
      </c>
      <c r="F11904" s="5">
        <v>222.4</v>
      </c>
      <c r="G11904" s="5">
        <v>110.5</v>
      </c>
      <c r="H11904" s="5">
        <v>110.4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112</v>
      </c>
      <c r="D11905" s="5">
        <v>0.1</v>
      </c>
      <c r="E11905" s="5">
        <v>112.1</v>
      </c>
      <c r="F11905" s="5">
        <v>222.4</v>
      </c>
      <c r="G11905" s="5">
        <v>110.5</v>
      </c>
      <c r="H11905" s="5">
        <v>110.4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112</v>
      </c>
      <c r="D11906" s="5">
        <v>0.1</v>
      </c>
      <c r="E11906" s="5">
        <v>112.1</v>
      </c>
      <c r="F11906" s="5">
        <v>222.4</v>
      </c>
      <c r="G11906" s="5">
        <v>110.5</v>
      </c>
      <c r="H11906" s="5">
        <v>110.4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112</v>
      </c>
      <c r="D11907" s="5">
        <v>0.1</v>
      </c>
      <c r="E11907" s="5">
        <v>112.1</v>
      </c>
      <c r="F11907" s="5">
        <v>222.4</v>
      </c>
      <c r="G11907" s="5">
        <v>110.5</v>
      </c>
      <c r="H11907" s="5">
        <v>110.4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112</v>
      </c>
      <c r="D11908" s="5">
        <v>0.1</v>
      </c>
      <c r="E11908" s="5">
        <v>112.1</v>
      </c>
      <c r="F11908" s="5">
        <v>222.4</v>
      </c>
      <c r="G11908" s="5">
        <v>110.5</v>
      </c>
      <c r="H11908" s="5">
        <v>110.4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112</v>
      </c>
      <c r="D11909" s="5">
        <v>0.1</v>
      </c>
      <c r="E11909" s="5">
        <v>112.1</v>
      </c>
      <c r="F11909" s="5">
        <v>222.4</v>
      </c>
      <c r="G11909" s="5">
        <v>110.5</v>
      </c>
      <c r="H11909" s="5">
        <v>110.4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112</v>
      </c>
      <c r="D11910" s="5">
        <v>0.1</v>
      </c>
      <c r="E11910" s="5">
        <v>112.1</v>
      </c>
      <c r="F11910" s="5">
        <v>222.4</v>
      </c>
      <c r="G11910" s="5">
        <v>110.5</v>
      </c>
      <c r="H11910" s="5">
        <v>110.4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112</v>
      </c>
      <c r="D11911" s="5">
        <v>0.1</v>
      </c>
      <c r="E11911" s="5">
        <v>112.1</v>
      </c>
      <c r="F11911" s="5">
        <v>222.4</v>
      </c>
      <c r="G11911" s="5">
        <v>110.5</v>
      </c>
      <c r="H11911" s="5">
        <v>110.4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112</v>
      </c>
      <c r="D11912" s="5">
        <v>0.1</v>
      </c>
      <c r="E11912" s="5">
        <v>112.1</v>
      </c>
      <c r="F11912" s="5">
        <v>222.4</v>
      </c>
      <c r="G11912" s="5">
        <v>110.5</v>
      </c>
      <c r="H11912" s="5">
        <v>110.4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112</v>
      </c>
      <c r="D11913" s="5">
        <v>0.1</v>
      </c>
      <c r="E11913" s="5">
        <v>112.1</v>
      </c>
      <c r="F11913" s="5">
        <v>222.4</v>
      </c>
      <c r="G11913" s="5">
        <v>110.5</v>
      </c>
      <c r="H11913" s="5">
        <v>110.4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112</v>
      </c>
      <c r="D11914" s="5">
        <v>0.1</v>
      </c>
      <c r="E11914" s="5">
        <v>112.1</v>
      </c>
      <c r="F11914" s="5">
        <v>222.4</v>
      </c>
      <c r="G11914" s="5">
        <v>110.5</v>
      </c>
      <c r="H11914" s="5">
        <v>110.4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112</v>
      </c>
      <c r="D11915" s="5">
        <v>0.1</v>
      </c>
      <c r="E11915" s="5">
        <v>112.1</v>
      </c>
      <c r="F11915" s="5">
        <v>222.4</v>
      </c>
      <c r="G11915" s="5">
        <v>110.5</v>
      </c>
      <c r="H11915" s="5">
        <v>110.4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112</v>
      </c>
      <c r="D11916" s="5">
        <v>0.1</v>
      </c>
      <c r="E11916" s="5">
        <v>112.1</v>
      </c>
      <c r="F11916" s="5">
        <v>222.4</v>
      </c>
      <c r="G11916" s="5">
        <v>110.5</v>
      </c>
      <c r="H11916" s="5">
        <v>110.4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112</v>
      </c>
      <c r="D11917" s="5">
        <v>0.1</v>
      </c>
      <c r="E11917" s="5">
        <v>112.1</v>
      </c>
      <c r="F11917" s="5">
        <v>222.4</v>
      </c>
      <c r="G11917" s="5">
        <v>110.5</v>
      </c>
      <c r="H11917" s="5">
        <v>110.4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112</v>
      </c>
      <c r="D11918" s="5">
        <v>0.1</v>
      </c>
      <c r="E11918" s="5">
        <v>112.1</v>
      </c>
      <c r="F11918" s="5">
        <v>222.4</v>
      </c>
      <c r="G11918" s="5">
        <v>110.5</v>
      </c>
      <c r="H11918" s="5">
        <v>110.4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112</v>
      </c>
      <c r="D11919" s="5">
        <v>0.1</v>
      </c>
      <c r="E11919" s="5">
        <v>112.1</v>
      </c>
      <c r="F11919" s="5">
        <v>222.4</v>
      </c>
      <c r="G11919" s="5">
        <v>110.5</v>
      </c>
      <c r="H11919" s="5">
        <v>110.4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112</v>
      </c>
      <c r="D11920" s="5">
        <v>0.1</v>
      </c>
      <c r="E11920" s="5">
        <v>112.1</v>
      </c>
      <c r="F11920" s="5">
        <v>222.4</v>
      </c>
      <c r="G11920" s="5">
        <v>110.5</v>
      </c>
      <c r="H11920" s="5">
        <v>110.4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112</v>
      </c>
      <c r="D11921" s="5">
        <v>0.1</v>
      </c>
      <c r="E11921" s="5">
        <v>112.1</v>
      </c>
      <c r="F11921" s="5">
        <v>222.4</v>
      </c>
      <c r="G11921" s="5">
        <v>110.5</v>
      </c>
      <c r="H11921" s="5">
        <v>110.4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112</v>
      </c>
      <c r="D11922" s="5">
        <v>0.1</v>
      </c>
      <c r="E11922" s="5">
        <v>112.1</v>
      </c>
      <c r="F11922" s="5">
        <v>222.4</v>
      </c>
      <c r="G11922" s="5">
        <v>110.5</v>
      </c>
      <c r="H11922" s="5">
        <v>110.4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112</v>
      </c>
      <c r="D11923" s="5">
        <v>0.1</v>
      </c>
      <c r="E11923" s="5">
        <v>112.1</v>
      </c>
      <c r="F11923" s="5">
        <v>222.4</v>
      </c>
      <c r="G11923" s="5">
        <v>110.5</v>
      </c>
      <c r="H11923" s="5">
        <v>110.4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112</v>
      </c>
      <c r="D11924" s="5">
        <v>0.1</v>
      </c>
      <c r="E11924" s="5">
        <v>112.1</v>
      </c>
      <c r="F11924" s="5">
        <v>222.4</v>
      </c>
      <c r="G11924" s="5">
        <v>110.5</v>
      </c>
      <c r="H11924" s="5">
        <v>110.4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112</v>
      </c>
      <c r="D11925" s="5">
        <v>0.1</v>
      </c>
      <c r="E11925" s="5">
        <v>112.1</v>
      </c>
      <c r="F11925" s="5">
        <v>222.4</v>
      </c>
      <c r="G11925" s="5">
        <v>110.5</v>
      </c>
      <c r="H11925" s="5">
        <v>110.4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112</v>
      </c>
      <c r="D11926" s="5">
        <v>0.1</v>
      </c>
      <c r="E11926" s="5">
        <v>112.1</v>
      </c>
      <c r="F11926" s="5">
        <v>222.4</v>
      </c>
      <c r="G11926" s="5">
        <v>110.5</v>
      </c>
      <c r="H11926" s="5">
        <v>110.4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112</v>
      </c>
      <c r="D11927" s="5">
        <v>0.1</v>
      </c>
      <c r="E11927" s="5">
        <v>112.1</v>
      </c>
      <c r="F11927" s="5">
        <v>222.4</v>
      </c>
      <c r="G11927" s="5">
        <v>110.5</v>
      </c>
      <c r="H11927" s="5">
        <v>110.4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112</v>
      </c>
      <c r="D11928" s="5">
        <v>0.1</v>
      </c>
      <c r="E11928" s="5">
        <v>112.1</v>
      </c>
      <c r="F11928" s="5">
        <v>222.4</v>
      </c>
      <c r="G11928" s="5">
        <v>110.5</v>
      </c>
      <c r="H11928" s="5">
        <v>110.4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112</v>
      </c>
      <c r="D11929" s="5">
        <v>0.1</v>
      </c>
      <c r="E11929" s="5">
        <v>112.1</v>
      </c>
      <c r="F11929" s="5">
        <v>222.4</v>
      </c>
      <c r="G11929" s="5">
        <v>110.5</v>
      </c>
      <c r="H11929" s="5">
        <v>110.4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112</v>
      </c>
      <c r="D11930" s="5">
        <v>0.1</v>
      </c>
      <c r="E11930" s="5">
        <v>112.1</v>
      </c>
      <c r="F11930" s="5">
        <v>222.4</v>
      </c>
      <c r="G11930" s="5">
        <v>110.5</v>
      </c>
      <c r="H11930" s="5">
        <v>110.4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112</v>
      </c>
      <c r="D11931" s="5">
        <v>0.1</v>
      </c>
      <c r="E11931" s="5">
        <v>112.1</v>
      </c>
      <c r="F11931" s="5">
        <v>222.4</v>
      </c>
      <c r="G11931" s="5">
        <v>110.5</v>
      </c>
      <c r="H11931" s="5">
        <v>110.4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112</v>
      </c>
      <c r="D11932" s="5">
        <v>0.1</v>
      </c>
      <c r="E11932" s="5">
        <v>112.1</v>
      </c>
      <c r="F11932" s="5">
        <v>222.4</v>
      </c>
      <c r="G11932" s="5">
        <v>110.5</v>
      </c>
      <c r="H11932" s="5">
        <v>110.4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112</v>
      </c>
      <c r="D11933" s="5">
        <v>0.1</v>
      </c>
      <c r="E11933" s="5">
        <v>112.1</v>
      </c>
      <c r="F11933" s="5">
        <v>222.4</v>
      </c>
      <c r="G11933" s="5">
        <v>110.5</v>
      </c>
      <c r="H11933" s="5">
        <v>110.4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112</v>
      </c>
      <c r="D11934" s="5">
        <v>0.1</v>
      </c>
      <c r="E11934" s="5">
        <v>112.1</v>
      </c>
      <c r="F11934" s="5">
        <v>222.4</v>
      </c>
      <c r="G11934" s="5">
        <v>110.5</v>
      </c>
      <c r="H11934" s="5">
        <v>110.4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112</v>
      </c>
      <c r="D11935" s="5">
        <v>0.1</v>
      </c>
      <c r="E11935" s="5">
        <v>112.1</v>
      </c>
      <c r="F11935" s="5">
        <v>222.4</v>
      </c>
      <c r="G11935" s="5">
        <v>110.5</v>
      </c>
      <c r="H11935" s="5">
        <v>110.4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112</v>
      </c>
      <c r="D11936" s="5">
        <v>0.1</v>
      </c>
      <c r="E11936" s="5">
        <v>112.1</v>
      </c>
      <c r="F11936" s="5">
        <v>222.4</v>
      </c>
      <c r="G11936" s="5">
        <v>110.5</v>
      </c>
      <c r="H11936" s="5">
        <v>110.4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112</v>
      </c>
      <c r="D11937" s="5">
        <v>0.1</v>
      </c>
      <c r="E11937" s="5">
        <v>112.1</v>
      </c>
      <c r="F11937" s="5">
        <v>222.4</v>
      </c>
      <c r="G11937" s="5">
        <v>110.5</v>
      </c>
      <c r="H11937" s="5">
        <v>110.4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112</v>
      </c>
      <c r="D11938" s="5">
        <v>0.1</v>
      </c>
      <c r="E11938" s="5">
        <v>112.1</v>
      </c>
      <c r="F11938" s="5">
        <v>222.4</v>
      </c>
      <c r="G11938" s="5">
        <v>110.5</v>
      </c>
      <c r="H11938" s="5">
        <v>110.4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112</v>
      </c>
      <c r="D11939" s="5">
        <v>0.1</v>
      </c>
      <c r="E11939" s="5">
        <v>112.1</v>
      </c>
      <c r="F11939" s="5">
        <v>222.4</v>
      </c>
      <c r="G11939" s="5">
        <v>110.5</v>
      </c>
      <c r="H11939" s="5">
        <v>110.4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112</v>
      </c>
      <c r="D11940" s="5">
        <v>0.1</v>
      </c>
      <c r="E11940" s="5">
        <v>112.1</v>
      </c>
      <c r="F11940" s="5">
        <v>222.4</v>
      </c>
      <c r="G11940" s="5">
        <v>110.5</v>
      </c>
      <c r="H11940" s="5">
        <v>110.4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112</v>
      </c>
      <c r="D11941" s="5">
        <v>0.1</v>
      </c>
      <c r="E11941" s="5">
        <v>112.1</v>
      </c>
      <c r="F11941" s="5">
        <v>222.4</v>
      </c>
      <c r="G11941" s="5">
        <v>110.5</v>
      </c>
      <c r="H11941" s="5">
        <v>110.4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112</v>
      </c>
      <c r="D11942" s="5">
        <v>0.1</v>
      </c>
      <c r="E11942" s="5">
        <v>112.1</v>
      </c>
      <c r="F11942" s="5">
        <v>222.4</v>
      </c>
      <c r="G11942" s="5">
        <v>110.5</v>
      </c>
      <c r="H11942" s="5">
        <v>110.4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112</v>
      </c>
      <c r="D11943" s="5">
        <v>0.1</v>
      </c>
      <c r="E11943" s="5">
        <v>112.1</v>
      </c>
      <c r="F11943" s="5">
        <v>222.4</v>
      </c>
      <c r="G11943" s="5">
        <v>110.5</v>
      </c>
      <c r="H11943" s="5">
        <v>110.4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112</v>
      </c>
      <c r="D11944" s="5">
        <v>0.1</v>
      </c>
      <c r="E11944" s="5">
        <v>112.1</v>
      </c>
      <c r="F11944" s="5">
        <v>222.4</v>
      </c>
      <c r="G11944" s="5">
        <v>110.5</v>
      </c>
      <c r="H11944" s="5">
        <v>110.4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112</v>
      </c>
      <c r="D11945" s="5">
        <v>0.1</v>
      </c>
      <c r="E11945" s="5">
        <v>112.1</v>
      </c>
      <c r="F11945" s="5">
        <v>222.4</v>
      </c>
      <c r="G11945" s="5">
        <v>110.5</v>
      </c>
      <c r="H11945" s="5">
        <v>110.4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112</v>
      </c>
      <c r="D11946" s="5">
        <v>0.1</v>
      </c>
      <c r="E11946" s="5">
        <v>112.1</v>
      </c>
      <c r="F11946" s="5">
        <v>222.4</v>
      </c>
      <c r="G11946" s="5">
        <v>110.5</v>
      </c>
      <c r="H11946" s="5">
        <v>110.4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112</v>
      </c>
      <c r="D11947" s="5">
        <v>0.1</v>
      </c>
      <c r="E11947" s="5">
        <v>112.1</v>
      </c>
      <c r="F11947" s="5">
        <v>222.4</v>
      </c>
      <c r="G11947" s="5">
        <v>110.5</v>
      </c>
      <c r="H11947" s="5">
        <v>110.4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112</v>
      </c>
      <c r="D11948" s="5">
        <v>0.1</v>
      </c>
      <c r="E11948" s="5">
        <v>112.1</v>
      </c>
      <c r="F11948" s="5">
        <v>222.4</v>
      </c>
      <c r="G11948" s="5">
        <v>110.5</v>
      </c>
      <c r="H11948" s="5">
        <v>110.4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112</v>
      </c>
      <c r="D11949" s="5">
        <v>0.1</v>
      </c>
      <c r="E11949" s="5">
        <v>112.1</v>
      </c>
      <c r="F11949" s="5">
        <v>222.4</v>
      </c>
      <c r="G11949" s="5">
        <v>110.5</v>
      </c>
      <c r="H11949" s="5">
        <v>110.4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112</v>
      </c>
      <c r="D11950" s="5">
        <v>0.1</v>
      </c>
      <c r="E11950" s="5">
        <v>112.1</v>
      </c>
      <c r="F11950" s="5">
        <v>222.4</v>
      </c>
      <c r="G11950" s="5">
        <v>110.5</v>
      </c>
      <c r="H11950" s="5">
        <v>110.4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112</v>
      </c>
      <c r="D11951" s="5">
        <v>0.1</v>
      </c>
      <c r="E11951" s="5">
        <v>112.1</v>
      </c>
      <c r="F11951" s="5">
        <v>222.4</v>
      </c>
      <c r="G11951" s="5">
        <v>110.5</v>
      </c>
      <c r="H11951" s="5">
        <v>110.4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112</v>
      </c>
      <c r="D11952" s="5">
        <v>0.1</v>
      </c>
      <c r="E11952" s="5">
        <v>112.1</v>
      </c>
      <c r="F11952" s="5">
        <v>222.4</v>
      </c>
      <c r="G11952" s="5">
        <v>110.5</v>
      </c>
      <c r="H11952" s="5">
        <v>110.4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112</v>
      </c>
      <c r="D11953" s="5">
        <v>0.1</v>
      </c>
      <c r="E11953" s="5">
        <v>112.1</v>
      </c>
      <c r="F11953" s="5">
        <v>222.4</v>
      </c>
      <c r="G11953" s="5">
        <v>110.5</v>
      </c>
      <c r="H11953" s="5">
        <v>110.4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112</v>
      </c>
      <c r="D11954" s="5">
        <v>0.1</v>
      </c>
      <c r="E11954" s="5">
        <v>112.1</v>
      </c>
      <c r="F11954" s="5">
        <v>222.4</v>
      </c>
      <c r="G11954" s="5">
        <v>110.5</v>
      </c>
      <c r="H11954" s="5">
        <v>110.4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112</v>
      </c>
      <c r="D11955" s="5">
        <v>0.1</v>
      </c>
      <c r="E11955" s="5">
        <v>112.1</v>
      </c>
      <c r="F11955" s="5">
        <v>222.4</v>
      </c>
      <c r="G11955" s="5">
        <v>110.5</v>
      </c>
      <c r="H11955" s="5">
        <v>110.4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112</v>
      </c>
      <c r="D11956" s="5">
        <v>0.1</v>
      </c>
      <c r="E11956" s="5">
        <v>112.1</v>
      </c>
      <c r="F11956" s="5">
        <v>222.4</v>
      </c>
      <c r="G11956" s="5">
        <v>110.5</v>
      </c>
      <c r="H11956" s="5">
        <v>110.4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112</v>
      </c>
      <c r="D11957" s="5">
        <v>0.1</v>
      </c>
      <c r="E11957" s="5">
        <v>112.1</v>
      </c>
      <c r="F11957" s="5">
        <v>222.4</v>
      </c>
      <c r="G11957" s="5">
        <v>110.5</v>
      </c>
      <c r="H11957" s="5">
        <v>110.4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112</v>
      </c>
      <c r="D11958" s="5">
        <v>0.1</v>
      </c>
      <c r="E11958" s="5">
        <v>112.1</v>
      </c>
      <c r="F11958" s="5">
        <v>222.4</v>
      </c>
      <c r="G11958" s="5">
        <v>110.5</v>
      </c>
      <c r="H11958" s="5">
        <v>110.4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112</v>
      </c>
      <c r="D11959" s="5">
        <v>0.1</v>
      </c>
      <c r="E11959" s="5">
        <v>112.1</v>
      </c>
      <c r="F11959" s="5">
        <v>222.4</v>
      </c>
      <c r="G11959" s="5">
        <v>110.5</v>
      </c>
      <c r="H11959" s="5">
        <v>110.4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112</v>
      </c>
      <c r="D11960" s="5">
        <v>0.1</v>
      </c>
      <c r="E11960" s="5">
        <v>112.1</v>
      </c>
      <c r="F11960" s="5">
        <v>222.4</v>
      </c>
      <c r="G11960" s="5">
        <v>110.5</v>
      </c>
      <c r="H11960" s="5">
        <v>110.4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112</v>
      </c>
      <c r="D11961" s="5">
        <v>0.1</v>
      </c>
      <c r="E11961" s="5">
        <v>112.1</v>
      </c>
      <c r="F11961" s="5">
        <v>222.4</v>
      </c>
      <c r="G11961" s="5">
        <v>110.5</v>
      </c>
      <c r="H11961" s="5">
        <v>110.4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112</v>
      </c>
      <c r="D11962" s="5">
        <v>0.1</v>
      </c>
      <c r="E11962" s="5">
        <v>112.1</v>
      </c>
      <c r="F11962" s="5">
        <v>222.4</v>
      </c>
      <c r="G11962" s="5">
        <v>110.5</v>
      </c>
      <c r="H11962" s="5">
        <v>110.4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112</v>
      </c>
      <c r="D11963" s="5">
        <v>0.1</v>
      </c>
      <c r="E11963" s="5">
        <v>112.1</v>
      </c>
      <c r="F11963" s="5">
        <v>222.4</v>
      </c>
      <c r="G11963" s="5">
        <v>110.5</v>
      </c>
      <c r="H11963" s="5">
        <v>110.4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112</v>
      </c>
      <c r="D11964" s="5">
        <v>0.1</v>
      </c>
      <c r="E11964" s="5">
        <v>112.1</v>
      </c>
      <c r="F11964" s="5">
        <v>222.4</v>
      </c>
      <c r="G11964" s="5">
        <v>110.5</v>
      </c>
      <c r="H11964" s="5">
        <v>110.4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112</v>
      </c>
      <c r="D11965" s="5">
        <v>0.1</v>
      </c>
      <c r="E11965" s="5">
        <v>112.1</v>
      </c>
      <c r="F11965" s="5">
        <v>222.4</v>
      </c>
      <c r="G11965" s="5">
        <v>110.5</v>
      </c>
      <c r="H11965" s="5">
        <v>110.4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112</v>
      </c>
      <c r="D11966" s="5">
        <v>0.1</v>
      </c>
      <c r="E11966" s="5">
        <v>112.1</v>
      </c>
      <c r="F11966" s="5">
        <v>222.4</v>
      </c>
      <c r="G11966" s="5">
        <v>110.5</v>
      </c>
      <c r="H11966" s="5">
        <v>110.4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112</v>
      </c>
      <c r="D11967" s="5">
        <v>0.1</v>
      </c>
      <c r="E11967" s="5">
        <v>112.1</v>
      </c>
      <c r="F11967" s="5">
        <v>222.4</v>
      </c>
      <c r="G11967" s="5">
        <v>110.5</v>
      </c>
      <c r="H11967" s="5">
        <v>110.4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112</v>
      </c>
      <c r="D11968" s="5">
        <v>0.1</v>
      </c>
      <c r="E11968" s="5">
        <v>112.1</v>
      </c>
      <c r="F11968" s="5">
        <v>222.4</v>
      </c>
      <c r="G11968" s="5">
        <v>110.5</v>
      </c>
      <c r="H11968" s="5">
        <v>110.4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112</v>
      </c>
      <c r="D11969" s="5">
        <v>0.1</v>
      </c>
      <c r="E11969" s="5">
        <v>112.1</v>
      </c>
      <c r="F11969" s="5">
        <v>222.4</v>
      </c>
      <c r="G11969" s="5">
        <v>110.5</v>
      </c>
      <c r="H11969" s="5">
        <v>110.4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112</v>
      </c>
      <c r="D11970" s="5">
        <v>0.1</v>
      </c>
      <c r="E11970" s="5">
        <v>112.1</v>
      </c>
      <c r="F11970" s="5">
        <v>222.4</v>
      </c>
      <c r="G11970" s="5">
        <v>110.5</v>
      </c>
      <c r="H11970" s="5">
        <v>110.4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112</v>
      </c>
      <c r="D11971" s="5">
        <v>0.1</v>
      </c>
      <c r="E11971" s="5">
        <v>112.1</v>
      </c>
      <c r="F11971" s="5">
        <v>222.4</v>
      </c>
      <c r="G11971" s="5">
        <v>110.5</v>
      </c>
      <c r="H11971" s="5">
        <v>110.4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112</v>
      </c>
      <c r="D11972" s="5">
        <v>0.1</v>
      </c>
      <c r="E11972" s="5">
        <v>112.1</v>
      </c>
      <c r="F11972" s="5">
        <v>222.4</v>
      </c>
      <c r="G11972" s="5">
        <v>110.5</v>
      </c>
      <c r="H11972" s="5">
        <v>110.4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112</v>
      </c>
      <c r="D11973" s="5">
        <v>0.1</v>
      </c>
      <c r="E11973" s="5">
        <v>112.1</v>
      </c>
      <c r="F11973" s="5">
        <v>222.4</v>
      </c>
      <c r="G11973" s="5">
        <v>110.5</v>
      </c>
      <c r="H11973" s="5">
        <v>110.4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112</v>
      </c>
      <c r="D11974" s="5">
        <v>0.1</v>
      </c>
      <c r="E11974" s="5">
        <v>112.1</v>
      </c>
      <c r="F11974" s="5">
        <v>222.4</v>
      </c>
      <c r="G11974" s="5">
        <v>110.5</v>
      </c>
      <c r="H11974" s="5">
        <v>110.4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112</v>
      </c>
      <c r="D11975" s="5">
        <v>0.1</v>
      </c>
      <c r="E11975" s="5">
        <v>112.1</v>
      </c>
      <c r="F11975" s="5">
        <v>222.4</v>
      </c>
      <c r="G11975" s="5">
        <v>110.5</v>
      </c>
      <c r="H11975" s="5">
        <v>110.4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112</v>
      </c>
      <c r="D11976" s="5">
        <v>0.1</v>
      </c>
      <c r="E11976" s="5">
        <v>112.1</v>
      </c>
      <c r="F11976" s="5">
        <v>222.4</v>
      </c>
      <c r="G11976" s="5">
        <v>110.5</v>
      </c>
      <c r="H11976" s="5">
        <v>110.4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112</v>
      </c>
      <c r="D11977" s="5">
        <v>0.1</v>
      </c>
      <c r="E11977" s="5">
        <v>112.1</v>
      </c>
      <c r="F11977" s="5">
        <v>222.4</v>
      </c>
      <c r="G11977" s="5">
        <v>110.5</v>
      </c>
      <c r="H11977" s="5">
        <v>110.4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112</v>
      </c>
      <c r="D11978" s="5">
        <v>0.1</v>
      </c>
      <c r="E11978" s="5">
        <v>112.1</v>
      </c>
      <c r="F11978" s="5">
        <v>222.4</v>
      </c>
      <c r="G11978" s="5">
        <v>110.5</v>
      </c>
      <c r="H11978" s="5">
        <v>110.4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112</v>
      </c>
      <c r="D11979" s="5">
        <v>0.1</v>
      </c>
      <c r="E11979" s="5">
        <v>112.1</v>
      </c>
      <c r="F11979" s="5">
        <v>222.4</v>
      </c>
      <c r="G11979" s="5">
        <v>110.5</v>
      </c>
      <c r="H11979" s="5">
        <v>110.4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112</v>
      </c>
      <c r="D11980" s="5">
        <v>0.1</v>
      </c>
      <c r="E11980" s="5">
        <v>112.1</v>
      </c>
      <c r="F11980" s="5">
        <v>222.4</v>
      </c>
      <c r="G11980" s="5">
        <v>110.5</v>
      </c>
      <c r="H11980" s="5">
        <v>110.4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112</v>
      </c>
      <c r="D11981" s="5">
        <v>0.1</v>
      </c>
      <c r="E11981" s="5">
        <v>112.1</v>
      </c>
      <c r="F11981" s="5">
        <v>222.4</v>
      </c>
      <c r="G11981" s="5">
        <v>110.5</v>
      </c>
      <c r="H11981" s="5">
        <v>110.4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112</v>
      </c>
      <c r="D11982" s="5">
        <v>0.1</v>
      </c>
      <c r="E11982" s="5">
        <v>112.1</v>
      </c>
      <c r="F11982" s="5">
        <v>222.4</v>
      </c>
      <c r="G11982" s="5">
        <v>110.5</v>
      </c>
      <c r="H11982" s="5">
        <v>110.4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112</v>
      </c>
      <c r="D11983" s="5">
        <v>0.1</v>
      </c>
      <c r="E11983" s="5">
        <v>112.1</v>
      </c>
      <c r="F11983" s="5">
        <v>222.4</v>
      </c>
      <c r="G11983" s="5">
        <v>110.5</v>
      </c>
      <c r="H11983" s="5">
        <v>110.4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112</v>
      </c>
      <c r="D11984" s="5">
        <v>0.1</v>
      </c>
      <c r="E11984" s="5">
        <v>112.1</v>
      </c>
      <c r="F11984" s="5">
        <v>222.4</v>
      </c>
      <c r="G11984" s="5">
        <v>110.5</v>
      </c>
      <c r="H11984" s="5">
        <v>110.4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112</v>
      </c>
      <c r="D11985" s="5">
        <v>0.1</v>
      </c>
      <c r="E11985" s="5">
        <v>112.1</v>
      </c>
      <c r="F11985" s="5">
        <v>222.4</v>
      </c>
      <c r="G11985" s="5">
        <v>110.5</v>
      </c>
      <c r="H11985" s="5">
        <v>110.4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112</v>
      </c>
      <c r="D11986" s="5">
        <v>0.1</v>
      </c>
      <c r="E11986" s="5">
        <v>112.1</v>
      </c>
      <c r="F11986" s="5">
        <v>222.4</v>
      </c>
      <c r="G11986" s="5">
        <v>110.5</v>
      </c>
      <c r="H11986" s="5">
        <v>110.4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112</v>
      </c>
      <c r="D11987" s="5">
        <v>0.1</v>
      </c>
      <c r="E11987" s="5">
        <v>112.1</v>
      </c>
      <c r="F11987" s="5">
        <v>222.4</v>
      </c>
      <c r="G11987" s="5">
        <v>110.5</v>
      </c>
      <c r="H11987" s="5">
        <v>110.4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112</v>
      </c>
      <c r="D11988" s="5">
        <v>0.1</v>
      </c>
      <c r="E11988" s="5">
        <v>112.1</v>
      </c>
      <c r="F11988" s="5">
        <v>222.4</v>
      </c>
      <c r="G11988" s="5">
        <v>110.5</v>
      </c>
      <c r="H11988" s="5">
        <v>110.4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112</v>
      </c>
      <c r="D11989" s="5">
        <v>0.1</v>
      </c>
      <c r="E11989" s="5">
        <v>112.1</v>
      </c>
      <c r="F11989" s="5">
        <v>222.4</v>
      </c>
      <c r="G11989" s="5">
        <v>110.5</v>
      </c>
      <c r="H11989" s="5">
        <v>110.4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112</v>
      </c>
      <c r="D11990" s="5">
        <v>0.1</v>
      </c>
      <c r="E11990" s="5">
        <v>112.1</v>
      </c>
      <c r="F11990" s="5">
        <v>222.4</v>
      </c>
      <c r="G11990" s="5">
        <v>110.5</v>
      </c>
      <c r="H11990" s="5">
        <v>110.4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112</v>
      </c>
      <c r="D11991" s="5">
        <v>0.1</v>
      </c>
      <c r="E11991" s="5">
        <v>112.1</v>
      </c>
      <c r="F11991" s="5">
        <v>222.4</v>
      </c>
      <c r="G11991" s="5">
        <v>110.5</v>
      </c>
      <c r="H11991" s="5">
        <v>110.4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112</v>
      </c>
      <c r="D11992" s="5">
        <v>0.1</v>
      </c>
      <c r="E11992" s="5">
        <v>112.1</v>
      </c>
      <c r="F11992" s="5">
        <v>222.4</v>
      </c>
      <c r="G11992" s="5">
        <v>110.5</v>
      </c>
      <c r="H11992" s="5">
        <v>110.4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112</v>
      </c>
      <c r="D11993" s="5">
        <v>0.1</v>
      </c>
      <c r="E11993" s="5">
        <v>112.1</v>
      </c>
      <c r="F11993" s="5">
        <v>222.4</v>
      </c>
      <c r="G11993" s="5">
        <v>110.5</v>
      </c>
      <c r="H11993" s="5">
        <v>110.4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112</v>
      </c>
      <c r="D11994" s="5">
        <v>0.1</v>
      </c>
      <c r="E11994" s="5">
        <v>112.1</v>
      </c>
      <c r="F11994" s="5">
        <v>222.4</v>
      </c>
      <c r="G11994" s="5">
        <v>110.5</v>
      </c>
      <c r="H11994" s="5">
        <v>110.4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112</v>
      </c>
      <c r="D11995" s="5">
        <v>0.1</v>
      </c>
      <c r="E11995" s="5">
        <v>112.1</v>
      </c>
      <c r="F11995" s="5">
        <v>222.4</v>
      </c>
      <c r="G11995" s="5">
        <v>110.5</v>
      </c>
      <c r="H11995" s="5">
        <v>110.4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112</v>
      </c>
      <c r="D11996" s="5">
        <v>0.1</v>
      </c>
      <c r="E11996" s="5">
        <v>112.1</v>
      </c>
      <c r="F11996" s="5">
        <v>222.4</v>
      </c>
      <c r="G11996" s="5">
        <v>110.5</v>
      </c>
      <c r="H11996" s="5">
        <v>110.4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112</v>
      </c>
      <c r="D11997" s="5">
        <v>0.1</v>
      </c>
      <c r="E11997" s="5">
        <v>112.1</v>
      </c>
      <c r="F11997" s="5">
        <v>222.4</v>
      </c>
      <c r="G11997" s="5">
        <v>110.5</v>
      </c>
      <c r="H11997" s="5">
        <v>110.4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112</v>
      </c>
      <c r="D11998" s="5">
        <v>0.1</v>
      </c>
      <c r="E11998" s="5">
        <v>112.1</v>
      </c>
      <c r="F11998" s="5">
        <v>222.4</v>
      </c>
      <c r="G11998" s="5">
        <v>110.5</v>
      </c>
      <c r="H11998" s="5">
        <v>110.4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112</v>
      </c>
      <c r="D11999" s="5">
        <v>0.1</v>
      </c>
      <c r="E11999" s="5">
        <v>112.1</v>
      </c>
      <c r="F11999" s="5">
        <v>222.4</v>
      </c>
      <c r="G11999" s="5">
        <v>110.5</v>
      </c>
      <c r="H11999" s="5">
        <v>110.4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112</v>
      </c>
      <c r="D12000" s="5">
        <v>0.1</v>
      </c>
      <c r="E12000" s="5">
        <v>112.1</v>
      </c>
      <c r="F12000" s="5">
        <v>222.4</v>
      </c>
      <c r="G12000" s="5">
        <v>110.5</v>
      </c>
      <c r="H12000" s="5">
        <v>110.4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112</v>
      </c>
      <c r="D12001" s="5">
        <v>0.1</v>
      </c>
      <c r="E12001" s="5">
        <v>112.1</v>
      </c>
      <c r="F12001" s="5">
        <v>222.4</v>
      </c>
      <c r="G12001" s="5">
        <v>110.5</v>
      </c>
      <c r="H12001" s="5">
        <v>110.4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112</v>
      </c>
      <c r="D12002" s="5">
        <v>0.1</v>
      </c>
      <c r="E12002" s="5">
        <v>112.1</v>
      </c>
      <c r="F12002" s="5">
        <v>222.4</v>
      </c>
      <c r="G12002" s="5">
        <v>110.5</v>
      </c>
      <c r="H12002" s="5">
        <v>110.4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112</v>
      </c>
      <c r="D12003" s="5">
        <v>0.1</v>
      </c>
      <c r="E12003" s="5">
        <v>112.1</v>
      </c>
      <c r="F12003" s="5">
        <v>222.4</v>
      </c>
      <c r="G12003" s="5">
        <v>110.5</v>
      </c>
      <c r="H12003" s="5">
        <v>110.4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112</v>
      </c>
      <c r="D12004" s="5">
        <v>0.1</v>
      </c>
      <c r="E12004" s="5">
        <v>112.1</v>
      </c>
      <c r="F12004" s="5">
        <v>222.4</v>
      </c>
      <c r="G12004" s="5">
        <v>110.5</v>
      </c>
      <c r="H12004" s="5">
        <v>110.4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112</v>
      </c>
      <c r="D12005" s="5">
        <v>0.1</v>
      </c>
      <c r="E12005" s="5">
        <v>112.1</v>
      </c>
      <c r="F12005" s="5">
        <v>222.4</v>
      </c>
      <c r="G12005" s="5">
        <v>110.5</v>
      </c>
      <c r="H12005" s="5">
        <v>110.4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112</v>
      </c>
      <c r="D12006" s="5">
        <v>0.1</v>
      </c>
      <c r="E12006" s="5">
        <v>112.1</v>
      </c>
      <c r="F12006" s="5">
        <v>222.4</v>
      </c>
      <c r="G12006" s="5">
        <v>110.5</v>
      </c>
      <c r="H12006" s="5">
        <v>110.4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112</v>
      </c>
      <c r="D12007" s="5">
        <v>0.1</v>
      </c>
      <c r="E12007" s="5">
        <v>112.1</v>
      </c>
      <c r="F12007" s="5">
        <v>222.4</v>
      </c>
      <c r="G12007" s="5">
        <v>110.5</v>
      </c>
      <c r="H12007" s="5">
        <v>110.4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112</v>
      </c>
      <c r="D12008" s="5">
        <v>0.1</v>
      </c>
      <c r="E12008" s="5">
        <v>112.1</v>
      </c>
      <c r="F12008" s="5">
        <v>222.4</v>
      </c>
      <c r="G12008" s="5">
        <v>110.5</v>
      </c>
      <c r="H12008" s="5">
        <v>110.4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112</v>
      </c>
      <c r="D12009" s="5">
        <v>0.1</v>
      </c>
      <c r="E12009" s="5">
        <v>112.1</v>
      </c>
      <c r="F12009" s="5">
        <v>222.4</v>
      </c>
      <c r="G12009" s="5">
        <v>110.5</v>
      </c>
      <c r="H12009" s="5">
        <v>110.4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112</v>
      </c>
      <c r="D12010" s="5">
        <v>0.1</v>
      </c>
      <c r="E12010" s="5">
        <v>112.1</v>
      </c>
      <c r="F12010" s="5">
        <v>222.4</v>
      </c>
      <c r="G12010" s="5">
        <v>110.5</v>
      </c>
      <c r="H12010" s="5">
        <v>110.4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112</v>
      </c>
      <c r="D12011" s="5">
        <v>0.1</v>
      </c>
      <c r="E12011" s="5">
        <v>112.1</v>
      </c>
      <c r="F12011" s="5">
        <v>222.4</v>
      </c>
      <c r="G12011" s="5">
        <v>110.5</v>
      </c>
      <c r="H12011" s="5">
        <v>110.4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112</v>
      </c>
      <c r="D12012" s="5">
        <v>0.1</v>
      </c>
      <c r="E12012" s="5">
        <v>112.1</v>
      </c>
      <c r="F12012" s="5">
        <v>222.4</v>
      </c>
      <c r="G12012" s="5">
        <v>110.5</v>
      </c>
      <c r="H12012" s="5">
        <v>110.4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112</v>
      </c>
      <c r="D12013" s="5">
        <v>0.1</v>
      </c>
      <c r="E12013" s="5">
        <v>112.1</v>
      </c>
      <c r="F12013" s="5">
        <v>222.4</v>
      </c>
      <c r="G12013" s="5">
        <v>110.5</v>
      </c>
      <c r="H12013" s="5">
        <v>110.4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112</v>
      </c>
      <c r="D12014" s="5">
        <v>0.1</v>
      </c>
      <c r="E12014" s="5">
        <v>112.1</v>
      </c>
      <c r="F12014" s="5">
        <v>222.4</v>
      </c>
      <c r="G12014" s="5">
        <v>110.5</v>
      </c>
      <c r="H12014" s="5">
        <v>110.4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112</v>
      </c>
      <c r="D12015" s="5">
        <v>0.1</v>
      </c>
      <c r="E12015" s="5">
        <v>112.1</v>
      </c>
      <c r="F12015" s="5">
        <v>222.4</v>
      </c>
      <c r="G12015" s="5">
        <v>110.5</v>
      </c>
      <c r="H12015" s="5">
        <v>110.4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112</v>
      </c>
      <c r="D12016" s="5">
        <v>0.1</v>
      </c>
      <c r="E12016" s="5">
        <v>112.1</v>
      </c>
      <c r="F12016" s="5">
        <v>222.4</v>
      </c>
      <c r="G12016" s="5">
        <v>110.5</v>
      </c>
      <c r="H12016" s="5">
        <v>110.4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112</v>
      </c>
      <c r="D12017" s="5">
        <v>0.1</v>
      </c>
      <c r="E12017" s="5">
        <v>112.1</v>
      </c>
      <c r="F12017" s="5">
        <v>222.4</v>
      </c>
      <c r="G12017" s="5">
        <v>110.5</v>
      </c>
      <c r="H12017" s="5">
        <v>110.4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112</v>
      </c>
      <c r="D12018" s="5">
        <v>0.1</v>
      </c>
      <c r="E12018" s="5">
        <v>112.1</v>
      </c>
      <c r="F12018" s="5">
        <v>222.4</v>
      </c>
      <c r="G12018" s="5">
        <v>110.5</v>
      </c>
      <c r="H12018" s="5">
        <v>110.4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112</v>
      </c>
      <c r="D12019" s="5">
        <v>0.1</v>
      </c>
      <c r="E12019" s="5">
        <v>112.1</v>
      </c>
      <c r="F12019" s="5">
        <v>222.4</v>
      </c>
      <c r="G12019" s="5">
        <v>110.5</v>
      </c>
      <c r="H12019" s="5">
        <v>110.4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112</v>
      </c>
      <c r="D12020" s="5">
        <v>0.1</v>
      </c>
      <c r="E12020" s="5">
        <v>112.1</v>
      </c>
      <c r="F12020" s="5">
        <v>222.4</v>
      </c>
      <c r="G12020" s="5">
        <v>110.5</v>
      </c>
      <c r="H12020" s="5">
        <v>110.4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112</v>
      </c>
      <c r="D12021" s="5">
        <v>0.1</v>
      </c>
      <c r="E12021" s="5">
        <v>112.1</v>
      </c>
      <c r="F12021" s="5">
        <v>222.4</v>
      </c>
      <c r="G12021" s="5">
        <v>110.5</v>
      </c>
      <c r="H12021" s="5">
        <v>110.4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112</v>
      </c>
      <c r="D12022" s="5">
        <v>0.1</v>
      </c>
      <c r="E12022" s="5">
        <v>112.1</v>
      </c>
      <c r="F12022" s="5">
        <v>222.4</v>
      </c>
      <c r="G12022" s="5">
        <v>110.5</v>
      </c>
      <c r="H12022" s="5">
        <v>110.4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112</v>
      </c>
      <c r="D12023" s="5">
        <v>0.1</v>
      </c>
      <c r="E12023" s="5">
        <v>112.1</v>
      </c>
      <c r="F12023" s="5">
        <v>222.4</v>
      </c>
      <c r="G12023" s="5">
        <v>110.5</v>
      </c>
      <c r="H12023" s="5">
        <v>110.4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112</v>
      </c>
      <c r="D12024" s="5">
        <v>0.1</v>
      </c>
      <c r="E12024" s="5">
        <v>112.1</v>
      </c>
      <c r="F12024" s="5">
        <v>222.4</v>
      </c>
      <c r="G12024" s="5">
        <v>110.5</v>
      </c>
      <c r="H12024" s="5">
        <v>110.4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112</v>
      </c>
      <c r="D12025" s="5">
        <v>0.1</v>
      </c>
      <c r="E12025" s="5">
        <v>112.1</v>
      </c>
      <c r="F12025" s="5">
        <v>222.4</v>
      </c>
      <c r="G12025" s="5">
        <v>110.5</v>
      </c>
      <c r="H12025" s="5">
        <v>110.4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112</v>
      </c>
      <c r="D12026" s="5">
        <v>0.1</v>
      </c>
      <c r="E12026" s="5">
        <v>112.1</v>
      </c>
      <c r="F12026" s="5">
        <v>222.4</v>
      </c>
      <c r="G12026" s="5">
        <v>110.5</v>
      </c>
      <c r="H12026" s="5">
        <v>110.4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112</v>
      </c>
      <c r="D12027" s="5">
        <v>0.1</v>
      </c>
      <c r="E12027" s="5">
        <v>112.1</v>
      </c>
      <c r="F12027" s="5">
        <v>222.4</v>
      </c>
      <c r="G12027" s="5">
        <v>110.5</v>
      </c>
      <c r="H12027" s="5">
        <v>110.4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112</v>
      </c>
      <c r="D12028" s="5">
        <v>0.1</v>
      </c>
      <c r="E12028" s="5">
        <v>112.1</v>
      </c>
      <c r="F12028" s="5">
        <v>222.4</v>
      </c>
      <c r="G12028" s="5">
        <v>110.5</v>
      </c>
      <c r="H12028" s="5">
        <v>110.4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112</v>
      </c>
      <c r="D12029" s="5">
        <v>0.1</v>
      </c>
      <c r="E12029" s="5">
        <v>112.1</v>
      </c>
      <c r="F12029" s="5">
        <v>222.4</v>
      </c>
      <c r="G12029" s="5">
        <v>110.5</v>
      </c>
      <c r="H12029" s="5">
        <v>110.4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112</v>
      </c>
      <c r="D12030" s="5">
        <v>0.1</v>
      </c>
      <c r="E12030" s="5">
        <v>112.1</v>
      </c>
      <c r="F12030" s="5">
        <v>222.4</v>
      </c>
      <c r="G12030" s="5">
        <v>110.5</v>
      </c>
      <c r="H12030" s="5">
        <v>110.4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112</v>
      </c>
      <c r="D12031" s="5">
        <v>0.1</v>
      </c>
      <c r="E12031" s="5">
        <v>112.1</v>
      </c>
      <c r="F12031" s="5">
        <v>222.4</v>
      </c>
      <c r="G12031" s="5">
        <v>110.5</v>
      </c>
      <c r="H12031" s="5">
        <v>110.4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112</v>
      </c>
      <c r="D12032" s="5">
        <v>0.1</v>
      </c>
      <c r="E12032" s="5">
        <v>112.1</v>
      </c>
      <c r="F12032" s="5">
        <v>222.4</v>
      </c>
      <c r="G12032" s="5">
        <v>110.5</v>
      </c>
      <c r="H12032" s="5">
        <v>110.4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112</v>
      </c>
      <c r="D12033" s="5">
        <v>0.1</v>
      </c>
      <c r="E12033" s="5">
        <v>112.1</v>
      </c>
      <c r="F12033" s="5">
        <v>222.4</v>
      </c>
      <c r="G12033" s="5">
        <v>110.5</v>
      </c>
      <c r="H12033" s="5">
        <v>110.4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112</v>
      </c>
      <c r="D12034" s="5">
        <v>0.1</v>
      </c>
      <c r="E12034" s="5">
        <v>112.1</v>
      </c>
      <c r="F12034" s="5">
        <v>222.4</v>
      </c>
      <c r="G12034" s="5">
        <v>110.5</v>
      </c>
      <c r="H12034" s="5">
        <v>110.4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112</v>
      </c>
      <c r="D12035" s="5">
        <v>0.1</v>
      </c>
      <c r="E12035" s="5">
        <v>112.1</v>
      </c>
      <c r="F12035" s="5">
        <v>222.4</v>
      </c>
      <c r="G12035" s="5">
        <v>110.5</v>
      </c>
      <c r="H12035" s="5">
        <v>110.4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112</v>
      </c>
      <c r="D12036" s="5">
        <v>0.1</v>
      </c>
      <c r="E12036" s="5">
        <v>112.1</v>
      </c>
      <c r="F12036" s="5">
        <v>222.4</v>
      </c>
      <c r="G12036" s="5">
        <v>110.5</v>
      </c>
      <c r="H12036" s="5">
        <v>110.4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112</v>
      </c>
      <c r="D12037" s="5">
        <v>0.1</v>
      </c>
      <c r="E12037" s="5">
        <v>112.1</v>
      </c>
      <c r="F12037" s="5">
        <v>222.4</v>
      </c>
      <c r="G12037" s="5">
        <v>110.5</v>
      </c>
      <c r="H12037" s="5">
        <v>110.4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112</v>
      </c>
      <c r="D12038" s="5">
        <v>0.1</v>
      </c>
      <c r="E12038" s="5">
        <v>112.1</v>
      </c>
      <c r="F12038" s="5">
        <v>222.4</v>
      </c>
      <c r="G12038" s="5">
        <v>110.5</v>
      </c>
      <c r="H12038" s="5">
        <v>110.4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112</v>
      </c>
      <c r="D12039" s="5">
        <v>0.1</v>
      </c>
      <c r="E12039" s="5">
        <v>112.1</v>
      </c>
      <c r="F12039" s="5">
        <v>222.4</v>
      </c>
      <c r="G12039" s="5">
        <v>110.5</v>
      </c>
      <c r="H12039" s="5">
        <v>110.4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112</v>
      </c>
      <c r="D12040" s="5">
        <v>0.1</v>
      </c>
      <c r="E12040" s="5">
        <v>112.1</v>
      </c>
      <c r="F12040" s="5">
        <v>222.4</v>
      </c>
      <c r="G12040" s="5">
        <v>110.5</v>
      </c>
      <c r="H12040" s="5">
        <v>110.4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112</v>
      </c>
      <c r="D12041" s="5">
        <v>0.1</v>
      </c>
      <c r="E12041" s="5">
        <v>112.1</v>
      </c>
      <c r="F12041" s="5">
        <v>222.4</v>
      </c>
      <c r="G12041" s="5">
        <v>110.5</v>
      </c>
      <c r="H12041" s="5">
        <v>110.4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112</v>
      </c>
      <c r="D12042" s="5">
        <v>0.1</v>
      </c>
      <c r="E12042" s="5">
        <v>112.1</v>
      </c>
      <c r="F12042" s="5">
        <v>222.4</v>
      </c>
      <c r="G12042" s="5">
        <v>110.5</v>
      </c>
      <c r="H12042" s="5">
        <v>110.4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112</v>
      </c>
      <c r="D12043" s="5">
        <v>0.1</v>
      </c>
      <c r="E12043" s="5">
        <v>112.1</v>
      </c>
      <c r="F12043" s="5">
        <v>222.4</v>
      </c>
      <c r="G12043" s="5">
        <v>110.5</v>
      </c>
      <c r="H12043" s="5">
        <v>110.4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112</v>
      </c>
      <c r="D12044" s="5">
        <v>0.1</v>
      </c>
      <c r="E12044" s="5">
        <v>112.1</v>
      </c>
      <c r="F12044" s="5">
        <v>222.4</v>
      </c>
      <c r="G12044" s="5">
        <v>110.5</v>
      </c>
      <c r="H12044" s="5">
        <v>110.4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112</v>
      </c>
      <c r="D12045" s="5">
        <v>0.1</v>
      </c>
      <c r="E12045" s="5">
        <v>112.1</v>
      </c>
      <c r="F12045" s="5">
        <v>222.4</v>
      </c>
      <c r="G12045" s="5">
        <v>110.5</v>
      </c>
      <c r="H12045" s="5">
        <v>110.4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112</v>
      </c>
      <c r="D12046" s="5">
        <v>0.1</v>
      </c>
      <c r="E12046" s="5">
        <v>112.1</v>
      </c>
      <c r="F12046" s="5">
        <v>222.4</v>
      </c>
      <c r="G12046" s="5">
        <v>110.5</v>
      </c>
      <c r="H12046" s="5">
        <v>110.4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112</v>
      </c>
      <c r="D12047" s="5">
        <v>0.1</v>
      </c>
      <c r="E12047" s="5">
        <v>112.1</v>
      </c>
      <c r="F12047" s="5">
        <v>222.4</v>
      </c>
      <c r="G12047" s="5">
        <v>110.5</v>
      </c>
      <c r="H12047" s="5">
        <v>110.4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112</v>
      </c>
      <c r="D12048" s="5">
        <v>0.1</v>
      </c>
      <c r="E12048" s="5">
        <v>112.1</v>
      </c>
      <c r="F12048" s="5">
        <v>222.4</v>
      </c>
      <c r="G12048" s="5">
        <v>110.5</v>
      </c>
      <c r="H12048" s="5">
        <v>110.4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112</v>
      </c>
      <c r="D12049" s="5">
        <v>0.1</v>
      </c>
      <c r="E12049" s="5">
        <v>112.1</v>
      </c>
      <c r="F12049" s="5">
        <v>222.4</v>
      </c>
      <c r="G12049" s="5">
        <v>110.5</v>
      </c>
      <c r="H12049" s="5">
        <v>110.4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112</v>
      </c>
      <c r="D12050" s="5">
        <v>0.1</v>
      </c>
      <c r="E12050" s="5">
        <v>112.1</v>
      </c>
      <c r="F12050" s="5">
        <v>222.4</v>
      </c>
      <c r="G12050" s="5">
        <v>110.5</v>
      </c>
      <c r="H12050" s="5">
        <v>110.4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112</v>
      </c>
      <c r="D12051" s="5">
        <v>0.1</v>
      </c>
      <c r="E12051" s="5">
        <v>112.1</v>
      </c>
      <c r="F12051" s="5">
        <v>222.4</v>
      </c>
      <c r="G12051" s="5">
        <v>110.5</v>
      </c>
      <c r="H12051" s="5">
        <v>110.4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112</v>
      </c>
      <c r="D12052" s="5">
        <v>0.1</v>
      </c>
      <c r="E12052" s="5">
        <v>112.1</v>
      </c>
      <c r="F12052" s="5">
        <v>222.4</v>
      </c>
      <c r="G12052" s="5">
        <v>110.5</v>
      </c>
      <c r="H12052" s="5">
        <v>110.4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112</v>
      </c>
      <c r="D12053" s="5">
        <v>0.1</v>
      </c>
      <c r="E12053" s="5">
        <v>112.1</v>
      </c>
      <c r="F12053" s="5">
        <v>222.4</v>
      </c>
      <c r="G12053" s="5">
        <v>110.5</v>
      </c>
      <c r="H12053" s="5">
        <v>110.4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112</v>
      </c>
      <c r="D12054" s="5">
        <v>0.1</v>
      </c>
      <c r="E12054" s="5">
        <v>112.1</v>
      </c>
      <c r="F12054" s="5">
        <v>222.4</v>
      </c>
      <c r="G12054" s="5">
        <v>110.5</v>
      </c>
      <c r="H12054" s="5">
        <v>110.4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112</v>
      </c>
      <c r="D12055" s="5">
        <v>0.1</v>
      </c>
      <c r="E12055" s="5">
        <v>112.1</v>
      </c>
      <c r="F12055" s="5">
        <v>222.4</v>
      </c>
      <c r="G12055" s="5">
        <v>110.5</v>
      </c>
      <c r="H12055" s="5">
        <v>110.4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112</v>
      </c>
      <c r="D12056" s="5">
        <v>0.1</v>
      </c>
      <c r="E12056" s="5">
        <v>112.1</v>
      </c>
      <c r="F12056" s="5">
        <v>222.4</v>
      </c>
      <c r="G12056" s="5">
        <v>110.5</v>
      </c>
      <c r="H12056" s="5">
        <v>110.4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112</v>
      </c>
      <c r="D12057" s="5">
        <v>0.1</v>
      </c>
      <c r="E12057" s="5">
        <v>112.1</v>
      </c>
      <c r="F12057" s="5">
        <v>222.4</v>
      </c>
      <c r="G12057" s="5">
        <v>110.5</v>
      </c>
      <c r="H12057" s="5">
        <v>110.4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112</v>
      </c>
      <c r="D12058" s="5">
        <v>0.1</v>
      </c>
      <c r="E12058" s="5">
        <v>112.1</v>
      </c>
      <c r="F12058" s="5">
        <v>222.4</v>
      </c>
      <c r="G12058" s="5">
        <v>110.5</v>
      </c>
      <c r="H12058" s="5">
        <v>110.4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112</v>
      </c>
      <c r="D12059" s="5">
        <v>0.1</v>
      </c>
      <c r="E12059" s="5">
        <v>112.1</v>
      </c>
      <c r="F12059" s="5">
        <v>222.4</v>
      </c>
      <c r="G12059" s="5">
        <v>110.5</v>
      </c>
      <c r="H12059" s="5">
        <v>110.4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112</v>
      </c>
      <c r="D12060" s="5">
        <v>0.1</v>
      </c>
      <c r="E12060" s="5">
        <v>112.1</v>
      </c>
      <c r="F12060" s="5">
        <v>222.4</v>
      </c>
      <c r="G12060" s="5">
        <v>110.5</v>
      </c>
      <c r="H12060" s="5">
        <v>110.4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112</v>
      </c>
      <c r="D12061" s="5">
        <v>0.1</v>
      </c>
      <c r="E12061" s="5">
        <v>112.1</v>
      </c>
      <c r="F12061" s="5">
        <v>222.4</v>
      </c>
      <c r="G12061" s="5">
        <v>110.5</v>
      </c>
      <c r="H12061" s="5">
        <v>110.4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112</v>
      </c>
      <c r="D12062" s="5">
        <v>0.1</v>
      </c>
      <c r="E12062" s="5">
        <v>112.1</v>
      </c>
      <c r="F12062" s="5">
        <v>222.4</v>
      </c>
      <c r="G12062" s="5">
        <v>110.5</v>
      </c>
      <c r="H12062" s="5">
        <v>110.4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112</v>
      </c>
      <c r="D12063" s="5">
        <v>0.1</v>
      </c>
      <c r="E12063" s="5">
        <v>112.1</v>
      </c>
      <c r="F12063" s="5">
        <v>222.4</v>
      </c>
      <c r="G12063" s="5">
        <v>110.5</v>
      </c>
      <c r="H12063" s="5">
        <v>110.4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112</v>
      </c>
      <c r="D12064" s="5">
        <v>0.1</v>
      </c>
      <c r="E12064" s="5">
        <v>112.1</v>
      </c>
      <c r="F12064" s="5">
        <v>222.4</v>
      </c>
      <c r="G12064" s="5">
        <v>110.5</v>
      </c>
      <c r="H12064" s="5">
        <v>110.4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112</v>
      </c>
      <c r="D12065" s="5">
        <v>0.1</v>
      </c>
      <c r="E12065" s="5">
        <v>112.1</v>
      </c>
      <c r="F12065" s="5">
        <v>222.4</v>
      </c>
      <c r="G12065" s="5">
        <v>110.5</v>
      </c>
      <c r="H12065" s="5">
        <v>110.4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112</v>
      </c>
      <c r="D12066" s="5">
        <v>0.1</v>
      </c>
      <c r="E12066" s="5">
        <v>112.1</v>
      </c>
      <c r="F12066" s="5">
        <v>222.4</v>
      </c>
      <c r="G12066" s="5">
        <v>110.5</v>
      </c>
      <c r="H12066" s="5">
        <v>110.4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112</v>
      </c>
      <c r="D12067" s="5">
        <v>0.1</v>
      </c>
      <c r="E12067" s="5">
        <v>112.1</v>
      </c>
      <c r="F12067" s="5">
        <v>222.4</v>
      </c>
      <c r="G12067" s="5">
        <v>110.5</v>
      </c>
      <c r="H12067" s="5">
        <v>110.4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112</v>
      </c>
      <c r="D12068" s="5">
        <v>0.1</v>
      </c>
      <c r="E12068" s="5">
        <v>112.1</v>
      </c>
      <c r="F12068" s="5">
        <v>222.4</v>
      </c>
      <c r="G12068" s="5">
        <v>110.5</v>
      </c>
      <c r="H12068" s="5">
        <v>110.4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112</v>
      </c>
      <c r="D12069" s="5">
        <v>0.1</v>
      </c>
      <c r="E12069" s="5">
        <v>112.1</v>
      </c>
      <c r="F12069" s="5">
        <v>222.4</v>
      </c>
      <c r="G12069" s="5">
        <v>110.5</v>
      </c>
      <c r="H12069" s="5">
        <v>110.4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112</v>
      </c>
      <c r="D12070" s="5">
        <v>0.1</v>
      </c>
      <c r="E12070" s="5">
        <v>112.1</v>
      </c>
      <c r="F12070" s="5">
        <v>222.4</v>
      </c>
      <c r="G12070" s="5">
        <v>110.5</v>
      </c>
      <c r="H12070" s="5">
        <v>110.4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112</v>
      </c>
      <c r="D12071" s="5">
        <v>0.1</v>
      </c>
      <c r="E12071" s="5">
        <v>112.1</v>
      </c>
      <c r="F12071" s="5">
        <v>222.4</v>
      </c>
      <c r="G12071" s="5">
        <v>110.5</v>
      </c>
      <c r="H12071" s="5">
        <v>110.4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112</v>
      </c>
      <c r="D12072" s="5">
        <v>0.1</v>
      </c>
      <c r="E12072" s="5">
        <v>112.1</v>
      </c>
      <c r="F12072" s="5">
        <v>222.4</v>
      </c>
      <c r="G12072" s="5">
        <v>110.5</v>
      </c>
      <c r="H12072" s="5">
        <v>110.4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112</v>
      </c>
      <c r="D12073" s="5">
        <v>0.1</v>
      </c>
      <c r="E12073" s="5">
        <v>112.1</v>
      </c>
      <c r="F12073" s="5">
        <v>222.4</v>
      </c>
      <c r="G12073" s="5">
        <v>110.5</v>
      </c>
      <c r="H12073" s="5">
        <v>110.4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112</v>
      </c>
      <c r="D12074" s="5">
        <v>0.1</v>
      </c>
      <c r="E12074" s="5">
        <v>112.1</v>
      </c>
      <c r="F12074" s="5">
        <v>222.4</v>
      </c>
      <c r="G12074" s="5">
        <v>110.5</v>
      </c>
      <c r="H12074" s="5">
        <v>110.4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112</v>
      </c>
      <c r="D12075" s="5">
        <v>0.1</v>
      </c>
      <c r="E12075" s="5">
        <v>112.1</v>
      </c>
      <c r="F12075" s="5">
        <v>222.4</v>
      </c>
      <c r="G12075" s="5">
        <v>110.5</v>
      </c>
      <c r="H12075" s="5">
        <v>110.4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112</v>
      </c>
      <c r="D12076" s="5">
        <v>0.1</v>
      </c>
      <c r="E12076" s="5">
        <v>112.1</v>
      </c>
      <c r="F12076" s="5">
        <v>222.4</v>
      </c>
      <c r="G12076" s="5">
        <v>110.5</v>
      </c>
      <c r="H12076" s="5">
        <v>110.4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112</v>
      </c>
      <c r="D12077" s="5">
        <v>0.1</v>
      </c>
      <c r="E12077" s="5">
        <v>112.1</v>
      </c>
      <c r="F12077" s="5">
        <v>222.4</v>
      </c>
      <c r="G12077" s="5">
        <v>110.5</v>
      </c>
      <c r="H12077" s="5">
        <v>110.4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112</v>
      </c>
      <c r="D12078" s="5">
        <v>0.1</v>
      </c>
      <c r="E12078" s="5">
        <v>112.1</v>
      </c>
      <c r="F12078" s="5">
        <v>222.4</v>
      </c>
      <c r="G12078" s="5">
        <v>110.5</v>
      </c>
      <c r="H12078" s="5">
        <v>110.4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112</v>
      </c>
      <c r="D12079" s="5">
        <v>0.1</v>
      </c>
      <c r="E12079" s="5">
        <v>112.1</v>
      </c>
      <c r="F12079" s="5">
        <v>222.4</v>
      </c>
      <c r="G12079" s="5">
        <v>110.5</v>
      </c>
      <c r="H12079" s="5">
        <v>110.4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112</v>
      </c>
      <c r="D12080" s="5">
        <v>0.1</v>
      </c>
      <c r="E12080" s="5">
        <v>112.1</v>
      </c>
      <c r="F12080" s="5">
        <v>222.4</v>
      </c>
      <c r="G12080" s="5">
        <v>110.5</v>
      </c>
      <c r="H12080" s="5">
        <v>110.4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112</v>
      </c>
      <c r="D12081" s="5">
        <v>0.1</v>
      </c>
      <c r="E12081" s="5">
        <v>112.1</v>
      </c>
      <c r="F12081" s="5">
        <v>222.4</v>
      </c>
      <c r="G12081" s="5">
        <v>110.5</v>
      </c>
      <c r="H12081" s="5">
        <v>110.4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112</v>
      </c>
      <c r="D12082" s="5">
        <v>0.1</v>
      </c>
      <c r="E12082" s="5">
        <v>112.1</v>
      </c>
      <c r="F12082" s="5">
        <v>222.4</v>
      </c>
      <c r="G12082" s="5">
        <v>110.5</v>
      </c>
      <c r="H12082" s="5">
        <v>110.4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112</v>
      </c>
      <c r="D12083" s="5">
        <v>0.1</v>
      </c>
      <c r="E12083" s="5">
        <v>112.1</v>
      </c>
      <c r="F12083" s="5">
        <v>222.4</v>
      </c>
      <c r="G12083" s="5">
        <v>110.5</v>
      </c>
      <c r="H12083" s="5">
        <v>110.4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112</v>
      </c>
      <c r="D12084" s="5">
        <v>0.1</v>
      </c>
      <c r="E12084" s="5">
        <v>112.1</v>
      </c>
      <c r="F12084" s="5">
        <v>222.4</v>
      </c>
      <c r="G12084" s="5">
        <v>110.5</v>
      </c>
      <c r="H12084" s="5">
        <v>110.4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112</v>
      </c>
      <c r="D12085" s="5">
        <v>0.1</v>
      </c>
      <c r="E12085" s="5">
        <v>112.1</v>
      </c>
      <c r="F12085" s="5">
        <v>222.4</v>
      </c>
      <c r="G12085" s="5">
        <v>110.5</v>
      </c>
      <c r="H12085" s="5">
        <v>110.4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112</v>
      </c>
      <c r="D12086" s="5">
        <v>0.1</v>
      </c>
      <c r="E12086" s="5">
        <v>112.1</v>
      </c>
      <c r="F12086" s="5">
        <v>222.4</v>
      </c>
      <c r="G12086" s="5">
        <v>110.5</v>
      </c>
      <c r="H12086" s="5">
        <v>110.4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112</v>
      </c>
      <c r="D12087" s="5">
        <v>0.1</v>
      </c>
      <c r="E12087" s="5">
        <v>112.1</v>
      </c>
      <c r="F12087" s="5">
        <v>222.4</v>
      </c>
      <c r="G12087" s="5">
        <v>110.5</v>
      </c>
      <c r="H12087" s="5">
        <v>110.4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112</v>
      </c>
      <c r="D12088" s="5">
        <v>0.1</v>
      </c>
      <c r="E12088" s="5">
        <v>112.1</v>
      </c>
      <c r="F12088" s="5">
        <v>222.4</v>
      </c>
      <c r="G12088" s="5">
        <v>110.5</v>
      </c>
      <c r="H12088" s="5">
        <v>110.4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112</v>
      </c>
      <c r="D12089" s="5">
        <v>0.1</v>
      </c>
      <c r="E12089" s="5">
        <v>112.1</v>
      </c>
      <c r="F12089" s="5">
        <v>222.4</v>
      </c>
      <c r="G12089" s="5">
        <v>110.5</v>
      </c>
      <c r="H12089" s="5">
        <v>110.4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112</v>
      </c>
      <c r="D12090" s="5">
        <v>0.1</v>
      </c>
      <c r="E12090" s="5">
        <v>112.1</v>
      </c>
      <c r="F12090" s="5">
        <v>222.4</v>
      </c>
      <c r="G12090" s="5">
        <v>110.5</v>
      </c>
      <c r="H12090" s="5">
        <v>110.4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112</v>
      </c>
      <c r="D12091" s="5">
        <v>0.1</v>
      </c>
      <c r="E12091" s="5">
        <v>112.1</v>
      </c>
      <c r="F12091" s="5">
        <v>222.4</v>
      </c>
      <c r="G12091" s="5">
        <v>110.5</v>
      </c>
      <c r="H12091" s="5">
        <v>110.4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112</v>
      </c>
      <c r="D12092" s="5">
        <v>0.1</v>
      </c>
      <c r="E12092" s="5">
        <v>112.1</v>
      </c>
      <c r="F12092" s="5">
        <v>222.4</v>
      </c>
      <c r="G12092" s="5">
        <v>110.5</v>
      </c>
      <c r="H12092" s="5">
        <v>110.4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112</v>
      </c>
      <c r="D12093" s="5">
        <v>0.1</v>
      </c>
      <c r="E12093" s="5">
        <v>112.1</v>
      </c>
      <c r="F12093" s="5">
        <v>222.4</v>
      </c>
      <c r="G12093" s="5">
        <v>110.5</v>
      </c>
      <c r="H12093" s="5">
        <v>110.4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112</v>
      </c>
      <c r="D12094" s="5">
        <v>0.1</v>
      </c>
      <c r="E12094" s="5">
        <v>112.1</v>
      </c>
      <c r="F12094" s="5">
        <v>222.4</v>
      </c>
      <c r="G12094" s="5">
        <v>110.5</v>
      </c>
      <c r="H12094" s="5">
        <v>110.4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112</v>
      </c>
      <c r="D12095" s="5">
        <v>0.1</v>
      </c>
      <c r="E12095" s="5">
        <v>112.1</v>
      </c>
      <c r="F12095" s="5">
        <v>222.4</v>
      </c>
      <c r="G12095" s="5">
        <v>110.5</v>
      </c>
      <c r="H12095" s="5">
        <v>110.4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112</v>
      </c>
      <c r="D12096" s="5">
        <v>0.1</v>
      </c>
      <c r="E12096" s="5">
        <v>112.1</v>
      </c>
      <c r="F12096" s="5">
        <v>222.4</v>
      </c>
      <c r="G12096" s="5">
        <v>110.5</v>
      </c>
      <c r="H12096" s="5">
        <v>110.4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112</v>
      </c>
      <c r="D12097" s="5">
        <v>0.1</v>
      </c>
      <c r="E12097" s="5">
        <v>112.1</v>
      </c>
      <c r="F12097" s="5">
        <v>222.4</v>
      </c>
      <c r="G12097" s="5">
        <v>110.5</v>
      </c>
      <c r="H12097" s="5">
        <v>110.4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112</v>
      </c>
      <c r="D12098" s="5">
        <v>0.1</v>
      </c>
      <c r="E12098" s="5">
        <v>112.1</v>
      </c>
      <c r="F12098" s="5">
        <v>222.4</v>
      </c>
      <c r="G12098" s="5">
        <v>110.5</v>
      </c>
      <c r="H12098" s="5">
        <v>110.4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112</v>
      </c>
      <c r="D12099" s="5">
        <v>0.1</v>
      </c>
      <c r="E12099" s="5">
        <v>112.1</v>
      </c>
      <c r="F12099" s="5">
        <v>222.4</v>
      </c>
      <c r="G12099" s="5">
        <v>110.5</v>
      </c>
      <c r="H12099" s="5">
        <v>110.4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112</v>
      </c>
      <c r="D12100" s="5">
        <v>0.1</v>
      </c>
      <c r="E12100" s="5">
        <v>112.1</v>
      </c>
      <c r="F12100" s="5">
        <v>222.4</v>
      </c>
      <c r="G12100" s="5">
        <v>110.5</v>
      </c>
      <c r="H12100" s="5">
        <v>110.4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112</v>
      </c>
      <c r="D12101" s="5">
        <v>0.1</v>
      </c>
      <c r="E12101" s="5">
        <v>112.1</v>
      </c>
      <c r="F12101" s="5">
        <v>222.4</v>
      </c>
      <c r="G12101" s="5">
        <v>110.5</v>
      </c>
      <c r="H12101" s="5">
        <v>110.4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112</v>
      </c>
      <c r="D12102" s="5">
        <v>0.1</v>
      </c>
      <c r="E12102" s="5">
        <v>112.1</v>
      </c>
      <c r="F12102" s="5">
        <v>222.4</v>
      </c>
      <c r="G12102" s="5">
        <v>110.5</v>
      </c>
      <c r="H12102" s="5">
        <v>110.4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112</v>
      </c>
      <c r="D12103" s="5">
        <v>0.1</v>
      </c>
      <c r="E12103" s="5">
        <v>112.1</v>
      </c>
      <c r="F12103" s="5">
        <v>222.4</v>
      </c>
      <c r="G12103" s="5">
        <v>110.5</v>
      </c>
      <c r="H12103" s="5">
        <v>110.4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112</v>
      </c>
      <c r="D12104" s="5">
        <v>0.1</v>
      </c>
      <c r="E12104" s="5">
        <v>112.1</v>
      </c>
      <c r="F12104" s="5">
        <v>222.4</v>
      </c>
      <c r="G12104" s="5">
        <v>110.5</v>
      </c>
      <c r="H12104" s="5">
        <v>110.4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112</v>
      </c>
      <c r="D12105" s="5">
        <v>0.1</v>
      </c>
      <c r="E12105" s="5">
        <v>112.1</v>
      </c>
      <c r="F12105" s="5">
        <v>222.4</v>
      </c>
      <c r="G12105" s="5">
        <v>110.5</v>
      </c>
      <c r="H12105" s="5">
        <v>110.4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112</v>
      </c>
      <c r="D12106" s="5">
        <v>0.1</v>
      </c>
      <c r="E12106" s="5">
        <v>112.1</v>
      </c>
      <c r="F12106" s="5">
        <v>222.4</v>
      </c>
      <c r="G12106" s="5">
        <v>110.5</v>
      </c>
      <c r="H12106" s="5">
        <v>110.4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112</v>
      </c>
      <c r="D12107" s="5">
        <v>0.1</v>
      </c>
      <c r="E12107" s="5">
        <v>112.1</v>
      </c>
      <c r="F12107" s="5">
        <v>222.4</v>
      </c>
      <c r="G12107" s="5">
        <v>110.5</v>
      </c>
      <c r="H12107" s="5">
        <v>110.4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112</v>
      </c>
      <c r="D12108" s="5">
        <v>0.1</v>
      </c>
      <c r="E12108" s="5">
        <v>112.1</v>
      </c>
      <c r="F12108" s="5">
        <v>222.4</v>
      </c>
      <c r="G12108" s="5">
        <v>110.5</v>
      </c>
      <c r="H12108" s="5">
        <v>110.4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112</v>
      </c>
      <c r="D12109" s="5">
        <v>0.1</v>
      </c>
      <c r="E12109" s="5">
        <v>112.1</v>
      </c>
      <c r="F12109" s="5">
        <v>222.4</v>
      </c>
      <c r="G12109" s="5">
        <v>110.5</v>
      </c>
      <c r="H12109" s="5">
        <v>110.4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112</v>
      </c>
      <c r="D12110" s="5">
        <v>0.1</v>
      </c>
      <c r="E12110" s="5">
        <v>112.1</v>
      </c>
      <c r="F12110" s="5">
        <v>222.4</v>
      </c>
      <c r="G12110" s="5">
        <v>110.5</v>
      </c>
      <c r="H12110" s="5">
        <v>110.4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112</v>
      </c>
      <c r="D12111" s="5">
        <v>0.1</v>
      </c>
      <c r="E12111" s="5">
        <v>112.1</v>
      </c>
      <c r="F12111" s="5">
        <v>222.4</v>
      </c>
      <c r="G12111" s="5">
        <v>110.5</v>
      </c>
      <c r="H12111" s="5">
        <v>110.4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112</v>
      </c>
      <c r="D12112" s="5">
        <v>0.1</v>
      </c>
      <c r="E12112" s="5">
        <v>112.1</v>
      </c>
      <c r="F12112" s="5">
        <v>222.4</v>
      </c>
      <c r="G12112" s="5">
        <v>110.5</v>
      </c>
      <c r="H12112" s="5">
        <v>110.4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112</v>
      </c>
      <c r="D12113" s="5">
        <v>0.1</v>
      </c>
      <c r="E12113" s="5">
        <v>112.1</v>
      </c>
      <c r="F12113" s="5">
        <v>222.4</v>
      </c>
      <c r="G12113" s="5">
        <v>110.5</v>
      </c>
      <c r="H12113" s="5">
        <v>110.4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112</v>
      </c>
      <c r="D12114" s="5">
        <v>0.1</v>
      </c>
      <c r="E12114" s="5">
        <v>112.1</v>
      </c>
      <c r="F12114" s="5">
        <v>222.4</v>
      </c>
      <c r="G12114" s="5">
        <v>110.5</v>
      </c>
      <c r="H12114" s="5">
        <v>110.4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112</v>
      </c>
      <c r="D12115" s="5">
        <v>0.1</v>
      </c>
      <c r="E12115" s="5">
        <v>112.1</v>
      </c>
      <c r="F12115" s="5">
        <v>222.4</v>
      </c>
      <c r="G12115" s="5">
        <v>110.5</v>
      </c>
      <c r="H12115" s="5">
        <v>110.4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112</v>
      </c>
      <c r="D12116" s="5">
        <v>0.1</v>
      </c>
      <c r="E12116" s="5">
        <v>112.1</v>
      </c>
      <c r="F12116" s="5">
        <v>222.4</v>
      </c>
      <c r="G12116" s="5">
        <v>110.5</v>
      </c>
      <c r="H12116" s="5">
        <v>110.4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112</v>
      </c>
      <c r="D12117" s="5">
        <v>0.1</v>
      </c>
      <c r="E12117" s="5">
        <v>112.1</v>
      </c>
      <c r="F12117" s="5">
        <v>222.4</v>
      </c>
      <c r="G12117" s="5">
        <v>110.5</v>
      </c>
      <c r="H12117" s="5">
        <v>110.4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112</v>
      </c>
      <c r="D12118" s="5">
        <v>0.1</v>
      </c>
      <c r="E12118" s="5">
        <v>112.1</v>
      </c>
      <c r="F12118" s="5">
        <v>222.4</v>
      </c>
      <c r="G12118" s="5">
        <v>110.5</v>
      </c>
      <c r="H12118" s="5">
        <v>110.4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112</v>
      </c>
      <c r="D12119" s="5">
        <v>0.1</v>
      </c>
      <c r="E12119" s="5">
        <v>112.1</v>
      </c>
      <c r="F12119" s="5">
        <v>222.4</v>
      </c>
      <c r="G12119" s="5">
        <v>110.5</v>
      </c>
      <c r="H12119" s="5">
        <v>110.4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112</v>
      </c>
      <c r="D12120" s="5">
        <v>0.1</v>
      </c>
      <c r="E12120" s="5">
        <v>112.1</v>
      </c>
      <c r="F12120" s="5">
        <v>222.4</v>
      </c>
      <c r="G12120" s="5">
        <v>110.5</v>
      </c>
      <c r="H12120" s="5">
        <v>110.4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112</v>
      </c>
      <c r="D12121" s="5">
        <v>0.1</v>
      </c>
      <c r="E12121" s="5">
        <v>112.1</v>
      </c>
      <c r="F12121" s="5">
        <v>222.4</v>
      </c>
      <c r="G12121" s="5">
        <v>110.5</v>
      </c>
      <c r="H12121" s="5">
        <v>110.4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112</v>
      </c>
      <c r="D12122" s="5">
        <v>0.1</v>
      </c>
      <c r="E12122" s="5">
        <v>112.1</v>
      </c>
      <c r="F12122" s="5">
        <v>222.4</v>
      </c>
      <c r="G12122" s="5">
        <v>110.5</v>
      </c>
      <c r="H12122" s="5">
        <v>110.4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112</v>
      </c>
      <c r="D12123" s="5">
        <v>0.1</v>
      </c>
      <c r="E12123" s="5">
        <v>112.1</v>
      </c>
      <c r="F12123" s="5">
        <v>222.4</v>
      </c>
      <c r="G12123" s="5">
        <v>110.5</v>
      </c>
      <c r="H12123" s="5">
        <v>110.4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112</v>
      </c>
      <c r="D12124" s="5">
        <v>0.1</v>
      </c>
      <c r="E12124" s="5">
        <v>112.1</v>
      </c>
      <c r="F12124" s="5">
        <v>222.4</v>
      </c>
      <c r="G12124" s="5">
        <v>110.5</v>
      </c>
      <c r="H12124" s="5">
        <v>110.4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112</v>
      </c>
      <c r="D12125" s="5">
        <v>0.1</v>
      </c>
      <c r="E12125" s="5">
        <v>112.1</v>
      </c>
      <c r="F12125" s="5">
        <v>222.4</v>
      </c>
      <c r="G12125" s="5">
        <v>110.5</v>
      </c>
      <c r="H12125" s="5">
        <v>110.4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112</v>
      </c>
      <c r="D12126" s="5">
        <v>0.1</v>
      </c>
      <c r="E12126" s="5">
        <v>112.1</v>
      </c>
      <c r="F12126" s="5">
        <v>222.4</v>
      </c>
      <c r="G12126" s="5">
        <v>110.5</v>
      </c>
      <c r="H12126" s="5">
        <v>110.4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112</v>
      </c>
      <c r="D12127" s="5">
        <v>0.1</v>
      </c>
      <c r="E12127" s="5">
        <v>112.1</v>
      </c>
      <c r="F12127" s="5">
        <v>222.4</v>
      </c>
      <c r="G12127" s="5">
        <v>110.5</v>
      </c>
      <c r="H12127" s="5">
        <v>110.4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112</v>
      </c>
      <c r="D12128" s="5">
        <v>0.1</v>
      </c>
      <c r="E12128" s="5">
        <v>112.1</v>
      </c>
      <c r="F12128" s="5">
        <v>222.4</v>
      </c>
      <c r="G12128" s="5">
        <v>110.5</v>
      </c>
      <c r="H12128" s="5">
        <v>110.4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112</v>
      </c>
      <c r="D12129" s="5">
        <v>0.1</v>
      </c>
      <c r="E12129" s="5">
        <v>112.1</v>
      </c>
      <c r="F12129" s="5">
        <v>222.4</v>
      </c>
      <c r="G12129" s="5">
        <v>110.5</v>
      </c>
      <c r="H12129" s="5">
        <v>110.4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112</v>
      </c>
      <c r="D12130" s="5">
        <v>0.1</v>
      </c>
      <c r="E12130" s="5">
        <v>112.1</v>
      </c>
      <c r="F12130" s="5">
        <v>222.4</v>
      </c>
      <c r="G12130" s="5">
        <v>110.5</v>
      </c>
      <c r="H12130" s="5">
        <v>110.4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112</v>
      </c>
      <c r="D12131" s="5">
        <v>0.1</v>
      </c>
      <c r="E12131" s="5">
        <v>112.1</v>
      </c>
      <c r="F12131" s="5">
        <v>222.4</v>
      </c>
      <c r="G12131" s="5">
        <v>110.5</v>
      </c>
      <c r="H12131" s="5">
        <v>110.4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112</v>
      </c>
      <c r="D12132" s="5">
        <v>0.1</v>
      </c>
      <c r="E12132" s="5">
        <v>112.1</v>
      </c>
      <c r="F12132" s="5">
        <v>222.4</v>
      </c>
      <c r="G12132" s="5">
        <v>110.5</v>
      </c>
      <c r="H12132" s="5">
        <v>110.4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112</v>
      </c>
      <c r="D12133" s="5">
        <v>0.1</v>
      </c>
      <c r="E12133" s="5">
        <v>112.1</v>
      </c>
      <c r="F12133" s="5">
        <v>222.4</v>
      </c>
      <c r="G12133" s="5">
        <v>110.5</v>
      </c>
      <c r="H12133" s="5">
        <v>110.4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112</v>
      </c>
      <c r="D12134" s="5">
        <v>0.1</v>
      </c>
      <c r="E12134" s="5">
        <v>112.1</v>
      </c>
      <c r="F12134" s="5">
        <v>222.4</v>
      </c>
      <c r="G12134" s="5">
        <v>110.5</v>
      </c>
      <c r="H12134" s="5">
        <v>110.4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112</v>
      </c>
      <c r="D12135" s="5">
        <v>0.1</v>
      </c>
      <c r="E12135" s="5">
        <v>112.1</v>
      </c>
      <c r="F12135" s="5">
        <v>222.4</v>
      </c>
      <c r="G12135" s="5">
        <v>110.5</v>
      </c>
      <c r="H12135" s="5">
        <v>110.4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112</v>
      </c>
      <c r="D12136" s="5">
        <v>0.1</v>
      </c>
      <c r="E12136" s="5">
        <v>112.1</v>
      </c>
      <c r="F12136" s="5">
        <v>222.4</v>
      </c>
      <c r="G12136" s="5">
        <v>110.5</v>
      </c>
      <c r="H12136" s="5">
        <v>110.4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112</v>
      </c>
      <c r="D12137" s="5">
        <v>0.1</v>
      </c>
      <c r="E12137" s="5">
        <v>112.1</v>
      </c>
      <c r="F12137" s="5">
        <v>222.4</v>
      </c>
      <c r="G12137" s="5">
        <v>110.5</v>
      </c>
      <c r="H12137" s="5">
        <v>110.4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112</v>
      </c>
      <c r="D12138" s="5">
        <v>0.1</v>
      </c>
      <c r="E12138" s="5">
        <v>112.1</v>
      </c>
      <c r="F12138" s="5">
        <v>222.4</v>
      </c>
      <c r="G12138" s="5">
        <v>110.5</v>
      </c>
      <c r="H12138" s="5">
        <v>110.4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112</v>
      </c>
      <c r="D12139" s="5">
        <v>0.1</v>
      </c>
      <c r="E12139" s="5">
        <v>112.1</v>
      </c>
      <c r="F12139" s="5">
        <v>222.4</v>
      </c>
      <c r="G12139" s="5">
        <v>110.5</v>
      </c>
      <c r="H12139" s="5">
        <v>110.4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112</v>
      </c>
      <c r="D12140" s="5">
        <v>0.1</v>
      </c>
      <c r="E12140" s="5">
        <v>112.1</v>
      </c>
      <c r="F12140" s="5">
        <v>222.4</v>
      </c>
      <c r="G12140" s="5">
        <v>110.5</v>
      </c>
      <c r="H12140" s="5">
        <v>110.4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112</v>
      </c>
      <c r="D12141" s="5">
        <v>0.1</v>
      </c>
      <c r="E12141" s="5">
        <v>112.1</v>
      </c>
      <c r="F12141" s="5">
        <v>222.4</v>
      </c>
      <c r="G12141" s="5">
        <v>110.5</v>
      </c>
      <c r="H12141" s="5">
        <v>110.4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112</v>
      </c>
      <c r="D12142" s="5">
        <v>0.1</v>
      </c>
      <c r="E12142" s="5">
        <v>112.1</v>
      </c>
      <c r="F12142" s="5">
        <v>222.4</v>
      </c>
      <c r="G12142" s="5">
        <v>110.5</v>
      </c>
      <c r="H12142" s="5">
        <v>110.4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112</v>
      </c>
      <c r="D12143" s="5">
        <v>0.1</v>
      </c>
      <c r="E12143" s="5">
        <v>112.1</v>
      </c>
      <c r="F12143" s="5">
        <v>222.4</v>
      </c>
      <c r="G12143" s="5">
        <v>110.5</v>
      </c>
      <c r="H12143" s="5">
        <v>110.4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112</v>
      </c>
      <c r="D12144" s="5">
        <v>0.1</v>
      </c>
      <c r="E12144" s="5">
        <v>112.1</v>
      </c>
      <c r="F12144" s="5">
        <v>222.4</v>
      </c>
      <c r="G12144" s="5">
        <v>110.5</v>
      </c>
      <c r="H12144" s="5">
        <v>110.4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112</v>
      </c>
      <c r="D12145" s="5">
        <v>0.1</v>
      </c>
      <c r="E12145" s="5">
        <v>112.1</v>
      </c>
      <c r="F12145" s="5">
        <v>222.4</v>
      </c>
      <c r="G12145" s="5">
        <v>110.5</v>
      </c>
      <c r="H12145" s="5">
        <v>110.4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112</v>
      </c>
      <c r="D12146" s="5">
        <v>0.1</v>
      </c>
      <c r="E12146" s="5">
        <v>112.1</v>
      </c>
      <c r="F12146" s="5">
        <v>222.4</v>
      </c>
      <c r="G12146" s="5">
        <v>110.5</v>
      </c>
      <c r="H12146" s="5">
        <v>110.4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112</v>
      </c>
      <c r="D12147" s="5">
        <v>0.1</v>
      </c>
      <c r="E12147" s="5">
        <v>112.1</v>
      </c>
      <c r="F12147" s="5">
        <v>222.4</v>
      </c>
      <c r="G12147" s="5">
        <v>110.5</v>
      </c>
      <c r="H12147" s="5">
        <v>110.4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112</v>
      </c>
      <c r="D12148" s="5">
        <v>0.1</v>
      </c>
      <c r="E12148" s="5">
        <v>112.1</v>
      </c>
      <c r="F12148" s="5">
        <v>222.4</v>
      </c>
      <c r="G12148" s="5">
        <v>110.5</v>
      </c>
      <c r="H12148" s="5">
        <v>110.4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112</v>
      </c>
      <c r="D12149" s="5">
        <v>0.1</v>
      </c>
      <c r="E12149" s="5">
        <v>112.1</v>
      </c>
      <c r="F12149" s="5">
        <v>222.4</v>
      </c>
      <c r="G12149" s="5">
        <v>110.5</v>
      </c>
      <c r="H12149" s="5">
        <v>110.4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112</v>
      </c>
      <c r="D12150" s="5">
        <v>0.1</v>
      </c>
      <c r="E12150" s="5">
        <v>112.1</v>
      </c>
      <c r="F12150" s="5">
        <v>222.4</v>
      </c>
      <c r="G12150" s="5">
        <v>110.5</v>
      </c>
      <c r="H12150" s="5">
        <v>110.4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112</v>
      </c>
      <c r="D12151" s="5">
        <v>0.1</v>
      </c>
      <c r="E12151" s="5">
        <v>112.1</v>
      </c>
      <c r="F12151" s="5">
        <v>222.4</v>
      </c>
      <c r="G12151" s="5">
        <v>110.5</v>
      </c>
      <c r="H12151" s="5">
        <v>110.4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112</v>
      </c>
      <c r="D12152" s="5">
        <v>0.1</v>
      </c>
      <c r="E12152" s="5">
        <v>112.1</v>
      </c>
      <c r="F12152" s="5">
        <v>222.4</v>
      </c>
      <c r="G12152" s="5">
        <v>110.5</v>
      </c>
      <c r="H12152" s="5">
        <v>110.4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112</v>
      </c>
      <c r="D12153" s="5">
        <v>0.1</v>
      </c>
      <c r="E12153" s="5">
        <v>112.1</v>
      </c>
      <c r="F12153" s="5">
        <v>222.4</v>
      </c>
      <c r="G12153" s="5">
        <v>110.5</v>
      </c>
      <c r="H12153" s="5">
        <v>110.4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112</v>
      </c>
      <c r="D12154" s="5">
        <v>0.1</v>
      </c>
      <c r="E12154" s="5">
        <v>112.1</v>
      </c>
      <c r="F12154" s="5">
        <v>222.4</v>
      </c>
      <c r="G12154" s="5">
        <v>110.5</v>
      </c>
      <c r="H12154" s="5">
        <v>110.4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112</v>
      </c>
      <c r="D12155" s="5">
        <v>0.1</v>
      </c>
      <c r="E12155" s="5">
        <v>112.1</v>
      </c>
      <c r="F12155" s="5">
        <v>222.4</v>
      </c>
      <c r="G12155" s="5">
        <v>110.5</v>
      </c>
      <c r="H12155" s="5">
        <v>110.4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112</v>
      </c>
      <c r="D12156" s="5">
        <v>0.1</v>
      </c>
      <c r="E12156" s="5">
        <v>112.1</v>
      </c>
      <c r="F12156" s="5">
        <v>222.4</v>
      </c>
      <c r="G12156" s="5">
        <v>110.5</v>
      </c>
      <c r="H12156" s="5">
        <v>110.4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112</v>
      </c>
      <c r="D12157" s="5">
        <v>0.1</v>
      </c>
      <c r="E12157" s="5">
        <v>112.1</v>
      </c>
      <c r="F12157" s="5">
        <v>222.4</v>
      </c>
      <c r="G12157" s="5">
        <v>110.5</v>
      </c>
      <c r="H12157" s="5">
        <v>110.4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112</v>
      </c>
      <c r="D12158" s="5">
        <v>0.1</v>
      </c>
      <c r="E12158" s="5">
        <v>112.1</v>
      </c>
      <c r="F12158" s="5">
        <v>222.4</v>
      </c>
      <c r="G12158" s="5">
        <v>110.5</v>
      </c>
      <c r="H12158" s="5">
        <v>110.4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112</v>
      </c>
      <c r="D12159" s="5">
        <v>0.1</v>
      </c>
      <c r="E12159" s="5">
        <v>112.1</v>
      </c>
      <c r="F12159" s="5">
        <v>222.4</v>
      </c>
      <c r="G12159" s="5">
        <v>110.5</v>
      </c>
      <c r="H12159" s="5">
        <v>110.4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112</v>
      </c>
      <c r="D12160" s="5">
        <v>0.1</v>
      </c>
      <c r="E12160" s="5">
        <v>112.1</v>
      </c>
      <c r="F12160" s="5">
        <v>222.4</v>
      </c>
      <c r="G12160" s="5">
        <v>110.5</v>
      </c>
      <c r="H12160" s="5">
        <v>110.4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112</v>
      </c>
      <c r="D12161" s="5">
        <v>0.1</v>
      </c>
      <c r="E12161" s="5">
        <v>112.1</v>
      </c>
      <c r="F12161" s="5">
        <v>222.4</v>
      </c>
      <c r="G12161" s="5">
        <v>110.5</v>
      </c>
      <c r="H12161" s="5">
        <v>110.4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112</v>
      </c>
      <c r="D12162" s="5">
        <v>0.1</v>
      </c>
      <c r="E12162" s="5">
        <v>112.1</v>
      </c>
      <c r="F12162" s="5">
        <v>222.4</v>
      </c>
      <c r="G12162" s="5">
        <v>110.5</v>
      </c>
      <c r="H12162" s="5">
        <v>110.4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112</v>
      </c>
      <c r="D12163" s="5">
        <v>0.1</v>
      </c>
      <c r="E12163" s="5">
        <v>112.1</v>
      </c>
      <c r="F12163" s="5">
        <v>222.4</v>
      </c>
      <c r="G12163" s="5">
        <v>110.5</v>
      </c>
      <c r="H12163" s="5">
        <v>110.4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112</v>
      </c>
      <c r="D12164" s="5">
        <v>0.1</v>
      </c>
      <c r="E12164" s="5">
        <v>112.1</v>
      </c>
      <c r="F12164" s="5">
        <v>222.4</v>
      </c>
      <c r="G12164" s="5">
        <v>110.5</v>
      </c>
      <c r="H12164" s="5">
        <v>110.4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112</v>
      </c>
      <c r="D12165" s="5">
        <v>0.1</v>
      </c>
      <c r="E12165" s="5">
        <v>112.1</v>
      </c>
      <c r="F12165" s="5">
        <v>222.4</v>
      </c>
      <c r="G12165" s="5">
        <v>110.5</v>
      </c>
      <c r="H12165" s="5">
        <v>110.4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112</v>
      </c>
      <c r="D12166" s="5">
        <v>0.1</v>
      </c>
      <c r="E12166" s="5">
        <v>112.1</v>
      </c>
      <c r="F12166" s="5">
        <v>222.4</v>
      </c>
      <c r="G12166" s="5">
        <v>110.5</v>
      </c>
      <c r="H12166" s="5">
        <v>110.4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112</v>
      </c>
      <c r="D12167" s="5">
        <v>0.1</v>
      </c>
      <c r="E12167" s="5">
        <v>112.1</v>
      </c>
      <c r="F12167" s="5">
        <v>222.4</v>
      </c>
      <c r="G12167" s="5">
        <v>110.5</v>
      </c>
      <c r="H12167" s="5">
        <v>110.4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112</v>
      </c>
      <c r="D12168" s="5">
        <v>0.1</v>
      </c>
      <c r="E12168" s="5">
        <v>112.1</v>
      </c>
      <c r="F12168" s="5">
        <v>222.4</v>
      </c>
      <c r="G12168" s="5">
        <v>110.5</v>
      </c>
      <c r="H12168" s="5">
        <v>110.4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112</v>
      </c>
      <c r="D12169" s="5">
        <v>0.1</v>
      </c>
      <c r="E12169" s="5">
        <v>112.1</v>
      </c>
      <c r="F12169" s="5">
        <v>222.4</v>
      </c>
      <c r="G12169" s="5">
        <v>110.5</v>
      </c>
      <c r="H12169" s="5">
        <v>110.4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112</v>
      </c>
      <c r="D12170" s="5">
        <v>0.1</v>
      </c>
      <c r="E12170" s="5">
        <v>112.1</v>
      </c>
      <c r="F12170" s="5">
        <v>222.4</v>
      </c>
      <c r="G12170" s="5">
        <v>110.5</v>
      </c>
      <c r="H12170" s="5">
        <v>110.4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112</v>
      </c>
      <c r="D12171" s="5">
        <v>0.1</v>
      </c>
      <c r="E12171" s="5">
        <v>112.1</v>
      </c>
      <c r="F12171" s="5">
        <v>222.4</v>
      </c>
      <c r="G12171" s="5">
        <v>110.5</v>
      </c>
      <c r="H12171" s="5">
        <v>110.4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112</v>
      </c>
      <c r="D12172" s="5">
        <v>0.1</v>
      </c>
      <c r="E12172" s="5">
        <v>112.1</v>
      </c>
      <c r="F12172" s="5">
        <v>222.4</v>
      </c>
      <c r="G12172" s="5">
        <v>110.5</v>
      </c>
      <c r="H12172" s="5">
        <v>110.4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112</v>
      </c>
      <c r="D12173" s="5">
        <v>0.1</v>
      </c>
      <c r="E12173" s="5">
        <v>112.1</v>
      </c>
      <c r="F12173" s="5">
        <v>222.4</v>
      </c>
      <c r="G12173" s="5">
        <v>110.5</v>
      </c>
      <c r="H12173" s="5">
        <v>110.4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112</v>
      </c>
      <c r="D12174" s="5">
        <v>0.1</v>
      </c>
      <c r="E12174" s="5">
        <v>112.1</v>
      </c>
      <c r="F12174" s="5">
        <v>222.4</v>
      </c>
      <c r="G12174" s="5">
        <v>110.5</v>
      </c>
      <c r="H12174" s="5">
        <v>110.4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112</v>
      </c>
      <c r="D12175" s="5">
        <v>0.1</v>
      </c>
      <c r="E12175" s="5">
        <v>112.1</v>
      </c>
      <c r="F12175" s="5">
        <v>222.4</v>
      </c>
      <c r="G12175" s="5">
        <v>110.5</v>
      </c>
      <c r="H12175" s="5">
        <v>110.4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112</v>
      </c>
      <c r="D12176" s="5">
        <v>0.1</v>
      </c>
      <c r="E12176" s="5">
        <v>112.1</v>
      </c>
      <c r="F12176" s="5">
        <v>222.4</v>
      </c>
      <c r="G12176" s="5">
        <v>110.5</v>
      </c>
      <c r="H12176" s="5">
        <v>110.4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112</v>
      </c>
      <c r="D12177" s="5">
        <v>0.1</v>
      </c>
      <c r="E12177" s="5">
        <v>112.1</v>
      </c>
      <c r="F12177" s="5">
        <v>222.4</v>
      </c>
      <c r="G12177" s="5">
        <v>110.5</v>
      </c>
      <c r="H12177" s="5">
        <v>110.4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112</v>
      </c>
      <c r="D12178" s="5">
        <v>0.1</v>
      </c>
      <c r="E12178" s="5">
        <v>112.1</v>
      </c>
      <c r="F12178" s="5">
        <v>222.4</v>
      </c>
      <c r="G12178" s="5">
        <v>110.5</v>
      </c>
      <c r="H12178" s="5">
        <v>110.4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112</v>
      </c>
      <c r="D12179" s="5">
        <v>0.1</v>
      </c>
      <c r="E12179" s="5">
        <v>112.1</v>
      </c>
      <c r="F12179" s="5">
        <v>222.4</v>
      </c>
      <c r="G12179" s="5">
        <v>110.5</v>
      </c>
      <c r="H12179" s="5">
        <v>110.4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112</v>
      </c>
      <c r="D12180" s="5">
        <v>0.1</v>
      </c>
      <c r="E12180" s="5">
        <v>112.1</v>
      </c>
      <c r="F12180" s="5">
        <v>222.4</v>
      </c>
      <c r="G12180" s="5">
        <v>110.5</v>
      </c>
      <c r="H12180" s="5">
        <v>110.4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112</v>
      </c>
      <c r="D12181" s="5">
        <v>0.1</v>
      </c>
      <c r="E12181" s="5">
        <v>112.1</v>
      </c>
      <c r="F12181" s="5">
        <v>222.4</v>
      </c>
      <c r="G12181" s="5">
        <v>110.5</v>
      </c>
      <c r="H12181" s="5">
        <v>110.4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112</v>
      </c>
      <c r="D12182" s="5">
        <v>0.1</v>
      </c>
      <c r="E12182" s="5">
        <v>112.1</v>
      </c>
      <c r="F12182" s="5">
        <v>222.4</v>
      </c>
      <c r="G12182" s="5">
        <v>110.5</v>
      </c>
      <c r="H12182" s="5">
        <v>110.4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112</v>
      </c>
      <c r="D12183" s="5">
        <v>0.1</v>
      </c>
      <c r="E12183" s="5">
        <v>112.1</v>
      </c>
      <c r="F12183" s="5">
        <v>222.4</v>
      </c>
      <c r="G12183" s="5">
        <v>110.5</v>
      </c>
      <c r="H12183" s="5">
        <v>110.4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112</v>
      </c>
      <c r="D12184" s="5">
        <v>0.1</v>
      </c>
      <c r="E12184" s="5">
        <v>112.1</v>
      </c>
      <c r="F12184" s="5">
        <v>222.4</v>
      </c>
      <c r="G12184" s="5">
        <v>110.5</v>
      </c>
      <c r="H12184" s="5">
        <v>110.4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112</v>
      </c>
      <c r="D12185" s="5">
        <v>0.1</v>
      </c>
      <c r="E12185" s="5">
        <v>112.1</v>
      </c>
      <c r="F12185" s="5">
        <v>222.4</v>
      </c>
      <c r="G12185" s="5">
        <v>110.5</v>
      </c>
      <c r="H12185" s="5">
        <v>110.4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112</v>
      </c>
      <c r="D12186" s="5">
        <v>0.1</v>
      </c>
      <c r="E12186" s="5">
        <v>112.1</v>
      </c>
      <c r="F12186" s="5">
        <v>222.4</v>
      </c>
      <c r="G12186" s="5">
        <v>110.5</v>
      </c>
      <c r="H12186" s="5">
        <v>110.4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112</v>
      </c>
      <c r="D12187" s="5">
        <v>0.1</v>
      </c>
      <c r="E12187" s="5">
        <v>112.1</v>
      </c>
      <c r="F12187" s="5">
        <v>222.4</v>
      </c>
      <c r="G12187" s="5">
        <v>110.5</v>
      </c>
      <c r="H12187" s="5">
        <v>110.4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112</v>
      </c>
      <c r="D12188" s="5">
        <v>0.1</v>
      </c>
      <c r="E12188" s="5">
        <v>112.1</v>
      </c>
      <c r="F12188" s="5">
        <v>222.4</v>
      </c>
      <c r="G12188" s="5">
        <v>110.5</v>
      </c>
      <c r="H12188" s="5">
        <v>110.4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112</v>
      </c>
      <c r="D12189" s="5">
        <v>0.1</v>
      </c>
      <c r="E12189" s="5">
        <v>112.1</v>
      </c>
      <c r="F12189" s="5">
        <v>222.4</v>
      </c>
      <c r="G12189" s="5">
        <v>110.5</v>
      </c>
      <c r="H12189" s="5">
        <v>110.4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112</v>
      </c>
      <c r="D12190" s="5">
        <v>0.1</v>
      </c>
      <c r="E12190" s="5">
        <v>112.1</v>
      </c>
      <c r="F12190" s="5">
        <v>222.4</v>
      </c>
      <c r="G12190" s="5">
        <v>110.5</v>
      </c>
      <c r="H12190" s="5">
        <v>110.4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112</v>
      </c>
      <c r="D12191" s="5">
        <v>0.1</v>
      </c>
      <c r="E12191" s="5">
        <v>112.1</v>
      </c>
      <c r="F12191" s="5">
        <v>222.4</v>
      </c>
      <c r="G12191" s="5">
        <v>110.5</v>
      </c>
      <c r="H12191" s="5">
        <v>110.4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112</v>
      </c>
      <c r="D12192" s="5">
        <v>0.1</v>
      </c>
      <c r="E12192" s="5">
        <v>112.1</v>
      </c>
      <c r="F12192" s="5">
        <v>222.4</v>
      </c>
      <c r="G12192" s="5">
        <v>110.5</v>
      </c>
      <c r="H12192" s="5">
        <v>110.4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112</v>
      </c>
      <c r="D12193" s="5">
        <v>0.1</v>
      </c>
      <c r="E12193" s="5">
        <v>112.1</v>
      </c>
      <c r="F12193" s="5">
        <v>222.4</v>
      </c>
      <c r="G12193" s="5">
        <v>110.5</v>
      </c>
      <c r="H12193" s="5">
        <v>110.4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112</v>
      </c>
      <c r="D12194" s="5">
        <v>0.1</v>
      </c>
      <c r="E12194" s="5">
        <v>112.1</v>
      </c>
      <c r="F12194" s="5">
        <v>222.4</v>
      </c>
      <c r="G12194" s="5">
        <v>110.5</v>
      </c>
      <c r="H12194" s="5">
        <v>110.4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112</v>
      </c>
      <c r="D12195" s="5">
        <v>0.1</v>
      </c>
      <c r="E12195" s="5">
        <v>112.1</v>
      </c>
      <c r="F12195" s="5">
        <v>222.4</v>
      </c>
      <c r="G12195" s="5">
        <v>110.5</v>
      </c>
      <c r="H12195" s="5">
        <v>110.4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112</v>
      </c>
      <c r="D12196" s="5">
        <v>0.1</v>
      </c>
      <c r="E12196" s="5">
        <v>112.1</v>
      </c>
      <c r="F12196" s="5">
        <v>222.4</v>
      </c>
      <c r="G12196" s="5">
        <v>110.5</v>
      </c>
      <c r="H12196" s="5">
        <v>110.4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112</v>
      </c>
      <c r="D12197" s="5">
        <v>0.1</v>
      </c>
      <c r="E12197" s="5">
        <v>112.1</v>
      </c>
      <c r="F12197" s="5">
        <v>222.4</v>
      </c>
      <c r="G12197" s="5">
        <v>110.5</v>
      </c>
      <c r="H12197" s="5">
        <v>110.4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112</v>
      </c>
      <c r="D12198" s="5">
        <v>0.1</v>
      </c>
      <c r="E12198" s="5">
        <v>112.1</v>
      </c>
      <c r="F12198" s="5">
        <v>222.4</v>
      </c>
      <c r="G12198" s="5">
        <v>110.5</v>
      </c>
      <c r="H12198" s="5">
        <v>110.4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112</v>
      </c>
      <c r="D12199" s="5">
        <v>0.1</v>
      </c>
      <c r="E12199" s="5">
        <v>112.1</v>
      </c>
      <c r="F12199" s="5">
        <v>222.4</v>
      </c>
      <c r="G12199" s="5">
        <v>110.5</v>
      </c>
      <c r="H12199" s="5">
        <v>110.4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112</v>
      </c>
      <c r="D12200" s="5">
        <v>0.1</v>
      </c>
      <c r="E12200" s="5">
        <v>112.1</v>
      </c>
      <c r="F12200" s="5">
        <v>222.4</v>
      </c>
      <c r="G12200" s="5">
        <v>110.5</v>
      </c>
      <c r="H12200" s="5">
        <v>110.4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112</v>
      </c>
      <c r="D12201" s="5">
        <v>0.1</v>
      </c>
      <c r="E12201" s="5">
        <v>112.1</v>
      </c>
      <c r="F12201" s="5">
        <v>222.4</v>
      </c>
      <c r="G12201" s="5">
        <v>110.5</v>
      </c>
      <c r="H12201" s="5">
        <v>110.4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112</v>
      </c>
      <c r="D12202" s="5">
        <v>0.1</v>
      </c>
      <c r="E12202" s="5">
        <v>112.1</v>
      </c>
      <c r="F12202" s="5">
        <v>222.4</v>
      </c>
      <c r="G12202" s="5">
        <v>110.5</v>
      </c>
      <c r="H12202" s="5">
        <v>110.4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112</v>
      </c>
      <c r="D12203" s="5">
        <v>0.1</v>
      </c>
      <c r="E12203" s="5">
        <v>112.1</v>
      </c>
      <c r="F12203" s="5">
        <v>222.4</v>
      </c>
      <c r="G12203" s="5">
        <v>110.5</v>
      </c>
      <c r="H12203" s="5">
        <v>110.4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112</v>
      </c>
      <c r="D12204" s="5">
        <v>0.1</v>
      </c>
      <c r="E12204" s="5">
        <v>112.1</v>
      </c>
      <c r="F12204" s="5">
        <v>222.4</v>
      </c>
      <c r="G12204" s="5">
        <v>110.5</v>
      </c>
      <c r="H12204" s="5">
        <v>110.4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112</v>
      </c>
      <c r="D12205" s="5">
        <v>0.1</v>
      </c>
      <c r="E12205" s="5">
        <v>112.1</v>
      </c>
      <c r="F12205" s="5">
        <v>222.4</v>
      </c>
      <c r="G12205" s="5">
        <v>110.5</v>
      </c>
      <c r="H12205" s="5">
        <v>110.4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112</v>
      </c>
      <c r="D12206" s="5">
        <v>0.1</v>
      </c>
      <c r="E12206" s="5">
        <v>112.1</v>
      </c>
      <c r="F12206" s="5">
        <v>222.4</v>
      </c>
      <c r="G12206" s="5">
        <v>110.5</v>
      </c>
      <c r="H12206" s="5">
        <v>110.4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112</v>
      </c>
      <c r="D12207" s="5">
        <v>0.1</v>
      </c>
      <c r="E12207" s="5">
        <v>112.1</v>
      </c>
      <c r="F12207" s="5">
        <v>222.4</v>
      </c>
      <c r="G12207" s="5">
        <v>110.5</v>
      </c>
      <c r="H12207" s="5">
        <v>110.4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112</v>
      </c>
      <c r="D12208" s="5">
        <v>0.1</v>
      </c>
      <c r="E12208" s="5">
        <v>112.1</v>
      </c>
      <c r="F12208" s="5">
        <v>222.4</v>
      </c>
      <c r="G12208" s="5">
        <v>110.5</v>
      </c>
      <c r="H12208" s="5">
        <v>110.4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112</v>
      </c>
      <c r="D12209" s="5">
        <v>0.1</v>
      </c>
      <c r="E12209" s="5">
        <v>112.1</v>
      </c>
      <c r="F12209" s="5">
        <v>222.4</v>
      </c>
      <c r="G12209" s="5">
        <v>110.5</v>
      </c>
      <c r="H12209" s="5">
        <v>110.4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112</v>
      </c>
      <c r="D12210" s="5">
        <v>0.1</v>
      </c>
      <c r="E12210" s="5">
        <v>112.1</v>
      </c>
      <c r="F12210" s="5">
        <v>222.4</v>
      </c>
      <c r="G12210" s="5">
        <v>110.5</v>
      </c>
      <c r="H12210" s="5">
        <v>110.4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112</v>
      </c>
      <c r="D12211" s="5">
        <v>0.1</v>
      </c>
      <c r="E12211" s="5">
        <v>112.1</v>
      </c>
      <c r="F12211" s="5">
        <v>222.4</v>
      </c>
      <c r="G12211" s="5">
        <v>110.5</v>
      </c>
      <c r="H12211" s="5">
        <v>110.4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112</v>
      </c>
      <c r="D12212" s="5">
        <v>0.1</v>
      </c>
      <c r="E12212" s="5">
        <v>112.1</v>
      </c>
      <c r="F12212" s="5">
        <v>222.4</v>
      </c>
      <c r="G12212" s="5">
        <v>110.5</v>
      </c>
      <c r="H12212" s="5">
        <v>110.4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112</v>
      </c>
      <c r="D12213" s="5">
        <v>0.1</v>
      </c>
      <c r="E12213" s="5">
        <v>112.1</v>
      </c>
      <c r="F12213" s="5">
        <v>222.4</v>
      </c>
      <c r="G12213" s="5">
        <v>110.5</v>
      </c>
      <c r="H12213" s="5">
        <v>110.4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112</v>
      </c>
      <c r="D12214" s="5">
        <v>0.1</v>
      </c>
      <c r="E12214" s="5">
        <v>112.1</v>
      </c>
      <c r="F12214" s="5">
        <v>222.4</v>
      </c>
      <c r="G12214" s="5">
        <v>110.5</v>
      </c>
      <c r="H12214" s="5">
        <v>110.4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112</v>
      </c>
      <c r="D12215" s="5">
        <v>0.1</v>
      </c>
      <c r="E12215" s="5">
        <v>112.1</v>
      </c>
      <c r="F12215" s="5">
        <v>222.4</v>
      </c>
      <c r="G12215" s="5">
        <v>110.5</v>
      </c>
      <c r="H12215" s="5">
        <v>110.4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112</v>
      </c>
      <c r="D12216" s="5">
        <v>0.1</v>
      </c>
      <c r="E12216" s="5">
        <v>112.1</v>
      </c>
      <c r="F12216" s="5">
        <v>222.4</v>
      </c>
      <c r="G12216" s="5">
        <v>110.5</v>
      </c>
      <c r="H12216" s="5">
        <v>110.4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112</v>
      </c>
      <c r="D12217" s="5">
        <v>0.1</v>
      </c>
      <c r="E12217" s="5">
        <v>112.1</v>
      </c>
      <c r="F12217" s="5">
        <v>222.4</v>
      </c>
      <c r="G12217" s="5">
        <v>110.5</v>
      </c>
      <c r="H12217" s="5">
        <v>110.4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112</v>
      </c>
      <c r="D12218" s="5">
        <v>0.1</v>
      </c>
      <c r="E12218" s="5">
        <v>112.1</v>
      </c>
      <c r="F12218" s="5">
        <v>222.4</v>
      </c>
      <c r="G12218" s="5">
        <v>110.5</v>
      </c>
      <c r="H12218" s="5">
        <v>110.4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112</v>
      </c>
      <c r="D12219" s="5">
        <v>0.1</v>
      </c>
      <c r="E12219" s="5">
        <v>112.1</v>
      </c>
      <c r="F12219" s="5">
        <v>222.4</v>
      </c>
      <c r="G12219" s="5">
        <v>110.5</v>
      </c>
      <c r="H12219" s="5">
        <v>110.4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112</v>
      </c>
      <c r="D12220" s="5">
        <v>0.1</v>
      </c>
      <c r="E12220" s="5">
        <v>112.1</v>
      </c>
      <c r="F12220" s="5">
        <v>222.4</v>
      </c>
      <c r="G12220" s="5">
        <v>110.5</v>
      </c>
      <c r="H12220" s="5">
        <v>110.4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112</v>
      </c>
      <c r="D12221" s="5">
        <v>0.1</v>
      </c>
      <c r="E12221" s="5">
        <v>112.1</v>
      </c>
      <c r="F12221" s="5">
        <v>222.4</v>
      </c>
      <c r="G12221" s="5">
        <v>110.5</v>
      </c>
      <c r="H12221" s="5">
        <v>110.4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112</v>
      </c>
      <c r="D12222" s="5">
        <v>0.1</v>
      </c>
      <c r="E12222" s="5">
        <v>112.1</v>
      </c>
      <c r="F12222" s="5">
        <v>222.4</v>
      </c>
      <c r="G12222" s="5">
        <v>110.5</v>
      </c>
      <c r="H12222" s="5">
        <v>110.4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112</v>
      </c>
      <c r="D12223" s="5">
        <v>0.1</v>
      </c>
      <c r="E12223" s="5">
        <v>112.1</v>
      </c>
      <c r="F12223" s="5">
        <v>222.4</v>
      </c>
      <c r="G12223" s="5">
        <v>110.5</v>
      </c>
      <c r="H12223" s="5">
        <v>110.4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112</v>
      </c>
      <c r="D12224" s="5">
        <v>0.1</v>
      </c>
      <c r="E12224" s="5">
        <v>112.1</v>
      </c>
      <c r="F12224" s="5">
        <v>222.4</v>
      </c>
      <c r="G12224" s="5">
        <v>110.5</v>
      </c>
      <c r="H12224" s="5">
        <v>110.4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112</v>
      </c>
      <c r="D12225" s="5">
        <v>0.1</v>
      </c>
      <c r="E12225" s="5">
        <v>112.1</v>
      </c>
      <c r="F12225" s="5">
        <v>222.4</v>
      </c>
      <c r="G12225" s="5">
        <v>110.5</v>
      </c>
      <c r="H12225" s="5">
        <v>110.4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112</v>
      </c>
      <c r="D12226" s="5">
        <v>0.1</v>
      </c>
      <c r="E12226" s="5">
        <v>112.1</v>
      </c>
      <c r="F12226" s="5">
        <v>222.4</v>
      </c>
      <c r="G12226" s="5">
        <v>110.5</v>
      </c>
      <c r="H12226" s="5">
        <v>110.4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112</v>
      </c>
      <c r="D12227" s="5">
        <v>0.1</v>
      </c>
      <c r="E12227" s="5">
        <v>112.1</v>
      </c>
      <c r="F12227" s="5">
        <v>222.4</v>
      </c>
      <c r="G12227" s="5">
        <v>110.5</v>
      </c>
      <c r="H12227" s="5">
        <v>110.4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112</v>
      </c>
      <c r="D12228" s="5">
        <v>0.1</v>
      </c>
      <c r="E12228" s="5">
        <v>112.1</v>
      </c>
      <c r="F12228" s="5">
        <v>222.4</v>
      </c>
      <c r="G12228" s="5">
        <v>110.5</v>
      </c>
      <c r="H12228" s="5">
        <v>110.4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112</v>
      </c>
      <c r="D12229" s="5">
        <v>0.1</v>
      </c>
      <c r="E12229" s="5">
        <v>112.1</v>
      </c>
      <c r="F12229" s="5">
        <v>222.4</v>
      </c>
      <c r="G12229" s="5">
        <v>110.5</v>
      </c>
      <c r="H12229" s="5">
        <v>110.4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112</v>
      </c>
      <c r="D12230" s="5">
        <v>0.1</v>
      </c>
      <c r="E12230" s="5">
        <v>112.1</v>
      </c>
      <c r="F12230" s="5">
        <v>222.4</v>
      </c>
      <c r="G12230" s="5">
        <v>110.5</v>
      </c>
      <c r="H12230" s="5">
        <v>110.4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112</v>
      </c>
      <c r="D12231" s="5">
        <v>0.1</v>
      </c>
      <c r="E12231" s="5">
        <v>112.1</v>
      </c>
      <c r="F12231" s="5">
        <v>222.4</v>
      </c>
      <c r="G12231" s="5">
        <v>110.5</v>
      </c>
      <c r="H12231" s="5">
        <v>110.4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112</v>
      </c>
      <c r="D12232" s="5">
        <v>0.1</v>
      </c>
      <c r="E12232" s="5">
        <v>112.1</v>
      </c>
      <c r="F12232" s="5">
        <v>222.4</v>
      </c>
      <c r="G12232" s="5">
        <v>110.5</v>
      </c>
      <c r="H12232" s="5">
        <v>110.4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112</v>
      </c>
      <c r="D12233" s="5">
        <v>0.1</v>
      </c>
      <c r="E12233" s="5">
        <v>112.1</v>
      </c>
      <c r="F12233" s="5">
        <v>222.4</v>
      </c>
      <c r="G12233" s="5">
        <v>110.5</v>
      </c>
      <c r="H12233" s="5">
        <v>110.4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112</v>
      </c>
      <c r="D12234" s="5">
        <v>0.1</v>
      </c>
      <c r="E12234" s="5">
        <v>112.1</v>
      </c>
      <c r="F12234" s="5">
        <v>222.4</v>
      </c>
      <c r="G12234" s="5">
        <v>110.5</v>
      </c>
      <c r="H12234" s="5">
        <v>110.4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112</v>
      </c>
      <c r="D12235" s="5">
        <v>0.1</v>
      </c>
      <c r="E12235" s="5">
        <v>112.1</v>
      </c>
      <c r="F12235" s="5">
        <v>222.4</v>
      </c>
      <c r="G12235" s="5">
        <v>110.5</v>
      </c>
      <c r="H12235" s="5">
        <v>110.4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112</v>
      </c>
      <c r="D12236" s="5">
        <v>0.1</v>
      </c>
      <c r="E12236" s="5">
        <v>112.1</v>
      </c>
      <c r="F12236" s="5">
        <v>222.4</v>
      </c>
      <c r="G12236" s="5">
        <v>110.5</v>
      </c>
      <c r="H12236" s="5">
        <v>110.4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112</v>
      </c>
      <c r="D12237" s="5">
        <v>0.1</v>
      </c>
      <c r="E12237" s="5">
        <v>112.1</v>
      </c>
      <c r="F12237" s="5">
        <v>222.4</v>
      </c>
      <c r="G12237" s="5">
        <v>110.5</v>
      </c>
      <c r="H12237" s="5">
        <v>110.4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112</v>
      </c>
      <c r="D12238" s="5">
        <v>0.1</v>
      </c>
      <c r="E12238" s="5">
        <v>112.1</v>
      </c>
      <c r="F12238" s="5">
        <v>222.4</v>
      </c>
      <c r="G12238" s="5">
        <v>110.5</v>
      </c>
      <c r="H12238" s="5">
        <v>110.4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112</v>
      </c>
      <c r="D12239" s="5">
        <v>0.1</v>
      </c>
      <c r="E12239" s="5">
        <v>112.1</v>
      </c>
      <c r="F12239" s="5">
        <v>222.4</v>
      </c>
      <c r="G12239" s="5">
        <v>110.5</v>
      </c>
      <c r="H12239" s="5">
        <v>110.4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112</v>
      </c>
      <c r="D12240" s="5">
        <v>0.1</v>
      </c>
      <c r="E12240" s="5">
        <v>112.1</v>
      </c>
      <c r="F12240" s="5">
        <v>222.4</v>
      </c>
      <c r="G12240" s="5">
        <v>110.5</v>
      </c>
      <c r="H12240" s="5">
        <v>110.4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112</v>
      </c>
      <c r="D12241" s="5">
        <v>0.1</v>
      </c>
      <c r="E12241" s="5">
        <v>112.1</v>
      </c>
      <c r="F12241" s="5">
        <v>222.4</v>
      </c>
      <c r="G12241" s="5">
        <v>110.5</v>
      </c>
      <c r="H12241" s="5">
        <v>110.4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112</v>
      </c>
      <c r="D12242" s="5">
        <v>0.1</v>
      </c>
      <c r="E12242" s="5">
        <v>112.1</v>
      </c>
      <c r="F12242" s="5">
        <v>222.4</v>
      </c>
      <c r="G12242" s="5">
        <v>110.5</v>
      </c>
      <c r="H12242" s="5">
        <v>110.4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112</v>
      </c>
      <c r="D12243" s="5">
        <v>0.1</v>
      </c>
      <c r="E12243" s="5">
        <v>112.1</v>
      </c>
      <c r="F12243" s="5">
        <v>222.4</v>
      </c>
      <c r="G12243" s="5">
        <v>110.5</v>
      </c>
      <c r="H12243" s="5">
        <v>110.4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112</v>
      </c>
      <c r="D12244" s="5">
        <v>0.1</v>
      </c>
      <c r="E12244" s="5">
        <v>112.1</v>
      </c>
      <c r="F12244" s="5">
        <v>222.4</v>
      </c>
      <c r="G12244" s="5">
        <v>110.5</v>
      </c>
      <c r="H12244" s="5">
        <v>110.4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112</v>
      </c>
      <c r="D12245" s="5">
        <v>0.1</v>
      </c>
      <c r="E12245" s="5">
        <v>112.1</v>
      </c>
      <c r="F12245" s="5">
        <v>222.4</v>
      </c>
      <c r="G12245" s="5">
        <v>110.5</v>
      </c>
      <c r="H12245" s="5">
        <v>110.4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112</v>
      </c>
      <c r="D12246" s="5">
        <v>0.1</v>
      </c>
      <c r="E12246" s="5">
        <v>112.1</v>
      </c>
      <c r="F12246" s="5">
        <v>222.4</v>
      </c>
      <c r="G12246" s="5">
        <v>110.5</v>
      </c>
      <c r="H12246" s="5">
        <v>110.4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112</v>
      </c>
      <c r="D12247" s="5">
        <v>0.1</v>
      </c>
      <c r="E12247" s="5">
        <v>112.1</v>
      </c>
      <c r="F12247" s="5">
        <v>222.4</v>
      </c>
      <c r="G12247" s="5">
        <v>110.5</v>
      </c>
      <c r="H12247" s="5">
        <v>110.4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112</v>
      </c>
      <c r="D12248" s="5">
        <v>0.1</v>
      </c>
      <c r="E12248" s="5">
        <v>112.1</v>
      </c>
      <c r="F12248" s="5">
        <v>222.4</v>
      </c>
      <c r="G12248" s="5">
        <v>110.5</v>
      </c>
      <c r="H12248" s="5">
        <v>110.4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112</v>
      </c>
      <c r="D12249" s="5">
        <v>0.1</v>
      </c>
      <c r="E12249" s="5">
        <v>112.1</v>
      </c>
      <c r="F12249" s="5">
        <v>222.4</v>
      </c>
      <c r="G12249" s="5">
        <v>110.5</v>
      </c>
      <c r="H12249" s="5">
        <v>110.4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112</v>
      </c>
      <c r="D12250" s="5">
        <v>0.1</v>
      </c>
      <c r="E12250" s="5">
        <v>112.1</v>
      </c>
      <c r="F12250" s="5">
        <v>222.4</v>
      </c>
      <c r="G12250" s="5">
        <v>110.5</v>
      </c>
      <c r="H12250" s="5">
        <v>110.4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112</v>
      </c>
      <c r="D12251" s="5">
        <v>0.1</v>
      </c>
      <c r="E12251" s="5">
        <v>112.1</v>
      </c>
      <c r="F12251" s="5">
        <v>222.4</v>
      </c>
      <c r="G12251" s="5">
        <v>110.5</v>
      </c>
      <c r="H12251" s="5">
        <v>110.4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112</v>
      </c>
      <c r="D12252" s="5">
        <v>0.1</v>
      </c>
      <c r="E12252" s="5">
        <v>112.1</v>
      </c>
      <c r="F12252" s="5">
        <v>222.4</v>
      </c>
      <c r="G12252" s="5">
        <v>110.5</v>
      </c>
      <c r="H12252" s="5">
        <v>110.4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112</v>
      </c>
      <c r="D12253" s="5">
        <v>0.1</v>
      </c>
      <c r="E12253" s="5">
        <v>112.1</v>
      </c>
      <c r="F12253" s="5">
        <v>222.4</v>
      </c>
      <c r="G12253" s="5">
        <v>110.5</v>
      </c>
      <c r="H12253" s="5">
        <v>110.4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112</v>
      </c>
      <c r="D12254" s="5">
        <v>0.1</v>
      </c>
      <c r="E12254" s="5">
        <v>112.1</v>
      </c>
      <c r="F12254" s="5">
        <v>222.4</v>
      </c>
      <c r="G12254" s="5">
        <v>110.5</v>
      </c>
      <c r="H12254" s="5">
        <v>110.4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112</v>
      </c>
      <c r="D12255" s="5">
        <v>0.1</v>
      </c>
      <c r="E12255" s="5">
        <v>112.1</v>
      </c>
      <c r="F12255" s="5">
        <v>222.4</v>
      </c>
      <c r="G12255" s="5">
        <v>110.5</v>
      </c>
      <c r="H12255" s="5">
        <v>110.4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112</v>
      </c>
      <c r="D12256" s="5">
        <v>0.1</v>
      </c>
      <c r="E12256" s="5">
        <v>112.1</v>
      </c>
      <c r="F12256" s="5">
        <v>222.4</v>
      </c>
      <c r="G12256" s="5">
        <v>110.5</v>
      </c>
      <c r="H12256" s="5">
        <v>110.4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112</v>
      </c>
      <c r="D12257" s="5">
        <v>0.1</v>
      </c>
      <c r="E12257" s="5">
        <v>112.1</v>
      </c>
      <c r="F12257" s="5">
        <v>222.4</v>
      </c>
      <c r="G12257" s="5">
        <v>110.5</v>
      </c>
      <c r="H12257" s="5">
        <v>110.4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112</v>
      </c>
      <c r="D12258" s="5">
        <v>0.1</v>
      </c>
      <c r="E12258" s="5">
        <v>112.1</v>
      </c>
      <c r="F12258" s="5">
        <v>222.4</v>
      </c>
      <c r="G12258" s="5">
        <v>110.5</v>
      </c>
      <c r="H12258" s="5">
        <v>110.4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112</v>
      </c>
      <c r="D12259" s="5">
        <v>0.1</v>
      </c>
      <c r="E12259" s="5">
        <v>112.1</v>
      </c>
      <c r="F12259" s="5">
        <v>222.4</v>
      </c>
      <c r="G12259" s="5">
        <v>110.5</v>
      </c>
      <c r="H12259" s="5">
        <v>110.4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112</v>
      </c>
      <c r="D12260" s="5">
        <v>0.1</v>
      </c>
      <c r="E12260" s="5">
        <v>112.1</v>
      </c>
      <c r="F12260" s="5">
        <v>222.4</v>
      </c>
      <c r="G12260" s="5">
        <v>110.5</v>
      </c>
      <c r="H12260" s="5">
        <v>110.4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112</v>
      </c>
      <c r="D12261" s="5">
        <v>0.1</v>
      </c>
      <c r="E12261" s="5">
        <v>112.1</v>
      </c>
      <c r="F12261" s="5">
        <v>222.4</v>
      </c>
      <c r="G12261" s="5">
        <v>110.5</v>
      </c>
      <c r="H12261" s="5">
        <v>110.4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112</v>
      </c>
      <c r="D12262" s="5">
        <v>0.1</v>
      </c>
      <c r="E12262" s="5">
        <v>112.1</v>
      </c>
      <c r="F12262" s="5">
        <v>222.4</v>
      </c>
      <c r="G12262" s="5">
        <v>110.5</v>
      </c>
      <c r="H12262" s="5">
        <v>110.4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112</v>
      </c>
      <c r="D12263" s="5">
        <v>0.1</v>
      </c>
      <c r="E12263" s="5">
        <v>112.1</v>
      </c>
      <c r="F12263" s="5">
        <v>222.4</v>
      </c>
      <c r="G12263" s="5">
        <v>110.5</v>
      </c>
      <c r="H12263" s="5">
        <v>110.4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112</v>
      </c>
      <c r="D12264" s="5">
        <v>0.1</v>
      </c>
      <c r="E12264" s="5">
        <v>112.1</v>
      </c>
      <c r="F12264" s="5">
        <v>222.4</v>
      </c>
      <c r="G12264" s="5">
        <v>110.5</v>
      </c>
      <c r="H12264" s="5">
        <v>110.4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112</v>
      </c>
      <c r="D12265" s="5">
        <v>0.1</v>
      </c>
      <c r="E12265" s="5">
        <v>112.1</v>
      </c>
      <c r="F12265" s="5">
        <v>222.4</v>
      </c>
      <c r="G12265" s="5">
        <v>110.5</v>
      </c>
      <c r="H12265" s="5">
        <v>110.4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112</v>
      </c>
      <c r="D12266" s="5">
        <v>0.1</v>
      </c>
      <c r="E12266" s="5">
        <v>112.1</v>
      </c>
      <c r="F12266" s="5">
        <v>222.4</v>
      </c>
      <c r="G12266" s="5">
        <v>110.5</v>
      </c>
      <c r="H12266" s="5">
        <v>110.4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112</v>
      </c>
      <c r="D12267" s="5">
        <v>0.1</v>
      </c>
      <c r="E12267" s="5">
        <v>112.1</v>
      </c>
      <c r="F12267" s="5">
        <v>222.4</v>
      </c>
      <c r="G12267" s="5">
        <v>110.5</v>
      </c>
      <c r="H12267" s="5">
        <v>110.4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112</v>
      </c>
      <c r="D12268" s="5">
        <v>0.1</v>
      </c>
      <c r="E12268" s="5">
        <v>112.1</v>
      </c>
      <c r="F12268" s="5">
        <v>222.4</v>
      </c>
      <c r="G12268" s="5">
        <v>110.5</v>
      </c>
      <c r="H12268" s="5">
        <v>110.4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112</v>
      </c>
      <c r="D12269" s="5">
        <v>0.1</v>
      </c>
      <c r="E12269" s="5">
        <v>112.1</v>
      </c>
      <c r="F12269" s="5">
        <v>222.4</v>
      </c>
      <c r="G12269" s="5">
        <v>110.5</v>
      </c>
      <c r="H12269" s="5">
        <v>110.4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112</v>
      </c>
      <c r="D12270" s="5">
        <v>0.1</v>
      </c>
      <c r="E12270" s="5">
        <v>112.1</v>
      </c>
      <c r="F12270" s="5">
        <v>222.4</v>
      </c>
      <c r="G12270" s="5">
        <v>110.5</v>
      </c>
      <c r="H12270" s="5">
        <v>110.4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112</v>
      </c>
      <c r="D12271" s="5">
        <v>0.1</v>
      </c>
      <c r="E12271" s="5">
        <v>112.1</v>
      </c>
      <c r="F12271" s="5">
        <v>222.4</v>
      </c>
      <c r="G12271" s="5">
        <v>110.5</v>
      </c>
      <c r="H12271" s="5">
        <v>110.4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112</v>
      </c>
      <c r="D12272" s="5">
        <v>0.1</v>
      </c>
      <c r="E12272" s="5">
        <v>112.1</v>
      </c>
      <c r="F12272" s="5">
        <v>222.4</v>
      </c>
      <c r="G12272" s="5">
        <v>110.5</v>
      </c>
      <c r="H12272" s="5">
        <v>110.4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112</v>
      </c>
      <c r="D12273" s="5">
        <v>0.1</v>
      </c>
      <c r="E12273" s="5">
        <v>112.1</v>
      </c>
      <c r="F12273" s="5">
        <v>222.4</v>
      </c>
      <c r="G12273" s="5">
        <v>110.5</v>
      </c>
      <c r="H12273" s="5">
        <v>110.4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112</v>
      </c>
      <c r="D12274" s="5">
        <v>0.1</v>
      </c>
      <c r="E12274" s="5">
        <v>112.1</v>
      </c>
      <c r="F12274" s="5">
        <v>222.4</v>
      </c>
      <c r="G12274" s="5">
        <v>110.5</v>
      </c>
      <c r="H12274" s="5">
        <v>110.4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112</v>
      </c>
      <c r="D12275" s="5">
        <v>0.1</v>
      </c>
      <c r="E12275" s="5">
        <v>112.1</v>
      </c>
      <c r="F12275" s="5">
        <v>222.4</v>
      </c>
      <c r="G12275" s="5">
        <v>110.5</v>
      </c>
      <c r="H12275" s="5">
        <v>110.4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112</v>
      </c>
      <c r="D12276" s="5">
        <v>0.1</v>
      </c>
      <c r="E12276" s="5">
        <v>112.1</v>
      </c>
      <c r="F12276" s="5">
        <v>222.4</v>
      </c>
      <c r="G12276" s="5">
        <v>110.5</v>
      </c>
      <c r="H12276" s="5">
        <v>110.4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112</v>
      </c>
      <c r="D12277" s="5">
        <v>0.1</v>
      </c>
      <c r="E12277" s="5">
        <v>112.1</v>
      </c>
      <c r="F12277" s="5">
        <v>222.4</v>
      </c>
      <c r="G12277" s="5">
        <v>110.5</v>
      </c>
      <c r="H12277" s="5">
        <v>110.4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112</v>
      </c>
      <c r="D12278" s="5">
        <v>0.1</v>
      </c>
      <c r="E12278" s="5">
        <v>112.1</v>
      </c>
      <c r="F12278" s="5">
        <v>222.4</v>
      </c>
      <c r="G12278" s="5">
        <v>110.5</v>
      </c>
      <c r="H12278" s="5">
        <v>110.4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112</v>
      </c>
      <c r="D12279" s="5">
        <v>0.1</v>
      </c>
      <c r="E12279" s="5">
        <v>112.1</v>
      </c>
      <c r="F12279" s="5">
        <v>222.4</v>
      </c>
      <c r="G12279" s="5">
        <v>110.5</v>
      </c>
      <c r="H12279" s="5">
        <v>110.4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112</v>
      </c>
      <c r="D12280" s="5">
        <v>0.1</v>
      </c>
      <c r="E12280" s="5">
        <v>112.1</v>
      </c>
      <c r="F12280" s="5">
        <v>222.4</v>
      </c>
      <c r="G12280" s="5">
        <v>110.5</v>
      </c>
      <c r="H12280" s="5">
        <v>110.4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112</v>
      </c>
      <c r="D12281" s="5">
        <v>0.1</v>
      </c>
      <c r="E12281" s="5">
        <v>112.1</v>
      </c>
      <c r="F12281" s="5">
        <v>222.4</v>
      </c>
      <c r="G12281" s="5">
        <v>110.5</v>
      </c>
      <c r="H12281" s="5">
        <v>110.4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112</v>
      </c>
      <c r="D12282" s="5">
        <v>0.1</v>
      </c>
      <c r="E12282" s="5">
        <v>112.1</v>
      </c>
      <c r="F12282" s="5">
        <v>222.4</v>
      </c>
      <c r="G12282" s="5">
        <v>110.5</v>
      </c>
      <c r="H12282" s="5">
        <v>110.4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112</v>
      </c>
      <c r="D12283" s="5">
        <v>0.1</v>
      </c>
      <c r="E12283" s="5">
        <v>112.1</v>
      </c>
      <c r="F12283" s="5">
        <v>222.4</v>
      </c>
      <c r="G12283" s="5">
        <v>110.5</v>
      </c>
      <c r="H12283" s="5">
        <v>110.4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112</v>
      </c>
      <c r="D12284" s="5">
        <v>0.1</v>
      </c>
      <c r="E12284" s="5">
        <v>112.1</v>
      </c>
      <c r="F12284" s="5">
        <v>222.4</v>
      </c>
      <c r="G12284" s="5">
        <v>110.5</v>
      </c>
      <c r="H12284" s="5">
        <v>110.4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112</v>
      </c>
      <c r="D12285" s="5">
        <v>0.1</v>
      </c>
      <c r="E12285" s="5">
        <v>112.1</v>
      </c>
      <c r="F12285" s="5">
        <v>222.4</v>
      </c>
      <c r="G12285" s="5">
        <v>110.5</v>
      </c>
      <c r="H12285" s="5">
        <v>110.4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112</v>
      </c>
      <c r="D12286" s="5">
        <v>0.1</v>
      </c>
      <c r="E12286" s="5">
        <v>112.1</v>
      </c>
      <c r="F12286" s="5">
        <v>222.4</v>
      </c>
      <c r="G12286" s="5">
        <v>110.5</v>
      </c>
      <c r="H12286" s="5">
        <v>110.4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112</v>
      </c>
      <c r="D12287" s="5">
        <v>0.1</v>
      </c>
      <c r="E12287" s="5">
        <v>112.1</v>
      </c>
      <c r="F12287" s="5">
        <v>222.4</v>
      </c>
      <c r="G12287" s="5">
        <v>110.5</v>
      </c>
      <c r="H12287" s="5">
        <v>110.4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112</v>
      </c>
      <c r="D12288" s="5">
        <v>0.1</v>
      </c>
      <c r="E12288" s="5">
        <v>112.1</v>
      </c>
      <c r="F12288" s="5">
        <v>222.4</v>
      </c>
      <c r="G12288" s="5">
        <v>110.5</v>
      </c>
      <c r="H12288" s="5">
        <v>110.4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112</v>
      </c>
      <c r="D12289" s="5">
        <v>0.1</v>
      </c>
      <c r="E12289" s="5">
        <v>112.1</v>
      </c>
      <c r="F12289" s="5">
        <v>222.4</v>
      </c>
      <c r="G12289" s="5">
        <v>110.5</v>
      </c>
      <c r="H12289" s="5">
        <v>110.4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112</v>
      </c>
      <c r="D12290" s="5">
        <v>0.1</v>
      </c>
      <c r="E12290" s="5">
        <v>112.1</v>
      </c>
      <c r="F12290" s="5">
        <v>222.4</v>
      </c>
      <c r="G12290" s="5">
        <v>110.5</v>
      </c>
      <c r="H12290" s="5">
        <v>110.4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112</v>
      </c>
      <c r="D12291" s="5">
        <v>0.1</v>
      </c>
      <c r="E12291" s="5">
        <v>112.1</v>
      </c>
      <c r="F12291" s="5">
        <v>222.4</v>
      </c>
      <c r="G12291" s="5">
        <v>110.5</v>
      </c>
      <c r="H12291" s="5">
        <v>110.4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112</v>
      </c>
      <c r="D12292" s="5">
        <v>0.1</v>
      </c>
      <c r="E12292" s="5">
        <v>112.1</v>
      </c>
      <c r="F12292" s="5">
        <v>222.4</v>
      </c>
      <c r="G12292" s="5">
        <v>110.5</v>
      </c>
      <c r="H12292" s="5">
        <v>110.4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112</v>
      </c>
      <c r="D12293" s="5">
        <v>0.1</v>
      </c>
      <c r="E12293" s="5">
        <v>112.1</v>
      </c>
      <c r="F12293" s="5">
        <v>222.4</v>
      </c>
      <c r="G12293" s="5">
        <v>110.5</v>
      </c>
      <c r="H12293" s="5">
        <v>110.4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112</v>
      </c>
      <c r="D12294" s="5">
        <v>0.1</v>
      </c>
      <c r="E12294" s="5">
        <v>112.1</v>
      </c>
      <c r="F12294" s="5">
        <v>222.4</v>
      </c>
      <c r="G12294" s="5">
        <v>110.5</v>
      </c>
      <c r="H12294" s="5">
        <v>110.4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112</v>
      </c>
      <c r="D12295" s="5">
        <v>0.1</v>
      </c>
      <c r="E12295" s="5">
        <v>112.1</v>
      </c>
      <c r="F12295" s="5">
        <v>222.4</v>
      </c>
      <c r="G12295" s="5">
        <v>110.5</v>
      </c>
      <c r="H12295" s="5">
        <v>110.4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112</v>
      </c>
      <c r="D12296" s="5">
        <v>0.1</v>
      </c>
      <c r="E12296" s="5">
        <v>112.1</v>
      </c>
      <c r="F12296" s="5">
        <v>222.4</v>
      </c>
      <c r="G12296" s="5">
        <v>110.5</v>
      </c>
      <c r="H12296" s="5">
        <v>110.4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112</v>
      </c>
      <c r="D12297" s="5">
        <v>0.1</v>
      </c>
      <c r="E12297" s="5">
        <v>112.1</v>
      </c>
      <c r="F12297" s="5">
        <v>222.4</v>
      </c>
      <c r="G12297" s="5">
        <v>110.5</v>
      </c>
      <c r="H12297" s="5">
        <v>110.4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112</v>
      </c>
      <c r="D12298" s="5">
        <v>0.1</v>
      </c>
      <c r="E12298" s="5">
        <v>112.1</v>
      </c>
      <c r="F12298" s="5">
        <v>222.4</v>
      </c>
      <c r="G12298" s="5">
        <v>110.5</v>
      </c>
      <c r="H12298" s="5">
        <v>110.4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112</v>
      </c>
      <c r="D12299" s="5">
        <v>0.1</v>
      </c>
      <c r="E12299" s="5">
        <v>112.1</v>
      </c>
      <c r="F12299" s="5">
        <v>222.4</v>
      </c>
      <c r="G12299" s="5">
        <v>110.5</v>
      </c>
      <c r="H12299" s="5">
        <v>110.4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112</v>
      </c>
      <c r="D12300" s="5">
        <v>0.1</v>
      </c>
      <c r="E12300" s="5">
        <v>112.1</v>
      </c>
      <c r="F12300" s="5">
        <v>222.4</v>
      </c>
      <c r="G12300" s="5">
        <v>110.5</v>
      </c>
      <c r="H12300" s="5">
        <v>110.4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112</v>
      </c>
      <c r="D12301" s="5">
        <v>0.1</v>
      </c>
      <c r="E12301" s="5">
        <v>112.1</v>
      </c>
      <c r="F12301" s="5">
        <v>222.4</v>
      </c>
      <c r="G12301" s="5">
        <v>110.5</v>
      </c>
      <c r="H12301" s="5">
        <v>110.4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112</v>
      </c>
      <c r="D12302" s="5">
        <v>0.1</v>
      </c>
      <c r="E12302" s="5">
        <v>112.1</v>
      </c>
      <c r="F12302" s="5">
        <v>222.4</v>
      </c>
      <c r="G12302" s="5">
        <v>110.5</v>
      </c>
      <c r="H12302" s="5">
        <v>110.4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112</v>
      </c>
      <c r="D12303" s="5">
        <v>0.1</v>
      </c>
      <c r="E12303" s="5">
        <v>112.1</v>
      </c>
      <c r="F12303" s="5">
        <v>222.4</v>
      </c>
      <c r="G12303" s="5">
        <v>110.5</v>
      </c>
      <c r="H12303" s="5">
        <v>110.4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112</v>
      </c>
      <c r="D12304" s="5">
        <v>0.1</v>
      </c>
      <c r="E12304" s="5">
        <v>112.1</v>
      </c>
      <c r="F12304" s="5">
        <v>222.4</v>
      </c>
      <c r="G12304" s="5">
        <v>110.5</v>
      </c>
      <c r="H12304" s="5">
        <v>110.4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112</v>
      </c>
      <c r="D12305" s="5">
        <v>0.1</v>
      </c>
      <c r="E12305" s="5">
        <v>112.1</v>
      </c>
      <c r="F12305" s="5">
        <v>222.4</v>
      </c>
      <c r="G12305" s="5">
        <v>110.5</v>
      </c>
      <c r="H12305" s="5">
        <v>110.4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112</v>
      </c>
      <c r="D12306" s="5">
        <v>0.1</v>
      </c>
      <c r="E12306" s="5">
        <v>112.1</v>
      </c>
      <c r="F12306" s="5">
        <v>222.4</v>
      </c>
      <c r="G12306" s="5">
        <v>110.5</v>
      </c>
      <c r="H12306" s="5">
        <v>110.4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112</v>
      </c>
      <c r="D12307" s="5">
        <v>0.1</v>
      </c>
      <c r="E12307" s="5">
        <v>112.1</v>
      </c>
      <c r="F12307" s="5">
        <v>222.4</v>
      </c>
      <c r="G12307" s="5">
        <v>110.5</v>
      </c>
      <c r="H12307" s="5">
        <v>110.4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112</v>
      </c>
      <c r="D12308" s="5">
        <v>0.1</v>
      </c>
      <c r="E12308" s="5">
        <v>112.1</v>
      </c>
      <c r="F12308" s="5">
        <v>222.4</v>
      </c>
      <c r="G12308" s="5">
        <v>110.5</v>
      </c>
      <c r="H12308" s="5">
        <v>110.4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112</v>
      </c>
      <c r="D12309" s="5">
        <v>0.1</v>
      </c>
      <c r="E12309" s="5">
        <v>112.1</v>
      </c>
      <c r="F12309" s="5">
        <v>222.4</v>
      </c>
      <c r="G12309" s="5">
        <v>110.5</v>
      </c>
      <c r="H12309" s="5">
        <v>110.4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112</v>
      </c>
      <c r="D12310" s="5">
        <v>0.1</v>
      </c>
      <c r="E12310" s="5">
        <v>112.1</v>
      </c>
      <c r="F12310" s="5">
        <v>222.4</v>
      </c>
      <c r="G12310" s="5">
        <v>110.5</v>
      </c>
      <c r="H12310" s="5">
        <v>110.4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112</v>
      </c>
      <c r="D12311" s="5">
        <v>0.1</v>
      </c>
      <c r="E12311" s="5">
        <v>112.1</v>
      </c>
      <c r="F12311" s="5">
        <v>222.4</v>
      </c>
      <c r="G12311" s="5">
        <v>110.5</v>
      </c>
      <c r="H12311" s="5">
        <v>110.4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112</v>
      </c>
      <c r="D12312" s="5">
        <v>0.1</v>
      </c>
      <c r="E12312" s="5">
        <v>112.1</v>
      </c>
      <c r="F12312" s="5">
        <v>222.4</v>
      </c>
      <c r="G12312" s="5">
        <v>110.5</v>
      </c>
      <c r="H12312" s="5">
        <v>110.4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112</v>
      </c>
      <c r="D12313" s="5">
        <v>0.1</v>
      </c>
      <c r="E12313" s="5">
        <v>112.1</v>
      </c>
      <c r="F12313" s="5">
        <v>222.4</v>
      </c>
      <c r="G12313" s="5">
        <v>110.5</v>
      </c>
      <c r="H12313" s="5">
        <v>110.4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112</v>
      </c>
      <c r="D12314" s="5">
        <v>0.1</v>
      </c>
      <c r="E12314" s="5">
        <v>112.1</v>
      </c>
      <c r="F12314" s="5">
        <v>222.4</v>
      </c>
      <c r="G12314" s="5">
        <v>110.5</v>
      </c>
      <c r="H12314" s="5">
        <v>110.4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112</v>
      </c>
      <c r="D12315" s="5">
        <v>0.1</v>
      </c>
      <c r="E12315" s="5">
        <v>112.1</v>
      </c>
      <c r="F12315" s="5">
        <v>222.4</v>
      </c>
      <c r="G12315" s="5">
        <v>110.5</v>
      </c>
      <c r="H12315" s="5">
        <v>110.4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112</v>
      </c>
      <c r="D12316" s="5">
        <v>0.1</v>
      </c>
      <c r="E12316" s="5">
        <v>112.1</v>
      </c>
      <c r="F12316" s="5">
        <v>222.4</v>
      </c>
      <c r="G12316" s="5">
        <v>110.5</v>
      </c>
      <c r="H12316" s="5">
        <v>110.4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112</v>
      </c>
      <c r="D12317" s="5">
        <v>0.1</v>
      </c>
      <c r="E12317" s="5">
        <v>112.1</v>
      </c>
      <c r="F12317" s="5">
        <v>222.4</v>
      </c>
      <c r="G12317" s="5">
        <v>110.5</v>
      </c>
      <c r="H12317" s="5">
        <v>110.4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112</v>
      </c>
      <c r="D12318" s="5">
        <v>0.1</v>
      </c>
      <c r="E12318" s="5">
        <v>112.1</v>
      </c>
      <c r="F12318" s="5">
        <v>222.4</v>
      </c>
      <c r="G12318" s="5">
        <v>110.5</v>
      </c>
      <c r="H12318" s="5">
        <v>110.4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112</v>
      </c>
      <c r="D12319" s="5">
        <v>0.1</v>
      </c>
      <c r="E12319" s="5">
        <v>112.1</v>
      </c>
      <c r="F12319" s="5">
        <v>222.4</v>
      </c>
      <c r="G12319" s="5">
        <v>110.5</v>
      </c>
      <c r="H12319" s="5">
        <v>110.4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112</v>
      </c>
      <c r="D12320" s="5">
        <v>0.1</v>
      </c>
      <c r="E12320" s="5">
        <v>112.1</v>
      </c>
      <c r="F12320" s="5">
        <v>222.4</v>
      </c>
      <c r="G12320" s="5">
        <v>110.5</v>
      </c>
      <c r="H12320" s="5">
        <v>110.4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112</v>
      </c>
      <c r="D12321" s="5">
        <v>0.1</v>
      </c>
      <c r="E12321" s="5">
        <v>112.1</v>
      </c>
      <c r="F12321" s="5">
        <v>222.4</v>
      </c>
      <c r="G12321" s="5">
        <v>110.5</v>
      </c>
      <c r="H12321" s="5">
        <v>110.4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112</v>
      </c>
      <c r="D12322" s="5">
        <v>0.1</v>
      </c>
      <c r="E12322" s="5">
        <v>112.1</v>
      </c>
      <c r="F12322" s="5">
        <v>222.4</v>
      </c>
      <c r="G12322" s="5">
        <v>110.5</v>
      </c>
      <c r="H12322" s="5">
        <v>110.4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112</v>
      </c>
      <c r="D12323" s="5">
        <v>0.1</v>
      </c>
      <c r="E12323" s="5">
        <v>112.1</v>
      </c>
      <c r="F12323" s="5">
        <v>222.4</v>
      </c>
      <c r="G12323" s="5">
        <v>110.5</v>
      </c>
      <c r="H12323" s="5">
        <v>110.4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112</v>
      </c>
      <c r="D12324" s="5">
        <v>0.1</v>
      </c>
      <c r="E12324" s="5">
        <v>112.1</v>
      </c>
      <c r="F12324" s="5">
        <v>222.4</v>
      </c>
      <c r="G12324" s="5">
        <v>110.5</v>
      </c>
      <c r="H12324" s="5">
        <v>110.4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112</v>
      </c>
      <c r="D12325" s="5">
        <v>0.1</v>
      </c>
      <c r="E12325" s="5">
        <v>112.1</v>
      </c>
      <c r="F12325" s="5">
        <v>222.4</v>
      </c>
      <c r="G12325" s="5">
        <v>110.5</v>
      </c>
      <c r="H12325" s="5">
        <v>110.4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112</v>
      </c>
      <c r="D12326" s="5">
        <v>0.1</v>
      </c>
      <c r="E12326" s="5">
        <v>112.1</v>
      </c>
      <c r="F12326" s="5">
        <v>222.4</v>
      </c>
      <c r="G12326" s="5">
        <v>110.5</v>
      </c>
      <c r="H12326" s="5">
        <v>110.4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112</v>
      </c>
      <c r="D12327" s="5">
        <v>0.1</v>
      </c>
      <c r="E12327" s="5">
        <v>112.1</v>
      </c>
      <c r="F12327" s="5">
        <v>222.4</v>
      </c>
      <c r="G12327" s="5">
        <v>110.5</v>
      </c>
      <c r="H12327" s="5">
        <v>110.4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112</v>
      </c>
      <c r="D12328" s="5">
        <v>0.1</v>
      </c>
      <c r="E12328" s="5">
        <v>112.1</v>
      </c>
      <c r="F12328" s="5">
        <v>222.4</v>
      </c>
      <c r="G12328" s="5">
        <v>110.5</v>
      </c>
      <c r="H12328" s="5">
        <v>110.4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112</v>
      </c>
      <c r="D12329" s="5">
        <v>0.1</v>
      </c>
      <c r="E12329" s="5">
        <v>112.1</v>
      </c>
      <c r="F12329" s="5">
        <v>222.4</v>
      </c>
      <c r="G12329" s="5">
        <v>110.5</v>
      </c>
      <c r="H12329" s="5">
        <v>110.4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112</v>
      </c>
      <c r="D12330" s="5">
        <v>0.1</v>
      </c>
      <c r="E12330" s="5">
        <v>112.1</v>
      </c>
      <c r="F12330" s="5">
        <v>222.4</v>
      </c>
      <c r="G12330" s="5">
        <v>110.5</v>
      </c>
      <c r="H12330" s="5">
        <v>110.4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112</v>
      </c>
      <c r="D12331" s="5">
        <v>0.1</v>
      </c>
      <c r="E12331" s="5">
        <v>112.1</v>
      </c>
      <c r="F12331" s="5">
        <v>222.4</v>
      </c>
      <c r="G12331" s="5">
        <v>110.5</v>
      </c>
      <c r="H12331" s="5">
        <v>110.4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112</v>
      </c>
      <c r="D12332" s="5">
        <v>0.1</v>
      </c>
      <c r="E12332" s="5">
        <v>112.1</v>
      </c>
      <c r="F12332" s="5">
        <v>222.4</v>
      </c>
      <c r="G12332" s="5">
        <v>110.5</v>
      </c>
      <c r="H12332" s="5">
        <v>110.4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112</v>
      </c>
      <c r="D12333" s="5">
        <v>0.1</v>
      </c>
      <c r="E12333" s="5">
        <v>112.1</v>
      </c>
      <c r="F12333" s="5">
        <v>222.4</v>
      </c>
      <c r="G12333" s="5">
        <v>110.5</v>
      </c>
      <c r="H12333" s="5">
        <v>110.4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112</v>
      </c>
      <c r="D12334" s="5">
        <v>0.1</v>
      </c>
      <c r="E12334" s="5">
        <v>112.1</v>
      </c>
      <c r="F12334" s="5">
        <v>222.4</v>
      </c>
      <c r="G12334" s="5">
        <v>110.5</v>
      </c>
      <c r="H12334" s="5">
        <v>110.4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112</v>
      </c>
      <c r="D12335" s="5">
        <v>0.1</v>
      </c>
      <c r="E12335" s="5">
        <v>112.1</v>
      </c>
      <c r="F12335" s="5">
        <v>222.4</v>
      </c>
      <c r="G12335" s="5">
        <v>110.5</v>
      </c>
      <c r="H12335" s="5">
        <v>110.4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112</v>
      </c>
      <c r="D12336" s="5">
        <v>0.1</v>
      </c>
      <c r="E12336" s="5">
        <v>112.1</v>
      </c>
      <c r="F12336" s="5">
        <v>222.4</v>
      </c>
      <c r="G12336" s="5">
        <v>110.5</v>
      </c>
      <c r="H12336" s="5">
        <v>110.4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112</v>
      </c>
      <c r="D12337" s="5">
        <v>0.1</v>
      </c>
      <c r="E12337" s="5">
        <v>112.1</v>
      </c>
      <c r="F12337" s="5">
        <v>222.4</v>
      </c>
      <c r="G12337" s="5">
        <v>110.5</v>
      </c>
      <c r="H12337" s="5">
        <v>110.4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112</v>
      </c>
      <c r="D12338" s="5">
        <v>0.1</v>
      </c>
      <c r="E12338" s="5">
        <v>112.1</v>
      </c>
      <c r="F12338" s="5">
        <v>222.4</v>
      </c>
      <c r="G12338" s="5">
        <v>110.5</v>
      </c>
      <c r="H12338" s="5">
        <v>110.4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112</v>
      </c>
      <c r="D12339" s="5">
        <v>0.1</v>
      </c>
      <c r="E12339" s="5">
        <v>112.1</v>
      </c>
      <c r="F12339" s="5">
        <v>222.4</v>
      </c>
      <c r="G12339" s="5">
        <v>110.5</v>
      </c>
      <c r="H12339" s="5">
        <v>110.4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112</v>
      </c>
      <c r="D12340" s="5">
        <v>0.1</v>
      </c>
      <c r="E12340" s="5">
        <v>112.1</v>
      </c>
      <c r="F12340" s="5">
        <v>222.4</v>
      </c>
      <c r="G12340" s="5">
        <v>110.5</v>
      </c>
      <c r="H12340" s="5">
        <v>110.4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112</v>
      </c>
      <c r="D12341" s="5">
        <v>0.1</v>
      </c>
      <c r="E12341" s="5">
        <v>112.1</v>
      </c>
      <c r="F12341" s="5">
        <v>222.4</v>
      </c>
      <c r="G12341" s="5">
        <v>110.5</v>
      </c>
      <c r="H12341" s="5">
        <v>110.4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112</v>
      </c>
      <c r="D12342" s="5">
        <v>0.1</v>
      </c>
      <c r="E12342" s="5">
        <v>112.1</v>
      </c>
      <c r="F12342" s="5">
        <v>222.4</v>
      </c>
      <c r="G12342" s="5">
        <v>110.5</v>
      </c>
      <c r="H12342" s="5">
        <v>110.4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112</v>
      </c>
      <c r="D12343" s="5">
        <v>0.1</v>
      </c>
      <c r="E12343" s="5">
        <v>112.1</v>
      </c>
      <c r="F12343" s="5">
        <v>222.4</v>
      </c>
      <c r="G12343" s="5">
        <v>110.5</v>
      </c>
      <c r="H12343" s="5">
        <v>110.4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112</v>
      </c>
      <c r="D12344" s="5">
        <v>0.1</v>
      </c>
      <c r="E12344" s="5">
        <v>112.1</v>
      </c>
      <c r="F12344" s="5">
        <v>222.4</v>
      </c>
      <c r="G12344" s="5">
        <v>110.5</v>
      </c>
      <c r="H12344" s="5">
        <v>110.4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112</v>
      </c>
      <c r="D12345" s="5">
        <v>0.1</v>
      </c>
      <c r="E12345" s="5">
        <v>112.1</v>
      </c>
      <c r="F12345" s="5">
        <v>222.4</v>
      </c>
      <c r="G12345" s="5">
        <v>110.5</v>
      </c>
      <c r="H12345" s="5">
        <v>110.4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112</v>
      </c>
      <c r="D12346" s="5">
        <v>0.1</v>
      </c>
      <c r="E12346" s="5">
        <v>112.1</v>
      </c>
      <c r="F12346" s="5">
        <v>222.4</v>
      </c>
      <c r="G12346" s="5">
        <v>110.5</v>
      </c>
      <c r="H12346" s="5">
        <v>110.4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112</v>
      </c>
      <c r="D12347" s="5">
        <v>0.1</v>
      </c>
      <c r="E12347" s="5">
        <v>112.1</v>
      </c>
      <c r="F12347" s="5">
        <v>222.4</v>
      </c>
      <c r="G12347" s="5">
        <v>110.5</v>
      </c>
      <c r="H12347" s="5">
        <v>110.4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112</v>
      </c>
      <c r="D12348" s="5">
        <v>0.1</v>
      </c>
      <c r="E12348" s="5">
        <v>112.1</v>
      </c>
      <c r="F12348" s="5">
        <v>222.4</v>
      </c>
      <c r="G12348" s="5">
        <v>110.5</v>
      </c>
      <c r="H12348" s="5">
        <v>110.4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112</v>
      </c>
      <c r="D12349" s="5">
        <v>0.1</v>
      </c>
      <c r="E12349" s="5">
        <v>112.1</v>
      </c>
      <c r="F12349" s="5">
        <v>222.4</v>
      </c>
      <c r="G12349" s="5">
        <v>110.5</v>
      </c>
      <c r="H12349" s="5">
        <v>110.4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112</v>
      </c>
      <c r="D12350" s="5">
        <v>0.1</v>
      </c>
      <c r="E12350" s="5">
        <v>112.1</v>
      </c>
      <c r="F12350" s="5">
        <v>222.4</v>
      </c>
      <c r="G12350" s="5">
        <v>110.5</v>
      </c>
      <c r="H12350" s="5">
        <v>110.4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112</v>
      </c>
      <c r="D12351" s="5">
        <v>0.1</v>
      </c>
      <c r="E12351" s="5">
        <v>112.1</v>
      </c>
      <c r="F12351" s="5">
        <v>222.4</v>
      </c>
      <c r="G12351" s="5">
        <v>110.5</v>
      </c>
      <c r="H12351" s="5">
        <v>110.4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112</v>
      </c>
      <c r="D12352" s="5">
        <v>0.1</v>
      </c>
      <c r="E12352" s="5">
        <v>112.1</v>
      </c>
      <c r="F12352" s="5">
        <v>222.4</v>
      </c>
      <c r="G12352" s="5">
        <v>110.5</v>
      </c>
      <c r="H12352" s="5">
        <v>110.4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112</v>
      </c>
      <c r="D12353" s="5">
        <v>0.1</v>
      </c>
      <c r="E12353" s="5">
        <v>112.1</v>
      </c>
      <c r="F12353" s="5">
        <v>222.4</v>
      </c>
      <c r="G12353" s="5">
        <v>110.5</v>
      </c>
      <c r="H12353" s="5">
        <v>110.4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112</v>
      </c>
      <c r="D12354" s="5">
        <v>0.1</v>
      </c>
      <c r="E12354" s="5">
        <v>112.1</v>
      </c>
      <c r="F12354" s="5">
        <v>222.4</v>
      </c>
      <c r="G12354" s="5">
        <v>110.5</v>
      </c>
      <c r="H12354" s="5">
        <v>110.4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112</v>
      </c>
      <c r="D12355" s="5">
        <v>0.1</v>
      </c>
      <c r="E12355" s="5">
        <v>112.1</v>
      </c>
      <c r="F12355" s="5">
        <v>222.4</v>
      </c>
      <c r="G12355" s="5">
        <v>110.5</v>
      </c>
      <c r="H12355" s="5">
        <v>110.4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112</v>
      </c>
      <c r="D12356" s="5">
        <v>0.1</v>
      </c>
      <c r="E12356" s="5">
        <v>112.1</v>
      </c>
      <c r="F12356" s="5">
        <v>222.4</v>
      </c>
      <c r="G12356" s="5">
        <v>110.5</v>
      </c>
      <c r="H12356" s="5">
        <v>110.4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112</v>
      </c>
      <c r="D12357" s="5">
        <v>0.1</v>
      </c>
      <c r="E12357" s="5">
        <v>112.1</v>
      </c>
      <c r="F12357" s="5">
        <v>222.4</v>
      </c>
      <c r="G12357" s="5">
        <v>110.5</v>
      </c>
      <c r="H12357" s="5">
        <v>110.4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112</v>
      </c>
      <c r="D12358" s="5">
        <v>0.1</v>
      </c>
      <c r="E12358" s="5">
        <v>112.1</v>
      </c>
      <c r="F12358" s="5">
        <v>222.4</v>
      </c>
      <c r="G12358" s="5">
        <v>110.5</v>
      </c>
      <c r="H12358" s="5">
        <v>110.4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112</v>
      </c>
      <c r="D12359" s="5">
        <v>0.1</v>
      </c>
      <c r="E12359" s="5">
        <v>112.1</v>
      </c>
      <c r="F12359" s="5">
        <v>222.4</v>
      </c>
      <c r="G12359" s="5">
        <v>110.5</v>
      </c>
      <c r="H12359" s="5">
        <v>110.4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112</v>
      </c>
      <c r="D12360" s="5">
        <v>0.1</v>
      </c>
      <c r="E12360" s="5">
        <v>112.1</v>
      </c>
      <c r="F12360" s="5">
        <v>222.4</v>
      </c>
      <c r="G12360" s="5">
        <v>110.5</v>
      </c>
      <c r="H12360" s="5">
        <v>110.4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112</v>
      </c>
      <c r="D12361" s="5">
        <v>0.1</v>
      </c>
      <c r="E12361" s="5">
        <v>112.1</v>
      </c>
      <c r="F12361" s="5">
        <v>222.4</v>
      </c>
      <c r="G12361" s="5">
        <v>110.5</v>
      </c>
      <c r="H12361" s="5">
        <v>110.4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112</v>
      </c>
      <c r="D12362" s="5">
        <v>0.1</v>
      </c>
      <c r="E12362" s="5">
        <v>112.1</v>
      </c>
      <c r="F12362" s="5">
        <v>222.4</v>
      </c>
      <c r="G12362" s="5">
        <v>110.5</v>
      </c>
      <c r="H12362" s="5">
        <v>110.4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112</v>
      </c>
      <c r="D12363" s="5">
        <v>0.1</v>
      </c>
      <c r="E12363" s="5">
        <v>112.1</v>
      </c>
      <c r="F12363" s="5">
        <v>222.4</v>
      </c>
      <c r="G12363" s="5">
        <v>110.5</v>
      </c>
      <c r="H12363" s="5">
        <v>110.4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112</v>
      </c>
      <c r="D12364" s="5">
        <v>0.1</v>
      </c>
      <c r="E12364" s="5">
        <v>112.1</v>
      </c>
      <c r="F12364" s="5">
        <v>222.4</v>
      </c>
      <c r="G12364" s="5">
        <v>110.5</v>
      </c>
      <c r="H12364" s="5">
        <v>110.4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112</v>
      </c>
      <c r="D12365" s="5">
        <v>0.1</v>
      </c>
      <c r="E12365" s="5">
        <v>112.1</v>
      </c>
      <c r="F12365" s="5">
        <v>222.4</v>
      </c>
      <c r="G12365" s="5">
        <v>110.5</v>
      </c>
      <c r="H12365" s="5">
        <v>110.4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112</v>
      </c>
      <c r="D12366" s="5">
        <v>0.1</v>
      </c>
      <c r="E12366" s="5">
        <v>112.1</v>
      </c>
      <c r="F12366" s="5">
        <v>222.4</v>
      </c>
      <c r="G12366" s="5">
        <v>110.5</v>
      </c>
      <c r="H12366" s="5">
        <v>110.4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112</v>
      </c>
      <c r="D12367" s="5">
        <v>0.1</v>
      </c>
      <c r="E12367" s="5">
        <v>112.1</v>
      </c>
      <c r="F12367" s="5">
        <v>222.4</v>
      </c>
      <c r="G12367" s="5">
        <v>110.5</v>
      </c>
      <c r="H12367" s="5">
        <v>110.4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112</v>
      </c>
      <c r="D12368" s="5">
        <v>0.1</v>
      </c>
      <c r="E12368" s="5">
        <v>112.1</v>
      </c>
      <c r="F12368" s="5">
        <v>222.4</v>
      </c>
      <c r="G12368" s="5">
        <v>110.5</v>
      </c>
      <c r="H12368" s="5">
        <v>110.4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112</v>
      </c>
      <c r="D12369" s="5">
        <v>0.1</v>
      </c>
      <c r="E12369" s="5">
        <v>112.1</v>
      </c>
      <c r="F12369" s="5">
        <v>222.4</v>
      </c>
      <c r="G12369" s="5">
        <v>110.5</v>
      </c>
      <c r="H12369" s="5">
        <v>110.4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112</v>
      </c>
      <c r="D12370" s="5">
        <v>0.1</v>
      </c>
      <c r="E12370" s="5">
        <v>112.1</v>
      </c>
      <c r="F12370" s="5">
        <v>222.4</v>
      </c>
      <c r="G12370" s="5">
        <v>110.5</v>
      </c>
      <c r="H12370" s="5">
        <v>110.4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112</v>
      </c>
      <c r="D12371" s="5">
        <v>0.1</v>
      </c>
      <c r="E12371" s="5">
        <v>112.1</v>
      </c>
      <c r="F12371" s="5">
        <v>222.4</v>
      </c>
      <c r="G12371" s="5">
        <v>110.5</v>
      </c>
      <c r="H12371" s="5">
        <v>110.4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112</v>
      </c>
      <c r="D12372" s="5">
        <v>0.1</v>
      </c>
      <c r="E12372" s="5">
        <v>112.1</v>
      </c>
      <c r="F12372" s="5">
        <v>222.4</v>
      </c>
      <c r="G12372" s="5">
        <v>110.5</v>
      </c>
      <c r="H12372" s="5">
        <v>110.4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112</v>
      </c>
      <c r="D12373" s="5">
        <v>0.1</v>
      </c>
      <c r="E12373" s="5">
        <v>112.1</v>
      </c>
      <c r="F12373" s="5">
        <v>222.4</v>
      </c>
      <c r="G12373" s="5">
        <v>110.5</v>
      </c>
      <c r="H12373" s="5">
        <v>110.4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112</v>
      </c>
      <c r="D12374" s="5">
        <v>0.1</v>
      </c>
      <c r="E12374" s="5">
        <v>112.1</v>
      </c>
      <c r="F12374" s="5">
        <v>222.4</v>
      </c>
      <c r="G12374" s="5">
        <v>110.5</v>
      </c>
      <c r="H12374" s="5">
        <v>110.4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112</v>
      </c>
      <c r="D12375" s="5">
        <v>0.1</v>
      </c>
      <c r="E12375" s="5">
        <v>112.1</v>
      </c>
      <c r="F12375" s="5">
        <v>222.4</v>
      </c>
      <c r="G12375" s="5">
        <v>110.5</v>
      </c>
      <c r="H12375" s="5">
        <v>110.4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112</v>
      </c>
      <c r="D12376" s="5">
        <v>0.1</v>
      </c>
      <c r="E12376" s="5">
        <v>112.1</v>
      </c>
      <c r="F12376" s="5">
        <v>222.4</v>
      </c>
      <c r="G12376" s="5">
        <v>110.5</v>
      </c>
      <c r="H12376" s="5">
        <v>110.4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112</v>
      </c>
      <c r="D12377" s="5">
        <v>0.1</v>
      </c>
      <c r="E12377" s="5">
        <v>112.1</v>
      </c>
      <c r="F12377" s="5">
        <v>222.4</v>
      </c>
      <c r="G12377" s="5">
        <v>110.5</v>
      </c>
      <c r="H12377" s="5">
        <v>110.4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112</v>
      </c>
      <c r="D12378" s="5">
        <v>0.1</v>
      </c>
      <c r="E12378" s="5">
        <v>112.1</v>
      </c>
      <c r="F12378" s="5">
        <v>222.4</v>
      </c>
      <c r="G12378" s="5">
        <v>110.5</v>
      </c>
      <c r="H12378" s="5">
        <v>110.4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112</v>
      </c>
      <c r="D12379" s="5">
        <v>0.1</v>
      </c>
      <c r="E12379" s="5">
        <v>112.1</v>
      </c>
      <c r="F12379" s="5">
        <v>222.4</v>
      </c>
      <c r="G12379" s="5">
        <v>110.5</v>
      </c>
      <c r="H12379" s="5">
        <v>110.4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112</v>
      </c>
      <c r="D12380" s="5">
        <v>0.1</v>
      </c>
      <c r="E12380" s="5">
        <v>112.1</v>
      </c>
      <c r="F12380" s="5">
        <v>222.4</v>
      </c>
      <c r="G12380" s="5">
        <v>110.5</v>
      </c>
      <c r="H12380" s="5">
        <v>110.4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112</v>
      </c>
      <c r="D12381" s="5">
        <v>0.1</v>
      </c>
      <c r="E12381" s="5">
        <v>112.1</v>
      </c>
      <c r="F12381" s="5">
        <v>222.4</v>
      </c>
      <c r="G12381" s="5">
        <v>110.5</v>
      </c>
      <c r="H12381" s="5">
        <v>110.4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112</v>
      </c>
      <c r="D12382" s="5">
        <v>0.1</v>
      </c>
      <c r="E12382" s="5">
        <v>112.1</v>
      </c>
      <c r="F12382" s="5">
        <v>222.4</v>
      </c>
      <c r="G12382" s="5">
        <v>110.5</v>
      </c>
      <c r="H12382" s="5">
        <v>110.4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112</v>
      </c>
      <c r="D12383" s="5">
        <v>0.1</v>
      </c>
      <c r="E12383" s="5">
        <v>112.1</v>
      </c>
      <c r="F12383" s="5">
        <v>222.4</v>
      </c>
      <c r="G12383" s="5">
        <v>110.5</v>
      </c>
      <c r="H12383" s="5">
        <v>110.4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112</v>
      </c>
      <c r="D12384" s="5">
        <v>0.1</v>
      </c>
      <c r="E12384" s="5">
        <v>112.1</v>
      </c>
      <c r="F12384" s="5">
        <v>222.4</v>
      </c>
      <c r="G12384" s="5">
        <v>110.5</v>
      </c>
      <c r="H12384" s="5">
        <v>110.4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112</v>
      </c>
      <c r="D12385" s="5">
        <v>0.1</v>
      </c>
      <c r="E12385" s="5">
        <v>112.1</v>
      </c>
      <c r="F12385" s="5">
        <v>222.4</v>
      </c>
      <c r="G12385" s="5">
        <v>110.5</v>
      </c>
      <c r="H12385" s="5">
        <v>110.4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112</v>
      </c>
      <c r="D12386" s="5">
        <v>0.1</v>
      </c>
      <c r="E12386" s="5">
        <v>112.1</v>
      </c>
      <c r="F12386" s="5">
        <v>222.4</v>
      </c>
      <c r="G12386" s="5">
        <v>110.5</v>
      </c>
      <c r="H12386" s="5">
        <v>110.4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112</v>
      </c>
      <c r="D12387" s="5">
        <v>0.1</v>
      </c>
      <c r="E12387" s="5">
        <v>112.1</v>
      </c>
      <c r="F12387" s="5">
        <v>222.4</v>
      </c>
      <c r="G12387" s="5">
        <v>110.5</v>
      </c>
      <c r="H12387" s="5">
        <v>110.4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112</v>
      </c>
      <c r="D12388" s="5">
        <v>0.1</v>
      </c>
      <c r="E12388" s="5">
        <v>112.1</v>
      </c>
      <c r="F12388" s="5">
        <v>222.4</v>
      </c>
      <c r="G12388" s="5">
        <v>110.5</v>
      </c>
      <c r="H12388" s="5">
        <v>110.4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112</v>
      </c>
      <c r="D12389" s="5">
        <v>0.1</v>
      </c>
      <c r="E12389" s="5">
        <v>112.1</v>
      </c>
      <c r="F12389" s="5">
        <v>222.4</v>
      </c>
      <c r="G12389" s="5">
        <v>110.5</v>
      </c>
      <c r="H12389" s="5">
        <v>110.4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112</v>
      </c>
      <c r="D12390" s="5">
        <v>0.1</v>
      </c>
      <c r="E12390" s="5">
        <v>112.1</v>
      </c>
      <c r="F12390" s="5">
        <v>222.4</v>
      </c>
      <c r="G12390" s="5">
        <v>110.5</v>
      </c>
      <c r="H12390" s="5">
        <v>110.4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112</v>
      </c>
      <c r="D12391" s="5">
        <v>0.1</v>
      </c>
      <c r="E12391" s="5">
        <v>112.1</v>
      </c>
      <c r="F12391" s="5">
        <v>222.4</v>
      </c>
      <c r="G12391" s="5">
        <v>110.5</v>
      </c>
      <c r="H12391" s="5">
        <v>110.4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112</v>
      </c>
      <c r="D12392" s="5">
        <v>0.1</v>
      </c>
      <c r="E12392" s="5">
        <v>112.1</v>
      </c>
      <c r="F12392" s="5">
        <v>222.4</v>
      </c>
      <c r="G12392" s="5">
        <v>110.5</v>
      </c>
      <c r="H12392" s="5">
        <v>110.4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112</v>
      </c>
      <c r="D12393" s="5">
        <v>0.1</v>
      </c>
      <c r="E12393" s="5">
        <v>112.1</v>
      </c>
      <c r="F12393" s="5">
        <v>222.4</v>
      </c>
      <c r="G12393" s="5">
        <v>110.5</v>
      </c>
      <c r="H12393" s="5">
        <v>110.4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112</v>
      </c>
      <c r="D12394" s="5">
        <v>0.1</v>
      </c>
      <c r="E12394" s="5">
        <v>112.1</v>
      </c>
      <c r="F12394" s="5">
        <v>222.4</v>
      </c>
      <c r="G12394" s="5">
        <v>110.5</v>
      </c>
      <c r="H12394" s="5">
        <v>110.4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112</v>
      </c>
      <c r="D12395" s="5">
        <v>0.1</v>
      </c>
      <c r="E12395" s="5">
        <v>112.1</v>
      </c>
      <c r="F12395" s="5">
        <v>222.4</v>
      </c>
      <c r="G12395" s="5">
        <v>110.5</v>
      </c>
      <c r="H12395" s="5">
        <v>110.4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112</v>
      </c>
      <c r="D12396" s="5">
        <v>0.1</v>
      </c>
      <c r="E12396" s="5">
        <v>112.1</v>
      </c>
      <c r="F12396" s="5">
        <v>222.4</v>
      </c>
      <c r="G12396" s="5">
        <v>110.5</v>
      </c>
      <c r="H12396" s="5">
        <v>110.4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112</v>
      </c>
      <c r="D12397" s="5">
        <v>0.1</v>
      </c>
      <c r="E12397" s="5">
        <v>112.1</v>
      </c>
      <c r="F12397" s="5">
        <v>222.4</v>
      </c>
      <c r="G12397" s="5">
        <v>110.5</v>
      </c>
      <c r="H12397" s="5">
        <v>110.4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112</v>
      </c>
      <c r="D12398" s="5">
        <v>0.1</v>
      </c>
      <c r="E12398" s="5">
        <v>112.1</v>
      </c>
      <c r="F12398" s="5">
        <v>222.4</v>
      </c>
      <c r="G12398" s="5">
        <v>110.5</v>
      </c>
      <c r="H12398" s="5">
        <v>110.4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112</v>
      </c>
      <c r="D12399" s="5">
        <v>0.1</v>
      </c>
      <c r="E12399" s="5">
        <v>112.1</v>
      </c>
      <c r="F12399" s="5">
        <v>222.4</v>
      </c>
      <c r="G12399" s="5">
        <v>110.5</v>
      </c>
      <c r="H12399" s="5">
        <v>110.4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112</v>
      </c>
      <c r="D12400" s="5">
        <v>0.1</v>
      </c>
      <c r="E12400" s="5">
        <v>112.1</v>
      </c>
      <c r="F12400" s="5">
        <v>222.4</v>
      </c>
      <c r="G12400" s="5">
        <v>110.5</v>
      </c>
      <c r="H12400" s="5">
        <v>110.4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112</v>
      </c>
      <c r="D12401" s="5">
        <v>0.1</v>
      </c>
      <c r="E12401" s="5">
        <v>112.1</v>
      </c>
      <c r="F12401" s="5">
        <v>222.4</v>
      </c>
      <c r="G12401" s="5">
        <v>110.5</v>
      </c>
      <c r="H12401" s="5">
        <v>110.4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112</v>
      </c>
      <c r="D12402" s="5">
        <v>0.1</v>
      </c>
      <c r="E12402" s="5">
        <v>112.1</v>
      </c>
      <c r="F12402" s="5">
        <v>222.4</v>
      </c>
      <c r="G12402" s="5">
        <v>110.5</v>
      </c>
      <c r="H12402" s="5">
        <v>110.4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112</v>
      </c>
      <c r="D12403" s="5">
        <v>0.1</v>
      </c>
      <c r="E12403" s="5">
        <v>112.1</v>
      </c>
      <c r="F12403" s="5">
        <v>222.4</v>
      </c>
      <c r="G12403" s="5">
        <v>110.5</v>
      </c>
      <c r="H12403" s="5">
        <v>110.4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112</v>
      </c>
      <c r="D12404" s="5">
        <v>0.1</v>
      </c>
      <c r="E12404" s="5">
        <v>112.1</v>
      </c>
      <c r="F12404" s="5">
        <v>222.4</v>
      </c>
      <c r="G12404" s="5">
        <v>110.5</v>
      </c>
      <c r="H12404" s="5">
        <v>110.4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112</v>
      </c>
      <c r="D12405" s="5">
        <v>0.1</v>
      </c>
      <c r="E12405" s="5">
        <v>112.1</v>
      </c>
      <c r="F12405" s="5">
        <v>222.4</v>
      </c>
      <c r="G12405" s="5">
        <v>110.5</v>
      </c>
      <c r="H12405" s="5">
        <v>110.4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112</v>
      </c>
      <c r="D12406" s="5">
        <v>0.1</v>
      </c>
      <c r="E12406" s="5">
        <v>112.1</v>
      </c>
      <c r="F12406" s="5">
        <v>222.4</v>
      </c>
      <c r="G12406" s="5">
        <v>110.5</v>
      </c>
      <c r="H12406" s="5">
        <v>110.4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112</v>
      </c>
      <c r="D12407" s="5">
        <v>0.1</v>
      </c>
      <c r="E12407" s="5">
        <v>112.1</v>
      </c>
      <c r="F12407" s="5">
        <v>222.4</v>
      </c>
      <c r="G12407" s="5">
        <v>110.5</v>
      </c>
      <c r="H12407" s="5">
        <v>110.4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112</v>
      </c>
      <c r="D12408" s="5">
        <v>0.1</v>
      </c>
      <c r="E12408" s="5">
        <v>112.1</v>
      </c>
      <c r="F12408" s="5">
        <v>222.4</v>
      </c>
      <c r="G12408" s="5">
        <v>110.5</v>
      </c>
      <c r="H12408" s="5">
        <v>110.4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112</v>
      </c>
      <c r="D12409" s="5">
        <v>0.1</v>
      </c>
      <c r="E12409" s="5">
        <v>112.1</v>
      </c>
      <c r="F12409" s="5">
        <v>222.4</v>
      </c>
      <c r="G12409" s="5">
        <v>110.5</v>
      </c>
      <c r="H12409" s="5">
        <v>110.4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112</v>
      </c>
      <c r="D12410" s="5">
        <v>0.1</v>
      </c>
      <c r="E12410" s="5">
        <v>112.1</v>
      </c>
      <c r="F12410" s="5">
        <v>222.4</v>
      </c>
      <c r="G12410" s="5">
        <v>110.5</v>
      </c>
      <c r="H12410" s="5">
        <v>110.4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112</v>
      </c>
      <c r="D12411" s="5">
        <v>0.1</v>
      </c>
      <c r="E12411" s="5">
        <v>112.1</v>
      </c>
      <c r="F12411" s="5">
        <v>222.4</v>
      </c>
      <c r="G12411" s="5">
        <v>110.5</v>
      </c>
      <c r="H12411" s="5">
        <v>110.4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112</v>
      </c>
      <c r="D12412" s="5">
        <v>0.1</v>
      </c>
      <c r="E12412" s="5">
        <v>112.1</v>
      </c>
      <c r="F12412" s="5">
        <v>222.4</v>
      </c>
      <c r="G12412" s="5">
        <v>110.5</v>
      </c>
      <c r="H12412" s="5">
        <v>110.4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112</v>
      </c>
      <c r="D12413" s="5">
        <v>0.1</v>
      </c>
      <c r="E12413" s="5">
        <v>112.1</v>
      </c>
      <c r="F12413" s="5">
        <v>222.4</v>
      </c>
      <c r="G12413" s="5">
        <v>110.5</v>
      </c>
      <c r="H12413" s="5">
        <v>110.4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112</v>
      </c>
      <c r="D12414" s="5">
        <v>0.1</v>
      </c>
      <c r="E12414" s="5">
        <v>112.1</v>
      </c>
      <c r="F12414" s="5">
        <v>222.4</v>
      </c>
      <c r="G12414" s="5">
        <v>110.5</v>
      </c>
      <c r="H12414" s="5">
        <v>110.4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112</v>
      </c>
      <c r="D12415" s="5">
        <v>0.1</v>
      </c>
      <c r="E12415" s="5">
        <v>112.1</v>
      </c>
      <c r="F12415" s="5">
        <v>222.4</v>
      </c>
      <c r="G12415" s="5">
        <v>110.5</v>
      </c>
      <c r="H12415" s="5">
        <v>110.4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112</v>
      </c>
      <c r="D12416" s="5">
        <v>0.1</v>
      </c>
      <c r="E12416" s="5">
        <v>112.1</v>
      </c>
      <c r="F12416" s="5">
        <v>222.4</v>
      </c>
      <c r="G12416" s="5">
        <v>110.5</v>
      </c>
      <c r="H12416" s="5">
        <v>110.4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112</v>
      </c>
      <c r="D12417" s="5">
        <v>0.1</v>
      </c>
      <c r="E12417" s="5">
        <v>112.1</v>
      </c>
      <c r="F12417" s="5">
        <v>222.4</v>
      </c>
      <c r="G12417" s="5">
        <v>110.5</v>
      </c>
      <c r="H12417" s="5">
        <v>110.4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112</v>
      </c>
      <c r="D12418" s="5">
        <v>0.1</v>
      </c>
      <c r="E12418" s="5">
        <v>112.1</v>
      </c>
      <c r="F12418" s="5">
        <v>222.4</v>
      </c>
      <c r="G12418" s="5">
        <v>110.5</v>
      </c>
      <c r="H12418" s="5">
        <v>110.4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112</v>
      </c>
      <c r="D12419" s="5">
        <v>0.1</v>
      </c>
      <c r="E12419" s="5">
        <v>112.1</v>
      </c>
      <c r="F12419" s="5">
        <v>222.4</v>
      </c>
      <c r="G12419" s="5">
        <v>110.5</v>
      </c>
      <c r="H12419" s="5">
        <v>110.4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112</v>
      </c>
      <c r="D12420" s="5">
        <v>0.1</v>
      </c>
      <c r="E12420" s="5">
        <v>112.1</v>
      </c>
      <c r="F12420" s="5">
        <v>222.4</v>
      </c>
      <c r="G12420" s="5">
        <v>110.5</v>
      </c>
      <c r="H12420" s="5">
        <v>110.4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112</v>
      </c>
      <c r="D12421" s="5">
        <v>0.1</v>
      </c>
      <c r="E12421" s="5">
        <v>112.1</v>
      </c>
      <c r="F12421" s="5">
        <v>222.4</v>
      </c>
      <c r="G12421" s="5">
        <v>110.5</v>
      </c>
      <c r="H12421" s="5">
        <v>110.4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112</v>
      </c>
      <c r="D12422" s="5">
        <v>0.1</v>
      </c>
      <c r="E12422" s="5">
        <v>112.1</v>
      </c>
      <c r="F12422" s="5">
        <v>222.4</v>
      </c>
      <c r="G12422" s="5">
        <v>110.5</v>
      </c>
      <c r="H12422" s="5">
        <v>110.4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112</v>
      </c>
      <c r="D12423" s="5">
        <v>0.1</v>
      </c>
      <c r="E12423" s="5">
        <v>112.1</v>
      </c>
      <c r="F12423" s="5">
        <v>222.4</v>
      </c>
      <c r="G12423" s="5">
        <v>110.5</v>
      </c>
      <c r="H12423" s="5">
        <v>110.4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112</v>
      </c>
      <c r="D12424" s="5">
        <v>0.1</v>
      </c>
      <c r="E12424" s="5">
        <v>112.1</v>
      </c>
      <c r="F12424" s="5">
        <v>222.4</v>
      </c>
      <c r="G12424" s="5">
        <v>110.5</v>
      </c>
      <c r="H12424" s="5">
        <v>110.4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112</v>
      </c>
      <c r="D12425" s="5">
        <v>0.1</v>
      </c>
      <c r="E12425" s="5">
        <v>112.1</v>
      </c>
      <c r="F12425" s="5">
        <v>222.4</v>
      </c>
      <c r="G12425" s="5">
        <v>110.5</v>
      </c>
      <c r="H12425" s="5">
        <v>110.4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112</v>
      </c>
      <c r="D12426" s="5">
        <v>0.1</v>
      </c>
      <c r="E12426" s="5">
        <v>112.1</v>
      </c>
      <c r="F12426" s="5">
        <v>222.4</v>
      </c>
      <c r="G12426" s="5">
        <v>110.5</v>
      </c>
      <c r="H12426" s="5">
        <v>110.4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112</v>
      </c>
      <c r="D12427" s="5">
        <v>0.1</v>
      </c>
      <c r="E12427" s="5">
        <v>112.1</v>
      </c>
      <c r="F12427" s="5">
        <v>222.4</v>
      </c>
      <c r="G12427" s="5">
        <v>110.5</v>
      </c>
      <c r="H12427" s="5">
        <v>110.4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112</v>
      </c>
      <c r="D12428" s="5">
        <v>0.1</v>
      </c>
      <c r="E12428" s="5">
        <v>112.1</v>
      </c>
      <c r="F12428" s="5">
        <v>222.4</v>
      </c>
      <c r="G12428" s="5">
        <v>110.5</v>
      </c>
      <c r="H12428" s="5">
        <v>110.4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112</v>
      </c>
      <c r="D12429" s="5">
        <v>0.1</v>
      </c>
      <c r="E12429" s="5">
        <v>112.1</v>
      </c>
      <c r="F12429" s="5">
        <v>222.4</v>
      </c>
      <c r="G12429" s="5">
        <v>110.5</v>
      </c>
      <c r="H12429" s="5">
        <v>110.4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112</v>
      </c>
      <c r="D12430" s="5">
        <v>0.1</v>
      </c>
      <c r="E12430" s="5">
        <v>112.1</v>
      </c>
      <c r="F12430" s="5">
        <v>222.4</v>
      </c>
      <c r="G12430" s="5">
        <v>110.5</v>
      </c>
      <c r="H12430" s="5">
        <v>110.4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112</v>
      </c>
      <c r="D12431" s="5">
        <v>0.1</v>
      </c>
      <c r="E12431" s="5">
        <v>112.1</v>
      </c>
      <c r="F12431" s="5">
        <v>222.4</v>
      </c>
      <c r="G12431" s="5">
        <v>110.5</v>
      </c>
      <c r="H12431" s="5">
        <v>110.4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112</v>
      </c>
      <c r="D12432" s="5">
        <v>0.1</v>
      </c>
      <c r="E12432" s="5">
        <v>112.1</v>
      </c>
      <c r="F12432" s="5">
        <v>222.4</v>
      </c>
      <c r="G12432" s="5">
        <v>110.5</v>
      </c>
      <c r="H12432" s="5">
        <v>110.4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112</v>
      </c>
      <c r="D12433" s="5">
        <v>0.1</v>
      </c>
      <c r="E12433" s="5">
        <v>112.1</v>
      </c>
      <c r="F12433" s="5">
        <v>222.4</v>
      </c>
      <c r="G12433" s="5">
        <v>110.5</v>
      </c>
      <c r="H12433" s="5">
        <v>110.4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112</v>
      </c>
      <c r="D12434" s="5">
        <v>0.1</v>
      </c>
      <c r="E12434" s="5">
        <v>112.1</v>
      </c>
      <c r="F12434" s="5">
        <v>222.4</v>
      </c>
      <c r="G12434" s="5">
        <v>110.5</v>
      </c>
      <c r="H12434" s="5">
        <v>110.4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112</v>
      </c>
      <c r="D12435" s="5">
        <v>0.1</v>
      </c>
      <c r="E12435" s="5">
        <v>112.1</v>
      </c>
      <c r="F12435" s="5">
        <v>222.4</v>
      </c>
      <c r="G12435" s="5">
        <v>110.5</v>
      </c>
      <c r="H12435" s="5">
        <v>110.4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112</v>
      </c>
      <c r="D12436" s="5">
        <v>0.1</v>
      </c>
      <c r="E12436" s="5">
        <v>112.1</v>
      </c>
      <c r="F12436" s="5">
        <v>222.4</v>
      </c>
      <c r="G12436" s="5">
        <v>110.5</v>
      </c>
      <c r="H12436" s="5">
        <v>110.4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112</v>
      </c>
      <c r="D12437" s="5">
        <v>0.1</v>
      </c>
      <c r="E12437" s="5">
        <v>112.1</v>
      </c>
      <c r="F12437" s="5">
        <v>222.4</v>
      </c>
      <c r="G12437" s="5">
        <v>110.5</v>
      </c>
      <c r="H12437" s="5">
        <v>110.4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112</v>
      </c>
      <c r="D12438" s="5">
        <v>0.1</v>
      </c>
      <c r="E12438" s="5">
        <v>112.1</v>
      </c>
      <c r="F12438" s="5">
        <v>222.4</v>
      </c>
      <c r="G12438" s="5">
        <v>110.5</v>
      </c>
      <c r="H12438" s="5">
        <v>110.4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112</v>
      </c>
      <c r="D12439" s="5">
        <v>0.1</v>
      </c>
      <c r="E12439" s="5">
        <v>112.1</v>
      </c>
      <c r="F12439" s="5">
        <v>222.4</v>
      </c>
      <c r="G12439" s="5">
        <v>110.5</v>
      </c>
      <c r="H12439" s="5">
        <v>110.4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112</v>
      </c>
      <c r="D12440" s="5">
        <v>0.1</v>
      </c>
      <c r="E12440" s="5">
        <v>112.1</v>
      </c>
      <c r="F12440" s="5">
        <v>222.4</v>
      </c>
      <c r="G12440" s="5">
        <v>110.5</v>
      </c>
      <c r="H12440" s="5">
        <v>110.4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112</v>
      </c>
      <c r="D12441" s="5">
        <v>0.1</v>
      </c>
      <c r="E12441" s="5">
        <v>112.1</v>
      </c>
      <c r="F12441" s="5">
        <v>222.4</v>
      </c>
      <c r="G12441" s="5">
        <v>110.5</v>
      </c>
      <c r="H12441" s="5">
        <v>110.4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112</v>
      </c>
      <c r="D12442" s="5">
        <v>0.1</v>
      </c>
      <c r="E12442" s="5">
        <v>112.1</v>
      </c>
      <c r="F12442" s="5">
        <v>222.4</v>
      </c>
      <c r="G12442" s="5">
        <v>110.5</v>
      </c>
      <c r="H12442" s="5">
        <v>110.4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112</v>
      </c>
      <c r="D12443" s="5">
        <v>0.1</v>
      </c>
      <c r="E12443" s="5">
        <v>112.1</v>
      </c>
      <c r="F12443" s="5">
        <v>222.4</v>
      </c>
      <c r="G12443" s="5">
        <v>110.5</v>
      </c>
      <c r="H12443" s="5">
        <v>110.4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112</v>
      </c>
      <c r="D12444" s="5">
        <v>0.1</v>
      </c>
      <c r="E12444" s="5">
        <v>112.1</v>
      </c>
      <c r="F12444" s="5">
        <v>222.4</v>
      </c>
      <c r="G12444" s="5">
        <v>110.5</v>
      </c>
      <c r="H12444" s="5">
        <v>110.4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112</v>
      </c>
      <c r="D12445" s="5">
        <v>0.1</v>
      </c>
      <c r="E12445" s="5">
        <v>112.1</v>
      </c>
      <c r="F12445" s="5">
        <v>222.4</v>
      </c>
      <c r="G12445" s="5">
        <v>110.5</v>
      </c>
      <c r="H12445" s="5">
        <v>110.4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112</v>
      </c>
      <c r="D12446" s="5">
        <v>0.1</v>
      </c>
      <c r="E12446" s="5">
        <v>112.1</v>
      </c>
      <c r="F12446" s="5">
        <v>222.4</v>
      </c>
      <c r="G12446" s="5">
        <v>110.5</v>
      </c>
      <c r="H12446" s="5">
        <v>110.4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112</v>
      </c>
      <c r="D12447" s="5">
        <v>0.1</v>
      </c>
      <c r="E12447" s="5">
        <v>112.1</v>
      </c>
      <c r="F12447" s="5">
        <v>222.4</v>
      </c>
      <c r="G12447" s="5">
        <v>110.5</v>
      </c>
      <c r="H12447" s="5">
        <v>110.4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112</v>
      </c>
      <c r="D12448" s="5">
        <v>0.1</v>
      </c>
      <c r="E12448" s="5">
        <v>112.1</v>
      </c>
      <c r="F12448" s="5">
        <v>222.4</v>
      </c>
      <c r="G12448" s="5">
        <v>110.5</v>
      </c>
      <c r="H12448" s="5">
        <v>110.4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112</v>
      </c>
      <c r="D12449" s="5">
        <v>0.1</v>
      </c>
      <c r="E12449" s="5">
        <v>112.1</v>
      </c>
      <c r="F12449" s="5">
        <v>222.4</v>
      </c>
      <c r="G12449" s="5">
        <v>110.5</v>
      </c>
      <c r="H12449" s="5">
        <v>110.4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112</v>
      </c>
      <c r="D12450" s="5">
        <v>0.1</v>
      </c>
      <c r="E12450" s="5">
        <v>112.1</v>
      </c>
      <c r="F12450" s="5">
        <v>222.4</v>
      </c>
      <c r="G12450" s="5">
        <v>110.5</v>
      </c>
      <c r="H12450" s="5">
        <v>110.4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112</v>
      </c>
      <c r="D12451" s="5">
        <v>0.1</v>
      </c>
      <c r="E12451" s="5">
        <v>112.1</v>
      </c>
      <c r="F12451" s="5">
        <v>222.4</v>
      </c>
      <c r="G12451" s="5">
        <v>110.5</v>
      </c>
      <c r="H12451" s="5">
        <v>110.4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112</v>
      </c>
      <c r="D12452" s="5">
        <v>0.1</v>
      </c>
      <c r="E12452" s="5">
        <v>112.1</v>
      </c>
      <c r="F12452" s="5">
        <v>222.4</v>
      </c>
      <c r="G12452" s="5">
        <v>110.5</v>
      </c>
      <c r="H12452" s="5">
        <v>110.4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112</v>
      </c>
      <c r="D12453" s="5">
        <v>0.1</v>
      </c>
      <c r="E12453" s="5">
        <v>112.1</v>
      </c>
      <c r="F12453" s="5">
        <v>222.4</v>
      </c>
      <c r="G12453" s="5">
        <v>110.5</v>
      </c>
      <c r="H12453" s="5">
        <v>110.4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112</v>
      </c>
      <c r="D12454" s="5">
        <v>0.1</v>
      </c>
      <c r="E12454" s="5">
        <v>112.1</v>
      </c>
      <c r="F12454" s="5">
        <v>222.4</v>
      </c>
      <c r="G12454" s="5">
        <v>110.5</v>
      </c>
      <c r="H12454" s="5">
        <v>110.4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112</v>
      </c>
      <c r="D12455" s="5">
        <v>0.1</v>
      </c>
      <c r="E12455" s="5">
        <v>112.1</v>
      </c>
      <c r="F12455" s="5">
        <v>222.4</v>
      </c>
      <c r="G12455" s="5">
        <v>110.5</v>
      </c>
      <c r="H12455" s="5">
        <v>110.4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112</v>
      </c>
      <c r="D12456" s="5">
        <v>0.1</v>
      </c>
      <c r="E12456" s="5">
        <v>112.1</v>
      </c>
      <c r="F12456" s="5">
        <v>222.4</v>
      </c>
      <c r="G12456" s="5">
        <v>110.5</v>
      </c>
      <c r="H12456" s="5">
        <v>110.4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112</v>
      </c>
      <c r="D12457" s="5">
        <v>0.1</v>
      </c>
      <c r="E12457" s="5">
        <v>112.1</v>
      </c>
      <c r="F12457" s="5">
        <v>222.4</v>
      </c>
      <c r="G12457" s="5">
        <v>110.5</v>
      </c>
      <c r="H12457" s="5">
        <v>110.4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112</v>
      </c>
      <c r="D12458" s="5">
        <v>0.1</v>
      </c>
      <c r="E12458" s="5">
        <v>112.1</v>
      </c>
      <c r="F12458" s="5">
        <v>222.4</v>
      </c>
      <c r="G12458" s="5">
        <v>110.5</v>
      </c>
      <c r="H12458" s="5">
        <v>110.4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112</v>
      </c>
      <c r="D12459" s="5">
        <v>0.1</v>
      </c>
      <c r="E12459" s="5">
        <v>112.1</v>
      </c>
      <c r="F12459" s="5">
        <v>222.4</v>
      </c>
      <c r="G12459" s="5">
        <v>110.5</v>
      </c>
      <c r="H12459" s="5">
        <v>110.4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112</v>
      </c>
      <c r="D12460" s="5">
        <v>0.1</v>
      </c>
      <c r="E12460" s="5">
        <v>112.1</v>
      </c>
      <c r="F12460" s="5">
        <v>222.4</v>
      </c>
      <c r="G12460" s="5">
        <v>110.5</v>
      </c>
      <c r="H12460" s="5">
        <v>110.4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112</v>
      </c>
      <c r="D12461" s="5">
        <v>0.1</v>
      </c>
      <c r="E12461" s="5">
        <v>112.1</v>
      </c>
      <c r="F12461" s="5">
        <v>222.4</v>
      </c>
      <c r="G12461" s="5">
        <v>110.5</v>
      </c>
      <c r="H12461" s="5">
        <v>110.4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112</v>
      </c>
      <c r="D12462" s="5">
        <v>0.1</v>
      </c>
      <c r="E12462" s="5">
        <v>112.1</v>
      </c>
      <c r="F12462" s="5">
        <v>222.4</v>
      </c>
      <c r="G12462" s="5">
        <v>110.5</v>
      </c>
      <c r="H12462" s="5">
        <v>110.4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112</v>
      </c>
      <c r="D12463" s="5">
        <v>0.1</v>
      </c>
      <c r="E12463" s="5">
        <v>112.1</v>
      </c>
      <c r="F12463" s="5">
        <v>222.4</v>
      </c>
      <c r="G12463" s="5">
        <v>110.5</v>
      </c>
      <c r="H12463" s="5">
        <v>110.4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112</v>
      </c>
      <c r="D12464" s="5">
        <v>0.1</v>
      </c>
      <c r="E12464" s="5">
        <v>112.1</v>
      </c>
      <c r="F12464" s="5">
        <v>222.4</v>
      </c>
      <c r="G12464" s="5">
        <v>110.5</v>
      </c>
      <c r="H12464" s="5">
        <v>110.4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112</v>
      </c>
      <c r="D12465" s="5">
        <v>0.1</v>
      </c>
      <c r="E12465" s="5">
        <v>112.1</v>
      </c>
      <c r="F12465" s="5">
        <v>222.4</v>
      </c>
      <c r="G12465" s="5">
        <v>110.5</v>
      </c>
      <c r="H12465" s="5">
        <v>110.4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112</v>
      </c>
      <c r="D12466" s="5">
        <v>0.1</v>
      </c>
      <c r="E12466" s="5">
        <v>112.1</v>
      </c>
      <c r="F12466" s="5">
        <v>222.4</v>
      </c>
      <c r="G12466" s="5">
        <v>110.5</v>
      </c>
      <c r="H12466" s="5">
        <v>110.4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112</v>
      </c>
      <c r="D12467" s="5">
        <v>0.1</v>
      </c>
      <c r="E12467" s="5">
        <v>112.1</v>
      </c>
      <c r="F12467" s="5">
        <v>222.4</v>
      </c>
      <c r="G12467" s="5">
        <v>110.5</v>
      </c>
      <c r="H12467" s="5">
        <v>110.4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112</v>
      </c>
      <c r="D12468" s="5">
        <v>0.1</v>
      </c>
      <c r="E12468" s="5">
        <v>112.1</v>
      </c>
      <c r="F12468" s="5">
        <v>222.4</v>
      </c>
      <c r="G12468" s="5">
        <v>110.5</v>
      </c>
      <c r="H12468" s="5">
        <v>110.4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112</v>
      </c>
      <c r="D12469" s="5">
        <v>0.1</v>
      </c>
      <c r="E12469" s="5">
        <v>112.1</v>
      </c>
      <c r="F12469" s="5">
        <v>222.4</v>
      </c>
      <c r="G12469" s="5">
        <v>110.5</v>
      </c>
      <c r="H12469" s="5">
        <v>110.4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112</v>
      </c>
      <c r="D12470" s="5">
        <v>0.1</v>
      </c>
      <c r="E12470" s="5">
        <v>112.1</v>
      </c>
      <c r="F12470" s="5">
        <v>222.4</v>
      </c>
      <c r="G12470" s="5">
        <v>110.5</v>
      </c>
      <c r="H12470" s="5">
        <v>110.4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112</v>
      </c>
      <c r="D12471" s="5">
        <v>0.1</v>
      </c>
      <c r="E12471" s="5">
        <v>112.1</v>
      </c>
      <c r="F12471" s="5">
        <v>222.4</v>
      </c>
      <c r="G12471" s="5">
        <v>110.5</v>
      </c>
      <c r="H12471" s="5">
        <v>110.4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112</v>
      </c>
      <c r="D12472" s="5">
        <v>0.1</v>
      </c>
      <c r="E12472" s="5">
        <v>112.1</v>
      </c>
      <c r="F12472" s="5">
        <v>222.4</v>
      </c>
      <c r="G12472" s="5">
        <v>110.5</v>
      </c>
      <c r="H12472" s="5">
        <v>110.4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112</v>
      </c>
      <c r="D12473" s="5">
        <v>0.1</v>
      </c>
      <c r="E12473" s="5">
        <v>112.1</v>
      </c>
      <c r="F12473" s="5">
        <v>222.4</v>
      </c>
      <c r="G12473" s="5">
        <v>110.5</v>
      </c>
      <c r="H12473" s="5">
        <v>110.4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112</v>
      </c>
      <c r="D12474" s="5">
        <v>0.1</v>
      </c>
      <c r="E12474" s="5">
        <v>112.1</v>
      </c>
      <c r="F12474" s="5">
        <v>222.4</v>
      </c>
      <c r="G12474" s="5">
        <v>110.5</v>
      </c>
      <c r="H12474" s="5">
        <v>110.4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112</v>
      </c>
      <c r="D12475" s="5">
        <v>0.1</v>
      </c>
      <c r="E12475" s="5">
        <v>112.1</v>
      </c>
      <c r="F12475" s="5">
        <v>222.4</v>
      </c>
      <c r="G12475" s="5">
        <v>110.5</v>
      </c>
      <c r="H12475" s="5">
        <v>110.4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112</v>
      </c>
      <c r="D12476" s="5">
        <v>0.1</v>
      </c>
      <c r="E12476" s="5">
        <v>112.1</v>
      </c>
      <c r="F12476" s="5">
        <v>222.4</v>
      </c>
      <c r="G12476" s="5">
        <v>110.5</v>
      </c>
      <c r="H12476" s="5">
        <v>110.4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112</v>
      </c>
      <c r="D12477" s="5">
        <v>0.1</v>
      </c>
      <c r="E12477" s="5">
        <v>112.1</v>
      </c>
      <c r="F12477" s="5">
        <v>222.4</v>
      </c>
      <c r="G12477" s="5">
        <v>110.5</v>
      </c>
      <c r="H12477" s="5">
        <v>110.4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112</v>
      </c>
      <c r="D12478" s="5">
        <v>0.1</v>
      </c>
      <c r="E12478" s="5">
        <v>112.1</v>
      </c>
      <c r="F12478" s="5">
        <v>222.4</v>
      </c>
      <c r="G12478" s="5">
        <v>110.5</v>
      </c>
      <c r="H12478" s="5">
        <v>110.4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112</v>
      </c>
      <c r="D12479" s="5">
        <v>0.1</v>
      </c>
      <c r="E12479" s="5">
        <v>112.1</v>
      </c>
      <c r="F12479" s="5">
        <v>222.4</v>
      </c>
      <c r="G12479" s="5">
        <v>110.5</v>
      </c>
      <c r="H12479" s="5">
        <v>110.4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112</v>
      </c>
      <c r="D12480" s="5">
        <v>0.1</v>
      </c>
      <c r="E12480" s="5">
        <v>112.1</v>
      </c>
      <c r="F12480" s="5">
        <v>222.4</v>
      </c>
      <c r="G12480" s="5">
        <v>110.5</v>
      </c>
      <c r="H12480" s="5">
        <v>110.4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112</v>
      </c>
      <c r="D12481" s="5">
        <v>0.1</v>
      </c>
      <c r="E12481" s="5">
        <v>112.1</v>
      </c>
      <c r="F12481" s="5">
        <v>222.4</v>
      </c>
      <c r="G12481" s="5">
        <v>110.5</v>
      </c>
      <c r="H12481" s="5">
        <v>110.4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112</v>
      </c>
      <c r="D12482" s="5">
        <v>0.1</v>
      </c>
      <c r="E12482" s="5">
        <v>112.1</v>
      </c>
      <c r="F12482" s="5">
        <v>222.4</v>
      </c>
      <c r="G12482" s="5">
        <v>110.5</v>
      </c>
      <c r="H12482" s="5">
        <v>110.4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112</v>
      </c>
      <c r="D12483" s="5">
        <v>0.1</v>
      </c>
      <c r="E12483" s="5">
        <v>112.1</v>
      </c>
      <c r="F12483" s="5">
        <v>222.4</v>
      </c>
      <c r="G12483" s="5">
        <v>110.5</v>
      </c>
      <c r="H12483" s="5">
        <v>110.4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112</v>
      </c>
      <c r="D12484" s="5">
        <v>0.1</v>
      </c>
      <c r="E12484" s="5">
        <v>112.1</v>
      </c>
      <c r="F12484" s="5">
        <v>222.4</v>
      </c>
      <c r="G12484" s="5">
        <v>110.5</v>
      </c>
      <c r="H12484" s="5">
        <v>110.4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112</v>
      </c>
      <c r="D12485" s="5">
        <v>0.1</v>
      </c>
      <c r="E12485" s="5">
        <v>112.1</v>
      </c>
      <c r="F12485" s="5">
        <v>222.4</v>
      </c>
      <c r="G12485" s="5">
        <v>110.5</v>
      </c>
      <c r="H12485" s="5">
        <v>110.4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112</v>
      </c>
      <c r="D12486" s="5">
        <v>0.1</v>
      </c>
      <c r="E12486" s="5">
        <v>112.1</v>
      </c>
      <c r="F12486" s="5">
        <v>222.4</v>
      </c>
      <c r="G12486" s="5">
        <v>110.5</v>
      </c>
      <c r="H12486" s="5">
        <v>110.4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112</v>
      </c>
      <c r="D12487" s="5">
        <v>0.1</v>
      </c>
      <c r="E12487" s="5">
        <v>112.1</v>
      </c>
      <c r="F12487" s="5">
        <v>222.4</v>
      </c>
      <c r="G12487" s="5">
        <v>110.5</v>
      </c>
      <c r="H12487" s="5">
        <v>110.4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112</v>
      </c>
      <c r="D12488" s="5">
        <v>0.1</v>
      </c>
      <c r="E12488" s="5">
        <v>112.1</v>
      </c>
      <c r="F12488" s="5">
        <v>222.4</v>
      </c>
      <c r="G12488" s="5">
        <v>110.5</v>
      </c>
      <c r="H12488" s="5">
        <v>110.4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112</v>
      </c>
      <c r="D12489" s="5">
        <v>0.1</v>
      </c>
      <c r="E12489" s="5">
        <v>112.1</v>
      </c>
      <c r="F12489" s="5">
        <v>222.4</v>
      </c>
      <c r="G12489" s="5">
        <v>110.5</v>
      </c>
      <c r="H12489" s="5">
        <v>110.4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112</v>
      </c>
      <c r="D12490" s="5">
        <v>0.1</v>
      </c>
      <c r="E12490" s="5">
        <v>112.1</v>
      </c>
      <c r="F12490" s="5">
        <v>222.4</v>
      </c>
      <c r="G12490" s="5">
        <v>110.5</v>
      </c>
      <c r="H12490" s="5">
        <v>110.4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112</v>
      </c>
      <c r="D12491" s="5">
        <v>0.1</v>
      </c>
      <c r="E12491" s="5">
        <v>112.1</v>
      </c>
      <c r="F12491" s="5">
        <v>222.4</v>
      </c>
      <c r="G12491" s="5">
        <v>110.5</v>
      </c>
      <c r="H12491" s="5">
        <v>110.4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112</v>
      </c>
      <c r="D12492" s="5">
        <v>0.1</v>
      </c>
      <c r="E12492" s="5">
        <v>112.1</v>
      </c>
      <c r="F12492" s="5">
        <v>222.4</v>
      </c>
      <c r="G12492" s="5">
        <v>110.5</v>
      </c>
      <c r="H12492" s="5">
        <v>110.4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112</v>
      </c>
      <c r="D12493" s="5">
        <v>0.1</v>
      </c>
      <c r="E12493" s="5">
        <v>112.1</v>
      </c>
      <c r="F12493" s="5">
        <v>222.4</v>
      </c>
      <c r="G12493" s="5">
        <v>110.5</v>
      </c>
      <c r="H12493" s="5">
        <v>110.4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112</v>
      </c>
      <c r="D12494" s="5">
        <v>0.1</v>
      </c>
      <c r="E12494" s="5">
        <v>112.1</v>
      </c>
      <c r="F12494" s="5">
        <v>222.4</v>
      </c>
      <c r="G12494" s="5">
        <v>110.5</v>
      </c>
      <c r="H12494" s="5">
        <v>110.4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112</v>
      </c>
      <c r="D12495" s="5">
        <v>0.1</v>
      </c>
      <c r="E12495" s="5">
        <v>112.1</v>
      </c>
      <c r="F12495" s="5">
        <v>222.4</v>
      </c>
      <c r="G12495" s="5">
        <v>110.5</v>
      </c>
      <c r="H12495" s="5">
        <v>110.4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112</v>
      </c>
      <c r="D12496" s="5">
        <v>0.1</v>
      </c>
      <c r="E12496" s="5">
        <v>112.1</v>
      </c>
      <c r="F12496" s="5">
        <v>222.4</v>
      </c>
      <c r="G12496" s="5">
        <v>110.5</v>
      </c>
      <c r="H12496" s="5">
        <v>110.4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112</v>
      </c>
      <c r="D12497" s="5">
        <v>0.1</v>
      </c>
      <c r="E12497" s="5">
        <v>112.1</v>
      </c>
      <c r="F12497" s="5">
        <v>222.4</v>
      </c>
      <c r="G12497" s="5">
        <v>110.5</v>
      </c>
      <c r="H12497" s="5">
        <v>110.4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112</v>
      </c>
      <c r="D12498" s="5">
        <v>0.1</v>
      </c>
      <c r="E12498" s="5">
        <v>112.1</v>
      </c>
      <c r="F12498" s="5">
        <v>222.4</v>
      </c>
      <c r="G12498" s="5">
        <v>110.5</v>
      </c>
      <c r="H12498" s="5">
        <v>110.4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112</v>
      </c>
      <c r="D12499" s="5">
        <v>0.1</v>
      </c>
      <c r="E12499" s="5">
        <v>112.1</v>
      </c>
      <c r="F12499" s="5">
        <v>222.4</v>
      </c>
      <c r="G12499" s="5">
        <v>110.5</v>
      </c>
      <c r="H12499" s="5">
        <v>110.4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112</v>
      </c>
      <c r="D12500" s="5">
        <v>0.1</v>
      </c>
      <c r="E12500" s="5">
        <v>112.1</v>
      </c>
      <c r="F12500" s="5">
        <v>222.4</v>
      </c>
      <c r="G12500" s="5">
        <v>110.5</v>
      </c>
      <c r="H12500" s="5">
        <v>110.4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112</v>
      </c>
      <c r="D12501" s="5">
        <v>0.1</v>
      </c>
      <c r="E12501" s="5">
        <v>112.1</v>
      </c>
      <c r="F12501" s="5">
        <v>222.4</v>
      </c>
      <c r="G12501" s="5">
        <v>110.5</v>
      </c>
      <c r="H12501" s="5">
        <v>110.4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112</v>
      </c>
      <c r="D12502" s="5">
        <v>0.1</v>
      </c>
      <c r="E12502" s="5">
        <v>112.1</v>
      </c>
      <c r="F12502" s="5">
        <v>222.4</v>
      </c>
      <c r="G12502" s="5">
        <v>110.5</v>
      </c>
      <c r="H12502" s="5">
        <v>110.4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112</v>
      </c>
      <c r="D12503" s="5">
        <v>0.1</v>
      </c>
      <c r="E12503" s="5">
        <v>112.1</v>
      </c>
      <c r="F12503" s="5">
        <v>222.4</v>
      </c>
      <c r="G12503" s="5">
        <v>110.5</v>
      </c>
      <c r="H12503" s="5">
        <v>110.4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112</v>
      </c>
      <c r="D12504" s="5">
        <v>0.1</v>
      </c>
      <c r="E12504" s="5">
        <v>112.1</v>
      </c>
      <c r="F12504" s="5">
        <v>222.4</v>
      </c>
      <c r="G12504" s="5">
        <v>110.5</v>
      </c>
      <c r="H12504" s="5">
        <v>110.4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112</v>
      </c>
      <c r="D12505" s="5">
        <v>0.1</v>
      </c>
      <c r="E12505" s="5">
        <v>112.1</v>
      </c>
      <c r="F12505" s="5">
        <v>222.4</v>
      </c>
      <c r="G12505" s="5">
        <v>110.5</v>
      </c>
      <c r="H12505" s="5">
        <v>110.4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112</v>
      </c>
      <c r="D12506" s="5">
        <v>0.1</v>
      </c>
      <c r="E12506" s="5">
        <v>112.1</v>
      </c>
      <c r="F12506" s="5">
        <v>222.4</v>
      </c>
      <c r="G12506" s="5">
        <v>110.5</v>
      </c>
      <c r="H12506" s="5">
        <v>110.4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112</v>
      </c>
      <c r="D12507" s="5">
        <v>0.1</v>
      </c>
      <c r="E12507" s="5">
        <v>112.1</v>
      </c>
      <c r="F12507" s="5">
        <v>222.4</v>
      </c>
      <c r="G12507" s="5">
        <v>110.5</v>
      </c>
      <c r="H12507" s="5">
        <v>110.4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112</v>
      </c>
      <c r="D12508" s="5">
        <v>0.1</v>
      </c>
      <c r="E12508" s="5">
        <v>112.1</v>
      </c>
      <c r="F12508" s="5">
        <v>222.4</v>
      </c>
      <c r="G12508" s="5">
        <v>110.5</v>
      </c>
      <c r="H12508" s="5">
        <v>110.4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112</v>
      </c>
      <c r="D12509" s="5">
        <v>0.1</v>
      </c>
      <c r="E12509" s="5">
        <v>112.1</v>
      </c>
      <c r="F12509" s="5">
        <v>222.4</v>
      </c>
      <c r="G12509" s="5">
        <v>110.5</v>
      </c>
      <c r="H12509" s="5">
        <v>110.4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112</v>
      </c>
      <c r="D12510" s="5">
        <v>0.1</v>
      </c>
      <c r="E12510" s="5">
        <v>112.1</v>
      </c>
      <c r="F12510" s="5">
        <v>222.4</v>
      </c>
      <c r="G12510" s="5">
        <v>110.5</v>
      </c>
      <c r="H12510" s="5">
        <v>110.4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112</v>
      </c>
      <c r="D12511" s="5">
        <v>0.1</v>
      </c>
      <c r="E12511" s="5">
        <v>112.1</v>
      </c>
      <c r="F12511" s="5">
        <v>222.4</v>
      </c>
      <c r="G12511" s="5">
        <v>110.5</v>
      </c>
      <c r="H12511" s="5">
        <v>110.4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112</v>
      </c>
      <c r="D12512" s="5">
        <v>0.1</v>
      </c>
      <c r="E12512" s="5">
        <v>112.1</v>
      </c>
      <c r="F12512" s="5">
        <v>222.4</v>
      </c>
      <c r="G12512" s="5">
        <v>110.5</v>
      </c>
      <c r="H12512" s="5">
        <v>110.4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112</v>
      </c>
      <c r="D12513" s="5">
        <v>0.1</v>
      </c>
      <c r="E12513" s="5">
        <v>112.1</v>
      </c>
      <c r="F12513" s="5">
        <v>222.4</v>
      </c>
      <c r="G12513" s="5">
        <v>110.5</v>
      </c>
      <c r="H12513" s="5">
        <v>110.4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112</v>
      </c>
      <c r="D12514" s="5">
        <v>0.1</v>
      </c>
      <c r="E12514" s="5">
        <v>112.1</v>
      </c>
      <c r="F12514" s="5">
        <v>222.4</v>
      </c>
      <c r="G12514" s="5">
        <v>110.5</v>
      </c>
      <c r="H12514" s="5">
        <v>110.4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112</v>
      </c>
      <c r="D12515" s="5">
        <v>0.1</v>
      </c>
      <c r="E12515" s="5">
        <v>112.1</v>
      </c>
      <c r="F12515" s="5">
        <v>222.4</v>
      </c>
      <c r="G12515" s="5">
        <v>110.5</v>
      </c>
      <c r="H12515" s="5">
        <v>110.4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112</v>
      </c>
      <c r="D12516" s="5">
        <v>0.1</v>
      </c>
      <c r="E12516" s="5">
        <v>112.1</v>
      </c>
      <c r="F12516" s="5">
        <v>222.4</v>
      </c>
      <c r="G12516" s="5">
        <v>110.5</v>
      </c>
      <c r="H12516" s="5">
        <v>110.4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112</v>
      </c>
      <c r="D12517" s="5">
        <v>0.1</v>
      </c>
      <c r="E12517" s="5">
        <v>112.1</v>
      </c>
      <c r="F12517" s="5">
        <v>222.4</v>
      </c>
      <c r="G12517" s="5">
        <v>110.5</v>
      </c>
      <c r="H12517" s="5">
        <v>110.4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112</v>
      </c>
      <c r="D12518" s="5">
        <v>0.1</v>
      </c>
      <c r="E12518" s="5">
        <v>112.1</v>
      </c>
      <c r="F12518" s="5">
        <v>222.4</v>
      </c>
      <c r="G12518" s="5">
        <v>110.5</v>
      </c>
      <c r="H12518" s="5">
        <v>110.4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112</v>
      </c>
      <c r="D12519" s="5">
        <v>0.1</v>
      </c>
      <c r="E12519" s="5">
        <v>112.1</v>
      </c>
      <c r="F12519" s="5">
        <v>222.4</v>
      </c>
      <c r="G12519" s="5">
        <v>110.5</v>
      </c>
      <c r="H12519" s="5">
        <v>110.4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112</v>
      </c>
      <c r="D12520" s="5">
        <v>0.1</v>
      </c>
      <c r="E12520" s="5">
        <v>112.1</v>
      </c>
      <c r="F12520" s="5">
        <v>222.4</v>
      </c>
      <c r="G12520" s="5">
        <v>110.5</v>
      </c>
      <c r="H12520" s="5">
        <v>110.4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112</v>
      </c>
      <c r="D12521" s="5">
        <v>0.1</v>
      </c>
      <c r="E12521" s="5">
        <v>112.1</v>
      </c>
      <c r="F12521" s="5">
        <v>222.4</v>
      </c>
      <c r="G12521" s="5">
        <v>110.5</v>
      </c>
      <c r="H12521" s="5">
        <v>110.4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112</v>
      </c>
      <c r="D12522" s="5">
        <v>0.1</v>
      </c>
      <c r="E12522" s="5">
        <v>112.1</v>
      </c>
      <c r="F12522" s="5">
        <v>222.4</v>
      </c>
      <c r="G12522" s="5">
        <v>110.5</v>
      </c>
      <c r="H12522" s="5">
        <v>110.4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112</v>
      </c>
      <c r="D12523" s="5">
        <v>0.1</v>
      </c>
      <c r="E12523" s="5">
        <v>112.1</v>
      </c>
      <c r="F12523" s="5">
        <v>222.4</v>
      </c>
      <c r="G12523" s="5">
        <v>110.5</v>
      </c>
      <c r="H12523" s="5">
        <v>110.4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112</v>
      </c>
      <c r="D12524" s="5">
        <v>0.1</v>
      </c>
      <c r="E12524" s="5">
        <v>112.1</v>
      </c>
      <c r="F12524" s="5">
        <v>222.4</v>
      </c>
      <c r="G12524" s="5">
        <v>110.5</v>
      </c>
      <c r="H12524" s="5">
        <v>110.4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112</v>
      </c>
      <c r="D12525" s="5">
        <v>0.1</v>
      </c>
      <c r="E12525" s="5">
        <v>112.1</v>
      </c>
      <c r="F12525" s="5">
        <v>222.4</v>
      </c>
      <c r="G12525" s="5">
        <v>110.5</v>
      </c>
      <c r="H12525" s="5">
        <v>110.4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112</v>
      </c>
      <c r="D12526" s="5">
        <v>0.1</v>
      </c>
      <c r="E12526" s="5">
        <v>112.1</v>
      </c>
      <c r="F12526" s="5">
        <v>222.4</v>
      </c>
      <c r="G12526" s="5">
        <v>110.5</v>
      </c>
      <c r="H12526" s="5">
        <v>110.4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112</v>
      </c>
      <c r="D12527" s="5">
        <v>0.1</v>
      </c>
      <c r="E12527" s="5">
        <v>112.1</v>
      </c>
      <c r="F12527" s="5">
        <v>222.4</v>
      </c>
      <c r="G12527" s="5">
        <v>110.5</v>
      </c>
      <c r="H12527" s="5">
        <v>110.4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112</v>
      </c>
      <c r="D12528" s="5">
        <v>0.1</v>
      </c>
      <c r="E12528" s="5">
        <v>112.1</v>
      </c>
      <c r="F12528" s="5">
        <v>222.4</v>
      </c>
      <c r="G12528" s="5">
        <v>110.5</v>
      </c>
      <c r="H12528" s="5">
        <v>110.4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112</v>
      </c>
      <c r="D12529" s="5">
        <v>0.1</v>
      </c>
      <c r="E12529" s="5">
        <v>112.1</v>
      </c>
      <c r="F12529" s="5">
        <v>222.4</v>
      </c>
      <c r="G12529" s="5">
        <v>110.5</v>
      </c>
      <c r="H12529" s="5">
        <v>110.4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112</v>
      </c>
      <c r="D12530" s="5">
        <v>0.1</v>
      </c>
      <c r="E12530" s="5">
        <v>112.1</v>
      </c>
      <c r="F12530" s="5">
        <v>222.4</v>
      </c>
      <c r="G12530" s="5">
        <v>110.5</v>
      </c>
      <c r="H12530" s="5">
        <v>110.4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112</v>
      </c>
      <c r="D12531" s="5">
        <v>0.1</v>
      </c>
      <c r="E12531" s="5">
        <v>112.1</v>
      </c>
      <c r="F12531" s="5">
        <v>222.4</v>
      </c>
      <c r="G12531" s="5">
        <v>110.5</v>
      </c>
      <c r="H12531" s="5">
        <v>110.4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112</v>
      </c>
      <c r="D12532" s="5">
        <v>0.1</v>
      </c>
      <c r="E12532" s="5">
        <v>112.1</v>
      </c>
      <c r="F12532" s="5">
        <v>222.4</v>
      </c>
      <c r="G12532" s="5">
        <v>110.5</v>
      </c>
      <c r="H12532" s="5">
        <v>110.4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112</v>
      </c>
      <c r="D12533" s="5">
        <v>0.1</v>
      </c>
      <c r="E12533" s="5">
        <v>112.1</v>
      </c>
      <c r="F12533" s="5">
        <v>222.4</v>
      </c>
      <c r="G12533" s="5">
        <v>110.5</v>
      </c>
      <c r="H12533" s="5">
        <v>110.4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112</v>
      </c>
      <c r="D12534" s="5">
        <v>0.1</v>
      </c>
      <c r="E12534" s="5">
        <v>112.1</v>
      </c>
      <c r="F12534" s="5">
        <v>222.4</v>
      </c>
      <c r="G12534" s="5">
        <v>110.5</v>
      </c>
      <c r="H12534" s="5">
        <v>110.4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112</v>
      </c>
      <c r="D12535" s="5">
        <v>0.1</v>
      </c>
      <c r="E12535" s="5">
        <v>112.1</v>
      </c>
      <c r="F12535" s="5">
        <v>222.4</v>
      </c>
      <c r="G12535" s="5">
        <v>110.5</v>
      </c>
      <c r="H12535" s="5">
        <v>110.4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112</v>
      </c>
      <c r="D12536" s="5">
        <v>0.1</v>
      </c>
      <c r="E12536" s="5">
        <v>112.1</v>
      </c>
      <c r="F12536" s="5">
        <v>222.4</v>
      </c>
      <c r="G12536" s="5">
        <v>110.5</v>
      </c>
      <c r="H12536" s="5">
        <v>110.4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112</v>
      </c>
      <c r="D12537" s="5">
        <v>0.1</v>
      </c>
      <c r="E12537" s="5">
        <v>112.1</v>
      </c>
      <c r="F12537" s="5">
        <v>222.4</v>
      </c>
      <c r="G12537" s="5">
        <v>110.5</v>
      </c>
      <c r="H12537" s="5">
        <v>110.4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112</v>
      </c>
      <c r="D12538" s="5">
        <v>0.1</v>
      </c>
      <c r="E12538" s="5">
        <v>112.1</v>
      </c>
      <c r="F12538" s="5">
        <v>222.4</v>
      </c>
      <c r="G12538" s="5">
        <v>110.5</v>
      </c>
      <c r="H12538" s="5">
        <v>110.4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112</v>
      </c>
      <c r="D12539" s="5">
        <v>0.1</v>
      </c>
      <c r="E12539" s="5">
        <v>112.1</v>
      </c>
      <c r="F12539" s="5">
        <v>222.4</v>
      </c>
      <c r="G12539" s="5">
        <v>110.5</v>
      </c>
      <c r="H12539" s="5">
        <v>110.4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112</v>
      </c>
      <c r="D12540" s="5">
        <v>0.1</v>
      </c>
      <c r="E12540" s="5">
        <v>112.1</v>
      </c>
      <c r="F12540" s="5">
        <v>222.4</v>
      </c>
      <c r="G12540" s="5">
        <v>110.5</v>
      </c>
      <c r="H12540" s="5">
        <v>110.4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112</v>
      </c>
      <c r="D12541" s="5">
        <v>0.1</v>
      </c>
      <c r="E12541" s="5">
        <v>112.1</v>
      </c>
      <c r="F12541" s="5">
        <v>222.4</v>
      </c>
      <c r="G12541" s="5">
        <v>110.5</v>
      </c>
      <c r="H12541" s="5">
        <v>110.4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112</v>
      </c>
      <c r="D12542" s="5">
        <v>0.1</v>
      </c>
      <c r="E12542" s="5">
        <v>112.1</v>
      </c>
      <c r="F12542" s="5">
        <v>222.4</v>
      </c>
      <c r="G12542" s="5">
        <v>110.5</v>
      </c>
      <c r="H12542" s="5">
        <v>110.4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112</v>
      </c>
      <c r="D12543" s="5">
        <v>0.1</v>
      </c>
      <c r="E12543" s="5">
        <v>112.1</v>
      </c>
      <c r="F12543" s="5">
        <v>222.4</v>
      </c>
      <c r="G12543" s="5">
        <v>110.5</v>
      </c>
      <c r="H12543" s="5">
        <v>110.4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112</v>
      </c>
      <c r="D12544" s="5">
        <v>0.1</v>
      </c>
      <c r="E12544" s="5">
        <v>112.1</v>
      </c>
      <c r="F12544" s="5">
        <v>222.4</v>
      </c>
      <c r="G12544" s="5">
        <v>110.5</v>
      </c>
      <c r="H12544" s="5">
        <v>110.4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112</v>
      </c>
      <c r="D12545" s="5">
        <v>0.1</v>
      </c>
      <c r="E12545" s="5">
        <v>112.1</v>
      </c>
      <c r="F12545" s="5">
        <v>222.4</v>
      </c>
      <c r="G12545" s="5">
        <v>110.5</v>
      </c>
      <c r="H12545" s="5">
        <v>110.4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112</v>
      </c>
      <c r="D12546" s="5">
        <v>0.1</v>
      </c>
      <c r="E12546" s="5">
        <v>112.1</v>
      </c>
      <c r="F12546" s="5">
        <v>222.4</v>
      </c>
      <c r="G12546" s="5">
        <v>110.5</v>
      </c>
      <c r="H12546" s="5">
        <v>110.4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112</v>
      </c>
      <c r="D12547" s="5">
        <v>0.1</v>
      </c>
      <c r="E12547" s="5">
        <v>112.1</v>
      </c>
      <c r="F12547" s="5">
        <v>222.4</v>
      </c>
      <c r="G12547" s="5">
        <v>110.5</v>
      </c>
      <c r="H12547" s="5">
        <v>110.4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112</v>
      </c>
      <c r="D12548" s="5">
        <v>0.1</v>
      </c>
      <c r="E12548" s="5">
        <v>112.1</v>
      </c>
      <c r="F12548" s="5">
        <v>222.4</v>
      </c>
      <c r="G12548" s="5">
        <v>110.5</v>
      </c>
      <c r="H12548" s="5">
        <v>110.4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112</v>
      </c>
      <c r="D12549" s="5">
        <v>0.1</v>
      </c>
      <c r="E12549" s="5">
        <v>112.1</v>
      </c>
      <c r="F12549" s="5">
        <v>222.4</v>
      </c>
      <c r="G12549" s="5">
        <v>110.5</v>
      </c>
      <c r="H12549" s="5">
        <v>110.4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112</v>
      </c>
      <c r="D12550" s="5">
        <v>0.1</v>
      </c>
      <c r="E12550" s="5">
        <v>112.1</v>
      </c>
      <c r="F12550" s="5">
        <v>222.4</v>
      </c>
      <c r="G12550" s="5">
        <v>110.5</v>
      </c>
      <c r="H12550" s="5">
        <v>110.4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112</v>
      </c>
      <c r="D12551" s="5">
        <v>0.1</v>
      </c>
      <c r="E12551" s="5">
        <v>112.1</v>
      </c>
      <c r="F12551" s="5">
        <v>222.4</v>
      </c>
      <c r="G12551" s="5">
        <v>110.5</v>
      </c>
      <c r="H12551" s="5">
        <v>110.4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112</v>
      </c>
      <c r="D12552" s="5">
        <v>0.1</v>
      </c>
      <c r="E12552" s="5">
        <v>112.1</v>
      </c>
      <c r="F12552" s="5">
        <v>222.4</v>
      </c>
      <c r="G12552" s="5">
        <v>110.5</v>
      </c>
      <c r="H12552" s="5">
        <v>110.4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112</v>
      </c>
      <c r="D12553" s="5">
        <v>0.1</v>
      </c>
      <c r="E12553" s="5">
        <v>112.1</v>
      </c>
      <c r="F12553" s="5">
        <v>222.4</v>
      </c>
      <c r="G12553" s="5">
        <v>110.5</v>
      </c>
      <c r="H12553" s="5">
        <v>110.4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112</v>
      </c>
      <c r="D12554" s="5">
        <v>0.1</v>
      </c>
      <c r="E12554" s="5">
        <v>112.1</v>
      </c>
      <c r="F12554" s="5">
        <v>222.4</v>
      </c>
      <c r="G12554" s="5">
        <v>110.5</v>
      </c>
      <c r="H12554" s="5">
        <v>110.4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112</v>
      </c>
      <c r="D12555" s="5">
        <v>0.1</v>
      </c>
      <c r="E12555" s="5">
        <v>112.1</v>
      </c>
      <c r="F12555" s="5">
        <v>222.4</v>
      </c>
      <c r="G12555" s="5">
        <v>110.5</v>
      </c>
      <c r="H12555" s="5">
        <v>110.4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112</v>
      </c>
      <c r="D12556" s="5">
        <v>0.1</v>
      </c>
      <c r="E12556" s="5">
        <v>112.1</v>
      </c>
      <c r="F12556" s="5">
        <v>222.4</v>
      </c>
      <c r="G12556" s="5">
        <v>110.5</v>
      </c>
      <c r="H12556" s="5">
        <v>110.4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112</v>
      </c>
      <c r="D12557" s="5">
        <v>0.1</v>
      </c>
      <c r="E12557" s="5">
        <v>112.1</v>
      </c>
      <c r="F12557" s="5">
        <v>222.4</v>
      </c>
      <c r="G12557" s="5">
        <v>110.5</v>
      </c>
      <c r="H12557" s="5">
        <v>110.4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112</v>
      </c>
      <c r="D12558" s="5">
        <v>0.1</v>
      </c>
      <c r="E12558" s="5">
        <v>112.1</v>
      </c>
      <c r="F12558" s="5">
        <v>222.4</v>
      </c>
      <c r="G12558" s="5">
        <v>110.5</v>
      </c>
      <c r="H12558" s="5">
        <v>110.4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112</v>
      </c>
      <c r="D12559" s="5">
        <v>0.1</v>
      </c>
      <c r="E12559" s="5">
        <v>112.1</v>
      </c>
      <c r="F12559" s="5">
        <v>222.4</v>
      </c>
      <c r="G12559" s="5">
        <v>110.5</v>
      </c>
      <c r="H12559" s="5">
        <v>110.4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112</v>
      </c>
      <c r="D12560" s="5">
        <v>0.1</v>
      </c>
      <c r="E12560" s="5">
        <v>112.1</v>
      </c>
      <c r="F12560" s="5">
        <v>222.4</v>
      </c>
      <c r="G12560" s="5">
        <v>110.5</v>
      </c>
      <c r="H12560" s="5">
        <v>110.4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112</v>
      </c>
      <c r="D12561" s="5">
        <v>0.1</v>
      </c>
      <c r="E12561" s="5">
        <v>112.1</v>
      </c>
      <c r="F12561" s="5">
        <v>222.4</v>
      </c>
      <c r="G12561" s="5">
        <v>110.5</v>
      </c>
      <c r="H12561" s="5">
        <v>110.4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112</v>
      </c>
      <c r="D12562" s="5">
        <v>0.1</v>
      </c>
      <c r="E12562" s="5">
        <v>112.1</v>
      </c>
      <c r="F12562" s="5">
        <v>222.4</v>
      </c>
      <c r="G12562" s="5">
        <v>110.5</v>
      </c>
      <c r="H12562" s="5">
        <v>110.4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112</v>
      </c>
      <c r="D12563" s="5">
        <v>0.1</v>
      </c>
      <c r="E12563" s="5">
        <v>112.1</v>
      </c>
      <c r="F12563" s="5">
        <v>222.4</v>
      </c>
      <c r="G12563" s="5">
        <v>110.5</v>
      </c>
      <c r="H12563" s="5">
        <v>110.4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112</v>
      </c>
      <c r="D12564" s="5">
        <v>0.1</v>
      </c>
      <c r="E12564" s="5">
        <v>112.1</v>
      </c>
      <c r="F12564" s="5">
        <v>222.4</v>
      </c>
      <c r="G12564" s="5">
        <v>110.5</v>
      </c>
      <c r="H12564" s="5">
        <v>110.4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112</v>
      </c>
      <c r="D12565" s="5">
        <v>0.1</v>
      </c>
      <c r="E12565" s="5">
        <v>112.1</v>
      </c>
      <c r="F12565" s="5">
        <v>222.4</v>
      </c>
      <c r="G12565" s="5">
        <v>110.5</v>
      </c>
      <c r="H12565" s="5">
        <v>110.4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112</v>
      </c>
      <c r="D12566" s="5">
        <v>0.1</v>
      </c>
      <c r="E12566" s="5">
        <v>112.1</v>
      </c>
      <c r="F12566" s="5">
        <v>222.4</v>
      </c>
      <c r="G12566" s="5">
        <v>110.5</v>
      </c>
      <c r="H12566" s="5">
        <v>110.4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112</v>
      </c>
      <c r="D12567" s="5">
        <v>0.1</v>
      </c>
      <c r="E12567" s="5">
        <v>112.1</v>
      </c>
      <c r="F12567" s="5">
        <v>222.4</v>
      </c>
      <c r="G12567" s="5">
        <v>110.5</v>
      </c>
      <c r="H12567" s="5">
        <v>110.4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112</v>
      </c>
      <c r="D12568" s="5">
        <v>0.1</v>
      </c>
      <c r="E12568" s="5">
        <v>112.1</v>
      </c>
      <c r="F12568" s="5">
        <v>222.4</v>
      </c>
      <c r="G12568" s="5">
        <v>110.5</v>
      </c>
      <c r="H12568" s="5">
        <v>110.4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112</v>
      </c>
      <c r="D12569" s="5">
        <v>0.1</v>
      </c>
      <c r="E12569" s="5">
        <v>112.1</v>
      </c>
      <c r="F12569" s="5">
        <v>222.4</v>
      </c>
      <c r="G12569" s="5">
        <v>110.5</v>
      </c>
      <c r="H12569" s="5">
        <v>110.4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112</v>
      </c>
      <c r="D12570" s="5">
        <v>0.1</v>
      </c>
      <c r="E12570" s="5">
        <v>112.1</v>
      </c>
      <c r="F12570" s="5">
        <v>222.4</v>
      </c>
      <c r="G12570" s="5">
        <v>110.5</v>
      </c>
      <c r="H12570" s="5">
        <v>110.4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112</v>
      </c>
      <c r="D12571" s="5">
        <v>0.1</v>
      </c>
      <c r="E12571" s="5">
        <v>112.1</v>
      </c>
      <c r="F12571" s="5">
        <v>222.4</v>
      </c>
      <c r="G12571" s="5">
        <v>110.5</v>
      </c>
      <c r="H12571" s="5">
        <v>110.4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112</v>
      </c>
      <c r="D12572" s="5">
        <v>0.1</v>
      </c>
      <c r="E12572" s="5">
        <v>112.1</v>
      </c>
      <c r="F12572" s="5">
        <v>222.4</v>
      </c>
      <c r="G12572" s="5">
        <v>110.5</v>
      </c>
      <c r="H12572" s="5">
        <v>110.4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112</v>
      </c>
      <c r="D12573" s="5">
        <v>0.1</v>
      </c>
      <c r="E12573" s="5">
        <v>112.1</v>
      </c>
      <c r="F12573" s="5">
        <v>222.4</v>
      </c>
      <c r="G12573" s="5">
        <v>110.5</v>
      </c>
      <c r="H12573" s="5">
        <v>110.4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112</v>
      </c>
      <c r="D12574" s="5">
        <v>0.1</v>
      </c>
      <c r="E12574" s="5">
        <v>112.1</v>
      </c>
      <c r="F12574" s="5">
        <v>222.4</v>
      </c>
      <c r="G12574" s="5">
        <v>110.5</v>
      </c>
      <c r="H12574" s="5">
        <v>110.4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112</v>
      </c>
      <c r="D12575" s="5">
        <v>0.1</v>
      </c>
      <c r="E12575" s="5">
        <v>112.1</v>
      </c>
      <c r="F12575" s="5">
        <v>222.4</v>
      </c>
      <c r="G12575" s="5">
        <v>110.5</v>
      </c>
      <c r="H12575" s="5">
        <v>110.4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112</v>
      </c>
      <c r="D12576" s="5">
        <v>0.1</v>
      </c>
      <c r="E12576" s="5">
        <v>112.1</v>
      </c>
      <c r="F12576" s="5">
        <v>222.4</v>
      </c>
      <c r="G12576" s="5">
        <v>110.5</v>
      </c>
      <c r="H12576" s="5">
        <v>110.4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112</v>
      </c>
      <c r="D12577" s="5">
        <v>0.1</v>
      </c>
      <c r="E12577" s="5">
        <v>112.1</v>
      </c>
      <c r="F12577" s="5">
        <v>222.4</v>
      </c>
      <c r="G12577" s="5">
        <v>110.5</v>
      </c>
      <c r="H12577" s="5">
        <v>110.4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112</v>
      </c>
      <c r="D12578" s="5">
        <v>0.1</v>
      </c>
      <c r="E12578" s="5">
        <v>112.1</v>
      </c>
      <c r="F12578" s="5">
        <v>222.4</v>
      </c>
      <c r="G12578" s="5">
        <v>110.5</v>
      </c>
      <c r="H12578" s="5">
        <v>110.4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112</v>
      </c>
      <c r="D12579" s="5">
        <v>0.1</v>
      </c>
      <c r="E12579" s="5">
        <v>112.1</v>
      </c>
      <c r="F12579" s="5">
        <v>222.4</v>
      </c>
      <c r="G12579" s="5">
        <v>110.5</v>
      </c>
      <c r="H12579" s="5">
        <v>110.4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112</v>
      </c>
      <c r="D12580" s="5">
        <v>0.1</v>
      </c>
      <c r="E12580" s="5">
        <v>112.1</v>
      </c>
      <c r="F12580" s="5">
        <v>222.4</v>
      </c>
      <c r="G12580" s="5">
        <v>110.5</v>
      </c>
      <c r="H12580" s="5">
        <v>110.4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112</v>
      </c>
      <c r="D12581" s="5">
        <v>0.1</v>
      </c>
      <c r="E12581" s="5">
        <v>112.1</v>
      </c>
      <c r="F12581" s="5">
        <v>222.4</v>
      </c>
      <c r="G12581" s="5">
        <v>110.5</v>
      </c>
      <c r="H12581" s="5">
        <v>110.4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112</v>
      </c>
      <c r="D12582" s="5">
        <v>0.1</v>
      </c>
      <c r="E12582" s="5">
        <v>112.1</v>
      </c>
      <c r="F12582" s="5">
        <v>222.4</v>
      </c>
      <c r="G12582" s="5">
        <v>110.5</v>
      </c>
      <c r="H12582" s="5">
        <v>110.4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112</v>
      </c>
      <c r="D12583" s="5">
        <v>0.1</v>
      </c>
      <c r="E12583" s="5">
        <v>112.1</v>
      </c>
      <c r="F12583" s="5">
        <v>222.4</v>
      </c>
      <c r="G12583" s="5">
        <v>110.5</v>
      </c>
      <c r="H12583" s="5">
        <v>110.4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112</v>
      </c>
      <c r="D12584" s="5">
        <v>0.1</v>
      </c>
      <c r="E12584" s="5">
        <v>112.1</v>
      </c>
      <c r="F12584" s="5">
        <v>222.4</v>
      </c>
      <c r="G12584" s="5">
        <v>110.5</v>
      </c>
      <c r="H12584" s="5">
        <v>110.4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112</v>
      </c>
      <c r="D12585" s="5">
        <v>0.1</v>
      </c>
      <c r="E12585" s="5">
        <v>112.1</v>
      </c>
      <c r="F12585" s="5">
        <v>222.4</v>
      </c>
      <c r="G12585" s="5">
        <v>110.5</v>
      </c>
      <c r="H12585" s="5">
        <v>110.4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112</v>
      </c>
      <c r="D12586" s="5">
        <v>0.1</v>
      </c>
      <c r="E12586" s="5">
        <v>112.1</v>
      </c>
      <c r="F12586" s="5">
        <v>222.4</v>
      </c>
      <c r="G12586" s="5">
        <v>110.5</v>
      </c>
      <c r="H12586" s="5">
        <v>110.4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112</v>
      </c>
      <c r="D12587" s="5">
        <v>0.1</v>
      </c>
      <c r="E12587" s="5">
        <v>112.1</v>
      </c>
      <c r="F12587" s="5">
        <v>222.4</v>
      </c>
      <c r="G12587" s="5">
        <v>110.5</v>
      </c>
      <c r="H12587" s="5">
        <v>110.4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112</v>
      </c>
      <c r="D12588" s="5">
        <v>0.1</v>
      </c>
      <c r="E12588" s="5">
        <v>112.1</v>
      </c>
      <c r="F12588" s="5">
        <v>222.4</v>
      </c>
      <c r="G12588" s="5">
        <v>110.5</v>
      </c>
      <c r="H12588" s="5">
        <v>110.4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112</v>
      </c>
      <c r="D12589" s="5">
        <v>0.1</v>
      </c>
      <c r="E12589" s="5">
        <v>112.1</v>
      </c>
      <c r="F12589" s="5">
        <v>222.4</v>
      </c>
      <c r="G12589" s="5">
        <v>110.5</v>
      </c>
      <c r="H12589" s="5">
        <v>110.4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112</v>
      </c>
      <c r="D12590" s="5">
        <v>0.1</v>
      </c>
      <c r="E12590" s="5">
        <v>112.1</v>
      </c>
      <c r="F12590" s="5">
        <v>222.4</v>
      </c>
      <c r="G12590" s="5">
        <v>110.5</v>
      </c>
      <c r="H12590" s="5">
        <v>110.4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112</v>
      </c>
      <c r="D12591" s="5">
        <v>0.1</v>
      </c>
      <c r="E12591" s="5">
        <v>112.1</v>
      </c>
      <c r="F12591" s="5">
        <v>222.4</v>
      </c>
      <c r="G12591" s="5">
        <v>110.5</v>
      </c>
      <c r="H12591" s="5">
        <v>110.4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112</v>
      </c>
      <c r="D12592" s="5">
        <v>0.1</v>
      </c>
      <c r="E12592" s="5">
        <v>112.1</v>
      </c>
      <c r="F12592" s="5">
        <v>222.4</v>
      </c>
      <c r="G12592" s="5">
        <v>110.5</v>
      </c>
      <c r="H12592" s="5">
        <v>110.4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112</v>
      </c>
      <c r="D12593" s="5">
        <v>0.1</v>
      </c>
      <c r="E12593" s="5">
        <v>112.1</v>
      </c>
      <c r="F12593" s="5">
        <v>222.4</v>
      </c>
      <c r="G12593" s="5">
        <v>110.5</v>
      </c>
      <c r="H12593" s="5">
        <v>110.4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112</v>
      </c>
      <c r="D12594" s="5">
        <v>0.1</v>
      </c>
      <c r="E12594" s="5">
        <v>112.1</v>
      </c>
      <c r="F12594" s="5">
        <v>222.4</v>
      </c>
      <c r="G12594" s="5">
        <v>110.5</v>
      </c>
      <c r="H12594" s="5">
        <v>110.4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112</v>
      </c>
      <c r="D12595" s="5">
        <v>0.1</v>
      </c>
      <c r="E12595" s="5">
        <v>112.1</v>
      </c>
      <c r="F12595" s="5">
        <v>222.4</v>
      </c>
      <c r="G12595" s="5">
        <v>110.5</v>
      </c>
      <c r="H12595" s="5">
        <v>110.4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112</v>
      </c>
      <c r="D12596" s="5">
        <v>0.1</v>
      </c>
      <c r="E12596" s="5">
        <v>112.1</v>
      </c>
      <c r="F12596" s="5">
        <v>222.4</v>
      </c>
      <c r="G12596" s="5">
        <v>110.5</v>
      </c>
      <c r="H12596" s="5">
        <v>110.4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112</v>
      </c>
      <c r="D12597" s="5">
        <v>0.1</v>
      </c>
      <c r="E12597" s="5">
        <v>112.1</v>
      </c>
      <c r="F12597" s="5">
        <v>222.4</v>
      </c>
      <c r="G12597" s="5">
        <v>110.5</v>
      </c>
      <c r="H12597" s="5">
        <v>110.4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112</v>
      </c>
      <c r="D12598" s="5">
        <v>0.1</v>
      </c>
      <c r="E12598" s="5">
        <v>112.1</v>
      </c>
      <c r="F12598" s="5">
        <v>222.4</v>
      </c>
      <c r="G12598" s="5">
        <v>110.5</v>
      </c>
      <c r="H12598" s="5">
        <v>110.4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112</v>
      </c>
      <c r="D12599" s="5">
        <v>0.1</v>
      </c>
      <c r="E12599" s="5">
        <v>112.1</v>
      </c>
      <c r="F12599" s="5">
        <v>222.4</v>
      </c>
      <c r="G12599" s="5">
        <v>110.5</v>
      </c>
      <c r="H12599" s="5">
        <v>110.4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112</v>
      </c>
      <c r="D12600" s="5">
        <v>0.1</v>
      </c>
      <c r="E12600" s="5">
        <v>112.1</v>
      </c>
      <c r="F12600" s="5">
        <v>222.4</v>
      </c>
      <c r="G12600" s="5">
        <v>110.5</v>
      </c>
      <c r="H12600" s="5">
        <v>110.4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112</v>
      </c>
      <c r="D12601" s="5">
        <v>0.1</v>
      </c>
      <c r="E12601" s="5">
        <v>112.1</v>
      </c>
      <c r="F12601" s="5">
        <v>222.4</v>
      </c>
      <c r="G12601" s="5">
        <v>110.5</v>
      </c>
      <c r="H12601" s="5">
        <v>110.4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112</v>
      </c>
      <c r="D12602" s="5">
        <v>0.1</v>
      </c>
      <c r="E12602" s="5">
        <v>112.1</v>
      </c>
      <c r="F12602" s="5">
        <v>222.4</v>
      </c>
      <c r="G12602" s="5">
        <v>110.5</v>
      </c>
      <c r="H12602" s="5">
        <v>110.4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112</v>
      </c>
      <c r="D12603" s="5">
        <v>0.1</v>
      </c>
      <c r="E12603" s="5">
        <v>112.1</v>
      </c>
      <c r="F12603" s="5">
        <v>222.4</v>
      </c>
      <c r="G12603" s="5">
        <v>110.5</v>
      </c>
      <c r="H12603" s="5">
        <v>110.4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112</v>
      </c>
      <c r="D12604" s="5">
        <v>0.1</v>
      </c>
      <c r="E12604" s="5">
        <v>112.1</v>
      </c>
      <c r="F12604" s="5">
        <v>222.4</v>
      </c>
      <c r="G12604" s="5">
        <v>110.5</v>
      </c>
      <c r="H12604" s="5">
        <v>110.4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112</v>
      </c>
      <c r="D12605" s="5">
        <v>0.1</v>
      </c>
      <c r="E12605" s="5">
        <v>112.1</v>
      </c>
      <c r="F12605" s="5">
        <v>222.4</v>
      </c>
      <c r="G12605" s="5">
        <v>110.5</v>
      </c>
      <c r="H12605" s="5">
        <v>110.4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112</v>
      </c>
      <c r="D12606" s="5">
        <v>0.1</v>
      </c>
      <c r="E12606" s="5">
        <v>112.1</v>
      </c>
      <c r="F12606" s="5">
        <v>222.4</v>
      </c>
      <c r="G12606" s="5">
        <v>110.5</v>
      </c>
      <c r="H12606" s="5">
        <v>110.4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112</v>
      </c>
      <c r="D12607" s="5">
        <v>0.1</v>
      </c>
      <c r="E12607" s="5">
        <v>112.1</v>
      </c>
      <c r="F12607" s="5">
        <v>222.4</v>
      </c>
      <c r="G12607" s="5">
        <v>110.5</v>
      </c>
      <c r="H12607" s="5">
        <v>110.4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112</v>
      </c>
      <c r="D12608" s="5">
        <v>0.1</v>
      </c>
      <c r="E12608" s="5">
        <v>112.1</v>
      </c>
      <c r="F12608" s="5">
        <v>222.4</v>
      </c>
      <c r="G12608" s="5">
        <v>110.5</v>
      </c>
      <c r="H12608" s="5">
        <v>110.4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112</v>
      </c>
      <c r="D12609" s="5">
        <v>0.1</v>
      </c>
      <c r="E12609" s="5">
        <v>112.1</v>
      </c>
      <c r="F12609" s="5">
        <v>222.4</v>
      </c>
      <c r="G12609" s="5">
        <v>110.5</v>
      </c>
      <c r="H12609" s="5">
        <v>110.4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112</v>
      </c>
      <c r="D12610" s="5">
        <v>0.1</v>
      </c>
      <c r="E12610" s="5">
        <v>112.1</v>
      </c>
      <c r="F12610" s="5">
        <v>222.4</v>
      </c>
      <c r="G12610" s="5">
        <v>110.5</v>
      </c>
      <c r="H12610" s="5">
        <v>110.4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112</v>
      </c>
      <c r="D12611" s="5">
        <v>0.1</v>
      </c>
      <c r="E12611" s="5">
        <v>112.1</v>
      </c>
      <c r="F12611" s="5">
        <v>222.4</v>
      </c>
      <c r="G12611" s="5">
        <v>110.5</v>
      </c>
      <c r="H12611" s="5">
        <v>110.4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112</v>
      </c>
      <c r="D12612" s="5">
        <v>0.1</v>
      </c>
      <c r="E12612" s="5">
        <v>112.1</v>
      </c>
      <c r="F12612" s="5">
        <v>222.4</v>
      </c>
      <c r="G12612" s="5">
        <v>110.5</v>
      </c>
      <c r="H12612" s="5">
        <v>110.4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112</v>
      </c>
      <c r="D12613" s="5">
        <v>0.1</v>
      </c>
      <c r="E12613" s="5">
        <v>112.1</v>
      </c>
      <c r="F12613" s="5">
        <v>222.4</v>
      </c>
      <c r="G12613" s="5">
        <v>110.5</v>
      </c>
      <c r="H12613" s="5">
        <v>110.4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112</v>
      </c>
      <c r="D12614" s="5">
        <v>0.1</v>
      </c>
      <c r="E12614" s="5">
        <v>112.1</v>
      </c>
      <c r="F12614" s="5">
        <v>222.4</v>
      </c>
      <c r="G12614" s="5">
        <v>110.5</v>
      </c>
      <c r="H12614" s="5">
        <v>110.4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112</v>
      </c>
      <c r="D12615" s="5">
        <v>0.1</v>
      </c>
      <c r="E12615" s="5">
        <v>112.1</v>
      </c>
      <c r="F12615" s="5">
        <v>222.4</v>
      </c>
      <c r="G12615" s="5">
        <v>110.5</v>
      </c>
      <c r="H12615" s="5">
        <v>110.4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112</v>
      </c>
      <c r="D12616" s="5">
        <v>0.1</v>
      </c>
      <c r="E12616" s="5">
        <v>112.1</v>
      </c>
      <c r="F12616" s="5">
        <v>222.4</v>
      </c>
      <c r="G12616" s="5">
        <v>110.5</v>
      </c>
      <c r="H12616" s="5">
        <v>110.4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112</v>
      </c>
      <c r="D12617" s="5">
        <v>0.1</v>
      </c>
      <c r="E12617" s="5">
        <v>112.1</v>
      </c>
      <c r="F12617" s="5">
        <v>222.4</v>
      </c>
      <c r="G12617" s="5">
        <v>110.5</v>
      </c>
      <c r="H12617" s="5">
        <v>110.4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112</v>
      </c>
      <c r="D12618" s="5">
        <v>0.1</v>
      </c>
      <c r="E12618" s="5">
        <v>112.1</v>
      </c>
      <c r="F12618" s="5">
        <v>222.4</v>
      </c>
      <c r="G12618" s="5">
        <v>110.5</v>
      </c>
      <c r="H12618" s="5">
        <v>110.4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112</v>
      </c>
      <c r="D12619" s="5">
        <v>0.1</v>
      </c>
      <c r="E12619" s="5">
        <v>112.1</v>
      </c>
      <c r="F12619" s="5">
        <v>222.4</v>
      </c>
      <c r="G12619" s="5">
        <v>110.5</v>
      </c>
      <c r="H12619" s="5">
        <v>110.4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112</v>
      </c>
      <c r="D12620" s="5">
        <v>0.1</v>
      </c>
      <c r="E12620" s="5">
        <v>112.1</v>
      </c>
      <c r="F12620" s="5">
        <v>222.4</v>
      </c>
      <c r="G12620" s="5">
        <v>110.5</v>
      </c>
      <c r="H12620" s="5">
        <v>110.4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112</v>
      </c>
      <c r="D12621" s="5">
        <v>0.1</v>
      </c>
      <c r="E12621" s="5">
        <v>112.1</v>
      </c>
      <c r="F12621" s="5">
        <v>222.4</v>
      </c>
      <c r="G12621" s="5">
        <v>110.5</v>
      </c>
      <c r="H12621" s="5">
        <v>110.4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112</v>
      </c>
      <c r="D12622" s="5">
        <v>0.1</v>
      </c>
      <c r="E12622" s="5">
        <v>112.1</v>
      </c>
      <c r="F12622" s="5">
        <v>222.4</v>
      </c>
      <c r="G12622" s="5">
        <v>110.5</v>
      </c>
      <c r="H12622" s="5">
        <v>110.4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112</v>
      </c>
      <c r="D12623" s="5">
        <v>0.1</v>
      </c>
      <c r="E12623" s="5">
        <v>112.1</v>
      </c>
      <c r="F12623" s="5">
        <v>222.4</v>
      </c>
      <c r="G12623" s="5">
        <v>110.5</v>
      </c>
      <c r="H12623" s="5">
        <v>110.4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112</v>
      </c>
      <c r="D12624" s="5">
        <v>0.1</v>
      </c>
      <c r="E12624" s="5">
        <v>112.1</v>
      </c>
      <c r="F12624" s="5">
        <v>222.4</v>
      </c>
      <c r="G12624" s="5">
        <v>110.5</v>
      </c>
      <c r="H12624" s="5">
        <v>110.4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112</v>
      </c>
      <c r="D12625" s="5">
        <v>0.1</v>
      </c>
      <c r="E12625" s="5">
        <v>112.1</v>
      </c>
      <c r="F12625" s="5">
        <v>222.4</v>
      </c>
      <c r="G12625" s="5">
        <v>110.5</v>
      </c>
      <c r="H12625" s="5">
        <v>110.4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112</v>
      </c>
      <c r="D12626" s="5">
        <v>0.1</v>
      </c>
      <c r="E12626" s="5">
        <v>112.1</v>
      </c>
      <c r="F12626" s="5">
        <v>222.4</v>
      </c>
      <c r="G12626" s="5">
        <v>110.5</v>
      </c>
      <c r="H12626" s="5">
        <v>110.4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112</v>
      </c>
      <c r="D12627" s="5">
        <v>0.1</v>
      </c>
      <c r="E12627" s="5">
        <v>112.1</v>
      </c>
      <c r="F12627" s="5">
        <v>222.4</v>
      </c>
      <c r="G12627" s="5">
        <v>110.5</v>
      </c>
      <c r="H12627" s="5">
        <v>110.4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112</v>
      </c>
      <c r="D12628" s="5">
        <v>0.1</v>
      </c>
      <c r="E12628" s="5">
        <v>112.1</v>
      </c>
      <c r="F12628" s="5">
        <v>222.4</v>
      </c>
      <c r="G12628" s="5">
        <v>110.5</v>
      </c>
      <c r="H12628" s="5">
        <v>110.4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112</v>
      </c>
      <c r="D12629" s="5">
        <v>0.1</v>
      </c>
      <c r="E12629" s="5">
        <v>112.1</v>
      </c>
      <c r="F12629" s="5">
        <v>222.4</v>
      </c>
      <c r="G12629" s="5">
        <v>110.5</v>
      </c>
      <c r="H12629" s="5">
        <v>110.4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112</v>
      </c>
      <c r="D12630" s="5">
        <v>0.1</v>
      </c>
      <c r="E12630" s="5">
        <v>112.1</v>
      </c>
      <c r="F12630" s="5">
        <v>222.4</v>
      </c>
      <c r="G12630" s="5">
        <v>110.5</v>
      </c>
      <c r="H12630" s="5">
        <v>110.4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112</v>
      </c>
      <c r="D12631" s="5">
        <v>0.1</v>
      </c>
      <c r="E12631" s="5">
        <v>112.1</v>
      </c>
      <c r="F12631" s="5">
        <v>222.4</v>
      </c>
      <c r="G12631" s="5">
        <v>110.5</v>
      </c>
      <c r="H12631" s="5">
        <v>110.4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112</v>
      </c>
      <c r="D12632" s="5">
        <v>0.1</v>
      </c>
      <c r="E12632" s="5">
        <v>112.1</v>
      </c>
      <c r="F12632" s="5">
        <v>222.4</v>
      </c>
      <c r="G12632" s="5">
        <v>110.5</v>
      </c>
      <c r="H12632" s="5">
        <v>110.4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112</v>
      </c>
      <c r="D12633" s="5">
        <v>0.1</v>
      </c>
      <c r="E12633" s="5">
        <v>112.1</v>
      </c>
      <c r="F12633" s="5">
        <v>222.4</v>
      </c>
      <c r="G12633" s="5">
        <v>110.5</v>
      </c>
      <c r="H12633" s="5">
        <v>110.4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112</v>
      </c>
      <c r="D12634" s="5">
        <v>0.1</v>
      </c>
      <c r="E12634" s="5">
        <v>112.1</v>
      </c>
      <c r="F12634" s="5">
        <v>222.4</v>
      </c>
      <c r="G12634" s="5">
        <v>110.5</v>
      </c>
      <c r="H12634" s="5">
        <v>110.4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112</v>
      </c>
      <c r="D12635" s="5">
        <v>0.1</v>
      </c>
      <c r="E12635" s="5">
        <v>112.1</v>
      </c>
      <c r="F12635" s="5">
        <v>222.4</v>
      </c>
      <c r="G12635" s="5">
        <v>110.5</v>
      </c>
      <c r="H12635" s="5">
        <v>110.4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112</v>
      </c>
      <c r="D12636" s="5">
        <v>0.1</v>
      </c>
      <c r="E12636" s="5">
        <v>112.1</v>
      </c>
      <c r="F12636" s="5">
        <v>222.4</v>
      </c>
      <c r="G12636" s="5">
        <v>110.5</v>
      </c>
      <c r="H12636" s="5">
        <v>110.4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112</v>
      </c>
      <c r="D12637" s="5">
        <v>0.1</v>
      </c>
      <c r="E12637" s="5">
        <v>112.1</v>
      </c>
      <c r="F12637" s="5">
        <v>222.4</v>
      </c>
      <c r="G12637" s="5">
        <v>110.5</v>
      </c>
      <c r="H12637" s="5">
        <v>110.4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112</v>
      </c>
      <c r="D12638" s="5">
        <v>0.1</v>
      </c>
      <c r="E12638" s="5">
        <v>112.1</v>
      </c>
      <c r="F12638" s="5">
        <v>222.4</v>
      </c>
      <c r="G12638" s="5">
        <v>110.5</v>
      </c>
      <c r="H12638" s="5">
        <v>110.4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112</v>
      </c>
      <c r="D12639" s="5">
        <v>0.1</v>
      </c>
      <c r="E12639" s="5">
        <v>112.1</v>
      </c>
      <c r="F12639" s="5">
        <v>222.4</v>
      </c>
      <c r="G12639" s="5">
        <v>110.5</v>
      </c>
      <c r="H12639" s="5">
        <v>110.4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112</v>
      </c>
      <c r="D12640" s="5">
        <v>0.1</v>
      </c>
      <c r="E12640" s="5">
        <v>112.1</v>
      </c>
      <c r="F12640" s="5">
        <v>222.4</v>
      </c>
      <c r="G12640" s="5">
        <v>110.5</v>
      </c>
      <c r="H12640" s="5">
        <v>110.4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112</v>
      </c>
      <c r="D12641" s="5">
        <v>0.1</v>
      </c>
      <c r="E12641" s="5">
        <v>112.1</v>
      </c>
      <c r="F12641" s="5">
        <v>222.4</v>
      </c>
      <c r="G12641" s="5">
        <v>110.5</v>
      </c>
      <c r="H12641" s="5">
        <v>110.4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112</v>
      </c>
      <c r="D12642" s="5">
        <v>0.1</v>
      </c>
      <c r="E12642" s="5">
        <v>112.1</v>
      </c>
      <c r="F12642" s="5">
        <v>222.4</v>
      </c>
      <c r="G12642" s="5">
        <v>110.5</v>
      </c>
      <c r="H12642" s="5">
        <v>110.4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112</v>
      </c>
      <c r="D12643" s="5">
        <v>0.1</v>
      </c>
      <c r="E12643" s="5">
        <v>112.1</v>
      </c>
      <c r="F12643" s="5">
        <v>222.4</v>
      </c>
      <c r="G12643" s="5">
        <v>110.5</v>
      </c>
      <c r="H12643" s="5">
        <v>110.4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112</v>
      </c>
      <c r="D12644" s="5">
        <v>0.1</v>
      </c>
      <c r="E12644" s="5">
        <v>112.1</v>
      </c>
      <c r="F12644" s="5">
        <v>222.4</v>
      </c>
      <c r="G12644" s="5">
        <v>110.5</v>
      </c>
      <c r="H12644" s="5">
        <v>110.4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112</v>
      </c>
      <c r="D12645" s="5">
        <v>0.1</v>
      </c>
      <c r="E12645" s="5">
        <v>112.1</v>
      </c>
      <c r="F12645" s="5">
        <v>222.4</v>
      </c>
      <c r="G12645" s="5">
        <v>110.5</v>
      </c>
      <c r="H12645" s="5">
        <v>110.4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112</v>
      </c>
      <c r="D12646" s="5">
        <v>0.1</v>
      </c>
      <c r="E12646" s="5">
        <v>112.1</v>
      </c>
      <c r="F12646" s="5">
        <v>222.4</v>
      </c>
      <c r="G12646" s="5">
        <v>110.5</v>
      </c>
      <c r="H12646" s="5">
        <v>110.4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112</v>
      </c>
      <c r="D12647" s="5">
        <v>0.1</v>
      </c>
      <c r="E12647" s="5">
        <v>112.1</v>
      </c>
      <c r="F12647" s="5">
        <v>222.4</v>
      </c>
      <c r="G12647" s="5">
        <v>110.5</v>
      </c>
      <c r="H12647" s="5">
        <v>110.4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112</v>
      </c>
      <c r="D12648" s="5">
        <v>0.1</v>
      </c>
      <c r="E12648" s="5">
        <v>112.1</v>
      </c>
      <c r="F12648" s="5">
        <v>222.4</v>
      </c>
      <c r="G12648" s="5">
        <v>110.5</v>
      </c>
      <c r="H12648" s="5">
        <v>110.4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112</v>
      </c>
      <c r="D12649" s="5">
        <v>0.1</v>
      </c>
      <c r="E12649" s="5">
        <v>112.1</v>
      </c>
      <c r="F12649" s="5">
        <v>222.4</v>
      </c>
      <c r="G12649" s="5">
        <v>110.5</v>
      </c>
      <c r="H12649" s="5">
        <v>110.4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112</v>
      </c>
      <c r="D12650" s="5">
        <v>0.1</v>
      </c>
      <c r="E12650" s="5">
        <v>112.1</v>
      </c>
      <c r="F12650" s="5">
        <v>222.4</v>
      </c>
      <c r="G12650" s="5">
        <v>110.5</v>
      </c>
      <c r="H12650" s="5">
        <v>110.4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112</v>
      </c>
      <c r="D12651" s="5">
        <v>0.1</v>
      </c>
      <c r="E12651" s="5">
        <v>112.1</v>
      </c>
      <c r="F12651" s="5">
        <v>222.4</v>
      </c>
      <c r="G12651" s="5">
        <v>110.5</v>
      </c>
      <c r="H12651" s="5">
        <v>110.4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112</v>
      </c>
      <c r="D12652" s="5">
        <v>0.1</v>
      </c>
      <c r="E12652" s="5">
        <v>112.1</v>
      </c>
      <c r="F12652" s="5">
        <v>222.4</v>
      </c>
      <c r="G12652" s="5">
        <v>110.5</v>
      </c>
      <c r="H12652" s="5">
        <v>110.4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112</v>
      </c>
      <c r="D12653" s="5">
        <v>0.1</v>
      </c>
      <c r="E12653" s="5">
        <v>112.1</v>
      </c>
      <c r="F12653" s="5">
        <v>222.4</v>
      </c>
      <c r="G12653" s="5">
        <v>110.5</v>
      </c>
      <c r="H12653" s="5">
        <v>110.4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112</v>
      </c>
      <c r="D12654" s="5">
        <v>0.1</v>
      </c>
      <c r="E12654" s="5">
        <v>112.1</v>
      </c>
      <c r="F12654" s="5">
        <v>222.4</v>
      </c>
      <c r="G12654" s="5">
        <v>110.5</v>
      </c>
      <c r="H12654" s="5">
        <v>110.4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112</v>
      </c>
      <c r="D12655" s="5">
        <v>0.1</v>
      </c>
      <c r="E12655" s="5">
        <v>112.1</v>
      </c>
      <c r="F12655" s="5">
        <v>222.4</v>
      </c>
      <c r="G12655" s="5">
        <v>110.5</v>
      </c>
      <c r="H12655" s="5">
        <v>110.4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112</v>
      </c>
      <c r="D12656" s="5">
        <v>0.1</v>
      </c>
      <c r="E12656" s="5">
        <v>112.1</v>
      </c>
      <c r="F12656" s="5">
        <v>222.4</v>
      </c>
      <c r="G12656" s="5">
        <v>110.5</v>
      </c>
      <c r="H12656" s="5">
        <v>110.4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112</v>
      </c>
      <c r="D12657" s="5">
        <v>0.1</v>
      </c>
      <c r="E12657" s="5">
        <v>112.1</v>
      </c>
      <c r="F12657" s="5">
        <v>222.4</v>
      </c>
      <c r="G12657" s="5">
        <v>110.5</v>
      </c>
      <c r="H12657" s="5">
        <v>110.4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112</v>
      </c>
      <c r="D12658" s="5">
        <v>0.1</v>
      </c>
      <c r="E12658" s="5">
        <v>112.1</v>
      </c>
      <c r="F12658" s="5">
        <v>222.4</v>
      </c>
      <c r="G12658" s="5">
        <v>110.5</v>
      </c>
      <c r="H12658" s="5">
        <v>110.4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112</v>
      </c>
      <c r="D12659" s="5">
        <v>0.1</v>
      </c>
      <c r="E12659" s="5">
        <v>112.1</v>
      </c>
      <c r="F12659" s="5">
        <v>222.4</v>
      </c>
      <c r="G12659" s="5">
        <v>110.5</v>
      </c>
      <c r="H12659" s="5">
        <v>110.4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112</v>
      </c>
      <c r="D12660" s="5">
        <v>0.1</v>
      </c>
      <c r="E12660" s="5">
        <v>112.1</v>
      </c>
      <c r="F12660" s="5">
        <v>222.4</v>
      </c>
      <c r="G12660" s="5">
        <v>110.5</v>
      </c>
      <c r="H12660" s="5">
        <v>110.4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112</v>
      </c>
      <c r="D12661" s="5">
        <v>0.1</v>
      </c>
      <c r="E12661" s="5">
        <v>112.1</v>
      </c>
      <c r="F12661" s="5">
        <v>222.4</v>
      </c>
      <c r="G12661" s="5">
        <v>110.5</v>
      </c>
      <c r="H12661" s="5">
        <v>110.4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112</v>
      </c>
      <c r="D12662" s="5">
        <v>0.1</v>
      </c>
      <c r="E12662" s="5">
        <v>112.1</v>
      </c>
      <c r="F12662" s="5">
        <v>222.4</v>
      </c>
      <c r="G12662" s="5">
        <v>110.5</v>
      </c>
      <c r="H12662" s="5">
        <v>110.4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112</v>
      </c>
      <c r="D12663" s="5">
        <v>0.1</v>
      </c>
      <c r="E12663" s="5">
        <v>112.1</v>
      </c>
      <c r="F12663" s="5">
        <v>222.4</v>
      </c>
      <c r="G12663" s="5">
        <v>110.5</v>
      </c>
      <c r="H12663" s="5">
        <v>110.4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112</v>
      </c>
      <c r="D12664" s="5">
        <v>0.1</v>
      </c>
      <c r="E12664" s="5">
        <v>112.1</v>
      </c>
      <c r="F12664" s="5">
        <v>222.4</v>
      </c>
      <c r="G12664" s="5">
        <v>110.5</v>
      </c>
      <c r="H12664" s="5">
        <v>110.4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112</v>
      </c>
      <c r="D12665" s="5">
        <v>0.1</v>
      </c>
      <c r="E12665" s="5">
        <v>112.1</v>
      </c>
      <c r="F12665" s="5">
        <v>222.4</v>
      </c>
      <c r="G12665" s="5">
        <v>110.5</v>
      </c>
      <c r="H12665" s="5">
        <v>110.4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112</v>
      </c>
      <c r="D12666" s="5">
        <v>0.1</v>
      </c>
      <c r="E12666" s="5">
        <v>112.1</v>
      </c>
      <c r="F12666" s="5">
        <v>222.4</v>
      </c>
      <c r="G12666" s="5">
        <v>110.5</v>
      </c>
      <c r="H12666" s="5">
        <v>110.4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112</v>
      </c>
      <c r="D12667" s="5">
        <v>0.1</v>
      </c>
      <c r="E12667" s="5">
        <v>112.1</v>
      </c>
      <c r="F12667" s="5">
        <v>222.4</v>
      </c>
      <c r="G12667" s="5">
        <v>110.5</v>
      </c>
      <c r="H12667" s="5">
        <v>110.4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112</v>
      </c>
      <c r="D12668" s="5">
        <v>0.1</v>
      </c>
      <c r="E12668" s="5">
        <v>112.1</v>
      </c>
      <c r="F12668" s="5">
        <v>222.4</v>
      </c>
      <c r="G12668" s="5">
        <v>110.5</v>
      </c>
      <c r="H12668" s="5">
        <v>110.4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112</v>
      </c>
      <c r="D12669" s="5">
        <v>0.1</v>
      </c>
      <c r="E12669" s="5">
        <v>112.1</v>
      </c>
      <c r="F12669" s="5">
        <v>222.4</v>
      </c>
      <c r="G12669" s="5">
        <v>110.5</v>
      </c>
      <c r="H12669" s="5">
        <v>110.4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112</v>
      </c>
      <c r="D12670" s="5">
        <v>0.1</v>
      </c>
      <c r="E12670" s="5">
        <v>112.1</v>
      </c>
      <c r="F12670" s="5">
        <v>222.4</v>
      </c>
      <c r="G12670" s="5">
        <v>110.5</v>
      </c>
      <c r="H12670" s="5">
        <v>110.4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112</v>
      </c>
      <c r="D12671" s="5">
        <v>0.1</v>
      </c>
      <c r="E12671" s="5">
        <v>112.1</v>
      </c>
      <c r="F12671" s="5">
        <v>222.4</v>
      </c>
      <c r="G12671" s="5">
        <v>110.5</v>
      </c>
      <c r="H12671" s="5">
        <v>110.4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112</v>
      </c>
      <c r="D12672" s="5">
        <v>0.1</v>
      </c>
      <c r="E12672" s="5">
        <v>112.1</v>
      </c>
      <c r="F12672" s="5">
        <v>222.4</v>
      </c>
      <c r="G12672" s="5">
        <v>110.5</v>
      </c>
      <c r="H12672" s="5">
        <v>110.4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112</v>
      </c>
      <c r="D12673" s="5">
        <v>0.1</v>
      </c>
      <c r="E12673" s="5">
        <v>112.1</v>
      </c>
      <c r="F12673" s="5">
        <v>222.4</v>
      </c>
      <c r="G12673" s="5">
        <v>110.5</v>
      </c>
      <c r="H12673" s="5">
        <v>110.4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112</v>
      </c>
      <c r="D12674" s="5">
        <v>0.1</v>
      </c>
      <c r="E12674" s="5">
        <v>112.1</v>
      </c>
      <c r="F12674" s="5">
        <v>222.4</v>
      </c>
      <c r="G12674" s="5">
        <v>110.5</v>
      </c>
      <c r="H12674" s="5">
        <v>110.4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112</v>
      </c>
      <c r="D12675" s="5">
        <v>0.1</v>
      </c>
      <c r="E12675" s="5">
        <v>112.1</v>
      </c>
      <c r="F12675" s="5">
        <v>222.4</v>
      </c>
      <c r="G12675" s="5">
        <v>110.5</v>
      </c>
      <c r="H12675" s="5">
        <v>110.4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112</v>
      </c>
      <c r="D12676" s="5">
        <v>0.1</v>
      </c>
      <c r="E12676" s="5">
        <v>112.1</v>
      </c>
      <c r="F12676" s="5">
        <v>222.4</v>
      </c>
      <c r="G12676" s="5">
        <v>110.5</v>
      </c>
      <c r="H12676" s="5">
        <v>110.4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112</v>
      </c>
      <c r="D12677" s="5">
        <v>0.1</v>
      </c>
      <c r="E12677" s="5">
        <v>112.1</v>
      </c>
      <c r="F12677" s="5">
        <v>222.4</v>
      </c>
      <c r="G12677" s="5">
        <v>110.5</v>
      </c>
      <c r="H12677" s="5">
        <v>110.4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112</v>
      </c>
      <c r="D12678" s="5">
        <v>0.1</v>
      </c>
      <c r="E12678" s="5">
        <v>112.1</v>
      </c>
      <c r="F12678" s="5">
        <v>222.4</v>
      </c>
      <c r="G12678" s="5">
        <v>110.5</v>
      </c>
      <c r="H12678" s="5">
        <v>110.4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112</v>
      </c>
      <c r="D12679" s="5">
        <v>0.1</v>
      </c>
      <c r="E12679" s="5">
        <v>112.1</v>
      </c>
      <c r="F12679" s="5">
        <v>222.4</v>
      </c>
      <c r="G12679" s="5">
        <v>110.5</v>
      </c>
      <c r="H12679" s="5">
        <v>110.4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112</v>
      </c>
      <c r="D12680" s="5">
        <v>0.1</v>
      </c>
      <c r="E12680" s="5">
        <v>112.1</v>
      </c>
      <c r="F12680" s="5">
        <v>222.4</v>
      </c>
      <c r="G12680" s="5">
        <v>110.5</v>
      </c>
      <c r="H12680" s="5">
        <v>110.4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112</v>
      </c>
      <c r="D12681" s="5">
        <v>0.1</v>
      </c>
      <c r="E12681" s="5">
        <v>112.1</v>
      </c>
      <c r="F12681" s="5">
        <v>222.4</v>
      </c>
      <c r="G12681" s="5">
        <v>110.5</v>
      </c>
      <c r="H12681" s="5">
        <v>110.4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112</v>
      </c>
      <c r="D12682" s="5">
        <v>0.1</v>
      </c>
      <c r="E12682" s="5">
        <v>112.1</v>
      </c>
      <c r="F12682" s="5">
        <v>222.4</v>
      </c>
      <c r="G12682" s="5">
        <v>110.5</v>
      </c>
      <c r="H12682" s="5">
        <v>110.4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112</v>
      </c>
      <c r="D12683" s="5">
        <v>0.1</v>
      </c>
      <c r="E12683" s="5">
        <v>112.1</v>
      </c>
      <c r="F12683" s="5">
        <v>222.4</v>
      </c>
      <c r="G12683" s="5">
        <v>110.5</v>
      </c>
      <c r="H12683" s="5">
        <v>110.4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112</v>
      </c>
      <c r="D12684" s="5">
        <v>0.1</v>
      </c>
      <c r="E12684" s="5">
        <v>112.1</v>
      </c>
      <c r="F12684" s="5">
        <v>222.4</v>
      </c>
      <c r="G12684" s="5">
        <v>110.5</v>
      </c>
      <c r="H12684" s="5">
        <v>110.4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112</v>
      </c>
      <c r="D12685" s="5">
        <v>0.1</v>
      </c>
      <c r="E12685" s="5">
        <v>112.1</v>
      </c>
      <c r="F12685" s="5">
        <v>222.4</v>
      </c>
      <c r="G12685" s="5">
        <v>110.5</v>
      </c>
      <c r="H12685" s="5">
        <v>110.4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112</v>
      </c>
      <c r="D12686" s="5">
        <v>0.1</v>
      </c>
      <c r="E12686" s="5">
        <v>112.1</v>
      </c>
      <c r="F12686" s="5">
        <v>222.4</v>
      </c>
      <c r="G12686" s="5">
        <v>110.5</v>
      </c>
      <c r="H12686" s="5">
        <v>110.4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112</v>
      </c>
      <c r="D12687" s="5">
        <v>0.1</v>
      </c>
      <c r="E12687" s="5">
        <v>112.1</v>
      </c>
      <c r="F12687" s="5">
        <v>222.4</v>
      </c>
      <c r="G12687" s="5">
        <v>110.5</v>
      </c>
      <c r="H12687" s="5">
        <v>110.4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112</v>
      </c>
      <c r="D12688" s="5">
        <v>0.1</v>
      </c>
      <c r="E12688" s="5">
        <v>112.1</v>
      </c>
      <c r="F12688" s="5">
        <v>222.4</v>
      </c>
      <c r="G12688" s="5">
        <v>110.5</v>
      </c>
      <c r="H12688" s="5">
        <v>110.4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112</v>
      </c>
      <c r="D12689" s="5">
        <v>0.1</v>
      </c>
      <c r="E12689" s="5">
        <v>112.1</v>
      </c>
      <c r="F12689" s="5">
        <v>222.4</v>
      </c>
      <c r="G12689" s="5">
        <v>110.5</v>
      </c>
      <c r="H12689" s="5">
        <v>110.4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112</v>
      </c>
      <c r="D12690" s="5">
        <v>0.1</v>
      </c>
      <c r="E12690" s="5">
        <v>112.1</v>
      </c>
      <c r="F12690" s="5">
        <v>222.4</v>
      </c>
      <c r="G12690" s="5">
        <v>110.5</v>
      </c>
      <c r="H12690" s="5">
        <v>110.4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112</v>
      </c>
      <c r="D12691" s="5">
        <v>0.1</v>
      </c>
      <c r="E12691" s="5">
        <v>112.1</v>
      </c>
      <c r="F12691" s="5">
        <v>222.4</v>
      </c>
      <c r="G12691" s="5">
        <v>110.5</v>
      </c>
      <c r="H12691" s="5">
        <v>110.4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112</v>
      </c>
      <c r="D12692" s="5">
        <v>0.1</v>
      </c>
      <c r="E12692" s="5">
        <v>112.1</v>
      </c>
      <c r="F12692" s="5">
        <v>222.4</v>
      </c>
      <c r="G12692" s="5">
        <v>110.5</v>
      </c>
      <c r="H12692" s="5">
        <v>110.4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112</v>
      </c>
      <c r="D12693" s="5">
        <v>0.1</v>
      </c>
      <c r="E12693" s="5">
        <v>112.1</v>
      </c>
      <c r="F12693" s="5">
        <v>222.4</v>
      </c>
      <c r="G12693" s="5">
        <v>110.5</v>
      </c>
      <c r="H12693" s="5">
        <v>110.4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112</v>
      </c>
      <c r="D12694" s="5">
        <v>0.1</v>
      </c>
      <c r="E12694" s="5">
        <v>112.1</v>
      </c>
      <c r="F12694" s="5">
        <v>222.4</v>
      </c>
      <c r="G12694" s="5">
        <v>110.5</v>
      </c>
      <c r="H12694" s="5">
        <v>110.4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112</v>
      </c>
      <c r="D12695" s="5">
        <v>0.1</v>
      </c>
      <c r="E12695" s="5">
        <v>112.1</v>
      </c>
      <c r="F12695" s="5">
        <v>222.4</v>
      </c>
      <c r="G12695" s="5">
        <v>110.5</v>
      </c>
      <c r="H12695" s="5">
        <v>110.4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112</v>
      </c>
      <c r="D12696" s="5">
        <v>0.1</v>
      </c>
      <c r="E12696" s="5">
        <v>112.1</v>
      </c>
      <c r="F12696" s="5">
        <v>222.4</v>
      </c>
      <c r="G12696" s="5">
        <v>110.5</v>
      </c>
      <c r="H12696" s="5">
        <v>110.4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112</v>
      </c>
      <c r="D12697" s="5">
        <v>0.1</v>
      </c>
      <c r="E12697" s="5">
        <v>112.1</v>
      </c>
      <c r="F12697" s="5">
        <v>222.4</v>
      </c>
      <c r="G12697" s="5">
        <v>110.5</v>
      </c>
      <c r="H12697" s="5">
        <v>110.4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112</v>
      </c>
      <c r="D12698" s="5">
        <v>0.1</v>
      </c>
      <c r="E12698" s="5">
        <v>112.1</v>
      </c>
      <c r="F12698" s="5">
        <v>222.4</v>
      </c>
      <c r="G12698" s="5">
        <v>110.5</v>
      </c>
      <c r="H12698" s="5">
        <v>110.4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112</v>
      </c>
      <c r="D12699" s="5">
        <v>0.1</v>
      </c>
      <c r="E12699" s="5">
        <v>112.1</v>
      </c>
      <c r="F12699" s="5">
        <v>222.4</v>
      </c>
      <c r="G12699" s="5">
        <v>110.5</v>
      </c>
      <c r="H12699" s="5">
        <v>110.4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112</v>
      </c>
      <c r="D12700" s="5">
        <v>0.1</v>
      </c>
      <c r="E12700" s="5">
        <v>112.1</v>
      </c>
      <c r="F12700" s="5">
        <v>222.4</v>
      </c>
      <c r="G12700" s="5">
        <v>110.5</v>
      </c>
      <c r="H12700" s="5">
        <v>110.4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112</v>
      </c>
      <c r="D12701" s="5">
        <v>0.1</v>
      </c>
      <c r="E12701" s="5">
        <v>112.1</v>
      </c>
      <c r="F12701" s="5">
        <v>222.4</v>
      </c>
      <c r="G12701" s="5">
        <v>110.5</v>
      </c>
      <c r="H12701" s="5">
        <v>110.4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112</v>
      </c>
      <c r="D12702" s="5">
        <v>0.1</v>
      </c>
      <c r="E12702" s="5">
        <v>112.1</v>
      </c>
      <c r="F12702" s="5">
        <v>222.4</v>
      </c>
      <c r="G12702" s="5">
        <v>110.5</v>
      </c>
      <c r="H12702" s="5">
        <v>110.4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112</v>
      </c>
      <c r="D12703" s="5">
        <v>0.1</v>
      </c>
      <c r="E12703" s="5">
        <v>112.1</v>
      </c>
      <c r="F12703" s="5">
        <v>222.4</v>
      </c>
      <c r="G12703" s="5">
        <v>110.5</v>
      </c>
      <c r="H12703" s="5">
        <v>110.4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112</v>
      </c>
      <c r="D12704" s="5">
        <v>0.1</v>
      </c>
      <c r="E12704" s="5">
        <v>112.1</v>
      </c>
      <c r="F12704" s="5">
        <v>222.4</v>
      </c>
      <c r="G12704" s="5">
        <v>110.5</v>
      </c>
      <c r="H12704" s="5">
        <v>110.4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112</v>
      </c>
      <c r="D12705" s="5">
        <v>0.1</v>
      </c>
      <c r="E12705" s="5">
        <v>112.1</v>
      </c>
      <c r="F12705" s="5">
        <v>222.4</v>
      </c>
      <c r="G12705" s="5">
        <v>110.5</v>
      </c>
      <c r="H12705" s="5">
        <v>110.4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112</v>
      </c>
      <c r="D12706" s="5">
        <v>0.1</v>
      </c>
      <c r="E12706" s="5">
        <v>112.1</v>
      </c>
      <c r="F12706" s="5">
        <v>222.4</v>
      </c>
      <c r="G12706" s="5">
        <v>110.5</v>
      </c>
      <c r="H12706" s="5">
        <v>110.4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112</v>
      </c>
      <c r="D12707" s="5">
        <v>0.1</v>
      </c>
      <c r="E12707" s="5">
        <v>112.1</v>
      </c>
      <c r="F12707" s="5">
        <v>222.4</v>
      </c>
      <c r="G12707" s="5">
        <v>110.5</v>
      </c>
      <c r="H12707" s="5">
        <v>110.4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112</v>
      </c>
      <c r="D12708" s="5">
        <v>0.1</v>
      </c>
      <c r="E12708" s="5">
        <v>112.1</v>
      </c>
      <c r="F12708" s="5">
        <v>222.4</v>
      </c>
      <c r="G12708" s="5">
        <v>110.5</v>
      </c>
      <c r="H12708" s="5">
        <v>110.4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112</v>
      </c>
      <c r="D12709" s="5">
        <v>0.1</v>
      </c>
      <c r="E12709" s="5">
        <v>112.1</v>
      </c>
      <c r="F12709" s="5">
        <v>222.4</v>
      </c>
      <c r="G12709" s="5">
        <v>110.5</v>
      </c>
      <c r="H12709" s="5">
        <v>110.4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112</v>
      </c>
      <c r="D12710" s="5">
        <v>0.1</v>
      </c>
      <c r="E12710" s="5">
        <v>112.1</v>
      </c>
      <c r="F12710" s="5">
        <v>222.4</v>
      </c>
      <c r="G12710" s="5">
        <v>110.5</v>
      </c>
      <c r="H12710" s="5">
        <v>110.4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112</v>
      </c>
      <c r="D12711" s="5">
        <v>0.1</v>
      </c>
      <c r="E12711" s="5">
        <v>112.1</v>
      </c>
      <c r="F12711" s="5">
        <v>222.4</v>
      </c>
      <c r="G12711" s="5">
        <v>110.5</v>
      </c>
      <c r="H12711" s="5">
        <v>110.4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112</v>
      </c>
      <c r="D12712" s="5">
        <v>0.1</v>
      </c>
      <c r="E12712" s="5">
        <v>112.1</v>
      </c>
      <c r="F12712" s="5">
        <v>222.4</v>
      </c>
      <c r="G12712" s="5">
        <v>110.5</v>
      </c>
      <c r="H12712" s="5">
        <v>110.4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112</v>
      </c>
      <c r="D12713" s="5">
        <v>0.1</v>
      </c>
      <c r="E12713" s="5">
        <v>112.1</v>
      </c>
      <c r="F12713" s="5">
        <v>222.4</v>
      </c>
      <c r="G12713" s="5">
        <v>110.5</v>
      </c>
      <c r="H12713" s="5">
        <v>110.4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112</v>
      </c>
      <c r="D12714" s="5">
        <v>0.1</v>
      </c>
      <c r="E12714" s="5">
        <v>112.1</v>
      </c>
      <c r="F12714" s="5">
        <v>222.4</v>
      </c>
      <c r="G12714" s="5">
        <v>110.5</v>
      </c>
      <c r="H12714" s="5">
        <v>110.4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112</v>
      </c>
      <c r="D12715" s="5">
        <v>0.1</v>
      </c>
      <c r="E12715" s="5">
        <v>112.1</v>
      </c>
      <c r="F12715" s="5">
        <v>222.4</v>
      </c>
      <c r="G12715" s="5">
        <v>110.5</v>
      </c>
      <c r="H12715" s="5">
        <v>110.4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112</v>
      </c>
      <c r="D12716" s="5">
        <v>0.1</v>
      </c>
      <c r="E12716" s="5">
        <v>112.1</v>
      </c>
      <c r="F12716" s="5">
        <v>222.4</v>
      </c>
      <c r="G12716" s="5">
        <v>110.5</v>
      </c>
      <c r="H12716" s="5">
        <v>110.4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112</v>
      </c>
      <c r="D12717" s="5">
        <v>0.1</v>
      </c>
      <c r="E12717" s="5">
        <v>112.1</v>
      </c>
      <c r="F12717" s="5">
        <v>222.4</v>
      </c>
      <c r="G12717" s="5">
        <v>110.5</v>
      </c>
      <c r="H12717" s="5">
        <v>110.4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112</v>
      </c>
      <c r="D12718" s="5">
        <v>0.1</v>
      </c>
      <c r="E12718" s="5">
        <v>112.1</v>
      </c>
      <c r="F12718" s="5">
        <v>222.4</v>
      </c>
      <c r="G12718" s="5">
        <v>110.5</v>
      </c>
      <c r="H12718" s="5">
        <v>110.4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112</v>
      </c>
      <c r="D12719" s="5">
        <v>0.1</v>
      </c>
      <c r="E12719" s="5">
        <v>112.1</v>
      </c>
      <c r="F12719" s="5">
        <v>222.4</v>
      </c>
      <c r="G12719" s="5">
        <v>110.5</v>
      </c>
      <c r="H12719" s="5">
        <v>110.4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112</v>
      </c>
      <c r="D12720" s="5">
        <v>0.1</v>
      </c>
      <c r="E12720" s="5">
        <v>112.1</v>
      </c>
      <c r="F12720" s="5">
        <v>222.4</v>
      </c>
      <c r="G12720" s="5">
        <v>110.5</v>
      </c>
      <c r="H12720" s="5">
        <v>110.4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112</v>
      </c>
      <c r="D12721" s="5">
        <v>0.1</v>
      </c>
      <c r="E12721" s="5">
        <v>112.1</v>
      </c>
      <c r="F12721" s="5">
        <v>222.4</v>
      </c>
      <c r="G12721" s="5">
        <v>110.5</v>
      </c>
      <c r="H12721" s="5">
        <v>110.4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112</v>
      </c>
      <c r="D12722" s="5">
        <v>0.1</v>
      </c>
      <c r="E12722" s="5">
        <v>112.1</v>
      </c>
      <c r="F12722" s="5">
        <v>222.4</v>
      </c>
      <c r="G12722" s="5">
        <v>110.5</v>
      </c>
      <c r="H12722" s="5">
        <v>110.4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112</v>
      </c>
      <c r="D12723" s="5">
        <v>0.1</v>
      </c>
      <c r="E12723" s="5">
        <v>112.1</v>
      </c>
      <c r="F12723" s="5">
        <v>222.4</v>
      </c>
      <c r="G12723" s="5">
        <v>110.5</v>
      </c>
      <c r="H12723" s="5">
        <v>110.4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112</v>
      </c>
      <c r="D12724" s="5">
        <v>0.1</v>
      </c>
      <c r="E12724" s="5">
        <v>112.1</v>
      </c>
      <c r="F12724" s="5">
        <v>222.4</v>
      </c>
      <c r="G12724" s="5">
        <v>110.5</v>
      </c>
      <c r="H12724" s="5">
        <v>110.4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112</v>
      </c>
      <c r="D12725" s="5">
        <v>0.1</v>
      </c>
      <c r="E12725" s="5">
        <v>112.1</v>
      </c>
      <c r="F12725" s="5">
        <v>222.4</v>
      </c>
      <c r="G12725" s="5">
        <v>110.5</v>
      </c>
      <c r="H12725" s="5">
        <v>110.4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112</v>
      </c>
      <c r="D12726" s="5">
        <v>0.1</v>
      </c>
      <c r="E12726" s="5">
        <v>112.1</v>
      </c>
      <c r="F12726" s="5">
        <v>222.4</v>
      </c>
      <c r="G12726" s="5">
        <v>110.5</v>
      </c>
      <c r="H12726" s="5">
        <v>110.4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112</v>
      </c>
      <c r="D12727" s="5">
        <v>0.1</v>
      </c>
      <c r="E12727" s="5">
        <v>112.1</v>
      </c>
      <c r="F12727" s="5">
        <v>222.4</v>
      </c>
      <c r="G12727" s="5">
        <v>110.5</v>
      </c>
      <c r="H12727" s="5">
        <v>110.4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112</v>
      </c>
      <c r="D12728" s="5">
        <v>0.1</v>
      </c>
      <c r="E12728" s="5">
        <v>112.1</v>
      </c>
      <c r="F12728" s="5">
        <v>222.4</v>
      </c>
      <c r="G12728" s="5">
        <v>110.5</v>
      </c>
      <c r="H12728" s="5">
        <v>110.4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112</v>
      </c>
      <c r="D12729" s="5">
        <v>0.1</v>
      </c>
      <c r="E12729" s="5">
        <v>112.1</v>
      </c>
      <c r="F12729" s="5">
        <v>222.4</v>
      </c>
      <c r="G12729" s="5">
        <v>110.5</v>
      </c>
      <c r="H12729" s="5">
        <v>110.4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112</v>
      </c>
      <c r="D12730" s="5">
        <v>0.1</v>
      </c>
      <c r="E12730" s="5">
        <v>112.1</v>
      </c>
      <c r="F12730" s="5">
        <v>222.4</v>
      </c>
      <c r="G12730" s="5">
        <v>110.5</v>
      </c>
      <c r="H12730" s="5">
        <v>110.4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112</v>
      </c>
      <c r="D12731" s="5">
        <v>0.1</v>
      </c>
      <c r="E12731" s="5">
        <v>112.1</v>
      </c>
      <c r="F12731" s="5">
        <v>222.4</v>
      </c>
      <c r="G12731" s="5">
        <v>110.5</v>
      </c>
      <c r="H12731" s="5">
        <v>110.4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112</v>
      </c>
      <c r="D12732" s="5">
        <v>0.1</v>
      </c>
      <c r="E12732" s="5">
        <v>112.1</v>
      </c>
      <c r="F12732" s="5">
        <v>222.4</v>
      </c>
      <c r="G12732" s="5">
        <v>110.5</v>
      </c>
      <c r="H12732" s="5">
        <v>110.4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112</v>
      </c>
      <c r="D12733" s="5">
        <v>0.1</v>
      </c>
      <c r="E12733" s="5">
        <v>112.1</v>
      </c>
      <c r="F12733" s="5">
        <v>222.4</v>
      </c>
      <c r="G12733" s="5">
        <v>110.5</v>
      </c>
      <c r="H12733" s="5">
        <v>110.4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112</v>
      </c>
      <c r="D12734" s="5">
        <v>0.1</v>
      </c>
      <c r="E12734" s="5">
        <v>112.1</v>
      </c>
      <c r="F12734" s="5">
        <v>222.4</v>
      </c>
      <c r="G12734" s="5">
        <v>110.5</v>
      </c>
      <c r="H12734" s="5">
        <v>110.4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112</v>
      </c>
      <c r="D12735" s="5">
        <v>0.1</v>
      </c>
      <c r="E12735" s="5">
        <v>112.1</v>
      </c>
      <c r="F12735" s="5">
        <v>222.4</v>
      </c>
      <c r="G12735" s="5">
        <v>110.5</v>
      </c>
      <c r="H12735" s="5">
        <v>110.4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112</v>
      </c>
      <c r="D12736" s="5">
        <v>0.1</v>
      </c>
      <c r="E12736" s="5">
        <v>112.1</v>
      </c>
      <c r="F12736" s="5">
        <v>222.4</v>
      </c>
      <c r="G12736" s="5">
        <v>110.5</v>
      </c>
      <c r="H12736" s="5">
        <v>110.4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112</v>
      </c>
      <c r="D12737" s="5">
        <v>0.1</v>
      </c>
      <c r="E12737" s="5">
        <v>112.1</v>
      </c>
      <c r="F12737" s="5">
        <v>222.4</v>
      </c>
      <c r="G12737" s="5">
        <v>110.5</v>
      </c>
      <c r="H12737" s="5">
        <v>110.4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112</v>
      </c>
      <c r="D12738" s="5">
        <v>0.1</v>
      </c>
      <c r="E12738" s="5">
        <v>112.1</v>
      </c>
      <c r="F12738" s="5">
        <v>222.4</v>
      </c>
      <c r="G12738" s="5">
        <v>110.5</v>
      </c>
      <c r="H12738" s="5">
        <v>110.4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112</v>
      </c>
      <c r="D12739" s="5">
        <v>0.1</v>
      </c>
      <c r="E12739" s="5">
        <v>112.1</v>
      </c>
      <c r="F12739" s="5">
        <v>222.4</v>
      </c>
      <c r="G12739" s="5">
        <v>110.5</v>
      </c>
      <c r="H12739" s="5">
        <v>110.4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112</v>
      </c>
      <c r="D12740" s="5">
        <v>0.1</v>
      </c>
      <c r="E12740" s="5">
        <v>112.1</v>
      </c>
      <c r="F12740" s="5">
        <v>222.4</v>
      </c>
      <c r="G12740" s="5">
        <v>110.5</v>
      </c>
      <c r="H12740" s="5">
        <v>110.4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112</v>
      </c>
      <c r="D12741" s="5">
        <v>0.1</v>
      </c>
      <c r="E12741" s="5">
        <v>112.1</v>
      </c>
      <c r="F12741" s="5">
        <v>222.4</v>
      </c>
      <c r="G12741" s="5">
        <v>110.5</v>
      </c>
      <c r="H12741" s="5">
        <v>110.4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112</v>
      </c>
      <c r="D12742" s="5">
        <v>0.1</v>
      </c>
      <c r="E12742" s="5">
        <v>112.1</v>
      </c>
      <c r="F12742" s="5">
        <v>222.4</v>
      </c>
      <c r="G12742" s="5">
        <v>110.5</v>
      </c>
      <c r="H12742" s="5">
        <v>110.4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112</v>
      </c>
      <c r="D12743" s="5">
        <v>0.1</v>
      </c>
      <c r="E12743" s="5">
        <v>112.1</v>
      </c>
      <c r="F12743" s="5">
        <v>222.4</v>
      </c>
      <c r="G12743" s="5">
        <v>110.5</v>
      </c>
      <c r="H12743" s="5">
        <v>110.4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112</v>
      </c>
      <c r="D12744" s="5">
        <v>0.1</v>
      </c>
      <c r="E12744" s="5">
        <v>112.1</v>
      </c>
      <c r="F12744" s="5">
        <v>222.4</v>
      </c>
      <c r="G12744" s="5">
        <v>110.5</v>
      </c>
      <c r="H12744" s="5">
        <v>110.4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112</v>
      </c>
      <c r="D12745" s="5">
        <v>0.1</v>
      </c>
      <c r="E12745" s="5">
        <v>112.1</v>
      </c>
      <c r="F12745" s="5">
        <v>222.4</v>
      </c>
      <c r="G12745" s="5">
        <v>110.5</v>
      </c>
      <c r="H12745" s="5">
        <v>110.4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112</v>
      </c>
      <c r="D12746" s="5">
        <v>0.1</v>
      </c>
      <c r="E12746" s="5">
        <v>112.1</v>
      </c>
      <c r="F12746" s="5">
        <v>222.4</v>
      </c>
      <c r="G12746" s="5">
        <v>110.5</v>
      </c>
      <c r="H12746" s="5">
        <v>110.4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112</v>
      </c>
      <c r="D12747" s="5">
        <v>0.1</v>
      </c>
      <c r="E12747" s="5">
        <v>112.1</v>
      </c>
      <c r="F12747" s="5">
        <v>222.4</v>
      </c>
      <c r="G12747" s="5">
        <v>110.5</v>
      </c>
      <c r="H12747" s="5">
        <v>110.4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112</v>
      </c>
      <c r="D12748" s="5">
        <v>0.1</v>
      </c>
      <c r="E12748" s="5">
        <v>112.1</v>
      </c>
      <c r="F12748" s="5">
        <v>222.4</v>
      </c>
      <c r="G12748" s="5">
        <v>110.5</v>
      </c>
      <c r="H12748" s="5">
        <v>110.4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112</v>
      </c>
      <c r="D12749" s="5">
        <v>0.1</v>
      </c>
      <c r="E12749" s="5">
        <v>112.1</v>
      </c>
      <c r="F12749" s="5">
        <v>222.4</v>
      </c>
      <c r="G12749" s="5">
        <v>110.5</v>
      </c>
      <c r="H12749" s="5">
        <v>110.4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112</v>
      </c>
      <c r="D12750" s="5">
        <v>0.1</v>
      </c>
      <c r="E12750" s="5">
        <v>112.1</v>
      </c>
      <c r="F12750" s="5">
        <v>222.4</v>
      </c>
      <c r="G12750" s="5">
        <v>110.5</v>
      </c>
      <c r="H12750" s="5">
        <v>110.4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112</v>
      </c>
      <c r="D12751" s="5">
        <v>0.1</v>
      </c>
      <c r="E12751" s="5">
        <v>112.1</v>
      </c>
      <c r="F12751" s="5">
        <v>222.4</v>
      </c>
      <c r="G12751" s="5">
        <v>110.5</v>
      </c>
      <c r="H12751" s="5">
        <v>110.4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112</v>
      </c>
      <c r="D12752" s="5">
        <v>0.1</v>
      </c>
      <c r="E12752" s="5">
        <v>112.1</v>
      </c>
      <c r="F12752" s="5">
        <v>222.4</v>
      </c>
      <c r="G12752" s="5">
        <v>110.5</v>
      </c>
      <c r="H12752" s="5">
        <v>110.4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112</v>
      </c>
      <c r="D12753" s="5">
        <v>0.1</v>
      </c>
      <c r="E12753" s="5">
        <v>112.1</v>
      </c>
      <c r="F12753" s="5">
        <v>222.4</v>
      </c>
      <c r="G12753" s="5">
        <v>110.5</v>
      </c>
      <c r="H12753" s="5">
        <v>110.4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112</v>
      </c>
      <c r="D12754" s="5">
        <v>0.1</v>
      </c>
      <c r="E12754" s="5">
        <v>112.1</v>
      </c>
      <c r="F12754" s="5">
        <v>222.4</v>
      </c>
      <c r="G12754" s="5">
        <v>110.5</v>
      </c>
      <c r="H12754" s="5">
        <v>110.4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112</v>
      </c>
      <c r="D12755" s="5">
        <v>0.1</v>
      </c>
      <c r="E12755" s="5">
        <v>112.1</v>
      </c>
      <c r="F12755" s="5">
        <v>222.4</v>
      </c>
      <c r="G12755" s="5">
        <v>110.5</v>
      </c>
      <c r="H12755" s="5">
        <v>110.4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112</v>
      </c>
      <c r="D12756" s="5">
        <v>0.1</v>
      </c>
      <c r="E12756" s="5">
        <v>112.1</v>
      </c>
      <c r="F12756" s="5">
        <v>222.4</v>
      </c>
      <c r="G12756" s="5">
        <v>110.5</v>
      </c>
      <c r="H12756" s="5">
        <v>110.4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112</v>
      </c>
      <c r="D12757" s="5">
        <v>0.1</v>
      </c>
      <c r="E12757" s="5">
        <v>112.1</v>
      </c>
      <c r="F12757" s="5">
        <v>222.4</v>
      </c>
      <c r="G12757" s="5">
        <v>110.5</v>
      </c>
      <c r="H12757" s="5">
        <v>110.4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112</v>
      </c>
      <c r="D12758" s="5">
        <v>0.1</v>
      </c>
      <c r="E12758" s="5">
        <v>112.1</v>
      </c>
      <c r="F12758" s="5">
        <v>222.4</v>
      </c>
      <c r="G12758" s="5">
        <v>110.5</v>
      </c>
      <c r="H12758" s="5">
        <v>110.4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112</v>
      </c>
      <c r="D12759" s="5">
        <v>0.1</v>
      </c>
      <c r="E12759" s="5">
        <v>112.1</v>
      </c>
      <c r="F12759" s="5">
        <v>222.4</v>
      </c>
      <c r="G12759" s="5">
        <v>110.5</v>
      </c>
      <c r="H12759" s="5">
        <v>110.4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112</v>
      </c>
      <c r="D12760" s="5">
        <v>0.1</v>
      </c>
      <c r="E12760" s="5">
        <v>112.1</v>
      </c>
      <c r="F12760" s="5">
        <v>222.4</v>
      </c>
      <c r="G12760" s="5">
        <v>110.5</v>
      </c>
      <c r="H12760" s="5">
        <v>110.4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112</v>
      </c>
      <c r="D12761" s="5">
        <v>0.1</v>
      </c>
      <c r="E12761" s="5">
        <v>112.1</v>
      </c>
      <c r="F12761" s="5">
        <v>222.4</v>
      </c>
      <c r="G12761" s="5">
        <v>110.5</v>
      </c>
      <c r="H12761" s="5">
        <v>110.4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112</v>
      </c>
      <c r="D12762" s="5">
        <v>0.1</v>
      </c>
      <c r="E12762" s="5">
        <v>112.1</v>
      </c>
      <c r="F12762" s="5">
        <v>222.4</v>
      </c>
      <c r="G12762" s="5">
        <v>110.5</v>
      </c>
      <c r="H12762" s="5">
        <v>110.4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112</v>
      </c>
      <c r="D12763" s="5">
        <v>0.1</v>
      </c>
      <c r="E12763" s="5">
        <v>112.1</v>
      </c>
      <c r="F12763" s="5">
        <v>222.4</v>
      </c>
      <c r="G12763" s="5">
        <v>110.5</v>
      </c>
      <c r="H12763" s="5">
        <v>110.4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112</v>
      </c>
      <c r="D12764" s="5">
        <v>0.1</v>
      </c>
      <c r="E12764" s="5">
        <v>112.1</v>
      </c>
      <c r="F12764" s="5">
        <v>222.4</v>
      </c>
      <c r="G12764" s="5">
        <v>110.5</v>
      </c>
      <c r="H12764" s="5">
        <v>110.4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112</v>
      </c>
      <c r="D12765" s="5">
        <v>0.1</v>
      </c>
      <c r="E12765" s="5">
        <v>112.1</v>
      </c>
      <c r="F12765" s="5">
        <v>222.4</v>
      </c>
      <c r="G12765" s="5">
        <v>110.5</v>
      </c>
      <c r="H12765" s="5">
        <v>110.4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112</v>
      </c>
      <c r="D12766" s="5">
        <v>0.1</v>
      </c>
      <c r="E12766" s="5">
        <v>112.1</v>
      </c>
      <c r="F12766" s="5">
        <v>222.4</v>
      </c>
      <c r="G12766" s="5">
        <v>110.5</v>
      </c>
      <c r="H12766" s="5">
        <v>110.4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112</v>
      </c>
      <c r="D12767" s="5">
        <v>0.1</v>
      </c>
      <c r="E12767" s="5">
        <v>112.1</v>
      </c>
      <c r="F12767" s="5">
        <v>222.4</v>
      </c>
      <c r="G12767" s="5">
        <v>110.5</v>
      </c>
      <c r="H12767" s="5">
        <v>110.4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112</v>
      </c>
      <c r="D12768" s="5">
        <v>0.1</v>
      </c>
      <c r="E12768" s="5">
        <v>112.1</v>
      </c>
      <c r="F12768" s="5">
        <v>222.4</v>
      </c>
      <c r="G12768" s="5">
        <v>110.5</v>
      </c>
      <c r="H12768" s="5">
        <v>110.4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112</v>
      </c>
      <c r="D12769" s="5">
        <v>0.1</v>
      </c>
      <c r="E12769" s="5">
        <v>112.1</v>
      </c>
      <c r="F12769" s="5">
        <v>222.4</v>
      </c>
      <c r="G12769" s="5">
        <v>110.5</v>
      </c>
      <c r="H12769" s="5">
        <v>110.4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112</v>
      </c>
      <c r="D12770" s="5">
        <v>0.1</v>
      </c>
      <c r="E12770" s="5">
        <v>112.1</v>
      </c>
      <c r="F12770" s="5">
        <v>222.4</v>
      </c>
      <c r="G12770" s="5">
        <v>110.5</v>
      </c>
      <c r="H12770" s="5">
        <v>110.4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112</v>
      </c>
      <c r="D12771" s="5">
        <v>0.1</v>
      </c>
      <c r="E12771" s="5">
        <v>112.1</v>
      </c>
      <c r="F12771" s="5">
        <v>222.4</v>
      </c>
      <c r="G12771" s="5">
        <v>110.5</v>
      </c>
      <c r="H12771" s="5">
        <v>110.4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112</v>
      </c>
      <c r="D12772" s="5">
        <v>0.1</v>
      </c>
      <c r="E12772" s="5">
        <v>112.1</v>
      </c>
      <c r="F12772" s="5">
        <v>222.4</v>
      </c>
      <c r="G12772" s="5">
        <v>110.5</v>
      </c>
      <c r="H12772" s="5">
        <v>110.4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112</v>
      </c>
      <c r="D12773" s="5">
        <v>0.1</v>
      </c>
      <c r="E12773" s="5">
        <v>112.1</v>
      </c>
      <c r="F12773" s="5">
        <v>222.4</v>
      </c>
      <c r="G12773" s="5">
        <v>110.5</v>
      </c>
      <c r="H12773" s="5">
        <v>110.4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112</v>
      </c>
      <c r="D12774" s="5">
        <v>0.1</v>
      </c>
      <c r="E12774" s="5">
        <v>112.1</v>
      </c>
      <c r="F12774" s="5">
        <v>222.4</v>
      </c>
      <c r="G12774" s="5">
        <v>110.5</v>
      </c>
      <c r="H12774" s="5">
        <v>110.4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112</v>
      </c>
      <c r="D12775" s="5">
        <v>0.1</v>
      </c>
      <c r="E12775" s="5">
        <v>112.1</v>
      </c>
      <c r="F12775" s="5">
        <v>222.4</v>
      </c>
      <c r="G12775" s="5">
        <v>110.5</v>
      </c>
      <c r="H12775" s="5">
        <v>110.4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112</v>
      </c>
      <c r="D12776" s="5">
        <v>0.1</v>
      </c>
      <c r="E12776" s="5">
        <v>112.1</v>
      </c>
      <c r="F12776" s="5">
        <v>222.4</v>
      </c>
      <c r="G12776" s="5">
        <v>110.5</v>
      </c>
      <c r="H12776" s="5">
        <v>110.4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112</v>
      </c>
      <c r="D12777" s="5">
        <v>0.1</v>
      </c>
      <c r="E12777" s="5">
        <v>112.1</v>
      </c>
      <c r="F12777" s="5">
        <v>222.4</v>
      </c>
      <c r="G12777" s="5">
        <v>110.5</v>
      </c>
      <c r="H12777" s="5">
        <v>110.4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112</v>
      </c>
      <c r="D12778" s="5">
        <v>0.1</v>
      </c>
      <c r="E12778" s="5">
        <v>112.1</v>
      </c>
      <c r="F12778" s="5">
        <v>222.4</v>
      </c>
      <c r="G12778" s="5">
        <v>110.5</v>
      </c>
      <c r="H12778" s="5">
        <v>110.4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112</v>
      </c>
      <c r="D12779" s="5">
        <v>0.1</v>
      </c>
      <c r="E12779" s="5">
        <v>112.1</v>
      </c>
      <c r="F12779" s="5">
        <v>222.4</v>
      </c>
      <c r="G12779" s="5">
        <v>110.5</v>
      </c>
      <c r="H12779" s="5">
        <v>110.4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112</v>
      </c>
      <c r="D12780" s="5">
        <v>0.1</v>
      </c>
      <c r="E12780" s="5">
        <v>112.1</v>
      </c>
      <c r="F12780" s="5">
        <v>222.4</v>
      </c>
      <c r="G12780" s="5">
        <v>110.5</v>
      </c>
      <c r="H12780" s="5">
        <v>110.4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112</v>
      </c>
      <c r="D12781" s="5">
        <v>0.1</v>
      </c>
      <c r="E12781" s="5">
        <v>112.1</v>
      </c>
      <c r="F12781" s="5">
        <v>222.4</v>
      </c>
      <c r="G12781" s="5">
        <v>110.5</v>
      </c>
      <c r="H12781" s="5">
        <v>110.4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112</v>
      </c>
      <c r="D12782" s="5">
        <v>0.1</v>
      </c>
      <c r="E12782" s="5">
        <v>112.1</v>
      </c>
      <c r="F12782" s="5">
        <v>222.4</v>
      </c>
      <c r="G12782" s="5">
        <v>110.5</v>
      </c>
      <c r="H12782" s="5">
        <v>110.4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112</v>
      </c>
      <c r="D12783" s="5">
        <v>0.1</v>
      </c>
      <c r="E12783" s="5">
        <v>112.1</v>
      </c>
      <c r="F12783" s="5">
        <v>222.4</v>
      </c>
      <c r="G12783" s="5">
        <v>110.5</v>
      </c>
      <c r="H12783" s="5">
        <v>110.4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112</v>
      </c>
      <c r="D12784" s="5">
        <v>0.1</v>
      </c>
      <c r="E12784" s="5">
        <v>112.1</v>
      </c>
      <c r="F12784" s="5">
        <v>222.4</v>
      </c>
      <c r="G12784" s="5">
        <v>110.5</v>
      </c>
      <c r="H12784" s="5">
        <v>110.4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112</v>
      </c>
      <c r="D12785" s="5">
        <v>0.1</v>
      </c>
      <c r="E12785" s="5">
        <v>112.1</v>
      </c>
      <c r="F12785" s="5">
        <v>222.4</v>
      </c>
      <c r="G12785" s="5">
        <v>110.5</v>
      </c>
      <c r="H12785" s="5">
        <v>110.4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112</v>
      </c>
      <c r="D12786" s="5">
        <v>0.1</v>
      </c>
      <c r="E12786" s="5">
        <v>112.1</v>
      </c>
      <c r="F12786" s="5">
        <v>222.4</v>
      </c>
      <c r="G12786" s="5">
        <v>110.5</v>
      </c>
      <c r="H12786" s="5">
        <v>110.4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112</v>
      </c>
      <c r="D12787" s="5">
        <v>0.1</v>
      </c>
      <c r="E12787" s="5">
        <v>112.1</v>
      </c>
      <c r="F12787" s="5">
        <v>222.4</v>
      </c>
      <c r="G12787" s="5">
        <v>110.5</v>
      </c>
      <c r="H12787" s="5">
        <v>110.4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112</v>
      </c>
      <c r="D12788" s="5">
        <v>0.1</v>
      </c>
      <c r="E12788" s="5">
        <v>112.1</v>
      </c>
      <c r="F12788" s="5">
        <v>222.4</v>
      </c>
      <c r="G12788" s="5">
        <v>110.5</v>
      </c>
      <c r="H12788" s="5">
        <v>110.4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112</v>
      </c>
      <c r="D12789" s="5">
        <v>0.1</v>
      </c>
      <c r="E12789" s="5">
        <v>112.1</v>
      </c>
      <c r="F12789" s="5">
        <v>222.4</v>
      </c>
      <c r="G12789" s="5">
        <v>110.5</v>
      </c>
      <c r="H12789" s="5">
        <v>110.4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112</v>
      </c>
      <c r="D12790" s="5">
        <v>0.1</v>
      </c>
      <c r="E12790" s="5">
        <v>112.1</v>
      </c>
      <c r="F12790" s="5">
        <v>222.4</v>
      </c>
      <c r="G12790" s="5">
        <v>110.5</v>
      </c>
      <c r="H12790" s="5">
        <v>110.4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112</v>
      </c>
      <c r="D12791" s="5">
        <v>0.1</v>
      </c>
      <c r="E12791" s="5">
        <v>112.1</v>
      </c>
      <c r="F12791" s="5">
        <v>222.4</v>
      </c>
      <c r="G12791" s="5">
        <v>110.5</v>
      </c>
      <c r="H12791" s="5">
        <v>110.4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112</v>
      </c>
      <c r="D12792" s="5">
        <v>0.1</v>
      </c>
      <c r="E12792" s="5">
        <v>112.1</v>
      </c>
      <c r="F12792" s="5">
        <v>222.4</v>
      </c>
      <c r="G12792" s="5">
        <v>110.5</v>
      </c>
      <c r="H12792" s="5">
        <v>110.4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112</v>
      </c>
      <c r="D12793" s="5">
        <v>0.1</v>
      </c>
      <c r="E12793" s="5">
        <v>112.1</v>
      </c>
      <c r="F12793" s="5">
        <v>222.4</v>
      </c>
      <c r="G12793" s="5">
        <v>110.5</v>
      </c>
      <c r="H12793" s="5">
        <v>110.4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112</v>
      </c>
      <c r="D12794" s="5">
        <v>0.1</v>
      </c>
      <c r="E12794" s="5">
        <v>112.1</v>
      </c>
      <c r="F12794" s="5">
        <v>222.4</v>
      </c>
      <c r="G12794" s="5">
        <v>110.5</v>
      </c>
      <c r="H12794" s="5">
        <v>110.4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112</v>
      </c>
      <c r="D12795" s="5">
        <v>0.1</v>
      </c>
      <c r="E12795" s="5">
        <v>112.1</v>
      </c>
      <c r="F12795" s="5">
        <v>222.4</v>
      </c>
      <c r="G12795" s="5">
        <v>110.5</v>
      </c>
      <c r="H12795" s="5">
        <v>110.4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112</v>
      </c>
      <c r="D12796" s="5">
        <v>0.1</v>
      </c>
      <c r="E12796" s="5">
        <v>112.1</v>
      </c>
      <c r="F12796" s="5">
        <v>222.4</v>
      </c>
      <c r="G12796" s="5">
        <v>110.5</v>
      </c>
      <c r="H12796" s="5">
        <v>110.4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112</v>
      </c>
      <c r="D12797" s="5">
        <v>0.1</v>
      </c>
      <c r="E12797" s="5">
        <v>112.1</v>
      </c>
      <c r="F12797" s="5">
        <v>222.4</v>
      </c>
      <c r="G12797" s="5">
        <v>110.5</v>
      </c>
      <c r="H12797" s="5">
        <v>110.4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112</v>
      </c>
      <c r="D12798" s="5">
        <v>0.1</v>
      </c>
      <c r="E12798" s="5">
        <v>112.1</v>
      </c>
      <c r="F12798" s="5">
        <v>222.4</v>
      </c>
      <c r="G12798" s="5">
        <v>110.5</v>
      </c>
      <c r="H12798" s="5">
        <v>110.4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112</v>
      </c>
      <c r="D12799" s="5">
        <v>0.1</v>
      </c>
      <c r="E12799" s="5">
        <v>112.1</v>
      </c>
      <c r="F12799" s="5">
        <v>222.4</v>
      </c>
      <c r="G12799" s="5">
        <v>110.5</v>
      </c>
      <c r="H12799" s="5">
        <v>110.4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112</v>
      </c>
      <c r="D12800" s="5">
        <v>0.1</v>
      </c>
      <c r="E12800" s="5">
        <v>112.1</v>
      </c>
      <c r="F12800" s="5">
        <v>222.4</v>
      </c>
      <c r="G12800" s="5">
        <v>110.5</v>
      </c>
      <c r="H12800" s="5">
        <v>110.4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112</v>
      </c>
      <c r="D12801" s="5">
        <v>0.1</v>
      </c>
      <c r="E12801" s="5">
        <v>112.1</v>
      </c>
      <c r="F12801" s="5">
        <v>222.4</v>
      </c>
      <c r="G12801" s="5">
        <v>110.5</v>
      </c>
      <c r="H12801" s="5">
        <v>110.4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112</v>
      </c>
      <c r="D12802" s="5">
        <v>0.1</v>
      </c>
      <c r="E12802" s="5">
        <v>112.1</v>
      </c>
      <c r="F12802" s="5">
        <v>222.4</v>
      </c>
      <c r="G12802" s="5">
        <v>110.5</v>
      </c>
      <c r="H12802" s="5">
        <v>110.4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112</v>
      </c>
      <c r="D12803" s="5">
        <v>0.1</v>
      </c>
      <c r="E12803" s="5">
        <v>112.1</v>
      </c>
      <c r="F12803" s="5">
        <v>222.4</v>
      </c>
      <c r="G12803" s="5">
        <v>110.5</v>
      </c>
      <c r="H12803" s="5">
        <v>110.4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112</v>
      </c>
      <c r="D12804" s="5">
        <v>0.1</v>
      </c>
      <c r="E12804" s="5">
        <v>112.1</v>
      </c>
      <c r="F12804" s="5">
        <v>222.4</v>
      </c>
      <c r="G12804" s="5">
        <v>110.5</v>
      </c>
      <c r="H12804" s="5">
        <v>110.4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112</v>
      </c>
      <c r="D12805" s="5">
        <v>0.1</v>
      </c>
      <c r="E12805" s="5">
        <v>112.1</v>
      </c>
      <c r="F12805" s="5">
        <v>222.4</v>
      </c>
      <c r="G12805" s="5">
        <v>110.5</v>
      </c>
      <c r="H12805" s="5">
        <v>110.4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112</v>
      </c>
      <c r="D12806" s="5">
        <v>0.1</v>
      </c>
      <c r="E12806" s="5">
        <v>112.1</v>
      </c>
      <c r="F12806" s="5">
        <v>222.4</v>
      </c>
      <c r="G12806" s="5">
        <v>110.5</v>
      </c>
      <c r="H12806" s="5">
        <v>110.4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112</v>
      </c>
      <c r="D12807" s="5">
        <v>0.1</v>
      </c>
      <c r="E12807" s="5">
        <v>112.1</v>
      </c>
      <c r="F12807" s="5">
        <v>222.4</v>
      </c>
      <c r="G12807" s="5">
        <v>110.5</v>
      </c>
      <c r="H12807" s="5">
        <v>110.4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112</v>
      </c>
      <c r="D12808" s="5">
        <v>0.1</v>
      </c>
      <c r="E12808" s="5">
        <v>112.1</v>
      </c>
      <c r="F12808" s="5">
        <v>222.4</v>
      </c>
      <c r="G12808" s="5">
        <v>110.5</v>
      </c>
      <c r="H12808" s="5">
        <v>110.4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112</v>
      </c>
      <c r="D12809" s="5">
        <v>0.1</v>
      </c>
      <c r="E12809" s="5">
        <v>112.1</v>
      </c>
      <c r="F12809" s="5">
        <v>222.4</v>
      </c>
      <c r="G12809" s="5">
        <v>110.5</v>
      </c>
      <c r="H12809" s="5">
        <v>110.4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112</v>
      </c>
      <c r="D12810" s="5">
        <v>0.1</v>
      </c>
      <c r="E12810" s="5">
        <v>112.1</v>
      </c>
      <c r="F12810" s="5">
        <v>222.4</v>
      </c>
      <c r="G12810" s="5">
        <v>110.5</v>
      </c>
      <c r="H12810" s="5">
        <v>110.4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112</v>
      </c>
      <c r="D12811" s="5">
        <v>0.1</v>
      </c>
      <c r="E12811" s="5">
        <v>112.1</v>
      </c>
      <c r="F12811" s="5">
        <v>222.4</v>
      </c>
      <c r="G12811" s="5">
        <v>110.5</v>
      </c>
      <c r="H12811" s="5">
        <v>110.4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112</v>
      </c>
      <c r="D12812" s="5">
        <v>0.1</v>
      </c>
      <c r="E12812" s="5">
        <v>112.1</v>
      </c>
      <c r="F12812" s="5">
        <v>222.4</v>
      </c>
      <c r="G12812" s="5">
        <v>110.5</v>
      </c>
      <c r="H12812" s="5">
        <v>110.4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112</v>
      </c>
      <c r="D12813" s="5">
        <v>0.1</v>
      </c>
      <c r="E12813" s="5">
        <v>112.1</v>
      </c>
      <c r="F12813" s="5">
        <v>222.4</v>
      </c>
      <c r="G12813" s="5">
        <v>110.5</v>
      </c>
      <c r="H12813" s="5">
        <v>110.4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112</v>
      </c>
      <c r="D12814" s="5">
        <v>0.1</v>
      </c>
      <c r="E12814" s="5">
        <v>112.1</v>
      </c>
      <c r="F12814" s="5">
        <v>222.4</v>
      </c>
      <c r="G12814" s="5">
        <v>110.5</v>
      </c>
      <c r="H12814" s="5">
        <v>110.4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112</v>
      </c>
      <c r="D12815" s="5">
        <v>0.1</v>
      </c>
      <c r="E12815" s="5">
        <v>112.1</v>
      </c>
      <c r="F12815" s="5">
        <v>222.4</v>
      </c>
      <c r="G12815" s="5">
        <v>110.5</v>
      </c>
      <c r="H12815" s="5">
        <v>110.4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112</v>
      </c>
      <c r="D12816" s="5">
        <v>0.1</v>
      </c>
      <c r="E12816" s="5">
        <v>112.1</v>
      </c>
      <c r="F12816" s="5">
        <v>222.4</v>
      </c>
      <c r="G12816" s="5">
        <v>110.5</v>
      </c>
      <c r="H12816" s="5">
        <v>110.4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112</v>
      </c>
      <c r="D12817" s="5">
        <v>0.1</v>
      </c>
      <c r="E12817" s="5">
        <v>112.1</v>
      </c>
      <c r="F12817" s="5">
        <v>222.4</v>
      </c>
      <c r="G12817" s="5">
        <v>110.5</v>
      </c>
      <c r="H12817" s="5">
        <v>110.4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112</v>
      </c>
      <c r="D12818" s="5">
        <v>0.1</v>
      </c>
      <c r="E12818" s="5">
        <v>112.1</v>
      </c>
      <c r="F12818" s="5">
        <v>222.4</v>
      </c>
      <c r="G12818" s="5">
        <v>110.5</v>
      </c>
      <c r="H12818" s="5">
        <v>110.4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112</v>
      </c>
      <c r="D12819" s="5">
        <v>0.1</v>
      </c>
      <c r="E12819" s="5">
        <v>112.1</v>
      </c>
      <c r="F12819" s="5">
        <v>222.4</v>
      </c>
      <c r="G12819" s="5">
        <v>110.5</v>
      </c>
      <c r="H12819" s="5">
        <v>110.4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112</v>
      </c>
      <c r="D12820" s="5">
        <v>0.1</v>
      </c>
      <c r="E12820" s="5">
        <v>112.1</v>
      </c>
      <c r="F12820" s="5">
        <v>222.4</v>
      </c>
      <c r="G12820" s="5">
        <v>110.5</v>
      </c>
      <c r="H12820" s="5">
        <v>110.4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112</v>
      </c>
      <c r="D12821" s="5">
        <v>0.1</v>
      </c>
      <c r="E12821" s="5">
        <v>112.1</v>
      </c>
      <c r="F12821" s="5">
        <v>222.4</v>
      </c>
      <c r="G12821" s="5">
        <v>110.5</v>
      </c>
      <c r="H12821" s="5">
        <v>110.4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112</v>
      </c>
      <c r="D12822" s="5">
        <v>0.1</v>
      </c>
      <c r="E12822" s="5">
        <v>112.1</v>
      </c>
      <c r="F12822" s="5">
        <v>222.4</v>
      </c>
      <c r="G12822" s="5">
        <v>110.5</v>
      </c>
      <c r="H12822" s="5">
        <v>110.4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112</v>
      </c>
      <c r="D12823" s="5">
        <v>0.1</v>
      </c>
      <c r="E12823" s="5">
        <v>112.1</v>
      </c>
      <c r="F12823" s="5">
        <v>222.4</v>
      </c>
      <c r="G12823" s="5">
        <v>110.5</v>
      </c>
      <c r="H12823" s="5">
        <v>110.4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112</v>
      </c>
      <c r="D12824" s="5">
        <v>0.1</v>
      </c>
      <c r="E12824" s="5">
        <v>112.1</v>
      </c>
      <c r="F12824" s="5">
        <v>222.4</v>
      </c>
      <c r="G12824" s="5">
        <v>110.5</v>
      </c>
      <c r="H12824" s="5">
        <v>110.4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112</v>
      </c>
      <c r="D12825" s="5">
        <v>0.1</v>
      </c>
      <c r="E12825" s="5">
        <v>112.1</v>
      </c>
      <c r="F12825" s="5">
        <v>222.4</v>
      </c>
      <c r="G12825" s="5">
        <v>110.5</v>
      </c>
      <c r="H12825" s="5">
        <v>110.4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112</v>
      </c>
      <c r="D12826" s="5">
        <v>0.1</v>
      </c>
      <c r="E12826" s="5">
        <v>112.1</v>
      </c>
      <c r="F12826" s="5">
        <v>222.4</v>
      </c>
      <c r="G12826" s="5">
        <v>110.5</v>
      </c>
      <c r="H12826" s="5">
        <v>110.4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112</v>
      </c>
      <c r="D12827" s="5">
        <v>0.1</v>
      </c>
      <c r="E12827" s="5">
        <v>112.1</v>
      </c>
      <c r="F12827" s="5">
        <v>222.4</v>
      </c>
      <c r="G12827" s="5">
        <v>110.5</v>
      </c>
      <c r="H12827" s="5">
        <v>110.4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112</v>
      </c>
      <c r="D12828" s="5">
        <v>0.1</v>
      </c>
      <c r="E12828" s="5">
        <v>112.1</v>
      </c>
      <c r="F12828" s="5">
        <v>222.4</v>
      </c>
      <c r="G12828" s="5">
        <v>110.5</v>
      </c>
      <c r="H12828" s="5">
        <v>110.4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112</v>
      </c>
      <c r="D12829" s="5">
        <v>0.1</v>
      </c>
      <c r="E12829" s="5">
        <v>112.1</v>
      </c>
      <c r="F12829" s="5">
        <v>222.4</v>
      </c>
      <c r="G12829" s="5">
        <v>110.5</v>
      </c>
      <c r="H12829" s="5">
        <v>110.4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112</v>
      </c>
      <c r="D12830" s="5">
        <v>0.1</v>
      </c>
      <c r="E12830" s="5">
        <v>112.1</v>
      </c>
      <c r="F12830" s="5">
        <v>222.4</v>
      </c>
      <c r="G12830" s="5">
        <v>110.5</v>
      </c>
      <c r="H12830" s="5">
        <v>110.4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112</v>
      </c>
      <c r="D12831" s="5">
        <v>0.1</v>
      </c>
      <c r="E12831" s="5">
        <v>112.1</v>
      </c>
      <c r="F12831" s="5">
        <v>222.4</v>
      </c>
      <c r="G12831" s="5">
        <v>110.5</v>
      </c>
      <c r="H12831" s="5">
        <v>110.4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112</v>
      </c>
      <c r="D12832" s="5">
        <v>0.1</v>
      </c>
      <c r="E12832" s="5">
        <v>112.1</v>
      </c>
      <c r="F12832" s="5">
        <v>222.4</v>
      </c>
      <c r="G12832" s="5">
        <v>110.5</v>
      </c>
      <c r="H12832" s="5">
        <v>110.4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112</v>
      </c>
      <c r="D12833" s="5">
        <v>0.1</v>
      </c>
      <c r="E12833" s="5">
        <v>112.1</v>
      </c>
      <c r="F12833" s="5">
        <v>222.4</v>
      </c>
      <c r="G12833" s="5">
        <v>110.5</v>
      </c>
      <c r="H12833" s="5">
        <v>110.4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112</v>
      </c>
      <c r="D12834" s="5">
        <v>0.1</v>
      </c>
      <c r="E12834" s="5">
        <v>112.1</v>
      </c>
      <c r="F12834" s="5">
        <v>222.4</v>
      </c>
      <c r="G12834" s="5">
        <v>110.5</v>
      </c>
      <c r="H12834" s="5">
        <v>110.4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112</v>
      </c>
      <c r="D12835" s="5">
        <v>0.1</v>
      </c>
      <c r="E12835" s="5">
        <v>112.1</v>
      </c>
      <c r="F12835" s="5">
        <v>222.4</v>
      </c>
      <c r="G12835" s="5">
        <v>110.5</v>
      </c>
      <c r="H12835" s="5">
        <v>110.4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112</v>
      </c>
      <c r="D12836" s="5">
        <v>0.1</v>
      </c>
      <c r="E12836" s="5">
        <v>112.1</v>
      </c>
      <c r="F12836" s="5">
        <v>222.4</v>
      </c>
      <c r="G12836" s="5">
        <v>110.5</v>
      </c>
      <c r="H12836" s="5">
        <v>110.4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112</v>
      </c>
      <c r="D12837" s="5">
        <v>0.1</v>
      </c>
      <c r="E12837" s="5">
        <v>112.1</v>
      </c>
      <c r="F12837" s="5">
        <v>222.4</v>
      </c>
      <c r="G12837" s="5">
        <v>110.5</v>
      </c>
      <c r="H12837" s="5">
        <v>110.4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112</v>
      </c>
      <c r="D12838" s="5">
        <v>0.1</v>
      </c>
      <c r="E12838" s="5">
        <v>112.1</v>
      </c>
      <c r="F12838" s="5">
        <v>222.4</v>
      </c>
      <c r="G12838" s="5">
        <v>110.5</v>
      </c>
      <c r="H12838" s="5">
        <v>110.4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112</v>
      </c>
      <c r="D12839" s="5">
        <v>0.1</v>
      </c>
      <c r="E12839" s="5">
        <v>112.1</v>
      </c>
      <c r="F12839" s="5">
        <v>222.4</v>
      </c>
      <c r="G12839" s="5">
        <v>110.5</v>
      </c>
      <c r="H12839" s="5">
        <v>110.4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112</v>
      </c>
      <c r="D12840" s="5">
        <v>0.1</v>
      </c>
      <c r="E12840" s="5">
        <v>112.1</v>
      </c>
      <c r="F12840" s="5">
        <v>222.4</v>
      </c>
      <c r="G12840" s="5">
        <v>110.5</v>
      </c>
      <c r="H12840" s="5">
        <v>110.4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112</v>
      </c>
      <c r="D12841" s="5">
        <v>0.1</v>
      </c>
      <c r="E12841" s="5">
        <v>112.1</v>
      </c>
      <c r="F12841" s="5">
        <v>222.4</v>
      </c>
      <c r="G12841" s="5">
        <v>110.5</v>
      </c>
      <c r="H12841" s="5">
        <v>110.4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112</v>
      </c>
      <c r="D12842" s="5">
        <v>0.1</v>
      </c>
      <c r="E12842" s="5">
        <v>112.1</v>
      </c>
      <c r="F12842" s="5">
        <v>222.4</v>
      </c>
      <c r="G12842" s="5">
        <v>110.5</v>
      </c>
      <c r="H12842" s="5">
        <v>110.4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112</v>
      </c>
      <c r="D12843" s="5">
        <v>0.1</v>
      </c>
      <c r="E12843" s="5">
        <v>112.1</v>
      </c>
      <c r="F12843" s="5">
        <v>222.4</v>
      </c>
      <c r="G12843" s="5">
        <v>110.5</v>
      </c>
      <c r="H12843" s="5">
        <v>110.4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112</v>
      </c>
      <c r="D12844" s="5">
        <v>0.1</v>
      </c>
      <c r="E12844" s="5">
        <v>112.1</v>
      </c>
      <c r="F12844" s="5">
        <v>222.4</v>
      </c>
      <c r="G12844" s="5">
        <v>110.5</v>
      </c>
      <c r="H12844" s="5">
        <v>110.4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112</v>
      </c>
      <c r="D12845" s="5">
        <v>0.1</v>
      </c>
      <c r="E12845" s="5">
        <v>112.1</v>
      </c>
      <c r="F12845" s="5">
        <v>222.4</v>
      </c>
      <c r="G12845" s="5">
        <v>110.5</v>
      </c>
      <c r="H12845" s="5">
        <v>110.4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112</v>
      </c>
      <c r="D12846" s="5">
        <v>0.1</v>
      </c>
      <c r="E12846" s="5">
        <v>112.1</v>
      </c>
      <c r="F12846" s="5">
        <v>222.4</v>
      </c>
      <c r="G12846" s="5">
        <v>110.5</v>
      </c>
      <c r="H12846" s="5">
        <v>110.4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112</v>
      </c>
      <c r="D12847" s="5">
        <v>0.1</v>
      </c>
      <c r="E12847" s="5">
        <v>112.1</v>
      </c>
      <c r="F12847" s="5">
        <v>222.4</v>
      </c>
      <c r="G12847" s="5">
        <v>110.5</v>
      </c>
      <c r="H12847" s="5">
        <v>110.4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112</v>
      </c>
      <c r="D12848" s="5">
        <v>0.1</v>
      </c>
      <c r="E12848" s="5">
        <v>112.1</v>
      </c>
      <c r="F12848" s="5">
        <v>222.4</v>
      </c>
      <c r="G12848" s="5">
        <v>110.5</v>
      </c>
      <c r="H12848" s="5">
        <v>110.4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112</v>
      </c>
      <c r="D12849" s="5">
        <v>0.1</v>
      </c>
      <c r="E12849" s="5">
        <v>112.1</v>
      </c>
      <c r="F12849" s="5">
        <v>222.4</v>
      </c>
      <c r="G12849" s="5">
        <v>110.5</v>
      </c>
      <c r="H12849" s="5">
        <v>110.4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112</v>
      </c>
      <c r="D12850" s="5">
        <v>0.1</v>
      </c>
      <c r="E12850" s="5">
        <v>112.1</v>
      </c>
      <c r="F12850" s="5">
        <v>222.4</v>
      </c>
      <c r="G12850" s="5">
        <v>110.5</v>
      </c>
      <c r="H12850" s="5">
        <v>110.4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112</v>
      </c>
      <c r="D12851" s="5">
        <v>0.1</v>
      </c>
      <c r="E12851" s="5">
        <v>112.1</v>
      </c>
      <c r="F12851" s="5">
        <v>222.4</v>
      </c>
      <c r="G12851" s="5">
        <v>110.5</v>
      </c>
      <c r="H12851" s="5">
        <v>110.4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112</v>
      </c>
      <c r="D12852" s="5">
        <v>0.1</v>
      </c>
      <c r="E12852" s="5">
        <v>112.1</v>
      </c>
      <c r="F12852" s="5">
        <v>222.4</v>
      </c>
      <c r="G12852" s="5">
        <v>110.5</v>
      </c>
      <c r="H12852" s="5">
        <v>110.4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112</v>
      </c>
      <c r="D12853" s="5">
        <v>0.1</v>
      </c>
      <c r="E12853" s="5">
        <v>112.1</v>
      </c>
      <c r="F12853" s="5">
        <v>222.4</v>
      </c>
      <c r="G12853" s="5">
        <v>110.5</v>
      </c>
      <c r="H12853" s="5">
        <v>110.4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112</v>
      </c>
      <c r="D12854" s="5">
        <v>0.1</v>
      </c>
      <c r="E12854" s="5">
        <v>112.1</v>
      </c>
      <c r="F12854" s="5">
        <v>222.4</v>
      </c>
      <c r="G12854" s="5">
        <v>110.5</v>
      </c>
      <c r="H12854" s="5">
        <v>110.4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112</v>
      </c>
      <c r="D12855" s="5">
        <v>0.1</v>
      </c>
      <c r="E12855" s="5">
        <v>112.1</v>
      </c>
      <c r="F12855" s="5">
        <v>222.4</v>
      </c>
      <c r="G12855" s="5">
        <v>110.5</v>
      </c>
      <c r="H12855" s="5">
        <v>110.4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112</v>
      </c>
      <c r="D12856" s="5">
        <v>0.1</v>
      </c>
      <c r="E12856" s="5">
        <v>112.1</v>
      </c>
      <c r="F12856" s="5">
        <v>222.4</v>
      </c>
      <c r="G12856" s="5">
        <v>110.5</v>
      </c>
      <c r="H12856" s="5">
        <v>110.4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112</v>
      </c>
      <c r="D12857" s="5">
        <v>0.1</v>
      </c>
      <c r="E12857" s="5">
        <v>112.1</v>
      </c>
      <c r="F12857" s="5">
        <v>222.4</v>
      </c>
      <c r="G12857" s="5">
        <v>110.5</v>
      </c>
      <c r="H12857" s="5">
        <v>110.4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112</v>
      </c>
      <c r="D12858" s="5">
        <v>0.1</v>
      </c>
      <c r="E12858" s="5">
        <v>112.1</v>
      </c>
      <c r="F12858" s="5">
        <v>222.4</v>
      </c>
      <c r="G12858" s="5">
        <v>110.5</v>
      </c>
      <c r="H12858" s="5">
        <v>110.4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112</v>
      </c>
      <c r="D12859" s="5">
        <v>0.1</v>
      </c>
      <c r="E12859" s="5">
        <v>112.1</v>
      </c>
      <c r="F12859" s="5">
        <v>222.4</v>
      </c>
      <c r="G12859" s="5">
        <v>110.5</v>
      </c>
      <c r="H12859" s="5">
        <v>110.4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112</v>
      </c>
      <c r="D12860" s="5">
        <v>0.1</v>
      </c>
      <c r="E12860" s="5">
        <v>112.1</v>
      </c>
      <c r="F12860" s="5">
        <v>222.4</v>
      </c>
      <c r="G12860" s="5">
        <v>110.5</v>
      </c>
      <c r="H12860" s="5">
        <v>110.4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112</v>
      </c>
      <c r="D12861" s="5">
        <v>0.1</v>
      </c>
      <c r="E12861" s="5">
        <v>112.1</v>
      </c>
      <c r="F12861" s="5">
        <v>222.4</v>
      </c>
      <c r="G12861" s="5">
        <v>110.5</v>
      </c>
      <c r="H12861" s="5">
        <v>110.4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112</v>
      </c>
      <c r="D12862" s="5">
        <v>0.1</v>
      </c>
      <c r="E12862" s="5">
        <v>112.1</v>
      </c>
      <c r="F12862" s="5">
        <v>222.4</v>
      </c>
      <c r="G12862" s="5">
        <v>110.5</v>
      </c>
      <c r="H12862" s="5">
        <v>110.4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112</v>
      </c>
      <c r="D12863" s="5">
        <v>0.1</v>
      </c>
      <c r="E12863" s="5">
        <v>112.1</v>
      </c>
      <c r="F12863" s="5">
        <v>222.4</v>
      </c>
      <c r="G12863" s="5">
        <v>110.5</v>
      </c>
      <c r="H12863" s="5">
        <v>110.4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112</v>
      </c>
      <c r="D12864" s="5">
        <v>0.1</v>
      </c>
      <c r="E12864" s="5">
        <v>112.1</v>
      </c>
      <c r="F12864" s="5">
        <v>222.4</v>
      </c>
      <c r="G12864" s="5">
        <v>110.5</v>
      </c>
      <c r="H12864" s="5">
        <v>110.4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112</v>
      </c>
      <c r="D12865" s="5">
        <v>0.1</v>
      </c>
      <c r="E12865" s="5">
        <v>112.1</v>
      </c>
      <c r="F12865" s="5">
        <v>222.4</v>
      </c>
      <c r="G12865" s="5">
        <v>110.5</v>
      </c>
      <c r="H12865" s="5">
        <v>110.4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112</v>
      </c>
      <c r="D12866" s="5">
        <v>0.1</v>
      </c>
      <c r="E12866" s="5">
        <v>112.1</v>
      </c>
      <c r="F12866" s="5">
        <v>222.4</v>
      </c>
      <c r="G12866" s="5">
        <v>110.5</v>
      </c>
      <c r="H12866" s="5">
        <v>110.4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112</v>
      </c>
      <c r="D12867" s="5">
        <v>0.1</v>
      </c>
      <c r="E12867" s="5">
        <v>112.1</v>
      </c>
      <c r="F12867" s="5">
        <v>222.4</v>
      </c>
      <c r="G12867" s="5">
        <v>110.5</v>
      </c>
      <c r="H12867" s="5">
        <v>110.4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112</v>
      </c>
      <c r="D12868" s="5">
        <v>0.1</v>
      </c>
      <c r="E12868" s="5">
        <v>112.1</v>
      </c>
      <c r="F12868" s="5">
        <v>222.4</v>
      </c>
      <c r="G12868" s="5">
        <v>110.5</v>
      </c>
      <c r="H12868" s="5">
        <v>110.4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112</v>
      </c>
      <c r="D12869" s="5">
        <v>0.1</v>
      </c>
      <c r="E12869" s="5">
        <v>112.1</v>
      </c>
      <c r="F12869" s="5">
        <v>222.4</v>
      </c>
      <c r="G12869" s="5">
        <v>110.5</v>
      </c>
      <c r="H12869" s="5">
        <v>110.4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112</v>
      </c>
      <c r="D12870" s="5">
        <v>0.1</v>
      </c>
      <c r="E12870" s="5">
        <v>112.1</v>
      </c>
      <c r="F12870" s="5">
        <v>222.4</v>
      </c>
      <c r="G12870" s="5">
        <v>110.5</v>
      </c>
      <c r="H12870" s="5">
        <v>110.4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112</v>
      </c>
      <c r="D12871" s="5">
        <v>0.1</v>
      </c>
      <c r="E12871" s="5">
        <v>112.1</v>
      </c>
      <c r="F12871" s="5">
        <v>222.4</v>
      </c>
      <c r="G12871" s="5">
        <v>110.5</v>
      </c>
      <c r="H12871" s="5">
        <v>110.4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112</v>
      </c>
      <c r="D12872" s="5">
        <v>0.1</v>
      </c>
      <c r="E12872" s="5">
        <v>112.1</v>
      </c>
      <c r="F12872" s="5">
        <v>222.4</v>
      </c>
      <c r="G12872" s="5">
        <v>110.5</v>
      </c>
      <c r="H12872" s="5">
        <v>110.4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112</v>
      </c>
      <c r="D12873" s="5">
        <v>0.1</v>
      </c>
      <c r="E12873" s="5">
        <v>112.1</v>
      </c>
      <c r="F12873" s="5">
        <v>222.4</v>
      </c>
      <c r="G12873" s="5">
        <v>110.5</v>
      </c>
      <c r="H12873" s="5">
        <v>110.4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112</v>
      </c>
      <c r="D12874" s="5">
        <v>0.1</v>
      </c>
      <c r="E12874" s="5">
        <v>112.1</v>
      </c>
      <c r="F12874" s="5">
        <v>222.4</v>
      </c>
      <c r="G12874" s="5">
        <v>110.5</v>
      </c>
      <c r="H12874" s="5">
        <v>110.4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112</v>
      </c>
      <c r="D12875" s="5">
        <v>0.1</v>
      </c>
      <c r="E12875" s="5">
        <v>112.1</v>
      </c>
      <c r="F12875" s="5">
        <v>222.4</v>
      </c>
      <c r="G12875" s="5">
        <v>110.5</v>
      </c>
      <c r="H12875" s="5">
        <v>110.4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112</v>
      </c>
      <c r="D12876" s="5">
        <v>0.1</v>
      </c>
      <c r="E12876" s="5">
        <v>112.1</v>
      </c>
      <c r="F12876" s="5">
        <v>222.4</v>
      </c>
      <c r="G12876" s="5">
        <v>110.5</v>
      </c>
      <c r="H12876" s="5">
        <v>110.4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112</v>
      </c>
      <c r="D12877" s="5">
        <v>0.1</v>
      </c>
      <c r="E12877" s="5">
        <v>112.1</v>
      </c>
      <c r="F12877" s="5">
        <v>222.4</v>
      </c>
      <c r="G12877" s="5">
        <v>110.5</v>
      </c>
      <c r="H12877" s="5">
        <v>110.4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112</v>
      </c>
      <c r="D12878" s="5">
        <v>0.1</v>
      </c>
      <c r="E12878" s="5">
        <v>112.1</v>
      </c>
      <c r="F12878" s="5">
        <v>222.4</v>
      </c>
      <c r="G12878" s="5">
        <v>110.5</v>
      </c>
      <c r="H12878" s="5">
        <v>110.4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112</v>
      </c>
      <c r="D12879" s="5">
        <v>0.1</v>
      </c>
      <c r="E12879" s="5">
        <v>112.1</v>
      </c>
      <c r="F12879" s="5">
        <v>222.4</v>
      </c>
      <c r="G12879" s="5">
        <v>110.5</v>
      </c>
      <c r="H12879" s="5">
        <v>110.4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112</v>
      </c>
      <c r="D12880" s="5">
        <v>0.1</v>
      </c>
      <c r="E12880" s="5">
        <v>112.1</v>
      </c>
      <c r="F12880" s="5">
        <v>222.4</v>
      </c>
      <c r="G12880" s="5">
        <v>110.5</v>
      </c>
      <c r="H12880" s="5">
        <v>110.4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112</v>
      </c>
      <c r="D12881" s="5">
        <v>0.1</v>
      </c>
      <c r="E12881" s="5">
        <v>112.1</v>
      </c>
      <c r="F12881" s="5">
        <v>222.4</v>
      </c>
      <c r="G12881" s="5">
        <v>110.5</v>
      </c>
      <c r="H12881" s="5">
        <v>110.4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112</v>
      </c>
      <c r="D12882" s="5">
        <v>0.1</v>
      </c>
      <c r="E12882" s="5">
        <v>112.1</v>
      </c>
      <c r="F12882" s="5">
        <v>222.4</v>
      </c>
      <c r="G12882" s="5">
        <v>110.5</v>
      </c>
      <c r="H12882" s="5">
        <v>110.4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112</v>
      </c>
      <c r="D12883" s="5">
        <v>0.1</v>
      </c>
      <c r="E12883" s="5">
        <v>112.1</v>
      </c>
      <c r="F12883" s="5">
        <v>222.4</v>
      </c>
      <c r="G12883" s="5">
        <v>110.5</v>
      </c>
      <c r="H12883" s="5">
        <v>110.4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112</v>
      </c>
      <c r="D12884" s="5">
        <v>0.1</v>
      </c>
      <c r="E12884" s="5">
        <v>112.1</v>
      </c>
      <c r="F12884" s="5">
        <v>222.4</v>
      </c>
      <c r="G12884" s="5">
        <v>110.5</v>
      </c>
      <c r="H12884" s="5">
        <v>110.4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112</v>
      </c>
      <c r="D12885" s="5">
        <v>0.1</v>
      </c>
      <c r="E12885" s="5">
        <v>112.1</v>
      </c>
      <c r="F12885" s="5">
        <v>222.4</v>
      </c>
      <c r="G12885" s="5">
        <v>110.5</v>
      </c>
      <c r="H12885" s="5">
        <v>110.4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112</v>
      </c>
      <c r="D12886" s="5">
        <v>0.1</v>
      </c>
      <c r="E12886" s="5">
        <v>112.1</v>
      </c>
      <c r="F12886" s="5">
        <v>222.4</v>
      </c>
      <c r="G12886" s="5">
        <v>110.5</v>
      </c>
      <c r="H12886" s="5">
        <v>110.4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112</v>
      </c>
      <c r="D12887" s="5">
        <v>0.1</v>
      </c>
      <c r="E12887" s="5">
        <v>112.1</v>
      </c>
      <c r="F12887" s="5">
        <v>222.4</v>
      </c>
      <c r="G12887" s="5">
        <v>110.5</v>
      </c>
      <c r="H12887" s="5">
        <v>110.4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112</v>
      </c>
      <c r="D12888" s="5">
        <v>0.1</v>
      </c>
      <c r="E12888" s="5">
        <v>112.1</v>
      </c>
      <c r="F12888" s="5">
        <v>222.4</v>
      </c>
      <c r="G12888" s="5">
        <v>110.5</v>
      </c>
      <c r="H12888" s="5">
        <v>110.4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112</v>
      </c>
      <c r="D12889" s="5">
        <v>0.1</v>
      </c>
      <c r="E12889" s="5">
        <v>112.1</v>
      </c>
      <c r="F12889" s="5">
        <v>222.4</v>
      </c>
      <c r="G12889" s="5">
        <v>110.5</v>
      </c>
      <c r="H12889" s="5">
        <v>110.4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112</v>
      </c>
      <c r="D12890" s="5">
        <v>0.1</v>
      </c>
      <c r="E12890" s="5">
        <v>112.1</v>
      </c>
      <c r="F12890" s="5">
        <v>222.4</v>
      </c>
      <c r="G12890" s="5">
        <v>110.5</v>
      </c>
      <c r="H12890" s="5">
        <v>110.4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112</v>
      </c>
      <c r="D12891" s="5">
        <v>0.1</v>
      </c>
      <c r="E12891" s="5">
        <v>112.1</v>
      </c>
      <c r="F12891" s="5">
        <v>222.4</v>
      </c>
      <c r="G12891" s="5">
        <v>110.5</v>
      </c>
      <c r="H12891" s="5">
        <v>110.4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112</v>
      </c>
      <c r="D12892" s="5">
        <v>0.1</v>
      </c>
      <c r="E12892" s="5">
        <v>112.1</v>
      </c>
      <c r="F12892" s="5">
        <v>222.4</v>
      </c>
      <c r="G12892" s="5">
        <v>110.5</v>
      </c>
      <c r="H12892" s="5">
        <v>110.4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112</v>
      </c>
      <c r="D12893" s="5">
        <v>0.1</v>
      </c>
      <c r="E12893" s="5">
        <v>112.1</v>
      </c>
      <c r="F12893" s="5">
        <v>222.4</v>
      </c>
      <c r="G12893" s="5">
        <v>110.5</v>
      </c>
      <c r="H12893" s="5">
        <v>110.4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112</v>
      </c>
      <c r="D12894" s="5">
        <v>0.1</v>
      </c>
      <c r="E12894" s="5">
        <v>112.1</v>
      </c>
      <c r="F12894" s="5">
        <v>222.4</v>
      </c>
      <c r="G12894" s="5">
        <v>110.5</v>
      </c>
      <c r="H12894" s="5">
        <v>110.4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112</v>
      </c>
      <c r="D12895" s="5">
        <v>0.1</v>
      </c>
      <c r="E12895" s="5">
        <v>112.1</v>
      </c>
      <c r="F12895" s="5">
        <v>222.4</v>
      </c>
      <c r="G12895" s="5">
        <v>110.5</v>
      </c>
      <c r="H12895" s="5">
        <v>110.4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112</v>
      </c>
      <c r="D12896" s="5">
        <v>0.1</v>
      </c>
      <c r="E12896" s="5">
        <v>112.1</v>
      </c>
      <c r="F12896" s="5">
        <v>222.4</v>
      </c>
      <c r="G12896" s="5">
        <v>110.5</v>
      </c>
      <c r="H12896" s="5">
        <v>110.4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112</v>
      </c>
      <c r="D12897" s="5">
        <v>0.1</v>
      </c>
      <c r="E12897" s="5">
        <v>112.1</v>
      </c>
      <c r="F12897" s="5">
        <v>222.4</v>
      </c>
      <c r="G12897" s="5">
        <v>110.5</v>
      </c>
      <c r="H12897" s="5">
        <v>110.4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112</v>
      </c>
      <c r="D12898" s="5">
        <v>0.1</v>
      </c>
      <c r="E12898" s="5">
        <v>112.1</v>
      </c>
      <c r="F12898" s="5">
        <v>222.4</v>
      </c>
      <c r="G12898" s="5">
        <v>110.5</v>
      </c>
      <c r="H12898" s="5">
        <v>110.4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112</v>
      </c>
      <c r="D12899" s="5">
        <v>0.1</v>
      </c>
      <c r="E12899" s="5">
        <v>112.1</v>
      </c>
      <c r="F12899" s="5">
        <v>222.4</v>
      </c>
      <c r="G12899" s="5">
        <v>110.5</v>
      </c>
      <c r="H12899" s="5">
        <v>110.4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112</v>
      </c>
      <c r="D12900" s="5">
        <v>0.1</v>
      </c>
      <c r="E12900" s="5">
        <v>112.1</v>
      </c>
      <c r="F12900" s="5">
        <v>222.4</v>
      </c>
      <c r="G12900" s="5">
        <v>110.5</v>
      </c>
      <c r="H12900" s="5">
        <v>110.4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112</v>
      </c>
      <c r="D12901" s="5">
        <v>0.1</v>
      </c>
      <c r="E12901" s="5">
        <v>112.1</v>
      </c>
      <c r="F12901" s="5">
        <v>222.4</v>
      </c>
      <c r="G12901" s="5">
        <v>110.5</v>
      </c>
      <c r="H12901" s="5">
        <v>110.4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112</v>
      </c>
      <c r="D12902" s="5">
        <v>0.1</v>
      </c>
      <c r="E12902" s="5">
        <v>112.1</v>
      </c>
      <c r="F12902" s="5">
        <v>222.4</v>
      </c>
      <c r="G12902" s="5">
        <v>110.5</v>
      </c>
      <c r="H12902" s="5">
        <v>110.4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112</v>
      </c>
      <c r="D12903" s="5">
        <v>0.1</v>
      </c>
      <c r="E12903" s="5">
        <v>112.1</v>
      </c>
      <c r="F12903" s="5">
        <v>222.4</v>
      </c>
      <c r="G12903" s="5">
        <v>110.5</v>
      </c>
      <c r="H12903" s="5">
        <v>110.4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112</v>
      </c>
      <c r="D12904" s="5">
        <v>0.1</v>
      </c>
      <c r="E12904" s="5">
        <v>112.1</v>
      </c>
      <c r="F12904" s="5">
        <v>222.4</v>
      </c>
      <c r="G12904" s="5">
        <v>110.5</v>
      </c>
      <c r="H12904" s="5">
        <v>110.4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112</v>
      </c>
      <c r="D12905" s="5">
        <v>0.1</v>
      </c>
      <c r="E12905" s="5">
        <v>112.1</v>
      </c>
      <c r="F12905" s="5">
        <v>222.4</v>
      </c>
      <c r="G12905" s="5">
        <v>110.5</v>
      </c>
      <c r="H12905" s="5">
        <v>110.4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112</v>
      </c>
      <c r="D12906" s="5">
        <v>0.1</v>
      </c>
      <c r="E12906" s="5">
        <v>112.1</v>
      </c>
      <c r="F12906" s="5">
        <v>222.4</v>
      </c>
      <c r="G12906" s="5">
        <v>110.5</v>
      </c>
      <c r="H12906" s="5">
        <v>110.4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112</v>
      </c>
      <c r="D12907" s="5">
        <v>0.1</v>
      </c>
      <c r="E12907" s="5">
        <v>112.1</v>
      </c>
      <c r="F12907" s="5">
        <v>222.4</v>
      </c>
      <c r="G12907" s="5">
        <v>110.5</v>
      </c>
      <c r="H12907" s="5">
        <v>110.4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112</v>
      </c>
      <c r="D12908" s="5">
        <v>0.1</v>
      </c>
      <c r="E12908" s="5">
        <v>112.1</v>
      </c>
      <c r="F12908" s="5">
        <v>222.4</v>
      </c>
      <c r="G12908" s="5">
        <v>110.5</v>
      </c>
      <c r="H12908" s="5">
        <v>110.4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112</v>
      </c>
      <c r="D12909" s="5">
        <v>0.1</v>
      </c>
      <c r="E12909" s="5">
        <v>112.1</v>
      </c>
      <c r="F12909" s="5">
        <v>222.4</v>
      </c>
      <c r="G12909" s="5">
        <v>110.5</v>
      </c>
      <c r="H12909" s="5">
        <v>110.4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112</v>
      </c>
      <c r="D12910" s="5">
        <v>0.1</v>
      </c>
      <c r="E12910" s="5">
        <v>112.1</v>
      </c>
      <c r="F12910" s="5">
        <v>222.4</v>
      </c>
      <c r="G12910" s="5">
        <v>110.5</v>
      </c>
      <c r="H12910" s="5">
        <v>110.4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112</v>
      </c>
      <c r="D12911" s="5">
        <v>0.1</v>
      </c>
      <c r="E12911" s="5">
        <v>112.1</v>
      </c>
      <c r="F12911" s="5">
        <v>222.4</v>
      </c>
      <c r="G12911" s="5">
        <v>110.5</v>
      </c>
      <c r="H12911" s="5">
        <v>110.4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112</v>
      </c>
      <c r="D12912" s="5">
        <v>0.1</v>
      </c>
      <c r="E12912" s="5">
        <v>112.1</v>
      </c>
      <c r="F12912" s="5">
        <v>222.4</v>
      </c>
      <c r="G12912" s="5">
        <v>110.5</v>
      </c>
      <c r="H12912" s="5">
        <v>110.4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112</v>
      </c>
      <c r="D12913" s="5">
        <v>0.1</v>
      </c>
      <c r="E12913" s="5">
        <v>112.1</v>
      </c>
      <c r="F12913" s="5">
        <v>222.4</v>
      </c>
      <c r="G12913" s="5">
        <v>110.5</v>
      </c>
      <c r="H12913" s="5">
        <v>110.4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112</v>
      </c>
      <c r="D12914" s="5">
        <v>0.1</v>
      </c>
      <c r="E12914" s="5">
        <v>112.1</v>
      </c>
      <c r="F12914" s="5">
        <v>222.4</v>
      </c>
      <c r="G12914" s="5">
        <v>110.5</v>
      </c>
      <c r="H12914" s="5">
        <v>110.4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112</v>
      </c>
      <c r="D12915" s="5">
        <v>0.1</v>
      </c>
      <c r="E12915" s="5">
        <v>112.1</v>
      </c>
      <c r="F12915" s="5">
        <v>222.4</v>
      </c>
      <c r="G12915" s="5">
        <v>110.5</v>
      </c>
      <c r="H12915" s="5">
        <v>110.4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112</v>
      </c>
      <c r="D12916" s="5">
        <v>0.1</v>
      </c>
      <c r="E12916" s="5">
        <v>112.1</v>
      </c>
      <c r="F12916" s="5">
        <v>222.4</v>
      </c>
      <c r="G12916" s="5">
        <v>110.5</v>
      </c>
      <c r="H12916" s="5">
        <v>110.4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112</v>
      </c>
      <c r="D12917" s="5">
        <v>0.1</v>
      </c>
      <c r="E12917" s="5">
        <v>112.1</v>
      </c>
      <c r="F12917" s="5">
        <v>222.4</v>
      </c>
      <c r="G12917" s="5">
        <v>110.5</v>
      </c>
      <c r="H12917" s="5">
        <v>110.4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112</v>
      </c>
      <c r="D12918" s="5">
        <v>0.1</v>
      </c>
      <c r="E12918" s="5">
        <v>112.1</v>
      </c>
      <c r="F12918" s="5">
        <v>222.4</v>
      </c>
      <c r="G12918" s="5">
        <v>110.5</v>
      </c>
      <c r="H12918" s="5">
        <v>110.4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112</v>
      </c>
      <c r="D12919" s="5">
        <v>0.1</v>
      </c>
      <c r="E12919" s="5">
        <v>112.1</v>
      </c>
      <c r="F12919" s="5">
        <v>222.4</v>
      </c>
      <c r="G12919" s="5">
        <v>110.5</v>
      </c>
      <c r="H12919" s="5">
        <v>110.4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112</v>
      </c>
      <c r="D12920" s="5">
        <v>0.1</v>
      </c>
      <c r="E12920" s="5">
        <v>112.1</v>
      </c>
      <c r="F12920" s="5">
        <v>222.4</v>
      </c>
      <c r="G12920" s="5">
        <v>110.5</v>
      </c>
      <c r="H12920" s="5">
        <v>110.4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112</v>
      </c>
      <c r="D12921" s="5">
        <v>0.1</v>
      </c>
      <c r="E12921" s="5">
        <v>112.1</v>
      </c>
      <c r="F12921" s="5">
        <v>222.4</v>
      </c>
      <c r="G12921" s="5">
        <v>110.5</v>
      </c>
      <c r="H12921" s="5">
        <v>110.4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112</v>
      </c>
      <c r="D12922" s="5">
        <v>0.1</v>
      </c>
      <c r="E12922" s="5">
        <v>112.1</v>
      </c>
      <c r="F12922" s="5">
        <v>222.4</v>
      </c>
      <c r="G12922" s="5">
        <v>110.5</v>
      </c>
      <c r="H12922" s="5">
        <v>110.4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112</v>
      </c>
      <c r="D12923" s="5">
        <v>0.1</v>
      </c>
      <c r="E12923" s="5">
        <v>112.1</v>
      </c>
      <c r="F12923" s="5">
        <v>222.4</v>
      </c>
      <c r="G12923" s="5">
        <v>110.5</v>
      </c>
      <c r="H12923" s="5">
        <v>110.4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112</v>
      </c>
      <c r="D12924" s="5">
        <v>0.1</v>
      </c>
      <c r="E12924" s="5">
        <v>112.1</v>
      </c>
      <c r="F12924" s="5">
        <v>222.4</v>
      </c>
      <c r="G12924" s="5">
        <v>110.5</v>
      </c>
      <c r="H12924" s="5">
        <v>110.4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112</v>
      </c>
      <c r="D12925" s="5">
        <v>0.1</v>
      </c>
      <c r="E12925" s="5">
        <v>112.1</v>
      </c>
      <c r="F12925" s="5">
        <v>222.4</v>
      </c>
      <c r="G12925" s="5">
        <v>110.5</v>
      </c>
      <c r="H12925" s="5">
        <v>110.4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112</v>
      </c>
      <c r="D12926" s="5">
        <v>0.1</v>
      </c>
      <c r="E12926" s="5">
        <v>112.1</v>
      </c>
      <c r="F12926" s="5">
        <v>222.4</v>
      </c>
      <c r="G12926" s="5">
        <v>110.5</v>
      </c>
      <c r="H12926" s="5">
        <v>110.4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112</v>
      </c>
      <c r="D12927" s="5">
        <v>0.1</v>
      </c>
      <c r="E12927" s="5">
        <v>112.1</v>
      </c>
      <c r="F12927" s="5">
        <v>222.4</v>
      </c>
      <c r="G12927" s="5">
        <v>110.5</v>
      </c>
      <c r="H12927" s="5">
        <v>110.4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112</v>
      </c>
      <c r="D12928" s="5">
        <v>0.1</v>
      </c>
      <c r="E12928" s="5">
        <v>112.1</v>
      </c>
      <c r="F12928" s="5">
        <v>222.4</v>
      </c>
      <c r="G12928" s="5">
        <v>110.5</v>
      </c>
      <c r="H12928" s="5">
        <v>110.4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112</v>
      </c>
      <c r="D12929" s="5">
        <v>0.1</v>
      </c>
      <c r="E12929" s="5">
        <v>112.1</v>
      </c>
      <c r="F12929" s="5">
        <v>222.4</v>
      </c>
      <c r="G12929" s="5">
        <v>110.5</v>
      </c>
      <c r="H12929" s="5">
        <v>110.4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112</v>
      </c>
      <c r="D12930" s="5">
        <v>0.1</v>
      </c>
      <c r="E12930" s="5">
        <v>112.1</v>
      </c>
      <c r="F12930" s="5">
        <v>222.4</v>
      </c>
      <c r="G12930" s="5">
        <v>110.5</v>
      </c>
      <c r="H12930" s="5">
        <v>110.4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112</v>
      </c>
      <c r="D12931" s="5">
        <v>0.1</v>
      </c>
      <c r="E12931" s="5">
        <v>112.1</v>
      </c>
      <c r="F12931" s="5">
        <v>222.4</v>
      </c>
      <c r="G12931" s="5">
        <v>110.5</v>
      </c>
      <c r="H12931" s="5">
        <v>110.4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112</v>
      </c>
      <c r="D12932" s="5">
        <v>0.1</v>
      </c>
      <c r="E12932" s="5">
        <v>112.1</v>
      </c>
      <c r="F12932" s="5">
        <v>222.4</v>
      </c>
      <c r="G12932" s="5">
        <v>110.5</v>
      </c>
      <c r="H12932" s="5">
        <v>110.4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112</v>
      </c>
      <c r="D12933" s="5">
        <v>0.1</v>
      </c>
      <c r="E12933" s="5">
        <v>112.1</v>
      </c>
      <c r="F12933" s="5">
        <v>222.4</v>
      </c>
      <c r="G12933" s="5">
        <v>110.5</v>
      </c>
      <c r="H12933" s="5">
        <v>110.4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112</v>
      </c>
      <c r="D12934" s="5">
        <v>0.1</v>
      </c>
      <c r="E12934" s="5">
        <v>112.1</v>
      </c>
      <c r="F12934" s="5">
        <v>222.4</v>
      </c>
      <c r="G12934" s="5">
        <v>110.5</v>
      </c>
      <c r="H12934" s="5">
        <v>110.4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112</v>
      </c>
      <c r="D12935" s="5">
        <v>0.1</v>
      </c>
      <c r="E12935" s="5">
        <v>112.1</v>
      </c>
      <c r="F12935" s="5">
        <v>222.4</v>
      </c>
      <c r="G12935" s="5">
        <v>110.5</v>
      </c>
      <c r="H12935" s="5">
        <v>110.4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112</v>
      </c>
      <c r="D12936" s="5">
        <v>0.1</v>
      </c>
      <c r="E12936" s="5">
        <v>112.1</v>
      </c>
      <c r="F12936" s="5">
        <v>222.4</v>
      </c>
      <c r="G12936" s="5">
        <v>110.5</v>
      </c>
      <c r="H12936" s="5">
        <v>110.4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112</v>
      </c>
      <c r="D12937" s="5">
        <v>0.1</v>
      </c>
      <c r="E12937" s="5">
        <v>112.1</v>
      </c>
      <c r="F12937" s="5">
        <v>222.4</v>
      </c>
      <c r="G12937" s="5">
        <v>110.5</v>
      </c>
      <c r="H12937" s="5">
        <v>110.4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112</v>
      </c>
      <c r="D12938" s="5">
        <v>0.1</v>
      </c>
      <c r="E12938" s="5">
        <v>112.1</v>
      </c>
      <c r="F12938" s="5">
        <v>222.4</v>
      </c>
      <c r="G12938" s="5">
        <v>110.5</v>
      </c>
      <c r="H12938" s="5">
        <v>110.4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112</v>
      </c>
      <c r="D12939" s="5">
        <v>0.1</v>
      </c>
      <c r="E12939" s="5">
        <v>112.1</v>
      </c>
      <c r="F12939" s="5">
        <v>222.4</v>
      </c>
      <c r="G12939" s="5">
        <v>110.5</v>
      </c>
      <c r="H12939" s="5">
        <v>110.4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112</v>
      </c>
      <c r="D12940" s="5">
        <v>0.1</v>
      </c>
      <c r="E12940" s="5">
        <v>112.1</v>
      </c>
      <c r="F12940" s="5">
        <v>222.4</v>
      </c>
      <c r="G12940" s="5">
        <v>110.5</v>
      </c>
      <c r="H12940" s="5">
        <v>110.4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112</v>
      </c>
      <c r="D12941" s="5">
        <v>0.1</v>
      </c>
      <c r="E12941" s="5">
        <v>112.1</v>
      </c>
      <c r="F12941" s="5">
        <v>222.4</v>
      </c>
      <c r="G12941" s="5">
        <v>110.5</v>
      </c>
      <c r="H12941" s="5">
        <v>110.4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112</v>
      </c>
      <c r="D12942" s="5">
        <v>0.1</v>
      </c>
      <c r="E12942" s="5">
        <v>112.1</v>
      </c>
      <c r="F12942" s="5">
        <v>222.4</v>
      </c>
      <c r="G12942" s="5">
        <v>110.5</v>
      </c>
      <c r="H12942" s="5">
        <v>110.4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112</v>
      </c>
      <c r="D12943" s="5">
        <v>0.1</v>
      </c>
      <c r="E12943" s="5">
        <v>112.1</v>
      </c>
      <c r="F12943" s="5">
        <v>222.4</v>
      </c>
      <c r="G12943" s="5">
        <v>110.5</v>
      </c>
      <c r="H12943" s="5">
        <v>110.4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112</v>
      </c>
      <c r="D12944" s="5">
        <v>0.1</v>
      </c>
      <c r="E12944" s="5">
        <v>112.1</v>
      </c>
      <c r="F12944" s="5">
        <v>222.4</v>
      </c>
      <c r="G12944" s="5">
        <v>110.5</v>
      </c>
      <c r="H12944" s="5">
        <v>110.4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112</v>
      </c>
      <c r="D12945" s="5">
        <v>0.1</v>
      </c>
      <c r="E12945" s="5">
        <v>112.1</v>
      </c>
      <c r="F12945" s="5">
        <v>222.4</v>
      </c>
      <c r="G12945" s="5">
        <v>110.5</v>
      </c>
      <c r="H12945" s="5">
        <v>110.4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112</v>
      </c>
      <c r="D12946" s="5">
        <v>0.1</v>
      </c>
      <c r="E12946" s="5">
        <v>112.1</v>
      </c>
      <c r="F12946" s="5">
        <v>222.4</v>
      </c>
      <c r="G12946" s="5">
        <v>110.5</v>
      </c>
      <c r="H12946" s="5">
        <v>110.4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112</v>
      </c>
      <c r="D12947" s="5">
        <v>0.1</v>
      </c>
      <c r="E12947" s="5">
        <v>112.1</v>
      </c>
      <c r="F12947" s="5">
        <v>222.4</v>
      </c>
      <c r="G12947" s="5">
        <v>110.5</v>
      </c>
      <c r="H12947" s="5">
        <v>110.4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112</v>
      </c>
      <c r="D12948" s="5">
        <v>0.1</v>
      </c>
      <c r="E12948" s="5">
        <v>112.1</v>
      </c>
      <c r="F12948" s="5">
        <v>222.4</v>
      </c>
      <c r="G12948" s="5">
        <v>110.5</v>
      </c>
      <c r="H12948" s="5">
        <v>110.4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112</v>
      </c>
      <c r="D12949" s="5">
        <v>0.1</v>
      </c>
      <c r="E12949" s="5">
        <v>112.1</v>
      </c>
      <c r="F12949" s="5">
        <v>222.4</v>
      </c>
      <c r="G12949" s="5">
        <v>110.5</v>
      </c>
      <c r="H12949" s="5">
        <v>110.4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112</v>
      </c>
      <c r="D12950" s="5">
        <v>0.1</v>
      </c>
      <c r="E12950" s="5">
        <v>112.1</v>
      </c>
      <c r="F12950" s="5">
        <v>222.4</v>
      </c>
      <c r="G12950" s="5">
        <v>110.5</v>
      </c>
      <c r="H12950" s="5">
        <v>110.4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112</v>
      </c>
      <c r="D12951" s="5">
        <v>0.1</v>
      </c>
      <c r="E12951" s="5">
        <v>112.1</v>
      </c>
      <c r="F12951" s="5">
        <v>222.4</v>
      </c>
      <c r="G12951" s="5">
        <v>110.5</v>
      </c>
      <c r="H12951" s="5">
        <v>110.4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112</v>
      </c>
      <c r="D12952" s="5">
        <v>0.1</v>
      </c>
      <c r="E12952" s="5">
        <v>112.1</v>
      </c>
      <c r="F12952" s="5">
        <v>222.4</v>
      </c>
      <c r="G12952" s="5">
        <v>110.5</v>
      </c>
      <c r="H12952" s="5">
        <v>110.4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112</v>
      </c>
      <c r="D12953" s="5">
        <v>0.1</v>
      </c>
      <c r="E12953" s="5">
        <v>112.1</v>
      </c>
      <c r="F12953" s="5">
        <v>222.4</v>
      </c>
      <c r="G12953" s="5">
        <v>110.5</v>
      </c>
      <c r="H12953" s="5">
        <v>110.4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112</v>
      </c>
      <c r="D12954" s="5">
        <v>0.1</v>
      </c>
      <c r="E12954" s="5">
        <v>112.1</v>
      </c>
      <c r="F12954" s="5">
        <v>222.4</v>
      </c>
      <c r="G12954" s="5">
        <v>110.5</v>
      </c>
      <c r="H12954" s="5">
        <v>110.4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112</v>
      </c>
      <c r="D12955" s="5">
        <v>0.1</v>
      </c>
      <c r="E12955" s="5">
        <v>112.1</v>
      </c>
      <c r="F12955" s="5">
        <v>222.4</v>
      </c>
      <c r="G12955" s="5">
        <v>110.5</v>
      </c>
      <c r="H12955" s="5">
        <v>110.4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112</v>
      </c>
      <c r="D12956" s="5">
        <v>0.1</v>
      </c>
      <c r="E12956" s="5">
        <v>112.1</v>
      </c>
      <c r="F12956" s="5">
        <v>222.4</v>
      </c>
      <c r="G12956" s="5">
        <v>110.5</v>
      </c>
      <c r="H12956" s="5">
        <v>110.4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112</v>
      </c>
      <c r="D12957" s="5">
        <v>0.1</v>
      </c>
      <c r="E12957" s="5">
        <v>112.1</v>
      </c>
      <c r="F12957" s="5">
        <v>222.4</v>
      </c>
      <c r="G12957" s="5">
        <v>110.5</v>
      </c>
      <c r="H12957" s="5">
        <v>110.4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112</v>
      </c>
      <c r="D12958" s="5">
        <v>0.1</v>
      </c>
      <c r="E12958" s="5">
        <v>112.1</v>
      </c>
      <c r="F12958" s="5">
        <v>222.4</v>
      </c>
      <c r="G12958" s="5">
        <v>110.5</v>
      </c>
      <c r="H12958" s="5">
        <v>110.4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112</v>
      </c>
      <c r="D12959" s="5">
        <v>0.1</v>
      </c>
      <c r="E12959" s="5">
        <v>112.1</v>
      </c>
      <c r="F12959" s="5">
        <v>222.4</v>
      </c>
      <c r="G12959" s="5">
        <v>110.5</v>
      </c>
      <c r="H12959" s="5">
        <v>110.4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112</v>
      </c>
      <c r="D12960" s="5">
        <v>0.1</v>
      </c>
      <c r="E12960" s="5">
        <v>112.1</v>
      </c>
      <c r="F12960" s="5">
        <v>222.4</v>
      </c>
      <c r="G12960" s="5">
        <v>110.5</v>
      </c>
      <c r="H12960" s="5">
        <v>110.4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112</v>
      </c>
      <c r="D12961" s="5">
        <v>0.1</v>
      </c>
      <c r="E12961" s="5">
        <v>112.1</v>
      </c>
      <c r="F12961" s="5">
        <v>222.4</v>
      </c>
      <c r="G12961" s="5">
        <v>110.5</v>
      </c>
      <c r="H12961" s="5">
        <v>110.4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112</v>
      </c>
      <c r="D12962" s="5">
        <v>0.1</v>
      </c>
      <c r="E12962" s="5">
        <v>112.1</v>
      </c>
      <c r="F12962" s="5">
        <v>222.4</v>
      </c>
      <c r="G12962" s="5">
        <v>110.5</v>
      </c>
      <c r="H12962" s="5">
        <v>110.4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112</v>
      </c>
      <c r="D12963" s="5">
        <v>0.1</v>
      </c>
      <c r="E12963" s="5">
        <v>112.1</v>
      </c>
      <c r="F12963" s="5">
        <v>222.4</v>
      </c>
      <c r="G12963" s="5">
        <v>110.5</v>
      </c>
      <c r="H12963" s="5">
        <v>110.4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112</v>
      </c>
      <c r="D12964" s="5">
        <v>0.1</v>
      </c>
      <c r="E12964" s="5">
        <v>112.1</v>
      </c>
      <c r="F12964" s="5">
        <v>222.4</v>
      </c>
      <c r="G12964" s="5">
        <v>110.5</v>
      </c>
      <c r="H12964" s="5">
        <v>110.4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112</v>
      </c>
      <c r="D12965" s="5">
        <v>0.1</v>
      </c>
      <c r="E12965" s="5">
        <v>112.1</v>
      </c>
      <c r="F12965" s="5">
        <v>222.4</v>
      </c>
      <c r="G12965" s="5">
        <v>110.5</v>
      </c>
      <c r="H12965" s="5">
        <v>110.4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112</v>
      </c>
      <c r="D12966" s="5">
        <v>0.1</v>
      </c>
      <c r="E12966" s="5">
        <v>112.1</v>
      </c>
      <c r="F12966" s="5">
        <v>222.4</v>
      </c>
      <c r="G12966" s="5">
        <v>110.5</v>
      </c>
      <c r="H12966" s="5">
        <v>110.4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112</v>
      </c>
      <c r="D12967" s="5">
        <v>0.1</v>
      </c>
      <c r="E12967" s="5">
        <v>112.1</v>
      </c>
      <c r="F12967" s="5">
        <v>222.4</v>
      </c>
      <c r="G12967" s="5">
        <v>110.5</v>
      </c>
      <c r="H12967" s="5">
        <v>110.4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112</v>
      </c>
      <c r="D12968" s="5">
        <v>0.1</v>
      </c>
      <c r="E12968" s="5">
        <v>112.1</v>
      </c>
      <c r="F12968" s="5">
        <v>222.4</v>
      </c>
      <c r="G12968" s="5">
        <v>110.5</v>
      </c>
      <c r="H12968" s="5">
        <v>110.4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112</v>
      </c>
      <c r="D12969" s="5">
        <v>0.1</v>
      </c>
      <c r="E12969" s="5">
        <v>112.1</v>
      </c>
      <c r="F12969" s="5">
        <v>222.4</v>
      </c>
      <c r="G12969" s="5">
        <v>110.5</v>
      </c>
      <c r="H12969" s="5">
        <v>110.4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112</v>
      </c>
      <c r="D12970" s="5">
        <v>0.1</v>
      </c>
      <c r="E12970" s="5">
        <v>112.1</v>
      </c>
      <c r="F12970" s="5">
        <v>222.4</v>
      </c>
      <c r="G12970" s="5">
        <v>110.5</v>
      </c>
      <c r="H12970" s="5">
        <v>110.4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112</v>
      </c>
      <c r="D12971" s="5">
        <v>0.1</v>
      </c>
      <c r="E12971" s="5">
        <v>112.1</v>
      </c>
      <c r="F12971" s="5">
        <v>222.4</v>
      </c>
      <c r="G12971" s="5">
        <v>110.5</v>
      </c>
      <c r="H12971" s="5">
        <v>110.4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112</v>
      </c>
      <c r="D12972" s="5">
        <v>0.1</v>
      </c>
      <c r="E12972" s="5">
        <v>112.1</v>
      </c>
      <c r="F12972" s="5">
        <v>222.4</v>
      </c>
      <c r="G12972" s="5">
        <v>110.5</v>
      </c>
      <c r="H12972" s="5">
        <v>110.4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112</v>
      </c>
      <c r="D12973" s="5">
        <v>0.1</v>
      </c>
      <c r="E12973" s="5">
        <v>112.1</v>
      </c>
      <c r="F12973" s="5">
        <v>222.4</v>
      </c>
      <c r="G12973" s="5">
        <v>110.5</v>
      </c>
      <c r="H12973" s="5">
        <v>110.4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112</v>
      </c>
      <c r="D12974" s="5">
        <v>0.1</v>
      </c>
      <c r="E12974" s="5">
        <v>112.1</v>
      </c>
      <c r="F12974" s="5">
        <v>222.4</v>
      </c>
      <c r="G12974" s="5">
        <v>110.5</v>
      </c>
      <c r="H12974" s="5">
        <v>110.4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112</v>
      </c>
      <c r="D12975" s="5">
        <v>0.1</v>
      </c>
      <c r="E12975" s="5">
        <v>112.1</v>
      </c>
      <c r="F12975" s="5">
        <v>222.4</v>
      </c>
      <c r="G12975" s="5">
        <v>110.5</v>
      </c>
      <c r="H12975" s="5">
        <v>110.4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112</v>
      </c>
      <c r="D12976" s="5">
        <v>0.1</v>
      </c>
      <c r="E12976" s="5">
        <v>112.1</v>
      </c>
      <c r="F12976" s="5">
        <v>222.4</v>
      </c>
      <c r="G12976" s="5">
        <v>110.5</v>
      </c>
      <c r="H12976" s="5">
        <v>110.4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112</v>
      </c>
      <c r="D12977" s="5">
        <v>0.1</v>
      </c>
      <c r="E12977" s="5">
        <v>112.1</v>
      </c>
      <c r="F12977" s="5">
        <v>222.4</v>
      </c>
      <c r="G12977" s="5">
        <v>110.5</v>
      </c>
      <c r="H12977" s="5">
        <v>110.4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112</v>
      </c>
      <c r="D12978" s="5">
        <v>0.1</v>
      </c>
      <c r="E12978" s="5">
        <v>112.1</v>
      </c>
      <c r="F12978" s="5">
        <v>222.4</v>
      </c>
      <c r="G12978" s="5">
        <v>110.5</v>
      </c>
      <c r="H12978" s="5">
        <v>110.4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112</v>
      </c>
      <c r="D12979" s="5">
        <v>0.1</v>
      </c>
      <c r="E12979" s="5">
        <v>112.1</v>
      </c>
      <c r="F12979" s="5">
        <v>222.4</v>
      </c>
      <c r="G12979" s="5">
        <v>110.5</v>
      </c>
      <c r="H12979" s="5">
        <v>110.4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112</v>
      </c>
      <c r="D12980" s="5">
        <v>0.1</v>
      </c>
      <c r="E12980" s="5">
        <v>112.1</v>
      </c>
      <c r="F12980" s="5">
        <v>222.4</v>
      </c>
      <c r="G12980" s="5">
        <v>110.5</v>
      </c>
      <c r="H12980" s="5">
        <v>110.4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112</v>
      </c>
      <c r="D12981" s="5">
        <v>0.1</v>
      </c>
      <c r="E12981" s="5">
        <v>112.1</v>
      </c>
      <c r="F12981" s="5">
        <v>222.4</v>
      </c>
      <c r="G12981" s="5">
        <v>110.5</v>
      </c>
      <c r="H12981" s="5">
        <v>110.4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112</v>
      </c>
      <c r="D12982" s="5">
        <v>0.1</v>
      </c>
      <c r="E12982" s="5">
        <v>112.1</v>
      </c>
      <c r="F12982" s="5">
        <v>222.4</v>
      </c>
      <c r="G12982" s="5">
        <v>110.5</v>
      </c>
      <c r="H12982" s="5">
        <v>110.4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112</v>
      </c>
      <c r="D12983" s="5">
        <v>0.1</v>
      </c>
      <c r="E12983" s="5">
        <v>112.1</v>
      </c>
      <c r="F12983" s="5">
        <v>222.4</v>
      </c>
      <c r="G12983" s="5">
        <v>110.5</v>
      </c>
      <c r="H12983" s="5">
        <v>110.4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112</v>
      </c>
      <c r="D12984" s="5">
        <v>0.1</v>
      </c>
      <c r="E12984" s="5">
        <v>112.1</v>
      </c>
      <c r="F12984" s="5">
        <v>222.4</v>
      </c>
      <c r="G12984" s="5">
        <v>110.5</v>
      </c>
      <c r="H12984" s="5">
        <v>110.4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112</v>
      </c>
      <c r="D12985" s="5">
        <v>0.1</v>
      </c>
      <c r="E12985" s="5">
        <v>112.1</v>
      </c>
      <c r="F12985" s="5">
        <v>222.4</v>
      </c>
      <c r="G12985" s="5">
        <v>110.5</v>
      </c>
      <c r="H12985" s="5">
        <v>110.4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112</v>
      </c>
      <c r="D12986" s="5">
        <v>0.1</v>
      </c>
      <c r="E12986" s="5">
        <v>112.1</v>
      </c>
      <c r="F12986" s="5">
        <v>222.4</v>
      </c>
      <c r="G12986" s="5">
        <v>110.5</v>
      </c>
      <c r="H12986" s="5">
        <v>110.4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112</v>
      </c>
      <c r="D12987" s="5">
        <v>0.1</v>
      </c>
      <c r="E12987" s="5">
        <v>112.1</v>
      </c>
      <c r="F12987" s="5">
        <v>222.4</v>
      </c>
      <c r="G12987" s="5">
        <v>110.5</v>
      </c>
      <c r="H12987" s="5">
        <v>110.4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112</v>
      </c>
      <c r="D12988" s="5">
        <v>0.1</v>
      </c>
      <c r="E12988" s="5">
        <v>112.1</v>
      </c>
      <c r="F12988" s="5">
        <v>222.4</v>
      </c>
      <c r="G12988" s="5">
        <v>110.5</v>
      </c>
      <c r="H12988" s="5">
        <v>110.4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112</v>
      </c>
      <c r="D12989" s="5">
        <v>0.1</v>
      </c>
      <c r="E12989" s="5">
        <v>112.1</v>
      </c>
      <c r="F12989" s="5">
        <v>222.4</v>
      </c>
      <c r="G12989" s="5">
        <v>110.5</v>
      </c>
      <c r="H12989" s="5">
        <v>110.4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112</v>
      </c>
      <c r="D12990" s="5">
        <v>0.1</v>
      </c>
      <c r="E12990" s="5">
        <v>112.1</v>
      </c>
      <c r="F12990" s="5">
        <v>222.4</v>
      </c>
      <c r="G12990" s="5">
        <v>110.5</v>
      </c>
      <c r="H12990" s="5">
        <v>110.4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112</v>
      </c>
      <c r="D12991" s="5">
        <v>0.1</v>
      </c>
      <c r="E12991" s="5">
        <v>112.1</v>
      </c>
      <c r="F12991" s="5">
        <v>222.4</v>
      </c>
      <c r="G12991" s="5">
        <v>110.5</v>
      </c>
      <c r="H12991" s="5">
        <v>110.4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112</v>
      </c>
      <c r="D12992" s="5">
        <v>0.1</v>
      </c>
      <c r="E12992" s="5">
        <v>112.1</v>
      </c>
      <c r="F12992" s="5">
        <v>222.4</v>
      </c>
      <c r="G12992" s="5">
        <v>110.5</v>
      </c>
      <c r="H12992" s="5">
        <v>110.4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112</v>
      </c>
      <c r="D12993" s="5">
        <v>0.1</v>
      </c>
      <c r="E12993" s="5">
        <v>112.1</v>
      </c>
      <c r="F12993" s="5">
        <v>222.4</v>
      </c>
      <c r="G12993" s="5">
        <v>110.5</v>
      </c>
      <c r="H12993" s="5">
        <v>110.4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112</v>
      </c>
      <c r="D12994" s="5">
        <v>0.1</v>
      </c>
      <c r="E12994" s="5">
        <v>112.1</v>
      </c>
      <c r="F12994" s="5">
        <v>222.4</v>
      </c>
      <c r="G12994" s="5">
        <v>110.5</v>
      </c>
      <c r="H12994" s="5">
        <v>110.4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112</v>
      </c>
      <c r="D12995" s="5">
        <v>0.1</v>
      </c>
      <c r="E12995" s="5">
        <v>112.1</v>
      </c>
      <c r="F12995" s="5">
        <v>222.4</v>
      </c>
      <c r="G12995" s="5">
        <v>110.5</v>
      </c>
      <c r="H12995" s="5">
        <v>110.4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112</v>
      </c>
      <c r="D12996" s="5">
        <v>0.1</v>
      </c>
      <c r="E12996" s="5">
        <v>112.1</v>
      </c>
      <c r="F12996" s="5">
        <v>222.4</v>
      </c>
      <c r="G12996" s="5">
        <v>110.5</v>
      </c>
      <c r="H12996" s="5">
        <v>110.4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112</v>
      </c>
      <c r="D12997" s="5">
        <v>0.1</v>
      </c>
      <c r="E12997" s="5">
        <v>112.1</v>
      </c>
      <c r="F12997" s="5">
        <v>222.4</v>
      </c>
      <c r="G12997" s="5">
        <v>110.5</v>
      </c>
      <c r="H12997" s="5">
        <v>110.4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112</v>
      </c>
      <c r="D12998" s="5">
        <v>0.1</v>
      </c>
      <c r="E12998" s="5">
        <v>112.1</v>
      </c>
      <c r="F12998" s="5">
        <v>222.4</v>
      </c>
      <c r="G12998" s="5">
        <v>110.5</v>
      </c>
      <c r="H12998" s="5">
        <v>110.4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112</v>
      </c>
      <c r="D12999" s="5">
        <v>0.1</v>
      </c>
      <c r="E12999" s="5">
        <v>112.1</v>
      </c>
      <c r="F12999" s="5">
        <v>222.4</v>
      </c>
      <c r="G12999" s="5">
        <v>110.5</v>
      </c>
      <c r="H12999" s="5">
        <v>110.4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112</v>
      </c>
      <c r="D13000" s="5">
        <v>0.1</v>
      </c>
      <c r="E13000" s="5">
        <v>112.1</v>
      </c>
      <c r="F13000" s="5">
        <v>222.4</v>
      </c>
      <c r="G13000" s="5">
        <v>110.5</v>
      </c>
      <c r="H13000" s="5">
        <v>110.4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112</v>
      </c>
      <c r="D13001" s="5">
        <v>0.1</v>
      </c>
      <c r="E13001" s="5">
        <v>112.1</v>
      </c>
      <c r="F13001" s="5">
        <v>222.4</v>
      </c>
      <c r="G13001" s="5">
        <v>110.5</v>
      </c>
      <c r="H13001" s="5">
        <v>110.4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112</v>
      </c>
      <c r="D13002" s="5">
        <v>0.1</v>
      </c>
      <c r="E13002" s="5">
        <v>112.1</v>
      </c>
      <c r="F13002" s="5">
        <v>222.4</v>
      </c>
      <c r="G13002" s="5">
        <v>110.5</v>
      </c>
      <c r="H13002" s="5">
        <v>110.4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112</v>
      </c>
      <c r="D13003" s="5">
        <v>0.1</v>
      </c>
      <c r="E13003" s="5">
        <v>112.1</v>
      </c>
      <c r="F13003" s="5">
        <v>222.4</v>
      </c>
      <c r="G13003" s="5">
        <v>110.5</v>
      </c>
      <c r="H13003" s="5">
        <v>110.4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112</v>
      </c>
      <c r="D13004" s="5">
        <v>0.1</v>
      </c>
      <c r="E13004" s="5">
        <v>112.1</v>
      </c>
      <c r="F13004" s="5">
        <v>222.4</v>
      </c>
      <c r="G13004" s="5">
        <v>110.5</v>
      </c>
      <c r="H13004" s="5">
        <v>110.4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112</v>
      </c>
      <c r="D13005" s="5">
        <v>0.1</v>
      </c>
      <c r="E13005" s="5">
        <v>112.1</v>
      </c>
      <c r="F13005" s="5">
        <v>222.4</v>
      </c>
      <c r="G13005" s="5">
        <v>110.5</v>
      </c>
      <c r="H13005" s="5">
        <v>110.4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112</v>
      </c>
      <c r="D13006" s="5">
        <v>0.1</v>
      </c>
      <c r="E13006" s="5">
        <v>112.1</v>
      </c>
      <c r="F13006" s="5">
        <v>222.4</v>
      </c>
      <c r="G13006" s="5">
        <v>110.5</v>
      </c>
      <c r="H13006" s="5">
        <v>110.4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112</v>
      </c>
      <c r="D13007" s="5">
        <v>0.1</v>
      </c>
      <c r="E13007" s="5">
        <v>112.1</v>
      </c>
      <c r="F13007" s="5">
        <v>222.4</v>
      </c>
      <c r="G13007" s="5">
        <v>110.5</v>
      </c>
      <c r="H13007" s="5">
        <v>110.4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112</v>
      </c>
      <c r="D13008" s="5">
        <v>0.1</v>
      </c>
      <c r="E13008" s="5">
        <v>112.1</v>
      </c>
      <c r="F13008" s="5">
        <v>222.4</v>
      </c>
      <c r="G13008" s="5">
        <v>110.5</v>
      </c>
      <c r="H13008" s="5">
        <v>110.4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112</v>
      </c>
      <c r="D13009" s="5">
        <v>0.1</v>
      </c>
      <c r="E13009" s="5">
        <v>112.1</v>
      </c>
      <c r="F13009" s="5">
        <v>222.4</v>
      </c>
      <c r="G13009" s="5">
        <v>110.5</v>
      </c>
      <c r="H13009" s="5">
        <v>110.4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112</v>
      </c>
      <c r="D13010" s="5">
        <v>0.1</v>
      </c>
      <c r="E13010" s="5">
        <v>112.1</v>
      </c>
      <c r="F13010" s="5">
        <v>222.4</v>
      </c>
      <c r="G13010" s="5">
        <v>110.5</v>
      </c>
      <c r="H13010" s="5">
        <v>110.4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112</v>
      </c>
      <c r="D13011" s="5">
        <v>0.1</v>
      </c>
      <c r="E13011" s="5">
        <v>112.1</v>
      </c>
      <c r="F13011" s="5">
        <v>222.4</v>
      </c>
      <c r="G13011" s="5">
        <v>110.5</v>
      </c>
      <c r="H13011" s="5">
        <v>110.4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112</v>
      </c>
      <c r="D13012" s="5">
        <v>0.1</v>
      </c>
      <c r="E13012" s="5">
        <v>112.1</v>
      </c>
      <c r="F13012" s="5">
        <v>222.4</v>
      </c>
      <c r="G13012" s="5">
        <v>110.5</v>
      </c>
      <c r="H13012" s="5">
        <v>110.4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112</v>
      </c>
      <c r="D13013" s="5">
        <v>0.1</v>
      </c>
      <c r="E13013" s="5">
        <v>112.1</v>
      </c>
      <c r="F13013" s="5">
        <v>222.4</v>
      </c>
      <c r="G13013" s="5">
        <v>110.5</v>
      </c>
      <c r="H13013" s="5">
        <v>110.4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112</v>
      </c>
      <c r="D13014" s="5">
        <v>0.1</v>
      </c>
      <c r="E13014" s="5">
        <v>112.1</v>
      </c>
      <c r="F13014" s="5">
        <v>222.4</v>
      </c>
      <c r="G13014" s="5">
        <v>110.5</v>
      </c>
      <c r="H13014" s="5">
        <v>110.4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112</v>
      </c>
      <c r="D13015" s="5">
        <v>0.1</v>
      </c>
      <c r="E13015" s="5">
        <v>112.1</v>
      </c>
      <c r="F13015" s="5">
        <v>222.4</v>
      </c>
      <c r="G13015" s="5">
        <v>110.5</v>
      </c>
      <c r="H13015" s="5">
        <v>110.4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112</v>
      </c>
      <c r="D13016" s="5">
        <v>0.1</v>
      </c>
      <c r="E13016" s="5">
        <v>112.1</v>
      </c>
      <c r="F13016" s="5">
        <v>222.4</v>
      </c>
      <c r="G13016" s="5">
        <v>110.5</v>
      </c>
      <c r="H13016" s="5">
        <v>110.4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112</v>
      </c>
      <c r="D13017" s="5">
        <v>0.1</v>
      </c>
      <c r="E13017" s="5">
        <v>112.1</v>
      </c>
      <c r="F13017" s="5">
        <v>222.4</v>
      </c>
      <c r="G13017" s="5">
        <v>110.5</v>
      </c>
      <c r="H13017" s="5">
        <v>110.4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112</v>
      </c>
      <c r="D13018" s="5">
        <v>0.1</v>
      </c>
      <c r="E13018" s="5">
        <v>112.1</v>
      </c>
      <c r="F13018" s="5">
        <v>222.4</v>
      </c>
      <c r="G13018" s="5">
        <v>110.5</v>
      </c>
      <c r="H13018" s="5">
        <v>110.4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112</v>
      </c>
      <c r="D13019" s="5">
        <v>0.1</v>
      </c>
      <c r="E13019" s="5">
        <v>112.1</v>
      </c>
      <c r="F13019" s="5">
        <v>222.4</v>
      </c>
      <c r="G13019" s="5">
        <v>110.5</v>
      </c>
      <c r="H13019" s="5">
        <v>110.4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112</v>
      </c>
      <c r="D13020" s="5">
        <v>0.1</v>
      </c>
      <c r="E13020" s="5">
        <v>112.1</v>
      </c>
      <c r="F13020" s="5">
        <v>222.4</v>
      </c>
      <c r="G13020" s="5">
        <v>110.5</v>
      </c>
      <c r="H13020" s="5">
        <v>110.4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112</v>
      </c>
      <c r="D13021" s="5">
        <v>0.1</v>
      </c>
      <c r="E13021" s="5">
        <v>112.1</v>
      </c>
      <c r="F13021" s="5">
        <v>222.4</v>
      </c>
      <c r="G13021" s="5">
        <v>110.5</v>
      </c>
      <c r="H13021" s="5">
        <v>110.4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112</v>
      </c>
      <c r="D13022" s="5">
        <v>0.1</v>
      </c>
      <c r="E13022" s="5">
        <v>112.1</v>
      </c>
      <c r="F13022" s="5">
        <v>222.4</v>
      </c>
      <c r="G13022" s="5">
        <v>110.5</v>
      </c>
      <c r="H13022" s="5">
        <v>110.4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112</v>
      </c>
      <c r="D13023" s="5">
        <v>0.1</v>
      </c>
      <c r="E13023" s="5">
        <v>112.1</v>
      </c>
      <c r="F13023" s="5">
        <v>222.4</v>
      </c>
      <c r="G13023" s="5">
        <v>110.5</v>
      </c>
      <c r="H13023" s="5">
        <v>110.4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112</v>
      </c>
      <c r="D13024" s="5">
        <v>0.1</v>
      </c>
      <c r="E13024" s="5">
        <v>112.1</v>
      </c>
      <c r="F13024" s="5">
        <v>222.4</v>
      </c>
      <c r="G13024" s="5">
        <v>110.5</v>
      </c>
      <c r="H13024" s="5">
        <v>110.4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112</v>
      </c>
      <c r="D13025" s="5">
        <v>0.1</v>
      </c>
      <c r="E13025" s="5">
        <v>112.1</v>
      </c>
      <c r="F13025" s="5">
        <v>222.4</v>
      </c>
      <c r="G13025" s="5">
        <v>110.5</v>
      </c>
      <c r="H13025" s="5">
        <v>110.4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112</v>
      </c>
      <c r="D13026" s="5">
        <v>0.1</v>
      </c>
      <c r="E13026" s="5">
        <v>112.1</v>
      </c>
      <c r="F13026" s="5">
        <v>222.4</v>
      </c>
      <c r="G13026" s="5">
        <v>110.5</v>
      </c>
      <c r="H13026" s="5">
        <v>110.4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112</v>
      </c>
      <c r="D13027" s="5">
        <v>0.1</v>
      </c>
      <c r="E13027" s="5">
        <v>112.1</v>
      </c>
      <c r="F13027" s="5">
        <v>222.4</v>
      </c>
      <c r="G13027" s="5">
        <v>110.5</v>
      </c>
      <c r="H13027" s="5">
        <v>110.4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112</v>
      </c>
      <c r="D13028" s="5">
        <v>0.1</v>
      </c>
      <c r="E13028" s="5">
        <v>112.1</v>
      </c>
      <c r="F13028" s="5">
        <v>222.4</v>
      </c>
      <c r="G13028" s="5">
        <v>110.5</v>
      </c>
      <c r="H13028" s="5">
        <v>110.4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112</v>
      </c>
      <c r="D13029" s="5">
        <v>0.1</v>
      </c>
      <c r="E13029" s="5">
        <v>112.1</v>
      </c>
      <c r="F13029" s="5">
        <v>222.4</v>
      </c>
      <c r="G13029" s="5">
        <v>110.5</v>
      </c>
      <c r="H13029" s="5">
        <v>110.4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112</v>
      </c>
      <c r="D13030" s="5">
        <v>0.1</v>
      </c>
      <c r="E13030" s="5">
        <v>112.1</v>
      </c>
      <c r="F13030" s="5">
        <v>222.4</v>
      </c>
      <c r="G13030" s="5">
        <v>110.5</v>
      </c>
      <c r="H13030" s="5">
        <v>110.4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112</v>
      </c>
      <c r="D13031" s="5">
        <v>0.1</v>
      </c>
      <c r="E13031" s="5">
        <v>112.1</v>
      </c>
      <c r="F13031" s="5">
        <v>222.4</v>
      </c>
      <c r="G13031" s="5">
        <v>110.5</v>
      </c>
      <c r="H13031" s="5">
        <v>110.4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112</v>
      </c>
      <c r="D13032" s="5">
        <v>0.1</v>
      </c>
      <c r="E13032" s="5">
        <v>112.1</v>
      </c>
      <c r="F13032" s="5">
        <v>222.4</v>
      </c>
      <c r="G13032" s="5">
        <v>110.5</v>
      </c>
      <c r="H13032" s="5">
        <v>110.4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112</v>
      </c>
      <c r="D13033" s="5">
        <v>0.1</v>
      </c>
      <c r="E13033" s="5">
        <v>112.1</v>
      </c>
      <c r="F13033" s="5">
        <v>222.4</v>
      </c>
      <c r="G13033" s="5">
        <v>110.5</v>
      </c>
      <c r="H13033" s="5">
        <v>110.4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112</v>
      </c>
      <c r="D13034" s="5">
        <v>0.1</v>
      </c>
      <c r="E13034" s="5">
        <v>112.1</v>
      </c>
      <c r="F13034" s="5">
        <v>222.4</v>
      </c>
      <c r="G13034" s="5">
        <v>110.5</v>
      </c>
      <c r="H13034" s="5">
        <v>110.4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112</v>
      </c>
      <c r="D13035" s="5">
        <v>0.1</v>
      </c>
      <c r="E13035" s="5">
        <v>112.1</v>
      </c>
      <c r="F13035" s="5">
        <v>222.4</v>
      </c>
      <c r="G13035" s="5">
        <v>110.5</v>
      </c>
      <c r="H13035" s="5">
        <v>110.4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112</v>
      </c>
      <c r="D13036" s="5">
        <v>0.1</v>
      </c>
      <c r="E13036" s="5">
        <v>112.1</v>
      </c>
      <c r="F13036" s="5">
        <v>222.4</v>
      </c>
      <c r="G13036" s="5">
        <v>110.5</v>
      </c>
      <c r="H13036" s="5">
        <v>110.4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112</v>
      </c>
      <c r="D13037" s="5">
        <v>0.1</v>
      </c>
      <c r="E13037" s="5">
        <v>112.1</v>
      </c>
      <c r="F13037" s="5">
        <v>222.4</v>
      </c>
      <c r="G13037" s="5">
        <v>110.5</v>
      </c>
      <c r="H13037" s="5">
        <v>110.4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112</v>
      </c>
      <c r="D13038" s="5">
        <v>0.1</v>
      </c>
      <c r="E13038" s="5">
        <v>112.1</v>
      </c>
      <c r="F13038" s="5">
        <v>222.4</v>
      </c>
      <c r="G13038" s="5">
        <v>110.5</v>
      </c>
      <c r="H13038" s="5">
        <v>110.4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112</v>
      </c>
      <c r="D13039" s="5">
        <v>0.1</v>
      </c>
      <c r="E13039" s="5">
        <v>112.1</v>
      </c>
      <c r="F13039" s="5">
        <v>222.4</v>
      </c>
      <c r="G13039" s="5">
        <v>110.5</v>
      </c>
      <c r="H13039" s="5">
        <v>110.4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112</v>
      </c>
      <c r="D13040" s="5">
        <v>0.1</v>
      </c>
      <c r="E13040" s="5">
        <v>112.1</v>
      </c>
      <c r="F13040" s="5">
        <v>222.4</v>
      </c>
      <c r="G13040" s="5">
        <v>110.5</v>
      </c>
      <c r="H13040" s="5">
        <v>110.4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112</v>
      </c>
      <c r="D13041" s="5">
        <v>0.1</v>
      </c>
      <c r="E13041" s="5">
        <v>112.1</v>
      </c>
      <c r="F13041" s="5">
        <v>222.4</v>
      </c>
      <c r="G13041" s="5">
        <v>110.5</v>
      </c>
      <c r="H13041" s="5">
        <v>110.4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112</v>
      </c>
      <c r="D13042" s="5">
        <v>0.1</v>
      </c>
      <c r="E13042" s="5">
        <v>112.1</v>
      </c>
      <c r="F13042" s="5">
        <v>222.4</v>
      </c>
      <c r="G13042" s="5">
        <v>110.5</v>
      </c>
      <c r="H13042" s="5">
        <v>110.4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112</v>
      </c>
      <c r="D13043" s="5">
        <v>0.1</v>
      </c>
      <c r="E13043" s="5">
        <v>112.1</v>
      </c>
      <c r="F13043" s="5">
        <v>222.4</v>
      </c>
      <c r="G13043" s="5">
        <v>110.5</v>
      </c>
      <c r="H13043" s="5">
        <v>110.4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112</v>
      </c>
      <c r="D13044" s="5">
        <v>0.1</v>
      </c>
      <c r="E13044" s="5">
        <v>112.1</v>
      </c>
      <c r="F13044" s="5">
        <v>222.4</v>
      </c>
      <c r="G13044" s="5">
        <v>110.5</v>
      </c>
      <c r="H13044" s="5">
        <v>110.4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112</v>
      </c>
      <c r="D13045" s="5">
        <v>0.1</v>
      </c>
      <c r="E13045" s="5">
        <v>112.1</v>
      </c>
      <c r="F13045" s="5">
        <v>222.4</v>
      </c>
      <c r="G13045" s="5">
        <v>110.5</v>
      </c>
      <c r="H13045" s="5">
        <v>110.4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112</v>
      </c>
      <c r="D13046" s="5">
        <v>0.1</v>
      </c>
      <c r="E13046" s="5">
        <v>112.1</v>
      </c>
      <c r="F13046" s="5">
        <v>222.4</v>
      </c>
      <c r="G13046" s="5">
        <v>110.5</v>
      </c>
      <c r="H13046" s="5">
        <v>110.4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112</v>
      </c>
      <c r="D13047" s="5">
        <v>0.1</v>
      </c>
      <c r="E13047" s="5">
        <v>112.1</v>
      </c>
      <c r="F13047" s="5">
        <v>222.4</v>
      </c>
      <c r="G13047" s="5">
        <v>110.5</v>
      </c>
      <c r="H13047" s="5">
        <v>110.4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112</v>
      </c>
      <c r="D13048" s="5">
        <v>0.1</v>
      </c>
      <c r="E13048" s="5">
        <v>112.1</v>
      </c>
      <c r="F13048" s="5">
        <v>222.4</v>
      </c>
      <c r="G13048" s="5">
        <v>110.5</v>
      </c>
      <c r="H13048" s="5">
        <v>110.4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112</v>
      </c>
      <c r="D13049" s="5">
        <v>0.1</v>
      </c>
      <c r="E13049" s="5">
        <v>112.1</v>
      </c>
      <c r="F13049" s="5">
        <v>222.4</v>
      </c>
      <c r="G13049" s="5">
        <v>110.5</v>
      </c>
      <c r="H13049" s="5">
        <v>110.4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112</v>
      </c>
      <c r="D13050" s="5">
        <v>0.1</v>
      </c>
      <c r="E13050" s="5">
        <v>112.1</v>
      </c>
      <c r="F13050" s="5">
        <v>222.4</v>
      </c>
      <c r="G13050" s="5">
        <v>110.5</v>
      </c>
      <c r="H13050" s="5">
        <v>110.4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112</v>
      </c>
      <c r="D13051" s="5">
        <v>0.1</v>
      </c>
      <c r="E13051" s="5">
        <v>112.1</v>
      </c>
      <c r="F13051" s="5">
        <v>222.4</v>
      </c>
      <c r="G13051" s="5">
        <v>110.5</v>
      </c>
      <c r="H13051" s="5">
        <v>110.4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112</v>
      </c>
      <c r="D13052" s="5">
        <v>0.1</v>
      </c>
      <c r="E13052" s="5">
        <v>112.1</v>
      </c>
      <c r="F13052" s="5">
        <v>222.4</v>
      </c>
      <c r="G13052" s="5">
        <v>110.5</v>
      </c>
      <c r="H13052" s="5">
        <v>110.4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112</v>
      </c>
      <c r="D13053" s="5">
        <v>0.1</v>
      </c>
      <c r="E13053" s="5">
        <v>112.1</v>
      </c>
      <c r="F13053" s="5">
        <v>222.4</v>
      </c>
      <c r="G13053" s="5">
        <v>110.5</v>
      </c>
      <c r="H13053" s="5">
        <v>110.4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112</v>
      </c>
      <c r="D13054" s="5">
        <v>0.1</v>
      </c>
      <c r="E13054" s="5">
        <v>112.1</v>
      </c>
      <c r="F13054" s="5">
        <v>222.4</v>
      </c>
      <c r="G13054" s="5">
        <v>110.5</v>
      </c>
      <c r="H13054" s="5">
        <v>110.4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112</v>
      </c>
      <c r="D13055" s="5">
        <v>0.1</v>
      </c>
      <c r="E13055" s="5">
        <v>112.1</v>
      </c>
      <c r="F13055" s="5">
        <v>222.4</v>
      </c>
      <c r="G13055" s="5">
        <v>110.5</v>
      </c>
      <c r="H13055" s="5">
        <v>110.4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112</v>
      </c>
      <c r="D13056" s="5">
        <v>0.1</v>
      </c>
      <c r="E13056" s="5">
        <v>112.1</v>
      </c>
      <c r="F13056" s="5">
        <v>222.4</v>
      </c>
      <c r="G13056" s="5">
        <v>110.5</v>
      </c>
      <c r="H13056" s="5">
        <v>110.4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112</v>
      </c>
      <c r="D13057" s="5">
        <v>0.1</v>
      </c>
      <c r="E13057" s="5">
        <v>112.1</v>
      </c>
      <c r="F13057" s="5">
        <v>222.4</v>
      </c>
      <c r="G13057" s="5">
        <v>110.5</v>
      </c>
      <c r="H13057" s="5">
        <v>110.4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112</v>
      </c>
      <c r="D13058" s="5">
        <v>0.1</v>
      </c>
      <c r="E13058" s="5">
        <v>112.1</v>
      </c>
      <c r="F13058" s="5">
        <v>222.4</v>
      </c>
      <c r="G13058" s="5">
        <v>110.5</v>
      </c>
      <c r="H13058" s="5">
        <v>110.4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112</v>
      </c>
      <c r="D13059" s="5">
        <v>0.1</v>
      </c>
      <c r="E13059" s="5">
        <v>112.1</v>
      </c>
      <c r="F13059" s="5">
        <v>222.4</v>
      </c>
      <c r="G13059" s="5">
        <v>110.5</v>
      </c>
      <c r="H13059" s="5">
        <v>110.4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112</v>
      </c>
      <c r="D13060" s="5">
        <v>0.1</v>
      </c>
      <c r="E13060" s="5">
        <v>112.1</v>
      </c>
      <c r="F13060" s="5">
        <v>222.4</v>
      </c>
      <c r="G13060" s="5">
        <v>110.5</v>
      </c>
      <c r="H13060" s="5">
        <v>110.4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112</v>
      </c>
      <c r="D13061" s="5">
        <v>0.1</v>
      </c>
      <c r="E13061" s="5">
        <v>112.1</v>
      </c>
      <c r="F13061" s="5">
        <v>222.4</v>
      </c>
      <c r="G13061" s="5">
        <v>110.5</v>
      </c>
      <c r="H13061" s="5">
        <v>110.4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112</v>
      </c>
      <c r="D13062" s="5">
        <v>0.1</v>
      </c>
      <c r="E13062" s="5">
        <v>112.1</v>
      </c>
      <c r="F13062" s="5">
        <v>222.4</v>
      </c>
      <c r="G13062" s="5">
        <v>110.5</v>
      </c>
      <c r="H13062" s="5">
        <v>110.4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112</v>
      </c>
      <c r="D13063" s="5">
        <v>0.1</v>
      </c>
      <c r="E13063" s="5">
        <v>112.1</v>
      </c>
      <c r="F13063" s="5">
        <v>222.4</v>
      </c>
      <c r="G13063" s="5">
        <v>110.5</v>
      </c>
      <c r="H13063" s="5">
        <v>110.4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112</v>
      </c>
      <c r="D13064" s="5">
        <v>0.1</v>
      </c>
      <c r="E13064" s="5">
        <v>112.1</v>
      </c>
      <c r="F13064" s="5">
        <v>222.4</v>
      </c>
      <c r="G13064" s="5">
        <v>110.5</v>
      </c>
      <c r="H13064" s="5">
        <v>110.4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112</v>
      </c>
      <c r="D13065" s="5">
        <v>0.1</v>
      </c>
      <c r="E13065" s="5">
        <v>112.1</v>
      </c>
      <c r="F13065" s="5">
        <v>222.4</v>
      </c>
      <c r="G13065" s="5">
        <v>110.5</v>
      </c>
      <c r="H13065" s="5">
        <v>110.4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112</v>
      </c>
      <c r="D13066" s="5">
        <v>0.1</v>
      </c>
      <c r="E13066" s="5">
        <v>112.1</v>
      </c>
      <c r="F13066" s="5">
        <v>222.4</v>
      </c>
      <c r="G13066" s="5">
        <v>110.5</v>
      </c>
      <c r="H13066" s="5">
        <v>110.4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112</v>
      </c>
      <c r="D13067" s="5">
        <v>0.1</v>
      </c>
      <c r="E13067" s="5">
        <v>112.1</v>
      </c>
      <c r="F13067" s="5">
        <v>222.4</v>
      </c>
      <c r="G13067" s="5">
        <v>110.5</v>
      </c>
      <c r="H13067" s="5">
        <v>110.4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112</v>
      </c>
      <c r="D13068" s="5">
        <v>0.1</v>
      </c>
      <c r="E13068" s="5">
        <v>112.1</v>
      </c>
      <c r="F13068" s="5">
        <v>222.4</v>
      </c>
      <c r="G13068" s="5">
        <v>110.5</v>
      </c>
      <c r="H13068" s="5">
        <v>110.4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112</v>
      </c>
      <c r="D13069" s="5">
        <v>0.1</v>
      </c>
      <c r="E13069" s="5">
        <v>112.1</v>
      </c>
      <c r="F13069" s="5">
        <v>222.4</v>
      </c>
      <c r="G13069" s="5">
        <v>110.5</v>
      </c>
      <c r="H13069" s="5">
        <v>110.4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112</v>
      </c>
      <c r="D13070" s="5">
        <v>0.1</v>
      </c>
      <c r="E13070" s="5">
        <v>112.1</v>
      </c>
      <c r="F13070" s="5">
        <v>222.4</v>
      </c>
      <c r="G13070" s="5">
        <v>110.5</v>
      </c>
      <c r="H13070" s="5">
        <v>110.4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112</v>
      </c>
      <c r="D13071" s="5">
        <v>0.1</v>
      </c>
      <c r="E13071" s="5">
        <v>112.1</v>
      </c>
      <c r="F13071" s="5">
        <v>222.4</v>
      </c>
      <c r="G13071" s="5">
        <v>110.5</v>
      </c>
      <c r="H13071" s="5">
        <v>110.4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112</v>
      </c>
      <c r="D13072" s="5">
        <v>0.1</v>
      </c>
      <c r="E13072" s="5">
        <v>112.1</v>
      </c>
      <c r="F13072" s="5">
        <v>222.4</v>
      </c>
      <c r="G13072" s="5">
        <v>110.5</v>
      </c>
      <c r="H13072" s="5">
        <v>110.4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112</v>
      </c>
      <c r="D13073" s="5">
        <v>0.1</v>
      </c>
      <c r="E13073" s="5">
        <v>112.1</v>
      </c>
      <c r="F13073" s="5">
        <v>222.4</v>
      </c>
      <c r="G13073" s="5">
        <v>110.5</v>
      </c>
      <c r="H13073" s="5">
        <v>110.4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112</v>
      </c>
      <c r="D13074" s="5">
        <v>0.1</v>
      </c>
      <c r="E13074" s="5">
        <v>112.1</v>
      </c>
      <c r="F13074" s="5">
        <v>222.4</v>
      </c>
      <c r="G13074" s="5">
        <v>110.5</v>
      </c>
      <c r="H13074" s="5">
        <v>110.4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112</v>
      </c>
      <c r="D13075" s="5">
        <v>0.1</v>
      </c>
      <c r="E13075" s="5">
        <v>112.1</v>
      </c>
      <c r="F13075" s="5">
        <v>222.4</v>
      </c>
      <c r="G13075" s="5">
        <v>110.5</v>
      </c>
      <c r="H13075" s="5">
        <v>110.4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112</v>
      </c>
      <c r="D13076" s="5">
        <v>0.1</v>
      </c>
      <c r="E13076" s="5">
        <v>112.1</v>
      </c>
      <c r="F13076" s="5">
        <v>222.4</v>
      </c>
      <c r="G13076" s="5">
        <v>110.5</v>
      </c>
      <c r="H13076" s="5">
        <v>110.4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112</v>
      </c>
      <c r="D13077" s="5">
        <v>0.1</v>
      </c>
      <c r="E13077" s="5">
        <v>112.1</v>
      </c>
      <c r="F13077" s="5">
        <v>222.4</v>
      </c>
      <c r="G13077" s="5">
        <v>110.5</v>
      </c>
      <c r="H13077" s="5">
        <v>110.4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112</v>
      </c>
      <c r="D13078" s="5">
        <v>0.1</v>
      </c>
      <c r="E13078" s="5">
        <v>112.1</v>
      </c>
      <c r="F13078" s="5">
        <v>222.4</v>
      </c>
      <c r="G13078" s="5">
        <v>110.5</v>
      </c>
      <c r="H13078" s="5">
        <v>110.4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112</v>
      </c>
      <c r="D13079" s="5">
        <v>0.1</v>
      </c>
      <c r="E13079" s="5">
        <v>112.1</v>
      </c>
      <c r="F13079" s="5">
        <v>222.4</v>
      </c>
      <c r="G13079" s="5">
        <v>110.5</v>
      </c>
      <c r="H13079" s="5">
        <v>110.4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112</v>
      </c>
      <c r="D13080" s="5">
        <v>0.1</v>
      </c>
      <c r="E13080" s="5">
        <v>112.1</v>
      </c>
      <c r="F13080" s="5">
        <v>222.4</v>
      </c>
      <c r="G13080" s="5">
        <v>110.5</v>
      </c>
      <c r="H13080" s="5">
        <v>110.4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112</v>
      </c>
      <c r="D13081" s="5">
        <v>0.1</v>
      </c>
      <c r="E13081" s="5">
        <v>112.1</v>
      </c>
      <c r="F13081" s="5">
        <v>222.4</v>
      </c>
      <c r="G13081" s="5">
        <v>110.5</v>
      </c>
      <c r="H13081" s="5">
        <v>110.4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112</v>
      </c>
      <c r="D13082" s="5">
        <v>0.1</v>
      </c>
      <c r="E13082" s="5">
        <v>112.1</v>
      </c>
      <c r="F13082" s="5">
        <v>222.4</v>
      </c>
      <c r="G13082" s="5">
        <v>110.5</v>
      </c>
      <c r="H13082" s="5">
        <v>110.4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112</v>
      </c>
      <c r="D13083" s="5">
        <v>0.1</v>
      </c>
      <c r="E13083" s="5">
        <v>112.1</v>
      </c>
      <c r="F13083" s="5">
        <v>222.4</v>
      </c>
      <c r="G13083" s="5">
        <v>110.5</v>
      </c>
      <c r="H13083" s="5">
        <v>110.4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112</v>
      </c>
      <c r="D13084" s="5">
        <v>0.1</v>
      </c>
      <c r="E13084" s="5">
        <v>112.1</v>
      </c>
      <c r="F13084" s="5">
        <v>222.4</v>
      </c>
      <c r="G13084" s="5">
        <v>110.5</v>
      </c>
      <c r="H13084" s="5">
        <v>110.4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112</v>
      </c>
      <c r="D13085" s="5">
        <v>0.1</v>
      </c>
      <c r="E13085" s="5">
        <v>112.1</v>
      </c>
      <c r="F13085" s="5">
        <v>222.4</v>
      </c>
      <c r="G13085" s="5">
        <v>110.5</v>
      </c>
      <c r="H13085" s="5">
        <v>110.4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112</v>
      </c>
      <c r="D13086" s="5">
        <v>0.1</v>
      </c>
      <c r="E13086" s="5">
        <v>112.1</v>
      </c>
      <c r="F13086" s="5">
        <v>222.4</v>
      </c>
      <c r="G13086" s="5">
        <v>110.5</v>
      </c>
      <c r="H13086" s="5">
        <v>110.4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112</v>
      </c>
      <c r="D13087" s="5">
        <v>0.1</v>
      </c>
      <c r="E13087" s="5">
        <v>112.1</v>
      </c>
      <c r="F13087" s="5">
        <v>222.4</v>
      </c>
      <c r="G13087" s="5">
        <v>110.5</v>
      </c>
      <c r="H13087" s="5">
        <v>110.4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112</v>
      </c>
      <c r="D13088" s="5">
        <v>0.1</v>
      </c>
      <c r="E13088" s="5">
        <v>112.1</v>
      </c>
      <c r="F13088" s="5">
        <v>222.4</v>
      </c>
      <c r="G13088" s="5">
        <v>110.5</v>
      </c>
      <c r="H13088" s="5">
        <v>110.4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112</v>
      </c>
      <c r="D13089" s="5">
        <v>0.1</v>
      </c>
      <c r="E13089" s="5">
        <v>112.1</v>
      </c>
      <c r="F13089" s="5">
        <v>222.4</v>
      </c>
      <c r="G13089" s="5">
        <v>110.5</v>
      </c>
      <c r="H13089" s="5">
        <v>110.4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112</v>
      </c>
      <c r="D13090" s="5">
        <v>0.1</v>
      </c>
      <c r="E13090" s="5">
        <v>112.1</v>
      </c>
      <c r="F13090" s="5">
        <v>222.4</v>
      </c>
      <c r="G13090" s="5">
        <v>110.5</v>
      </c>
      <c r="H13090" s="5">
        <v>110.4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112</v>
      </c>
      <c r="D13091" s="5">
        <v>0.1</v>
      </c>
      <c r="E13091" s="5">
        <v>112.1</v>
      </c>
      <c r="F13091" s="5">
        <v>222.4</v>
      </c>
      <c r="G13091" s="5">
        <v>110.5</v>
      </c>
      <c r="H13091" s="5">
        <v>110.4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112</v>
      </c>
      <c r="D13092" s="5">
        <v>0.1</v>
      </c>
      <c r="E13092" s="5">
        <v>112.1</v>
      </c>
      <c r="F13092" s="5">
        <v>222.4</v>
      </c>
      <c r="G13092" s="5">
        <v>110.5</v>
      </c>
      <c r="H13092" s="5">
        <v>110.4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112</v>
      </c>
      <c r="D13093" s="5">
        <v>0.1</v>
      </c>
      <c r="E13093" s="5">
        <v>112.1</v>
      </c>
      <c r="F13093" s="5">
        <v>222.4</v>
      </c>
      <c r="G13093" s="5">
        <v>110.5</v>
      </c>
      <c r="H13093" s="5">
        <v>110.4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112</v>
      </c>
      <c r="D13094" s="5">
        <v>0.1</v>
      </c>
      <c r="E13094" s="5">
        <v>112.1</v>
      </c>
      <c r="F13094" s="5">
        <v>222.4</v>
      </c>
      <c r="G13094" s="5">
        <v>110.5</v>
      </c>
      <c r="H13094" s="5">
        <v>110.4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112</v>
      </c>
      <c r="D13095" s="5">
        <v>0.1</v>
      </c>
      <c r="E13095" s="5">
        <v>112.1</v>
      </c>
      <c r="F13095" s="5">
        <v>222.4</v>
      </c>
      <c r="G13095" s="5">
        <v>110.5</v>
      </c>
      <c r="H13095" s="5">
        <v>110.4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112</v>
      </c>
      <c r="D13096" s="5">
        <v>0.1</v>
      </c>
      <c r="E13096" s="5">
        <v>112.1</v>
      </c>
      <c r="F13096" s="5">
        <v>222.4</v>
      </c>
      <c r="G13096" s="5">
        <v>110.5</v>
      </c>
      <c r="H13096" s="5">
        <v>110.4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112</v>
      </c>
      <c r="D13097" s="5">
        <v>0.1</v>
      </c>
      <c r="E13097" s="5">
        <v>112.1</v>
      </c>
      <c r="F13097" s="5">
        <v>222.4</v>
      </c>
      <c r="G13097" s="5">
        <v>110.5</v>
      </c>
      <c r="H13097" s="5">
        <v>110.4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112</v>
      </c>
      <c r="D13098" s="5">
        <v>0.1</v>
      </c>
      <c r="E13098" s="5">
        <v>112.1</v>
      </c>
      <c r="F13098" s="5">
        <v>222.4</v>
      </c>
      <c r="G13098" s="5">
        <v>110.5</v>
      </c>
      <c r="H13098" s="5">
        <v>110.4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112</v>
      </c>
      <c r="D13099" s="5">
        <v>0.1</v>
      </c>
      <c r="E13099" s="5">
        <v>112.1</v>
      </c>
      <c r="F13099" s="5">
        <v>222.4</v>
      </c>
      <c r="G13099" s="5">
        <v>110.5</v>
      </c>
      <c r="H13099" s="5">
        <v>110.4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112</v>
      </c>
      <c r="D13100" s="5">
        <v>0.1</v>
      </c>
      <c r="E13100" s="5">
        <v>112.1</v>
      </c>
      <c r="F13100" s="5">
        <v>222.4</v>
      </c>
      <c r="G13100" s="5">
        <v>110.5</v>
      </c>
      <c r="H13100" s="5">
        <v>110.4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112</v>
      </c>
      <c r="D13101" s="5">
        <v>0.1</v>
      </c>
      <c r="E13101" s="5">
        <v>112.1</v>
      </c>
      <c r="F13101" s="5">
        <v>222.4</v>
      </c>
      <c r="G13101" s="5">
        <v>110.5</v>
      </c>
      <c r="H13101" s="5">
        <v>110.4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112</v>
      </c>
      <c r="D13102" s="5">
        <v>0.1</v>
      </c>
      <c r="E13102" s="5">
        <v>112.1</v>
      </c>
      <c r="F13102" s="5">
        <v>222.4</v>
      </c>
      <c r="G13102" s="5">
        <v>110.5</v>
      </c>
      <c r="H13102" s="5">
        <v>110.4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112</v>
      </c>
      <c r="D13103" s="5">
        <v>0.1</v>
      </c>
      <c r="E13103" s="5">
        <v>112.1</v>
      </c>
      <c r="F13103" s="5">
        <v>222.4</v>
      </c>
      <c r="G13103" s="5">
        <v>110.5</v>
      </c>
      <c r="H13103" s="5">
        <v>110.4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112</v>
      </c>
      <c r="D13104" s="5">
        <v>0.1</v>
      </c>
      <c r="E13104" s="5">
        <v>112.1</v>
      </c>
      <c r="F13104" s="5">
        <v>222.4</v>
      </c>
      <c r="G13104" s="5">
        <v>110.5</v>
      </c>
      <c r="H13104" s="5">
        <v>110.4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112</v>
      </c>
      <c r="D13105" s="5">
        <v>0.1</v>
      </c>
      <c r="E13105" s="5">
        <v>112.1</v>
      </c>
      <c r="F13105" s="5">
        <v>222.4</v>
      </c>
      <c r="G13105" s="5">
        <v>110.5</v>
      </c>
      <c r="H13105" s="5">
        <v>110.4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112</v>
      </c>
      <c r="D13106" s="5">
        <v>0.1</v>
      </c>
      <c r="E13106" s="5">
        <v>112.1</v>
      </c>
      <c r="F13106" s="5">
        <v>222.4</v>
      </c>
      <c r="G13106" s="5">
        <v>110.5</v>
      </c>
      <c r="H13106" s="5">
        <v>110.4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112</v>
      </c>
      <c r="D13107" s="5">
        <v>0.1</v>
      </c>
      <c r="E13107" s="5">
        <v>112.1</v>
      </c>
      <c r="F13107" s="5">
        <v>222.4</v>
      </c>
      <c r="G13107" s="5">
        <v>110.5</v>
      </c>
      <c r="H13107" s="5">
        <v>110.4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112</v>
      </c>
      <c r="D13108" s="5">
        <v>0.1</v>
      </c>
      <c r="E13108" s="5">
        <v>112.1</v>
      </c>
      <c r="F13108" s="5">
        <v>222.4</v>
      </c>
      <c r="G13108" s="5">
        <v>110.5</v>
      </c>
      <c r="H13108" s="5">
        <v>110.4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112</v>
      </c>
      <c r="D13109" s="5">
        <v>0.1</v>
      </c>
      <c r="E13109" s="5">
        <v>112.1</v>
      </c>
      <c r="F13109" s="5">
        <v>222.4</v>
      </c>
      <c r="G13109" s="5">
        <v>110.5</v>
      </c>
      <c r="H13109" s="5">
        <v>110.4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112</v>
      </c>
      <c r="D13110" s="5">
        <v>0.1</v>
      </c>
      <c r="E13110" s="5">
        <v>112.1</v>
      </c>
      <c r="F13110" s="5">
        <v>222.4</v>
      </c>
      <c r="G13110" s="5">
        <v>110.5</v>
      </c>
      <c r="H13110" s="5">
        <v>110.4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112</v>
      </c>
      <c r="D13111" s="5">
        <v>0.1</v>
      </c>
      <c r="E13111" s="5">
        <v>112.1</v>
      </c>
      <c r="F13111" s="5">
        <v>222.4</v>
      </c>
      <c r="G13111" s="5">
        <v>110.5</v>
      </c>
      <c r="H13111" s="5">
        <v>110.4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112</v>
      </c>
      <c r="D13112" s="5">
        <v>0.1</v>
      </c>
      <c r="E13112" s="5">
        <v>112.1</v>
      </c>
      <c r="F13112" s="5">
        <v>222.4</v>
      </c>
      <c r="G13112" s="5">
        <v>110.5</v>
      </c>
      <c r="H13112" s="5">
        <v>110.4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112</v>
      </c>
      <c r="D13113" s="5">
        <v>0.1</v>
      </c>
      <c r="E13113" s="5">
        <v>112.1</v>
      </c>
      <c r="F13113" s="5">
        <v>222.4</v>
      </c>
      <c r="G13113" s="5">
        <v>110.5</v>
      </c>
      <c r="H13113" s="5">
        <v>110.4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112</v>
      </c>
      <c r="D13114" s="5">
        <v>0.1</v>
      </c>
      <c r="E13114" s="5">
        <v>112.1</v>
      </c>
      <c r="F13114" s="5">
        <v>222.4</v>
      </c>
      <c r="G13114" s="5">
        <v>110.5</v>
      </c>
      <c r="H13114" s="5">
        <v>110.4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112</v>
      </c>
      <c r="D13115" s="5">
        <v>0.1</v>
      </c>
      <c r="E13115" s="5">
        <v>112.1</v>
      </c>
      <c r="F13115" s="5">
        <v>222.4</v>
      </c>
      <c r="G13115" s="5">
        <v>110.5</v>
      </c>
      <c r="H13115" s="5">
        <v>110.4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112</v>
      </c>
      <c r="D13116" s="5">
        <v>0.1</v>
      </c>
      <c r="E13116" s="5">
        <v>112.1</v>
      </c>
      <c r="F13116" s="5">
        <v>222.4</v>
      </c>
      <c r="G13116" s="5">
        <v>110.5</v>
      </c>
      <c r="H13116" s="5">
        <v>110.4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112</v>
      </c>
      <c r="D13117" s="5">
        <v>0.1</v>
      </c>
      <c r="E13117" s="5">
        <v>112.1</v>
      </c>
      <c r="F13117" s="5">
        <v>222.4</v>
      </c>
      <c r="G13117" s="5">
        <v>110.5</v>
      </c>
      <c r="H13117" s="5">
        <v>110.4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112</v>
      </c>
      <c r="D13118" s="5">
        <v>0.1</v>
      </c>
      <c r="E13118" s="5">
        <v>112.1</v>
      </c>
      <c r="F13118" s="5">
        <v>222.4</v>
      </c>
      <c r="G13118" s="5">
        <v>110.5</v>
      </c>
      <c r="H13118" s="5">
        <v>110.4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112</v>
      </c>
      <c r="D13119" s="5">
        <v>0.1</v>
      </c>
      <c r="E13119" s="5">
        <v>112.1</v>
      </c>
      <c r="F13119" s="5">
        <v>222.4</v>
      </c>
      <c r="G13119" s="5">
        <v>110.5</v>
      </c>
      <c r="H13119" s="5">
        <v>110.4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112</v>
      </c>
      <c r="D13120" s="5">
        <v>0.1</v>
      </c>
      <c r="E13120" s="5">
        <v>112.1</v>
      </c>
      <c r="F13120" s="5">
        <v>222.4</v>
      </c>
      <c r="G13120" s="5">
        <v>110.5</v>
      </c>
      <c r="H13120" s="5">
        <v>110.4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112</v>
      </c>
      <c r="D13121" s="5">
        <v>0.1</v>
      </c>
      <c r="E13121" s="5">
        <v>112.1</v>
      </c>
      <c r="F13121" s="5">
        <v>222.4</v>
      </c>
      <c r="G13121" s="5">
        <v>110.5</v>
      </c>
      <c r="H13121" s="5">
        <v>110.4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112</v>
      </c>
      <c r="D13122" s="5">
        <v>0.1</v>
      </c>
      <c r="E13122" s="5">
        <v>112.1</v>
      </c>
      <c r="F13122" s="5">
        <v>222.4</v>
      </c>
      <c r="G13122" s="5">
        <v>110.5</v>
      </c>
      <c r="H13122" s="5">
        <v>110.4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112</v>
      </c>
      <c r="D13123" s="5">
        <v>0.1</v>
      </c>
      <c r="E13123" s="5">
        <v>112.1</v>
      </c>
      <c r="F13123" s="5">
        <v>222.4</v>
      </c>
      <c r="G13123" s="5">
        <v>110.5</v>
      </c>
      <c r="H13123" s="5">
        <v>110.4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112</v>
      </c>
      <c r="D13124" s="5">
        <v>0.1</v>
      </c>
      <c r="E13124" s="5">
        <v>112.1</v>
      </c>
      <c r="F13124" s="5">
        <v>222.4</v>
      </c>
      <c r="G13124" s="5">
        <v>110.5</v>
      </c>
      <c r="H13124" s="5">
        <v>110.4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112</v>
      </c>
      <c r="D13125" s="5">
        <v>0.1</v>
      </c>
      <c r="E13125" s="5">
        <v>112.1</v>
      </c>
      <c r="F13125" s="5">
        <v>222.4</v>
      </c>
      <c r="G13125" s="5">
        <v>110.5</v>
      </c>
      <c r="H13125" s="5">
        <v>110.4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112</v>
      </c>
      <c r="D13126" s="5">
        <v>0.1</v>
      </c>
      <c r="E13126" s="5">
        <v>112.1</v>
      </c>
      <c r="F13126" s="5">
        <v>222.4</v>
      </c>
      <c r="G13126" s="5">
        <v>110.5</v>
      </c>
      <c r="H13126" s="5">
        <v>110.4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112</v>
      </c>
      <c r="D13127" s="5">
        <v>0.1</v>
      </c>
      <c r="E13127" s="5">
        <v>112.1</v>
      </c>
      <c r="F13127" s="5">
        <v>222.4</v>
      </c>
      <c r="G13127" s="5">
        <v>110.5</v>
      </c>
      <c r="H13127" s="5">
        <v>110.4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112</v>
      </c>
      <c r="D13128" s="5">
        <v>0.1</v>
      </c>
      <c r="E13128" s="5">
        <v>112.1</v>
      </c>
      <c r="F13128" s="5">
        <v>222.4</v>
      </c>
      <c r="G13128" s="5">
        <v>110.5</v>
      </c>
      <c r="H13128" s="5">
        <v>110.4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112</v>
      </c>
      <c r="D13129" s="5">
        <v>0.1</v>
      </c>
      <c r="E13129" s="5">
        <v>112.1</v>
      </c>
      <c r="F13129" s="5">
        <v>222.4</v>
      </c>
      <c r="G13129" s="5">
        <v>110.5</v>
      </c>
      <c r="H13129" s="5">
        <v>110.4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112</v>
      </c>
      <c r="D13130" s="5">
        <v>0.1</v>
      </c>
      <c r="E13130" s="5">
        <v>112.1</v>
      </c>
      <c r="F13130" s="5">
        <v>222.4</v>
      </c>
      <c r="G13130" s="5">
        <v>110.5</v>
      </c>
      <c r="H13130" s="5">
        <v>110.4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112</v>
      </c>
      <c r="D13131" s="5">
        <v>0.1</v>
      </c>
      <c r="E13131" s="5">
        <v>112.1</v>
      </c>
      <c r="F13131" s="5">
        <v>222.4</v>
      </c>
      <c r="G13131" s="5">
        <v>110.5</v>
      </c>
      <c r="H13131" s="5">
        <v>110.4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112</v>
      </c>
      <c r="D13132" s="5">
        <v>0.1</v>
      </c>
      <c r="E13132" s="5">
        <v>112.1</v>
      </c>
      <c r="F13132" s="5">
        <v>222.4</v>
      </c>
      <c r="G13132" s="5">
        <v>110.5</v>
      </c>
      <c r="H13132" s="5">
        <v>110.4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112</v>
      </c>
      <c r="D13133" s="5">
        <v>0.1</v>
      </c>
      <c r="E13133" s="5">
        <v>112.1</v>
      </c>
      <c r="F13133" s="5">
        <v>222.4</v>
      </c>
      <c r="G13133" s="5">
        <v>110.5</v>
      </c>
      <c r="H13133" s="5">
        <v>110.4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112</v>
      </c>
      <c r="D13134" s="5">
        <v>0.1</v>
      </c>
      <c r="E13134" s="5">
        <v>112.1</v>
      </c>
      <c r="F13134" s="5">
        <v>222.4</v>
      </c>
      <c r="G13134" s="5">
        <v>110.5</v>
      </c>
      <c r="H13134" s="5">
        <v>110.4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112</v>
      </c>
      <c r="D13135" s="5">
        <v>0.1</v>
      </c>
      <c r="E13135" s="5">
        <v>112.1</v>
      </c>
      <c r="F13135" s="5">
        <v>222.4</v>
      </c>
      <c r="G13135" s="5">
        <v>110.5</v>
      </c>
      <c r="H13135" s="5">
        <v>110.4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112</v>
      </c>
      <c r="D13136" s="5">
        <v>0.1</v>
      </c>
      <c r="E13136" s="5">
        <v>112.1</v>
      </c>
      <c r="F13136" s="5">
        <v>222.4</v>
      </c>
      <c r="G13136" s="5">
        <v>110.5</v>
      </c>
      <c r="H13136" s="5">
        <v>110.4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112</v>
      </c>
      <c r="D13137" s="5">
        <v>0.1</v>
      </c>
      <c r="E13137" s="5">
        <v>112.1</v>
      </c>
      <c r="F13137" s="5">
        <v>222.4</v>
      </c>
      <c r="G13137" s="5">
        <v>110.5</v>
      </c>
      <c r="H13137" s="5">
        <v>110.4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112</v>
      </c>
      <c r="D13138" s="5">
        <v>0.1</v>
      </c>
      <c r="E13138" s="5">
        <v>112.1</v>
      </c>
      <c r="F13138" s="5">
        <v>222.4</v>
      </c>
      <c r="G13138" s="5">
        <v>110.5</v>
      </c>
      <c r="H13138" s="5">
        <v>110.4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112</v>
      </c>
      <c r="D13139" s="5">
        <v>0.1</v>
      </c>
      <c r="E13139" s="5">
        <v>112.1</v>
      </c>
      <c r="F13139" s="5">
        <v>222.4</v>
      </c>
      <c r="G13139" s="5">
        <v>110.5</v>
      </c>
      <c r="H13139" s="5">
        <v>110.4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112</v>
      </c>
      <c r="D13140" s="5">
        <v>0.1</v>
      </c>
      <c r="E13140" s="5">
        <v>112.1</v>
      </c>
      <c r="F13140" s="5">
        <v>222.4</v>
      </c>
      <c r="G13140" s="5">
        <v>110.5</v>
      </c>
      <c r="H13140" s="5">
        <v>110.4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112</v>
      </c>
      <c r="D13141" s="5">
        <v>0.1</v>
      </c>
      <c r="E13141" s="5">
        <v>112.1</v>
      </c>
      <c r="F13141" s="5">
        <v>222.4</v>
      </c>
      <c r="G13141" s="5">
        <v>110.5</v>
      </c>
      <c r="H13141" s="5">
        <v>110.4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112</v>
      </c>
      <c r="D13142" s="5">
        <v>0.1</v>
      </c>
      <c r="E13142" s="5">
        <v>112.1</v>
      </c>
      <c r="F13142" s="5">
        <v>222.4</v>
      </c>
      <c r="G13142" s="5">
        <v>110.5</v>
      </c>
      <c r="H13142" s="5">
        <v>110.4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112</v>
      </c>
      <c r="D13143" s="5">
        <v>0.1</v>
      </c>
      <c r="E13143" s="5">
        <v>112.1</v>
      </c>
      <c r="F13143" s="5">
        <v>222.4</v>
      </c>
      <c r="G13143" s="5">
        <v>110.5</v>
      </c>
      <c r="H13143" s="5">
        <v>110.4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112</v>
      </c>
      <c r="D13144" s="5">
        <v>0.1</v>
      </c>
      <c r="E13144" s="5">
        <v>112.1</v>
      </c>
      <c r="F13144" s="5">
        <v>222.4</v>
      </c>
      <c r="G13144" s="5">
        <v>110.5</v>
      </c>
      <c r="H13144" s="5">
        <v>110.4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112</v>
      </c>
      <c r="D13145" s="5">
        <v>0.1</v>
      </c>
      <c r="E13145" s="5">
        <v>112.1</v>
      </c>
      <c r="F13145" s="5">
        <v>222.4</v>
      </c>
      <c r="G13145" s="5">
        <v>110.5</v>
      </c>
      <c r="H13145" s="5">
        <v>110.4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112</v>
      </c>
      <c r="D13146" s="5">
        <v>0.1</v>
      </c>
      <c r="E13146" s="5">
        <v>112.1</v>
      </c>
      <c r="F13146" s="5">
        <v>222.4</v>
      </c>
      <c r="G13146" s="5">
        <v>110.5</v>
      </c>
      <c r="H13146" s="5">
        <v>110.4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112</v>
      </c>
      <c r="D13147" s="5">
        <v>0.1</v>
      </c>
      <c r="E13147" s="5">
        <v>112.1</v>
      </c>
      <c r="F13147" s="5">
        <v>222.4</v>
      </c>
      <c r="G13147" s="5">
        <v>110.5</v>
      </c>
      <c r="H13147" s="5">
        <v>110.4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112</v>
      </c>
      <c r="D13148" s="5">
        <v>0.1</v>
      </c>
      <c r="E13148" s="5">
        <v>112.1</v>
      </c>
      <c r="F13148" s="5">
        <v>222.4</v>
      </c>
      <c r="G13148" s="5">
        <v>110.5</v>
      </c>
      <c r="H13148" s="5">
        <v>110.4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112</v>
      </c>
      <c r="D13149" s="5">
        <v>0.1</v>
      </c>
      <c r="E13149" s="5">
        <v>112.1</v>
      </c>
      <c r="F13149" s="5">
        <v>222.4</v>
      </c>
      <c r="G13149" s="5">
        <v>110.5</v>
      </c>
      <c r="H13149" s="5">
        <v>110.4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112</v>
      </c>
      <c r="D13150" s="5">
        <v>0.1</v>
      </c>
      <c r="E13150" s="5">
        <v>112.1</v>
      </c>
      <c r="F13150" s="5">
        <v>222.4</v>
      </c>
      <c r="G13150" s="5">
        <v>110.5</v>
      </c>
      <c r="H13150" s="5">
        <v>110.4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112</v>
      </c>
      <c r="D13151" s="5">
        <v>0.1</v>
      </c>
      <c r="E13151" s="5">
        <v>112.1</v>
      </c>
      <c r="F13151" s="5">
        <v>222.4</v>
      </c>
      <c r="G13151" s="5">
        <v>110.5</v>
      </c>
      <c r="H13151" s="5">
        <v>110.4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112</v>
      </c>
      <c r="D13152" s="5">
        <v>0.1</v>
      </c>
      <c r="E13152" s="5">
        <v>112.1</v>
      </c>
      <c r="F13152" s="5">
        <v>222.4</v>
      </c>
      <c r="G13152" s="5">
        <v>110.5</v>
      </c>
      <c r="H13152" s="5">
        <v>110.4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112</v>
      </c>
      <c r="D13153" s="5">
        <v>0.1</v>
      </c>
      <c r="E13153" s="5">
        <v>112.1</v>
      </c>
      <c r="F13153" s="5">
        <v>222.4</v>
      </c>
      <c r="G13153" s="5">
        <v>110.5</v>
      </c>
      <c r="H13153" s="5">
        <v>110.4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112</v>
      </c>
      <c r="D13154" s="5">
        <v>0.1</v>
      </c>
      <c r="E13154" s="5">
        <v>112.1</v>
      </c>
      <c r="F13154" s="5">
        <v>222.4</v>
      </c>
      <c r="G13154" s="5">
        <v>110.5</v>
      </c>
      <c r="H13154" s="5">
        <v>110.4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112</v>
      </c>
      <c r="D13155" s="5">
        <v>0.1</v>
      </c>
      <c r="E13155" s="5">
        <v>112.1</v>
      </c>
      <c r="F13155" s="5">
        <v>222.4</v>
      </c>
      <c r="G13155" s="5">
        <v>110.5</v>
      </c>
      <c r="H13155" s="5">
        <v>110.4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112</v>
      </c>
      <c r="D13156" s="5">
        <v>0.1</v>
      </c>
      <c r="E13156" s="5">
        <v>112.1</v>
      </c>
      <c r="F13156" s="5">
        <v>222.4</v>
      </c>
      <c r="G13156" s="5">
        <v>110.5</v>
      </c>
      <c r="H13156" s="5">
        <v>110.4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112</v>
      </c>
      <c r="D13157" s="5">
        <v>0.1</v>
      </c>
      <c r="E13157" s="5">
        <v>112.1</v>
      </c>
      <c r="F13157" s="5">
        <v>222.4</v>
      </c>
      <c r="G13157" s="5">
        <v>110.5</v>
      </c>
      <c r="H13157" s="5">
        <v>110.4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112</v>
      </c>
      <c r="D13158" s="5">
        <v>0.1</v>
      </c>
      <c r="E13158" s="5">
        <v>112.1</v>
      </c>
      <c r="F13158" s="5">
        <v>222.4</v>
      </c>
      <c r="G13158" s="5">
        <v>110.5</v>
      </c>
      <c r="H13158" s="5">
        <v>110.4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112</v>
      </c>
      <c r="D13159" s="5">
        <v>0.1</v>
      </c>
      <c r="E13159" s="5">
        <v>112.1</v>
      </c>
      <c r="F13159" s="5">
        <v>222.4</v>
      </c>
      <c r="G13159" s="5">
        <v>110.5</v>
      </c>
      <c r="H13159" s="5">
        <v>110.4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112</v>
      </c>
      <c r="D13160" s="5">
        <v>0.1</v>
      </c>
      <c r="E13160" s="5">
        <v>112.1</v>
      </c>
      <c r="F13160" s="5">
        <v>222.4</v>
      </c>
      <c r="G13160" s="5">
        <v>110.5</v>
      </c>
      <c r="H13160" s="5">
        <v>110.4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112</v>
      </c>
      <c r="D13161" s="5">
        <v>0.1</v>
      </c>
      <c r="E13161" s="5">
        <v>112.1</v>
      </c>
      <c r="F13161" s="5">
        <v>222.4</v>
      </c>
      <c r="G13161" s="5">
        <v>110.5</v>
      </c>
      <c r="H13161" s="5">
        <v>110.4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112</v>
      </c>
      <c r="D13162" s="5">
        <v>0.1</v>
      </c>
      <c r="E13162" s="5">
        <v>112.1</v>
      </c>
      <c r="F13162" s="5">
        <v>222.4</v>
      </c>
      <c r="G13162" s="5">
        <v>110.5</v>
      </c>
      <c r="H13162" s="5">
        <v>110.4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112</v>
      </c>
      <c r="D13163" s="5">
        <v>0.1</v>
      </c>
      <c r="E13163" s="5">
        <v>112.1</v>
      </c>
      <c r="F13163" s="5">
        <v>222.4</v>
      </c>
      <c r="G13163" s="5">
        <v>110.5</v>
      </c>
      <c r="H13163" s="5">
        <v>110.4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112</v>
      </c>
      <c r="D13164" s="5">
        <v>0.1</v>
      </c>
      <c r="E13164" s="5">
        <v>112.1</v>
      </c>
      <c r="F13164" s="5">
        <v>222.4</v>
      </c>
      <c r="G13164" s="5">
        <v>110.5</v>
      </c>
      <c r="H13164" s="5">
        <v>110.4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112</v>
      </c>
      <c r="D13165" s="5">
        <v>0.1</v>
      </c>
      <c r="E13165" s="5">
        <v>112.1</v>
      </c>
      <c r="F13165" s="5">
        <v>222.4</v>
      </c>
      <c r="G13165" s="5">
        <v>110.5</v>
      </c>
      <c r="H13165" s="5">
        <v>110.4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112</v>
      </c>
      <c r="D13166" s="5">
        <v>0.1</v>
      </c>
      <c r="E13166" s="5">
        <v>112.1</v>
      </c>
      <c r="F13166" s="5">
        <v>222.4</v>
      </c>
      <c r="G13166" s="5">
        <v>110.5</v>
      </c>
      <c r="H13166" s="5">
        <v>110.4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112</v>
      </c>
      <c r="D13167" s="5">
        <v>0.1</v>
      </c>
      <c r="E13167" s="5">
        <v>112.1</v>
      </c>
      <c r="F13167" s="5">
        <v>222.4</v>
      </c>
      <c r="G13167" s="5">
        <v>110.5</v>
      </c>
      <c r="H13167" s="5">
        <v>110.4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112</v>
      </c>
      <c r="D13168" s="5">
        <v>0.1</v>
      </c>
      <c r="E13168" s="5">
        <v>112.1</v>
      </c>
      <c r="F13168" s="5">
        <v>222.4</v>
      </c>
      <c r="G13168" s="5">
        <v>110.5</v>
      </c>
      <c r="H13168" s="5">
        <v>110.4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112</v>
      </c>
      <c r="D13169" s="5">
        <v>0.1</v>
      </c>
      <c r="E13169" s="5">
        <v>112.1</v>
      </c>
      <c r="F13169" s="5">
        <v>222.4</v>
      </c>
      <c r="G13169" s="5">
        <v>110.5</v>
      </c>
      <c r="H13169" s="5">
        <v>110.4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112</v>
      </c>
      <c r="D13170" s="5">
        <v>0.1</v>
      </c>
      <c r="E13170" s="5">
        <v>112.1</v>
      </c>
      <c r="F13170" s="5">
        <v>222.4</v>
      </c>
      <c r="G13170" s="5">
        <v>110.5</v>
      </c>
      <c r="H13170" s="5">
        <v>110.4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112</v>
      </c>
      <c r="D13171" s="5">
        <v>0.1</v>
      </c>
      <c r="E13171" s="5">
        <v>112.1</v>
      </c>
      <c r="F13171" s="5">
        <v>222.4</v>
      </c>
      <c r="G13171" s="5">
        <v>110.5</v>
      </c>
      <c r="H13171" s="5">
        <v>110.4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112</v>
      </c>
      <c r="D13172" s="5">
        <v>0.1</v>
      </c>
      <c r="E13172" s="5">
        <v>112.1</v>
      </c>
      <c r="F13172" s="5">
        <v>222.4</v>
      </c>
      <c r="G13172" s="5">
        <v>110.5</v>
      </c>
      <c r="H13172" s="5">
        <v>110.4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112</v>
      </c>
      <c r="D13173" s="5">
        <v>0.1</v>
      </c>
      <c r="E13173" s="5">
        <v>112.1</v>
      </c>
      <c r="F13173" s="5">
        <v>222.4</v>
      </c>
      <c r="G13173" s="5">
        <v>110.5</v>
      </c>
      <c r="H13173" s="5">
        <v>110.4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112</v>
      </c>
      <c r="D13174" s="5">
        <v>0.1</v>
      </c>
      <c r="E13174" s="5">
        <v>112.1</v>
      </c>
      <c r="F13174" s="5">
        <v>222.4</v>
      </c>
      <c r="G13174" s="5">
        <v>110.5</v>
      </c>
      <c r="H13174" s="5">
        <v>110.4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112</v>
      </c>
      <c r="D13175" s="5">
        <v>0.1</v>
      </c>
      <c r="E13175" s="5">
        <v>112.1</v>
      </c>
      <c r="F13175" s="5">
        <v>222.4</v>
      </c>
      <c r="G13175" s="5">
        <v>110.5</v>
      </c>
      <c r="H13175" s="5">
        <v>110.4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112</v>
      </c>
      <c r="D13176" s="5">
        <v>0.1</v>
      </c>
      <c r="E13176" s="5">
        <v>112.1</v>
      </c>
      <c r="F13176" s="5">
        <v>222.4</v>
      </c>
      <c r="G13176" s="5">
        <v>110.5</v>
      </c>
      <c r="H13176" s="5">
        <v>110.4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112</v>
      </c>
      <c r="D13177" s="5">
        <v>0.1</v>
      </c>
      <c r="E13177" s="5">
        <v>112.1</v>
      </c>
      <c r="F13177" s="5">
        <v>222.4</v>
      </c>
      <c r="G13177" s="5">
        <v>110.5</v>
      </c>
      <c r="H13177" s="5">
        <v>110.4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112</v>
      </c>
      <c r="D13178" s="5">
        <v>0.1</v>
      </c>
      <c r="E13178" s="5">
        <v>112.1</v>
      </c>
      <c r="F13178" s="5">
        <v>222.4</v>
      </c>
      <c r="G13178" s="5">
        <v>110.5</v>
      </c>
      <c r="H13178" s="5">
        <v>110.4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112</v>
      </c>
      <c r="D13179" s="5">
        <v>0.1</v>
      </c>
      <c r="E13179" s="5">
        <v>112.1</v>
      </c>
      <c r="F13179" s="5">
        <v>222.4</v>
      </c>
      <c r="G13179" s="5">
        <v>110.5</v>
      </c>
      <c r="H13179" s="5">
        <v>110.4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112</v>
      </c>
      <c r="D13180" s="5">
        <v>0.1</v>
      </c>
      <c r="E13180" s="5">
        <v>112.1</v>
      </c>
      <c r="F13180" s="5">
        <v>222.4</v>
      </c>
      <c r="G13180" s="5">
        <v>110.5</v>
      </c>
      <c r="H13180" s="5">
        <v>110.4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112</v>
      </c>
      <c r="D13181" s="5">
        <v>0.1</v>
      </c>
      <c r="E13181" s="5">
        <v>112.1</v>
      </c>
      <c r="F13181" s="5">
        <v>222.4</v>
      </c>
      <c r="G13181" s="5">
        <v>110.5</v>
      </c>
      <c r="H13181" s="5">
        <v>110.4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112</v>
      </c>
      <c r="D13182" s="5">
        <v>0.1</v>
      </c>
      <c r="E13182" s="5">
        <v>112.1</v>
      </c>
      <c r="F13182" s="5">
        <v>222.4</v>
      </c>
      <c r="G13182" s="5">
        <v>110.5</v>
      </c>
      <c r="H13182" s="5">
        <v>110.4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112</v>
      </c>
      <c r="D13183" s="5">
        <v>0.1</v>
      </c>
      <c r="E13183" s="5">
        <v>112.1</v>
      </c>
      <c r="F13183" s="5">
        <v>222.4</v>
      </c>
      <c r="G13183" s="5">
        <v>110.5</v>
      </c>
      <c r="H13183" s="5">
        <v>110.4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112</v>
      </c>
      <c r="D13184" s="5">
        <v>0.1</v>
      </c>
      <c r="E13184" s="5">
        <v>112.1</v>
      </c>
      <c r="F13184" s="5">
        <v>222.4</v>
      </c>
      <c r="G13184" s="5">
        <v>110.5</v>
      </c>
      <c r="H13184" s="5">
        <v>110.4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112</v>
      </c>
      <c r="D13185" s="5">
        <v>0.1</v>
      </c>
      <c r="E13185" s="5">
        <v>112.1</v>
      </c>
      <c r="F13185" s="5">
        <v>222.4</v>
      </c>
      <c r="G13185" s="5">
        <v>110.5</v>
      </c>
      <c r="H13185" s="5">
        <v>110.4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112</v>
      </c>
      <c r="D13186" s="5">
        <v>0.1</v>
      </c>
      <c r="E13186" s="5">
        <v>112.1</v>
      </c>
      <c r="F13186" s="5">
        <v>222.4</v>
      </c>
      <c r="G13186" s="5">
        <v>110.5</v>
      </c>
      <c r="H13186" s="5">
        <v>110.4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112</v>
      </c>
      <c r="D13187" s="5">
        <v>0.1</v>
      </c>
      <c r="E13187" s="5">
        <v>112.1</v>
      </c>
      <c r="F13187" s="5">
        <v>222.4</v>
      </c>
      <c r="G13187" s="5">
        <v>110.5</v>
      </c>
      <c r="H13187" s="5">
        <v>110.4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112</v>
      </c>
      <c r="D13188" s="5">
        <v>0.1</v>
      </c>
      <c r="E13188" s="5">
        <v>112.1</v>
      </c>
      <c r="F13188" s="5">
        <v>222.4</v>
      </c>
      <c r="G13188" s="5">
        <v>110.5</v>
      </c>
      <c r="H13188" s="5">
        <v>110.4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112</v>
      </c>
      <c r="D13189" s="5">
        <v>0.1</v>
      </c>
      <c r="E13189" s="5">
        <v>112.1</v>
      </c>
      <c r="F13189" s="5">
        <v>222.4</v>
      </c>
      <c r="G13189" s="5">
        <v>110.5</v>
      </c>
      <c r="H13189" s="5">
        <v>110.4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112</v>
      </c>
      <c r="D13190" s="5">
        <v>0.1</v>
      </c>
      <c r="E13190" s="5">
        <v>112.1</v>
      </c>
      <c r="F13190" s="5">
        <v>222.4</v>
      </c>
      <c r="G13190" s="5">
        <v>110.5</v>
      </c>
      <c r="H13190" s="5">
        <v>110.4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112</v>
      </c>
      <c r="D13191" s="5">
        <v>0.1</v>
      </c>
      <c r="E13191" s="5">
        <v>112.1</v>
      </c>
      <c r="F13191" s="5">
        <v>222.4</v>
      </c>
      <c r="G13191" s="5">
        <v>110.5</v>
      </c>
      <c r="H13191" s="5">
        <v>110.4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112</v>
      </c>
      <c r="D13192" s="5">
        <v>0.1</v>
      </c>
      <c r="E13192" s="5">
        <v>112.1</v>
      </c>
      <c r="F13192" s="5">
        <v>222.4</v>
      </c>
      <c r="G13192" s="5">
        <v>110.5</v>
      </c>
      <c r="H13192" s="5">
        <v>110.4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112</v>
      </c>
      <c r="D13193" s="5">
        <v>0.1</v>
      </c>
      <c r="E13193" s="5">
        <v>112.1</v>
      </c>
      <c r="F13193" s="5">
        <v>222.4</v>
      </c>
      <c r="G13193" s="5">
        <v>110.5</v>
      </c>
      <c r="H13193" s="5">
        <v>110.4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112</v>
      </c>
      <c r="D13194" s="5">
        <v>0.1</v>
      </c>
      <c r="E13194" s="5">
        <v>112.1</v>
      </c>
      <c r="F13194" s="5">
        <v>222.4</v>
      </c>
      <c r="G13194" s="5">
        <v>110.5</v>
      </c>
      <c r="H13194" s="5">
        <v>110.4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112</v>
      </c>
      <c r="D13195" s="5">
        <v>0.1</v>
      </c>
      <c r="E13195" s="5">
        <v>112.1</v>
      </c>
      <c r="F13195" s="5">
        <v>222.4</v>
      </c>
      <c r="G13195" s="5">
        <v>110.5</v>
      </c>
      <c r="H13195" s="5">
        <v>110.4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112</v>
      </c>
      <c r="D13196" s="5">
        <v>0.1</v>
      </c>
      <c r="E13196" s="5">
        <v>112.1</v>
      </c>
      <c r="F13196" s="5">
        <v>222.4</v>
      </c>
      <c r="G13196" s="5">
        <v>110.5</v>
      </c>
      <c r="H13196" s="5">
        <v>110.4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112</v>
      </c>
      <c r="D13197" s="5">
        <v>0.1</v>
      </c>
      <c r="E13197" s="5">
        <v>112.1</v>
      </c>
      <c r="F13197" s="5">
        <v>222.4</v>
      </c>
      <c r="G13197" s="5">
        <v>110.5</v>
      </c>
      <c r="H13197" s="5">
        <v>110.4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112</v>
      </c>
      <c r="D13198" s="5">
        <v>0.1</v>
      </c>
      <c r="E13198" s="5">
        <v>112.1</v>
      </c>
      <c r="F13198" s="5">
        <v>222.4</v>
      </c>
      <c r="G13198" s="5">
        <v>110.5</v>
      </c>
      <c r="H13198" s="5">
        <v>110.4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112</v>
      </c>
      <c r="D13199" s="5">
        <v>0.1</v>
      </c>
      <c r="E13199" s="5">
        <v>112.1</v>
      </c>
      <c r="F13199" s="5">
        <v>222.4</v>
      </c>
      <c r="G13199" s="5">
        <v>110.5</v>
      </c>
      <c r="H13199" s="5">
        <v>110.4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112</v>
      </c>
      <c r="D13200" s="5">
        <v>0.1</v>
      </c>
      <c r="E13200" s="5">
        <v>112.1</v>
      </c>
      <c r="F13200" s="5">
        <v>222.4</v>
      </c>
      <c r="G13200" s="5">
        <v>110.5</v>
      </c>
      <c r="H13200" s="5">
        <v>110.4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112</v>
      </c>
      <c r="D13201" s="5">
        <v>0.1</v>
      </c>
      <c r="E13201" s="5">
        <v>112.1</v>
      </c>
      <c r="F13201" s="5">
        <v>222.4</v>
      </c>
      <c r="G13201" s="5">
        <v>110.5</v>
      </c>
      <c r="H13201" s="5">
        <v>110.4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112</v>
      </c>
      <c r="D13202" s="5">
        <v>0.1</v>
      </c>
      <c r="E13202" s="5">
        <v>112.1</v>
      </c>
      <c r="F13202" s="5">
        <v>222.4</v>
      </c>
      <c r="G13202" s="5">
        <v>110.5</v>
      </c>
      <c r="H13202" s="5">
        <v>110.4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112</v>
      </c>
      <c r="D13203" s="5">
        <v>0.1</v>
      </c>
      <c r="E13203" s="5">
        <v>112.1</v>
      </c>
      <c r="F13203" s="5">
        <v>222.4</v>
      </c>
      <c r="G13203" s="5">
        <v>110.5</v>
      </c>
      <c r="H13203" s="5">
        <v>110.4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112</v>
      </c>
      <c r="D13204" s="5">
        <v>0.1</v>
      </c>
      <c r="E13204" s="5">
        <v>112.1</v>
      </c>
      <c r="F13204" s="5">
        <v>222.4</v>
      </c>
      <c r="G13204" s="5">
        <v>110.5</v>
      </c>
      <c r="H13204" s="5">
        <v>110.4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112</v>
      </c>
      <c r="D13205" s="5">
        <v>0.1</v>
      </c>
      <c r="E13205" s="5">
        <v>112.1</v>
      </c>
      <c r="F13205" s="5">
        <v>222.4</v>
      </c>
      <c r="G13205" s="5">
        <v>110.5</v>
      </c>
      <c r="H13205" s="5">
        <v>110.4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112</v>
      </c>
      <c r="D13206" s="5">
        <v>0.1</v>
      </c>
      <c r="E13206" s="5">
        <v>112.1</v>
      </c>
      <c r="F13206" s="5">
        <v>222.4</v>
      </c>
      <c r="G13206" s="5">
        <v>110.5</v>
      </c>
      <c r="H13206" s="5">
        <v>110.4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112</v>
      </c>
      <c r="D13207" s="5">
        <v>0.1</v>
      </c>
      <c r="E13207" s="5">
        <v>112.1</v>
      </c>
      <c r="F13207" s="5">
        <v>222.4</v>
      </c>
      <c r="G13207" s="5">
        <v>110.5</v>
      </c>
      <c r="H13207" s="5">
        <v>110.4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112</v>
      </c>
      <c r="D13208" s="5">
        <v>0.1</v>
      </c>
      <c r="E13208" s="5">
        <v>112.1</v>
      </c>
      <c r="F13208" s="5">
        <v>222.4</v>
      </c>
      <c r="G13208" s="5">
        <v>110.5</v>
      </c>
      <c r="H13208" s="5">
        <v>110.4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112</v>
      </c>
      <c r="D13209" s="5">
        <v>0.1</v>
      </c>
      <c r="E13209" s="5">
        <v>112.1</v>
      </c>
      <c r="F13209" s="5">
        <v>222.4</v>
      </c>
      <c r="G13209" s="5">
        <v>110.5</v>
      </c>
      <c r="H13209" s="5">
        <v>110.4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112</v>
      </c>
      <c r="D13210" s="5">
        <v>0.1</v>
      </c>
      <c r="E13210" s="5">
        <v>112.1</v>
      </c>
      <c r="F13210" s="5">
        <v>222.4</v>
      </c>
      <c r="G13210" s="5">
        <v>110.5</v>
      </c>
      <c r="H13210" s="5">
        <v>110.4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112</v>
      </c>
      <c r="D13211" s="5">
        <v>0.1</v>
      </c>
      <c r="E13211" s="5">
        <v>112.1</v>
      </c>
      <c r="F13211" s="5">
        <v>222.4</v>
      </c>
      <c r="G13211" s="5">
        <v>110.5</v>
      </c>
      <c r="H13211" s="5">
        <v>110.4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112</v>
      </c>
      <c r="D13212" s="5">
        <v>0.1</v>
      </c>
      <c r="E13212" s="5">
        <v>112.1</v>
      </c>
      <c r="F13212" s="5">
        <v>222.4</v>
      </c>
      <c r="G13212" s="5">
        <v>110.5</v>
      </c>
      <c r="H13212" s="5">
        <v>110.4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112</v>
      </c>
      <c r="D13213" s="5">
        <v>0.1</v>
      </c>
      <c r="E13213" s="5">
        <v>112.1</v>
      </c>
      <c r="F13213" s="5">
        <v>222.4</v>
      </c>
      <c r="G13213" s="5">
        <v>110.5</v>
      </c>
      <c r="H13213" s="5">
        <v>110.4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112</v>
      </c>
      <c r="D13214" s="5">
        <v>0.1</v>
      </c>
      <c r="E13214" s="5">
        <v>112.1</v>
      </c>
      <c r="F13214" s="5">
        <v>222.4</v>
      </c>
      <c r="G13214" s="5">
        <v>110.5</v>
      </c>
      <c r="H13214" s="5">
        <v>110.4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112</v>
      </c>
      <c r="D13215" s="5">
        <v>0.1</v>
      </c>
      <c r="E13215" s="5">
        <v>112.1</v>
      </c>
      <c r="F13215" s="5">
        <v>222.4</v>
      </c>
      <c r="G13215" s="5">
        <v>110.5</v>
      </c>
      <c r="H13215" s="5">
        <v>110.4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112</v>
      </c>
      <c r="D13216" s="5">
        <v>0.1</v>
      </c>
      <c r="E13216" s="5">
        <v>112.1</v>
      </c>
      <c r="F13216" s="5">
        <v>222.4</v>
      </c>
      <c r="G13216" s="5">
        <v>110.5</v>
      </c>
      <c r="H13216" s="5">
        <v>110.4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112</v>
      </c>
      <c r="D13217" s="5">
        <v>0.1</v>
      </c>
      <c r="E13217" s="5">
        <v>112.1</v>
      </c>
      <c r="F13217" s="5">
        <v>222.4</v>
      </c>
      <c r="G13217" s="5">
        <v>110.5</v>
      </c>
      <c r="H13217" s="5">
        <v>110.4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112</v>
      </c>
      <c r="D13218" s="5">
        <v>0.1</v>
      </c>
      <c r="E13218" s="5">
        <v>112.1</v>
      </c>
      <c r="F13218" s="5">
        <v>222.4</v>
      </c>
      <c r="G13218" s="5">
        <v>110.5</v>
      </c>
      <c r="H13218" s="5">
        <v>110.4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112</v>
      </c>
      <c r="D13219" s="5">
        <v>0.1</v>
      </c>
      <c r="E13219" s="5">
        <v>112.1</v>
      </c>
      <c r="F13219" s="5">
        <v>222.4</v>
      </c>
      <c r="G13219" s="5">
        <v>110.5</v>
      </c>
      <c r="H13219" s="5">
        <v>110.4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112</v>
      </c>
      <c r="D13220" s="5">
        <v>0.1</v>
      </c>
      <c r="E13220" s="5">
        <v>112.1</v>
      </c>
      <c r="F13220" s="5">
        <v>222.4</v>
      </c>
      <c r="G13220" s="5">
        <v>110.5</v>
      </c>
      <c r="H13220" s="5">
        <v>110.4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112</v>
      </c>
      <c r="D13221" s="5">
        <v>0.1</v>
      </c>
      <c r="E13221" s="5">
        <v>112.1</v>
      </c>
      <c r="F13221" s="5">
        <v>222.4</v>
      </c>
      <c r="G13221" s="5">
        <v>110.5</v>
      </c>
      <c r="H13221" s="5">
        <v>110.4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112</v>
      </c>
      <c r="D13222" s="5">
        <v>0.1</v>
      </c>
      <c r="E13222" s="5">
        <v>112.1</v>
      </c>
      <c r="F13222" s="5">
        <v>222.4</v>
      </c>
      <c r="G13222" s="5">
        <v>110.5</v>
      </c>
      <c r="H13222" s="5">
        <v>110.4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112</v>
      </c>
      <c r="D13223" s="5">
        <v>0.1</v>
      </c>
      <c r="E13223" s="5">
        <v>112.1</v>
      </c>
      <c r="F13223" s="5">
        <v>222.4</v>
      </c>
      <c r="G13223" s="5">
        <v>110.5</v>
      </c>
      <c r="H13223" s="5">
        <v>110.4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112</v>
      </c>
      <c r="D13224" s="5">
        <v>0.1</v>
      </c>
      <c r="E13224" s="5">
        <v>112.1</v>
      </c>
      <c r="F13224" s="5">
        <v>222.4</v>
      </c>
      <c r="G13224" s="5">
        <v>110.5</v>
      </c>
      <c r="H13224" s="5">
        <v>110.4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112</v>
      </c>
      <c r="D13225" s="5">
        <v>0.1</v>
      </c>
      <c r="E13225" s="5">
        <v>112.1</v>
      </c>
      <c r="F13225" s="5">
        <v>222.4</v>
      </c>
      <c r="G13225" s="5">
        <v>110.5</v>
      </c>
      <c r="H13225" s="5">
        <v>110.4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112</v>
      </c>
      <c r="D13226" s="5">
        <v>0.1</v>
      </c>
      <c r="E13226" s="5">
        <v>112.1</v>
      </c>
      <c r="F13226" s="5">
        <v>222.4</v>
      </c>
      <c r="G13226" s="5">
        <v>110.5</v>
      </c>
      <c r="H13226" s="5">
        <v>110.4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112</v>
      </c>
      <c r="D13227" s="5">
        <v>0.1</v>
      </c>
      <c r="E13227" s="5">
        <v>112.1</v>
      </c>
      <c r="F13227" s="5">
        <v>222.4</v>
      </c>
      <c r="G13227" s="5">
        <v>110.5</v>
      </c>
      <c r="H13227" s="5">
        <v>110.4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112</v>
      </c>
      <c r="D13228" s="5">
        <v>0.1</v>
      </c>
      <c r="E13228" s="5">
        <v>112.1</v>
      </c>
      <c r="F13228" s="5">
        <v>222.4</v>
      </c>
      <c r="G13228" s="5">
        <v>110.5</v>
      </c>
      <c r="H13228" s="5">
        <v>110.4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112</v>
      </c>
      <c r="D13229" s="5">
        <v>0.1</v>
      </c>
      <c r="E13229" s="5">
        <v>112.1</v>
      </c>
      <c r="F13229" s="5">
        <v>222.4</v>
      </c>
      <c r="G13229" s="5">
        <v>110.5</v>
      </c>
      <c r="H13229" s="5">
        <v>110.4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112</v>
      </c>
      <c r="D13230" s="5">
        <v>0.1</v>
      </c>
      <c r="E13230" s="5">
        <v>112.1</v>
      </c>
      <c r="F13230" s="5">
        <v>222.4</v>
      </c>
      <c r="G13230" s="5">
        <v>110.5</v>
      </c>
      <c r="H13230" s="5">
        <v>110.4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112</v>
      </c>
      <c r="D13231" s="5">
        <v>0.1</v>
      </c>
      <c r="E13231" s="5">
        <v>112.1</v>
      </c>
      <c r="F13231" s="5">
        <v>222.4</v>
      </c>
      <c r="G13231" s="5">
        <v>110.5</v>
      </c>
      <c r="H13231" s="5">
        <v>110.4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112</v>
      </c>
      <c r="D13232" s="5">
        <v>0.1</v>
      </c>
      <c r="E13232" s="5">
        <v>112.1</v>
      </c>
      <c r="F13232" s="5">
        <v>222.4</v>
      </c>
      <c r="G13232" s="5">
        <v>110.5</v>
      </c>
      <c r="H13232" s="5">
        <v>110.4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112</v>
      </c>
      <c r="D13233" s="5">
        <v>0.1</v>
      </c>
      <c r="E13233" s="5">
        <v>112.1</v>
      </c>
      <c r="F13233" s="5">
        <v>222.4</v>
      </c>
      <c r="G13233" s="5">
        <v>110.5</v>
      </c>
      <c r="H13233" s="5">
        <v>110.4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112</v>
      </c>
      <c r="D13234" s="5">
        <v>0.1</v>
      </c>
      <c r="E13234" s="5">
        <v>112.1</v>
      </c>
      <c r="F13234" s="5">
        <v>222.4</v>
      </c>
      <c r="G13234" s="5">
        <v>110.5</v>
      </c>
      <c r="H13234" s="5">
        <v>110.4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112</v>
      </c>
      <c r="D13235" s="5">
        <v>0.1</v>
      </c>
      <c r="E13235" s="5">
        <v>112.1</v>
      </c>
      <c r="F13235" s="5">
        <v>222.4</v>
      </c>
      <c r="G13235" s="5">
        <v>110.5</v>
      </c>
      <c r="H13235" s="5">
        <v>110.4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112</v>
      </c>
      <c r="D13236" s="5">
        <v>0.1</v>
      </c>
      <c r="E13236" s="5">
        <v>112.1</v>
      </c>
      <c r="F13236" s="5">
        <v>222.4</v>
      </c>
      <c r="G13236" s="5">
        <v>110.5</v>
      </c>
      <c r="H13236" s="5">
        <v>110.4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112</v>
      </c>
      <c r="D13237" s="5">
        <v>0.1</v>
      </c>
      <c r="E13237" s="5">
        <v>112.1</v>
      </c>
      <c r="F13237" s="5">
        <v>222.4</v>
      </c>
      <c r="G13237" s="5">
        <v>110.5</v>
      </c>
      <c r="H13237" s="5">
        <v>110.4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112</v>
      </c>
      <c r="D13238" s="5">
        <v>0.1</v>
      </c>
      <c r="E13238" s="5">
        <v>112.1</v>
      </c>
      <c r="F13238" s="5">
        <v>222.4</v>
      </c>
      <c r="G13238" s="5">
        <v>110.5</v>
      </c>
      <c r="H13238" s="5">
        <v>110.4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112</v>
      </c>
      <c r="D13239" s="5">
        <v>0.1</v>
      </c>
      <c r="E13239" s="5">
        <v>112.1</v>
      </c>
      <c r="F13239" s="5">
        <v>222.4</v>
      </c>
      <c r="G13239" s="5">
        <v>110.5</v>
      </c>
      <c r="H13239" s="5">
        <v>110.4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112</v>
      </c>
      <c r="D13240" s="5">
        <v>0.1</v>
      </c>
      <c r="E13240" s="5">
        <v>112.1</v>
      </c>
      <c r="F13240" s="5">
        <v>222.4</v>
      </c>
      <c r="G13240" s="5">
        <v>110.5</v>
      </c>
      <c r="H13240" s="5">
        <v>110.4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112</v>
      </c>
      <c r="D13241" s="5">
        <v>0.1</v>
      </c>
      <c r="E13241" s="5">
        <v>112.1</v>
      </c>
      <c r="F13241" s="5">
        <v>222.4</v>
      </c>
      <c r="G13241" s="5">
        <v>110.5</v>
      </c>
      <c r="H13241" s="5">
        <v>110.4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112</v>
      </c>
      <c r="D13242" s="5">
        <v>0.1</v>
      </c>
      <c r="E13242" s="5">
        <v>112.1</v>
      </c>
      <c r="F13242" s="5">
        <v>222.4</v>
      </c>
      <c r="G13242" s="5">
        <v>110.5</v>
      </c>
      <c r="H13242" s="5">
        <v>110.4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112</v>
      </c>
      <c r="D13243" s="5">
        <v>0.1</v>
      </c>
      <c r="E13243" s="5">
        <v>112.1</v>
      </c>
      <c r="F13243" s="5">
        <v>222.4</v>
      </c>
      <c r="G13243" s="5">
        <v>110.5</v>
      </c>
      <c r="H13243" s="5">
        <v>110.4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112</v>
      </c>
      <c r="D13244" s="5">
        <v>0.1</v>
      </c>
      <c r="E13244" s="5">
        <v>112.1</v>
      </c>
      <c r="F13244" s="5">
        <v>222.4</v>
      </c>
      <c r="G13244" s="5">
        <v>110.5</v>
      </c>
      <c r="H13244" s="5">
        <v>110.4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112</v>
      </c>
      <c r="D13245" s="5">
        <v>0.1</v>
      </c>
      <c r="E13245" s="5">
        <v>112.1</v>
      </c>
      <c r="F13245" s="5">
        <v>222.4</v>
      </c>
      <c r="G13245" s="5">
        <v>110.5</v>
      </c>
      <c r="H13245" s="5">
        <v>110.4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112</v>
      </c>
      <c r="D13246" s="5">
        <v>0.1</v>
      </c>
      <c r="E13246" s="5">
        <v>112.1</v>
      </c>
      <c r="F13246" s="5">
        <v>222.4</v>
      </c>
      <c r="G13246" s="5">
        <v>110.5</v>
      </c>
      <c r="H13246" s="5">
        <v>110.4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112</v>
      </c>
      <c r="D13247" s="5">
        <v>0.1</v>
      </c>
      <c r="E13247" s="5">
        <v>112.1</v>
      </c>
      <c r="F13247" s="5">
        <v>222.4</v>
      </c>
      <c r="G13247" s="5">
        <v>110.5</v>
      </c>
      <c r="H13247" s="5">
        <v>110.4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112</v>
      </c>
      <c r="D13248" s="5">
        <v>0.1</v>
      </c>
      <c r="E13248" s="5">
        <v>112.1</v>
      </c>
      <c r="F13248" s="5">
        <v>222.4</v>
      </c>
      <c r="G13248" s="5">
        <v>110.5</v>
      </c>
      <c r="H13248" s="5">
        <v>110.4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112</v>
      </c>
      <c r="D13249" s="5">
        <v>0.1</v>
      </c>
      <c r="E13249" s="5">
        <v>112.1</v>
      </c>
      <c r="F13249" s="5">
        <v>222.4</v>
      </c>
      <c r="G13249" s="5">
        <v>110.5</v>
      </c>
      <c r="H13249" s="5">
        <v>110.4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112</v>
      </c>
      <c r="D13250" s="5">
        <v>0.1</v>
      </c>
      <c r="E13250" s="5">
        <v>112.1</v>
      </c>
      <c r="F13250" s="5">
        <v>222.4</v>
      </c>
      <c r="G13250" s="5">
        <v>110.5</v>
      </c>
      <c r="H13250" s="5">
        <v>110.4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112</v>
      </c>
      <c r="D13251" s="5">
        <v>0.1</v>
      </c>
      <c r="E13251" s="5">
        <v>112.1</v>
      </c>
      <c r="F13251" s="5">
        <v>222.4</v>
      </c>
      <c r="G13251" s="5">
        <v>110.5</v>
      </c>
      <c r="H13251" s="5">
        <v>110.4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112</v>
      </c>
      <c r="D13252" s="5">
        <v>0.1</v>
      </c>
      <c r="E13252" s="5">
        <v>112.1</v>
      </c>
      <c r="F13252" s="5">
        <v>222.4</v>
      </c>
      <c r="G13252" s="5">
        <v>110.5</v>
      </c>
      <c r="H13252" s="5">
        <v>110.4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112</v>
      </c>
      <c r="D13253" s="5">
        <v>0.1</v>
      </c>
      <c r="E13253" s="5">
        <v>112.1</v>
      </c>
      <c r="F13253" s="5">
        <v>222.4</v>
      </c>
      <c r="G13253" s="5">
        <v>110.5</v>
      </c>
      <c r="H13253" s="5">
        <v>110.4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112</v>
      </c>
      <c r="D13254" s="5">
        <v>0.1</v>
      </c>
      <c r="E13254" s="5">
        <v>112.1</v>
      </c>
      <c r="F13254" s="5">
        <v>222.4</v>
      </c>
      <c r="G13254" s="5">
        <v>110.5</v>
      </c>
      <c r="H13254" s="5">
        <v>110.4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112</v>
      </c>
      <c r="D13255" s="5">
        <v>0.1</v>
      </c>
      <c r="E13255" s="5">
        <v>112.1</v>
      </c>
      <c r="F13255" s="5">
        <v>222.4</v>
      </c>
      <c r="G13255" s="5">
        <v>110.5</v>
      </c>
      <c r="H13255" s="5">
        <v>110.4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112</v>
      </c>
      <c r="D13256" s="5">
        <v>0.1</v>
      </c>
      <c r="E13256" s="5">
        <v>112.1</v>
      </c>
      <c r="F13256" s="5">
        <v>222.4</v>
      </c>
      <c r="G13256" s="5">
        <v>110.5</v>
      </c>
      <c r="H13256" s="5">
        <v>110.4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112</v>
      </c>
      <c r="D13257" s="5">
        <v>0.1</v>
      </c>
      <c r="E13257" s="5">
        <v>112.1</v>
      </c>
      <c r="F13257" s="5">
        <v>222.4</v>
      </c>
      <c r="G13257" s="5">
        <v>110.5</v>
      </c>
      <c r="H13257" s="5">
        <v>110.4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112</v>
      </c>
      <c r="D13258" s="5">
        <v>0.1</v>
      </c>
      <c r="E13258" s="5">
        <v>112.1</v>
      </c>
      <c r="F13258" s="5">
        <v>222.4</v>
      </c>
      <c r="G13258" s="5">
        <v>110.5</v>
      </c>
      <c r="H13258" s="5">
        <v>110.4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112</v>
      </c>
      <c r="D13259" s="5">
        <v>0.1</v>
      </c>
      <c r="E13259" s="5">
        <v>112.1</v>
      </c>
      <c r="F13259" s="5">
        <v>222.4</v>
      </c>
      <c r="G13259" s="5">
        <v>110.5</v>
      </c>
      <c r="H13259" s="5">
        <v>110.4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112</v>
      </c>
      <c r="D13260" s="5">
        <v>0.1</v>
      </c>
      <c r="E13260" s="5">
        <v>112.1</v>
      </c>
      <c r="F13260" s="5">
        <v>222.4</v>
      </c>
      <c r="G13260" s="5">
        <v>110.5</v>
      </c>
      <c r="H13260" s="5">
        <v>110.4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112</v>
      </c>
      <c r="D13261" s="5">
        <v>0.1</v>
      </c>
      <c r="E13261" s="5">
        <v>112.1</v>
      </c>
      <c r="F13261" s="5">
        <v>222.4</v>
      </c>
      <c r="G13261" s="5">
        <v>110.5</v>
      </c>
      <c r="H13261" s="5">
        <v>110.4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112</v>
      </c>
      <c r="D13262" s="5">
        <v>0.1</v>
      </c>
      <c r="E13262" s="5">
        <v>112.1</v>
      </c>
      <c r="F13262" s="5">
        <v>222.4</v>
      </c>
      <c r="G13262" s="5">
        <v>110.5</v>
      </c>
      <c r="H13262" s="5">
        <v>110.4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112</v>
      </c>
      <c r="D13263" s="5">
        <v>0.1</v>
      </c>
      <c r="E13263" s="5">
        <v>112.1</v>
      </c>
      <c r="F13263" s="5">
        <v>222.4</v>
      </c>
      <c r="G13263" s="5">
        <v>110.5</v>
      </c>
      <c r="H13263" s="5">
        <v>110.4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112</v>
      </c>
      <c r="D13264" s="5">
        <v>0.1</v>
      </c>
      <c r="E13264" s="5">
        <v>112.1</v>
      </c>
      <c r="F13264" s="5">
        <v>222.4</v>
      </c>
      <c r="G13264" s="5">
        <v>110.5</v>
      </c>
      <c r="H13264" s="5">
        <v>110.4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112</v>
      </c>
      <c r="D13265" s="5">
        <v>0.1</v>
      </c>
      <c r="E13265" s="5">
        <v>112.1</v>
      </c>
      <c r="F13265" s="5">
        <v>222.4</v>
      </c>
      <c r="G13265" s="5">
        <v>110.5</v>
      </c>
      <c r="H13265" s="5">
        <v>110.4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112</v>
      </c>
      <c r="D13266" s="5">
        <v>0.1</v>
      </c>
      <c r="E13266" s="5">
        <v>112.1</v>
      </c>
      <c r="F13266" s="5">
        <v>222.4</v>
      </c>
      <c r="G13266" s="5">
        <v>110.5</v>
      </c>
      <c r="H13266" s="5">
        <v>110.4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112</v>
      </c>
      <c r="D13267" s="5">
        <v>0.1</v>
      </c>
      <c r="E13267" s="5">
        <v>112.1</v>
      </c>
      <c r="F13267" s="5">
        <v>222.4</v>
      </c>
      <c r="G13267" s="5">
        <v>110.5</v>
      </c>
      <c r="H13267" s="5">
        <v>110.4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112</v>
      </c>
      <c r="D13268" s="5">
        <v>0.1</v>
      </c>
      <c r="E13268" s="5">
        <v>112.1</v>
      </c>
      <c r="F13268" s="5">
        <v>222.4</v>
      </c>
      <c r="G13268" s="5">
        <v>110.5</v>
      </c>
      <c r="H13268" s="5">
        <v>110.4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112</v>
      </c>
      <c r="D13269" s="5">
        <v>0.1</v>
      </c>
      <c r="E13269" s="5">
        <v>112.1</v>
      </c>
      <c r="F13269" s="5">
        <v>222.4</v>
      </c>
      <c r="G13269" s="5">
        <v>110.5</v>
      </c>
      <c r="H13269" s="5">
        <v>110.4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112</v>
      </c>
      <c r="D13270" s="5">
        <v>0.1</v>
      </c>
      <c r="E13270" s="5">
        <v>112.1</v>
      </c>
      <c r="F13270" s="5">
        <v>222.4</v>
      </c>
      <c r="G13270" s="5">
        <v>110.5</v>
      </c>
      <c r="H13270" s="5">
        <v>110.4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112</v>
      </c>
      <c r="D13271" s="5">
        <v>0.1</v>
      </c>
      <c r="E13271" s="5">
        <v>112.1</v>
      </c>
      <c r="F13271" s="5">
        <v>222.4</v>
      </c>
      <c r="G13271" s="5">
        <v>110.5</v>
      </c>
      <c r="H13271" s="5">
        <v>110.4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112</v>
      </c>
      <c r="D13272" s="5">
        <v>0.1</v>
      </c>
      <c r="E13272" s="5">
        <v>112.1</v>
      </c>
      <c r="F13272" s="5">
        <v>222.4</v>
      </c>
      <c r="G13272" s="5">
        <v>110.5</v>
      </c>
      <c r="H13272" s="5">
        <v>110.4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112</v>
      </c>
      <c r="D13273" s="5">
        <v>0.1</v>
      </c>
      <c r="E13273" s="5">
        <v>112.1</v>
      </c>
      <c r="F13273" s="5">
        <v>222.4</v>
      </c>
      <c r="G13273" s="5">
        <v>110.5</v>
      </c>
      <c r="H13273" s="5">
        <v>110.4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112</v>
      </c>
      <c r="D13274" s="5">
        <v>0.1</v>
      </c>
      <c r="E13274" s="5">
        <v>112.1</v>
      </c>
      <c r="F13274" s="5">
        <v>222.4</v>
      </c>
      <c r="G13274" s="5">
        <v>110.5</v>
      </c>
      <c r="H13274" s="5">
        <v>110.4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112</v>
      </c>
      <c r="D13275" s="5">
        <v>0.1</v>
      </c>
      <c r="E13275" s="5">
        <v>112.1</v>
      </c>
      <c r="F13275" s="5">
        <v>222.4</v>
      </c>
      <c r="G13275" s="5">
        <v>110.5</v>
      </c>
      <c r="H13275" s="5">
        <v>110.4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112</v>
      </c>
      <c r="D13276" s="5">
        <v>0.1</v>
      </c>
      <c r="E13276" s="5">
        <v>112.1</v>
      </c>
      <c r="F13276" s="5">
        <v>222.4</v>
      </c>
      <c r="G13276" s="5">
        <v>110.5</v>
      </c>
      <c r="H13276" s="5">
        <v>110.4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112</v>
      </c>
      <c r="D13277" s="5">
        <v>0.1</v>
      </c>
      <c r="E13277" s="5">
        <v>112.1</v>
      </c>
      <c r="F13277" s="5">
        <v>222.4</v>
      </c>
      <c r="G13277" s="5">
        <v>110.5</v>
      </c>
      <c r="H13277" s="5">
        <v>110.4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112</v>
      </c>
      <c r="D13278" s="5">
        <v>0.1</v>
      </c>
      <c r="E13278" s="5">
        <v>112.1</v>
      </c>
      <c r="F13278" s="5">
        <v>222.4</v>
      </c>
      <c r="G13278" s="5">
        <v>110.5</v>
      </c>
      <c r="H13278" s="5">
        <v>110.4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112</v>
      </c>
      <c r="D13279" s="5">
        <v>0.1</v>
      </c>
      <c r="E13279" s="5">
        <v>112.1</v>
      </c>
      <c r="F13279" s="5">
        <v>222.4</v>
      </c>
      <c r="G13279" s="5">
        <v>110.5</v>
      </c>
      <c r="H13279" s="5">
        <v>110.4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112</v>
      </c>
      <c r="D13280" s="5">
        <v>0.1</v>
      </c>
      <c r="E13280" s="5">
        <v>112.1</v>
      </c>
      <c r="F13280" s="5">
        <v>222.4</v>
      </c>
      <c r="G13280" s="5">
        <v>110.5</v>
      </c>
      <c r="H13280" s="5">
        <v>110.4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112</v>
      </c>
      <c r="D13281" s="5">
        <v>0.1</v>
      </c>
      <c r="E13281" s="5">
        <v>112.1</v>
      </c>
      <c r="F13281" s="5">
        <v>222.4</v>
      </c>
      <c r="G13281" s="5">
        <v>110.5</v>
      </c>
      <c r="H13281" s="5">
        <v>110.4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112</v>
      </c>
      <c r="D13282" s="5">
        <v>0.1</v>
      </c>
      <c r="E13282" s="5">
        <v>112.1</v>
      </c>
      <c r="F13282" s="5">
        <v>222.4</v>
      </c>
      <c r="G13282" s="5">
        <v>110.5</v>
      </c>
      <c r="H13282" s="5">
        <v>110.4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112</v>
      </c>
      <c r="D13283" s="5">
        <v>0.1</v>
      </c>
      <c r="E13283" s="5">
        <v>112.1</v>
      </c>
      <c r="F13283" s="5">
        <v>222.4</v>
      </c>
      <c r="G13283" s="5">
        <v>110.5</v>
      </c>
      <c r="H13283" s="5">
        <v>110.4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112</v>
      </c>
      <c r="D13284" s="5">
        <v>0.1</v>
      </c>
      <c r="E13284" s="5">
        <v>112.1</v>
      </c>
      <c r="F13284" s="5">
        <v>222.4</v>
      </c>
      <c r="G13284" s="5">
        <v>110.5</v>
      </c>
      <c r="H13284" s="5">
        <v>110.4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112</v>
      </c>
      <c r="D13285" s="5">
        <v>0.1</v>
      </c>
      <c r="E13285" s="5">
        <v>112.1</v>
      </c>
      <c r="F13285" s="5">
        <v>222.4</v>
      </c>
      <c r="G13285" s="5">
        <v>110.5</v>
      </c>
      <c r="H13285" s="5">
        <v>110.4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112</v>
      </c>
      <c r="D13286" s="5">
        <v>0.1</v>
      </c>
      <c r="E13286" s="5">
        <v>112.1</v>
      </c>
      <c r="F13286" s="5">
        <v>222.4</v>
      </c>
      <c r="G13286" s="5">
        <v>110.5</v>
      </c>
      <c r="H13286" s="5">
        <v>110.4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112</v>
      </c>
      <c r="D13287" s="5">
        <v>0.1</v>
      </c>
      <c r="E13287" s="5">
        <v>112.1</v>
      </c>
      <c r="F13287" s="5">
        <v>222.4</v>
      </c>
      <c r="G13287" s="5">
        <v>110.5</v>
      </c>
      <c r="H13287" s="5">
        <v>110.4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112</v>
      </c>
      <c r="D13288" s="5">
        <v>0.1</v>
      </c>
      <c r="E13288" s="5">
        <v>112.1</v>
      </c>
      <c r="F13288" s="5">
        <v>222.4</v>
      </c>
      <c r="G13288" s="5">
        <v>110.5</v>
      </c>
      <c r="H13288" s="5">
        <v>110.4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112</v>
      </c>
      <c r="D13289" s="5">
        <v>0.1</v>
      </c>
      <c r="E13289" s="5">
        <v>112.1</v>
      </c>
      <c r="F13289" s="5">
        <v>222.4</v>
      </c>
      <c r="G13289" s="5">
        <v>110.5</v>
      </c>
      <c r="H13289" s="5">
        <v>110.4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112</v>
      </c>
      <c r="D13290" s="5">
        <v>0.1</v>
      </c>
      <c r="E13290" s="5">
        <v>112.1</v>
      </c>
      <c r="F13290" s="5">
        <v>222.4</v>
      </c>
      <c r="G13290" s="5">
        <v>110.5</v>
      </c>
      <c r="H13290" s="5">
        <v>110.4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112</v>
      </c>
      <c r="D13291" s="5">
        <v>0.1</v>
      </c>
      <c r="E13291" s="5">
        <v>112.1</v>
      </c>
      <c r="F13291" s="5">
        <v>222.4</v>
      </c>
      <c r="G13291" s="5">
        <v>110.5</v>
      </c>
      <c r="H13291" s="5">
        <v>110.4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112</v>
      </c>
      <c r="D13292" s="5">
        <v>0.1</v>
      </c>
      <c r="E13292" s="5">
        <v>112.1</v>
      </c>
      <c r="F13292" s="5">
        <v>222.4</v>
      </c>
      <c r="G13292" s="5">
        <v>110.5</v>
      </c>
      <c r="H13292" s="5">
        <v>110.4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112</v>
      </c>
      <c r="D13293" s="5">
        <v>0.1</v>
      </c>
      <c r="E13293" s="5">
        <v>112.1</v>
      </c>
      <c r="F13293" s="5">
        <v>222.4</v>
      </c>
      <c r="G13293" s="5">
        <v>110.5</v>
      </c>
      <c r="H13293" s="5">
        <v>110.4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112</v>
      </c>
      <c r="D13294" s="5">
        <v>0.1</v>
      </c>
      <c r="E13294" s="5">
        <v>112.1</v>
      </c>
      <c r="F13294" s="5">
        <v>222.4</v>
      </c>
      <c r="G13294" s="5">
        <v>110.5</v>
      </c>
      <c r="H13294" s="5">
        <v>110.4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112</v>
      </c>
      <c r="D13295" s="5">
        <v>0.1</v>
      </c>
      <c r="E13295" s="5">
        <v>112.1</v>
      </c>
      <c r="F13295" s="5">
        <v>222.4</v>
      </c>
      <c r="G13295" s="5">
        <v>110.5</v>
      </c>
      <c r="H13295" s="5">
        <v>110.4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112</v>
      </c>
      <c r="D13296" s="5">
        <v>0.1</v>
      </c>
      <c r="E13296" s="5">
        <v>112.1</v>
      </c>
      <c r="F13296" s="5">
        <v>222.4</v>
      </c>
      <c r="G13296" s="5">
        <v>110.5</v>
      </c>
      <c r="H13296" s="5">
        <v>110.4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112</v>
      </c>
      <c r="D13297" s="5">
        <v>0.1</v>
      </c>
      <c r="E13297" s="5">
        <v>112.1</v>
      </c>
      <c r="F13297" s="5">
        <v>222.4</v>
      </c>
      <c r="G13297" s="5">
        <v>110.5</v>
      </c>
      <c r="H13297" s="5">
        <v>110.4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112</v>
      </c>
      <c r="D13298" s="5">
        <v>0.1</v>
      </c>
      <c r="E13298" s="5">
        <v>112.1</v>
      </c>
      <c r="F13298" s="5">
        <v>222.4</v>
      </c>
      <c r="G13298" s="5">
        <v>110.5</v>
      </c>
      <c r="H13298" s="5">
        <v>110.4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112</v>
      </c>
      <c r="D13299" s="5">
        <v>0.1</v>
      </c>
      <c r="E13299" s="5">
        <v>112.1</v>
      </c>
      <c r="F13299" s="5">
        <v>222.4</v>
      </c>
      <c r="G13299" s="5">
        <v>110.5</v>
      </c>
      <c r="H13299" s="5">
        <v>110.4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112</v>
      </c>
      <c r="D13300" s="5">
        <v>0.1</v>
      </c>
      <c r="E13300" s="5">
        <v>112.1</v>
      </c>
      <c r="F13300" s="5">
        <v>222.4</v>
      </c>
      <c r="G13300" s="5">
        <v>110.5</v>
      </c>
      <c r="H13300" s="5">
        <v>110.4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112</v>
      </c>
      <c r="D13301" s="5">
        <v>0.1</v>
      </c>
      <c r="E13301" s="5">
        <v>112.1</v>
      </c>
      <c r="F13301" s="5">
        <v>222.4</v>
      </c>
      <c r="G13301" s="5">
        <v>110.5</v>
      </c>
      <c r="H13301" s="5">
        <v>110.4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112</v>
      </c>
      <c r="D13302" s="5">
        <v>0.1</v>
      </c>
      <c r="E13302" s="5">
        <v>112.1</v>
      </c>
      <c r="F13302" s="5">
        <v>222.4</v>
      </c>
      <c r="G13302" s="5">
        <v>110.5</v>
      </c>
      <c r="H13302" s="5">
        <v>110.4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112</v>
      </c>
      <c r="D13303" s="5">
        <v>0.1</v>
      </c>
      <c r="E13303" s="5">
        <v>112.1</v>
      </c>
      <c r="F13303" s="5">
        <v>222.4</v>
      </c>
      <c r="G13303" s="5">
        <v>110.5</v>
      </c>
      <c r="H13303" s="5">
        <v>110.4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112</v>
      </c>
      <c r="D13304" s="5">
        <v>0.1</v>
      </c>
      <c r="E13304" s="5">
        <v>112.1</v>
      </c>
      <c r="F13304" s="5">
        <v>222.4</v>
      </c>
      <c r="G13304" s="5">
        <v>110.5</v>
      </c>
      <c r="H13304" s="5">
        <v>110.4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112</v>
      </c>
      <c r="D13305" s="5">
        <v>0.1</v>
      </c>
      <c r="E13305" s="5">
        <v>112.1</v>
      </c>
      <c r="F13305" s="5">
        <v>222.4</v>
      </c>
      <c r="G13305" s="5">
        <v>110.5</v>
      </c>
      <c r="H13305" s="5">
        <v>110.4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112</v>
      </c>
      <c r="D13306" s="5">
        <v>0.1</v>
      </c>
      <c r="E13306" s="5">
        <v>112.1</v>
      </c>
      <c r="F13306" s="5">
        <v>222.4</v>
      </c>
      <c r="G13306" s="5">
        <v>110.5</v>
      </c>
      <c r="H13306" s="5">
        <v>110.4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112</v>
      </c>
      <c r="D13307" s="5">
        <v>0.1</v>
      </c>
      <c r="E13307" s="5">
        <v>112.1</v>
      </c>
      <c r="F13307" s="5">
        <v>222.4</v>
      </c>
      <c r="G13307" s="5">
        <v>110.5</v>
      </c>
      <c r="H13307" s="5">
        <v>110.4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112</v>
      </c>
      <c r="D13308" s="5">
        <v>0.1</v>
      </c>
      <c r="E13308" s="5">
        <v>112.1</v>
      </c>
      <c r="F13308" s="5">
        <v>222.4</v>
      </c>
      <c r="G13308" s="5">
        <v>110.5</v>
      </c>
      <c r="H13308" s="5">
        <v>110.4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112</v>
      </c>
      <c r="D13309" s="5">
        <v>0.1</v>
      </c>
      <c r="E13309" s="5">
        <v>112.1</v>
      </c>
      <c r="F13309" s="5">
        <v>222.4</v>
      </c>
      <c r="G13309" s="5">
        <v>110.5</v>
      </c>
      <c r="H13309" s="5">
        <v>110.4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112</v>
      </c>
      <c r="D13310" s="5">
        <v>0.1</v>
      </c>
      <c r="E13310" s="5">
        <v>112.1</v>
      </c>
      <c r="F13310" s="5">
        <v>222.4</v>
      </c>
      <c r="G13310" s="5">
        <v>110.5</v>
      </c>
      <c r="H13310" s="5">
        <v>110.4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112</v>
      </c>
      <c r="D13311" s="5">
        <v>0.1</v>
      </c>
      <c r="E13311" s="5">
        <v>112.1</v>
      </c>
      <c r="F13311" s="5">
        <v>222.4</v>
      </c>
      <c r="G13311" s="5">
        <v>110.5</v>
      </c>
      <c r="H13311" s="5">
        <v>110.4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112</v>
      </c>
      <c r="D13312" s="5">
        <v>0.1</v>
      </c>
      <c r="E13312" s="5">
        <v>112.1</v>
      </c>
      <c r="F13312" s="5">
        <v>222.4</v>
      </c>
      <c r="G13312" s="5">
        <v>110.5</v>
      </c>
      <c r="H13312" s="5">
        <v>110.4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112</v>
      </c>
      <c r="D13313" s="5">
        <v>0.1</v>
      </c>
      <c r="E13313" s="5">
        <v>112.1</v>
      </c>
      <c r="F13313" s="5">
        <v>222.4</v>
      </c>
      <c r="G13313" s="5">
        <v>110.5</v>
      </c>
      <c r="H13313" s="5">
        <v>110.4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112</v>
      </c>
      <c r="D13314" s="5">
        <v>0.1</v>
      </c>
      <c r="E13314" s="5">
        <v>112.1</v>
      </c>
      <c r="F13314" s="5">
        <v>222.4</v>
      </c>
      <c r="G13314" s="5">
        <v>110.5</v>
      </c>
      <c r="H13314" s="5">
        <v>110.4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112</v>
      </c>
      <c r="D13315" s="5">
        <v>0.1</v>
      </c>
      <c r="E13315" s="5">
        <v>112.1</v>
      </c>
      <c r="F13315" s="5">
        <v>222.4</v>
      </c>
      <c r="G13315" s="5">
        <v>110.5</v>
      </c>
      <c r="H13315" s="5">
        <v>110.4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112</v>
      </c>
      <c r="D13316" s="5">
        <v>0.1</v>
      </c>
      <c r="E13316" s="5">
        <v>112.1</v>
      </c>
      <c r="F13316" s="5">
        <v>222.4</v>
      </c>
      <c r="G13316" s="5">
        <v>110.5</v>
      </c>
      <c r="H13316" s="5">
        <v>110.4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112</v>
      </c>
      <c r="D13317" s="5">
        <v>0.1</v>
      </c>
      <c r="E13317" s="5">
        <v>112.1</v>
      </c>
      <c r="F13317" s="5">
        <v>222.4</v>
      </c>
      <c r="G13317" s="5">
        <v>110.5</v>
      </c>
      <c r="H13317" s="5">
        <v>110.4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112</v>
      </c>
      <c r="D13318" s="5">
        <v>0.1</v>
      </c>
      <c r="E13318" s="5">
        <v>112.1</v>
      </c>
      <c r="F13318" s="5">
        <v>222.4</v>
      </c>
      <c r="G13318" s="5">
        <v>110.5</v>
      </c>
      <c r="H13318" s="5">
        <v>110.4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112</v>
      </c>
      <c r="D13319" s="5">
        <v>0.1</v>
      </c>
      <c r="E13319" s="5">
        <v>112.1</v>
      </c>
      <c r="F13319" s="5">
        <v>222.4</v>
      </c>
      <c r="G13319" s="5">
        <v>110.5</v>
      </c>
      <c r="H13319" s="5">
        <v>110.4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112</v>
      </c>
      <c r="D13320" s="5">
        <v>0.1</v>
      </c>
      <c r="E13320" s="5">
        <v>112.1</v>
      </c>
      <c r="F13320" s="5">
        <v>222.4</v>
      </c>
      <c r="G13320" s="5">
        <v>110.5</v>
      </c>
      <c r="H13320" s="5">
        <v>110.4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112</v>
      </c>
      <c r="D13321" s="5">
        <v>0.1</v>
      </c>
      <c r="E13321" s="5">
        <v>112.1</v>
      </c>
      <c r="F13321" s="5">
        <v>222.4</v>
      </c>
      <c r="G13321" s="5">
        <v>110.5</v>
      </c>
      <c r="H13321" s="5">
        <v>110.4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112</v>
      </c>
      <c r="D13322" s="5">
        <v>0.1</v>
      </c>
      <c r="E13322" s="5">
        <v>112.1</v>
      </c>
      <c r="F13322" s="5">
        <v>222.4</v>
      </c>
      <c r="G13322" s="5">
        <v>110.5</v>
      </c>
      <c r="H13322" s="5">
        <v>110.4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112</v>
      </c>
      <c r="D13323" s="5">
        <v>0.1</v>
      </c>
      <c r="E13323" s="5">
        <v>112.1</v>
      </c>
      <c r="F13323" s="5">
        <v>222.4</v>
      </c>
      <c r="G13323" s="5">
        <v>110.5</v>
      </c>
      <c r="H13323" s="5">
        <v>110.4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112</v>
      </c>
      <c r="D13324" s="5">
        <v>0.1</v>
      </c>
      <c r="E13324" s="5">
        <v>112.1</v>
      </c>
      <c r="F13324" s="5">
        <v>222.4</v>
      </c>
      <c r="G13324" s="5">
        <v>110.5</v>
      </c>
      <c r="H13324" s="5">
        <v>110.4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112</v>
      </c>
      <c r="D13325" s="5">
        <v>0.1</v>
      </c>
      <c r="E13325" s="5">
        <v>112.1</v>
      </c>
      <c r="F13325" s="5">
        <v>222.4</v>
      </c>
      <c r="G13325" s="5">
        <v>110.5</v>
      </c>
      <c r="H13325" s="5">
        <v>110.4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112</v>
      </c>
      <c r="D13326" s="5">
        <v>0.1</v>
      </c>
      <c r="E13326" s="5">
        <v>112.1</v>
      </c>
      <c r="F13326" s="5">
        <v>222.4</v>
      </c>
      <c r="G13326" s="5">
        <v>110.5</v>
      </c>
      <c r="H13326" s="5">
        <v>110.4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112</v>
      </c>
      <c r="D13327" s="5">
        <v>0.1</v>
      </c>
      <c r="E13327" s="5">
        <v>112.1</v>
      </c>
      <c r="F13327" s="5">
        <v>222.4</v>
      </c>
      <c r="G13327" s="5">
        <v>110.5</v>
      </c>
      <c r="H13327" s="5">
        <v>110.4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112</v>
      </c>
      <c r="D13328" s="5">
        <v>0.1</v>
      </c>
      <c r="E13328" s="5">
        <v>112.1</v>
      </c>
      <c r="F13328" s="5">
        <v>222.4</v>
      </c>
      <c r="G13328" s="5">
        <v>110.5</v>
      </c>
      <c r="H13328" s="5">
        <v>110.4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112</v>
      </c>
      <c r="D13329" s="5">
        <v>0.1</v>
      </c>
      <c r="E13329" s="5">
        <v>112.1</v>
      </c>
      <c r="F13329" s="5">
        <v>222.4</v>
      </c>
      <c r="G13329" s="5">
        <v>110.5</v>
      </c>
      <c r="H13329" s="5">
        <v>110.4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112</v>
      </c>
      <c r="D13330" s="5">
        <v>0.1</v>
      </c>
      <c r="E13330" s="5">
        <v>112.1</v>
      </c>
      <c r="F13330" s="5">
        <v>222.4</v>
      </c>
      <c r="G13330" s="5">
        <v>110.5</v>
      </c>
      <c r="H13330" s="5">
        <v>110.4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112</v>
      </c>
      <c r="D13331" s="5">
        <v>0.1</v>
      </c>
      <c r="E13331" s="5">
        <v>112.1</v>
      </c>
      <c r="F13331" s="5">
        <v>222.4</v>
      </c>
      <c r="G13331" s="5">
        <v>110.5</v>
      </c>
      <c r="H13331" s="5">
        <v>110.4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112</v>
      </c>
      <c r="D13332" s="5">
        <v>0.1</v>
      </c>
      <c r="E13332" s="5">
        <v>112.1</v>
      </c>
      <c r="F13332" s="5">
        <v>222.4</v>
      </c>
      <c r="G13332" s="5">
        <v>110.5</v>
      </c>
      <c r="H13332" s="5">
        <v>110.4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112</v>
      </c>
      <c r="D13333" s="5">
        <v>0.1</v>
      </c>
      <c r="E13333" s="5">
        <v>112.1</v>
      </c>
      <c r="F13333" s="5">
        <v>222.4</v>
      </c>
      <c r="G13333" s="5">
        <v>110.5</v>
      </c>
      <c r="H13333" s="5">
        <v>110.4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112</v>
      </c>
      <c r="D13334" s="5">
        <v>0.1</v>
      </c>
      <c r="E13334" s="5">
        <v>112.1</v>
      </c>
      <c r="F13334" s="5">
        <v>222.4</v>
      </c>
      <c r="G13334" s="5">
        <v>110.5</v>
      </c>
      <c r="H13334" s="5">
        <v>110.4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112</v>
      </c>
      <c r="D13335" s="5">
        <v>0.1</v>
      </c>
      <c r="E13335" s="5">
        <v>112.1</v>
      </c>
      <c r="F13335" s="5">
        <v>222.4</v>
      </c>
      <c r="G13335" s="5">
        <v>110.5</v>
      </c>
      <c r="H13335" s="5">
        <v>110.4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112</v>
      </c>
      <c r="D13336" s="5">
        <v>0.1</v>
      </c>
      <c r="E13336" s="5">
        <v>112.1</v>
      </c>
      <c r="F13336" s="5">
        <v>222.4</v>
      </c>
      <c r="G13336" s="5">
        <v>110.5</v>
      </c>
      <c r="H13336" s="5">
        <v>110.4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112</v>
      </c>
      <c r="D13337" s="5">
        <v>0.1</v>
      </c>
      <c r="E13337" s="5">
        <v>112.1</v>
      </c>
      <c r="F13337" s="5">
        <v>222.4</v>
      </c>
      <c r="G13337" s="5">
        <v>110.5</v>
      </c>
      <c r="H13337" s="5">
        <v>110.4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112</v>
      </c>
      <c r="D13338" s="5">
        <v>0.1</v>
      </c>
      <c r="E13338" s="5">
        <v>112.1</v>
      </c>
      <c r="F13338" s="5">
        <v>222.4</v>
      </c>
      <c r="G13338" s="5">
        <v>110.5</v>
      </c>
      <c r="H13338" s="5">
        <v>110.4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112</v>
      </c>
      <c r="D13339" s="5">
        <v>0.1</v>
      </c>
      <c r="E13339" s="5">
        <v>112.1</v>
      </c>
      <c r="F13339" s="5">
        <v>222.4</v>
      </c>
      <c r="G13339" s="5">
        <v>110.5</v>
      </c>
      <c r="H13339" s="5">
        <v>110.4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112</v>
      </c>
      <c r="D13340" s="5">
        <v>0.1</v>
      </c>
      <c r="E13340" s="5">
        <v>112.1</v>
      </c>
      <c r="F13340" s="5">
        <v>222.4</v>
      </c>
      <c r="G13340" s="5">
        <v>110.5</v>
      </c>
      <c r="H13340" s="5">
        <v>110.4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112</v>
      </c>
      <c r="D13341" s="5">
        <v>0.1</v>
      </c>
      <c r="E13341" s="5">
        <v>112.1</v>
      </c>
      <c r="F13341" s="5">
        <v>222.4</v>
      </c>
      <c r="G13341" s="5">
        <v>110.5</v>
      </c>
      <c r="H13341" s="5">
        <v>110.4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112</v>
      </c>
      <c r="D13342" s="5">
        <v>0.1</v>
      </c>
      <c r="E13342" s="5">
        <v>112.1</v>
      </c>
      <c r="F13342" s="5">
        <v>222.4</v>
      </c>
      <c r="G13342" s="5">
        <v>110.5</v>
      </c>
      <c r="H13342" s="5">
        <v>110.4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112</v>
      </c>
      <c r="D13343" s="5">
        <v>0.1</v>
      </c>
      <c r="E13343" s="5">
        <v>112.1</v>
      </c>
      <c r="F13343" s="5">
        <v>222.4</v>
      </c>
      <c r="G13343" s="5">
        <v>110.5</v>
      </c>
      <c r="H13343" s="5">
        <v>110.4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112</v>
      </c>
      <c r="D13344" s="5">
        <v>0.1</v>
      </c>
      <c r="E13344" s="5">
        <v>112.1</v>
      </c>
      <c r="F13344" s="5">
        <v>222.4</v>
      </c>
      <c r="G13344" s="5">
        <v>110.5</v>
      </c>
      <c r="H13344" s="5">
        <v>110.4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112</v>
      </c>
      <c r="D13345" s="5">
        <v>0.1</v>
      </c>
      <c r="E13345" s="5">
        <v>112.1</v>
      </c>
      <c r="F13345" s="5">
        <v>222.4</v>
      </c>
      <c r="G13345" s="5">
        <v>110.5</v>
      </c>
      <c r="H13345" s="5">
        <v>110.4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112</v>
      </c>
      <c r="D13346" s="5">
        <v>0.1</v>
      </c>
      <c r="E13346" s="5">
        <v>112.1</v>
      </c>
      <c r="F13346" s="5">
        <v>222.4</v>
      </c>
      <c r="G13346" s="5">
        <v>110.5</v>
      </c>
      <c r="H13346" s="5">
        <v>110.4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112</v>
      </c>
      <c r="D13347" s="5">
        <v>0.1</v>
      </c>
      <c r="E13347" s="5">
        <v>112.1</v>
      </c>
      <c r="F13347" s="5">
        <v>222.4</v>
      </c>
      <c r="G13347" s="5">
        <v>110.5</v>
      </c>
      <c r="H13347" s="5">
        <v>110.4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112</v>
      </c>
      <c r="D13348" s="5">
        <v>0.1</v>
      </c>
      <c r="E13348" s="5">
        <v>112.1</v>
      </c>
      <c r="F13348" s="5">
        <v>222.4</v>
      </c>
      <c r="G13348" s="5">
        <v>110.5</v>
      </c>
      <c r="H13348" s="5">
        <v>110.4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112</v>
      </c>
      <c r="D13349" s="5">
        <v>0.1</v>
      </c>
      <c r="E13349" s="5">
        <v>112.1</v>
      </c>
      <c r="F13349" s="5">
        <v>222.4</v>
      </c>
      <c r="G13349" s="5">
        <v>110.5</v>
      </c>
      <c r="H13349" s="5">
        <v>110.4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112</v>
      </c>
      <c r="D13350" s="5">
        <v>0.1</v>
      </c>
      <c r="E13350" s="5">
        <v>112.1</v>
      </c>
      <c r="F13350" s="5">
        <v>222.4</v>
      </c>
      <c r="G13350" s="5">
        <v>110.5</v>
      </c>
      <c r="H13350" s="5">
        <v>110.4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112</v>
      </c>
      <c r="D13351" s="5">
        <v>0.1</v>
      </c>
      <c r="E13351" s="5">
        <v>112.1</v>
      </c>
      <c r="F13351" s="5">
        <v>222.4</v>
      </c>
      <c r="G13351" s="5">
        <v>110.5</v>
      </c>
      <c r="H13351" s="5">
        <v>110.4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112</v>
      </c>
      <c r="D13352" s="5">
        <v>0.1</v>
      </c>
      <c r="E13352" s="5">
        <v>112.1</v>
      </c>
      <c r="F13352" s="5">
        <v>222.4</v>
      </c>
      <c r="G13352" s="5">
        <v>110.5</v>
      </c>
      <c r="H13352" s="5">
        <v>110.4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112</v>
      </c>
      <c r="D13353" s="5">
        <v>0.1</v>
      </c>
      <c r="E13353" s="5">
        <v>112.1</v>
      </c>
      <c r="F13353" s="5">
        <v>222.4</v>
      </c>
      <c r="G13353" s="5">
        <v>110.5</v>
      </c>
      <c r="H13353" s="5">
        <v>110.4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112</v>
      </c>
      <c r="D13354" s="5">
        <v>0.1</v>
      </c>
      <c r="E13354" s="5">
        <v>112.1</v>
      </c>
      <c r="F13354" s="5">
        <v>222.4</v>
      </c>
      <c r="G13354" s="5">
        <v>110.5</v>
      </c>
      <c r="H13354" s="5">
        <v>110.4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112</v>
      </c>
      <c r="D13355" s="5">
        <v>0.1</v>
      </c>
      <c r="E13355" s="5">
        <v>112.1</v>
      </c>
      <c r="F13355" s="5">
        <v>222.4</v>
      </c>
      <c r="G13355" s="5">
        <v>110.5</v>
      </c>
      <c r="H13355" s="5">
        <v>110.4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112</v>
      </c>
      <c r="D13356" s="5">
        <v>0.1</v>
      </c>
      <c r="E13356" s="5">
        <v>112.1</v>
      </c>
      <c r="F13356" s="5">
        <v>222.4</v>
      </c>
      <c r="G13356" s="5">
        <v>110.5</v>
      </c>
      <c r="H13356" s="5">
        <v>110.4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112</v>
      </c>
      <c r="D13357" s="5">
        <v>0.1</v>
      </c>
      <c r="E13357" s="5">
        <v>112.1</v>
      </c>
      <c r="F13357" s="5">
        <v>222.4</v>
      </c>
      <c r="G13357" s="5">
        <v>110.5</v>
      </c>
      <c r="H13357" s="5">
        <v>110.4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112</v>
      </c>
      <c r="D13358" s="5">
        <v>0.1</v>
      </c>
      <c r="E13358" s="5">
        <v>112.1</v>
      </c>
      <c r="F13358" s="5">
        <v>222.4</v>
      </c>
      <c r="G13358" s="5">
        <v>110.5</v>
      </c>
      <c r="H13358" s="5">
        <v>110.4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112</v>
      </c>
      <c r="D13359" s="5">
        <v>0.1</v>
      </c>
      <c r="E13359" s="5">
        <v>112.1</v>
      </c>
      <c r="F13359" s="5">
        <v>222.4</v>
      </c>
      <c r="G13359" s="5">
        <v>110.5</v>
      </c>
      <c r="H13359" s="5">
        <v>110.4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112</v>
      </c>
      <c r="D13360" s="5">
        <v>0.1</v>
      </c>
      <c r="E13360" s="5">
        <v>112.1</v>
      </c>
      <c r="F13360" s="5">
        <v>222.4</v>
      </c>
      <c r="G13360" s="5">
        <v>110.5</v>
      </c>
      <c r="H13360" s="5">
        <v>110.4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112</v>
      </c>
      <c r="D13361" s="5">
        <v>0.1</v>
      </c>
      <c r="E13361" s="5">
        <v>112.1</v>
      </c>
      <c r="F13361" s="5">
        <v>222.4</v>
      </c>
      <c r="G13361" s="5">
        <v>110.5</v>
      </c>
      <c r="H13361" s="5">
        <v>110.4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112</v>
      </c>
      <c r="D13362" s="5">
        <v>0.1</v>
      </c>
      <c r="E13362" s="5">
        <v>112.1</v>
      </c>
      <c r="F13362" s="5">
        <v>222.4</v>
      </c>
      <c r="G13362" s="5">
        <v>110.5</v>
      </c>
      <c r="H13362" s="5">
        <v>110.4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112</v>
      </c>
      <c r="D13363" s="5">
        <v>0.1</v>
      </c>
      <c r="E13363" s="5">
        <v>112.1</v>
      </c>
      <c r="F13363" s="5">
        <v>222.4</v>
      </c>
      <c r="G13363" s="5">
        <v>110.5</v>
      </c>
      <c r="H13363" s="5">
        <v>110.4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112</v>
      </c>
      <c r="D13364" s="5">
        <v>0.1</v>
      </c>
      <c r="E13364" s="5">
        <v>112.1</v>
      </c>
      <c r="F13364" s="5">
        <v>222.4</v>
      </c>
      <c r="G13364" s="5">
        <v>110.5</v>
      </c>
      <c r="H13364" s="5">
        <v>110.4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112</v>
      </c>
      <c r="D13365" s="5">
        <v>0.1</v>
      </c>
      <c r="E13365" s="5">
        <v>112.1</v>
      </c>
      <c r="F13365" s="5">
        <v>222.4</v>
      </c>
      <c r="G13365" s="5">
        <v>110.5</v>
      </c>
      <c r="H13365" s="5">
        <v>110.4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112</v>
      </c>
      <c r="D13366" s="5">
        <v>0.1</v>
      </c>
      <c r="E13366" s="5">
        <v>112.1</v>
      </c>
      <c r="F13366" s="5">
        <v>222.4</v>
      </c>
      <c r="G13366" s="5">
        <v>110.5</v>
      </c>
      <c r="H13366" s="5">
        <v>110.4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112</v>
      </c>
      <c r="D13367" s="5">
        <v>0.1</v>
      </c>
      <c r="E13367" s="5">
        <v>112.1</v>
      </c>
      <c r="F13367" s="5">
        <v>222.4</v>
      </c>
      <c r="G13367" s="5">
        <v>110.5</v>
      </c>
      <c r="H13367" s="5">
        <v>110.4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112</v>
      </c>
      <c r="D13368" s="5">
        <v>0.1</v>
      </c>
      <c r="E13368" s="5">
        <v>112.1</v>
      </c>
      <c r="F13368" s="5">
        <v>222.4</v>
      </c>
      <c r="G13368" s="5">
        <v>110.5</v>
      </c>
      <c r="H13368" s="5">
        <v>110.4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112</v>
      </c>
      <c r="D13369" s="5">
        <v>0.1</v>
      </c>
      <c r="E13369" s="5">
        <v>112.1</v>
      </c>
      <c r="F13369" s="5">
        <v>222.4</v>
      </c>
      <c r="G13369" s="5">
        <v>110.5</v>
      </c>
      <c r="H13369" s="5">
        <v>110.4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112</v>
      </c>
      <c r="D13370" s="5">
        <v>0.1</v>
      </c>
      <c r="E13370" s="5">
        <v>112.1</v>
      </c>
      <c r="F13370" s="5">
        <v>222.4</v>
      </c>
      <c r="G13370" s="5">
        <v>110.5</v>
      </c>
      <c r="H13370" s="5">
        <v>110.4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112</v>
      </c>
      <c r="D13371" s="5">
        <v>0.1</v>
      </c>
      <c r="E13371" s="5">
        <v>112.1</v>
      </c>
      <c r="F13371" s="5">
        <v>222.4</v>
      </c>
      <c r="G13371" s="5">
        <v>110.5</v>
      </c>
      <c r="H13371" s="5">
        <v>110.4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112</v>
      </c>
      <c r="D13372" s="5">
        <v>0.1</v>
      </c>
      <c r="E13372" s="5">
        <v>112.1</v>
      </c>
      <c r="F13372" s="5">
        <v>222.4</v>
      </c>
      <c r="G13372" s="5">
        <v>110.5</v>
      </c>
      <c r="H13372" s="5">
        <v>110.4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112</v>
      </c>
      <c r="D13373" s="5">
        <v>0.1</v>
      </c>
      <c r="E13373" s="5">
        <v>112.1</v>
      </c>
      <c r="F13373" s="5">
        <v>222.4</v>
      </c>
      <c r="G13373" s="5">
        <v>110.5</v>
      </c>
      <c r="H13373" s="5">
        <v>110.4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112</v>
      </c>
      <c r="D13374" s="5">
        <v>0.1</v>
      </c>
      <c r="E13374" s="5">
        <v>112.1</v>
      </c>
      <c r="F13374" s="5">
        <v>222.4</v>
      </c>
      <c r="G13374" s="5">
        <v>110.5</v>
      </c>
      <c r="H13374" s="5">
        <v>110.4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112</v>
      </c>
      <c r="D13375" s="5">
        <v>0.1</v>
      </c>
      <c r="E13375" s="5">
        <v>112.1</v>
      </c>
      <c r="F13375" s="5">
        <v>222.4</v>
      </c>
      <c r="G13375" s="5">
        <v>110.5</v>
      </c>
      <c r="H13375" s="5">
        <v>110.4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112</v>
      </c>
      <c r="D13376" s="5">
        <v>0.1</v>
      </c>
      <c r="E13376" s="5">
        <v>112.1</v>
      </c>
      <c r="F13376" s="5">
        <v>222.4</v>
      </c>
      <c r="G13376" s="5">
        <v>110.5</v>
      </c>
      <c r="H13376" s="5">
        <v>110.4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112</v>
      </c>
      <c r="D13377" s="5">
        <v>0.1</v>
      </c>
      <c r="E13377" s="5">
        <v>112.1</v>
      </c>
      <c r="F13377" s="5">
        <v>222.4</v>
      </c>
      <c r="G13377" s="5">
        <v>110.5</v>
      </c>
      <c r="H13377" s="5">
        <v>110.4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112</v>
      </c>
      <c r="D13378" s="5">
        <v>0.1</v>
      </c>
      <c r="E13378" s="5">
        <v>112.1</v>
      </c>
      <c r="F13378" s="5">
        <v>222.4</v>
      </c>
      <c r="G13378" s="5">
        <v>110.5</v>
      </c>
      <c r="H13378" s="5">
        <v>110.4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112</v>
      </c>
      <c r="D13379" s="5">
        <v>0.1</v>
      </c>
      <c r="E13379" s="5">
        <v>112.1</v>
      </c>
      <c r="F13379" s="5">
        <v>222.4</v>
      </c>
      <c r="G13379" s="5">
        <v>110.5</v>
      </c>
      <c r="H13379" s="5">
        <v>110.4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112</v>
      </c>
      <c r="D13380" s="5">
        <v>0.1</v>
      </c>
      <c r="E13380" s="5">
        <v>112.1</v>
      </c>
      <c r="F13380" s="5">
        <v>222.4</v>
      </c>
      <c r="G13380" s="5">
        <v>110.5</v>
      </c>
      <c r="H13380" s="5">
        <v>110.4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112</v>
      </c>
      <c r="D13381" s="5">
        <v>0.1</v>
      </c>
      <c r="E13381" s="5">
        <v>112.1</v>
      </c>
      <c r="F13381" s="5">
        <v>222.4</v>
      </c>
      <c r="G13381" s="5">
        <v>110.5</v>
      </c>
      <c r="H13381" s="5">
        <v>110.4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112</v>
      </c>
      <c r="D13382" s="5">
        <v>0.1</v>
      </c>
      <c r="E13382" s="5">
        <v>112.1</v>
      </c>
      <c r="F13382" s="5">
        <v>222.4</v>
      </c>
      <c r="G13382" s="5">
        <v>110.5</v>
      </c>
      <c r="H13382" s="5">
        <v>110.4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112</v>
      </c>
      <c r="D13383" s="5">
        <v>0.1</v>
      </c>
      <c r="E13383" s="5">
        <v>112.1</v>
      </c>
      <c r="F13383" s="5">
        <v>222.4</v>
      </c>
      <c r="G13383" s="5">
        <v>110.5</v>
      </c>
      <c r="H13383" s="5">
        <v>110.4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112</v>
      </c>
      <c r="D13384" s="5">
        <v>0.1</v>
      </c>
      <c r="E13384" s="5">
        <v>112.1</v>
      </c>
      <c r="F13384" s="5">
        <v>222.4</v>
      </c>
      <c r="G13384" s="5">
        <v>110.5</v>
      </c>
      <c r="H13384" s="5">
        <v>110.4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112</v>
      </c>
      <c r="D13385" s="5">
        <v>0.1</v>
      </c>
      <c r="E13385" s="5">
        <v>112.1</v>
      </c>
      <c r="F13385" s="5">
        <v>222.4</v>
      </c>
      <c r="G13385" s="5">
        <v>110.5</v>
      </c>
      <c r="H13385" s="5">
        <v>110.4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112</v>
      </c>
      <c r="D13386" s="5">
        <v>0.1</v>
      </c>
      <c r="E13386" s="5">
        <v>112.1</v>
      </c>
      <c r="F13386" s="5">
        <v>222.4</v>
      </c>
      <c r="G13386" s="5">
        <v>110.5</v>
      </c>
      <c r="H13386" s="5">
        <v>110.4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112</v>
      </c>
      <c r="D13387" s="5">
        <v>0.1</v>
      </c>
      <c r="E13387" s="5">
        <v>112.1</v>
      </c>
      <c r="F13387" s="5">
        <v>222.4</v>
      </c>
      <c r="G13387" s="5">
        <v>110.5</v>
      </c>
      <c r="H13387" s="5">
        <v>110.4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112</v>
      </c>
      <c r="D13388" s="5">
        <v>0.1</v>
      </c>
      <c r="E13388" s="5">
        <v>112.1</v>
      </c>
      <c r="F13388" s="5">
        <v>222.4</v>
      </c>
      <c r="G13388" s="5">
        <v>110.5</v>
      </c>
      <c r="H13388" s="5">
        <v>110.4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112</v>
      </c>
      <c r="D13389" s="5">
        <v>0.1</v>
      </c>
      <c r="E13389" s="5">
        <v>112.1</v>
      </c>
      <c r="F13389" s="5">
        <v>222.4</v>
      </c>
      <c r="G13389" s="5">
        <v>110.5</v>
      </c>
      <c r="H13389" s="5">
        <v>110.4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112</v>
      </c>
      <c r="D13390" s="5">
        <v>0.1</v>
      </c>
      <c r="E13390" s="5">
        <v>112.1</v>
      </c>
      <c r="F13390" s="5">
        <v>222.4</v>
      </c>
      <c r="G13390" s="5">
        <v>110.5</v>
      </c>
      <c r="H13390" s="5">
        <v>110.4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112</v>
      </c>
      <c r="D13391" s="5">
        <v>0.1</v>
      </c>
      <c r="E13391" s="5">
        <v>112.1</v>
      </c>
      <c r="F13391" s="5">
        <v>222.4</v>
      </c>
      <c r="G13391" s="5">
        <v>110.5</v>
      </c>
      <c r="H13391" s="5">
        <v>110.4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112</v>
      </c>
      <c r="D13392" s="5">
        <v>0.1</v>
      </c>
      <c r="E13392" s="5">
        <v>112.1</v>
      </c>
      <c r="F13392" s="5">
        <v>222.4</v>
      </c>
      <c r="G13392" s="5">
        <v>110.5</v>
      </c>
      <c r="H13392" s="5">
        <v>110.4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112</v>
      </c>
      <c r="D13393" s="5">
        <v>0.1</v>
      </c>
      <c r="E13393" s="5">
        <v>112.1</v>
      </c>
      <c r="F13393" s="5">
        <v>222.4</v>
      </c>
      <c r="G13393" s="5">
        <v>110.5</v>
      </c>
      <c r="H13393" s="5">
        <v>110.4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112</v>
      </c>
      <c r="D13394" s="5">
        <v>0.1</v>
      </c>
      <c r="E13394" s="5">
        <v>112.1</v>
      </c>
      <c r="F13394" s="5">
        <v>222.4</v>
      </c>
      <c r="G13394" s="5">
        <v>110.5</v>
      </c>
      <c r="H13394" s="5">
        <v>110.4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112</v>
      </c>
      <c r="D13395" s="5">
        <v>0.1</v>
      </c>
      <c r="E13395" s="5">
        <v>112.1</v>
      </c>
      <c r="F13395" s="5">
        <v>222.4</v>
      </c>
      <c r="G13395" s="5">
        <v>110.5</v>
      </c>
      <c r="H13395" s="5">
        <v>110.4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112</v>
      </c>
      <c r="D13396" s="5">
        <v>0.1</v>
      </c>
      <c r="E13396" s="5">
        <v>112.1</v>
      </c>
      <c r="F13396" s="5">
        <v>222.4</v>
      </c>
      <c r="G13396" s="5">
        <v>110.5</v>
      </c>
      <c r="H13396" s="5">
        <v>110.4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112</v>
      </c>
      <c r="D13397" s="5">
        <v>0.1</v>
      </c>
      <c r="E13397" s="5">
        <v>112.1</v>
      </c>
      <c r="F13397" s="5">
        <v>222.4</v>
      </c>
      <c r="G13397" s="5">
        <v>110.5</v>
      </c>
      <c r="H13397" s="5">
        <v>110.4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112</v>
      </c>
      <c r="D13398" s="5">
        <v>0.1</v>
      </c>
      <c r="E13398" s="5">
        <v>112.1</v>
      </c>
      <c r="F13398" s="5">
        <v>222.4</v>
      </c>
      <c r="G13398" s="5">
        <v>110.5</v>
      </c>
      <c r="H13398" s="5">
        <v>110.4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112</v>
      </c>
      <c r="D13399" s="5">
        <v>0.1</v>
      </c>
      <c r="E13399" s="5">
        <v>112.1</v>
      </c>
      <c r="F13399" s="5">
        <v>222.4</v>
      </c>
      <c r="G13399" s="5">
        <v>110.5</v>
      </c>
      <c r="H13399" s="5">
        <v>110.4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112</v>
      </c>
      <c r="D13400" s="5">
        <v>0.1</v>
      </c>
      <c r="E13400" s="5">
        <v>112.1</v>
      </c>
      <c r="F13400" s="5">
        <v>222.4</v>
      </c>
      <c r="G13400" s="5">
        <v>110.5</v>
      </c>
      <c r="H13400" s="5">
        <v>110.4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112</v>
      </c>
      <c r="D13401" s="5">
        <v>0.1</v>
      </c>
      <c r="E13401" s="5">
        <v>112.1</v>
      </c>
      <c r="F13401" s="5">
        <v>222.4</v>
      </c>
      <c r="G13401" s="5">
        <v>110.5</v>
      </c>
      <c r="H13401" s="5">
        <v>110.4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112</v>
      </c>
      <c r="D13402" s="5">
        <v>0.1</v>
      </c>
      <c r="E13402" s="5">
        <v>112.1</v>
      </c>
      <c r="F13402" s="5">
        <v>222.4</v>
      </c>
      <c r="G13402" s="5">
        <v>110.5</v>
      </c>
      <c r="H13402" s="5">
        <v>110.4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112</v>
      </c>
      <c r="D13403" s="5">
        <v>0.1</v>
      </c>
      <c r="E13403" s="5">
        <v>112.1</v>
      </c>
      <c r="F13403" s="5">
        <v>222.4</v>
      </c>
      <c r="G13403" s="5">
        <v>110.5</v>
      </c>
      <c r="H13403" s="5">
        <v>110.4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112</v>
      </c>
      <c r="D13404" s="5">
        <v>0.1</v>
      </c>
      <c r="E13404" s="5">
        <v>112.1</v>
      </c>
      <c r="F13404" s="5">
        <v>222.4</v>
      </c>
      <c r="G13404" s="5">
        <v>110.5</v>
      </c>
      <c r="H13404" s="5">
        <v>110.4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112</v>
      </c>
      <c r="D13405" s="5">
        <v>0.1</v>
      </c>
      <c r="E13405" s="5">
        <v>112.1</v>
      </c>
      <c r="F13405" s="5">
        <v>222.4</v>
      </c>
      <c r="G13405" s="5">
        <v>110.5</v>
      </c>
      <c r="H13405" s="5">
        <v>110.4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112</v>
      </c>
      <c r="D13406" s="5">
        <v>0.1</v>
      </c>
      <c r="E13406" s="5">
        <v>112.1</v>
      </c>
      <c r="F13406" s="5">
        <v>222.4</v>
      </c>
      <c r="G13406" s="5">
        <v>110.5</v>
      </c>
      <c r="H13406" s="5">
        <v>110.4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112</v>
      </c>
      <c r="D13407" s="5">
        <v>0.1</v>
      </c>
      <c r="E13407" s="5">
        <v>112.1</v>
      </c>
      <c r="F13407" s="5">
        <v>222.4</v>
      </c>
      <c r="G13407" s="5">
        <v>110.5</v>
      </c>
      <c r="H13407" s="5">
        <v>110.4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112</v>
      </c>
      <c r="D13408" s="5">
        <v>0.1</v>
      </c>
      <c r="E13408" s="5">
        <v>112.1</v>
      </c>
      <c r="F13408" s="5">
        <v>222.4</v>
      </c>
      <c r="G13408" s="5">
        <v>110.5</v>
      </c>
      <c r="H13408" s="5">
        <v>110.4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112</v>
      </c>
      <c r="D13409" s="5">
        <v>0.1</v>
      </c>
      <c r="E13409" s="5">
        <v>112.1</v>
      </c>
      <c r="F13409" s="5">
        <v>222.4</v>
      </c>
      <c r="G13409" s="5">
        <v>110.5</v>
      </c>
      <c r="H13409" s="5">
        <v>110.4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112</v>
      </c>
      <c r="D13410" s="5">
        <v>0.1</v>
      </c>
      <c r="E13410" s="5">
        <v>112.1</v>
      </c>
      <c r="F13410" s="5">
        <v>222.4</v>
      </c>
      <c r="G13410" s="5">
        <v>110.5</v>
      </c>
      <c r="H13410" s="5">
        <v>110.4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112</v>
      </c>
      <c r="D13411" s="5">
        <v>0.1</v>
      </c>
      <c r="E13411" s="5">
        <v>112.1</v>
      </c>
      <c r="F13411" s="5">
        <v>222.4</v>
      </c>
      <c r="G13411" s="5">
        <v>110.5</v>
      </c>
      <c r="H13411" s="5">
        <v>110.4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112</v>
      </c>
      <c r="D13412" s="5">
        <v>0.1</v>
      </c>
      <c r="E13412" s="5">
        <v>112.1</v>
      </c>
      <c r="F13412" s="5">
        <v>222.4</v>
      </c>
      <c r="G13412" s="5">
        <v>110.5</v>
      </c>
      <c r="H13412" s="5">
        <v>110.4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112</v>
      </c>
      <c r="D13413" s="5">
        <v>0.1</v>
      </c>
      <c r="E13413" s="5">
        <v>112.1</v>
      </c>
      <c r="F13413" s="5">
        <v>222.4</v>
      </c>
      <c r="G13413" s="5">
        <v>110.5</v>
      </c>
      <c r="H13413" s="5">
        <v>110.4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112</v>
      </c>
      <c r="D13414" s="5">
        <v>0.1</v>
      </c>
      <c r="E13414" s="5">
        <v>112.1</v>
      </c>
      <c r="F13414" s="5">
        <v>222.4</v>
      </c>
      <c r="G13414" s="5">
        <v>110.5</v>
      </c>
      <c r="H13414" s="5">
        <v>110.4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112</v>
      </c>
      <c r="D13415" s="5">
        <v>0.1</v>
      </c>
      <c r="E13415" s="5">
        <v>112.1</v>
      </c>
      <c r="F13415" s="5">
        <v>222.4</v>
      </c>
      <c r="G13415" s="5">
        <v>110.5</v>
      </c>
      <c r="H13415" s="5">
        <v>110.4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112</v>
      </c>
      <c r="D13416" s="5">
        <v>0.1</v>
      </c>
      <c r="E13416" s="5">
        <v>112.1</v>
      </c>
      <c r="F13416" s="5">
        <v>222.4</v>
      </c>
      <c r="G13416" s="5">
        <v>110.5</v>
      </c>
      <c r="H13416" s="5">
        <v>110.4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112</v>
      </c>
      <c r="D13417" s="5">
        <v>0.1</v>
      </c>
      <c r="E13417" s="5">
        <v>112.1</v>
      </c>
      <c r="F13417" s="5">
        <v>222.4</v>
      </c>
      <c r="G13417" s="5">
        <v>110.5</v>
      </c>
      <c r="H13417" s="5">
        <v>110.4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112</v>
      </c>
      <c r="D13418" s="5">
        <v>0.1</v>
      </c>
      <c r="E13418" s="5">
        <v>112.1</v>
      </c>
      <c r="F13418" s="5">
        <v>222.4</v>
      </c>
      <c r="G13418" s="5">
        <v>110.5</v>
      </c>
      <c r="H13418" s="5">
        <v>110.4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112</v>
      </c>
      <c r="D13419" s="5">
        <v>0.1</v>
      </c>
      <c r="E13419" s="5">
        <v>112.1</v>
      </c>
      <c r="F13419" s="5">
        <v>222.4</v>
      </c>
      <c r="G13419" s="5">
        <v>110.5</v>
      </c>
      <c r="H13419" s="5">
        <v>110.4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112</v>
      </c>
      <c r="D13420" s="5">
        <v>0.1</v>
      </c>
      <c r="E13420" s="5">
        <v>112.1</v>
      </c>
      <c r="F13420" s="5">
        <v>222.4</v>
      </c>
      <c r="G13420" s="5">
        <v>110.5</v>
      </c>
      <c r="H13420" s="5">
        <v>110.4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112</v>
      </c>
      <c r="D13421" s="5">
        <v>0.1</v>
      </c>
      <c r="E13421" s="5">
        <v>112.1</v>
      </c>
      <c r="F13421" s="5">
        <v>222.4</v>
      </c>
      <c r="G13421" s="5">
        <v>110.5</v>
      </c>
      <c r="H13421" s="5">
        <v>110.4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112</v>
      </c>
      <c r="D13422" s="5">
        <v>0.1</v>
      </c>
      <c r="E13422" s="5">
        <v>112.1</v>
      </c>
      <c r="F13422" s="5">
        <v>222.4</v>
      </c>
      <c r="G13422" s="5">
        <v>110.5</v>
      </c>
      <c r="H13422" s="5">
        <v>110.4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112</v>
      </c>
      <c r="D13423" s="5">
        <v>0.1</v>
      </c>
      <c r="E13423" s="5">
        <v>112.1</v>
      </c>
      <c r="F13423" s="5">
        <v>222.4</v>
      </c>
      <c r="G13423" s="5">
        <v>110.5</v>
      </c>
      <c r="H13423" s="5">
        <v>110.4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112</v>
      </c>
      <c r="D13424" s="5">
        <v>0.1</v>
      </c>
      <c r="E13424" s="5">
        <v>112.1</v>
      </c>
      <c r="F13424" s="5">
        <v>222.4</v>
      </c>
      <c r="G13424" s="5">
        <v>110.5</v>
      </c>
      <c r="H13424" s="5">
        <v>110.4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112</v>
      </c>
      <c r="D13425" s="5">
        <v>0.1</v>
      </c>
      <c r="E13425" s="5">
        <v>112.1</v>
      </c>
      <c r="F13425" s="5">
        <v>222.4</v>
      </c>
      <c r="G13425" s="5">
        <v>110.5</v>
      </c>
      <c r="H13425" s="5">
        <v>110.4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112</v>
      </c>
      <c r="D13426" s="5">
        <v>0.1</v>
      </c>
      <c r="E13426" s="5">
        <v>112.1</v>
      </c>
      <c r="F13426" s="5">
        <v>222.4</v>
      </c>
      <c r="G13426" s="5">
        <v>110.5</v>
      </c>
      <c r="H13426" s="5">
        <v>110.4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112</v>
      </c>
      <c r="D13427" s="5">
        <v>0.1</v>
      </c>
      <c r="E13427" s="5">
        <v>112.1</v>
      </c>
      <c r="F13427" s="5">
        <v>222.4</v>
      </c>
      <c r="G13427" s="5">
        <v>110.5</v>
      </c>
      <c r="H13427" s="5">
        <v>110.4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112</v>
      </c>
      <c r="D13428" s="5">
        <v>0.1</v>
      </c>
      <c r="E13428" s="5">
        <v>112.1</v>
      </c>
      <c r="F13428" s="5">
        <v>222.4</v>
      </c>
      <c r="G13428" s="5">
        <v>110.5</v>
      </c>
      <c r="H13428" s="5">
        <v>110.4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112</v>
      </c>
      <c r="D13429" s="5">
        <v>0.1</v>
      </c>
      <c r="E13429" s="5">
        <v>112.1</v>
      </c>
      <c r="F13429" s="5">
        <v>222.4</v>
      </c>
      <c r="G13429" s="5">
        <v>110.5</v>
      </c>
      <c r="H13429" s="5">
        <v>110.4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112</v>
      </c>
      <c r="D13430" s="5">
        <v>0.1</v>
      </c>
      <c r="E13430" s="5">
        <v>112.1</v>
      </c>
      <c r="F13430" s="5">
        <v>222.4</v>
      </c>
      <c r="G13430" s="5">
        <v>110.5</v>
      </c>
      <c r="H13430" s="5">
        <v>110.4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112</v>
      </c>
      <c r="D13431" s="5">
        <v>0.1</v>
      </c>
      <c r="E13431" s="5">
        <v>112.1</v>
      </c>
      <c r="F13431" s="5">
        <v>222.4</v>
      </c>
      <c r="G13431" s="5">
        <v>110.5</v>
      </c>
      <c r="H13431" s="5">
        <v>110.4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112</v>
      </c>
      <c r="D13432" s="5">
        <v>0.1</v>
      </c>
      <c r="E13432" s="5">
        <v>112.1</v>
      </c>
      <c r="F13432" s="5">
        <v>222.4</v>
      </c>
      <c r="G13432" s="5">
        <v>110.5</v>
      </c>
      <c r="H13432" s="5">
        <v>110.4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112</v>
      </c>
      <c r="D13433" s="5">
        <v>0.1</v>
      </c>
      <c r="E13433" s="5">
        <v>112.1</v>
      </c>
      <c r="F13433" s="5">
        <v>222.4</v>
      </c>
      <c r="G13433" s="5">
        <v>110.5</v>
      </c>
      <c r="H13433" s="5">
        <v>110.4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112</v>
      </c>
      <c r="D13434" s="5">
        <v>0.1</v>
      </c>
      <c r="E13434" s="5">
        <v>112.1</v>
      </c>
      <c r="F13434" s="5">
        <v>222.4</v>
      </c>
      <c r="G13434" s="5">
        <v>110.5</v>
      </c>
      <c r="H13434" s="5">
        <v>110.4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112</v>
      </c>
      <c r="D13435" s="5">
        <v>0.1</v>
      </c>
      <c r="E13435" s="5">
        <v>112.1</v>
      </c>
      <c r="F13435" s="5">
        <v>222.4</v>
      </c>
      <c r="G13435" s="5">
        <v>110.5</v>
      </c>
      <c r="H13435" s="5">
        <v>110.4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112</v>
      </c>
      <c r="D13436" s="5">
        <v>0.1</v>
      </c>
      <c r="E13436" s="5">
        <v>112.1</v>
      </c>
      <c r="F13436" s="5">
        <v>222.4</v>
      </c>
      <c r="G13436" s="5">
        <v>110.5</v>
      </c>
      <c r="H13436" s="5">
        <v>110.4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112</v>
      </c>
      <c r="D13437" s="5">
        <v>0.1</v>
      </c>
      <c r="E13437" s="5">
        <v>112.1</v>
      </c>
      <c r="F13437" s="5">
        <v>222.4</v>
      </c>
      <c r="G13437" s="5">
        <v>110.5</v>
      </c>
      <c r="H13437" s="5">
        <v>110.4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112</v>
      </c>
      <c r="D13438" s="5">
        <v>0.1</v>
      </c>
      <c r="E13438" s="5">
        <v>112.1</v>
      </c>
      <c r="F13438" s="5">
        <v>222.4</v>
      </c>
      <c r="G13438" s="5">
        <v>110.5</v>
      </c>
      <c r="H13438" s="5">
        <v>110.4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112</v>
      </c>
      <c r="D13439" s="5">
        <v>0.1</v>
      </c>
      <c r="E13439" s="5">
        <v>112.1</v>
      </c>
      <c r="F13439" s="5">
        <v>222.4</v>
      </c>
      <c r="G13439" s="5">
        <v>110.5</v>
      </c>
      <c r="H13439" s="5">
        <v>110.4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112</v>
      </c>
      <c r="D13440" s="5">
        <v>0.1</v>
      </c>
      <c r="E13440" s="5">
        <v>112.1</v>
      </c>
      <c r="F13440" s="5">
        <v>222.4</v>
      </c>
      <c r="G13440" s="5">
        <v>110.5</v>
      </c>
      <c r="H13440" s="5">
        <v>110.4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112</v>
      </c>
      <c r="D13441" s="5">
        <v>0.1</v>
      </c>
      <c r="E13441" s="5">
        <v>112.1</v>
      </c>
      <c r="F13441" s="5">
        <v>222.4</v>
      </c>
      <c r="G13441" s="5">
        <v>110.5</v>
      </c>
      <c r="H13441" s="5">
        <v>110.4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112</v>
      </c>
      <c r="D13442" s="5">
        <v>0.1</v>
      </c>
      <c r="E13442" s="5">
        <v>112.1</v>
      </c>
      <c r="F13442" s="5">
        <v>222.4</v>
      </c>
      <c r="G13442" s="5">
        <v>110.5</v>
      </c>
      <c r="H13442" s="5">
        <v>110.4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112</v>
      </c>
      <c r="D13443" s="5">
        <v>0.1</v>
      </c>
      <c r="E13443" s="5">
        <v>112.1</v>
      </c>
      <c r="F13443" s="5">
        <v>222.4</v>
      </c>
      <c r="G13443" s="5">
        <v>110.5</v>
      </c>
      <c r="H13443" s="5">
        <v>110.4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112</v>
      </c>
      <c r="D13444" s="5">
        <v>0.1</v>
      </c>
      <c r="E13444" s="5">
        <v>112.1</v>
      </c>
      <c r="F13444" s="5">
        <v>222.4</v>
      </c>
      <c r="G13444" s="5">
        <v>110.5</v>
      </c>
      <c r="H13444" s="5">
        <v>110.4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112</v>
      </c>
      <c r="D13445" s="5">
        <v>0.1</v>
      </c>
      <c r="E13445" s="5">
        <v>112.1</v>
      </c>
      <c r="F13445" s="5">
        <v>222.4</v>
      </c>
      <c r="G13445" s="5">
        <v>110.5</v>
      </c>
      <c r="H13445" s="5">
        <v>110.4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112</v>
      </c>
      <c r="D13446" s="5">
        <v>0.1</v>
      </c>
      <c r="E13446" s="5">
        <v>112.1</v>
      </c>
      <c r="F13446" s="5">
        <v>222.4</v>
      </c>
      <c r="G13446" s="5">
        <v>110.5</v>
      </c>
      <c r="H13446" s="5">
        <v>110.4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112</v>
      </c>
      <c r="D13447" s="5">
        <v>0.1</v>
      </c>
      <c r="E13447" s="5">
        <v>112.1</v>
      </c>
      <c r="F13447" s="5">
        <v>222.4</v>
      </c>
      <c r="G13447" s="5">
        <v>110.5</v>
      </c>
      <c r="H13447" s="5">
        <v>110.4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112</v>
      </c>
      <c r="D13448" s="5">
        <v>0.1</v>
      </c>
      <c r="E13448" s="5">
        <v>112.1</v>
      </c>
      <c r="F13448" s="5">
        <v>222.4</v>
      </c>
      <c r="G13448" s="5">
        <v>110.5</v>
      </c>
      <c r="H13448" s="5">
        <v>110.4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112</v>
      </c>
      <c r="D13449" s="5">
        <v>0.1</v>
      </c>
      <c r="E13449" s="5">
        <v>112.1</v>
      </c>
      <c r="F13449" s="5">
        <v>222.4</v>
      </c>
      <c r="G13449" s="5">
        <v>110.5</v>
      </c>
      <c r="H13449" s="5">
        <v>110.4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112</v>
      </c>
      <c r="D13450" s="5">
        <v>0.1</v>
      </c>
      <c r="E13450" s="5">
        <v>112.1</v>
      </c>
      <c r="F13450" s="5">
        <v>222.4</v>
      </c>
      <c r="G13450" s="5">
        <v>110.5</v>
      </c>
      <c r="H13450" s="5">
        <v>110.4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112</v>
      </c>
      <c r="D13451" s="5">
        <v>0.1</v>
      </c>
      <c r="E13451" s="5">
        <v>112.1</v>
      </c>
      <c r="F13451" s="5">
        <v>222.4</v>
      </c>
      <c r="G13451" s="5">
        <v>110.5</v>
      </c>
      <c r="H13451" s="5">
        <v>110.4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112</v>
      </c>
      <c r="D13452" s="5">
        <v>0.1</v>
      </c>
      <c r="E13452" s="5">
        <v>112.1</v>
      </c>
      <c r="F13452" s="5">
        <v>222.4</v>
      </c>
      <c r="G13452" s="5">
        <v>110.5</v>
      </c>
      <c r="H13452" s="5">
        <v>110.4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112</v>
      </c>
      <c r="D13453" s="5">
        <v>0.1</v>
      </c>
      <c r="E13453" s="5">
        <v>112.1</v>
      </c>
      <c r="F13453" s="5">
        <v>222.4</v>
      </c>
      <c r="G13453" s="5">
        <v>110.5</v>
      </c>
      <c r="H13453" s="5">
        <v>110.4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112</v>
      </c>
      <c r="D13454" s="5">
        <v>0.1</v>
      </c>
      <c r="E13454" s="5">
        <v>112.1</v>
      </c>
      <c r="F13454" s="5">
        <v>222.4</v>
      </c>
      <c r="G13454" s="5">
        <v>110.5</v>
      </c>
      <c r="H13454" s="5">
        <v>110.4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112</v>
      </c>
      <c r="D13455" s="5">
        <v>0.1</v>
      </c>
      <c r="E13455" s="5">
        <v>112.1</v>
      </c>
      <c r="F13455" s="5">
        <v>222.4</v>
      </c>
      <c r="G13455" s="5">
        <v>110.5</v>
      </c>
      <c r="H13455" s="5">
        <v>110.4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112</v>
      </c>
      <c r="D13456" s="5">
        <v>0.1</v>
      </c>
      <c r="E13456" s="5">
        <v>112.1</v>
      </c>
      <c r="F13456" s="5">
        <v>222.4</v>
      </c>
      <c r="G13456" s="5">
        <v>110.5</v>
      </c>
      <c r="H13456" s="5">
        <v>110.4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112</v>
      </c>
      <c r="D13457" s="5">
        <v>0.1</v>
      </c>
      <c r="E13457" s="5">
        <v>112.1</v>
      </c>
      <c r="F13457" s="5">
        <v>222.4</v>
      </c>
      <c r="G13457" s="5">
        <v>110.5</v>
      </c>
      <c r="H13457" s="5">
        <v>110.4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112</v>
      </c>
      <c r="D13458" s="5">
        <v>0.1</v>
      </c>
      <c r="E13458" s="5">
        <v>112.1</v>
      </c>
      <c r="F13458" s="5">
        <v>222.4</v>
      </c>
      <c r="G13458" s="5">
        <v>110.5</v>
      </c>
      <c r="H13458" s="5">
        <v>110.4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112</v>
      </c>
      <c r="D13459" s="5">
        <v>0.1</v>
      </c>
      <c r="E13459" s="5">
        <v>112.1</v>
      </c>
      <c r="F13459" s="5">
        <v>222.4</v>
      </c>
      <c r="G13459" s="5">
        <v>110.5</v>
      </c>
      <c r="H13459" s="5">
        <v>110.4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112</v>
      </c>
      <c r="D13460" s="5">
        <v>0.1</v>
      </c>
      <c r="E13460" s="5">
        <v>112.1</v>
      </c>
      <c r="F13460" s="5">
        <v>222.4</v>
      </c>
      <c r="G13460" s="5">
        <v>110.5</v>
      </c>
      <c r="H13460" s="5">
        <v>110.4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112</v>
      </c>
      <c r="D13461" s="5">
        <v>0.1</v>
      </c>
      <c r="E13461" s="5">
        <v>112.1</v>
      </c>
      <c r="F13461" s="5">
        <v>222.4</v>
      </c>
      <c r="G13461" s="5">
        <v>110.5</v>
      </c>
      <c r="H13461" s="5">
        <v>110.4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112</v>
      </c>
      <c r="D13462" s="5">
        <v>0.1</v>
      </c>
      <c r="E13462" s="5">
        <v>112.1</v>
      </c>
      <c r="F13462" s="5">
        <v>222.4</v>
      </c>
      <c r="G13462" s="5">
        <v>110.5</v>
      </c>
      <c r="H13462" s="5">
        <v>110.4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112</v>
      </c>
      <c r="D13463" s="5">
        <v>0.1</v>
      </c>
      <c r="E13463" s="5">
        <v>112.1</v>
      </c>
      <c r="F13463" s="5">
        <v>222.4</v>
      </c>
      <c r="G13463" s="5">
        <v>110.5</v>
      </c>
      <c r="H13463" s="5">
        <v>110.4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112</v>
      </c>
      <c r="D13464" s="5">
        <v>0.1</v>
      </c>
      <c r="E13464" s="5">
        <v>112.1</v>
      </c>
      <c r="F13464" s="5">
        <v>222.4</v>
      </c>
      <c r="G13464" s="5">
        <v>110.5</v>
      </c>
      <c r="H13464" s="5">
        <v>110.4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112</v>
      </c>
      <c r="D13465" s="5">
        <v>0.1</v>
      </c>
      <c r="E13465" s="5">
        <v>112.1</v>
      </c>
      <c r="F13465" s="5">
        <v>222.4</v>
      </c>
      <c r="G13465" s="5">
        <v>110.5</v>
      </c>
      <c r="H13465" s="5">
        <v>110.4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112</v>
      </c>
      <c r="D13466" s="5">
        <v>0.1</v>
      </c>
      <c r="E13466" s="5">
        <v>112.1</v>
      </c>
      <c r="F13466" s="5">
        <v>222.4</v>
      </c>
      <c r="G13466" s="5">
        <v>110.5</v>
      </c>
      <c r="H13466" s="5">
        <v>110.4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112</v>
      </c>
      <c r="D13467" s="5">
        <v>0.1</v>
      </c>
      <c r="E13467" s="5">
        <v>112.1</v>
      </c>
      <c r="F13467" s="5">
        <v>222.4</v>
      </c>
      <c r="G13467" s="5">
        <v>110.5</v>
      </c>
      <c r="H13467" s="5">
        <v>110.4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112</v>
      </c>
      <c r="D13468" s="5">
        <v>0.1</v>
      </c>
      <c r="E13468" s="5">
        <v>112.1</v>
      </c>
      <c r="F13468" s="5">
        <v>222.4</v>
      </c>
      <c r="G13468" s="5">
        <v>110.5</v>
      </c>
      <c r="H13468" s="5">
        <v>110.4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112</v>
      </c>
      <c r="D13469" s="5">
        <v>0.1</v>
      </c>
      <c r="E13469" s="5">
        <v>112.1</v>
      </c>
      <c r="F13469" s="5">
        <v>222.4</v>
      </c>
      <c r="G13469" s="5">
        <v>110.5</v>
      </c>
      <c r="H13469" s="5">
        <v>110.4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112</v>
      </c>
      <c r="D13470" s="5">
        <v>0.1</v>
      </c>
      <c r="E13470" s="5">
        <v>112.1</v>
      </c>
      <c r="F13470" s="5">
        <v>222.4</v>
      </c>
      <c r="G13470" s="5">
        <v>110.5</v>
      </c>
      <c r="H13470" s="5">
        <v>110.4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112</v>
      </c>
      <c r="D13471" s="5">
        <v>0.1</v>
      </c>
      <c r="E13471" s="5">
        <v>112.1</v>
      </c>
      <c r="F13471" s="5">
        <v>222.4</v>
      </c>
      <c r="G13471" s="5">
        <v>110.5</v>
      </c>
      <c r="H13471" s="5">
        <v>110.4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112</v>
      </c>
      <c r="D13472" s="5">
        <v>0.1</v>
      </c>
      <c r="E13472" s="5">
        <v>112.1</v>
      </c>
      <c r="F13472" s="5">
        <v>222.4</v>
      </c>
      <c r="G13472" s="5">
        <v>110.5</v>
      </c>
      <c r="H13472" s="5">
        <v>110.4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112</v>
      </c>
      <c r="D13473" s="5">
        <v>0.1</v>
      </c>
      <c r="E13473" s="5">
        <v>112.1</v>
      </c>
      <c r="F13473" s="5">
        <v>222.4</v>
      </c>
      <c r="G13473" s="5">
        <v>110.5</v>
      </c>
      <c r="H13473" s="5">
        <v>110.4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112</v>
      </c>
      <c r="D13474" s="5">
        <v>0.1</v>
      </c>
      <c r="E13474" s="5">
        <v>112.1</v>
      </c>
      <c r="F13474" s="5">
        <v>222.4</v>
      </c>
      <c r="G13474" s="5">
        <v>110.5</v>
      </c>
      <c r="H13474" s="5">
        <v>110.4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112</v>
      </c>
      <c r="D13475" s="5">
        <v>0.1</v>
      </c>
      <c r="E13475" s="5">
        <v>112.1</v>
      </c>
      <c r="F13475" s="5">
        <v>222.4</v>
      </c>
      <c r="G13475" s="5">
        <v>110.5</v>
      </c>
      <c r="H13475" s="5">
        <v>110.4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112</v>
      </c>
      <c r="D13476" s="5">
        <v>0.1</v>
      </c>
      <c r="E13476" s="5">
        <v>112.1</v>
      </c>
      <c r="F13476" s="5">
        <v>222.4</v>
      </c>
      <c r="G13476" s="5">
        <v>110.5</v>
      </c>
      <c r="H13476" s="5">
        <v>110.4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112</v>
      </c>
      <c r="D13477" s="5">
        <v>0.1</v>
      </c>
      <c r="E13477" s="5">
        <v>112.1</v>
      </c>
      <c r="F13477" s="5">
        <v>222.4</v>
      </c>
      <c r="G13477" s="5">
        <v>110.5</v>
      </c>
      <c r="H13477" s="5">
        <v>110.4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112</v>
      </c>
      <c r="D13478" s="5">
        <v>0.1</v>
      </c>
      <c r="E13478" s="5">
        <v>112.1</v>
      </c>
      <c r="F13478" s="5">
        <v>222.4</v>
      </c>
      <c r="G13478" s="5">
        <v>110.5</v>
      </c>
      <c r="H13478" s="5">
        <v>110.4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112</v>
      </c>
      <c r="D13479" s="5">
        <v>0.1</v>
      </c>
      <c r="E13479" s="5">
        <v>112.1</v>
      </c>
      <c r="F13479" s="5">
        <v>222.4</v>
      </c>
      <c r="G13479" s="5">
        <v>110.5</v>
      </c>
      <c r="H13479" s="5">
        <v>110.4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112</v>
      </c>
      <c r="D13480" s="5">
        <v>0.1</v>
      </c>
      <c r="E13480" s="5">
        <v>112.1</v>
      </c>
      <c r="F13480" s="5">
        <v>222.4</v>
      </c>
      <c r="G13480" s="5">
        <v>110.5</v>
      </c>
      <c r="H13480" s="5">
        <v>110.4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112</v>
      </c>
      <c r="D13481" s="5">
        <v>0.1</v>
      </c>
      <c r="E13481" s="5">
        <v>112.1</v>
      </c>
      <c r="F13481" s="5">
        <v>222.4</v>
      </c>
      <c r="G13481" s="5">
        <v>110.5</v>
      </c>
      <c r="H13481" s="5">
        <v>110.4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112</v>
      </c>
      <c r="D13482" s="5">
        <v>0.1</v>
      </c>
      <c r="E13482" s="5">
        <v>112.1</v>
      </c>
      <c r="F13482" s="5">
        <v>222.4</v>
      </c>
      <c r="G13482" s="5">
        <v>110.5</v>
      </c>
      <c r="H13482" s="5">
        <v>110.4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112</v>
      </c>
      <c r="D13483" s="5">
        <v>0.1</v>
      </c>
      <c r="E13483" s="5">
        <v>112.1</v>
      </c>
      <c r="F13483" s="5">
        <v>222.4</v>
      </c>
      <c r="G13483" s="5">
        <v>110.5</v>
      </c>
      <c r="H13483" s="5">
        <v>110.4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112</v>
      </c>
      <c r="D13484" s="5">
        <v>0.1</v>
      </c>
      <c r="E13484" s="5">
        <v>112.1</v>
      </c>
      <c r="F13484" s="5">
        <v>222.4</v>
      </c>
      <c r="G13484" s="5">
        <v>110.5</v>
      </c>
      <c r="H13484" s="5">
        <v>110.4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112</v>
      </c>
      <c r="D13485" s="5">
        <v>0.1</v>
      </c>
      <c r="E13485" s="5">
        <v>112.1</v>
      </c>
      <c r="F13485" s="5">
        <v>222.4</v>
      </c>
      <c r="G13485" s="5">
        <v>110.5</v>
      </c>
      <c r="H13485" s="5">
        <v>110.4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112</v>
      </c>
      <c r="D13486" s="5">
        <v>0.1</v>
      </c>
      <c r="E13486" s="5">
        <v>112.1</v>
      </c>
      <c r="F13486" s="5">
        <v>222.4</v>
      </c>
      <c r="G13486" s="5">
        <v>110.5</v>
      </c>
      <c r="H13486" s="5">
        <v>110.4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112</v>
      </c>
      <c r="D13487" s="5">
        <v>0.1</v>
      </c>
      <c r="E13487" s="5">
        <v>112.1</v>
      </c>
      <c r="F13487" s="5">
        <v>222.4</v>
      </c>
      <c r="G13487" s="5">
        <v>110.5</v>
      </c>
      <c r="H13487" s="5">
        <v>110.4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112</v>
      </c>
      <c r="D13488" s="5">
        <v>0.1</v>
      </c>
      <c r="E13488" s="5">
        <v>112.1</v>
      </c>
      <c r="F13488" s="5">
        <v>222.4</v>
      </c>
      <c r="G13488" s="5">
        <v>110.5</v>
      </c>
      <c r="H13488" s="5">
        <v>110.4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112</v>
      </c>
      <c r="D13489" s="5">
        <v>0.1</v>
      </c>
      <c r="E13489" s="5">
        <v>112.1</v>
      </c>
      <c r="F13489" s="5">
        <v>222.4</v>
      </c>
      <c r="G13489" s="5">
        <v>110.5</v>
      </c>
      <c r="H13489" s="5">
        <v>110.4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112</v>
      </c>
      <c r="D13490" s="5">
        <v>0.1</v>
      </c>
      <c r="E13490" s="5">
        <v>112.1</v>
      </c>
      <c r="F13490" s="5">
        <v>222.4</v>
      </c>
      <c r="G13490" s="5">
        <v>110.5</v>
      </c>
      <c r="H13490" s="5">
        <v>110.4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112</v>
      </c>
      <c r="D13491" s="5">
        <v>0.1</v>
      </c>
      <c r="E13491" s="5">
        <v>112.1</v>
      </c>
      <c r="F13491" s="5">
        <v>222.4</v>
      </c>
      <c r="G13491" s="5">
        <v>110.5</v>
      </c>
      <c r="H13491" s="5">
        <v>110.4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112</v>
      </c>
      <c r="D13492" s="5">
        <v>0.1</v>
      </c>
      <c r="E13492" s="5">
        <v>112.1</v>
      </c>
      <c r="F13492" s="5">
        <v>222.4</v>
      </c>
      <c r="G13492" s="5">
        <v>110.5</v>
      </c>
      <c r="H13492" s="5">
        <v>110.4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112</v>
      </c>
      <c r="D13493" s="5">
        <v>0.1</v>
      </c>
      <c r="E13493" s="5">
        <v>112.1</v>
      </c>
      <c r="F13493" s="5">
        <v>222.4</v>
      </c>
      <c r="G13493" s="5">
        <v>110.5</v>
      </c>
      <c r="H13493" s="5">
        <v>110.4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112</v>
      </c>
      <c r="D13494" s="5">
        <v>0.1</v>
      </c>
      <c r="E13494" s="5">
        <v>112.1</v>
      </c>
      <c r="F13494" s="5">
        <v>222.4</v>
      </c>
      <c r="G13494" s="5">
        <v>110.5</v>
      </c>
      <c r="H13494" s="5">
        <v>110.4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112</v>
      </c>
      <c r="D13495" s="5">
        <v>0.1</v>
      </c>
      <c r="E13495" s="5">
        <v>112.1</v>
      </c>
      <c r="F13495" s="5">
        <v>222.4</v>
      </c>
      <c r="G13495" s="5">
        <v>110.5</v>
      </c>
      <c r="H13495" s="5">
        <v>110.4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112</v>
      </c>
      <c r="D13496" s="5">
        <v>0.1</v>
      </c>
      <c r="E13496" s="5">
        <v>112.1</v>
      </c>
      <c r="F13496" s="5">
        <v>222.4</v>
      </c>
      <c r="G13496" s="5">
        <v>110.5</v>
      </c>
      <c r="H13496" s="5">
        <v>110.4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112</v>
      </c>
      <c r="D13497" s="5">
        <v>0.1</v>
      </c>
      <c r="E13497" s="5">
        <v>112.1</v>
      </c>
      <c r="F13497" s="5">
        <v>222.4</v>
      </c>
      <c r="G13497" s="5">
        <v>110.5</v>
      </c>
      <c r="H13497" s="5">
        <v>110.4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112</v>
      </c>
      <c r="D13498" s="5">
        <v>0.1</v>
      </c>
      <c r="E13498" s="5">
        <v>112.1</v>
      </c>
      <c r="F13498" s="5">
        <v>222.4</v>
      </c>
      <c r="G13498" s="5">
        <v>110.5</v>
      </c>
      <c r="H13498" s="5">
        <v>110.4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112</v>
      </c>
      <c r="D13499" s="5">
        <v>0.1</v>
      </c>
      <c r="E13499" s="5">
        <v>112.1</v>
      </c>
      <c r="F13499" s="5">
        <v>222.4</v>
      </c>
      <c r="G13499" s="5">
        <v>110.5</v>
      </c>
      <c r="H13499" s="5">
        <v>110.4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112</v>
      </c>
      <c r="D13500" s="5">
        <v>0.1</v>
      </c>
      <c r="E13500" s="5">
        <v>112.1</v>
      </c>
      <c r="F13500" s="5">
        <v>222.4</v>
      </c>
      <c r="G13500" s="5">
        <v>110.5</v>
      </c>
      <c r="H13500" s="5">
        <v>110.4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112</v>
      </c>
      <c r="D13501" s="5">
        <v>0.1</v>
      </c>
      <c r="E13501" s="5">
        <v>112.1</v>
      </c>
      <c r="F13501" s="5">
        <v>222.4</v>
      </c>
      <c r="G13501" s="5">
        <v>110.5</v>
      </c>
      <c r="H13501" s="5">
        <v>110.4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112</v>
      </c>
      <c r="D13502" s="5">
        <v>0.1</v>
      </c>
      <c r="E13502" s="5">
        <v>112.1</v>
      </c>
      <c r="F13502" s="5">
        <v>222.4</v>
      </c>
      <c r="G13502" s="5">
        <v>110.5</v>
      </c>
      <c r="H13502" s="5">
        <v>110.4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112</v>
      </c>
      <c r="D13503" s="5">
        <v>0.1</v>
      </c>
      <c r="E13503" s="5">
        <v>112.1</v>
      </c>
      <c r="F13503" s="5">
        <v>222.4</v>
      </c>
      <c r="G13503" s="5">
        <v>110.5</v>
      </c>
      <c r="H13503" s="5">
        <v>110.4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112</v>
      </c>
      <c r="D13504" s="5">
        <v>0.1</v>
      </c>
      <c r="E13504" s="5">
        <v>112.1</v>
      </c>
      <c r="F13504" s="5">
        <v>222.4</v>
      </c>
      <c r="G13504" s="5">
        <v>110.5</v>
      </c>
      <c r="H13504" s="5">
        <v>110.4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112</v>
      </c>
      <c r="D13505" s="5">
        <v>0.1</v>
      </c>
      <c r="E13505" s="5">
        <v>112.1</v>
      </c>
      <c r="F13505" s="5">
        <v>222.4</v>
      </c>
      <c r="G13505" s="5">
        <v>110.5</v>
      </c>
      <c r="H13505" s="5">
        <v>110.4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112</v>
      </c>
      <c r="D13506" s="5">
        <v>0.1</v>
      </c>
      <c r="E13506" s="5">
        <v>112.1</v>
      </c>
      <c r="F13506" s="5">
        <v>222.4</v>
      </c>
      <c r="G13506" s="5">
        <v>110.5</v>
      </c>
      <c r="H13506" s="5">
        <v>110.4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112</v>
      </c>
      <c r="D13507" s="5">
        <v>0.1</v>
      </c>
      <c r="E13507" s="5">
        <v>112.1</v>
      </c>
      <c r="F13507" s="5">
        <v>222.4</v>
      </c>
      <c r="G13507" s="5">
        <v>110.5</v>
      </c>
      <c r="H13507" s="5">
        <v>110.4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112</v>
      </c>
      <c r="D13508" s="5">
        <v>0.1</v>
      </c>
      <c r="E13508" s="5">
        <v>112.1</v>
      </c>
      <c r="F13508" s="5">
        <v>222.4</v>
      </c>
      <c r="G13508" s="5">
        <v>110.5</v>
      </c>
      <c r="H13508" s="5">
        <v>110.4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112</v>
      </c>
      <c r="D13509" s="5">
        <v>0.1</v>
      </c>
      <c r="E13509" s="5">
        <v>112.1</v>
      </c>
      <c r="F13509" s="5">
        <v>222.4</v>
      </c>
      <c r="G13509" s="5">
        <v>110.5</v>
      </c>
      <c r="H13509" s="5">
        <v>110.4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112</v>
      </c>
      <c r="D13510" s="5">
        <v>0.1</v>
      </c>
      <c r="E13510" s="5">
        <v>112.1</v>
      </c>
      <c r="F13510" s="5">
        <v>222.4</v>
      </c>
      <c r="G13510" s="5">
        <v>110.5</v>
      </c>
      <c r="H13510" s="5">
        <v>110.4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112</v>
      </c>
      <c r="D13511" s="5">
        <v>0.1</v>
      </c>
      <c r="E13511" s="5">
        <v>112.1</v>
      </c>
      <c r="F13511" s="5">
        <v>222.4</v>
      </c>
      <c r="G13511" s="5">
        <v>110.5</v>
      </c>
      <c r="H13511" s="5">
        <v>110.4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112</v>
      </c>
      <c r="D13512" s="5">
        <v>0.1</v>
      </c>
      <c r="E13512" s="5">
        <v>112.1</v>
      </c>
      <c r="F13512" s="5">
        <v>222.4</v>
      </c>
      <c r="G13512" s="5">
        <v>110.5</v>
      </c>
      <c r="H13512" s="5">
        <v>110.4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112</v>
      </c>
      <c r="D13513" s="5">
        <v>0.1</v>
      </c>
      <c r="E13513" s="5">
        <v>112.1</v>
      </c>
      <c r="F13513" s="5">
        <v>222.4</v>
      </c>
      <c r="G13513" s="5">
        <v>110.5</v>
      </c>
      <c r="H13513" s="5">
        <v>110.4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112</v>
      </c>
      <c r="D13514" s="5">
        <v>0.1</v>
      </c>
      <c r="E13514" s="5">
        <v>112.1</v>
      </c>
      <c r="F13514" s="5">
        <v>222.4</v>
      </c>
      <c r="G13514" s="5">
        <v>110.5</v>
      </c>
      <c r="H13514" s="5">
        <v>110.4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112</v>
      </c>
      <c r="D13515" s="5">
        <v>0.1</v>
      </c>
      <c r="E13515" s="5">
        <v>112.1</v>
      </c>
      <c r="F13515" s="5">
        <v>222.4</v>
      </c>
      <c r="G13515" s="5">
        <v>110.5</v>
      </c>
      <c r="H13515" s="5">
        <v>110.4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112</v>
      </c>
      <c r="D13516" s="5">
        <v>0.1</v>
      </c>
      <c r="E13516" s="5">
        <v>112.1</v>
      </c>
      <c r="F13516" s="5">
        <v>222.4</v>
      </c>
      <c r="G13516" s="5">
        <v>110.5</v>
      </c>
      <c r="H13516" s="5">
        <v>110.4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112</v>
      </c>
      <c r="D13517" s="5">
        <v>0.1</v>
      </c>
      <c r="E13517" s="5">
        <v>112.1</v>
      </c>
      <c r="F13517" s="5">
        <v>222.4</v>
      </c>
      <c r="G13517" s="5">
        <v>110.5</v>
      </c>
      <c r="H13517" s="5">
        <v>110.4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112</v>
      </c>
      <c r="D13518" s="5">
        <v>0.1</v>
      </c>
      <c r="E13518" s="5">
        <v>112.1</v>
      </c>
      <c r="F13518" s="5">
        <v>222.4</v>
      </c>
      <c r="G13518" s="5">
        <v>110.5</v>
      </c>
      <c r="H13518" s="5">
        <v>110.4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112</v>
      </c>
      <c r="D13519" s="5">
        <v>0.1</v>
      </c>
      <c r="E13519" s="5">
        <v>112.1</v>
      </c>
      <c r="F13519" s="5">
        <v>222.4</v>
      </c>
      <c r="G13519" s="5">
        <v>110.5</v>
      </c>
      <c r="H13519" s="5">
        <v>110.4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112</v>
      </c>
      <c r="D13520" s="5">
        <v>0.1</v>
      </c>
      <c r="E13520" s="5">
        <v>112.1</v>
      </c>
      <c r="F13520" s="5">
        <v>222.4</v>
      </c>
      <c r="G13520" s="5">
        <v>110.5</v>
      </c>
      <c r="H13520" s="5">
        <v>110.4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112</v>
      </c>
      <c r="D13521" s="5">
        <v>0.1</v>
      </c>
      <c r="E13521" s="5">
        <v>112.1</v>
      </c>
      <c r="F13521" s="5">
        <v>222.4</v>
      </c>
      <c r="G13521" s="5">
        <v>110.5</v>
      </c>
      <c r="H13521" s="5">
        <v>110.4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112</v>
      </c>
      <c r="D13522" s="5">
        <v>0.1</v>
      </c>
      <c r="E13522" s="5">
        <v>112.1</v>
      </c>
      <c r="F13522" s="5">
        <v>222.4</v>
      </c>
      <c r="G13522" s="5">
        <v>110.5</v>
      </c>
      <c r="H13522" s="5">
        <v>110.4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112</v>
      </c>
      <c r="D13523" s="5">
        <v>0.1</v>
      </c>
      <c r="E13523" s="5">
        <v>112.1</v>
      </c>
      <c r="F13523" s="5">
        <v>222.4</v>
      </c>
      <c r="G13523" s="5">
        <v>110.5</v>
      </c>
      <c r="H13523" s="5">
        <v>110.4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112</v>
      </c>
      <c r="D13524" s="5">
        <v>0.1</v>
      </c>
      <c r="E13524" s="5">
        <v>112.1</v>
      </c>
      <c r="F13524" s="5">
        <v>222.4</v>
      </c>
      <c r="G13524" s="5">
        <v>110.5</v>
      </c>
      <c r="H13524" s="5">
        <v>110.4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112</v>
      </c>
      <c r="D13525" s="5">
        <v>0.1</v>
      </c>
      <c r="E13525" s="5">
        <v>112.1</v>
      </c>
      <c r="F13525" s="5">
        <v>222.4</v>
      </c>
      <c r="G13525" s="5">
        <v>110.5</v>
      </c>
      <c r="H13525" s="5">
        <v>110.4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112</v>
      </c>
      <c r="D13526" s="5">
        <v>0.1</v>
      </c>
      <c r="E13526" s="5">
        <v>112.1</v>
      </c>
      <c r="F13526" s="5">
        <v>222.4</v>
      </c>
      <c r="G13526" s="5">
        <v>110.5</v>
      </c>
      <c r="H13526" s="5">
        <v>110.4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112</v>
      </c>
      <c r="D13527" s="5">
        <v>0.1</v>
      </c>
      <c r="E13527" s="5">
        <v>112.1</v>
      </c>
      <c r="F13527" s="5">
        <v>222.4</v>
      </c>
      <c r="G13527" s="5">
        <v>110.5</v>
      </c>
      <c r="H13527" s="5">
        <v>110.4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112</v>
      </c>
      <c r="D13528" s="5">
        <v>0.1</v>
      </c>
      <c r="E13528" s="5">
        <v>112.1</v>
      </c>
      <c r="F13528" s="5">
        <v>222.4</v>
      </c>
      <c r="G13528" s="5">
        <v>110.5</v>
      </c>
      <c r="H13528" s="5">
        <v>110.4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112</v>
      </c>
      <c r="D13529" s="5">
        <v>0.1</v>
      </c>
      <c r="E13529" s="5">
        <v>112.1</v>
      </c>
      <c r="F13529" s="5">
        <v>222.4</v>
      </c>
      <c r="G13529" s="5">
        <v>110.5</v>
      </c>
      <c r="H13529" s="5">
        <v>110.4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112</v>
      </c>
      <c r="D13530" s="5">
        <v>0.1</v>
      </c>
      <c r="E13530" s="5">
        <v>112.1</v>
      </c>
      <c r="F13530" s="5">
        <v>222.4</v>
      </c>
      <c r="G13530" s="5">
        <v>110.5</v>
      </c>
      <c r="H13530" s="5">
        <v>110.4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112</v>
      </c>
      <c r="D13531" s="5">
        <v>0.1</v>
      </c>
      <c r="E13531" s="5">
        <v>112.1</v>
      </c>
      <c r="F13531" s="5">
        <v>222.4</v>
      </c>
      <c r="G13531" s="5">
        <v>110.5</v>
      </c>
      <c r="H13531" s="5">
        <v>110.4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112</v>
      </c>
      <c r="D13532" s="5">
        <v>0.1</v>
      </c>
      <c r="E13532" s="5">
        <v>112.1</v>
      </c>
      <c r="F13532" s="5">
        <v>222.4</v>
      </c>
      <c r="G13532" s="5">
        <v>110.5</v>
      </c>
      <c r="H13532" s="5">
        <v>110.4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112</v>
      </c>
      <c r="D13533" s="5">
        <v>0.1</v>
      </c>
      <c r="E13533" s="5">
        <v>112.1</v>
      </c>
      <c r="F13533" s="5">
        <v>222.4</v>
      </c>
      <c r="G13533" s="5">
        <v>110.5</v>
      </c>
      <c r="H13533" s="5">
        <v>110.4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112</v>
      </c>
      <c r="D13534" s="5">
        <v>0.1</v>
      </c>
      <c r="E13534" s="5">
        <v>112.1</v>
      </c>
      <c r="F13534" s="5">
        <v>222.4</v>
      </c>
      <c r="G13534" s="5">
        <v>110.5</v>
      </c>
      <c r="H13534" s="5">
        <v>110.4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112</v>
      </c>
      <c r="D13535" s="5">
        <v>0.1</v>
      </c>
      <c r="E13535" s="5">
        <v>112.1</v>
      </c>
      <c r="F13535" s="5">
        <v>222.4</v>
      </c>
      <c r="G13535" s="5">
        <v>110.5</v>
      </c>
      <c r="H13535" s="5">
        <v>110.4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112</v>
      </c>
      <c r="D13536" s="5">
        <v>0.1</v>
      </c>
      <c r="E13536" s="5">
        <v>112.1</v>
      </c>
      <c r="F13536" s="5">
        <v>222.4</v>
      </c>
      <c r="G13536" s="5">
        <v>110.5</v>
      </c>
      <c r="H13536" s="5">
        <v>110.4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112</v>
      </c>
      <c r="D13537" s="5">
        <v>0.1</v>
      </c>
      <c r="E13537" s="5">
        <v>112.1</v>
      </c>
      <c r="F13537" s="5">
        <v>222.4</v>
      </c>
      <c r="G13537" s="5">
        <v>110.5</v>
      </c>
      <c r="H13537" s="5">
        <v>110.4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112</v>
      </c>
      <c r="D13538" s="5">
        <v>0.1</v>
      </c>
      <c r="E13538" s="5">
        <v>112.1</v>
      </c>
      <c r="F13538" s="5">
        <v>222.4</v>
      </c>
      <c r="G13538" s="5">
        <v>110.5</v>
      </c>
      <c r="H13538" s="5">
        <v>110.4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112</v>
      </c>
      <c r="D13539" s="5">
        <v>0.1</v>
      </c>
      <c r="E13539" s="5">
        <v>112.1</v>
      </c>
      <c r="F13539" s="5">
        <v>222.4</v>
      </c>
      <c r="G13539" s="5">
        <v>110.5</v>
      </c>
      <c r="H13539" s="5">
        <v>110.4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112</v>
      </c>
      <c r="D13540" s="5">
        <v>0.1</v>
      </c>
      <c r="E13540" s="5">
        <v>112.1</v>
      </c>
      <c r="F13540" s="5">
        <v>222.4</v>
      </c>
      <c r="G13540" s="5">
        <v>110.5</v>
      </c>
      <c r="H13540" s="5">
        <v>110.4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112</v>
      </c>
      <c r="D13541" s="5">
        <v>0.1</v>
      </c>
      <c r="E13541" s="5">
        <v>112.1</v>
      </c>
      <c r="F13541" s="5">
        <v>222.4</v>
      </c>
      <c r="G13541" s="5">
        <v>110.5</v>
      </c>
      <c r="H13541" s="5">
        <v>110.4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112</v>
      </c>
      <c r="D13542" s="5">
        <v>0.1</v>
      </c>
      <c r="E13542" s="5">
        <v>112.1</v>
      </c>
      <c r="F13542" s="5">
        <v>222.4</v>
      </c>
      <c r="G13542" s="5">
        <v>110.5</v>
      </c>
      <c r="H13542" s="5">
        <v>110.4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112</v>
      </c>
      <c r="D13543" s="5">
        <v>0.1</v>
      </c>
      <c r="E13543" s="5">
        <v>112.1</v>
      </c>
      <c r="F13543" s="5">
        <v>222.4</v>
      </c>
      <c r="G13543" s="5">
        <v>110.5</v>
      </c>
      <c r="H13543" s="5">
        <v>110.4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112</v>
      </c>
      <c r="D13544" s="5">
        <v>0.1</v>
      </c>
      <c r="E13544" s="5">
        <v>112.1</v>
      </c>
      <c r="F13544" s="5">
        <v>222.4</v>
      </c>
      <c r="G13544" s="5">
        <v>110.5</v>
      </c>
      <c r="H13544" s="5">
        <v>110.4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112</v>
      </c>
      <c r="D13545" s="5">
        <v>0.1</v>
      </c>
      <c r="E13545" s="5">
        <v>112.1</v>
      </c>
      <c r="F13545" s="5">
        <v>222.4</v>
      </c>
      <c r="G13545" s="5">
        <v>110.5</v>
      </c>
      <c r="H13545" s="5">
        <v>110.4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112</v>
      </c>
      <c r="D13546" s="5">
        <v>0.1</v>
      </c>
      <c r="E13546" s="5">
        <v>112.1</v>
      </c>
      <c r="F13546" s="5">
        <v>222.4</v>
      </c>
      <c r="G13546" s="5">
        <v>110.5</v>
      </c>
      <c r="H13546" s="5">
        <v>110.4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112</v>
      </c>
      <c r="D13547" s="5">
        <v>0.1</v>
      </c>
      <c r="E13547" s="5">
        <v>112.1</v>
      </c>
      <c r="F13547" s="5">
        <v>222.4</v>
      </c>
      <c r="G13547" s="5">
        <v>110.5</v>
      </c>
      <c r="H13547" s="5">
        <v>110.4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112</v>
      </c>
      <c r="D13548" s="5">
        <v>0.1</v>
      </c>
      <c r="E13548" s="5">
        <v>112.1</v>
      </c>
      <c r="F13548" s="5">
        <v>222.4</v>
      </c>
      <c r="G13548" s="5">
        <v>110.5</v>
      </c>
      <c r="H13548" s="5">
        <v>110.4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112</v>
      </c>
      <c r="D13549" s="5">
        <v>0.1</v>
      </c>
      <c r="E13549" s="5">
        <v>112.1</v>
      </c>
      <c r="F13549" s="5">
        <v>222.4</v>
      </c>
      <c r="G13549" s="5">
        <v>110.5</v>
      </c>
      <c r="H13549" s="5">
        <v>110.4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112</v>
      </c>
      <c r="D13550" s="5">
        <v>0.1</v>
      </c>
      <c r="E13550" s="5">
        <v>112.1</v>
      </c>
      <c r="F13550" s="5">
        <v>222.4</v>
      </c>
      <c r="G13550" s="5">
        <v>110.5</v>
      </c>
      <c r="H13550" s="5">
        <v>110.4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112</v>
      </c>
      <c r="D13551" s="5">
        <v>0.1</v>
      </c>
      <c r="E13551" s="5">
        <v>112.1</v>
      </c>
      <c r="F13551" s="5">
        <v>222.4</v>
      </c>
      <c r="G13551" s="5">
        <v>110.5</v>
      </c>
      <c r="H13551" s="5">
        <v>110.4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112</v>
      </c>
      <c r="D13552" s="5">
        <v>0.1</v>
      </c>
      <c r="E13552" s="5">
        <v>112.1</v>
      </c>
      <c r="F13552" s="5">
        <v>222.4</v>
      </c>
      <c r="G13552" s="5">
        <v>110.5</v>
      </c>
      <c r="H13552" s="5">
        <v>110.4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112</v>
      </c>
      <c r="D13553" s="5">
        <v>0.1</v>
      </c>
      <c r="E13553" s="5">
        <v>112.1</v>
      </c>
      <c r="F13553" s="5">
        <v>222.4</v>
      </c>
      <c r="G13553" s="5">
        <v>110.5</v>
      </c>
      <c r="H13553" s="5">
        <v>110.4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112</v>
      </c>
      <c r="D13554" s="5">
        <v>0.1</v>
      </c>
      <c r="E13554" s="5">
        <v>112.1</v>
      </c>
      <c r="F13554" s="5">
        <v>222.4</v>
      </c>
      <c r="G13554" s="5">
        <v>110.5</v>
      </c>
      <c r="H13554" s="5">
        <v>110.4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112</v>
      </c>
      <c r="D13555" s="5">
        <v>0.1</v>
      </c>
      <c r="E13555" s="5">
        <v>112.1</v>
      </c>
      <c r="F13555" s="5">
        <v>222.4</v>
      </c>
      <c r="G13555" s="5">
        <v>110.5</v>
      </c>
      <c r="H13555" s="5">
        <v>110.4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112</v>
      </c>
      <c r="D13556" s="5">
        <v>0.1</v>
      </c>
      <c r="E13556" s="5">
        <v>112.1</v>
      </c>
      <c r="F13556" s="5">
        <v>222.4</v>
      </c>
      <c r="G13556" s="5">
        <v>110.5</v>
      </c>
      <c r="H13556" s="5">
        <v>110.4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112</v>
      </c>
      <c r="D13557" s="5">
        <v>0.1</v>
      </c>
      <c r="E13557" s="5">
        <v>112.1</v>
      </c>
      <c r="F13557" s="5">
        <v>222.4</v>
      </c>
      <c r="G13557" s="5">
        <v>110.5</v>
      </c>
      <c r="H13557" s="5">
        <v>110.4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112</v>
      </c>
      <c r="D13558" s="5">
        <v>0.1</v>
      </c>
      <c r="E13558" s="5">
        <v>112.1</v>
      </c>
      <c r="F13558" s="5">
        <v>222.4</v>
      </c>
      <c r="G13558" s="5">
        <v>110.5</v>
      </c>
      <c r="H13558" s="5">
        <v>110.4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112</v>
      </c>
      <c r="D13559" s="5">
        <v>0.1</v>
      </c>
      <c r="E13559" s="5">
        <v>112.1</v>
      </c>
      <c r="F13559" s="5">
        <v>222.4</v>
      </c>
      <c r="G13559" s="5">
        <v>110.5</v>
      </c>
      <c r="H13559" s="5">
        <v>110.4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112</v>
      </c>
      <c r="D13560" s="5">
        <v>0.1</v>
      </c>
      <c r="E13560" s="5">
        <v>112.1</v>
      </c>
      <c r="F13560" s="5">
        <v>222.4</v>
      </c>
      <c r="G13560" s="5">
        <v>110.5</v>
      </c>
      <c r="H13560" s="5">
        <v>110.4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112</v>
      </c>
      <c r="D13561" s="5">
        <v>0.1</v>
      </c>
      <c r="E13561" s="5">
        <v>112.1</v>
      </c>
      <c r="F13561" s="5">
        <v>222.4</v>
      </c>
      <c r="G13561" s="5">
        <v>110.5</v>
      </c>
      <c r="H13561" s="5">
        <v>110.4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112</v>
      </c>
      <c r="D13562" s="5">
        <v>0.1</v>
      </c>
      <c r="E13562" s="5">
        <v>112.1</v>
      </c>
      <c r="F13562" s="5">
        <v>222.4</v>
      </c>
      <c r="G13562" s="5">
        <v>110.5</v>
      </c>
      <c r="H13562" s="5">
        <v>110.4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112</v>
      </c>
      <c r="D13563" s="5">
        <v>0.1</v>
      </c>
      <c r="E13563" s="5">
        <v>112.1</v>
      </c>
      <c r="F13563" s="5">
        <v>222.4</v>
      </c>
      <c r="G13563" s="5">
        <v>110.5</v>
      </c>
      <c r="H13563" s="5">
        <v>110.4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112</v>
      </c>
      <c r="D13564" s="5">
        <v>0.1</v>
      </c>
      <c r="E13564" s="5">
        <v>112.1</v>
      </c>
      <c r="F13564" s="5">
        <v>222.4</v>
      </c>
      <c r="G13564" s="5">
        <v>110.5</v>
      </c>
      <c r="H13564" s="5">
        <v>110.4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112</v>
      </c>
      <c r="D13565" s="5">
        <v>0.1</v>
      </c>
      <c r="E13565" s="5">
        <v>112.1</v>
      </c>
      <c r="F13565" s="5">
        <v>222.4</v>
      </c>
      <c r="G13565" s="5">
        <v>110.5</v>
      </c>
      <c r="H13565" s="5">
        <v>110.4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112</v>
      </c>
      <c r="D13566" s="5">
        <v>0.1</v>
      </c>
      <c r="E13566" s="5">
        <v>112.1</v>
      </c>
      <c r="F13566" s="5">
        <v>222.4</v>
      </c>
      <c r="G13566" s="5">
        <v>110.5</v>
      </c>
      <c r="H13566" s="5">
        <v>110.4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112</v>
      </c>
      <c r="D13567" s="5">
        <v>0.1</v>
      </c>
      <c r="E13567" s="5">
        <v>112.1</v>
      </c>
      <c r="F13567" s="5">
        <v>222.4</v>
      </c>
      <c r="G13567" s="5">
        <v>110.5</v>
      </c>
      <c r="H13567" s="5">
        <v>110.4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112</v>
      </c>
      <c r="D13568" s="5">
        <v>0.1</v>
      </c>
      <c r="E13568" s="5">
        <v>112.1</v>
      </c>
      <c r="F13568" s="5">
        <v>222.4</v>
      </c>
      <c r="G13568" s="5">
        <v>110.5</v>
      </c>
      <c r="H13568" s="5">
        <v>110.4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112</v>
      </c>
      <c r="D13569" s="5">
        <v>0.1</v>
      </c>
      <c r="E13569" s="5">
        <v>112.1</v>
      </c>
      <c r="F13569" s="5">
        <v>222.4</v>
      </c>
      <c r="G13569" s="5">
        <v>110.5</v>
      </c>
      <c r="H13569" s="5">
        <v>110.4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112</v>
      </c>
      <c r="D13570" s="5">
        <v>0.1</v>
      </c>
      <c r="E13570" s="5">
        <v>112.1</v>
      </c>
      <c r="F13570" s="5">
        <v>222.4</v>
      </c>
      <c r="G13570" s="5">
        <v>110.5</v>
      </c>
      <c r="H13570" s="5">
        <v>110.4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112</v>
      </c>
      <c r="D13571" s="5">
        <v>0.1</v>
      </c>
      <c r="E13571" s="5">
        <v>112.1</v>
      </c>
      <c r="F13571" s="5">
        <v>222.4</v>
      </c>
      <c r="G13571" s="5">
        <v>110.5</v>
      </c>
      <c r="H13571" s="5">
        <v>110.4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112</v>
      </c>
      <c r="D13572" s="5">
        <v>0.1</v>
      </c>
      <c r="E13572" s="5">
        <v>112.1</v>
      </c>
      <c r="F13572" s="5">
        <v>222.4</v>
      </c>
      <c r="G13572" s="5">
        <v>110.5</v>
      </c>
      <c r="H13572" s="5">
        <v>110.4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112</v>
      </c>
      <c r="D13573" s="5">
        <v>0.1</v>
      </c>
      <c r="E13573" s="5">
        <v>112.1</v>
      </c>
      <c r="F13573" s="5">
        <v>222.4</v>
      </c>
      <c r="G13573" s="5">
        <v>110.5</v>
      </c>
      <c r="H13573" s="5">
        <v>110.4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112</v>
      </c>
      <c r="D13574" s="5">
        <v>0.1</v>
      </c>
      <c r="E13574" s="5">
        <v>112.1</v>
      </c>
      <c r="F13574" s="5">
        <v>222.4</v>
      </c>
      <c r="G13574" s="5">
        <v>110.5</v>
      </c>
      <c r="H13574" s="5">
        <v>110.4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112</v>
      </c>
      <c r="D13575" s="5">
        <v>0.1</v>
      </c>
      <c r="E13575" s="5">
        <v>112.1</v>
      </c>
      <c r="F13575" s="5">
        <v>222.4</v>
      </c>
      <c r="G13575" s="5">
        <v>110.5</v>
      </c>
      <c r="H13575" s="5">
        <v>110.4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112</v>
      </c>
      <c r="D13576" s="5">
        <v>0.1</v>
      </c>
      <c r="E13576" s="5">
        <v>112.1</v>
      </c>
      <c r="F13576" s="5">
        <v>222.4</v>
      </c>
      <c r="G13576" s="5">
        <v>110.5</v>
      </c>
      <c r="H13576" s="5">
        <v>110.4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112</v>
      </c>
      <c r="D13577" s="5">
        <v>0.1</v>
      </c>
      <c r="E13577" s="5">
        <v>112.1</v>
      </c>
      <c r="F13577" s="5">
        <v>222.4</v>
      </c>
      <c r="G13577" s="5">
        <v>110.5</v>
      </c>
      <c r="H13577" s="5">
        <v>110.4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112</v>
      </c>
      <c r="D13578" s="5">
        <v>0.1</v>
      </c>
      <c r="E13578" s="5">
        <v>112.1</v>
      </c>
      <c r="F13578" s="5">
        <v>222.4</v>
      </c>
      <c r="G13578" s="5">
        <v>110.5</v>
      </c>
      <c r="H13578" s="5">
        <v>110.4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112</v>
      </c>
      <c r="D13579" s="5">
        <v>0.1</v>
      </c>
      <c r="E13579" s="5">
        <v>112.1</v>
      </c>
      <c r="F13579" s="5">
        <v>222.4</v>
      </c>
      <c r="G13579" s="5">
        <v>110.5</v>
      </c>
      <c r="H13579" s="5">
        <v>110.4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112</v>
      </c>
      <c r="D13580" s="5">
        <v>0.1</v>
      </c>
      <c r="E13580" s="5">
        <v>112.1</v>
      </c>
      <c r="F13580" s="5">
        <v>222.4</v>
      </c>
      <c r="G13580" s="5">
        <v>110.5</v>
      </c>
      <c r="H13580" s="5">
        <v>110.4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112</v>
      </c>
      <c r="D13581" s="5">
        <v>0.1</v>
      </c>
      <c r="E13581" s="5">
        <v>112.1</v>
      </c>
      <c r="F13581" s="5">
        <v>222.4</v>
      </c>
      <c r="G13581" s="5">
        <v>110.5</v>
      </c>
      <c r="H13581" s="5">
        <v>110.4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112</v>
      </c>
      <c r="D13582" s="5">
        <v>0.1</v>
      </c>
      <c r="E13582" s="5">
        <v>112.1</v>
      </c>
      <c r="F13582" s="5">
        <v>222.4</v>
      </c>
      <c r="G13582" s="5">
        <v>110.5</v>
      </c>
      <c r="H13582" s="5">
        <v>110.4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112</v>
      </c>
      <c r="D13583" s="5">
        <v>0.1</v>
      </c>
      <c r="E13583" s="5">
        <v>112.1</v>
      </c>
      <c r="F13583" s="5">
        <v>222.4</v>
      </c>
      <c r="G13583" s="5">
        <v>110.5</v>
      </c>
      <c r="H13583" s="5">
        <v>110.4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112</v>
      </c>
      <c r="D13584" s="5">
        <v>0.1</v>
      </c>
      <c r="E13584" s="5">
        <v>112.1</v>
      </c>
      <c r="F13584" s="5">
        <v>222.4</v>
      </c>
      <c r="G13584" s="5">
        <v>110.5</v>
      </c>
      <c r="H13584" s="5">
        <v>110.4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112</v>
      </c>
      <c r="D13585" s="5">
        <v>0.1</v>
      </c>
      <c r="E13585" s="5">
        <v>112.1</v>
      </c>
      <c r="F13585" s="5">
        <v>222.4</v>
      </c>
      <c r="G13585" s="5">
        <v>110.5</v>
      </c>
      <c r="H13585" s="5">
        <v>110.4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112</v>
      </c>
      <c r="D13586" s="5">
        <v>0.1</v>
      </c>
      <c r="E13586" s="5">
        <v>112.1</v>
      </c>
      <c r="F13586" s="5">
        <v>222.4</v>
      </c>
      <c r="G13586" s="5">
        <v>110.5</v>
      </c>
      <c r="H13586" s="5">
        <v>110.4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112</v>
      </c>
      <c r="D13587" s="5">
        <v>0.1</v>
      </c>
      <c r="E13587" s="5">
        <v>112.1</v>
      </c>
      <c r="F13587" s="5">
        <v>222.4</v>
      </c>
      <c r="G13587" s="5">
        <v>110.5</v>
      </c>
      <c r="H13587" s="5">
        <v>110.4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112</v>
      </c>
      <c r="D13588" s="5">
        <v>0.1</v>
      </c>
      <c r="E13588" s="5">
        <v>112.1</v>
      </c>
      <c r="F13588" s="5">
        <v>222.4</v>
      </c>
      <c r="G13588" s="5">
        <v>110.5</v>
      </c>
      <c r="H13588" s="5">
        <v>110.4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112</v>
      </c>
      <c r="D13589" s="5">
        <v>0.1</v>
      </c>
      <c r="E13589" s="5">
        <v>112.1</v>
      </c>
      <c r="F13589" s="5">
        <v>222.4</v>
      </c>
      <c r="G13589" s="5">
        <v>110.5</v>
      </c>
      <c r="H13589" s="5">
        <v>110.4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112</v>
      </c>
      <c r="D13590" s="5">
        <v>0.1</v>
      </c>
      <c r="E13590" s="5">
        <v>112.1</v>
      </c>
      <c r="F13590" s="5">
        <v>222.4</v>
      </c>
      <c r="G13590" s="5">
        <v>110.5</v>
      </c>
      <c r="H13590" s="5">
        <v>110.4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112</v>
      </c>
      <c r="D13591" s="5">
        <v>0.1</v>
      </c>
      <c r="E13591" s="5">
        <v>112.1</v>
      </c>
      <c r="F13591" s="5">
        <v>222.4</v>
      </c>
      <c r="G13591" s="5">
        <v>110.5</v>
      </c>
      <c r="H13591" s="5">
        <v>110.4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112</v>
      </c>
      <c r="D13592" s="5">
        <v>0.1</v>
      </c>
      <c r="E13592" s="5">
        <v>112.1</v>
      </c>
      <c r="F13592" s="5">
        <v>222.4</v>
      </c>
      <c r="G13592" s="5">
        <v>110.5</v>
      </c>
      <c r="H13592" s="5">
        <v>110.4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112</v>
      </c>
      <c r="D13593" s="5">
        <v>0.1</v>
      </c>
      <c r="E13593" s="5">
        <v>112.1</v>
      </c>
      <c r="F13593" s="5">
        <v>222.4</v>
      </c>
      <c r="G13593" s="5">
        <v>110.5</v>
      </c>
      <c r="H13593" s="5">
        <v>110.4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112</v>
      </c>
      <c r="D13594" s="5">
        <v>0.1</v>
      </c>
      <c r="E13594" s="5">
        <v>112.1</v>
      </c>
      <c r="F13594" s="5">
        <v>222.4</v>
      </c>
      <c r="G13594" s="5">
        <v>110.5</v>
      </c>
      <c r="H13594" s="5">
        <v>110.4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112</v>
      </c>
      <c r="D13595" s="5">
        <v>0.1</v>
      </c>
      <c r="E13595" s="5">
        <v>112.1</v>
      </c>
      <c r="F13595" s="5">
        <v>222.4</v>
      </c>
      <c r="G13595" s="5">
        <v>110.5</v>
      </c>
      <c r="H13595" s="5">
        <v>110.4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112</v>
      </c>
      <c r="D13596" s="5">
        <v>0.1</v>
      </c>
      <c r="E13596" s="5">
        <v>112.1</v>
      </c>
      <c r="F13596" s="5">
        <v>222.4</v>
      </c>
      <c r="G13596" s="5">
        <v>110.5</v>
      </c>
      <c r="H13596" s="5">
        <v>110.4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112</v>
      </c>
      <c r="D13597" s="5">
        <v>0.1</v>
      </c>
      <c r="E13597" s="5">
        <v>112.1</v>
      </c>
      <c r="F13597" s="5">
        <v>222.4</v>
      </c>
      <c r="G13597" s="5">
        <v>110.5</v>
      </c>
      <c r="H13597" s="5">
        <v>110.4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112</v>
      </c>
      <c r="D13598" s="5">
        <v>0.1</v>
      </c>
      <c r="E13598" s="5">
        <v>112.1</v>
      </c>
      <c r="F13598" s="5">
        <v>222.4</v>
      </c>
      <c r="G13598" s="5">
        <v>110.5</v>
      </c>
      <c r="H13598" s="5">
        <v>110.4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112</v>
      </c>
      <c r="D13599" s="5">
        <v>0.1</v>
      </c>
      <c r="E13599" s="5">
        <v>112.1</v>
      </c>
      <c r="F13599" s="5">
        <v>222.4</v>
      </c>
      <c r="G13599" s="5">
        <v>110.5</v>
      </c>
      <c r="H13599" s="5">
        <v>110.4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112</v>
      </c>
      <c r="D13600" s="5">
        <v>0.1</v>
      </c>
      <c r="E13600" s="5">
        <v>112.1</v>
      </c>
      <c r="F13600" s="5">
        <v>222.4</v>
      </c>
      <c r="G13600" s="5">
        <v>110.5</v>
      </c>
      <c r="H13600" s="5">
        <v>110.4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112</v>
      </c>
      <c r="D13601" s="5">
        <v>0.1</v>
      </c>
      <c r="E13601" s="5">
        <v>112.1</v>
      </c>
      <c r="F13601" s="5">
        <v>222.4</v>
      </c>
      <c r="G13601" s="5">
        <v>110.5</v>
      </c>
      <c r="H13601" s="5">
        <v>110.4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112</v>
      </c>
      <c r="D13602" s="5">
        <v>0.1</v>
      </c>
      <c r="E13602" s="5">
        <v>112.1</v>
      </c>
      <c r="F13602" s="5">
        <v>222.4</v>
      </c>
      <c r="G13602" s="5">
        <v>110.5</v>
      </c>
      <c r="H13602" s="5">
        <v>110.4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112</v>
      </c>
      <c r="D13603" s="5">
        <v>0.1</v>
      </c>
      <c r="E13603" s="5">
        <v>112.1</v>
      </c>
      <c r="F13603" s="5">
        <v>222.4</v>
      </c>
      <c r="G13603" s="5">
        <v>110.5</v>
      </c>
      <c r="H13603" s="5">
        <v>110.4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112</v>
      </c>
      <c r="D13604" s="5">
        <v>0.1</v>
      </c>
      <c r="E13604" s="5">
        <v>112.1</v>
      </c>
      <c r="F13604" s="5">
        <v>222.4</v>
      </c>
      <c r="G13604" s="5">
        <v>110.5</v>
      </c>
      <c r="H13604" s="5">
        <v>110.4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112</v>
      </c>
      <c r="D13605" s="5">
        <v>0.1</v>
      </c>
      <c r="E13605" s="5">
        <v>112.1</v>
      </c>
      <c r="F13605" s="5">
        <v>222.4</v>
      </c>
      <c r="G13605" s="5">
        <v>110.5</v>
      </c>
      <c r="H13605" s="5">
        <v>110.4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112</v>
      </c>
      <c r="D13606" s="5">
        <v>0.1</v>
      </c>
      <c r="E13606" s="5">
        <v>112.1</v>
      </c>
      <c r="F13606" s="5">
        <v>222.4</v>
      </c>
      <c r="G13606" s="5">
        <v>110.5</v>
      </c>
      <c r="H13606" s="5">
        <v>110.4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112</v>
      </c>
      <c r="D13607" s="5">
        <v>0.1</v>
      </c>
      <c r="E13607" s="5">
        <v>112.1</v>
      </c>
      <c r="F13607" s="5">
        <v>222.4</v>
      </c>
      <c r="G13607" s="5">
        <v>110.5</v>
      </c>
      <c r="H13607" s="5">
        <v>110.4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112</v>
      </c>
      <c r="D13608" s="5">
        <v>0.1</v>
      </c>
      <c r="E13608" s="5">
        <v>112.1</v>
      </c>
      <c r="F13608" s="5">
        <v>222.4</v>
      </c>
      <c r="G13608" s="5">
        <v>110.5</v>
      </c>
      <c r="H13608" s="5">
        <v>110.4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112</v>
      </c>
      <c r="D13609" s="5">
        <v>0.1</v>
      </c>
      <c r="E13609" s="5">
        <v>112.1</v>
      </c>
      <c r="F13609" s="5">
        <v>222.4</v>
      </c>
      <c r="G13609" s="5">
        <v>110.5</v>
      </c>
      <c r="H13609" s="5">
        <v>110.4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112</v>
      </c>
      <c r="D13610" s="5">
        <v>0.1</v>
      </c>
      <c r="E13610" s="5">
        <v>112.1</v>
      </c>
      <c r="F13610" s="5">
        <v>222.4</v>
      </c>
      <c r="G13610" s="5">
        <v>110.5</v>
      </c>
      <c r="H13610" s="5">
        <v>110.4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112</v>
      </c>
      <c r="D13611" s="5">
        <v>0.1</v>
      </c>
      <c r="E13611" s="5">
        <v>112.1</v>
      </c>
      <c r="F13611" s="5">
        <v>222.4</v>
      </c>
      <c r="G13611" s="5">
        <v>110.5</v>
      </c>
      <c r="H13611" s="5">
        <v>110.4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112</v>
      </c>
      <c r="D13612" s="5">
        <v>0.1</v>
      </c>
      <c r="E13612" s="5">
        <v>112.1</v>
      </c>
      <c r="F13612" s="5">
        <v>222.4</v>
      </c>
      <c r="G13612" s="5">
        <v>110.5</v>
      </c>
      <c r="H13612" s="5">
        <v>110.4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112</v>
      </c>
      <c r="D13613" s="5">
        <v>0.1</v>
      </c>
      <c r="E13613" s="5">
        <v>112.1</v>
      </c>
      <c r="F13613" s="5">
        <v>222.4</v>
      </c>
      <c r="G13613" s="5">
        <v>110.5</v>
      </c>
      <c r="H13613" s="5">
        <v>110.4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112</v>
      </c>
      <c r="D13614" s="5">
        <v>0.1</v>
      </c>
      <c r="E13614" s="5">
        <v>112.1</v>
      </c>
      <c r="F13614" s="5">
        <v>222.4</v>
      </c>
      <c r="G13614" s="5">
        <v>110.5</v>
      </c>
      <c r="H13614" s="5">
        <v>110.4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112</v>
      </c>
      <c r="D13615" s="5">
        <v>0.1</v>
      </c>
      <c r="E13615" s="5">
        <v>112.1</v>
      </c>
      <c r="F13615" s="5">
        <v>222.4</v>
      </c>
      <c r="G13615" s="5">
        <v>110.5</v>
      </c>
      <c r="H13615" s="5">
        <v>110.4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112</v>
      </c>
      <c r="D13616" s="5">
        <v>0.1</v>
      </c>
      <c r="E13616" s="5">
        <v>112.1</v>
      </c>
      <c r="F13616" s="5">
        <v>222.4</v>
      </c>
      <c r="G13616" s="5">
        <v>110.5</v>
      </c>
      <c r="H13616" s="5">
        <v>110.4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112</v>
      </c>
      <c r="D13617" s="5">
        <v>0.1</v>
      </c>
      <c r="E13617" s="5">
        <v>112.1</v>
      </c>
      <c r="F13617" s="5">
        <v>222.4</v>
      </c>
      <c r="G13617" s="5">
        <v>110.5</v>
      </c>
      <c r="H13617" s="5">
        <v>110.4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112</v>
      </c>
      <c r="D13618" s="5">
        <v>0.1</v>
      </c>
      <c r="E13618" s="5">
        <v>112.1</v>
      </c>
      <c r="F13618" s="5">
        <v>222.4</v>
      </c>
      <c r="G13618" s="5">
        <v>110.5</v>
      </c>
      <c r="H13618" s="5">
        <v>110.4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112</v>
      </c>
      <c r="D13619" s="5">
        <v>0.1</v>
      </c>
      <c r="E13619" s="5">
        <v>112.1</v>
      </c>
      <c r="F13619" s="5">
        <v>222.4</v>
      </c>
      <c r="G13619" s="5">
        <v>110.5</v>
      </c>
      <c r="H13619" s="5">
        <v>110.4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112</v>
      </c>
      <c r="D13620" s="5">
        <v>0.1</v>
      </c>
      <c r="E13620" s="5">
        <v>112.1</v>
      </c>
      <c r="F13620" s="5">
        <v>222.4</v>
      </c>
      <c r="G13620" s="5">
        <v>110.5</v>
      </c>
      <c r="H13620" s="5">
        <v>110.4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112</v>
      </c>
      <c r="D13621" s="5">
        <v>0.1</v>
      </c>
      <c r="E13621" s="5">
        <v>112.1</v>
      </c>
      <c r="F13621" s="5">
        <v>222.4</v>
      </c>
      <c r="G13621" s="5">
        <v>110.5</v>
      </c>
      <c r="H13621" s="5">
        <v>110.4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112</v>
      </c>
      <c r="D13622" s="5">
        <v>0.1</v>
      </c>
      <c r="E13622" s="5">
        <v>112.1</v>
      </c>
      <c r="F13622" s="5">
        <v>222.4</v>
      </c>
      <c r="G13622" s="5">
        <v>110.5</v>
      </c>
      <c r="H13622" s="5">
        <v>110.4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112</v>
      </c>
      <c r="D13623" s="5">
        <v>0.1</v>
      </c>
      <c r="E13623" s="5">
        <v>112.1</v>
      </c>
      <c r="F13623" s="5">
        <v>222.4</v>
      </c>
      <c r="G13623" s="5">
        <v>110.5</v>
      </c>
      <c r="H13623" s="5">
        <v>110.4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112</v>
      </c>
      <c r="D13624" s="5">
        <v>0.1</v>
      </c>
      <c r="E13624" s="5">
        <v>112.1</v>
      </c>
      <c r="F13624" s="5">
        <v>222.4</v>
      </c>
      <c r="G13624" s="5">
        <v>110.5</v>
      </c>
      <c r="H13624" s="5">
        <v>110.4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112</v>
      </c>
      <c r="D13625" s="5">
        <v>0.1</v>
      </c>
      <c r="E13625" s="5">
        <v>112.1</v>
      </c>
      <c r="F13625" s="5">
        <v>222.4</v>
      </c>
      <c r="G13625" s="5">
        <v>110.5</v>
      </c>
      <c r="H13625" s="5">
        <v>110.4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112</v>
      </c>
      <c r="D13626" s="5">
        <v>0.1</v>
      </c>
      <c r="E13626" s="5">
        <v>112.1</v>
      </c>
      <c r="F13626" s="5">
        <v>222.4</v>
      </c>
      <c r="G13626" s="5">
        <v>110.5</v>
      </c>
      <c r="H13626" s="5">
        <v>110.4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112</v>
      </c>
      <c r="D13627" s="5">
        <v>0.1</v>
      </c>
      <c r="E13627" s="5">
        <v>112.1</v>
      </c>
      <c r="F13627" s="5">
        <v>222.4</v>
      </c>
      <c r="G13627" s="5">
        <v>110.5</v>
      </c>
      <c r="H13627" s="5">
        <v>110.4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112</v>
      </c>
      <c r="D13628" s="5">
        <v>0.1</v>
      </c>
      <c r="E13628" s="5">
        <v>112.1</v>
      </c>
      <c r="F13628" s="5">
        <v>222.4</v>
      </c>
      <c r="G13628" s="5">
        <v>110.5</v>
      </c>
      <c r="H13628" s="5">
        <v>110.4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112</v>
      </c>
      <c r="D13629" s="5">
        <v>0.1</v>
      </c>
      <c r="E13629" s="5">
        <v>112.1</v>
      </c>
      <c r="F13629" s="5">
        <v>222.4</v>
      </c>
      <c r="G13629" s="5">
        <v>110.5</v>
      </c>
      <c r="H13629" s="5">
        <v>110.4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112</v>
      </c>
      <c r="D13630" s="5">
        <v>0.1</v>
      </c>
      <c r="E13630" s="5">
        <v>112.1</v>
      </c>
      <c r="F13630" s="5">
        <v>222.4</v>
      </c>
      <c r="G13630" s="5">
        <v>110.5</v>
      </c>
      <c r="H13630" s="5">
        <v>110.4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112</v>
      </c>
      <c r="D13631" s="5">
        <v>0.1</v>
      </c>
      <c r="E13631" s="5">
        <v>112.1</v>
      </c>
      <c r="F13631" s="5">
        <v>222.4</v>
      </c>
      <c r="G13631" s="5">
        <v>110.5</v>
      </c>
      <c r="H13631" s="5">
        <v>110.4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112</v>
      </c>
      <c r="D13632" s="5">
        <v>0.1</v>
      </c>
      <c r="E13632" s="5">
        <v>112.1</v>
      </c>
      <c r="F13632" s="5">
        <v>222.4</v>
      </c>
      <c r="G13632" s="5">
        <v>110.5</v>
      </c>
      <c r="H13632" s="5">
        <v>110.4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112</v>
      </c>
      <c r="D13633" s="5">
        <v>0.1</v>
      </c>
      <c r="E13633" s="5">
        <v>112.1</v>
      </c>
      <c r="F13633" s="5">
        <v>222.4</v>
      </c>
      <c r="G13633" s="5">
        <v>110.5</v>
      </c>
      <c r="H13633" s="5">
        <v>110.4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112</v>
      </c>
      <c r="D13634" s="5">
        <v>0.1</v>
      </c>
      <c r="E13634" s="5">
        <v>112.1</v>
      </c>
      <c r="F13634" s="5">
        <v>222.4</v>
      </c>
      <c r="G13634" s="5">
        <v>110.5</v>
      </c>
      <c r="H13634" s="5">
        <v>110.4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112</v>
      </c>
      <c r="D13635" s="5">
        <v>0.1</v>
      </c>
      <c r="E13635" s="5">
        <v>112.1</v>
      </c>
      <c r="F13635" s="5">
        <v>222.4</v>
      </c>
      <c r="G13635" s="5">
        <v>110.5</v>
      </c>
      <c r="H13635" s="5">
        <v>110.4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112</v>
      </c>
      <c r="D13636" s="5">
        <v>0.1</v>
      </c>
      <c r="E13636" s="5">
        <v>112.1</v>
      </c>
      <c r="F13636" s="5">
        <v>222.4</v>
      </c>
      <c r="G13636" s="5">
        <v>110.5</v>
      </c>
      <c r="H13636" s="5">
        <v>110.4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112</v>
      </c>
      <c r="D13637" s="5">
        <v>0.1</v>
      </c>
      <c r="E13637" s="5">
        <v>112.1</v>
      </c>
      <c r="F13637" s="5">
        <v>222.4</v>
      </c>
      <c r="G13637" s="5">
        <v>110.5</v>
      </c>
      <c r="H13637" s="5">
        <v>110.4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112</v>
      </c>
      <c r="D13638" s="5">
        <v>0.1</v>
      </c>
      <c r="E13638" s="5">
        <v>112.1</v>
      </c>
      <c r="F13638" s="5">
        <v>222.4</v>
      </c>
      <c r="G13638" s="5">
        <v>110.5</v>
      </c>
      <c r="H13638" s="5">
        <v>110.4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112</v>
      </c>
      <c r="D13639" s="5">
        <v>0.1</v>
      </c>
      <c r="E13639" s="5">
        <v>112.1</v>
      </c>
      <c r="F13639" s="5">
        <v>222.4</v>
      </c>
      <c r="G13639" s="5">
        <v>110.5</v>
      </c>
      <c r="H13639" s="5">
        <v>110.4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112</v>
      </c>
      <c r="D13640" s="5">
        <v>0.1</v>
      </c>
      <c r="E13640" s="5">
        <v>112.1</v>
      </c>
      <c r="F13640" s="5">
        <v>222.4</v>
      </c>
      <c r="G13640" s="5">
        <v>110.5</v>
      </c>
      <c r="H13640" s="5">
        <v>110.4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112</v>
      </c>
      <c r="D13641" s="5">
        <v>0.1</v>
      </c>
      <c r="E13641" s="5">
        <v>112.1</v>
      </c>
      <c r="F13641" s="5">
        <v>222.4</v>
      </c>
      <c r="G13641" s="5">
        <v>110.5</v>
      </c>
      <c r="H13641" s="5">
        <v>110.4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112</v>
      </c>
      <c r="D13642" s="5">
        <v>0.1</v>
      </c>
      <c r="E13642" s="5">
        <v>112.1</v>
      </c>
      <c r="F13642" s="5">
        <v>222.4</v>
      </c>
      <c r="G13642" s="5">
        <v>110.5</v>
      </c>
      <c r="H13642" s="5">
        <v>110.4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112</v>
      </c>
      <c r="D13643" s="5">
        <v>0.1</v>
      </c>
      <c r="E13643" s="5">
        <v>112.1</v>
      </c>
      <c r="F13643" s="5">
        <v>222.4</v>
      </c>
      <c r="G13643" s="5">
        <v>110.5</v>
      </c>
      <c r="H13643" s="5">
        <v>110.4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112</v>
      </c>
      <c r="D13644" s="5">
        <v>0.1</v>
      </c>
      <c r="E13644" s="5">
        <v>112.1</v>
      </c>
      <c r="F13644" s="5">
        <v>222.4</v>
      </c>
      <c r="G13644" s="5">
        <v>110.5</v>
      </c>
      <c r="H13644" s="5">
        <v>110.4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112</v>
      </c>
      <c r="D13645" s="5">
        <v>0.1</v>
      </c>
      <c r="E13645" s="5">
        <v>112.1</v>
      </c>
      <c r="F13645" s="5">
        <v>222.4</v>
      </c>
      <c r="G13645" s="5">
        <v>110.5</v>
      </c>
      <c r="H13645" s="5">
        <v>110.4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112</v>
      </c>
      <c r="D13646" s="5">
        <v>0.1</v>
      </c>
      <c r="E13646" s="5">
        <v>112.1</v>
      </c>
      <c r="F13646" s="5">
        <v>222.4</v>
      </c>
      <c r="G13646" s="5">
        <v>110.5</v>
      </c>
      <c r="H13646" s="5">
        <v>110.4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112</v>
      </c>
      <c r="D13647" s="5">
        <v>0.1</v>
      </c>
      <c r="E13647" s="5">
        <v>112.1</v>
      </c>
      <c r="F13647" s="5">
        <v>222.4</v>
      </c>
      <c r="G13647" s="5">
        <v>110.5</v>
      </c>
      <c r="H13647" s="5">
        <v>110.4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112</v>
      </c>
      <c r="D13648" s="5">
        <v>0.1</v>
      </c>
      <c r="E13648" s="5">
        <v>112.1</v>
      </c>
      <c r="F13648" s="5">
        <v>222.4</v>
      </c>
      <c r="G13648" s="5">
        <v>110.5</v>
      </c>
      <c r="H13648" s="5">
        <v>110.4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112</v>
      </c>
      <c r="D13649" s="5">
        <v>0.1</v>
      </c>
      <c r="E13649" s="5">
        <v>112.1</v>
      </c>
      <c r="F13649" s="5">
        <v>222.4</v>
      </c>
      <c r="G13649" s="5">
        <v>110.5</v>
      </c>
      <c r="H13649" s="5">
        <v>110.4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112</v>
      </c>
      <c r="D13650" s="5">
        <v>0.1</v>
      </c>
      <c r="E13650" s="5">
        <v>112.1</v>
      </c>
      <c r="F13650" s="5">
        <v>222.4</v>
      </c>
      <c r="G13650" s="5">
        <v>110.5</v>
      </c>
      <c r="H13650" s="5">
        <v>110.4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112</v>
      </c>
      <c r="D13651" s="5">
        <v>0.1</v>
      </c>
      <c r="E13651" s="5">
        <v>112.1</v>
      </c>
      <c r="F13651" s="5">
        <v>222.4</v>
      </c>
      <c r="G13651" s="5">
        <v>110.5</v>
      </c>
      <c r="H13651" s="5">
        <v>110.4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112</v>
      </c>
      <c r="D13652" s="5">
        <v>0.1</v>
      </c>
      <c r="E13652" s="5">
        <v>112.1</v>
      </c>
      <c r="F13652" s="5">
        <v>222.4</v>
      </c>
      <c r="G13652" s="5">
        <v>110.5</v>
      </c>
      <c r="H13652" s="5">
        <v>110.4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112</v>
      </c>
      <c r="D13653" s="5">
        <v>0.1</v>
      </c>
      <c r="E13653" s="5">
        <v>112.1</v>
      </c>
      <c r="F13653" s="5">
        <v>222.4</v>
      </c>
      <c r="G13653" s="5">
        <v>110.5</v>
      </c>
      <c r="H13653" s="5">
        <v>110.4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112</v>
      </c>
      <c r="D13654" s="5">
        <v>0.1</v>
      </c>
      <c r="E13654" s="5">
        <v>112.1</v>
      </c>
      <c r="F13654" s="5">
        <v>222.4</v>
      </c>
      <c r="G13654" s="5">
        <v>110.5</v>
      </c>
      <c r="H13654" s="5">
        <v>110.4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112</v>
      </c>
      <c r="D13655" s="5">
        <v>0.1</v>
      </c>
      <c r="E13655" s="5">
        <v>112.1</v>
      </c>
      <c r="F13655" s="5">
        <v>222.4</v>
      </c>
      <c r="G13655" s="5">
        <v>110.5</v>
      </c>
      <c r="H13655" s="5">
        <v>110.4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112</v>
      </c>
      <c r="D13656" s="5">
        <v>0.1</v>
      </c>
      <c r="E13656" s="5">
        <v>112.1</v>
      </c>
      <c r="F13656" s="5">
        <v>222.4</v>
      </c>
      <c r="G13656" s="5">
        <v>110.5</v>
      </c>
      <c r="H13656" s="5">
        <v>110.4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112</v>
      </c>
      <c r="D13657" s="5">
        <v>0.1</v>
      </c>
      <c r="E13657" s="5">
        <v>112.1</v>
      </c>
      <c r="F13657" s="5">
        <v>222.4</v>
      </c>
      <c r="G13657" s="5">
        <v>110.5</v>
      </c>
      <c r="H13657" s="5">
        <v>110.4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112</v>
      </c>
      <c r="D13658" s="5">
        <v>0.1</v>
      </c>
      <c r="E13658" s="5">
        <v>112.1</v>
      </c>
      <c r="F13658" s="5">
        <v>222.4</v>
      </c>
      <c r="G13658" s="5">
        <v>110.5</v>
      </c>
      <c r="H13658" s="5">
        <v>110.4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112</v>
      </c>
      <c r="D13659" s="5">
        <v>0.1</v>
      </c>
      <c r="E13659" s="5">
        <v>112.1</v>
      </c>
      <c r="F13659" s="5">
        <v>222.4</v>
      </c>
      <c r="G13659" s="5">
        <v>110.5</v>
      </c>
      <c r="H13659" s="5">
        <v>110.4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112</v>
      </c>
      <c r="D13660" s="5">
        <v>0.1</v>
      </c>
      <c r="E13660" s="5">
        <v>112.1</v>
      </c>
      <c r="F13660" s="5">
        <v>222.4</v>
      </c>
      <c r="G13660" s="5">
        <v>110.5</v>
      </c>
      <c r="H13660" s="5">
        <v>110.4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112</v>
      </c>
      <c r="D13661" s="5">
        <v>0.1</v>
      </c>
      <c r="E13661" s="5">
        <v>112.1</v>
      </c>
      <c r="F13661" s="5">
        <v>222.4</v>
      </c>
      <c r="G13661" s="5">
        <v>110.5</v>
      </c>
      <c r="H13661" s="5">
        <v>110.4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112</v>
      </c>
      <c r="D13662" s="5">
        <v>0.1</v>
      </c>
      <c r="E13662" s="5">
        <v>112.1</v>
      </c>
      <c r="F13662" s="5">
        <v>222.4</v>
      </c>
      <c r="G13662" s="5">
        <v>110.5</v>
      </c>
      <c r="H13662" s="5">
        <v>110.4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112</v>
      </c>
      <c r="D13663" s="5">
        <v>0.1</v>
      </c>
      <c r="E13663" s="5">
        <v>112.1</v>
      </c>
      <c r="F13663" s="5">
        <v>222.4</v>
      </c>
      <c r="G13663" s="5">
        <v>110.5</v>
      </c>
      <c r="H13663" s="5">
        <v>110.4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112</v>
      </c>
      <c r="D13664" s="5">
        <v>0.1</v>
      </c>
      <c r="E13664" s="5">
        <v>112.1</v>
      </c>
      <c r="F13664" s="5">
        <v>222.4</v>
      </c>
      <c r="G13664" s="5">
        <v>110.5</v>
      </c>
      <c r="H13664" s="5">
        <v>110.4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112</v>
      </c>
      <c r="D13665" s="5">
        <v>0.1</v>
      </c>
      <c r="E13665" s="5">
        <v>112.1</v>
      </c>
      <c r="F13665" s="5">
        <v>222.4</v>
      </c>
      <c r="G13665" s="5">
        <v>110.5</v>
      </c>
      <c r="H13665" s="5">
        <v>110.4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112</v>
      </c>
      <c r="D13666" s="5">
        <v>0.1</v>
      </c>
      <c r="E13666" s="5">
        <v>112.1</v>
      </c>
      <c r="F13666" s="5">
        <v>222.4</v>
      </c>
      <c r="G13666" s="5">
        <v>110.5</v>
      </c>
      <c r="H13666" s="5">
        <v>110.4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112</v>
      </c>
      <c r="D13667" s="5">
        <v>0.1</v>
      </c>
      <c r="E13667" s="5">
        <v>112.1</v>
      </c>
      <c r="F13667" s="5">
        <v>222.4</v>
      </c>
      <c r="G13667" s="5">
        <v>110.5</v>
      </c>
      <c r="H13667" s="5">
        <v>110.4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112</v>
      </c>
      <c r="D13668" s="5">
        <v>0.1</v>
      </c>
      <c r="E13668" s="5">
        <v>112.1</v>
      </c>
      <c r="F13668" s="5">
        <v>222.4</v>
      </c>
      <c r="G13668" s="5">
        <v>110.5</v>
      </c>
      <c r="H13668" s="5">
        <v>110.4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112</v>
      </c>
      <c r="D13669" s="5">
        <v>0.1</v>
      </c>
      <c r="E13669" s="5">
        <v>112.1</v>
      </c>
      <c r="F13669" s="5">
        <v>222.4</v>
      </c>
      <c r="G13669" s="5">
        <v>110.5</v>
      </c>
      <c r="H13669" s="5">
        <v>110.4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112</v>
      </c>
      <c r="D13670" s="5">
        <v>0.1</v>
      </c>
      <c r="E13670" s="5">
        <v>112.1</v>
      </c>
      <c r="F13670" s="5">
        <v>222.4</v>
      </c>
      <c r="G13670" s="5">
        <v>110.5</v>
      </c>
      <c r="H13670" s="5">
        <v>110.4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112</v>
      </c>
      <c r="D13671" s="5">
        <v>0.1</v>
      </c>
      <c r="E13671" s="5">
        <v>112.1</v>
      </c>
      <c r="F13671" s="5">
        <v>222.4</v>
      </c>
      <c r="G13671" s="5">
        <v>110.5</v>
      </c>
      <c r="H13671" s="5">
        <v>110.4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112</v>
      </c>
      <c r="D13672" s="5">
        <v>0.1</v>
      </c>
      <c r="E13672" s="5">
        <v>112.1</v>
      </c>
      <c r="F13672" s="5">
        <v>222.4</v>
      </c>
      <c r="G13672" s="5">
        <v>110.5</v>
      </c>
      <c r="H13672" s="5">
        <v>110.4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112</v>
      </c>
      <c r="D13673" s="5">
        <v>0.1</v>
      </c>
      <c r="E13673" s="5">
        <v>112.1</v>
      </c>
      <c r="F13673" s="5">
        <v>222.4</v>
      </c>
      <c r="G13673" s="5">
        <v>110.5</v>
      </c>
      <c r="H13673" s="5">
        <v>110.4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112</v>
      </c>
      <c r="D13674" s="5">
        <v>0.1</v>
      </c>
      <c r="E13674" s="5">
        <v>112.1</v>
      </c>
      <c r="F13674" s="5">
        <v>222.4</v>
      </c>
      <c r="G13674" s="5">
        <v>110.5</v>
      </c>
      <c r="H13674" s="5">
        <v>110.4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112</v>
      </c>
      <c r="D13675" s="5">
        <v>0.1</v>
      </c>
      <c r="E13675" s="5">
        <v>112.1</v>
      </c>
      <c r="F13675" s="5">
        <v>222.4</v>
      </c>
      <c r="G13675" s="5">
        <v>110.5</v>
      </c>
      <c r="H13675" s="5">
        <v>110.4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112</v>
      </c>
      <c r="D13676" s="5">
        <v>0.1</v>
      </c>
      <c r="E13676" s="5">
        <v>112.1</v>
      </c>
      <c r="F13676" s="5">
        <v>222.4</v>
      </c>
      <c r="G13676" s="5">
        <v>110.5</v>
      </c>
      <c r="H13676" s="5">
        <v>110.4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112</v>
      </c>
      <c r="D13677" s="5">
        <v>0.1</v>
      </c>
      <c r="E13677" s="5">
        <v>112.1</v>
      </c>
      <c r="F13677" s="5">
        <v>222.4</v>
      </c>
      <c r="G13677" s="5">
        <v>110.5</v>
      </c>
      <c r="H13677" s="5">
        <v>110.4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112</v>
      </c>
      <c r="D13678" s="5">
        <v>0.1</v>
      </c>
      <c r="E13678" s="5">
        <v>112.1</v>
      </c>
      <c r="F13678" s="5">
        <v>222.4</v>
      </c>
      <c r="G13678" s="5">
        <v>110.5</v>
      </c>
      <c r="H13678" s="5">
        <v>110.4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112</v>
      </c>
      <c r="D13679" s="5">
        <v>0.1</v>
      </c>
      <c r="E13679" s="5">
        <v>112.1</v>
      </c>
      <c r="F13679" s="5">
        <v>222.4</v>
      </c>
      <c r="G13679" s="5">
        <v>110.5</v>
      </c>
      <c r="H13679" s="5">
        <v>110.4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112</v>
      </c>
      <c r="D13680" s="5">
        <v>0.1</v>
      </c>
      <c r="E13680" s="5">
        <v>112.1</v>
      </c>
      <c r="F13680" s="5">
        <v>222.4</v>
      </c>
      <c r="G13680" s="5">
        <v>110.5</v>
      </c>
      <c r="H13680" s="5">
        <v>110.4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112</v>
      </c>
      <c r="D13681" s="5">
        <v>0.1</v>
      </c>
      <c r="E13681" s="5">
        <v>112.1</v>
      </c>
      <c r="F13681" s="5">
        <v>222.4</v>
      </c>
      <c r="G13681" s="5">
        <v>110.5</v>
      </c>
      <c r="H13681" s="5">
        <v>110.4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112</v>
      </c>
      <c r="D13682" s="5">
        <v>0.1</v>
      </c>
      <c r="E13682" s="5">
        <v>112.1</v>
      </c>
      <c r="F13682" s="5">
        <v>222.4</v>
      </c>
      <c r="G13682" s="5">
        <v>110.5</v>
      </c>
      <c r="H13682" s="5">
        <v>110.4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112</v>
      </c>
      <c r="D13683" s="5">
        <v>0.1</v>
      </c>
      <c r="E13683" s="5">
        <v>112.1</v>
      </c>
      <c r="F13683" s="5">
        <v>222.4</v>
      </c>
      <c r="G13683" s="5">
        <v>110.5</v>
      </c>
      <c r="H13683" s="5">
        <v>110.4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112</v>
      </c>
      <c r="D13684" s="5">
        <v>0.1</v>
      </c>
      <c r="E13684" s="5">
        <v>112.1</v>
      </c>
      <c r="F13684" s="5">
        <v>222.4</v>
      </c>
      <c r="G13684" s="5">
        <v>110.5</v>
      </c>
      <c r="H13684" s="5">
        <v>110.4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112</v>
      </c>
      <c r="D13685" s="5">
        <v>0.1</v>
      </c>
      <c r="E13685" s="5">
        <v>112.1</v>
      </c>
      <c r="F13685" s="5">
        <v>222.4</v>
      </c>
      <c r="G13685" s="5">
        <v>110.5</v>
      </c>
      <c r="H13685" s="5">
        <v>110.4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112</v>
      </c>
      <c r="D13686" s="5">
        <v>0.1</v>
      </c>
      <c r="E13686" s="5">
        <v>112.1</v>
      </c>
      <c r="F13686" s="5">
        <v>222.4</v>
      </c>
      <c r="G13686" s="5">
        <v>110.5</v>
      </c>
      <c r="H13686" s="5">
        <v>110.4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112</v>
      </c>
      <c r="D13687" s="5">
        <v>0.1</v>
      </c>
      <c r="E13687" s="5">
        <v>112.1</v>
      </c>
      <c r="F13687" s="5">
        <v>222.4</v>
      </c>
      <c r="G13687" s="5">
        <v>110.5</v>
      </c>
      <c r="H13687" s="5">
        <v>110.4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112</v>
      </c>
      <c r="D13688" s="5">
        <v>0.1</v>
      </c>
      <c r="E13688" s="5">
        <v>112.1</v>
      </c>
      <c r="F13688" s="5">
        <v>222.4</v>
      </c>
      <c r="G13688" s="5">
        <v>110.5</v>
      </c>
      <c r="H13688" s="5">
        <v>110.4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112</v>
      </c>
      <c r="D13689" s="5">
        <v>0.1</v>
      </c>
      <c r="E13689" s="5">
        <v>112.1</v>
      </c>
      <c r="F13689" s="5">
        <v>222.4</v>
      </c>
      <c r="G13689" s="5">
        <v>110.5</v>
      </c>
      <c r="H13689" s="5">
        <v>110.4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112</v>
      </c>
      <c r="D13690" s="5">
        <v>0.1</v>
      </c>
      <c r="E13690" s="5">
        <v>112.1</v>
      </c>
      <c r="F13690" s="5">
        <v>222.4</v>
      </c>
      <c r="G13690" s="5">
        <v>110.5</v>
      </c>
      <c r="H13690" s="5">
        <v>110.4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112</v>
      </c>
      <c r="D13691" s="5">
        <v>0.1</v>
      </c>
      <c r="E13691" s="5">
        <v>112.1</v>
      </c>
      <c r="F13691" s="5">
        <v>222.4</v>
      </c>
      <c r="G13691" s="5">
        <v>110.5</v>
      </c>
      <c r="H13691" s="5">
        <v>110.4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112</v>
      </c>
      <c r="D13692" s="5">
        <v>0.1</v>
      </c>
      <c r="E13692" s="5">
        <v>112.1</v>
      </c>
      <c r="F13692" s="5">
        <v>222.4</v>
      </c>
      <c r="G13692" s="5">
        <v>110.5</v>
      </c>
      <c r="H13692" s="5">
        <v>110.4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112</v>
      </c>
      <c r="D13693" s="5">
        <v>0.1</v>
      </c>
      <c r="E13693" s="5">
        <v>112.1</v>
      </c>
      <c r="F13693" s="5">
        <v>222.4</v>
      </c>
      <c r="G13693" s="5">
        <v>110.5</v>
      </c>
      <c r="H13693" s="5">
        <v>110.4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112</v>
      </c>
      <c r="D13694" s="5">
        <v>0.1</v>
      </c>
      <c r="E13694" s="5">
        <v>112.1</v>
      </c>
      <c r="F13694" s="5">
        <v>222.4</v>
      </c>
      <c r="G13694" s="5">
        <v>110.5</v>
      </c>
      <c r="H13694" s="5">
        <v>110.4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112</v>
      </c>
      <c r="D13695" s="5">
        <v>0.1</v>
      </c>
      <c r="E13695" s="5">
        <v>112.1</v>
      </c>
      <c r="F13695" s="5">
        <v>222.4</v>
      </c>
      <c r="G13695" s="5">
        <v>110.5</v>
      </c>
      <c r="H13695" s="5">
        <v>110.4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112</v>
      </c>
      <c r="D13696" s="5">
        <v>0.1</v>
      </c>
      <c r="E13696" s="5">
        <v>112.1</v>
      </c>
      <c r="F13696" s="5">
        <v>222.4</v>
      </c>
      <c r="G13696" s="5">
        <v>110.5</v>
      </c>
      <c r="H13696" s="5">
        <v>110.4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112</v>
      </c>
      <c r="D13697" s="5">
        <v>0.1</v>
      </c>
      <c r="E13697" s="5">
        <v>112.1</v>
      </c>
      <c r="F13697" s="5">
        <v>222.4</v>
      </c>
      <c r="G13697" s="5">
        <v>110.5</v>
      </c>
      <c r="H13697" s="5">
        <v>110.4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112</v>
      </c>
      <c r="D13698" s="5">
        <v>0.1</v>
      </c>
      <c r="E13698" s="5">
        <v>112.1</v>
      </c>
      <c r="F13698" s="5">
        <v>222.4</v>
      </c>
      <c r="G13698" s="5">
        <v>110.5</v>
      </c>
      <c r="H13698" s="5">
        <v>110.4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112</v>
      </c>
      <c r="D13699" s="5">
        <v>0.1</v>
      </c>
      <c r="E13699" s="5">
        <v>112.1</v>
      </c>
      <c r="F13699" s="5">
        <v>222.4</v>
      </c>
      <c r="G13699" s="5">
        <v>110.5</v>
      </c>
      <c r="H13699" s="5">
        <v>110.4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112</v>
      </c>
      <c r="D13700" s="5">
        <v>0.1</v>
      </c>
      <c r="E13700" s="5">
        <v>112.1</v>
      </c>
      <c r="F13700" s="5">
        <v>222.4</v>
      </c>
      <c r="G13700" s="5">
        <v>110.5</v>
      </c>
      <c r="H13700" s="5">
        <v>110.4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112</v>
      </c>
      <c r="D13701" s="5">
        <v>0.1</v>
      </c>
      <c r="E13701" s="5">
        <v>112.1</v>
      </c>
      <c r="F13701" s="5">
        <v>222.4</v>
      </c>
      <c r="G13701" s="5">
        <v>110.5</v>
      </c>
      <c r="H13701" s="5">
        <v>110.4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112</v>
      </c>
      <c r="D13702" s="5">
        <v>0.1</v>
      </c>
      <c r="E13702" s="5">
        <v>112.1</v>
      </c>
      <c r="F13702" s="5">
        <v>222.4</v>
      </c>
      <c r="G13702" s="5">
        <v>110.5</v>
      </c>
      <c r="H13702" s="5">
        <v>110.4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112</v>
      </c>
      <c r="D13703" s="5">
        <v>0.1</v>
      </c>
      <c r="E13703" s="5">
        <v>112.1</v>
      </c>
      <c r="F13703" s="5">
        <v>222.4</v>
      </c>
      <c r="G13703" s="5">
        <v>110.5</v>
      </c>
      <c r="H13703" s="5">
        <v>110.4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112</v>
      </c>
      <c r="D13704" s="5">
        <v>0.1</v>
      </c>
      <c r="E13704" s="5">
        <v>112.1</v>
      </c>
      <c r="F13704" s="5">
        <v>222.4</v>
      </c>
      <c r="G13704" s="5">
        <v>110.5</v>
      </c>
      <c r="H13704" s="5">
        <v>110.4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112</v>
      </c>
      <c r="D13705" s="5">
        <v>0.1</v>
      </c>
      <c r="E13705" s="5">
        <v>112.1</v>
      </c>
      <c r="F13705" s="5">
        <v>222.4</v>
      </c>
      <c r="G13705" s="5">
        <v>110.5</v>
      </c>
      <c r="H13705" s="5">
        <v>110.4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112</v>
      </c>
      <c r="D13706" s="5">
        <v>0.1</v>
      </c>
      <c r="E13706" s="5">
        <v>112.1</v>
      </c>
      <c r="F13706" s="5">
        <v>222.4</v>
      </c>
      <c r="G13706" s="5">
        <v>110.5</v>
      </c>
      <c r="H13706" s="5">
        <v>110.4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112</v>
      </c>
      <c r="D13707" s="5">
        <v>0.1</v>
      </c>
      <c r="E13707" s="5">
        <v>112.1</v>
      </c>
      <c r="F13707" s="5">
        <v>222.4</v>
      </c>
      <c r="G13707" s="5">
        <v>110.5</v>
      </c>
      <c r="H13707" s="5">
        <v>110.4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112</v>
      </c>
      <c r="D13708" s="5">
        <v>0.1</v>
      </c>
      <c r="E13708" s="5">
        <v>112.1</v>
      </c>
      <c r="F13708" s="5">
        <v>222.4</v>
      </c>
      <c r="G13708" s="5">
        <v>110.5</v>
      </c>
      <c r="H13708" s="5">
        <v>110.4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112</v>
      </c>
      <c r="D13709" s="5">
        <v>0.1</v>
      </c>
      <c r="E13709" s="5">
        <v>112.1</v>
      </c>
      <c r="F13709" s="5">
        <v>222.4</v>
      </c>
      <c r="G13709" s="5">
        <v>110.5</v>
      </c>
      <c r="H13709" s="5">
        <v>110.4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112</v>
      </c>
      <c r="D13710" s="5">
        <v>0.1</v>
      </c>
      <c r="E13710" s="5">
        <v>112.1</v>
      </c>
      <c r="F13710" s="5">
        <v>222.4</v>
      </c>
      <c r="G13710" s="5">
        <v>110.5</v>
      </c>
      <c r="H13710" s="5">
        <v>110.4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112</v>
      </c>
      <c r="D13711" s="5">
        <v>0.1</v>
      </c>
      <c r="E13711" s="5">
        <v>112.1</v>
      </c>
      <c r="F13711" s="5">
        <v>222.4</v>
      </c>
      <c r="G13711" s="5">
        <v>110.5</v>
      </c>
      <c r="H13711" s="5">
        <v>110.4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112</v>
      </c>
      <c r="D13712" s="5">
        <v>0.1</v>
      </c>
      <c r="E13712" s="5">
        <v>112.1</v>
      </c>
      <c r="F13712" s="5">
        <v>222.4</v>
      </c>
      <c r="G13712" s="5">
        <v>110.5</v>
      </c>
      <c r="H13712" s="5">
        <v>110.4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112</v>
      </c>
      <c r="D13713" s="5">
        <v>0.1</v>
      </c>
      <c r="E13713" s="5">
        <v>112.1</v>
      </c>
      <c r="F13713" s="5">
        <v>222.4</v>
      </c>
      <c r="G13713" s="5">
        <v>110.5</v>
      </c>
      <c r="H13713" s="5">
        <v>110.4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112</v>
      </c>
      <c r="D13714" s="5">
        <v>0.1</v>
      </c>
      <c r="E13714" s="5">
        <v>112.1</v>
      </c>
      <c r="F13714" s="5">
        <v>222.4</v>
      </c>
      <c r="G13714" s="5">
        <v>110.5</v>
      </c>
      <c r="H13714" s="5">
        <v>110.4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112</v>
      </c>
      <c r="D13715" s="5">
        <v>0.1</v>
      </c>
      <c r="E13715" s="5">
        <v>112.1</v>
      </c>
      <c r="F13715" s="5">
        <v>222.4</v>
      </c>
      <c r="G13715" s="5">
        <v>110.5</v>
      </c>
      <c r="H13715" s="5">
        <v>110.4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112</v>
      </c>
      <c r="D13716" s="5">
        <v>0.1</v>
      </c>
      <c r="E13716" s="5">
        <v>112.1</v>
      </c>
      <c r="F13716" s="5">
        <v>222.4</v>
      </c>
      <c r="G13716" s="5">
        <v>110.5</v>
      </c>
      <c r="H13716" s="5">
        <v>110.4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112</v>
      </c>
      <c r="D13717" s="5">
        <v>0.1</v>
      </c>
      <c r="E13717" s="5">
        <v>112.1</v>
      </c>
      <c r="F13717" s="5">
        <v>222.4</v>
      </c>
      <c r="G13717" s="5">
        <v>110.5</v>
      </c>
      <c r="H13717" s="5">
        <v>110.4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112</v>
      </c>
      <c r="D13718" s="5">
        <v>0.1</v>
      </c>
      <c r="E13718" s="5">
        <v>112.1</v>
      </c>
      <c r="F13718" s="5">
        <v>222.4</v>
      </c>
      <c r="G13718" s="5">
        <v>110.5</v>
      </c>
      <c r="H13718" s="5">
        <v>110.4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112</v>
      </c>
      <c r="D13719" s="5">
        <v>0.1</v>
      </c>
      <c r="E13719" s="5">
        <v>112.1</v>
      </c>
      <c r="F13719" s="5">
        <v>222.4</v>
      </c>
      <c r="G13719" s="5">
        <v>110.5</v>
      </c>
      <c r="H13719" s="5">
        <v>110.4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112</v>
      </c>
      <c r="D13720" s="5">
        <v>0.1</v>
      </c>
      <c r="E13720" s="5">
        <v>112.1</v>
      </c>
      <c r="F13720" s="5">
        <v>222.4</v>
      </c>
      <c r="G13720" s="5">
        <v>110.5</v>
      </c>
      <c r="H13720" s="5">
        <v>110.4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112</v>
      </c>
      <c r="D13721" s="5">
        <v>0.1</v>
      </c>
      <c r="E13721" s="5">
        <v>112.1</v>
      </c>
      <c r="F13721" s="5">
        <v>222.4</v>
      </c>
      <c r="G13721" s="5">
        <v>110.5</v>
      </c>
      <c r="H13721" s="5">
        <v>110.4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112</v>
      </c>
      <c r="D13722" s="5">
        <v>0.1</v>
      </c>
      <c r="E13722" s="5">
        <v>112.1</v>
      </c>
      <c r="F13722" s="5">
        <v>222.4</v>
      </c>
      <c r="G13722" s="5">
        <v>110.5</v>
      </c>
      <c r="H13722" s="5">
        <v>110.4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112</v>
      </c>
      <c r="D13723" s="5">
        <v>0.1</v>
      </c>
      <c r="E13723" s="5">
        <v>112.1</v>
      </c>
      <c r="F13723" s="5">
        <v>222.4</v>
      </c>
      <c r="G13723" s="5">
        <v>110.5</v>
      </c>
      <c r="H13723" s="5">
        <v>110.4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112</v>
      </c>
      <c r="D13724" s="5">
        <v>0.1</v>
      </c>
      <c r="E13724" s="5">
        <v>112.1</v>
      </c>
      <c r="F13724" s="5">
        <v>222.4</v>
      </c>
      <c r="G13724" s="5">
        <v>110.5</v>
      </c>
      <c r="H13724" s="5">
        <v>110.4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112</v>
      </c>
      <c r="D13725" s="5">
        <v>0.1</v>
      </c>
      <c r="E13725" s="5">
        <v>112.1</v>
      </c>
      <c r="F13725" s="5">
        <v>222.4</v>
      </c>
      <c r="G13725" s="5">
        <v>110.5</v>
      </c>
      <c r="H13725" s="5">
        <v>110.4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112</v>
      </c>
      <c r="D13726" s="5">
        <v>0.1</v>
      </c>
      <c r="E13726" s="5">
        <v>112.1</v>
      </c>
      <c r="F13726" s="5">
        <v>222.4</v>
      </c>
      <c r="G13726" s="5">
        <v>110.5</v>
      </c>
      <c r="H13726" s="5">
        <v>110.4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112</v>
      </c>
      <c r="D13727" s="5">
        <v>0.1</v>
      </c>
      <c r="E13727" s="5">
        <v>112.1</v>
      </c>
      <c r="F13727" s="5">
        <v>222.4</v>
      </c>
      <c r="G13727" s="5">
        <v>110.5</v>
      </c>
      <c r="H13727" s="5">
        <v>110.4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112</v>
      </c>
      <c r="D13728" s="5">
        <v>0.1</v>
      </c>
      <c r="E13728" s="5">
        <v>112.1</v>
      </c>
      <c r="F13728" s="5">
        <v>222.4</v>
      </c>
      <c r="G13728" s="5">
        <v>110.5</v>
      </c>
      <c r="H13728" s="5">
        <v>110.4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112</v>
      </c>
      <c r="D13729" s="5">
        <v>0.1</v>
      </c>
      <c r="E13729" s="5">
        <v>112.1</v>
      </c>
      <c r="F13729" s="5">
        <v>222.4</v>
      </c>
      <c r="G13729" s="5">
        <v>110.5</v>
      </c>
      <c r="H13729" s="5">
        <v>110.4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112</v>
      </c>
      <c r="D13730" s="5">
        <v>0.1</v>
      </c>
      <c r="E13730" s="5">
        <v>112.1</v>
      </c>
      <c r="F13730" s="5">
        <v>222.4</v>
      </c>
      <c r="G13730" s="5">
        <v>110.5</v>
      </c>
      <c r="H13730" s="5">
        <v>110.4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112</v>
      </c>
      <c r="D13731" s="5">
        <v>0.1</v>
      </c>
      <c r="E13731" s="5">
        <v>112.1</v>
      </c>
      <c r="F13731" s="5">
        <v>222.4</v>
      </c>
      <c r="G13731" s="5">
        <v>110.5</v>
      </c>
      <c r="H13731" s="5">
        <v>110.4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112</v>
      </c>
      <c r="D13732" s="5">
        <v>0.1</v>
      </c>
      <c r="E13732" s="5">
        <v>112.1</v>
      </c>
      <c r="F13732" s="5">
        <v>222.4</v>
      </c>
      <c r="G13732" s="5">
        <v>110.5</v>
      </c>
      <c r="H13732" s="5">
        <v>110.4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112</v>
      </c>
      <c r="D13733" s="5">
        <v>0.1</v>
      </c>
      <c r="E13733" s="5">
        <v>112.1</v>
      </c>
      <c r="F13733" s="5">
        <v>222.4</v>
      </c>
      <c r="G13733" s="5">
        <v>110.5</v>
      </c>
      <c r="H13733" s="5">
        <v>110.4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112</v>
      </c>
      <c r="D13734" s="5">
        <v>0.1</v>
      </c>
      <c r="E13734" s="5">
        <v>112.1</v>
      </c>
      <c r="F13734" s="5">
        <v>222.4</v>
      </c>
      <c r="G13734" s="5">
        <v>110.5</v>
      </c>
      <c r="H13734" s="5">
        <v>110.4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112</v>
      </c>
      <c r="D13735" s="5">
        <v>0.1</v>
      </c>
      <c r="E13735" s="5">
        <v>112.1</v>
      </c>
      <c r="F13735" s="5">
        <v>222.4</v>
      </c>
      <c r="G13735" s="5">
        <v>110.5</v>
      </c>
      <c r="H13735" s="5">
        <v>110.4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112</v>
      </c>
      <c r="D13736" s="5">
        <v>0.1</v>
      </c>
      <c r="E13736" s="5">
        <v>112.1</v>
      </c>
      <c r="F13736" s="5">
        <v>222.4</v>
      </c>
      <c r="G13736" s="5">
        <v>110.5</v>
      </c>
      <c r="H13736" s="5">
        <v>110.4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112</v>
      </c>
      <c r="D13737" s="5">
        <v>0.1</v>
      </c>
      <c r="E13737" s="5">
        <v>112.1</v>
      </c>
      <c r="F13737" s="5">
        <v>222.4</v>
      </c>
      <c r="G13737" s="5">
        <v>110.5</v>
      </c>
      <c r="H13737" s="5">
        <v>110.4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112</v>
      </c>
      <c r="D13738" s="5">
        <v>0.1</v>
      </c>
      <c r="E13738" s="5">
        <v>112.1</v>
      </c>
      <c r="F13738" s="5">
        <v>222.4</v>
      </c>
      <c r="G13738" s="5">
        <v>110.5</v>
      </c>
      <c r="H13738" s="5">
        <v>110.4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112</v>
      </c>
      <c r="D13739" s="5">
        <v>0.1</v>
      </c>
      <c r="E13739" s="5">
        <v>112.1</v>
      </c>
      <c r="F13739" s="5">
        <v>222.4</v>
      </c>
      <c r="G13739" s="5">
        <v>110.5</v>
      </c>
      <c r="H13739" s="5">
        <v>110.4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112</v>
      </c>
      <c r="D13740" s="5">
        <v>0.1</v>
      </c>
      <c r="E13740" s="5">
        <v>112.1</v>
      </c>
      <c r="F13740" s="5">
        <v>222.4</v>
      </c>
      <c r="G13740" s="5">
        <v>110.5</v>
      </c>
      <c r="H13740" s="5">
        <v>110.4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112</v>
      </c>
      <c r="D13741" s="5">
        <v>0.1</v>
      </c>
      <c r="E13741" s="5">
        <v>112.1</v>
      </c>
      <c r="F13741" s="5">
        <v>222.4</v>
      </c>
      <c r="G13741" s="5">
        <v>110.5</v>
      </c>
      <c r="H13741" s="5">
        <v>110.4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112</v>
      </c>
      <c r="D13742" s="5">
        <v>0.1</v>
      </c>
      <c r="E13742" s="5">
        <v>112.1</v>
      </c>
      <c r="F13742" s="5">
        <v>222.4</v>
      </c>
      <c r="G13742" s="5">
        <v>110.5</v>
      </c>
      <c r="H13742" s="5">
        <v>110.4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112</v>
      </c>
      <c r="D13743" s="5">
        <v>0.1</v>
      </c>
      <c r="E13743" s="5">
        <v>112.1</v>
      </c>
      <c r="F13743" s="5">
        <v>222.4</v>
      </c>
      <c r="G13743" s="5">
        <v>110.5</v>
      </c>
      <c r="H13743" s="5">
        <v>110.4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112</v>
      </c>
      <c r="D13744" s="5">
        <v>0.1</v>
      </c>
      <c r="E13744" s="5">
        <v>112.1</v>
      </c>
      <c r="F13744" s="5">
        <v>222.4</v>
      </c>
      <c r="G13744" s="5">
        <v>110.5</v>
      </c>
      <c r="H13744" s="5">
        <v>110.4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112</v>
      </c>
      <c r="D13745" s="5">
        <v>0.1</v>
      </c>
      <c r="E13745" s="5">
        <v>112.1</v>
      </c>
      <c r="F13745" s="5">
        <v>222.4</v>
      </c>
      <c r="G13745" s="5">
        <v>110.5</v>
      </c>
      <c r="H13745" s="5">
        <v>110.4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112</v>
      </c>
      <c r="D13746" s="5">
        <v>0.1</v>
      </c>
      <c r="E13746" s="5">
        <v>112.1</v>
      </c>
      <c r="F13746" s="5">
        <v>222.4</v>
      </c>
      <c r="G13746" s="5">
        <v>110.5</v>
      </c>
      <c r="H13746" s="5">
        <v>110.4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112</v>
      </c>
      <c r="D13747" s="5">
        <v>0.1</v>
      </c>
      <c r="E13747" s="5">
        <v>112.1</v>
      </c>
      <c r="F13747" s="5">
        <v>222.4</v>
      </c>
      <c r="G13747" s="5">
        <v>110.5</v>
      </c>
      <c r="H13747" s="5">
        <v>110.4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112</v>
      </c>
      <c r="D13748" s="5">
        <v>0.1</v>
      </c>
      <c r="E13748" s="5">
        <v>112.1</v>
      </c>
      <c r="F13748" s="5">
        <v>222.4</v>
      </c>
      <c r="G13748" s="5">
        <v>110.5</v>
      </c>
      <c r="H13748" s="5">
        <v>110.4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112</v>
      </c>
      <c r="D13749" s="5">
        <v>0.1</v>
      </c>
      <c r="E13749" s="5">
        <v>112.1</v>
      </c>
      <c r="F13749" s="5">
        <v>222.4</v>
      </c>
      <c r="G13749" s="5">
        <v>110.5</v>
      </c>
      <c r="H13749" s="5">
        <v>110.4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112</v>
      </c>
      <c r="D13750" s="5">
        <v>0.1</v>
      </c>
      <c r="E13750" s="5">
        <v>112.1</v>
      </c>
      <c r="F13750" s="5">
        <v>222.4</v>
      </c>
      <c r="G13750" s="5">
        <v>110.5</v>
      </c>
      <c r="H13750" s="5">
        <v>110.4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112</v>
      </c>
      <c r="D13751" s="5">
        <v>0.1</v>
      </c>
      <c r="E13751" s="5">
        <v>112.1</v>
      </c>
      <c r="F13751" s="5">
        <v>222.4</v>
      </c>
      <c r="G13751" s="5">
        <v>110.5</v>
      </c>
      <c r="H13751" s="5">
        <v>110.4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112</v>
      </c>
      <c r="D13752" s="5">
        <v>0.1</v>
      </c>
      <c r="E13752" s="5">
        <v>112.1</v>
      </c>
      <c r="F13752" s="5">
        <v>222.4</v>
      </c>
      <c r="G13752" s="5">
        <v>110.5</v>
      </c>
      <c r="H13752" s="5">
        <v>110.4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112</v>
      </c>
      <c r="D13753" s="5">
        <v>0.1</v>
      </c>
      <c r="E13753" s="5">
        <v>112.1</v>
      </c>
      <c r="F13753" s="5">
        <v>222.4</v>
      </c>
      <c r="G13753" s="5">
        <v>110.5</v>
      </c>
      <c r="H13753" s="5">
        <v>110.4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112</v>
      </c>
      <c r="D13754" s="5">
        <v>0.1</v>
      </c>
      <c r="E13754" s="5">
        <v>112.1</v>
      </c>
      <c r="F13754" s="5">
        <v>222.4</v>
      </c>
      <c r="G13754" s="5">
        <v>110.5</v>
      </c>
      <c r="H13754" s="5">
        <v>110.4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112</v>
      </c>
      <c r="D13755" s="5">
        <v>0.1</v>
      </c>
      <c r="E13755" s="5">
        <v>112.1</v>
      </c>
      <c r="F13755" s="5">
        <v>222.4</v>
      </c>
      <c r="G13755" s="5">
        <v>110.5</v>
      </c>
      <c r="H13755" s="5">
        <v>110.4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112</v>
      </c>
      <c r="D13756" s="5">
        <v>0.1</v>
      </c>
      <c r="E13756" s="5">
        <v>112.1</v>
      </c>
      <c r="F13756" s="5">
        <v>222.4</v>
      </c>
      <c r="G13756" s="5">
        <v>110.5</v>
      </c>
      <c r="H13756" s="5">
        <v>110.4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112</v>
      </c>
      <c r="D13757" s="5">
        <v>0.1</v>
      </c>
      <c r="E13757" s="5">
        <v>112.1</v>
      </c>
      <c r="F13757" s="5">
        <v>222.4</v>
      </c>
      <c r="G13757" s="5">
        <v>110.5</v>
      </c>
      <c r="H13757" s="5">
        <v>110.4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112</v>
      </c>
      <c r="D13758" s="5">
        <v>0.1</v>
      </c>
      <c r="E13758" s="5">
        <v>112.1</v>
      </c>
      <c r="F13758" s="5">
        <v>222.4</v>
      </c>
      <c r="G13758" s="5">
        <v>110.5</v>
      </c>
      <c r="H13758" s="5">
        <v>110.4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112</v>
      </c>
      <c r="D13759" s="5">
        <v>0.1</v>
      </c>
      <c r="E13759" s="5">
        <v>112.1</v>
      </c>
      <c r="F13759" s="5">
        <v>222.4</v>
      </c>
      <c r="G13759" s="5">
        <v>110.5</v>
      </c>
      <c r="H13759" s="5">
        <v>110.4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112</v>
      </c>
      <c r="D13760" s="5">
        <v>0.1</v>
      </c>
      <c r="E13760" s="5">
        <v>112.1</v>
      </c>
      <c r="F13760" s="5">
        <v>222.4</v>
      </c>
      <c r="G13760" s="5">
        <v>110.5</v>
      </c>
      <c r="H13760" s="5">
        <v>110.4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112</v>
      </c>
      <c r="D13761" s="5">
        <v>0.1</v>
      </c>
      <c r="E13761" s="5">
        <v>112.1</v>
      </c>
      <c r="F13761" s="5">
        <v>222.4</v>
      </c>
      <c r="G13761" s="5">
        <v>110.5</v>
      </c>
      <c r="H13761" s="5">
        <v>110.4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112</v>
      </c>
      <c r="D13762" s="5">
        <v>0.1</v>
      </c>
      <c r="E13762" s="5">
        <v>112.1</v>
      </c>
      <c r="F13762" s="5">
        <v>222.4</v>
      </c>
      <c r="G13762" s="5">
        <v>110.5</v>
      </c>
      <c r="H13762" s="5">
        <v>110.4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112</v>
      </c>
      <c r="D13763" s="5">
        <v>0.1</v>
      </c>
      <c r="E13763" s="5">
        <v>112.1</v>
      </c>
      <c r="F13763" s="5">
        <v>222.4</v>
      </c>
      <c r="G13763" s="5">
        <v>110.5</v>
      </c>
      <c r="H13763" s="5">
        <v>110.4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112</v>
      </c>
      <c r="D13764" s="5">
        <v>0.1</v>
      </c>
      <c r="E13764" s="5">
        <v>112.1</v>
      </c>
      <c r="F13764" s="5">
        <v>222.4</v>
      </c>
      <c r="G13764" s="5">
        <v>110.5</v>
      </c>
      <c r="H13764" s="5">
        <v>110.4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112</v>
      </c>
      <c r="D13765" s="5">
        <v>0.1</v>
      </c>
      <c r="E13765" s="5">
        <v>112.1</v>
      </c>
      <c r="F13765" s="5">
        <v>222.4</v>
      </c>
      <c r="G13765" s="5">
        <v>110.5</v>
      </c>
      <c r="H13765" s="5">
        <v>110.4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112</v>
      </c>
      <c r="D13766" s="5">
        <v>0.1</v>
      </c>
      <c r="E13766" s="5">
        <v>112.1</v>
      </c>
      <c r="F13766" s="5">
        <v>222.4</v>
      </c>
      <c r="G13766" s="5">
        <v>110.5</v>
      </c>
      <c r="H13766" s="5">
        <v>110.4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112</v>
      </c>
      <c r="D13767" s="5">
        <v>0.1</v>
      </c>
      <c r="E13767" s="5">
        <v>112.1</v>
      </c>
      <c r="F13767" s="5">
        <v>222.4</v>
      </c>
      <c r="G13767" s="5">
        <v>110.5</v>
      </c>
      <c r="H13767" s="5">
        <v>110.4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112</v>
      </c>
      <c r="D13768" s="5">
        <v>0.1</v>
      </c>
      <c r="E13768" s="5">
        <v>112.1</v>
      </c>
      <c r="F13768" s="5">
        <v>222.4</v>
      </c>
      <c r="G13768" s="5">
        <v>110.5</v>
      </c>
      <c r="H13768" s="5">
        <v>110.4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112</v>
      </c>
      <c r="D13769" s="5">
        <v>0.1</v>
      </c>
      <c r="E13769" s="5">
        <v>112.1</v>
      </c>
      <c r="F13769" s="5">
        <v>222.4</v>
      </c>
      <c r="G13769" s="5">
        <v>110.5</v>
      </c>
      <c r="H13769" s="5">
        <v>110.4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112</v>
      </c>
      <c r="D13770" s="5">
        <v>0.1</v>
      </c>
      <c r="E13770" s="5">
        <v>112.1</v>
      </c>
      <c r="F13770" s="5">
        <v>222.4</v>
      </c>
      <c r="G13770" s="5">
        <v>110.5</v>
      </c>
      <c r="H13770" s="5">
        <v>110.4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112</v>
      </c>
      <c r="D13771" s="5">
        <v>0.1</v>
      </c>
      <c r="E13771" s="5">
        <v>112.1</v>
      </c>
      <c r="F13771" s="5">
        <v>222.4</v>
      </c>
      <c r="G13771" s="5">
        <v>110.5</v>
      </c>
      <c r="H13771" s="5">
        <v>110.4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112</v>
      </c>
      <c r="D13772" s="5">
        <v>0.1</v>
      </c>
      <c r="E13772" s="5">
        <v>112.1</v>
      </c>
      <c r="F13772" s="5">
        <v>222.4</v>
      </c>
      <c r="G13772" s="5">
        <v>110.5</v>
      </c>
      <c r="H13772" s="5">
        <v>110.4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112</v>
      </c>
      <c r="D13773" s="5">
        <v>0.1</v>
      </c>
      <c r="E13773" s="5">
        <v>112.1</v>
      </c>
      <c r="F13773" s="5">
        <v>222.4</v>
      </c>
      <c r="G13773" s="5">
        <v>110.5</v>
      </c>
      <c r="H13773" s="5">
        <v>110.4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112</v>
      </c>
      <c r="D13774" s="5">
        <v>0.1</v>
      </c>
      <c r="E13774" s="5">
        <v>112.1</v>
      </c>
      <c r="F13774" s="5">
        <v>222.4</v>
      </c>
      <c r="G13774" s="5">
        <v>110.5</v>
      </c>
      <c r="H13774" s="5">
        <v>110.4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112</v>
      </c>
      <c r="D13775" s="5">
        <v>0.1</v>
      </c>
      <c r="E13775" s="5">
        <v>112.1</v>
      </c>
      <c r="F13775" s="5">
        <v>222.4</v>
      </c>
      <c r="G13775" s="5">
        <v>110.5</v>
      </c>
      <c r="H13775" s="5">
        <v>110.4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112</v>
      </c>
      <c r="D13776" s="5">
        <v>0.1</v>
      </c>
      <c r="E13776" s="5">
        <v>112.1</v>
      </c>
      <c r="F13776" s="5">
        <v>222.4</v>
      </c>
      <c r="G13776" s="5">
        <v>110.5</v>
      </c>
      <c r="H13776" s="5">
        <v>110.4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112</v>
      </c>
      <c r="D13777" s="5">
        <v>0.1</v>
      </c>
      <c r="E13777" s="5">
        <v>112.1</v>
      </c>
      <c r="F13777" s="5">
        <v>222.4</v>
      </c>
      <c r="G13777" s="5">
        <v>110.5</v>
      </c>
      <c r="H13777" s="5">
        <v>110.4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112</v>
      </c>
      <c r="D13778" s="5">
        <v>0.1</v>
      </c>
      <c r="E13778" s="5">
        <v>112.1</v>
      </c>
      <c r="F13778" s="5">
        <v>222.4</v>
      </c>
      <c r="G13778" s="5">
        <v>110.5</v>
      </c>
      <c r="H13778" s="5">
        <v>110.4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112</v>
      </c>
      <c r="D13779" s="5">
        <v>0.1</v>
      </c>
      <c r="E13779" s="5">
        <v>112.1</v>
      </c>
      <c r="F13779" s="5">
        <v>222.4</v>
      </c>
      <c r="G13779" s="5">
        <v>110.5</v>
      </c>
      <c r="H13779" s="5">
        <v>110.4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112</v>
      </c>
      <c r="D13780" s="5">
        <v>0.1</v>
      </c>
      <c r="E13780" s="5">
        <v>112.1</v>
      </c>
      <c r="F13780" s="5">
        <v>222.4</v>
      </c>
      <c r="G13780" s="5">
        <v>110.5</v>
      </c>
      <c r="H13780" s="5">
        <v>110.4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112</v>
      </c>
      <c r="D13781" s="5">
        <v>0.1</v>
      </c>
      <c r="E13781" s="5">
        <v>112.1</v>
      </c>
      <c r="F13781" s="5">
        <v>222.4</v>
      </c>
      <c r="G13781" s="5">
        <v>110.5</v>
      </c>
      <c r="H13781" s="5">
        <v>110.4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112</v>
      </c>
      <c r="D13782" s="5">
        <v>0.1</v>
      </c>
      <c r="E13782" s="5">
        <v>112.1</v>
      </c>
      <c r="F13782" s="5">
        <v>222.4</v>
      </c>
      <c r="G13782" s="5">
        <v>110.5</v>
      </c>
      <c r="H13782" s="5">
        <v>110.4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112</v>
      </c>
      <c r="D13783" s="5">
        <v>0.1</v>
      </c>
      <c r="E13783" s="5">
        <v>112.1</v>
      </c>
      <c r="F13783" s="5">
        <v>222.4</v>
      </c>
      <c r="G13783" s="5">
        <v>110.5</v>
      </c>
      <c r="H13783" s="5">
        <v>110.4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112</v>
      </c>
      <c r="D13784" s="5">
        <v>0.1</v>
      </c>
      <c r="E13784" s="5">
        <v>112.1</v>
      </c>
      <c r="F13784" s="5">
        <v>222.4</v>
      </c>
      <c r="G13784" s="5">
        <v>110.5</v>
      </c>
      <c r="H13784" s="5">
        <v>110.4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112</v>
      </c>
      <c r="D13785" s="5">
        <v>0.1</v>
      </c>
      <c r="E13785" s="5">
        <v>112.1</v>
      </c>
      <c r="F13785" s="5">
        <v>222.4</v>
      </c>
      <c r="G13785" s="5">
        <v>110.5</v>
      </c>
      <c r="H13785" s="5">
        <v>110.4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112</v>
      </c>
      <c r="D13786" s="5">
        <v>0.1</v>
      </c>
      <c r="E13786" s="5">
        <v>112.1</v>
      </c>
      <c r="F13786" s="5">
        <v>222.4</v>
      </c>
      <c r="G13786" s="5">
        <v>110.5</v>
      </c>
      <c r="H13786" s="5">
        <v>110.4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112</v>
      </c>
      <c r="D13787" s="5">
        <v>0.1</v>
      </c>
      <c r="E13787" s="5">
        <v>112.1</v>
      </c>
      <c r="F13787" s="5">
        <v>222.4</v>
      </c>
      <c r="G13787" s="5">
        <v>110.5</v>
      </c>
      <c r="H13787" s="5">
        <v>110.4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112</v>
      </c>
      <c r="D13788" s="5">
        <v>0.1</v>
      </c>
      <c r="E13788" s="5">
        <v>112.1</v>
      </c>
      <c r="F13788" s="5">
        <v>222.4</v>
      </c>
      <c r="G13788" s="5">
        <v>110.5</v>
      </c>
      <c r="H13788" s="5">
        <v>110.4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112</v>
      </c>
      <c r="D13789" s="5">
        <v>0.1</v>
      </c>
      <c r="E13789" s="5">
        <v>112.1</v>
      </c>
      <c r="F13789" s="5">
        <v>222.4</v>
      </c>
      <c r="G13789" s="5">
        <v>110.5</v>
      </c>
      <c r="H13789" s="5">
        <v>110.4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112</v>
      </c>
      <c r="D13790" s="5">
        <v>0.1</v>
      </c>
      <c r="E13790" s="5">
        <v>112.1</v>
      </c>
      <c r="F13790" s="5">
        <v>222.4</v>
      </c>
      <c r="G13790" s="5">
        <v>110.5</v>
      </c>
      <c r="H13790" s="5">
        <v>110.4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112</v>
      </c>
      <c r="D13791" s="5">
        <v>0.1</v>
      </c>
      <c r="E13791" s="5">
        <v>112.1</v>
      </c>
      <c r="F13791" s="5">
        <v>222.4</v>
      </c>
      <c r="G13791" s="5">
        <v>110.5</v>
      </c>
      <c r="H13791" s="5">
        <v>110.4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112</v>
      </c>
      <c r="D13792" s="5">
        <v>0.1</v>
      </c>
      <c r="E13792" s="5">
        <v>112.1</v>
      </c>
      <c r="F13792" s="5">
        <v>222.4</v>
      </c>
      <c r="G13792" s="5">
        <v>110.5</v>
      </c>
      <c r="H13792" s="5">
        <v>110.4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112</v>
      </c>
      <c r="D13793" s="5">
        <v>0.1</v>
      </c>
      <c r="E13793" s="5">
        <v>112.1</v>
      </c>
      <c r="F13793" s="5">
        <v>222.4</v>
      </c>
      <c r="G13793" s="5">
        <v>110.5</v>
      </c>
      <c r="H13793" s="5">
        <v>110.4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112</v>
      </c>
      <c r="D13794" s="5">
        <v>0.1</v>
      </c>
      <c r="E13794" s="5">
        <v>112.1</v>
      </c>
      <c r="F13794" s="5">
        <v>222.4</v>
      </c>
      <c r="G13794" s="5">
        <v>110.5</v>
      </c>
      <c r="H13794" s="5">
        <v>110.4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112</v>
      </c>
      <c r="D13795" s="5">
        <v>0.1</v>
      </c>
      <c r="E13795" s="5">
        <v>112.1</v>
      </c>
      <c r="F13795" s="5">
        <v>222.4</v>
      </c>
      <c r="G13795" s="5">
        <v>110.5</v>
      </c>
      <c r="H13795" s="5">
        <v>110.4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112</v>
      </c>
      <c r="D13796" s="5">
        <v>0.1</v>
      </c>
      <c r="E13796" s="5">
        <v>112.1</v>
      </c>
      <c r="F13796" s="5">
        <v>222.4</v>
      </c>
      <c r="G13796" s="5">
        <v>110.5</v>
      </c>
      <c r="H13796" s="5">
        <v>110.4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112</v>
      </c>
      <c r="D13797" s="5">
        <v>0.1</v>
      </c>
      <c r="E13797" s="5">
        <v>112.1</v>
      </c>
      <c r="F13797" s="5">
        <v>222.4</v>
      </c>
      <c r="G13797" s="5">
        <v>110.5</v>
      </c>
      <c r="H13797" s="5">
        <v>110.4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112</v>
      </c>
      <c r="D13798" s="5">
        <v>0.1</v>
      </c>
      <c r="E13798" s="5">
        <v>112.1</v>
      </c>
      <c r="F13798" s="5">
        <v>222.4</v>
      </c>
      <c r="G13798" s="5">
        <v>110.5</v>
      </c>
      <c r="H13798" s="5">
        <v>110.4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112</v>
      </c>
      <c r="D13799" s="5">
        <v>0.1</v>
      </c>
      <c r="E13799" s="5">
        <v>112.1</v>
      </c>
      <c r="F13799" s="5">
        <v>222.4</v>
      </c>
      <c r="G13799" s="5">
        <v>110.5</v>
      </c>
      <c r="H13799" s="5">
        <v>110.4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112</v>
      </c>
      <c r="D13800" s="5">
        <v>0.1</v>
      </c>
      <c r="E13800" s="5">
        <v>112.1</v>
      </c>
      <c r="F13800" s="5">
        <v>222.4</v>
      </c>
      <c r="G13800" s="5">
        <v>110.5</v>
      </c>
      <c r="H13800" s="5">
        <v>110.4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112</v>
      </c>
      <c r="D13801" s="5">
        <v>0.1</v>
      </c>
      <c r="E13801" s="5">
        <v>112.1</v>
      </c>
      <c r="F13801" s="5">
        <v>222.4</v>
      </c>
      <c r="G13801" s="5">
        <v>110.5</v>
      </c>
      <c r="H13801" s="5">
        <v>110.4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112</v>
      </c>
      <c r="D13802" s="5">
        <v>0.1</v>
      </c>
      <c r="E13802" s="5">
        <v>112.1</v>
      </c>
      <c r="F13802" s="5">
        <v>222.4</v>
      </c>
      <c r="G13802" s="5">
        <v>110.5</v>
      </c>
      <c r="H13802" s="5">
        <v>110.4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112</v>
      </c>
      <c r="D13803" s="5">
        <v>0.1</v>
      </c>
      <c r="E13803" s="5">
        <v>112.1</v>
      </c>
      <c r="F13803" s="5">
        <v>222.4</v>
      </c>
      <c r="G13803" s="5">
        <v>110.5</v>
      </c>
      <c r="H13803" s="5">
        <v>110.4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112</v>
      </c>
      <c r="D13804" s="5">
        <v>0.1</v>
      </c>
      <c r="E13804" s="5">
        <v>112.1</v>
      </c>
      <c r="F13804" s="5">
        <v>222.4</v>
      </c>
      <c r="G13804" s="5">
        <v>110.5</v>
      </c>
      <c r="H13804" s="5">
        <v>110.4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112</v>
      </c>
      <c r="D13805" s="5">
        <v>0.1</v>
      </c>
      <c r="E13805" s="5">
        <v>112.1</v>
      </c>
      <c r="F13805" s="5">
        <v>222.4</v>
      </c>
      <c r="G13805" s="5">
        <v>110.5</v>
      </c>
      <c r="H13805" s="5">
        <v>110.4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112</v>
      </c>
      <c r="D13806" s="5">
        <v>0.1</v>
      </c>
      <c r="E13806" s="5">
        <v>112.1</v>
      </c>
      <c r="F13806" s="5">
        <v>222.4</v>
      </c>
      <c r="G13806" s="5">
        <v>110.5</v>
      </c>
      <c r="H13806" s="5">
        <v>110.4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112</v>
      </c>
      <c r="D13807" s="5">
        <v>0.1</v>
      </c>
      <c r="E13807" s="5">
        <v>112.1</v>
      </c>
      <c r="F13807" s="5">
        <v>222.4</v>
      </c>
      <c r="G13807" s="5">
        <v>110.5</v>
      </c>
      <c r="H13807" s="5">
        <v>110.4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112</v>
      </c>
      <c r="D13808" s="5">
        <v>0.1</v>
      </c>
      <c r="E13808" s="5">
        <v>112.1</v>
      </c>
      <c r="F13808" s="5">
        <v>222.4</v>
      </c>
      <c r="G13808" s="5">
        <v>110.5</v>
      </c>
      <c r="H13808" s="5">
        <v>110.4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112</v>
      </c>
      <c r="D13809" s="5">
        <v>0.1</v>
      </c>
      <c r="E13809" s="5">
        <v>112.1</v>
      </c>
      <c r="F13809" s="5">
        <v>222.4</v>
      </c>
      <c r="G13809" s="5">
        <v>110.5</v>
      </c>
      <c r="H13809" s="5">
        <v>110.4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112</v>
      </c>
      <c r="D13810" s="5">
        <v>0.1</v>
      </c>
      <c r="E13810" s="5">
        <v>112.1</v>
      </c>
      <c r="F13810" s="5">
        <v>222.4</v>
      </c>
      <c r="G13810" s="5">
        <v>110.5</v>
      </c>
      <c r="H13810" s="5">
        <v>110.4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112</v>
      </c>
      <c r="D13811" s="5">
        <v>0.1</v>
      </c>
      <c r="E13811" s="5">
        <v>112.1</v>
      </c>
      <c r="F13811" s="5">
        <v>222.4</v>
      </c>
      <c r="G13811" s="5">
        <v>110.5</v>
      </c>
      <c r="H13811" s="5">
        <v>110.4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112</v>
      </c>
      <c r="D13812" s="5">
        <v>0.1</v>
      </c>
      <c r="E13812" s="5">
        <v>112.1</v>
      </c>
      <c r="F13812" s="5">
        <v>222.4</v>
      </c>
      <c r="G13812" s="5">
        <v>110.5</v>
      </c>
      <c r="H13812" s="5">
        <v>110.4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112</v>
      </c>
      <c r="D13813" s="5">
        <v>0.1</v>
      </c>
      <c r="E13813" s="5">
        <v>112.1</v>
      </c>
      <c r="F13813" s="5">
        <v>222.4</v>
      </c>
      <c r="G13813" s="5">
        <v>110.5</v>
      </c>
      <c r="H13813" s="5">
        <v>110.4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112</v>
      </c>
      <c r="D13814" s="5">
        <v>0.1</v>
      </c>
      <c r="E13814" s="5">
        <v>112.1</v>
      </c>
      <c r="F13814" s="5">
        <v>222.4</v>
      </c>
      <c r="G13814" s="5">
        <v>110.5</v>
      </c>
      <c r="H13814" s="5">
        <v>110.4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112</v>
      </c>
      <c r="D13815" s="5">
        <v>0.1</v>
      </c>
      <c r="E13815" s="5">
        <v>112.1</v>
      </c>
      <c r="F13815" s="5">
        <v>222.4</v>
      </c>
      <c r="G13815" s="5">
        <v>110.5</v>
      </c>
      <c r="H13815" s="5">
        <v>110.4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112</v>
      </c>
      <c r="D13816" s="5">
        <v>0.1</v>
      </c>
      <c r="E13816" s="5">
        <v>112.1</v>
      </c>
      <c r="F13816" s="5">
        <v>222.4</v>
      </c>
      <c r="G13816" s="5">
        <v>110.5</v>
      </c>
      <c r="H13816" s="5">
        <v>110.4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112</v>
      </c>
      <c r="D13817" s="5">
        <v>0.1</v>
      </c>
      <c r="E13817" s="5">
        <v>112.1</v>
      </c>
      <c r="F13817" s="5">
        <v>222.4</v>
      </c>
      <c r="G13817" s="5">
        <v>110.5</v>
      </c>
      <c r="H13817" s="5">
        <v>110.4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112</v>
      </c>
      <c r="D13818" s="5">
        <v>0.1</v>
      </c>
      <c r="E13818" s="5">
        <v>112.1</v>
      </c>
      <c r="F13818" s="5">
        <v>222.4</v>
      </c>
      <c r="G13818" s="5">
        <v>110.5</v>
      </c>
      <c r="H13818" s="5">
        <v>110.4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112</v>
      </c>
      <c r="D13819" s="5">
        <v>0.1</v>
      </c>
      <c r="E13819" s="5">
        <v>112.1</v>
      </c>
      <c r="F13819" s="5">
        <v>222.4</v>
      </c>
      <c r="G13819" s="5">
        <v>110.5</v>
      </c>
      <c r="H13819" s="5">
        <v>110.4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112</v>
      </c>
      <c r="D13820" s="5">
        <v>0.1</v>
      </c>
      <c r="E13820" s="5">
        <v>112.1</v>
      </c>
      <c r="F13820" s="5">
        <v>222.4</v>
      </c>
      <c r="G13820" s="5">
        <v>110.5</v>
      </c>
      <c r="H13820" s="5">
        <v>110.4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112</v>
      </c>
      <c r="D13821" s="5">
        <v>0.1</v>
      </c>
      <c r="E13821" s="5">
        <v>112.1</v>
      </c>
      <c r="F13821" s="5">
        <v>222.4</v>
      </c>
      <c r="G13821" s="5">
        <v>110.5</v>
      </c>
      <c r="H13821" s="5">
        <v>110.4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112</v>
      </c>
      <c r="D13822" s="5">
        <v>0.1</v>
      </c>
      <c r="E13822" s="5">
        <v>112.1</v>
      </c>
      <c r="F13822" s="5">
        <v>222.4</v>
      </c>
      <c r="G13822" s="5">
        <v>110.5</v>
      </c>
      <c r="H13822" s="5">
        <v>110.4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112</v>
      </c>
      <c r="D13823" s="5">
        <v>0.1</v>
      </c>
      <c r="E13823" s="5">
        <v>112.1</v>
      </c>
      <c r="F13823" s="5">
        <v>222.4</v>
      </c>
      <c r="G13823" s="5">
        <v>110.5</v>
      </c>
      <c r="H13823" s="5">
        <v>110.4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112</v>
      </c>
      <c r="D13824" s="5">
        <v>0.1</v>
      </c>
      <c r="E13824" s="5">
        <v>112.1</v>
      </c>
      <c r="F13824" s="5">
        <v>222.4</v>
      </c>
      <c r="G13824" s="5">
        <v>110.5</v>
      </c>
      <c r="H13824" s="5">
        <v>110.4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112</v>
      </c>
      <c r="D13825" s="5">
        <v>0.1</v>
      </c>
      <c r="E13825" s="5">
        <v>112.1</v>
      </c>
      <c r="F13825" s="5">
        <v>222.4</v>
      </c>
      <c r="G13825" s="5">
        <v>110.5</v>
      </c>
      <c r="H13825" s="5">
        <v>110.4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112</v>
      </c>
      <c r="D13826" s="5">
        <v>0.1</v>
      </c>
      <c r="E13826" s="5">
        <v>112.1</v>
      </c>
      <c r="F13826" s="5">
        <v>222.4</v>
      </c>
      <c r="G13826" s="5">
        <v>110.5</v>
      </c>
      <c r="H13826" s="5">
        <v>110.4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112</v>
      </c>
      <c r="D13827" s="5">
        <v>0.1</v>
      </c>
      <c r="E13827" s="5">
        <v>112.1</v>
      </c>
      <c r="F13827" s="5">
        <v>222.4</v>
      </c>
      <c r="G13827" s="5">
        <v>110.5</v>
      </c>
      <c r="H13827" s="5">
        <v>110.4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112</v>
      </c>
      <c r="D13828" s="5">
        <v>0.1</v>
      </c>
      <c r="E13828" s="5">
        <v>112.1</v>
      </c>
      <c r="F13828" s="5">
        <v>222.4</v>
      </c>
      <c r="G13828" s="5">
        <v>110.5</v>
      </c>
      <c r="H13828" s="5">
        <v>110.4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112</v>
      </c>
      <c r="D13829" s="5">
        <v>0.1</v>
      </c>
      <c r="E13829" s="5">
        <v>112.1</v>
      </c>
      <c r="F13829" s="5">
        <v>222.4</v>
      </c>
      <c r="G13829" s="5">
        <v>110.5</v>
      </c>
      <c r="H13829" s="5">
        <v>110.4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112</v>
      </c>
      <c r="D13830" s="5">
        <v>0.1</v>
      </c>
      <c r="E13830" s="5">
        <v>112.1</v>
      </c>
      <c r="F13830" s="5">
        <v>222.4</v>
      </c>
      <c r="G13830" s="5">
        <v>110.5</v>
      </c>
      <c r="H13830" s="5">
        <v>110.4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112</v>
      </c>
      <c r="D13831" s="5">
        <v>0.1</v>
      </c>
      <c r="E13831" s="5">
        <v>112.1</v>
      </c>
      <c r="F13831" s="5">
        <v>222.4</v>
      </c>
      <c r="G13831" s="5">
        <v>110.5</v>
      </c>
      <c r="H13831" s="5">
        <v>110.4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112</v>
      </c>
      <c r="D13832" s="5">
        <v>0.1</v>
      </c>
      <c r="E13832" s="5">
        <v>112.1</v>
      </c>
      <c r="F13832" s="5">
        <v>222.4</v>
      </c>
      <c r="G13832" s="5">
        <v>110.5</v>
      </c>
      <c r="H13832" s="5">
        <v>110.4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112</v>
      </c>
      <c r="D13833" s="5">
        <v>0.1</v>
      </c>
      <c r="E13833" s="5">
        <v>112.1</v>
      </c>
      <c r="F13833" s="5">
        <v>222.4</v>
      </c>
      <c r="G13833" s="5">
        <v>110.5</v>
      </c>
      <c r="H13833" s="5">
        <v>110.4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112</v>
      </c>
      <c r="D13834" s="5">
        <v>0.1</v>
      </c>
      <c r="E13834" s="5">
        <v>112.1</v>
      </c>
      <c r="F13834" s="5">
        <v>222.4</v>
      </c>
      <c r="G13834" s="5">
        <v>110.5</v>
      </c>
      <c r="H13834" s="5">
        <v>110.4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112</v>
      </c>
      <c r="D13835" s="5">
        <v>0.1</v>
      </c>
      <c r="E13835" s="5">
        <v>112.1</v>
      </c>
      <c r="F13835" s="5">
        <v>222.4</v>
      </c>
      <c r="G13835" s="5">
        <v>110.5</v>
      </c>
      <c r="H13835" s="5">
        <v>110.4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112</v>
      </c>
      <c r="D13836" s="5">
        <v>0.1</v>
      </c>
      <c r="E13836" s="5">
        <v>112.1</v>
      </c>
      <c r="F13836" s="5">
        <v>222.4</v>
      </c>
      <c r="G13836" s="5">
        <v>110.5</v>
      </c>
      <c r="H13836" s="5">
        <v>110.4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112</v>
      </c>
      <c r="D13837" s="5">
        <v>0.1</v>
      </c>
      <c r="E13837" s="5">
        <v>112.1</v>
      </c>
      <c r="F13837" s="5">
        <v>222.4</v>
      </c>
      <c r="G13837" s="5">
        <v>110.5</v>
      </c>
      <c r="H13837" s="5">
        <v>110.4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112</v>
      </c>
      <c r="D13838" s="5">
        <v>0.1</v>
      </c>
      <c r="E13838" s="5">
        <v>112.1</v>
      </c>
      <c r="F13838" s="5">
        <v>222.4</v>
      </c>
      <c r="G13838" s="5">
        <v>110.5</v>
      </c>
      <c r="H13838" s="5">
        <v>110.4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112</v>
      </c>
      <c r="D13839" s="5">
        <v>0.1</v>
      </c>
      <c r="E13839" s="5">
        <v>112.1</v>
      </c>
      <c r="F13839" s="5">
        <v>222.4</v>
      </c>
      <c r="G13839" s="5">
        <v>110.5</v>
      </c>
      <c r="H13839" s="5">
        <v>110.4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112</v>
      </c>
      <c r="D13840" s="5">
        <v>0.1</v>
      </c>
      <c r="E13840" s="5">
        <v>112.1</v>
      </c>
      <c r="F13840" s="5">
        <v>222.4</v>
      </c>
      <c r="G13840" s="5">
        <v>110.5</v>
      </c>
      <c r="H13840" s="5">
        <v>110.4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112</v>
      </c>
      <c r="D13841" s="5">
        <v>0.1</v>
      </c>
      <c r="E13841" s="5">
        <v>112.1</v>
      </c>
      <c r="F13841" s="5">
        <v>222.4</v>
      </c>
      <c r="G13841" s="5">
        <v>110.5</v>
      </c>
      <c r="H13841" s="5">
        <v>110.4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112</v>
      </c>
      <c r="D13842" s="5">
        <v>0.1</v>
      </c>
      <c r="E13842" s="5">
        <v>112.1</v>
      </c>
      <c r="F13842" s="5">
        <v>222.4</v>
      </c>
      <c r="G13842" s="5">
        <v>110.5</v>
      </c>
      <c r="H13842" s="5">
        <v>110.4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112</v>
      </c>
      <c r="D13843" s="5">
        <v>0.1</v>
      </c>
      <c r="E13843" s="5">
        <v>112.1</v>
      </c>
      <c r="F13843" s="5">
        <v>222.4</v>
      </c>
      <c r="G13843" s="5">
        <v>110.5</v>
      </c>
      <c r="H13843" s="5">
        <v>110.4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112</v>
      </c>
      <c r="D13844" s="5">
        <v>0.1</v>
      </c>
      <c r="E13844" s="5">
        <v>112.1</v>
      </c>
      <c r="F13844" s="5">
        <v>222.4</v>
      </c>
      <c r="G13844" s="5">
        <v>110.5</v>
      </c>
      <c r="H13844" s="5">
        <v>110.4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112</v>
      </c>
      <c r="D13845" s="5">
        <v>0.1</v>
      </c>
      <c r="E13845" s="5">
        <v>112.1</v>
      </c>
      <c r="F13845" s="5">
        <v>222.4</v>
      </c>
      <c r="G13845" s="5">
        <v>110.5</v>
      </c>
      <c r="H13845" s="5">
        <v>110.4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112</v>
      </c>
      <c r="D13846" s="5">
        <v>0.1</v>
      </c>
      <c r="E13846" s="5">
        <v>112.1</v>
      </c>
      <c r="F13846" s="5">
        <v>222.4</v>
      </c>
      <c r="G13846" s="5">
        <v>110.5</v>
      </c>
      <c r="H13846" s="5">
        <v>110.4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112</v>
      </c>
      <c r="D13847" s="5">
        <v>0.1</v>
      </c>
      <c r="E13847" s="5">
        <v>112.1</v>
      </c>
      <c r="F13847" s="5">
        <v>222.4</v>
      </c>
      <c r="G13847" s="5">
        <v>110.5</v>
      </c>
      <c r="H13847" s="5">
        <v>110.4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112</v>
      </c>
      <c r="D13848" s="5">
        <v>0.1</v>
      </c>
      <c r="E13848" s="5">
        <v>112.1</v>
      </c>
      <c r="F13848" s="5">
        <v>222.4</v>
      </c>
      <c r="G13848" s="5">
        <v>110.5</v>
      </c>
      <c r="H13848" s="5">
        <v>110.4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112</v>
      </c>
      <c r="D13849" s="5">
        <v>0.1</v>
      </c>
      <c r="E13849" s="5">
        <v>112.1</v>
      </c>
      <c r="F13849" s="5">
        <v>222.4</v>
      </c>
      <c r="G13849" s="5">
        <v>110.5</v>
      </c>
      <c r="H13849" s="5">
        <v>110.4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112</v>
      </c>
      <c r="D13850" s="5">
        <v>0.1</v>
      </c>
      <c r="E13850" s="5">
        <v>112.1</v>
      </c>
      <c r="F13850" s="5">
        <v>222.4</v>
      </c>
      <c r="G13850" s="5">
        <v>110.5</v>
      </c>
      <c r="H13850" s="5">
        <v>110.4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112</v>
      </c>
      <c r="D13851" s="5">
        <v>0.1</v>
      </c>
      <c r="E13851" s="5">
        <v>112.1</v>
      </c>
      <c r="F13851" s="5">
        <v>222.4</v>
      </c>
      <c r="G13851" s="5">
        <v>110.5</v>
      </c>
      <c r="H13851" s="5">
        <v>110.4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112</v>
      </c>
      <c r="D13852" s="5">
        <v>0.1</v>
      </c>
      <c r="E13852" s="5">
        <v>112.1</v>
      </c>
      <c r="F13852" s="5">
        <v>222.4</v>
      </c>
      <c r="G13852" s="5">
        <v>110.5</v>
      </c>
      <c r="H13852" s="5">
        <v>110.4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112</v>
      </c>
      <c r="D13853" s="5">
        <v>0.1</v>
      </c>
      <c r="E13853" s="5">
        <v>112.1</v>
      </c>
      <c r="F13853" s="5">
        <v>222.4</v>
      </c>
      <c r="G13853" s="5">
        <v>110.5</v>
      </c>
      <c r="H13853" s="5">
        <v>110.4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112</v>
      </c>
      <c r="D13854" s="5">
        <v>0.1</v>
      </c>
      <c r="E13854" s="5">
        <v>112.1</v>
      </c>
      <c r="F13854" s="5">
        <v>222.4</v>
      </c>
      <c r="G13854" s="5">
        <v>110.5</v>
      </c>
      <c r="H13854" s="5">
        <v>110.4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112</v>
      </c>
      <c r="D13855" s="5">
        <v>0.1</v>
      </c>
      <c r="E13855" s="5">
        <v>112.1</v>
      </c>
      <c r="F13855" s="5">
        <v>222.4</v>
      </c>
      <c r="G13855" s="5">
        <v>110.5</v>
      </c>
      <c r="H13855" s="5">
        <v>110.4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112</v>
      </c>
      <c r="D13856" s="5">
        <v>0.1</v>
      </c>
      <c r="E13856" s="5">
        <v>112.1</v>
      </c>
      <c r="F13856" s="5">
        <v>222.4</v>
      </c>
      <c r="G13856" s="5">
        <v>110.5</v>
      </c>
      <c r="H13856" s="5">
        <v>110.4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112</v>
      </c>
      <c r="D13857" s="5">
        <v>0.1</v>
      </c>
      <c r="E13857" s="5">
        <v>112.1</v>
      </c>
      <c r="F13857" s="5">
        <v>222.4</v>
      </c>
      <c r="G13857" s="5">
        <v>110.5</v>
      </c>
      <c r="H13857" s="5">
        <v>110.4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112</v>
      </c>
      <c r="D13858" s="5">
        <v>0.1</v>
      </c>
      <c r="E13858" s="5">
        <v>112.1</v>
      </c>
      <c r="F13858" s="5">
        <v>222.4</v>
      </c>
      <c r="G13858" s="5">
        <v>110.5</v>
      </c>
      <c r="H13858" s="5">
        <v>110.4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112</v>
      </c>
      <c r="D13859" s="5">
        <v>0.1</v>
      </c>
      <c r="E13859" s="5">
        <v>112.1</v>
      </c>
      <c r="F13859" s="5">
        <v>222.4</v>
      </c>
      <c r="G13859" s="5">
        <v>110.5</v>
      </c>
      <c r="H13859" s="5">
        <v>110.4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112</v>
      </c>
      <c r="D13860" s="5">
        <v>0.1</v>
      </c>
      <c r="E13860" s="5">
        <v>112.1</v>
      </c>
      <c r="F13860" s="5">
        <v>222.4</v>
      </c>
      <c r="G13860" s="5">
        <v>110.5</v>
      </c>
      <c r="H13860" s="5">
        <v>110.4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112</v>
      </c>
      <c r="D13861" s="5">
        <v>0.1</v>
      </c>
      <c r="E13861" s="5">
        <v>112.1</v>
      </c>
      <c r="F13861" s="5">
        <v>222.4</v>
      </c>
      <c r="G13861" s="5">
        <v>110.5</v>
      </c>
      <c r="H13861" s="5">
        <v>110.4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112</v>
      </c>
      <c r="D13862" s="5">
        <v>0.1</v>
      </c>
      <c r="E13862" s="5">
        <v>112.1</v>
      </c>
      <c r="F13862" s="5">
        <v>222.4</v>
      </c>
      <c r="G13862" s="5">
        <v>110.5</v>
      </c>
      <c r="H13862" s="5">
        <v>110.4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112</v>
      </c>
      <c r="D13863" s="5">
        <v>0.1</v>
      </c>
      <c r="E13863" s="5">
        <v>112.1</v>
      </c>
      <c r="F13863" s="5">
        <v>222.4</v>
      </c>
      <c r="G13863" s="5">
        <v>110.5</v>
      </c>
      <c r="H13863" s="5">
        <v>110.4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112</v>
      </c>
      <c r="D13864" s="5">
        <v>0.1</v>
      </c>
      <c r="E13864" s="5">
        <v>112.1</v>
      </c>
      <c r="F13864" s="5">
        <v>222.4</v>
      </c>
      <c r="G13864" s="5">
        <v>110.5</v>
      </c>
      <c r="H13864" s="5">
        <v>110.4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112</v>
      </c>
      <c r="D13865" s="5">
        <v>0.1</v>
      </c>
      <c r="E13865" s="5">
        <v>112.1</v>
      </c>
      <c r="F13865" s="5">
        <v>222.4</v>
      </c>
      <c r="G13865" s="5">
        <v>110.5</v>
      </c>
      <c r="H13865" s="5">
        <v>110.4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112</v>
      </c>
      <c r="D13866" s="5">
        <v>0.1</v>
      </c>
      <c r="E13866" s="5">
        <v>112.1</v>
      </c>
      <c r="F13866" s="5">
        <v>222.4</v>
      </c>
      <c r="G13866" s="5">
        <v>110.5</v>
      </c>
      <c r="H13866" s="5">
        <v>110.4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112</v>
      </c>
      <c r="D13867" s="5">
        <v>0.1</v>
      </c>
      <c r="E13867" s="5">
        <v>112.1</v>
      </c>
      <c r="F13867" s="5">
        <v>222.4</v>
      </c>
      <c r="G13867" s="5">
        <v>110.5</v>
      </c>
      <c r="H13867" s="5">
        <v>110.4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112</v>
      </c>
      <c r="D13868" s="5">
        <v>0.1</v>
      </c>
      <c r="E13868" s="5">
        <v>112.1</v>
      </c>
      <c r="F13868" s="5">
        <v>222.4</v>
      </c>
      <c r="G13868" s="5">
        <v>110.5</v>
      </c>
      <c r="H13868" s="5">
        <v>110.4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112</v>
      </c>
      <c r="D13869" s="5">
        <v>0.1</v>
      </c>
      <c r="E13869" s="5">
        <v>112.1</v>
      </c>
      <c r="F13869" s="5">
        <v>222.4</v>
      </c>
      <c r="G13869" s="5">
        <v>110.5</v>
      </c>
      <c r="H13869" s="5">
        <v>110.4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112</v>
      </c>
      <c r="D13870" s="5">
        <v>0.1</v>
      </c>
      <c r="E13870" s="5">
        <v>112.1</v>
      </c>
      <c r="F13870" s="5">
        <v>222.4</v>
      </c>
      <c r="G13870" s="5">
        <v>110.5</v>
      </c>
      <c r="H13870" s="5">
        <v>110.4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112</v>
      </c>
      <c r="D13871" s="5">
        <v>0.1</v>
      </c>
      <c r="E13871" s="5">
        <v>112.1</v>
      </c>
      <c r="F13871" s="5">
        <v>222.4</v>
      </c>
      <c r="G13871" s="5">
        <v>110.5</v>
      </c>
      <c r="H13871" s="5">
        <v>110.4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112</v>
      </c>
      <c r="D13872" s="5">
        <v>0.1</v>
      </c>
      <c r="E13872" s="5">
        <v>112.1</v>
      </c>
      <c r="F13872" s="5">
        <v>222.4</v>
      </c>
      <c r="G13872" s="5">
        <v>110.5</v>
      </c>
      <c r="H13872" s="5">
        <v>110.4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112</v>
      </c>
      <c r="D13873" s="5">
        <v>0.1</v>
      </c>
      <c r="E13873" s="5">
        <v>112.1</v>
      </c>
      <c r="F13873" s="5">
        <v>222.4</v>
      </c>
      <c r="G13873" s="5">
        <v>110.5</v>
      </c>
      <c r="H13873" s="5">
        <v>110.4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112</v>
      </c>
      <c r="D13874" s="5">
        <v>0.1</v>
      </c>
      <c r="E13874" s="5">
        <v>112.1</v>
      </c>
      <c r="F13874" s="5">
        <v>222.4</v>
      </c>
      <c r="G13874" s="5">
        <v>110.5</v>
      </c>
      <c r="H13874" s="5">
        <v>110.4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112</v>
      </c>
      <c r="D13875" s="5">
        <v>0.1</v>
      </c>
      <c r="E13875" s="5">
        <v>112.1</v>
      </c>
      <c r="F13875" s="5">
        <v>222.4</v>
      </c>
      <c r="G13875" s="5">
        <v>110.5</v>
      </c>
      <c r="H13875" s="5">
        <v>110.4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112</v>
      </c>
      <c r="D13876" s="5">
        <v>0.1</v>
      </c>
      <c r="E13876" s="5">
        <v>112.1</v>
      </c>
      <c r="F13876" s="5">
        <v>222.4</v>
      </c>
      <c r="G13876" s="5">
        <v>110.5</v>
      </c>
      <c r="H13876" s="5">
        <v>110.4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112</v>
      </c>
      <c r="D13877" s="5">
        <v>0.1</v>
      </c>
      <c r="E13877" s="5">
        <v>112.1</v>
      </c>
      <c r="F13877" s="5">
        <v>222.4</v>
      </c>
      <c r="G13877" s="5">
        <v>110.5</v>
      </c>
      <c r="H13877" s="5">
        <v>110.4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112</v>
      </c>
      <c r="D13878" s="5">
        <v>0.1</v>
      </c>
      <c r="E13878" s="5">
        <v>112.1</v>
      </c>
      <c r="F13878" s="5">
        <v>222.4</v>
      </c>
      <c r="G13878" s="5">
        <v>110.5</v>
      </c>
      <c r="H13878" s="5">
        <v>110.4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112</v>
      </c>
      <c r="D13879" s="5">
        <v>0.1</v>
      </c>
      <c r="E13879" s="5">
        <v>112.1</v>
      </c>
      <c r="F13879" s="5">
        <v>222.4</v>
      </c>
      <c r="G13879" s="5">
        <v>110.5</v>
      </c>
      <c r="H13879" s="5">
        <v>110.4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112</v>
      </c>
      <c r="D13880" s="5">
        <v>0.1</v>
      </c>
      <c r="E13880" s="5">
        <v>112.1</v>
      </c>
      <c r="F13880" s="5">
        <v>222.4</v>
      </c>
      <c r="G13880" s="5">
        <v>110.5</v>
      </c>
      <c r="H13880" s="5">
        <v>110.4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112</v>
      </c>
      <c r="D13881" s="5">
        <v>0.1</v>
      </c>
      <c r="E13881" s="5">
        <v>112.1</v>
      </c>
      <c r="F13881" s="5">
        <v>222.4</v>
      </c>
      <c r="G13881" s="5">
        <v>110.5</v>
      </c>
      <c r="H13881" s="5">
        <v>110.4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112</v>
      </c>
      <c r="D13882" s="5">
        <v>0.1</v>
      </c>
      <c r="E13882" s="5">
        <v>112.1</v>
      </c>
      <c r="F13882" s="5">
        <v>222.4</v>
      </c>
      <c r="G13882" s="5">
        <v>110.5</v>
      </c>
      <c r="H13882" s="5">
        <v>110.4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112</v>
      </c>
      <c r="D13883" s="5">
        <v>0.1</v>
      </c>
      <c r="E13883" s="5">
        <v>112.1</v>
      </c>
      <c r="F13883" s="5">
        <v>222.4</v>
      </c>
      <c r="G13883" s="5">
        <v>110.5</v>
      </c>
      <c r="H13883" s="5">
        <v>110.4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112</v>
      </c>
      <c r="D13884" s="5">
        <v>0.1</v>
      </c>
      <c r="E13884" s="5">
        <v>112.1</v>
      </c>
      <c r="F13884" s="5">
        <v>222.4</v>
      </c>
      <c r="G13884" s="5">
        <v>110.5</v>
      </c>
      <c r="H13884" s="5">
        <v>110.4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112</v>
      </c>
      <c r="D13885" s="5">
        <v>0.1</v>
      </c>
      <c r="E13885" s="5">
        <v>112.1</v>
      </c>
      <c r="F13885" s="5">
        <v>222.4</v>
      </c>
      <c r="G13885" s="5">
        <v>110.5</v>
      </c>
      <c r="H13885" s="5">
        <v>110.4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112</v>
      </c>
      <c r="D13886" s="5">
        <v>0.1</v>
      </c>
      <c r="E13886" s="5">
        <v>112.1</v>
      </c>
      <c r="F13886" s="5">
        <v>222.4</v>
      </c>
      <c r="G13886" s="5">
        <v>110.5</v>
      </c>
      <c r="H13886" s="5">
        <v>110.4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112</v>
      </c>
      <c r="D13887" s="5">
        <v>0.1</v>
      </c>
      <c r="E13887" s="5">
        <v>112.1</v>
      </c>
      <c r="F13887" s="5">
        <v>222.4</v>
      </c>
      <c r="G13887" s="5">
        <v>110.5</v>
      </c>
      <c r="H13887" s="5">
        <v>110.4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112</v>
      </c>
      <c r="D13888" s="5">
        <v>0.1</v>
      </c>
      <c r="E13888" s="5">
        <v>112.1</v>
      </c>
      <c r="F13888" s="5">
        <v>222.4</v>
      </c>
      <c r="G13888" s="5">
        <v>110.5</v>
      </c>
      <c r="H13888" s="5">
        <v>110.4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112</v>
      </c>
      <c r="D13889" s="5">
        <v>0.1</v>
      </c>
      <c r="E13889" s="5">
        <v>112.1</v>
      </c>
      <c r="F13889" s="5">
        <v>222.4</v>
      </c>
      <c r="G13889" s="5">
        <v>110.5</v>
      </c>
      <c r="H13889" s="5">
        <v>110.4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112</v>
      </c>
      <c r="D13890" s="5">
        <v>0.1</v>
      </c>
      <c r="E13890" s="5">
        <v>112.1</v>
      </c>
      <c r="F13890" s="5">
        <v>222.4</v>
      </c>
      <c r="G13890" s="5">
        <v>110.5</v>
      </c>
      <c r="H13890" s="5">
        <v>110.4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112</v>
      </c>
      <c r="D13891" s="5">
        <v>0.1</v>
      </c>
      <c r="E13891" s="5">
        <v>112.1</v>
      </c>
      <c r="F13891" s="5">
        <v>222.4</v>
      </c>
      <c r="G13891" s="5">
        <v>110.5</v>
      </c>
      <c r="H13891" s="5">
        <v>110.4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112</v>
      </c>
      <c r="D13892" s="5">
        <v>0.1</v>
      </c>
      <c r="E13892" s="5">
        <v>112.1</v>
      </c>
      <c r="F13892" s="5">
        <v>222.4</v>
      </c>
      <c r="G13892" s="5">
        <v>110.5</v>
      </c>
      <c r="H13892" s="5">
        <v>110.4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112</v>
      </c>
      <c r="D13893" s="5">
        <v>0.1</v>
      </c>
      <c r="E13893" s="5">
        <v>112.1</v>
      </c>
      <c r="F13893" s="5">
        <v>222.4</v>
      </c>
      <c r="G13893" s="5">
        <v>110.5</v>
      </c>
      <c r="H13893" s="5">
        <v>110.4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112</v>
      </c>
      <c r="D13894" s="5">
        <v>0.1</v>
      </c>
      <c r="E13894" s="5">
        <v>112.1</v>
      </c>
      <c r="F13894" s="5">
        <v>222.4</v>
      </c>
      <c r="G13894" s="5">
        <v>110.5</v>
      </c>
      <c r="H13894" s="5">
        <v>110.4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112</v>
      </c>
      <c r="D13895" s="5">
        <v>0.1</v>
      </c>
      <c r="E13895" s="5">
        <v>112.1</v>
      </c>
      <c r="F13895" s="5">
        <v>222.4</v>
      </c>
      <c r="G13895" s="5">
        <v>110.5</v>
      </c>
      <c r="H13895" s="5">
        <v>110.4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112</v>
      </c>
      <c r="D13896" s="5">
        <v>0.1</v>
      </c>
      <c r="E13896" s="5">
        <v>112.1</v>
      </c>
      <c r="F13896" s="5">
        <v>222.4</v>
      </c>
      <c r="G13896" s="5">
        <v>110.5</v>
      </c>
      <c r="H13896" s="5">
        <v>110.4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112</v>
      </c>
      <c r="D13897" s="5">
        <v>0.1</v>
      </c>
      <c r="E13897" s="5">
        <v>112.1</v>
      </c>
      <c r="F13897" s="5">
        <v>222.4</v>
      </c>
      <c r="G13897" s="5">
        <v>110.5</v>
      </c>
      <c r="H13897" s="5">
        <v>110.4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112</v>
      </c>
      <c r="D13898" s="5">
        <v>0.1</v>
      </c>
      <c r="E13898" s="5">
        <v>112.1</v>
      </c>
      <c r="F13898" s="5">
        <v>222.4</v>
      </c>
      <c r="G13898" s="5">
        <v>110.5</v>
      </c>
      <c r="H13898" s="5">
        <v>110.4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112</v>
      </c>
      <c r="D13899" s="5">
        <v>0.1</v>
      </c>
      <c r="E13899" s="5">
        <v>112.1</v>
      </c>
      <c r="F13899" s="5">
        <v>222.4</v>
      </c>
      <c r="G13899" s="5">
        <v>110.5</v>
      </c>
      <c r="H13899" s="5">
        <v>110.4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112</v>
      </c>
      <c r="D13900" s="5">
        <v>0.1</v>
      </c>
      <c r="E13900" s="5">
        <v>112.1</v>
      </c>
      <c r="F13900" s="5">
        <v>222.4</v>
      </c>
      <c r="G13900" s="5">
        <v>110.5</v>
      </c>
      <c r="H13900" s="5">
        <v>110.4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112</v>
      </c>
      <c r="D13901" s="5">
        <v>0.1</v>
      </c>
      <c r="E13901" s="5">
        <v>112.1</v>
      </c>
      <c r="F13901" s="5">
        <v>222.4</v>
      </c>
      <c r="G13901" s="5">
        <v>110.5</v>
      </c>
      <c r="H13901" s="5">
        <v>110.4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112</v>
      </c>
      <c r="D13902" s="5">
        <v>0.1</v>
      </c>
      <c r="E13902" s="5">
        <v>112.1</v>
      </c>
      <c r="F13902" s="5">
        <v>222.4</v>
      </c>
      <c r="G13902" s="5">
        <v>110.5</v>
      </c>
      <c r="H13902" s="5">
        <v>110.4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112</v>
      </c>
      <c r="D13903" s="5">
        <v>0.1</v>
      </c>
      <c r="E13903" s="5">
        <v>112.1</v>
      </c>
      <c r="F13903" s="5">
        <v>222.4</v>
      </c>
      <c r="G13903" s="5">
        <v>110.5</v>
      </c>
      <c r="H13903" s="5">
        <v>110.4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112</v>
      </c>
      <c r="D13904" s="5">
        <v>0.1</v>
      </c>
      <c r="E13904" s="5">
        <v>112.1</v>
      </c>
      <c r="F13904" s="5">
        <v>222.4</v>
      </c>
      <c r="G13904" s="5">
        <v>110.5</v>
      </c>
      <c r="H13904" s="5">
        <v>110.4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112</v>
      </c>
      <c r="D13905" s="5">
        <v>0.1</v>
      </c>
      <c r="E13905" s="5">
        <v>112.1</v>
      </c>
      <c r="F13905" s="5">
        <v>222.4</v>
      </c>
      <c r="G13905" s="5">
        <v>110.5</v>
      </c>
      <c r="H13905" s="5">
        <v>110.4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112</v>
      </c>
      <c r="D13906" s="5">
        <v>0.1</v>
      </c>
      <c r="E13906" s="5">
        <v>112.1</v>
      </c>
      <c r="F13906" s="5">
        <v>222.4</v>
      </c>
      <c r="G13906" s="5">
        <v>110.5</v>
      </c>
      <c r="H13906" s="5">
        <v>110.4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112</v>
      </c>
      <c r="D13907" s="5">
        <v>0.1</v>
      </c>
      <c r="E13907" s="5">
        <v>112.1</v>
      </c>
      <c r="F13907" s="5">
        <v>222.4</v>
      </c>
      <c r="G13907" s="5">
        <v>110.5</v>
      </c>
      <c r="H13907" s="5">
        <v>110.4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112</v>
      </c>
      <c r="D13908" s="5">
        <v>0.1</v>
      </c>
      <c r="E13908" s="5">
        <v>112.1</v>
      </c>
      <c r="F13908" s="5">
        <v>222.4</v>
      </c>
      <c r="G13908" s="5">
        <v>110.5</v>
      </c>
      <c r="H13908" s="5">
        <v>110.4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112</v>
      </c>
      <c r="D13909" s="5">
        <v>0.1</v>
      </c>
      <c r="E13909" s="5">
        <v>112.1</v>
      </c>
      <c r="F13909" s="5">
        <v>222.4</v>
      </c>
      <c r="G13909" s="5">
        <v>110.5</v>
      </c>
      <c r="H13909" s="5">
        <v>110.4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112</v>
      </c>
      <c r="D13910" s="5">
        <v>0.1</v>
      </c>
      <c r="E13910" s="5">
        <v>112.1</v>
      </c>
      <c r="F13910" s="5">
        <v>222.4</v>
      </c>
      <c r="G13910" s="5">
        <v>110.5</v>
      </c>
      <c r="H13910" s="5">
        <v>110.4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112</v>
      </c>
      <c r="D13911" s="5">
        <v>0.1</v>
      </c>
      <c r="E13911" s="5">
        <v>112.1</v>
      </c>
      <c r="F13911" s="5">
        <v>222.4</v>
      </c>
      <c r="G13911" s="5">
        <v>110.5</v>
      </c>
      <c r="H13911" s="5">
        <v>110.4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112</v>
      </c>
      <c r="D13912" s="5">
        <v>0.1</v>
      </c>
      <c r="E13912" s="5">
        <v>112.1</v>
      </c>
      <c r="F13912" s="5">
        <v>222.4</v>
      </c>
      <c r="G13912" s="5">
        <v>110.5</v>
      </c>
      <c r="H13912" s="5">
        <v>110.4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112</v>
      </c>
      <c r="D13913" s="5">
        <v>0.1</v>
      </c>
      <c r="E13913" s="5">
        <v>112.1</v>
      </c>
      <c r="F13913" s="5">
        <v>222.4</v>
      </c>
      <c r="G13913" s="5">
        <v>110.5</v>
      </c>
      <c r="H13913" s="5">
        <v>110.4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112</v>
      </c>
      <c r="D13914" s="5">
        <v>0.1</v>
      </c>
      <c r="E13914" s="5">
        <v>112.1</v>
      </c>
      <c r="F13914" s="5">
        <v>222.4</v>
      </c>
      <c r="G13914" s="5">
        <v>110.5</v>
      </c>
      <c r="H13914" s="5">
        <v>110.4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112</v>
      </c>
      <c r="D13915" s="5">
        <v>0.1</v>
      </c>
      <c r="E13915" s="5">
        <v>112.1</v>
      </c>
      <c r="F13915" s="5">
        <v>222.4</v>
      </c>
      <c r="G13915" s="5">
        <v>110.5</v>
      </c>
      <c r="H13915" s="5">
        <v>110.4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112</v>
      </c>
      <c r="D13916" s="5">
        <v>0.1</v>
      </c>
      <c r="E13916" s="5">
        <v>112.1</v>
      </c>
      <c r="F13916" s="5">
        <v>222.4</v>
      </c>
      <c r="G13916" s="5">
        <v>110.5</v>
      </c>
      <c r="H13916" s="5">
        <v>110.4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112</v>
      </c>
      <c r="D13917" s="5">
        <v>0.1</v>
      </c>
      <c r="E13917" s="5">
        <v>112.1</v>
      </c>
      <c r="F13917" s="5">
        <v>222.4</v>
      </c>
      <c r="G13917" s="5">
        <v>110.5</v>
      </c>
      <c r="H13917" s="5">
        <v>110.4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112</v>
      </c>
      <c r="D13918" s="5">
        <v>0.1</v>
      </c>
      <c r="E13918" s="5">
        <v>112.1</v>
      </c>
      <c r="F13918" s="5">
        <v>222.4</v>
      </c>
      <c r="G13918" s="5">
        <v>110.5</v>
      </c>
      <c r="H13918" s="5">
        <v>110.4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112</v>
      </c>
      <c r="D13919" s="5">
        <v>0.1</v>
      </c>
      <c r="E13919" s="5">
        <v>112.1</v>
      </c>
      <c r="F13919" s="5">
        <v>222.4</v>
      </c>
      <c r="G13919" s="5">
        <v>110.5</v>
      </c>
      <c r="H13919" s="5">
        <v>110.4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112</v>
      </c>
      <c r="D13920" s="5">
        <v>0.1</v>
      </c>
      <c r="E13920" s="5">
        <v>112.1</v>
      </c>
      <c r="F13920" s="5">
        <v>222.4</v>
      </c>
      <c r="G13920" s="5">
        <v>110.5</v>
      </c>
      <c r="H13920" s="5">
        <v>110.4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112</v>
      </c>
      <c r="D13921" s="5">
        <v>0.1</v>
      </c>
      <c r="E13921" s="5">
        <v>112.1</v>
      </c>
      <c r="F13921" s="5">
        <v>222.4</v>
      </c>
      <c r="G13921" s="5">
        <v>110.5</v>
      </c>
      <c r="H13921" s="5">
        <v>110.4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112</v>
      </c>
      <c r="D13922" s="5">
        <v>0.1</v>
      </c>
      <c r="E13922" s="5">
        <v>112.1</v>
      </c>
      <c r="F13922" s="5">
        <v>222.4</v>
      </c>
      <c r="G13922" s="5">
        <v>110.5</v>
      </c>
      <c r="H13922" s="5">
        <v>110.4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112</v>
      </c>
      <c r="D13923" s="5">
        <v>0.1</v>
      </c>
      <c r="E13923" s="5">
        <v>112.1</v>
      </c>
      <c r="F13923" s="5">
        <v>222.4</v>
      </c>
      <c r="G13923" s="5">
        <v>110.5</v>
      </c>
      <c r="H13923" s="5">
        <v>110.4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112</v>
      </c>
      <c r="D13924" s="5">
        <v>0.1</v>
      </c>
      <c r="E13924" s="5">
        <v>112.1</v>
      </c>
      <c r="F13924" s="5">
        <v>222.4</v>
      </c>
      <c r="G13924" s="5">
        <v>110.5</v>
      </c>
      <c r="H13924" s="5">
        <v>110.4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112</v>
      </c>
      <c r="D13925" s="5">
        <v>0.1</v>
      </c>
      <c r="E13925" s="5">
        <v>112.1</v>
      </c>
      <c r="F13925" s="5">
        <v>222.4</v>
      </c>
      <c r="G13925" s="5">
        <v>110.5</v>
      </c>
      <c r="H13925" s="5">
        <v>110.4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112</v>
      </c>
      <c r="D13926" s="5">
        <v>0.1</v>
      </c>
      <c r="E13926" s="5">
        <v>112.1</v>
      </c>
      <c r="F13926" s="5">
        <v>222.4</v>
      </c>
      <c r="G13926" s="5">
        <v>110.5</v>
      </c>
      <c r="H13926" s="5">
        <v>110.4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112</v>
      </c>
      <c r="D13927" s="5">
        <v>0.1</v>
      </c>
      <c r="E13927" s="5">
        <v>112.1</v>
      </c>
      <c r="F13927" s="5">
        <v>222.4</v>
      </c>
      <c r="G13927" s="5">
        <v>110.5</v>
      </c>
      <c r="H13927" s="5">
        <v>110.4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112</v>
      </c>
      <c r="D13928" s="5">
        <v>0.1</v>
      </c>
      <c r="E13928" s="5">
        <v>112.1</v>
      </c>
      <c r="F13928" s="5">
        <v>222.4</v>
      </c>
      <c r="G13928" s="5">
        <v>110.5</v>
      </c>
      <c r="H13928" s="5">
        <v>110.4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112</v>
      </c>
      <c r="D13929" s="5">
        <v>0.1</v>
      </c>
      <c r="E13929" s="5">
        <v>112.1</v>
      </c>
      <c r="F13929" s="5">
        <v>222.4</v>
      </c>
      <c r="G13929" s="5">
        <v>110.5</v>
      </c>
      <c r="H13929" s="5">
        <v>110.4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112</v>
      </c>
      <c r="D13930" s="5">
        <v>0.1</v>
      </c>
      <c r="E13930" s="5">
        <v>112.1</v>
      </c>
      <c r="F13930" s="5">
        <v>222.4</v>
      </c>
      <c r="G13930" s="5">
        <v>110.5</v>
      </c>
      <c r="H13930" s="5">
        <v>110.4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112</v>
      </c>
      <c r="D13931" s="5">
        <v>0.1</v>
      </c>
      <c r="E13931" s="5">
        <v>112.1</v>
      </c>
      <c r="F13931" s="5">
        <v>222.4</v>
      </c>
      <c r="G13931" s="5">
        <v>110.5</v>
      </c>
      <c r="H13931" s="5">
        <v>110.4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112</v>
      </c>
      <c r="D13932" s="5">
        <v>0.1</v>
      </c>
      <c r="E13932" s="5">
        <v>112.1</v>
      </c>
      <c r="F13932" s="5">
        <v>222.4</v>
      </c>
      <c r="G13932" s="5">
        <v>110.5</v>
      </c>
      <c r="H13932" s="5">
        <v>110.4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112</v>
      </c>
      <c r="D13933" s="5">
        <v>0.1</v>
      </c>
      <c r="E13933" s="5">
        <v>112.1</v>
      </c>
      <c r="F13933" s="5">
        <v>222.4</v>
      </c>
      <c r="G13933" s="5">
        <v>110.5</v>
      </c>
      <c r="H13933" s="5">
        <v>110.4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112</v>
      </c>
      <c r="D13934" s="5">
        <v>0.1</v>
      </c>
      <c r="E13934" s="5">
        <v>112.1</v>
      </c>
      <c r="F13934" s="5">
        <v>222.4</v>
      </c>
      <c r="G13934" s="5">
        <v>110.5</v>
      </c>
      <c r="H13934" s="5">
        <v>110.4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112</v>
      </c>
      <c r="D13935" s="5">
        <v>0.1</v>
      </c>
      <c r="E13935" s="5">
        <v>112.1</v>
      </c>
      <c r="F13935" s="5">
        <v>222.4</v>
      </c>
      <c r="G13935" s="5">
        <v>110.5</v>
      </c>
      <c r="H13935" s="5">
        <v>110.4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112</v>
      </c>
      <c r="D13936" s="5">
        <v>0.1</v>
      </c>
      <c r="E13936" s="5">
        <v>112.1</v>
      </c>
      <c r="F13936" s="5">
        <v>222.4</v>
      </c>
      <c r="G13936" s="5">
        <v>110.5</v>
      </c>
      <c r="H13936" s="5">
        <v>110.4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112</v>
      </c>
      <c r="D13937" s="5">
        <v>0.1</v>
      </c>
      <c r="E13937" s="5">
        <v>112.1</v>
      </c>
      <c r="F13937" s="5">
        <v>222.4</v>
      </c>
      <c r="G13937" s="5">
        <v>110.5</v>
      </c>
      <c r="H13937" s="5">
        <v>110.4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112</v>
      </c>
      <c r="D13938" s="5">
        <v>0.1</v>
      </c>
      <c r="E13938" s="5">
        <v>112.1</v>
      </c>
      <c r="F13938" s="5">
        <v>222.4</v>
      </c>
      <c r="G13938" s="5">
        <v>110.5</v>
      </c>
      <c r="H13938" s="5">
        <v>110.4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112</v>
      </c>
      <c r="D13939" s="5">
        <v>0.1</v>
      </c>
      <c r="E13939" s="5">
        <v>112.1</v>
      </c>
      <c r="F13939" s="5">
        <v>222.4</v>
      </c>
      <c r="G13939" s="5">
        <v>110.5</v>
      </c>
      <c r="H13939" s="5">
        <v>110.4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112</v>
      </c>
      <c r="D13940" s="5">
        <v>0.1</v>
      </c>
      <c r="E13940" s="5">
        <v>112.1</v>
      </c>
      <c r="F13940" s="5">
        <v>222.4</v>
      </c>
      <c r="G13940" s="5">
        <v>110.5</v>
      </c>
      <c r="H13940" s="5">
        <v>110.4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112</v>
      </c>
      <c r="D13941" s="5">
        <v>0.1</v>
      </c>
      <c r="E13941" s="5">
        <v>112.1</v>
      </c>
      <c r="F13941" s="5">
        <v>222.4</v>
      </c>
      <c r="G13941" s="5">
        <v>110.5</v>
      </c>
      <c r="H13941" s="5">
        <v>110.4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112</v>
      </c>
      <c r="D13942" s="5">
        <v>0.1</v>
      </c>
      <c r="E13942" s="5">
        <v>112.1</v>
      </c>
      <c r="F13942" s="5">
        <v>222.4</v>
      </c>
      <c r="G13942" s="5">
        <v>110.5</v>
      </c>
      <c r="H13942" s="5">
        <v>110.4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112</v>
      </c>
      <c r="D13943" s="5">
        <v>0.1</v>
      </c>
      <c r="E13943" s="5">
        <v>112.1</v>
      </c>
      <c r="F13943" s="5">
        <v>222.4</v>
      </c>
      <c r="G13943" s="5">
        <v>110.5</v>
      </c>
      <c r="H13943" s="5">
        <v>110.4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112</v>
      </c>
      <c r="D13944" s="5">
        <v>0.1</v>
      </c>
      <c r="E13944" s="5">
        <v>112.1</v>
      </c>
      <c r="F13944" s="5">
        <v>222.4</v>
      </c>
      <c r="G13944" s="5">
        <v>110.5</v>
      </c>
      <c r="H13944" s="5">
        <v>110.4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112</v>
      </c>
      <c r="D13945" s="5">
        <v>0.1</v>
      </c>
      <c r="E13945" s="5">
        <v>112.1</v>
      </c>
      <c r="F13945" s="5">
        <v>222.4</v>
      </c>
      <c r="G13945" s="5">
        <v>110.5</v>
      </c>
      <c r="H13945" s="5">
        <v>110.4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112</v>
      </c>
      <c r="D13946" s="5">
        <v>0.1</v>
      </c>
      <c r="E13946" s="5">
        <v>112.1</v>
      </c>
      <c r="F13946" s="5">
        <v>222.4</v>
      </c>
      <c r="G13946" s="5">
        <v>110.5</v>
      </c>
      <c r="H13946" s="5">
        <v>110.4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112</v>
      </c>
      <c r="D13947" s="5">
        <v>0.1</v>
      </c>
      <c r="E13947" s="5">
        <v>112.1</v>
      </c>
      <c r="F13947" s="5">
        <v>222.4</v>
      </c>
      <c r="G13947" s="5">
        <v>110.5</v>
      </c>
      <c r="H13947" s="5">
        <v>110.4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112</v>
      </c>
      <c r="D13948" s="5">
        <v>0.1</v>
      </c>
      <c r="E13948" s="5">
        <v>112.1</v>
      </c>
      <c r="F13948" s="5">
        <v>222.4</v>
      </c>
      <c r="G13948" s="5">
        <v>110.5</v>
      </c>
      <c r="H13948" s="5">
        <v>110.4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112</v>
      </c>
      <c r="D13949" s="5">
        <v>0.1</v>
      </c>
      <c r="E13949" s="5">
        <v>112.1</v>
      </c>
      <c r="F13949" s="5">
        <v>222.4</v>
      </c>
      <c r="G13949" s="5">
        <v>110.5</v>
      </c>
      <c r="H13949" s="5">
        <v>110.4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112</v>
      </c>
      <c r="D13950" s="5">
        <v>0.1</v>
      </c>
      <c r="E13950" s="5">
        <v>112.1</v>
      </c>
      <c r="F13950" s="5">
        <v>222.4</v>
      </c>
      <c r="G13950" s="5">
        <v>110.5</v>
      </c>
      <c r="H13950" s="5">
        <v>110.4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112</v>
      </c>
      <c r="D13951" s="5">
        <v>0.1</v>
      </c>
      <c r="E13951" s="5">
        <v>112.1</v>
      </c>
      <c r="F13951" s="5">
        <v>222.4</v>
      </c>
      <c r="G13951" s="5">
        <v>110.5</v>
      </c>
      <c r="H13951" s="5">
        <v>110.4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112</v>
      </c>
      <c r="D13952" s="5">
        <v>0.1</v>
      </c>
      <c r="E13952" s="5">
        <v>112.1</v>
      </c>
      <c r="F13952" s="5">
        <v>222.4</v>
      </c>
      <c r="G13952" s="5">
        <v>110.5</v>
      </c>
      <c r="H13952" s="5">
        <v>110.4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112</v>
      </c>
      <c r="D13953" s="5">
        <v>0.1</v>
      </c>
      <c r="E13953" s="5">
        <v>112.1</v>
      </c>
      <c r="F13953" s="5">
        <v>222.4</v>
      </c>
      <c r="G13953" s="5">
        <v>110.5</v>
      </c>
      <c r="H13953" s="5">
        <v>110.4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112</v>
      </c>
      <c r="D13954" s="5">
        <v>0.1</v>
      </c>
      <c r="E13954" s="5">
        <v>112.1</v>
      </c>
      <c r="F13954" s="5">
        <v>222.4</v>
      </c>
      <c r="G13954" s="5">
        <v>110.5</v>
      </c>
      <c r="H13954" s="5">
        <v>110.4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112</v>
      </c>
      <c r="D13955" s="5">
        <v>0.1</v>
      </c>
      <c r="E13955" s="5">
        <v>112.1</v>
      </c>
      <c r="F13955" s="5">
        <v>222.4</v>
      </c>
      <c r="G13955" s="5">
        <v>110.5</v>
      </c>
      <c r="H13955" s="5">
        <v>110.4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112</v>
      </c>
      <c r="D13956" s="5">
        <v>0.1</v>
      </c>
      <c r="E13956" s="5">
        <v>112.1</v>
      </c>
      <c r="F13956" s="5">
        <v>222.4</v>
      </c>
      <c r="G13956" s="5">
        <v>110.5</v>
      </c>
      <c r="H13956" s="5">
        <v>110.4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112</v>
      </c>
      <c r="D13957" s="5">
        <v>0.1</v>
      </c>
      <c r="E13957" s="5">
        <v>112.1</v>
      </c>
      <c r="F13957" s="5">
        <v>222.4</v>
      </c>
      <c r="G13957" s="5">
        <v>110.5</v>
      </c>
      <c r="H13957" s="5">
        <v>110.4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112</v>
      </c>
      <c r="D13958" s="5">
        <v>0.1</v>
      </c>
      <c r="E13958" s="5">
        <v>112.1</v>
      </c>
      <c r="F13958" s="5">
        <v>222.4</v>
      </c>
      <c r="G13958" s="5">
        <v>110.5</v>
      </c>
      <c r="H13958" s="5">
        <v>110.4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112</v>
      </c>
      <c r="D13959" s="5">
        <v>0.1</v>
      </c>
      <c r="E13959" s="5">
        <v>112.1</v>
      </c>
      <c r="F13959" s="5">
        <v>222.4</v>
      </c>
      <c r="G13959" s="5">
        <v>110.5</v>
      </c>
      <c r="H13959" s="5">
        <v>110.4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112</v>
      </c>
      <c r="D13960" s="5">
        <v>0.1</v>
      </c>
      <c r="E13960" s="5">
        <v>112.1</v>
      </c>
      <c r="F13960" s="5">
        <v>222.4</v>
      </c>
      <c r="G13960" s="5">
        <v>110.5</v>
      </c>
      <c r="H13960" s="5">
        <v>110.4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112</v>
      </c>
      <c r="D13961" s="5">
        <v>0.1</v>
      </c>
      <c r="E13961" s="5">
        <v>112.1</v>
      </c>
      <c r="F13961" s="5">
        <v>222.4</v>
      </c>
      <c r="G13961" s="5">
        <v>110.5</v>
      </c>
      <c r="H13961" s="5">
        <v>110.4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112</v>
      </c>
      <c r="D13962" s="5">
        <v>0.1</v>
      </c>
      <c r="E13962" s="5">
        <v>112.1</v>
      </c>
      <c r="F13962" s="5">
        <v>222.4</v>
      </c>
      <c r="G13962" s="5">
        <v>110.5</v>
      </c>
      <c r="H13962" s="5">
        <v>110.4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112</v>
      </c>
      <c r="D13963" s="5">
        <v>0.1</v>
      </c>
      <c r="E13963" s="5">
        <v>112.1</v>
      </c>
      <c r="F13963" s="5">
        <v>222.4</v>
      </c>
      <c r="G13963" s="5">
        <v>110.5</v>
      </c>
      <c r="H13963" s="5">
        <v>110.4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112</v>
      </c>
      <c r="D13964" s="5">
        <v>0.1</v>
      </c>
      <c r="E13964" s="5">
        <v>112.1</v>
      </c>
      <c r="F13964" s="5">
        <v>222.4</v>
      </c>
      <c r="G13964" s="5">
        <v>110.5</v>
      </c>
      <c r="H13964" s="5">
        <v>110.4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112</v>
      </c>
      <c r="D13965" s="5">
        <v>0.1</v>
      </c>
      <c r="E13965" s="5">
        <v>112.1</v>
      </c>
      <c r="F13965" s="5">
        <v>222.4</v>
      </c>
      <c r="G13965" s="5">
        <v>110.5</v>
      </c>
      <c r="H13965" s="5">
        <v>110.4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112</v>
      </c>
      <c r="D13966" s="5">
        <v>0.1</v>
      </c>
      <c r="E13966" s="5">
        <v>112.1</v>
      </c>
      <c r="F13966" s="5">
        <v>222.4</v>
      </c>
      <c r="G13966" s="5">
        <v>110.5</v>
      </c>
      <c r="H13966" s="5">
        <v>110.4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112</v>
      </c>
      <c r="D13967" s="5">
        <v>0.1</v>
      </c>
      <c r="E13967" s="5">
        <v>112.1</v>
      </c>
      <c r="F13967" s="5">
        <v>222.4</v>
      </c>
      <c r="G13967" s="5">
        <v>110.5</v>
      </c>
      <c r="H13967" s="5">
        <v>110.4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112</v>
      </c>
      <c r="D13968" s="5">
        <v>0.1</v>
      </c>
      <c r="E13968" s="5">
        <v>112.1</v>
      </c>
      <c r="F13968" s="5">
        <v>222.4</v>
      </c>
      <c r="G13968" s="5">
        <v>110.5</v>
      </c>
      <c r="H13968" s="5">
        <v>110.4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112</v>
      </c>
      <c r="D13969" s="5">
        <v>0.1</v>
      </c>
      <c r="E13969" s="5">
        <v>112.1</v>
      </c>
      <c r="F13969" s="5">
        <v>222.4</v>
      </c>
      <c r="G13969" s="5">
        <v>110.5</v>
      </c>
      <c r="H13969" s="5">
        <v>110.4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112</v>
      </c>
      <c r="D13970" s="5">
        <v>0.1</v>
      </c>
      <c r="E13970" s="5">
        <v>112.1</v>
      </c>
      <c r="F13970" s="5">
        <v>222.4</v>
      </c>
      <c r="G13970" s="5">
        <v>110.5</v>
      </c>
      <c r="H13970" s="5">
        <v>110.4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112</v>
      </c>
      <c r="D13971" s="5">
        <v>0.1</v>
      </c>
      <c r="E13971" s="5">
        <v>112.1</v>
      </c>
      <c r="F13971" s="5">
        <v>222.4</v>
      </c>
      <c r="G13971" s="5">
        <v>110.5</v>
      </c>
      <c r="H13971" s="5">
        <v>110.4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112</v>
      </c>
      <c r="D13972" s="5">
        <v>0.1</v>
      </c>
      <c r="E13972" s="5">
        <v>112.1</v>
      </c>
      <c r="F13972" s="5">
        <v>222.4</v>
      </c>
      <c r="G13972" s="5">
        <v>110.5</v>
      </c>
      <c r="H13972" s="5">
        <v>110.4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112</v>
      </c>
      <c r="D13973" s="5">
        <v>0.1</v>
      </c>
      <c r="E13973" s="5">
        <v>112.1</v>
      </c>
      <c r="F13973" s="5">
        <v>222.4</v>
      </c>
      <c r="G13973" s="5">
        <v>110.5</v>
      </c>
      <c r="H13973" s="5">
        <v>110.4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112</v>
      </c>
      <c r="D13974" s="5">
        <v>0.1</v>
      </c>
      <c r="E13974" s="5">
        <v>112.1</v>
      </c>
      <c r="F13974" s="5">
        <v>222.4</v>
      </c>
      <c r="G13974" s="5">
        <v>110.5</v>
      </c>
      <c r="H13974" s="5">
        <v>110.4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112</v>
      </c>
      <c r="D13975" s="5">
        <v>0.1</v>
      </c>
      <c r="E13975" s="5">
        <v>112.1</v>
      </c>
      <c r="F13975" s="5">
        <v>222.4</v>
      </c>
      <c r="G13975" s="5">
        <v>110.5</v>
      </c>
      <c r="H13975" s="5">
        <v>110.4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112</v>
      </c>
      <c r="D13976" s="5">
        <v>0.1</v>
      </c>
      <c r="E13976" s="5">
        <v>112.1</v>
      </c>
      <c r="F13976" s="5">
        <v>222.4</v>
      </c>
      <c r="G13976" s="5">
        <v>110.5</v>
      </c>
      <c r="H13976" s="5">
        <v>110.4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112</v>
      </c>
      <c r="D13977" s="5">
        <v>0.1</v>
      </c>
      <c r="E13977" s="5">
        <v>112.1</v>
      </c>
      <c r="F13977" s="5">
        <v>222.4</v>
      </c>
      <c r="G13977" s="5">
        <v>110.5</v>
      </c>
      <c r="H13977" s="5">
        <v>110.4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112</v>
      </c>
      <c r="D13978" s="5">
        <v>0.1</v>
      </c>
      <c r="E13978" s="5">
        <v>112.1</v>
      </c>
      <c r="F13978" s="5">
        <v>222.4</v>
      </c>
      <c r="G13978" s="5">
        <v>110.5</v>
      </c>
      <c r="H13978" s="5">
        <v>110.4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112</v>
      </c>
      <c r="D13979" s="5">
        <v>0.1</v>
      </c>
      <c r="E13979" s="5">
        <v>112.1</v>
      </c>
      <c r="F13979" s="5">
        <v>222.4</v>
      </c>
      <c r="G13979" s="5">
        <v>110.5</v>
      </c>
      <c r="H13979" s="5">
        <v>110.4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112</v>
      </c>
      <c r="D13980" s="5">
        <v>0.1</v>
      </c>
      <c r="E13980" s="5">
        <v>112.1</v>
      </c>
      <c r="F13980" s="5">
        <v>222.4</v>
      </c>
      <c r="G13980" s="5">
        <v>110.5</v>
      </c>
      <c r="H13980" s="5">
        <v>110.4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112</v>
      </c>
      <c r="D13981" s="5">
        <v>0.1</v>
      </c>
      <c r="E13981" s="5">
        <v>112.1</v>
      </c>
      <c r="F13981" s="5">
        <v>222.4</v>
      </c>
      <c r="G13981" s="5">
        <v>110.5</v>
      </c>
      <c r="H13981" s="5">
        <v>110.4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112</v>
      </c>
      <c r="D13982" s="5">
        <v>0.1</v>
      </c>
      <c r="E13982" s="5">
        <v>112.1</v>
      </c>
      <c r="F13982" s="5">
        <v>222.4</v>
      </c>
      <c r="G13982" s="5">
        <v>110.5</v>
      </c>
      <c r="H13982" s="5">
        <v>110.4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112</v>
      </c>
      <c r="D13983" s="5">
        <v>0.1</v>
      </c>
      <c r="E13983" s="5">
        <v>112.1</v>
      </c>
      <c r="F13983" s="5">
        <v>222.4</v>
      </c>
      <c r="G13983" s="5">
        <v>110.5</v>
      </c>
      <c r="H13983" s="5">
        <v>110.4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112</v>
      </c>
      <c r="D13984" s="5">
        <v>0.1</v>
      </c>
      <c r="E13984" s="5">
        <v>112.1</v>
      </c>
      <c r="F13984" s="5">
        <v>222.4</v>
      </c>
      <c r="G13984" s="5">
        <v>110.5</v>
      </c>
      <c r="H13984" s="5">
        <v>110.4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112</v>
      </c>
      <c r="D13985" s="5">
        <v>0.1</v>
      </c>
      <c r="E13985" s="5">
        <v>112.1</v>
      </c>
      <c r="F13985" s="5">
        <v>222.4</v>
      </c>
      <c r="G13985" s="5">
        <v>110.5</v>
      </c>
      <c r="H13985" s="5">
        <v>110.4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112</v>
      </c>
      <c r="D13986" s="5">
        <v>0.1</v>
      </c>
      <c r="E13986" s="5">
        <v>112.1</v>
      </c>
      <c r="F13986" s="5">
        <v>222.4</v>
      </c>
      <c r="G13986" s="5">
        <v>110.5</v>
      </c>
      <c r="H13986" s="5">
        <v>110.4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112</v>
      </c>
      <c r="D13987" s="5">
        <v>0.1</v>
      </c>
      <c r="E13987" s="5">
        <v>112.1</v>
      </c>
      <c r="F13987" s="5">
        <v>222.4</v>
      </c>
      <c r="G13987" s="5">
        <v>110.5</v>
      </c>
      <c r="H13987" s="5">
        <v>110.4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112</v>
      </c>
      <c r="D13988" s="5">
        <v>0.1</v>
      </c>
      <c r="E13988" s="5">
        <v>112.1</v>
      </c>
      <c r="F13988" s="5">
        <v>222.4</v>
      </c>
      <c r="G13988" s="5">
        <v>110.5</v>
      </c>
      <c r="H13988" s="5">
        <v>110.4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112</v>
      </c>
      <c r="D13989" s="5">
        <v>0.1</v>
      </c>
      <c r="E13989" s="5">
        <v>112.1</v>
      </c>
      <c r="F13989" s="5">
        <v>222.4</v>
      </c>
      <c r="G13989" s="5">
        <v>110.5</v>
      </c>
      <c r="H13989" s="5">
        <v>110.4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112</v>
      </c>
      <c r="D13990" s="5">
        <v>0.1</v>
      </c>
      <c r="E13990" s="5">
        <v>112.1</v>
      </c>
      <c r="F13990" s="5">
        <v>222.4</v>
      </c>
      <c r="G13990" s="5">
        <v>110.5</v>
      </c>
      <c r="H13990" s="5">
        <v>110.4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112</v>
      </c>
      <c r="D13991" s="5">
        <v>0.1</v>
      </c>
      <c r="E13991" s="5">
        <v>112.1</v>
      </c>
      <c r="F13991" s="5">
        <v>222.4</v>
      </c>
      <c r="G13991" s="5">
        <v>110.5</v>
      </c>
      <c r="H13991" s="5">
        <v>110.4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112</v>
      </c>
      <c r="D13992" s="5">
        <v>0.1</v>
      </c>
      <c r="E13992" s="5">
        <v>112.1</v>
      </c>
      <c r="F13992" s="5">
        <v>222.4</v>
      </c>
      <c r="G13992" s="5">
        <v>110.5</v>
      </c>
      <c r="H13992" s="5">
        <v>110.4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112</v>
      </c>
      <c r="D13993" s="5">
        <v>0.1</v>
      </c>
      <c r="E13993" s="5">
        <v>112.1</v>
      </c>
      <c r="F13993" s="5">
        <v>222.4</v>
      </c>
      <c r="G13993" s="5">
        <v>110.5</v>
      </c>
      <c r="H13993" s="5">
        <v>110.4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112</v>
      </c>
      <c r="D13994" s="5">
        <v>0.1</v>
      </c>
      <c r="E13994" s="5">
        <v>112.1</v>
      </c>
      <c r="F13994" s="5">
        <v>222.4</v>
      </c>
      <c r="G13994" s="5">
        <v>110.5</v>
      </c>
      <c r="H13994" s="5">
        <v>110.4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112</v>
      </c>
      <c r="D13995" s="5">
        <v>0.1</v>
      </c>
      <c r="E13995" s="5">
        <v>112.1</v>
      </c>
      <c r="F13995" s="5">
        <v>222.4</v>
      </c>
      <c r="G13995" s="5">
        <v>110.5</v>
      </c>
      <c r="H13995" s="5">
        <v>110.4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112</v>
      </c>
      <c r="D13996" s="5">
        <v>0.1</v>
      </c>
      <c r="E13996" s="5">
        <v>112.1</v>
      </c>
      <c r="F13996" s="5">
        <v>222.4</v>
      </c>
      <c r="G13996" s="5">
        <v>110.5</v>
      </c>
      <c r="H13996" s="5">
        <v>110.4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112</v>
      </c>
      <c r="D13997" s="5">
        <v>0.1</v>
      </c>
      <c r="E13997" s="5">
        <v>112.1</v>
      </c>
      <c r="F13997" s="5">
        <v>222.4</v>
      </c>
      <c r="G13997" s="5">
        <v>110.5</v>
      </c>
      <c r="H13997" s="5">
        <v>110.4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112</v>
      </c>
      <c r="D13998" s="5">
        <v>0.1</v>
      </c>
      <c r="E13998" s="5">
        <v>112.1</v>
      </c>
      <c r="F13998" s="5">
        <v>222.4</v>
      </c>
      <c r="G13998" s="5">
        <v>110.5</v>
      </c>
      <c r="H13998" s="5">
        <v>110.4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112</v>
      </c>
      <c r="D13999" s="5">
        <v>0.1</v>
      </c>
      <c r="E13999" s="5">
        <v>112.1</v>
      </c>
      <c r="F13999" s="5">
        <v>222.4</v>
      </c>
      <c r="G13999" s="5">
        <v>110.5</v>
      </c>
      <c r="H13999" s="5">
        <v>110.4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112</v>
      </c>
      <c r="D14000" s="5">
        <v>0.1</v>
      </c>
      <c r="E14000" s="5">
        <v>112.1</v>
      </c>
      <c r="F14000" s="5">
        <v>222.4</v>
      </c>
      <c r="G14000" s="5">
        <v>110.5</v>
      </c>
      <c r="H14000" s="5">
        <v>110.4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112</v>
      </c>
      <c r="D14001" s="5">
        <v>0.1</v>
      </c>
      <c r="E14001" s="5">
        <v>112.1</v>
      </c>
      <c r="F14001" s="5">
        <v>222.4</v>
      </c>
      <c r="G14001" s="5">
        <v>110.5</v>
      </c>
      <c r="H14001" s="5">
        <v>110.4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112</v>
      </c>
      <c r="D14002" s="5">
        <v>0.1</v>
      </c>
      <c r="E14002" s="5">
        <v>112.1</v>
      </c>
      <c r="F14002" s="5">
        <v>222.4</v>
      </c>
      <c r="G14002" s="5">
        <v>110.5</v>
      </c>
      <c r="H14002" s="5">
        <v>110.4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112</v>
      </c>
      <c r="D14003" s="5">
        <v>0.1</v>
      </c>
      <c r="E14003" s="5">
        <v>112.1</v>
      </c>
      <c r="F14003" s="5">
        <v>222.4</v>
      </c>
      <c r="G14003" s="5">
        <v>110.5</v>
      </c>
      <c r="H14003" s="5">
        <v>110.4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112</v>
      </c>
      <c r="D14004" s="5">
        <v>0.1</v>
      </c>
      <c r="E14004" s="5">
        <v>112.1</v>
      </c>
      <c r="F14004" s="5">
        <v>222.4</v>
      </c>
      <c r="G14004" s="5">
        <v>110.5</v>
      </c>
      <c r="H14004" s="5">
        <v>110.4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112</v>
      </c>
      <c r="D14005" s="5">
        <v>0.1</v>
      </c>
      <c r="E14005" s="5">
        <v>112.1</v>
      </c>
      <c r="F14005" s="5">
        <v>222.4</v>
      </c>
      <c r="G14005" s="5">
        <v>110.5</v>
      </c>
      <c r="H14005" s="5">
        <v>110.4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112</v>
      </c>
      <c r="D14006" s="5">
        <v>0.1</v>
      </c>
      <c r="E14006" s="5">
        <v>112.1</v>
      </c>
      <c r="F14006" s="5">
        <v>222.4</v>
      </c>
      <c r="G14006" s="5">
        <v>110.5</v>
      </c>
      <c r="H14006" s="5">
        <v>110.4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112</v>
      </c>
      <c r="D14007" s="5">
        <v>0.1</v>
      </c>
      <c r="E14007" s="5">
        <v>112.1</v>
      </c>
      <c r="F14007" s="5">
        <v>222.4</v>
      </c>
      <c r="G14007" s="5">
        <v>110.5</v>
      </c>
      <c r="H14007" s="5">
        <v>110.4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112</v>
      </c>
      <c r="D14008" s="5">
        <v>0.1</v>
      </c>
      <c r="E14008" s="5">
        <v>112.1</v>
      </c>
      <c r="F14008" s="5">
        <v>222.4</v>
      </c>
      <c r="G14008" s="5">
        <v>110.5</v>
      </c>
      <c r="H14008" s="5">
        <v>110.4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112</v>
      </c>
      <c r="D14009" s="5">
        <v>0.1</v>
      </c>
      <c r="E14009" s="5">
        <v>112.1</v>
      </c>
      <c r="F14009" s="5">
        <v>222.4</v>
      </c>
      <c r="G14009" s="5">
        <v>110.5</v>
      </c>
      <c r="H14009" s="5">
        <v>110.4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112</v>
      </c>
      <c r="D14010" s="5">
        <v>0.1</v>
      </c>
      <c r="E14010" s="5">
        <v>112.1</v>
      </c>
      <c r="F14010" s="5">
        <v>222.4</v>
      </c>
      <c r="G14010" s="5">
        <v>110.5</v>
      </c>
      <c r="H14010" s="5">
        <v>110.4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112</v>
      </c>
      <c r="D14011" s="5">
        <v>0.1</v>
      </c>
      <c r="E14011" s="5">
        <v>112.1</v>
      </c>
      <c r="F14011" s="5">
        <v>222.4</v>
      </c>
      <c r="G14011" s="5">
        <v>110.5</v>
      </c>
      <c r="H14011" s="5">
        <v>110.4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112</v>
      </c>
      <c r="D14012" s="5">
        <v>0.1</v>
      </c>
      <c r="E14012" s="5">
        <v>112.1</v>
      </c>
      <c r="F14012" s="5">
        <v>222.4</v>
      </c>
      <c r="G14012" s="5">
        <v>110.5</v>
      </c>
      <c r="H14012" s="5">
        <v>110.4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112</v>
      </c>
      <c r="D14013" s="5">
        <v>0.1</v>
      </c>
      <c r="E14013" s="5">
        <v>112.1</v>
      </c>
      <c r="F14013" s="5">
        <v>222.4</v>
      </c>
      <c r="G14013" s="5">
        <v>110.5</v>
      </c>
      <c r="H14013" s="5">
        <v>110.4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112</v>
      </c>
      <c r="D14014" s="5">
        <v>0.1</v>
      </c>
      <c r="E14014" s="5">
        <v>112.1</v>
      </c>
      <c r="F14014" s="5">
        <v>222.4</v>
      </c>
      <c r="G14014" s="5">
        <v>110.5</v>
      </c>
      <c r="H14014" s="5">
        <v>110.4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112</v>
      </c>
      <c r="D14015" s="5">
        <v>0.1</v>
      </c>
      <c r="E14015" s="5">
        <v>112.1</v>
      </c>
      <c r="F14015" s="5">
        <v>222.4</v>
      </c>
      <c r="G14015" s="5">
        <v>110.5</v>
      </c>
      <c r="H14015" s="5">
        <v>110.4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112</v>
      </c>
      <c r="D14016" s="5">
        <v>0.1</v>
      </c>
      <c r="E14016" s="5">
        <v>112.1</v>
      </c>
      <c r="F14016" s="5">
        <v>222.4</v>
      </c>
      <c r="G14016" s="5">
        <v>110.5</v>
      </c>
      <c r="H14016" s="5">
        <v>110.4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112</v>
      </c>
      <c r="D14017" s="5">
        <v>0.1</v>
      </c>
      <c r="E14017" s="5">
        <v>112.1</v>
      </c>
      <c r="F14017" s="5">
        <v>222.4</v>
      </c>
      <c r="G14017" s="5">
        <v>110.5</v>
      </c>
      <c r="H14017" s="5">
        <v>110.4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112</v>
      </c>
      <c r="D14018" s="5">
        <v>0.1</v>
      </c>
      <c r="E14018" s="5">
        <v>112.1</v>
      </c>
      <c r="F14018" s="5">
        <v>222.4</v>
      </c>
      <c r="G14018" s="5">
        <v>110.5</v>
      </c>
      <c r="H14018" s="5">
        <v>110.4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112</v>
      </c>
      <c r="D14019" s="5">
        <v>0.1</v>
      </c>
      <c r="E14019" s="5">
        <v>112.1</v>
      </c>
      <c r="F14019" s="5">
        <v>222.4</v>
      </c>
      <c r="G14019" s="5">
        <v>110.5</v>
      </c>
      <c r="H14019" s="5">
        <v>110.4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112</v>
      </c>
      <c r="D14020" s="5">
        <v>0.1</v>
      </c>
      <c r="E14020" s="5">
        <v>112.1</v>
      </c>
      <c r="F14020" s="5">
        <v>222.4</v>
      </c>
      <c r="G14020" s="5">
        <v>110.5</v>
      </c>
      <c r="H14020" s="5">
        <v>110.4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112</v>
      </c>
      <c r="D14021" s="5">
        <v>0.1</v>
      </c>
      <c r="E14021" s="5">
        <v>112.1</v>
      </c>
      <c r="F14021" s="5">
        <v>222.4</v>
      </c>
      <c r="G14021" s="5">
        <v>110.5</v>
      </c>
      <c r="H14021" s="5">
        <v>110.4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112</v>
      </c>
      <c r="D14022" s="5">
        <v>0.1</v>
      </c>
      <c r="E14022" s="5">
        <v>112.1</v>
      </c>
      <c r="F14022" s="5">
        <v>222.4</v>
      </c>
      <c r="G14022" s="5">
        <v>110.5</v>
      </c>
      <c r="H14022" s="5">
        <v>110.4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112</v>
      </c>
      <c r="D14023" s="5">
        <v>0.1</v>
      </c>
      <c r="E14023" s="5">
        <v>112.1</v>
      </c>
      <c r="F14023" s="5">
        <v>222.4</v>
      </c>
      <c r="G14023" s="5">
        <v>110.5</v>
      </c>
      <c r="H14023" s="5">
        <v>110.4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112</v>
      </c>
      <c r="D14024" s="5">
        <v>0.1</v>
      </c>
      <c r="E14024" s="5">
        <v>112.1</v>
      </c>
      <c r="F14024" s="5">
        <v>222.4</v>
      </c>
      <c r="G14024" s="5">
        <v>110.5</v>
      </c>
      <c r="H14024" s="5">
        <v>110.4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112</v>
      </c>
      <c r="D14025" s="5">
        <v>0.1</v>
      </c>
      <c r="E14025" s="5">
        <v>112.1</v>
      </c>
      <c r="F14025" s="5">
        <v>222.4</v>
      </c>
      <c r="G14025" s="5">
        <v>110.5</v>
      </c>
      <c r="H14025" s="5">
        <v>110.4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112</v>
      </c>
      <c r="D14026" s="5">
        <v>0.1</v>
      </c>
      <c r="E14026" s="5">
        <v>112.1</v>
      </c>
      <c r="F14026" s="5">
        <v>222.4</v>
      </c>
      <c r="G14026" s="5">
        <v>110.5</v>
      </c>
      <c r="H14026" s="5">
        <v>110.4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112</v>
      </c>
      <c r="D14027" s="5">
        <v>0.1</v>
      </c>
      <c r="E14027" s="5">
        <v>112.1</v>
      </c>
      <c r="F14027" s="5">
        <v>222.4</v>
      </c>
      <c r="G14027" s="5">
        <v>110.5</v>
      </c>
      <c r="H14027" s="5">
        <v>110.4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112</v>
      </c>
      <c r="D14028" s="5">
        <v>0.1</v>
      </c>
      <c r="E14028" s="5">
        <v>112.1</v>
      </c>
      <c r="F14028" s="5">
        <v>222.4</v>
      </c>
      <c r="G14028" s="5">
        <v>110.5</v>
      </c>
      <c r="H14028" s="5">
        <v>110.4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112</v>
      </c>
      <c r="D14029" s="5">
        <v>0.1</v>
      </c>
      <c r="E14029" s="5">
        <v>112.1</v>
      </c>
      <c r="F14029" s="5">
        <v>222.4</v>
      </c>
      <c r="G14029" s="5">
        <v>110.5</v>
      </c>
      <c r="H14029" s="5">
        <v>110.4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112</v>
      </c>
      <c r="D14030" s="5">
        <v>0.1</v>
      </c>
      <c r="E14030" s="5">
        <v>112.1</v>
      </c>
      <c r="F14030" s="5">
        <v>222.4</v>
      </c>
      <c r="G14030" s="5">
        <v>110.5</v>
      </c>
      <c r="H14030" s="5">
        <v>110.4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112</v>
      </c>
      <c r="D14031" s="5">
        <v>0.1</v>
      </c>
      <c r="E14031" s="5">
        <v>112.1</v>
      </c>
      <c r="F14031" s="5">
        <v>222.4</v>
      </c>
      <c r="G14031" s="5">
        <v>110.5</v>
      </c>
      <c r="H14031" s="5">
        <v>110.4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112</v>
      </c>
      <c r="D14032" s="5">
        <v>0.1</v>
      </c>
      <c r="E14032" s="5">
        <v>112.1</v>
      </c>
      <c r="F14032" s="5">
        <v>222.4</v>
      </c>
      <c r="G14032" s="5">
        <v>110.5</v>
      </c>
      <c r="H14032" s="5">
        <v>110.4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112</v>
      </c>
      <c r="D14033" s="5">
        <v>0.1</v>
      </c>
      <c r="E14033" s="5">
        <v>112.1</v>
      </c>
      <c r="F14033" s="5">
        <v>222.4</v>
      </c>
      <c r="G14033" s="5">
        <v>110.5</v>
      </c>
      <c r="H14033" s="5">
        <v>110.4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112</v>
      </c>
      <c r="D14034" s="5">
        <v>0.1</v>
      </c>
      <c r="E14034" s="5">
        <v>112.1</v>
      </c>
      <c r="F14034" s="5">
        <v>222.4</v>
      </c>
      <c r="G14034" s="5">
        <v>110.5</v>
      </c>
      <c r="H14034" s="5">
        <v>110.4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112</v>
      </c>
      <c r="D14035" s="5">
        <v>0.1</v>
      </c>
      <c r="E14035" s="5">
        <v>112.1</v>
      </c>
      <c r="F14035" s="5">
        <v>222.4</v>
      </c>
      <c r="G14035" s="5">
        <v>110.5</v>
      </c>
      <c r="H14035" s="5">
        <v>110.4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112</v>
      </c>
      <c r="D14036" s="5">
        <v>0.1</v>
      </c>
      <c r="E14036" s="5">
        <v>112.1</v>
      </c>
      <c r="F14036" s="5">
        <v>222.4</v>
      </c>
      <c r="G14036" s="5">
        <v>110.5</v>
      </c>
      <c r="H14036" s="5">
        <v>110.4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112</v>
      </c>
      <c r="D14037" s="5">
        <v>0.1</v>
      </c>
      <c r="E14037" s="5">
        <v>112.1</v>
      </c>
      <c r="F14037" s="5">
        <v>222.4</v>
      </c>
      <c r="G14037" s="5">
        <v>110.5</v>
      </c>
      <c r="H14037" s="5">
        <v>110.4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112</v>
      </c>
      <c r="D14038" s="5">
        <v>0.1</v>
      </c>
      <c r="E14038" s="5">
        <v>112.1</v>
      </c>
      <c r="F14038" s="5">
        <v>222.4</v>
      </c>
      <c r="G14038" s="5">
        <v>110.5</v>
      </c>
      <c r="H14038" s="5">
        <v>110.4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112</v>
      </c>
      <c r="D14039" s="5">
        <v>0.1</v>
      </c>
      <c r="E14039" s="5">
        <v>112.1</v>
      </c>
      <c r="F14039" s="5">
        <v>222.4</v>
      </c>
      <c r="G14039" s="5">
        <v>110.5</v>
      </c>
      <c r="H14039" s="5">
        <v>110.4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112</v>
      </c>
      <c r="D14040" s="5">
        <v>0.1</v>
      </c>
      <c r="E14040" s="5">
        <v>112.1</v>
      </c>
      <c r="F14040" s="5">
        <v>222.4</v>
      </c>
      <c r="G14040" s="5">
        <v>110.5</v>
      </c>
      <c r="H14040" s="5">
        <v>110.4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112</v>
      </c>
      <c r="D14041" s="5">
        <v>0.1</v>
      </c>
      <c r="E14041" s="5">
        <v>112.1</v>
      </c>
      <c r="F14041" s="5">
        <v>222.4</v>
      </c>
      <c r="G14041" s="5">
        <v>110.5</v>
      </c>
      <c r="H14041" s="5">
        <v>110.4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112</v>
      </c>
      <c r="D14042" s="5">
        <v>0.1</v>
      </c>
      <c r="E14042" s="5">
        <v>112.1</v>
      </c>
      <c r="F14042" s="5">
        <v>222.4</v>
      </c>
      <c r="G14042" s="5">
        <v>110.5</v>
      </c>
      <c r="H14042" s="5">
        <v>110.4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112</v>
      </c>
      <c r="D14043" s="5">
        <v>0.1</v>
      </c>
      <c r="E14043" s="5">
        <v>112.1</v>
      </c>
      <c r="F14043" s="5">
        <v>222.4</v>
      </c>
      <c r="G14043" s="5">
        <v>110.5</v>
      </c>
      <c r="H14043" s="5">
        <v>110.4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112</v>
      </c>
      <c r="D14044" s="5">
        <v>0.1</v>
      </c>
      <c r="E14044" s="5">
        <v>112.1</v>
      </c>
      <c r="F14044" s="5">
        <v>222.4</v>
      </c>
      <c r="G14044" s="5">
        <v>110.5</v>
      </c>
      <c r="H14044" s="5">
        <v>110.4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112</v>
      </c>
      <c r="D14045" s="5">
        <v>0.1</v>
      </c>
      <c r="E14045" s="5">
        <v>112.1</v>
      </c>
      <c r="F14045" s="5">
        <v>222.4</v>
      </c>
      <c r="G14045" s="5">
        <v>110.5</v>
      </c>
      <c r="H14045" s="5">
        <v>110.4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112</v>
      </c>
      <c r="D14046" s="5">
        <v>0.1</v>
      </c>
      <c r="E14046" s="5">
        <v>112.1</v>
      </c>
      <c r="F14046" s="5">
        <v>222.4</v>
      </c>
      <c r="G14046" s="5">
        <v>110.5</v>
      </c>
      <c r="H14046" s="5">
        <v>110.4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112</v>
      </c>
      <c r="D14047" s="5">
        <v>0.1</v>
      </c>
      <c r="E14047" s="5">
        <v>112.1</v>
      </c>
      <c r="F14047" s="5">
        <v>222.4</v>
      </c>
      <c r="G14047" s="5">
        <v>110.5</v>
      </c>
      <c r="H14047" s="5">
        <v>110.4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112</v>
      </c>
      <c r="D14048" s="5">
        <v>0.1</v>
      </c>
      <c r="E14048" s="5">
        <v>112.1</v>
      </c>
      <c r="F14048" s="5">
        <v>222.4</v>
      </c>
      <c r="G14048" s="5">
        <v>110.5</v>
      </c>
      <c r="H14048" s="5">
        <v>110.4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112</v>
      </c>
      <c r="D14049" s="5">
        <v>0.1</v>
      </c>
      <c r="E14049" s="5">
        <v>112.1</v>
      </c>
      <c r="F14049" s="5">
        <v>222.4</v>
      </c>
      <c r="G14049" s="5">
        <v>110.5</v>
      </c>
      <c r="H14049" s="5">
        <v>110.4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112</v>
      </c>
      <c r="D14050" s="5">
        <v>0.1</v>
      </c>
      <c r="E14050" s="5">
        <v>112.1</v>
      </c>
      <c r="F14050" s="5">
        <v>222.4</v>
      </c>
      <c r="G14050" s="5">
        <v>110.5</v>
      </c>
      <c r="H14050" s="5">
        <v>110.4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112</v>
      </c>
      <c r="D14051" s="5">
        <v>0.1</v>
      </c>
      <c r="E14051" s="5">
        <v>112.1</v>
      </c>
      <c r="F14051" s="5">
        <v>222.4</v>
      </c>
      <c r="G14051" s="5">
        <v>110.5</v>
      </c>
      <c r="H14051" s="5">
        <v>110.4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112</v>
      </c>
      <c r="D14052" s="5">
        <v>0.1</v>
      </c>
      <c r="E14052" s="5">
        <v>112.1</v>
      </c>
      <c r="F14052" s="5">
        <v>222.4</v>
      </c>
      <c r="G14052" s="5">
        <v>110.5</v>
      </c>
      <c r="H14052" s="5">
        <v>110.4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112</v>
      </c>
      <c r="D14053" s="5">
        <v>0.1</v>
      </c>
      <c r="E14053" s="5">
        <v>112.1</v>
      </c>
      <c r="F14053" s="5">
        <v>222.4</v>
      </c>
      <c r="G14053" s="5">
        <v>110.5</v>
      </c>
      <c r="H14053" s="5">
        <v>110.4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112</v>
      </c>
      <c r="D14054" s="5">
        <v>0.1</v>
      </c>
      <c r="E14054" s="5">
        <v>112.1</v>
      </c>
      <c r="F14054" s="5">
        <v>222.4</v>
      </c>
      <c r="G14054" s="5">
        <v>110.5</v>
      </c>
      <c r="H14054" s="5">
        <v>110.4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112</v>
      </c>
      <c r="D14055" s="5">
        <v>0.1</v>
      </c>
      <c r="E14055" s="5">
        <v>112.1</v>
      </c>
      <c r="F14055" s="5">
        <v>222.4</v>
      </c>
      <c r="G14055" s="5">
        <v>110.5</v>
      </c>
      <c r="H14055" s="5">
        <v>110.4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112</v>
      </c>
      <c r="D14056" s="5">
        <v>0.1</v>
      </c>
      <c r="E14056" s="5">
        <v>112.1</v>
      </c>
      <c r="F14056" s="5">
        <v>222.4</v>
      </c>
      <c r="G14056" s="5">
        <v>110.5</v>
      </c>
      <c r="H14056" s="5">
        <v>110.4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112</v>
      </c>
      <c r="D14057" s="5">
        <v>0.1</v>
      </c>
      <c r="E14057" s="5">
        <v>112.1</v>
      </c>
      <c r="F14057" s="5">
        <v>222.4</v>
      </c>
      <c r="G14057" s="5">
        <v>110.5</v>
      </c>
      <c r="H14057" s="5">
        <v>110.4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112</v>
      </c>
      <c r="D14058" s="5">
        <v>0.1</v>
      </c>
      <c r="E14058" s="5">
        <v>112.1</v>
      </c>
      <c r="F14058" s="5">
        <v>222.4</v>
      </c>
      <c r="G14058" s="5">
        <v>110.5</v>
      </c>
      <c r="H14058" s="5">
        <v>110.4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112</v>
      </c>
      <c r="D14059" s="5">
        <v>0.1</v>
      </c>
      <c r="E14059" s="5">
        <v>112.1</v>
      </c>
      <c r="F14059" s="5">
        <v>222.4</v>
      </c>
      <c r="G14059" s="5">
        <v>110.5</v>
      </c>
      <c r="H14059" s="5">
        <v>110.4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112</v>
      </c>
      <c r="D14060" s="5">
        <v>0.1</v>
      </c>
      <c r="E14060" s="5">
        <v>112.1</v>
      </c>
      <c r="F14060" s="5">
        <v>222.4</v>
      </c>
      <c r="G14060" s="5">
        <v>110.5</v>
      </c>
      <c r="H14060" s="5">
        <v>110.4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112</v>
      </c>
      <c r="D14061" s="5">
        <v>0.1</v>
      </c>
      <c r="E14061" s="5">
        <v>112.1</v>
      </c>
      <c r="F14061" s="5">
        <v>222.4</v>
      </c>
      <c r="G14061" s="5">
        <v>110.5</v>
      </c>
      <c r="H14061" s="5">
        <v>110.4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112</v>
      </c>
      <c r="D14062" s="5">
        <v>0.1</v>
      </c>
      <c r="E14062" s="5">
        <v>112.1</v>
      </c>
      <c r="F14062" s="5">
        <v>222.4</v>
      </c>
      <c r="G14062" s="5">
        <v>110.5</v>
      </c>
      <c r="H14062" s="5">
        <v>110.4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112</v>
      </c>
      <c r="D14063" s="5">
        <v>0.1</v>
      </c>
      <c r="E14063" s="5">
        <v>112.1</v>
      </c>
      <c r="F14063" s="5">
        <v>222.4</v>
      </c>
      <c r="G14063" s="5">
        <v>110.5</v>
      </c>
      <c r="H14063" s="5">
        <v>110.4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112</v>
      </c>
      <c r="D14064" s="5">
        <v>0.1</v>
      </c>
      <c r="E14064" s="5">
        <v>112.1</v>
      </c>
      <c r="F14064" s="5">
        <v>222.4</v>
      </c>
      <c r="G14064" s="5">
        <v>110.5</v>
      </c>
      <c r="H14064" s="5">
        <v>110.4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112</v>
      </c>
      <c r="D14065" s="5">
        <v>0.1</v>
      </c>
      <c r="E14065" s="5">
        <v>112.1</v>
      </c>
      <c r="F14065" s="5">
        <v>222.4</v>
      </c>
      <c r="G14065" s="5">
        <v>110.5</v>
      </c>
      <c r="H14065" s="5">
        <v>110.4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112</v>
      </c>
      <c r="D14066" s="5">
        <v>0.1</v>
      </c>
      <c r="E14066" s="5">
        <v>112.1</v>
      </c>
      <c r="F14066" s="5">
        <v>222.4</v>
      </c>
      <c r="G14066" s="5">
        <v>110.5</v>
      </c>
      <c r="H14066" s="5">
        <v>110.4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112</v>
      </c>
      <c r="D14067" s="5">
        <v>0.1</v>
      </c>
      <c r="E14067" s="5">
        <v>112.1</v>
      </c>
      <c r="F14067" s="5">
        <v>222.4</v>
      </c>
      <c r="G14067" s="5">
        <v>110.5</v>
      </c>
      <c r="H14067" s="5">
        <v>110.4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112</v>
      </c>
      <c r="D14068" s="5">
        <v>0.1</v>
      </c>
      <c r="E14068" s="5">
        <v>112.1</v>
      </c>
      <c r="F14068" s="5">
        <v>222.4</v>
      </c>
      <c r="G14068" s="5">
        <v>110.5</v>
      </c>
      <c r="H14068" s="5">
        <v>110.4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112</v>
      </c>
      <c r="D14069" s="5">
        <v>0.1</v>
      </c>
      <c r="E14069" s="5">
        <v>112.1</v>
      </c>
      <c r="F14069" s="5">
        <v>222.4</v>
      </c>
      <c r="G14069" s="5">
        <v>110.5</v>
      </c>
      <c r="H14069" s="5">
        <v>110.4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112</v>
      </c>
      <c r="D14070" s="5">
        <v>0.1</v>
      </c>
      <c r="E14070" s="5">
        <v>112.1</v>
      </c>
      <c r="F14070" s="5">
        <v>222.4</v>
      </c>
      <c r="G14070" s="5">
        <v>110.5</v>
      </c>
      <c r="H14070" s="5">
        <v>110.4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112</v>
      </c>
      <c r="D14071" s="5">
        <v>0.1</v>
      </c>
      <c r="E14071" s="5">
        <v>112.1</v>
      </c>
      <c r="F14071" s="5">
        <v>222.4</v>
      </c>
      <c r="G14071" s="5">
        <v>110.5</v>
      </c>
      <c r="H14071" s="5">
        <v>110.4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112</v>
      </c>
      <c r="D14072" s="5">
        <v>0.1</v>
      </c>
      <c r="E14072" s="5">
        <v>112.1</v>
      </c>
      <c r="F14072" s="5">
        <v>222.4</v>
      </c>
      <c r="G14072" s="5">
        <v>110.5</v>
      </c>
      <c r="H14072" s="5">
        <v>110.4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112</v>
      </c>
      <c r="D14073" s="5">
        <v>0.1</v>
      </c>
      <c r="E14073" s="5">
        <v>112.1</v>
      </c>
      <c r="F14073" s="5">
        <v>222.4</v>
      </c>
      <c r="G14073" s="5">
        <v>110.5</v>
      </c>
      <c r="H14073" s="5">
        <v>110.4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112</v>
      </c>
      <c r="D14074" s="5">
        <v>0.1</v>
      </c>
      <c r="E14074" s="5">
        <v>112.1</v>
      </c>
      <c r="F14074" s="5">
        <v>222.4</v>
      </c>
      <c r="G14074" s="5">
        <v>110.5</v>
      </c>
      <c r="H14074" s="5">
        <v>110.4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112</v>
      </c>
      <c r="D14075" s="5">
        <v>0.1</v>
      </c>
      <c r="E14075" s="5">
        <v>112.1</v>
      </c>
      <c r="F14075" s="5">
        <v>222.4</v>
      </c>
      <c r="G14075" s="5">
        <v>110.5</v>
      </c>
      <c r="H14075" s="5">
        <v>110.4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112</v>
      </c>
      <c r="D14076" s="5">
        <v>0.1</v>
      </c>
      <c r="E14076" s="5">
        <v>112.1</v>
      </c>
      <c r="F14076" s="5">
        <v>222.4</v>
      </c>
      <c r="G14076" s="5">
        <v>110.5</v>
      </c>
      <c r="H14076" s="5">
        <v>110.4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112</v>
      </c>
      <c r="D14077" s="5">
        <v>0.1</v>
      </c>
      <c r="E14077" s="5">
        <v>112.1</v>
      </c>
      <c r="F14077" s="5">
        <v>222.4</v>
      </c>
      <c r="G14077" s="5">
        <v>110.5</v>
      </c>
      <c r="H14077" s="5">
        <v>110.4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112</v>
      </c>
      <c r="D14078" s="5">
        <v>0.1</v>
      </c>
      <c r="E14078" s="5">
        <v>112.1</v>
      </c>
      <c r="F14078" s="5">
        <v>222.4</v>
      </c>
      <c r="G14078" s="5">
        <v>110.5</v>
      </c>
      <c r="H14078" s="5">
        <v>110.4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112</v>
      </c>
      <c r="D14079" s="5">
        <v>0.1</v>
      </c>
      <c r="E14079" s="5">
        <v>112.1</v>
      </c>
      <c r="F14079" s="5">
        <v>222.4</v>
      </c>
      <c r="G14079" s="5">
        <v>110.5</v>
      </c>
      <c r="H14079" s="5">
        <v>110.4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112</v>
      </c>
      <c r="D14080" s="5">
        <v>0.1</v>
      </c>
      <c r="E14080" s="5">
        <v>112.1</v>
      </c>
      <c r="F14080" s="5">
        <v>222.4</v>
      </c>
      <c r="G14080" s="5">
        <v>110.5</v>
      </c>
      <c r="H14080" s="5">
        <v>110.4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112</v>
      </c>
      <c r="D14081" s="5">
        <v>0.1</v>
      </c>
      <c r="E14081" s="5">
        <v>112.1</v>
      </c>
      <c r="F14081" s="5">
        <v>222.4</v>
      </c>
      <c r="G14081" s="5">
        <v>110.5</v>
      </c>
      <c r="H14081" s="5">
        <v>110.4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112</v>
      </c>
      <c r="D14082" s="5">
        <v>0.1</v>
      </c>
      <c r="E14082" s="5">
        <v>112.1</v>
      </c>
      <c r="F14082" s="5">
        <v>222.4</v>
      </c>
      <c r="G14082" s="5">
        <v>110.5</v>
      </c>
      <c r="H14082" s="5">
        <v>110.4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112</v>
      </c>
      <c r="D14083" s="5">
        <v>0.1</v>
      </c>
      <c r="E14083" s="5">
        <v>112.1</v>
      </c>
      <c r="F14083" s="5">
        <v>222.4</v>
      </c>
      <c r="G14083" s="5">
        <v>110.5</v>
      </c>
      <c r="H14083" s="5">
        <v>110.4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112</v>
      </c>
      <c r="D14084" s="5">
        <v>0.1</v>
      </c>
      <c r="E14084" s="5">
        <v>112.1</v>
      </c>
      <c r="F14084" s="5">
        <v>222.4</v>
      </c>
      <c r="G14084" s="5">
        <v>110.5</v>
      </c>
      <c r="H14084" s="5">
        <v>110.4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112</v>
      </c>
      <c r="D14085" s="5">
        <v>0.1</v>
      </c>
      <c r="E14085" s="5">
        <v>112.1</v>
      </c>
      <c r="F14085" s="5">
        <v>222.4</v>
      </c>
      <c r="G14085" s="5">
        <v>110.5</v>
      </c>
      <c r="H14085" s="5">
        <v>110.4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112</v>
      </c>
      <c r="D14086" s="5">
        <v>0.1</v>
      </c>
      <c r="E14086" s="5">
        <v>112.1</v>
      </c>
      <c r="F14086" s="5">
        <v>222.4</v>
      </c>
      <c r="G14086" s="5">
        <v>110.5</v>
      </c>
      <c r="H14086" s="5">
        <v>110.4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112</v>
      </c>
      <c r="D14087" s="5">
        <v>0.1</v>
      </c>
      <c r="E14087" s="5">
        <v>112.1</v>
      </c>
      <c r="F14087" s="5">
        <v>222.4</v>
      </c>
      <c r="G14087" s="5">
        <v>110.5</v>
      </c>
      <c r="H14087" s="5">
        <v>110.4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112</v>
      </c>
      <c r="D14088" s="5">
        <v>0.1</v>
      </c>
      <c r="E14088" s="5">
        <v>112.1</v>
      </c>
      <c r="F14088" s="5">
        <v>222.4</v>
      </c>
      <c r="G14088" s="5">
        <v>110.5</v>
      </c>
      <c r="H14088" s="5">
        <v>110.4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112</v>
      </c>
      <c r="D14089" s="5">
        <v>0.1</v>
      </c>
      <c r="E14089" s="5">
        <v>112.1</v>
      </c>
      <c r="F14089" s="5">
        <v>222.4</v>
      </c>
      <c r="G14089" s="5">
        <v>110.5</v>
      </c>
      <c r="H14089" s="5">
        <v>110.4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112</v>
      </c>
      <c r="D14090" s="5">
        <v>0.1</v>
      </c>
      <c r="E14090" s="5">
        <v>112.1</v>
      </c>
      <c r="F14090" s="5">
        <v>222.4</v>
      </c>
      <c r="G14090" s="5">
        <v>110.5</v>
      </c>
      <c r="H14090" s="5">
        <v>110.4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112</v>
      </c>
      <c r="D14091" s="5">
        <v>0.1</v>
      </c>
      <c r="E14091" s="5">
        <v>112.1</v>
      </c>
      <c r="F14091" s="5">
        <v>222.4</v>
      </c>
      <c r="G14091" s="5">
        <v>110.5</v>
      </c>
      <c r="H14091" s="5">
        <v>110.4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112</v>
      </c>
      <c r="D14092" s="5">
        <v>0.1</v>
      </c>
      <c r="E14092" s="5">
        <v>112.1</v>
      </c>
      <c r="F14092" s="5">
        <v>222.4</v>
      </c>
      <c r="G14092" s="5">
        <v>110.5</v>
      </c>
      <c r="H14092" s="5">
        <v>110.4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112</v>
      </c>
      <c r="D14093" s="5">
        <v>0.1</v>
      </c>
      <c r="E14093" s="5">
        <v>112.1</v>
      </c>
      <c r="F14093" s="5">
        <v>222.4</v>
      </c>
      <c r="G14093" s="5">
        <v>110.5</v>
      </c>
      <c r="H14093" s="5">
        <v>110.4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112</v>
      </c>
      <c r="D14094" s="5">
        <v>0.1</v>
      </c>
      <c r="E14094" s="5">
        <v>112.1</v>
      </c>
      <c r="F14094" s="5">
        <v>222.4</v>
      </c>
      <c r="G14094" s="5">
        <v>110.5</v>
      </c>
      <c r="H14094" s="5">
        <v>110.4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112</v>
      </c>
      <c r="D14095" s="5">
        <v>0.1</v>
      </c>
      <c r="E14095" s="5">
        <v>112.1</v>
      </c>
      <c r="F14095" s="5">
        <v>222.4</v>
      </c>
      <c r="G14095" s="5">
        <v>110.5</v>
      </c>
      <c r="H14095" s="5">
        <v>110.4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112</v>
      </c>
      <c r="D14096" s="5">
        <v>0.1</v>
      </c>
      <c r="E14096" s="5">
        <v>112.1</v>
      </c>
      <c r="F14096" s="5">
        <v>222.4</v>
      </c>
      <c r="G14096" s="5">
        <v>110.5</v>
      </c>
      <c r="H14096" s="5">
        <v>110.4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112</v>
      </c>
      <c r="D14097" s="5">
        <v>0.1</v>
      </c>
      <c r="E14097" s="5">
        <v>112.1</v>
      </c>
      <c r="F14097" s="5">
        <v>222.4</v>
      </c>
      <c r="G14097" s="5">
        <v>110.5</v>
      </c>
      <c r="H14097" s="5">
        <v>110.4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112</v>
      </c>
      <c r="D14098" s="5">
        <v>0.1</v>
      </c>
      <c r="E14098" s="5">
        <v>112.1</v>
      </c>
      <c r="F14098" s="5">
        <v>222.4</v>
      </c>
      <c r="G14098" s="5">
        <v>110.5</v>
      </c>
      <c r="H14098" s="5">
        <v>110.4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112</v>
      </c>
      <c r="D14099" s="5">
        <v>0.1</v>
      </c>
      <c r="E14099" s="5">
        <v>112.1</v>
      </c>
      <c r="F14099" s="5">
        <v>222.4</v>
      </c>
      <c r="G14099" s="5">
        <v>110.5</v>
      </c>
      <c r="H14099" s="5">
        <v>110.4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112</v>
      </c>
      <c r="D14100" s="5">
        <v>0.1</v>
      </c>
      <c r="E14100" s="5">
        <v>112.1</v>
      </c>
      <c r="F14100" s="5">
        <v>222.4</v>
      </c>
      <c r="G14100" s="5">
        <v>110.5</v>
      </c>
      <c r="H14100" s="5">
        <v>110.4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112</v>
      </c>
      <c r="D14101" s="5">
        <v>0.1</v>
      </c>
      <c r="E14101" s="5">
        <v>112.1</v>
      </c>
      <c r="F14101" s="5">
        <v>222.4</v>
      </c>
      <c r="G14101" s="5">
        <v>110.5</v>
      </c>
      <c r="H14101" s="5">
        <v>110.4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112</v>
      </c>
      <c r="D14102" s="5">
        <v>0.1</v>
      </c>
      <c r="E14102" s="5">
        <v>112.1</v>
      </c>
      <c r="F14102" s="5">
        <v>222.4</v>
      </c>
      <c r="G14102" s="5">
        <v>110.5</v>
      </c>
      <c r="H14102" s="5">
        <v>110.4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112</v>
      </c>
      <c r="D14103" s="5">
        <v>0.1</v>
      </c>
      <c r="E14103" s="5">
        <v>112.1</v>
      </c>
      <c r="F14103" s="5">
        <v>222.4</v>
      </c>
      <c r="G14103" s="5">
        <v>110.5</v>
      </c>
      <c r="H14103" s="5">
        <v>110.4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112</v>
      </c>
      <c r="D14104" s="5">
        <v>0.1</v>
      </c>
      <c r="E14104" s="5">
        <v>112.1</v>
      </c>
      <c r="F14104" s="5">
        <v>222.4</v>
      </c>
      <c r="G14104" s="5">
        <v>110.5</v>
      </c>
      <c r="H14104" s="5">
        <v>110.4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112</v>
      </c>
      <c r="D14105" s="5">
        <v>0.1</v>
      </c>
      <c r="E14105" s="5">
        <v>112.1</v>
      </c>
      <c r="F14105" s="5">
        <v>222.4</v>
      </c>
      <c r="G14105" s="5">
        <v>110.5</v>
      </c>
      <c r="H14105" s="5">
        <v>110.4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112</v>
      </c>
      <c r="D14106" s="5">
        <v>0.1</v>
      </c>
      <c r="E14106" s="5">
        <v>112.1</v>
      </c>
      <c r="F14106" s="5">
        <v>222.4</v>
      </c>
      <c r="G14106" s="5">
        <v>110.5</v>
      </c>
      <c r="H14106" s="5">
        <v>110.4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112</v>
      </c>
      <c r="D14107" s="5">
        <v>0.1</v>
      </c>
      <c r="E14107" s="5">
        <v>112.1</v>
      </c>
      <c r="F14107" s="5">
        <v>222.4</v>
      </c>
      <c r="G14107" s="5">
        <v>110.5</v>
      </c>
      <c r="H14107" s="5">
        <v>110.4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112</v>
      </c>
      <c r="D14108" s="5">
        <v>0.1</v>
      </c>
      <c r="E14108" s="5">
        <v>112.1</v>
      </c>
      <c r="F14108" s="5">
        <v>222.4</v>
      </c>
      <c r="G14108" s="5">
        <v>110.5</v>
      </c>
      <c r="H14108" s="5">
        <v>110.4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112</v>
      </c>
      <c r="D14109" s="5">
        <v>0.1</v>
      </c>
      <c r="E14109" s="5">
        <v>112.1</v>
      </c>
      <c r="F14109" s="5">
        <v>222.4</v>
      </c>
      <c r="G14109" s="5">
        <v>110.5</v>
      </c>
      <c r="H14109" s="5">
        <v>110.4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112</v>
      </c>
      <c r="D14110" s="5">
        <v>0.1</v>
      </c>
      <c r="E14110" s="5">
        <v>112.1</v>
      </c>
      <c r="F14110" s="5">
        <v>222.4</v>
      </c>
      <c r="G14110" s="5">
        <v>110.5</v>
      </c>
      <c r="H14110" s="5">
        <v>110.4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112</v>
      </c>
      <c r="D14111" s="5">
        <v>0.1</v>
      </c>
      <c r="E14111" s="5">
        <v>112.1</v>
      </c>
      <c r="F14111" s="5">
        <v>222.4</v>
      </c>
      <c r="G14111" s="5">
        <v>110.5</v>
      </c>
      <c r="H14111" s="5">
        <v>110.4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112</v>
      </c>
      <c r="D14112" s="5">
        <v>0.1</v>
      </c>
      <c r="E14112" s="5">
        <v>112.1</v>
      </c>
      <c r="F14112" s="5">
        <v>222.4</v>
      </c>
      <c r="G14112" s="5">
        <v>110.5</v>
      </c>
      <c r="H14112" s="5">
        <v>110.4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112</v>
      </c>
      <c r="D14113" s="5">
        <v>0.1</v>
      </c>
      <c r="E14113" s="5">
        <v>112.1</v>
      </c>
      <c r="F14113" s="5">
        <v>222.4</v>
      </c>
      <c r="G14113" s="5">
        <v>110.5</v>
      </c>
      <c r="H14113" s="5">
        <v>110.4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112</v>
      </c>
      <c r="D14114" s="5">
        <v>0.1</v>
      </c>
      <c r="E14114" s="5">
        <v>112.1</v>
      </c>
      <c r="F14114" s="5">
        <v>222.4</v>
      </c>
      <c r="G14114" s="5">
        <v>110.5</v>
      </c>
      <c r="H14114" s="5">
        <v>110.4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112</v>
      </c>
      <c r="D14115" s="5">
        <v>0.1</v>
      </c>
      <c r="E14115" s="5">
        <v>112.1</v>
      </c>
      <c r="F14115" s="5">
        <v>222.4</v>
      </c>
      <c r="G14115" s="5">
        <v>110.5</v>
      </c>
      <c r="H14115" s="5">
        <v>110.4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112</v>
      </c>
      <c r="D14116" s="5">
        <v>0.1</v>
      </c>
      <c r="E14116" s="5">
        <v>112.1</v>
      </c>
      <c r="F14116" s="5">
        <v>222.4</v>
      </c>
      <c r="G14116" s="5">
        <v>110.5</v>
      </c>
      <c r="H14116" s="5">
        <v>110.4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112</v>
      </c>
      <c r="D14117" s="5">
        <v>0.1</v>
      </c>
      <c r="E14117" s="5">
        <v>112.1</v>
      </c>
      <c r="F14117" s="5">
        <v>222.4</v>
      </c>
      <c r="G14117" s="5">
        <v>110.5</v>
      </c>
      <c r="H14117" s="5">
        <v>110.4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112</v>
      </c>
      <c r="D14118" s="5">
        <v>0.1</v>
      </c>
      <c r="E14118" s="5">
        <v>112.1</v>
      </c>
      <c r="F14118" s="5">
        <v>222.4</v>
      </c>
      <c r="G14118" s="5">
        <v>110.5</v>
      </c>
      <c r="H14118" s="5">
        <v>110.4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112</v>
      </c>
      <c r="D14119" s="5">
        <v>0.1</v>
      </c>
      <c r="E14119" s="5">
        <v>112.1</v>
      </c>
      <c r="F14119" s="5">
        <v>222.4</v>
      </c>
      <c r="G14119" s="5">
        <v>110.5</v>
      </c>
      <c r="H14119" s="5">
        <v>110.4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112</v>
      </c>
      <c r="D14120" s="5">
        <v>0.1</v>
      </c>
      <c r="E14120" s="5">
        <v>112.1</v>
      </c>
      <c r="F14120" s="5">
        <v>222.4</v>
      </c>
      <c r="G14120" s="5">
        <v>110.5</v>
      </c>
      <c r="H14120" s="5">
        <v>110.4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112</v>
      </c>
      <c r="D14121" s="5">
        <v>0.1</v>
      </c>
      <c r="E14121" s="5">
        <v>112.1</v>
      </c>
      <c r="F14121" s="5">
        <v>222.4</v>
      </c>
      <c r="G14121" s="5">
        <v>110.5</v>
      </c>
      <c r="H14121" s="5">
        <v>110.4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112</v>
      </c>
      <c r="D14122" s="5">
        <v>0.1</v>
      </c>
      <c r="E14122" s="5">
        <v>112.1</v>
      </c>
      <c r="F14122" s="5">
        <v>222.4</v>
      </c>
      <c r="G14122" s="5">
        <v>110.5</v>
      </c>
      <c r="H14122" s="5">
        <v>110.4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112</v>
      </c>
      <c r="D14123" s="5">
        <v>0.1</v>
      </c>
      <c r="E14123" s="5">
        <v>112.1</v>
      </c>
      <c r="F14123" s="5">
        <v>222.4</v>
      </c>
      <c r="G14123" s="5">
        <v>110.5</v>
      </c>
      <c r="H14123" s="5">
        <v>110.4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112</v>
      </c>
      <c r="D14124" s="5">
        <v>0.1</v>
      </c>
      <c r="E14124" s="5">
        <v>112.1</v>
      </c>
      <c r="F14124" s="5">
        <v>222.4</v>
      </c>
      <c r="G14124" s="5">
        <v>110.5</v>
      </c>
      <c r="H14124" s="5">
        <v>110.4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112</v>
      </c>
      <c r="D14125" s="5">
        <v>0.1</v>
      </c>
      <c r="E14125" s="5">
        <v>112.1</v>
      </c>
      <c r="F14125" s="5">
        <v>222.4</v>
      </c>
      <c r="G14125" s="5">
        <v>110.5</v>
      </c>
      <c r="H14125" s="5">
        <v>110.4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112</v>
      </c>
      <c r="D14126" s="5">
        <v>0.1</v>
      </c>
      <c r="E14126" s="5">
        <v>112.1</v>
      </c>
      <c r="F14126" s="5">
        <v>222.4</v>
      </c>
      <c r="G14126" s="5">
        <v>110.5</v>
      </c>
      <c r="H14126" s="5">
        <v>110.4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112</v>
      </c>
      <c r="D14127" s="5">
        <v>0.1</v>
      </c>
      <c r="E14127" s="5">
        <v>112.1</v>
      </c>
      <c r="F14127" s="5">
        <v>222.4</v>
      </c>
      <c r="G14127" s="5">
        <v>110.5</v>
      </c>
      <c r="H14127" s="5">
        <v>110.4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112</v>
      </c>
      <c r="D14128" s="5">
        <v>0.1</v>
      </c>
      <c r="E14128" s="5">
        <v>112.1</v>
      </c>
      <c r="F14128" s="5">
        <v>222.4</v>
      </c>
      <c r="G14128" s="5">
        <v>110.5</v>
      </c>
      <c r="H14128" s="5">
        <v>110.4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112</v>
      </c>
      <c r="D14129" s="5">
        <v>0.1</v>
      </c>
      <c r="E14129" s="5">
        <v>112.1</v>
      </c>
      <c r="F14129" s="5">
        <v>222.4</v>
      </c>
      <c r="G14129" s="5">
        <v>110.5</v>
      </c>
      <c r="H14129" s="5">
        <v>110.4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112</v>
      </c>
      <c r="D14130" s="5">
        <v>0.1</v>
      </c>
      <c r="E14130" s="5">
        <v>112.1</v>
      </c>
      <c r="F14130" s="5">
        <v>222.4</v>
      </c>
      <c r="G14130" s="5">
        <v>110.5</v>
      </c>
      <c r="H14130" s="5">
        <v>110.4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112</v>
      </c>
      <c r="D14131" s="5">
        <v>0.1</v>
      </c>
      <c r="E14131" s="5">
        <v>112.1</v>
      </c>
      <c r="F14131" s="5">
        <v>222.4</v>
      </c>
      <c r="G14131" s="5">
        <v>110.5</v>
      </c>
      <c r="H14131" s="5">
        <v>110.4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112</v>
      </c>
      <c r="D14132" s="5">
        <v>0.1</v>
      </c>
      <c r="E14132" s="5">
        <v>112.1</v>
      </c>
      <c r="F14132" s="5">
        <v>222.4</v>
      </c>
      <c r="G14132" s="5">
        <v>110.5</v>
      </c>
      <c r="H14132" s="5">
        <v>110.4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112</v>
      </c>
      <c r="D14133" s="5">
        <v>0.1</v>
      </c>
      <c r="E14133" s="5">
        <v>112.1</v>
      </c>
      <c r="F14133" s="5">
        <v>222.4</v>
      </c>
      <c r="G14133" s="5">
        <v>110.5</v>
      </c>
      <c r="H14133" s="5">
        <v>110.4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112</v>
      </c>
      <c r="D14134" s="5">
        <v>0.1</v>
      </c>
      <c r="E14134" s="5">
        <v>112.1</v>
      </c>
      <c r="F14134" s="5">
        <v>222.4</v>
      </c>
      <c r="G14134" s="5">
        <v>110.5</v>
      </c>
      <c r="H14134" s="5">
        <v>110.4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112</v>
      </c>
      <c r="D14135" s="5">
        <v>0.1</v>
      </c>
      <c r="E14135" s="5">
        <v>112.1</v>
      </c>
      <c r="F14135" s="5">
        <v>222.4</v>
      </c>
      <c r="G14135" s="5">
        <v>110.5</v>
      </c>
      <c r="H14135" s="5">
        <v>110.4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112</v>
      </c>
      <c r="D14136" s="5">
        <v>0.1</v>
      </c>
      <c r="E14136" s="5">
        <v>112.1</v>
      </c>
      <c r="F14136" s="5">
        <v>222.4</v>
      </c>
      <c r="G14136" s="5">
        <v>110.5</v>
      </c>
      <c r="H14136" s="5">
        <v>110.4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112</v>
      </c>
      <c r="D14137" s="5">
        <v>0.1</v>
      </c>
      <c r="E14137" s="5">
        <v>112.1</v>
      </c>
      <c r="F14137" s="5">
        <v>222.4</v>
      </c>
      <c r="G14137" s="5">
        <v>110.5</v>
      </c>
      <c r="H14137" s="5">
        <v>110.4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112</v>
      </c>
      <c r="D14138" s="5">
        <v>0.1</v>
      </c>
      <c r="E14138" s="5">
        <v>112.1</v>
      </c>
      <c r="F14138" s="5">
        <v>222.4</v>
      </c>
      <c r="G14138" s="5">
        <v>110.5</v>
      </c>
      <c r="H14138" s="5">
        <v>110.4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112</v>
      </c>
      <c r="D14139" s="5">
        <v>0.1</v>
      </c>
      <c r="E14139" s="5">
        <v>112.1</v>
      </c>
      <c r="F14139" s="5">
        <v>222.4</v>
      </c>
      <c r="G14139" s="5">
        <v>110.5</v>
      </c>
      <c r="H14139" s="5">
        <v>110.4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112</v>
      </c>
      <c r="D14140" s="5">
        <v>0.1</v>
      </c>
      <c r="E14140" s="5">
        <v>112.1</v>
      </c>
      <c r="F14140" s="5">
        <v>222.4</v>
      </c>
      <c r="G14140" s="5">
        <v>110.5</v>
      </c>
      <c r="H14140" s="5">
        <v>110.4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112</v>
      </c>
      <c r="D14141" s="5">
        <v>0.1</v>
      </c>
      <c r="E14141" s="5">
        <v>112.1</v>
      </c>
      <c r="F14141" s="5">
        <v>222.4</v>
      </c>
      <c r="G14141" s="5">
        <v>110.5</v>
      </c>
      <c r="H14141" s="5">
        <v>110.4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112</v>
      </c>
      <c r="D14142" s="5">
        <v>0.1</v>
      </c>
      <c r="E14142" s="5">
        <v>112.1</v>
      </c>
      <c r="F14142" s="5">
        <v>222.4</v>
      </c>
      <c r="G14142" s="5">
        <v>110.5</v>
      </c>
      <c r="H14142" s="5">
        <v>110.4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112</v>
      </c>
      <c r="D14143" s="5">
        <v>0.1</v>
      </c>
      <c r="E14143" s="5">
        <v>112.1</v>
      </c>
      <c r="F14143" s="5">
        <v>222.4</v>
      </c>
      <c r="G14143" s="5">
        <v>110.5</v>
      </c>
      <c r="H14143" s="5">
        <v>110.4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112</v>
      </c>
      <c r="D14144" s="5">
        <v>0.1</v>
      </c>
      <c r="E14144" s="5">
        <v>112.1</v>
      </c>
      <c r="F14144" s="5">
        <v>222.4</v>
      </c>
      <c r="G14144" s="5">
        <v>110.5</v>
      </c>
      <c r="H14144" s="5">
        <v>110.4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112</v>
      </c>
      <c r="D14145" s="5">
        <v>0.1</v>
      </c>
      <c r="E14145" s="5">
        <v>112.1</v>
      </c>
      <c r="F14145" s="5">
        <v>222.4</v>
      </c>
      <c r="G14145" s="5">
        <v>110.5</v>
      </c>
      <c r="H14145" s="5">
        <v>110.4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112</v>
      </c>
      <c r="D14146" s="5">
        <v>0.1</v>
      </c>
      <c r="E14146" s="5">
        <v>112.1</v>
      </c>
      <c r="F14146" s="5">
        <v>222.4</v>
      </c>
      <c r="G14146" s="5">
        <v>110.5</v>
      </c>
      <c r="H14146" s="5">
        <v>110.4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112</v>
      </c>
      <c r="D14147" s="5">
        <v>0.1</v>
      </c>
      <c r="E14147" s="5">
        <v>112.1</v>
      </c>
      <c r="F14147" s="5">
        <v>222.4</v>
      </c>
      <c r="G14147" s="5">
        <v>110.5</v>
      </c>
      <c r="H14147" s="5">
        <v>110.4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112</v>
      </c>
      <c r="D14148" s="5">
        <v>0.1</v>
      </c>
      <c r="E14148" s="5">
        <v>112.1</v>
      </c>
      <c r="F14148" s="5">
        <v>222.4</v>
      </c>
      <c r="G14148" s="5">
        <v>110.5</v>
      </c>
      <c r="H14148" s="5">
        <v>110.4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112</v>
      </c>
      <c r="D14149" s="5">
        <v>0.1</v>
      </c>
      <c r="E14149" s="5">
        <v>112.1</v>
      </c>
      <c r="F14149" s="5">
        <v>222.4</v>
      </c>
      <c r="G14149" s="5">
        <v>110.5</v>
      </c>
      <c r="H14149" s="5">
        <v>110.4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112</v>
      </c>
      <c r="D14150" s="5">
        <v>0.1</v>
      </c>
      <c r="E14150" s="5">
        <v>112.1</v>
      </c>
      <c r="F14150" s="5">
        <v>222.4</v>
      </c>
      <c r="G14150" s="5">
        <v>110.5</v>
      </c>
      <c r="H14150" s="5">
        <v>110.4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112</v>
      </c>
      <c r="D14151" s="5">
        <v>0.1</v>
      </c>
      <c r="E14151" s="5">
        <v>112.1</v>
      </c>
      <c r="F14151" s="5">
        <v>222.4</v>
      </c>
      <c r="G14151" s="5">
        <v>110.5</v>
      </c>
      <c r="H14151" s="5">
        <v>110.4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112</v>
      </c>
      <c r="D14152" s="5">
        <v>0.1</v>
      </c>
      <c r="E14152" s="5">
        <v>112.1</v>
      </c>
      <c r="F14152" s="5">
        <v>222.4</v>
      </c>
      <c r="G14152" s="5">
        <v>110.5</v>
      </c>
      <c r="H14152" s="5">
        <v>110.4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112</v>
      </c>
      <c r="D14153" s="5">
        <v>0.1</v>
      </c>
      <c r="E14153" s="5">
        <v>112.1</v>
      </c>
      <c r="F14153" s="5">
        <v>222.4</v>
      </c>
      <c r="G14153" s="5">
        <v>110.5</v>
      </c>
      <c r="H14153" s="5">
        <v>110.4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112</v>
      </c>
      <c r="D14154" s="5">
        <v>0.1</v>
      </c>
      <c r="E14154" s="5">
        <v>112.1</v>
      </c>
      <c r="F14154" s="5">
        <v>222.4</v>
      </c>
      <c r="G14154" s="5">
        <v>110.5</v>
      </c>
      <c r="H14154" s="5">
        <v>110.4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112</v>
      </c>
      <c r="D14155" s="5">
        <v>0.1</v>
      </c>
      <c r="E14155" s="5">
        <v>112.1</v>
      </c>
      <c r="F14155" s="5">
        <v>222.4</v>
      </c>
      <c r="G14155" s="5">
        <v>110.5</v>
      </c>
      <c r="H14155" s="5">
        <v>110.4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112</v>
      </c>
      <c r="D14156" s="5">
        <v>0.1</v>
      </c>
      <c r="E14156" s="5">
        <v>112.1</v>
      </c>
      <c r="F14156" s="5">
        <v>222.4</v>
      </c>
      <c r="G14156" s="5">
        <v>110.5</v>
      </c>
      <c r="H14156" s="5">
        <v>110.4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112</v>
      </c>
      <c r="D14157" s="5">
        <v>0.1</v>
      </c>
      <c r="E14157" s="5">
        <v>112.1</v>
      </c>
      <c r="F14157" s="5">
        <v>222.4</v>
      </c>
      <c r="G14157" s="5">
        <v>110.5</v>
      </c>
      <c r="H14157" s="5">
        <v>110.4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112</v>
      </c>
      <c r="D14158" s="5">
        <v>0.1</v>
      </c>
      <c r="E14158" s="5">
        <v>112.1</v>
      </c>
      <c r="F14158" s="5">
        <v>222.4</v>
      </c>
      <c r="G14158" s="5">
        <v>110.5</v>
      </c>
      <c r="H14158" s="5">
        <v>110.4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112</v>
      </c>
      <c r="D14159" s="5">
        <v>0.1</v>
      </c>
      <c r="E14159" s="5">
        <v>112.1</v>
      </c>
      <c r="F14159" s="5">
        <v>222.4</v>
      </c>
      <c r="G14159" s="5">
        <v>110.5</v>
      </c>
      <c r="H14159" s="5">
        <v>110.4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112</v>
      </c>
      <c r="D14160" s="5">
        <v>0.1</v>
      </c>
      <c r="E14160" s="5">
        <v>112.1</v>
      </c>
      <c r="F14160" s="5">
        <v>222.4</v>
      </c>
      <c r="G14160" s="5">
        <v>110.5</v>
      </c>
      <c r="H14160" s="5">
        <v>110.4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112</v>
      </c>
      <c r="D14161" s="5">
        <v>0.1</v>
      </c>
      <c r="E14161" s="5">
        <v>112.1</v>
      </c>
      <c r="F14161" s="5">
        <v>222.4</v>
      </c>
      <c r="G14161" s="5">
        <v>110.5</v>
      </c>
      <c r="H14161" s="5">
        <v>110.4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112</v>
      </c>
      <c r="D14162" s="5">
        <v>0.1</v>
      </c>
      <c r="E14162" s="5">
        <v>112.1</v>
      </c>
      <c r="F14162" s="5">
        <v>222.4</v>
      </c>
      <c r="G14162" s="5">
        <v>110.5</v>
      </c>
      <c r="H14162" s="5">
        <v>110.4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112</v>
      </c>
      <c r="D14163" s="5">
        <v>0.1</v>
      </c>
      <c r="E14163" s="5">
        <v>112.1</v>
      </c>
      <c r="F14163" s="5">
        <v>222.4</v>
      </c>
      <c r="G14163" s="5">
        <v>110.5</v>
      </c>
      <c r="H14163" s="5">
        <v>110.4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112</v>
      </c>
      <c r="D14164" s="5">
        <v>0.1</v>
      </c>
      <c r="E14164" s="5">
        <v>112.1</v>
      </c>
      <c r="F14164" s="5">
        <v>222.4</v>
      </c>
      <c r="G14164" s="5">
        <v>110.5</v>
      </c>
      <c r="H14164" s="5">
        <v>110.4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112</v>
      </c>
      <c r="D14165" s="5">
        <v>0.1</v>
      </c>
      <c r="E14165" s="5">
        <v>112.1</v>
      </c>
      <c r="F14165" s="5">
        <v>222.4</v>
      </c>
      <c r="G14165" s="5">
        <v>110.5</v>
      </c>
      <c r="H14165" s="5">
        <v>110.4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112</v>
      </c>
      <c r="D14166" s="5">
        <v>0.1</v>
      </c>
      <c r="E14166" s="5">
        <v>112.1</v>
      </c>
      <c r="F14166" s="5">
        <v>222.4</v>
      </c>
      <c r="G14166" s="5">
        <v>110.5</v>
      </c>
      <c r="H14166" s="5">
        <v>110.4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112</v>
      </c>
      <c r="D14167" s="5">
        <v>0.1</v>
      </c>
      <c r="E14167" s="5">
        <v>112.1</v>
      </c>
      <c r="F14167" s="5">
        <v>222.4</v>
      </c>
      <c r="G14167" s="5">
        <v>110.5</v>
      </c>
      <c r="H14167" s="5">
        <v>110.4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112</v>
      </c>
      <c r="D14168" s="5">
        <v>0.1</v>
      </c>
      <c r="E14168" s="5">
        <v>112.1</v>
      </c>
      <c r="F14168" s="5">
        <v>222.4</v>
      </c>
      <c r="G14168" s="5">
        <v>110.5</v>
      </c>
      <c r="H14168" s="5">
        <v>110.4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112</v>
      </c>
      <c r="D14169" s="5">
        <v>0.1</v>
      </c>
      <c r="E14169" s="5">
        <v>112.1</v>
      </c>
      <c r="F14169" s="5">
        <v>222.4</v>
      </c>
      <c r="G14169" s="5">
        <v>110.5</v>
      </c>
      <c r="H14169" s="5">
        <v>110.4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112</v>
      </c>
      <c r="D14170" s="5">
        <v>0.1</v>
      </c>
      <c r="E14170" s="5">
        <v>112.1</v>
      </c>
      <c r="F14170" s="5">
        <v>222.4</v>
      </c>
      <c r="G14170" s="5">
        <v>110.5</v>
      </c>
      <c r="H14170" s="5">
        <v>110.4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112</v>
      </c>
      <c r="D14171" s="5">
        <v>0.1</v>
      </c>
      <c r="E14171" s="5">
        <v>112.1</v>
      </c>
      <c r="F14171" s="5">
        <v>222.4</v>
      </c>
      <c r="G14171" s="5">
        <v>110.5</v>
      </c>
      <c r="H14171" s="5">
        <v>110.4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112</v>
      </c>
      <c r="D14172" s="5">
        <v>0.1</v>
      </c>
      <c r="E14172" s="5">
        <v>112.1</v>
      </c>
      <c r="F14172" s="5">
        <v>222.4</v>
      </c>
      <c r="G14172" s="5">
        <v>110.5</v>
      </c>
      <c r="H14172" s="5">
        <v>110.4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112</v>
      </c>
      <c r="D14173" s="5">
        <v>0.1</v>
      </c>
      <c r="E14173" s="5">
        <v>112.1</v>
      </c>
      <c r="F14173" s="5">
        <v>222.4</v>
      </c>
      <c r="G14173" s="5">
        <v>110.5</v>
      </c>
      <c r="H14173" s="5">
        <v>110.4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112</v>
      </c>
      <c r="D14174" s="5">
        <v>0.1</v>
      </c>
      <c r="E14174" s="5">
        <v>112.1</v>
      </c>
      <c r="F14174" s="5">
        <v>222.4</v>
      </c>
      <c r="G14174" s="5">
        <v>110.5</v>
      </c>
      <c r="H14174" s="5">
        <v>110.4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112</v>
      </c>
      <c r="D14175" s="5">
        <v>0.1</v>
      </c>
      <c r="E14175" s="5">
        <v>112.1</v>
      </c>
      <c r="F14175" s="5">
        <v>222.4</v>
      </c>
      <c r="G14175" s="5">
        <v>110.5</v>
      </c>
      <c r="H14175" s="5">
        <v>110.4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112</v>
      </c>
      <c r="D14176" s="5">
        <v>0.1</v>
      </c>
      <c r="E14176" s="5">
        <v>112.1</v>
      </c>
      <c r="F14176" s="5">
        <v>222.4</v>
      </c>
      <c r="G14176" s="5">
        <v>110.5</v>
      </c>
      <c r="H14176" s="5">
        <v>110.4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112</v>
      </c>
      <c r="D14177" s="5">
        <v>0.1</v>
      </c>
      <c r="E14177" s="5">
        <v>112.1</v>
      </c>
      <c r="F14177" s="5">
        <v>222.4</v>
      </c>
      <c r="G14177" s="5">
        <v>110.5</v>
      </c>
      <c r="H14177" s="5">
        <v>110.4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112</v>
      </c>
      <c r="D14178" s="5">
        <v>0.1</v>
      </c>
      <c r="E14178" s="5">
        <v>112.1</v>
      </c>
      <c r="F14178" s="5">
        <v>222.4</v>
      </c>
      <c r="G14178" s="5">
        <v>110.5</v>
      </c>
      <c r="H14178" s="5">
        <v>110.4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112</v>
      </c>
      <c r="D14179" s="5">
        <v>0.1</v>
      </c>
      <c r="E14179" s="5">
        <v>112.1</v>
      </c>
      <c r="F14179" s="5">
        <v>222.4</v>
      </c>
      <c r="G14179" s="5">
        <v>110.5</v>
      </c>
      <c r="H14179" s="5">
        <v>110.4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112</v>
      </c>
      <c r="D14180" s="5">
        <v>0.1</v>
      </c>
      <c r="E14180" s="5">
        <v>112.1</v>
      </c>
      <c r="F14180" s="5">
        <v>222.4</v>
      </c>
      <c r="G14180" s="5">
        <v>110.5</v>
      </c>
      <c r="H14180" s="5">
        <v>110.4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112</v>
      </c>
      <c r="D14181" s="5">
        <v>0.1</v>
      </c>
      <c r="E14181" s="5">
        <v>112.1</v>
      </c>
      <c r="F14181" s="5">
        <v>222.4</v>
      </c>
      <c r="G14181" s="5">
        <v>110.5</v>
      </c>
      <c r="H14181" s="5">
        <v>110.4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112</v>
      </c>
      <c r="D14182" s="5">
        <v>0.1</v>
      </c>
      <c r="E14182" s="5">
        <v>112.1</v>
      </c>
      <c r="F14182" s="5">
        <v>222.4</v>
      </c>
      <c r="G14182" s="5">
        <v>110.5</v>
      </c>
      <c r="H14182" s="5">
        <v>110.4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112</v>
      </c>
      <c r="D14183" s="5">
        <v>0.1</v>
      </c>
      <c r="E14183" s="5">
        <v>112.1</v>
      </c>
      <c r="F14183" s="5">
        <v>222.4</v>
      </c>
      <c r="G14183" s="5">
        <v>110.5</v>
      </c>
      <c r="H14183" s="5">
        <v>110.4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112</v>
      </c>
      <c r="D14184" s="5">
        <v>0.1</v>
      </c>
      <c r="E14184" s="5">
        <v>112.1</v>
      </c>
      <c r="F14184" s="5">
        <v>222.4</v>
      </c>
      <c r="G14184" s="5">
        <v>110.5</v>
      </c>
      <c r="H14184" s="5">
        <v>110.4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112</v>
      </c>
      <c r="D14185" s="5">
        <v>0.1</v>
      </c>
      <c r="E14185" s="5">
        <v>112.1</v>
      </c>
      <c r="F14185" s="5">
        <v>222.4</v>
      </c>
      <c r="G14185" s="5">
        <v>110.5</v>
      </c>
      <c r="H14185" s="5">
        <v>110.4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112</v>
      </c>
      <c r="D14186" s="5">
        <v>0.1</v>
      </c>
      <c r="E14186" s="5">
        <v>112.1</v>
      </c>
      <c r="F14186" s="5">
        <v>222.4</v>
      </c>
      <c r="G14186" s="5">
        <v>110.5</v>
      </c>
      <c r="H14186" s="5">
        <v>110.4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112</v>
      </c>
      <c r="D14187" s="5">
        <v>0.1</v>
      </c>
      <c r="E14187" s="5">
        <v>112.1</v>
      </c>
      <c r="F14187" s="5">
        <v>222.4</v>
      </c>
      <c r="G14187" s="5">
        <v>110.5</v>
      </c>
      <c r="H14187" s="5">
        <v>110.4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112</v>
      </c>
      <c r="D14188" s="5">
        <v>0.1</v>
      </c>
      <c r="E14188" s="5">
        <v>112.1</v>
      </c>
      <c r="F14188" s="5">
        <v>222.4</v>
      </c>
      <c r="G14188" s="5">
        <v>110.5</v>
      </c>
      <c r="H14188" s="5">
        <v>110.4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112</v>
      </c>
      <c r="D14189" s="5">
        <v>0.1</v>
      </c>
      <c r="E14189" s="5">
        <v>112.1</v>
      </c>
      <c r="F14189" s="5">
        <v>222.4</v>
      </c>
      <c r="G14189" s="5">
        <v>110.5</v>
      </c>
      <c r="H14189" s="5">
        <v>110.4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112</v>
      </c>
      <c r="D14190" s="5">
        <v>0.1</v>
      </c>
      <c r="E14190" s="5">
        <v>112.1</v>
      </c>
      <c r="F14190" s="5">
        <v>222.4</v>
      </c>
      <c r="G14190" s="5">
        <v>110.5</v>
      </c>
      <c r="H14190" s="5">
        <v>110.4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112</v>
      </c>
      <c r="D14191" s="5">
        <v>0.1</v>
      </c>
      <c r="E14191" s="5">
        <v>112.1</v>
      </c>
      <c r="F14191" s="5">
        <v>222.4</v>
      </c>
      <c r="G14191" s="5">
        <v>110.5</v>
      </c>
      <c r="H14191" s="5">
        <v>110.4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112</v>
      </c>
      <c r="D14192" s="5">
        <v>0.1</v>
      </c>
      <c r="E14192" s="5">
        <v>112.1</v>
      </c>
      <c r="F14192" s="5">
        <v>222.4</v>
      </c>
      <c r="G14192" s="5">
        <v>110.5</v>
      </c>
      <c r="H14192" s="5">
        <v>110.4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112</v>
      </c>
      <c r="D14193" s="5">
        <v>0.1</v>
      </c>
      <c r="E14193" s="5">
        <v>112.1</v>
      </c>
      <c r="F14193" s="5">
        <v>222.4</v>
      </c>
      <c r="G14193" s="5">
        <v>110.5</v>
      </c>
      <c r="H14193" s="5">
        <v>110.4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112</v>
      </c>
      <c r="D14194" s="5">
        <v>0.1</v>
      </c>
      <c r="E14194" s="5">
        <v>112.1</v>
      </c>
      <c r="F14194" s="5">
        <v>222.4</v>
      </c>
      <c r="G14194" s="5">
        <v>110.5</v>
      </c>
      <c r="H14194" s="5">
        <v>110.4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112</v>
      </c>
      <c r="D14195" s="5">
        <v>0.1</v>
      </c>
      <c r="E14195" s="5">
        <v>112.1</v>
      </c>
      <c r="F14195" s="5">
        <v>222.4</v>
      </c>
      <c r="G14195" s="5">
        <v>110.5</v>
      </c>
      <c r="H14195" s="5">
        <v>110.4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112</v>
      </c>
      <c r="D14196" s="5">
        <v>0.1</v>
      </c>
      <c r="E14196" s="5">
        <v>112.1</v>
      </c>
      <c r="F14196" s="5">
        <v>222.4</v>
      </c>
      <c r="G14196" s="5">
        <v>110.5</v>
      </c>
      <c r="H14196" s="5">
        <v>110.4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112</v>
      </c>
      <c r="D14197" s="5">
        <v>0.1</v>
      </c>
      <c r="E14197" s="5">
        <v>112.1</v>
      </c>
      <c r="F14197" s="5">
        <v>222.4</v>
      </c>
      <c r="G14197" s="5">
        <v>110.5</v>
      </c>
      <c r="H14197" s="5">
        <v>110.4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112</v>
      </c>
      <c r="D14198" s="5">
        <v>0.1</v>
      </c>
      <c r="E14198" s="5">
        <v>112.1</v>
      </c>
      <c r="F14198" s="5">
        <v>222.4</v>
      </c>
      <c r="G14198" s="5">
        <v>110.5</v>
      </c>
      <c r="H14198" s="5">
        <v>110.4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112</v>
      </c>
      <c r="D14199" s="5">
        <v>0.1</v>
      </c>
      <c r="E14199" s="5">
        <v>112.1</v>
      </c>
      <c r="F14199" s="5">
        <v>222.4</v>
      </c>
      <c r="G14199" s="5">
        <v>110.5</v>
      </c>
      <c r="H14199" s="5">
        <v>110.4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112</v>
      </c>
      <c r="D14200" s="5">
        <v>0.1</v>
      </c>
      <c r="E14200" s="5">
        <v>112.1</v>
      </c>
      <c r="F14200" s="5">
        <v>222.4</v>
      </c>
      <c r="G14200" s="5">
        <v>110.5</v>
      </c>
      <c r="H14200" s="5">
        <v>110.4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112</v>
      </c>
      <c r="D14201" s="5">
        <v>0.1</v>
      </c>
      <c r="E14201" s="5">
        <v>112.1</v>
      </c>
      <c r="F14201" s="5">
        <v>222.4</v>
      </c>
      <c r="G14201" s="5">
        <v>110.5</v>
      </c>
      <c r="H14201" s="5">
        <v>110.4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112</v>
      </c>
      <c r="D14202" s="5">
        <v>0.1</v>
      </c>
      <c r="E14202" s="5">
        <v>112.1</v>
      </c>
      <c r="F14202" s="5">
        <v>222.4</v>
      </c>
      <c r="G14202" s="5">
        <v>110.5</v>
      </c>
      <c r="H14202" s="5">
        <v>110.4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112</v>
      </c>
      <c r="D14203" s="5">
        <v>0.1</v>
      </c>
      <c r="E14203" s="5">
        <v>112.1</v>
      </c>
      <c r="F14203" s="5">
        <v>222.4</v>
      </c>
      <c r="G14203" s="5">
        <v>110.5</v>
      </c>
      <c r="H14203" s="5">
        <v>110.4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112</v>
      </c>
      <c r="D14204" s="5">
        <v>0.1</v>
      </c>
      <c r="E14204" s="5">
        <v>112.1</v>
      </c>
      <c r="F14204" s="5">
        <v>222.4</v>
      </c>
      <c r="G14204" s="5">
        <v>110.5</v>
      </c>
      <c r="H14204" s="5">
        <v>110.4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112</v>
      </c>
      <c r="D14205" s="5">
        <v>0.1</v>
      </c>
      <c r="E14205" s="5">
        <v>112.1</v>
      </c>
      <c r="F14205" s="5">
        <v>222.4</v>
      </c>
      <c r="G14205" s="5">
        <v>110.5</v>
      </c>
      <c r="H14205" s="5">
        <v>110.4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112</v>
      </c>
      <c r="D14206" s="5">
        <v>0.1</v>
      </c>
      <c r="E14206" s="5">
        <v>112.1</v>
      </c>
      <c r="F14206" s="5">
        <v>222.4</v>
      </c>
      <c r="G14206" s="5">
        <v>110.5</v>
      </c>
      <c r="H14206" s="5">
        <v>110.4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112</v>
      </c>
      <c r="D14207" s="5">
        <v>0.1</v>
      </c>
      <c r="E14207" s="5">
        <v>112.1</v>
      </c>
      <c r="F14207" s="5">
        <v>222.4</v>
      </c>
      <c r="G14207" s="5">
        <v>110.5</v>
      </c>
      <c r="H14207" s="5">
        <v>110.4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112</v>
      </c>
      <c r="D14208" s="5">
        <v>0.1</v>
      </c>
      <c r="E14208" s="5">
        <v>112.1</v>
      </c>
      <c r="F14208" s="5">
        <v>222.4</v>
      </c>
      <c r="G14208" s="5">
        <v>110.5</v>
      </c>
      <c r="H14208" s="5">
        <v>110.4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112</v>
      </c>
      <c r="D14209" s="5">
        <v>0.1</v>
      </c>
      <c r="E14209" s="5">
        <v>112.1</v>
      </c>
      <c r="F14209" s="5">
        <v>222.4</v>
      </c>
      <c r="G14209" s="5">
        <v>110.5</v>
      </c>
      <c r="H14209" s="5">
        <v>110.4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112</v>
      </c>
      <c r="D14210" s="5">
        <v>0.1</v>
      </c>
      <c r="E14210" s="5">
        <v>112.1</v>
      </c>
      <c r="F14210" s="5">
        <v>222.4</v>
      </c>
      <c r="G14210" s="5">
        <v>110.5</v>
      </c>
      <c r="H14210" s="5">
        <v>110.4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112</v>
      </c>
      <c r="D14211" s="5">
        <v>0.1</v>
      </c>
      <c r="E14211" s="5">
        <v>112.1</v>
      </c>
      <c r="F14211" s="5">
        <v>222.4</v>
      </c>
      <c r="G14211" s="5">
        <v>110.5</v>
      </c>
      <c r="H14211" s="5">
        <v>110.4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112</v>
      </c>
      <c r="D14212" s="5">
        <v>0.1</v>
      </c>
      <c r="E14212" s="5">
        <v>112.1</v>
      </c>
      <c r="F14212" s="5">
        <v>222.4</v>
      </c>
      <c r="G14212" s="5">
        <v>110.5</v>
      </c>
      <c r="H14212" s="5">
        <v>110.4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112</v>
      </c>
      <c r="D14213" s="5">
        <v>0.1</v>
      </c>
      <c r="E14213" s="5">
        <v>112.1</v>
      </c>
      <c r="F14213" s="5">
        <v>222.4</v>
      </c>
      <c r="G14213" s="5">
        <v>110.5</v>
      </c>
      <c r="H14213" s="5">
        <v>110.4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112</v>
      </c>
      <c r="D14214" s="5">
        <v>0.1</v>
      </c>
      <c r="E14214" s="5">
        <v>112.1</v>
      </c>
      <c r="F14214" s="5">
        <v>222.4</v>
      </c>
      <c r="G14214" s="5">
        <v>110.5</v>
      </c>
      <c r="H14214" s="5">
        <v>110.4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112</v>
      </c>
      <c r="D14215" s="5">
        <v>0.1</v>
      </c>
      <c r="E14215" s="5">
        <v>112.1</v>
      </c>
      <c r="F14215" s="5">
        <v>222.4</v>
      </c>
      <c r="G14215" s="5">
        <v>110.5</v>
      </c>
      <c r="H14215" s="5">
        <v>110.4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112</v>
      </c>
      <c r="D14216" s="5">
        <v>0.1</v>
      </c>
      <c r="E14216" s="5">
        <v>112.1</v>
      </c>
      <c r="F14216" s="5">
        <v>222.4</v>
      </c>
      <c r="G14216" s="5">
        <v>110.5</v>
      </c>
      <c r="H14216" s="5">
        <v>110.4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112</v>
      </c>
      <c r="D14217" s="5">
        <v>0.1</v>
      </c>
      <c r="E14217" s="5">
        <v>112.1</v>
      </c>
      <c r="F14217" s="5">
        <v>222.4</v>
      </c>
      <c r="G14217" s="5">
        <v>110.5</v>
      </c>
      <c r="H14217" s="5">
        <v>110.4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112</v>
      </c>
      <c r="D14218" s="5">
        <v>0.1</v>
      </c>
      <c r="E14218" s="5">
        <v>112.1</v>
      </c>
      <c r="F14218" s="5">
        <v>222.4</v>
      </c>
      <c r="G14218" s="5">
        <v>110.5</v>
      </c>
      <c r="H14218" s="5">
        <v>110.4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112</v>
      </c>
      <c r="D14219" s="5">
        <v>0.1</v>
      </c>
      <c r="E14219" s="5">
        <v>112.1</v>
      </c>
      <c r="F14219" s="5">
        <v>222.4</v>
      </c>
      <c r="G14219" s="5">
        <v>110.5</v>
      </c>
      <c r="H14219" s="5">
        <v>110.4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112</v>
      </c>
      <c r="D14220" s="5">
        <v>0.1</v>
      </c>
      <c r="E14220" s="5">
        <v>112.1</v>
      </c>
      <c r="F14220" s="5">
        <v>222.4</v>
      </c>
      <c r="G14220" s="5">
        <v>110.5</v>
      </c>
      <c r="H14220" s="5">
        <v>110.4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112</v>
      </c>
      <c r="D14221" s="5">
        <v>0.1</v>
      </c>
      <c r="E14221" s="5">
        <v>112.1</v>
      </c>
      <c r="F14221" s="5">
        <v>222.4</v>
      </c>
      <c r="G14221" s="5">
        <v>110.5</v>
      </c>
      <c r="H14221" s="5">
        <v>110.4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112</v>
      </c>
      <c r="D14222" s="5">
        <v>0.1</v>
      </c>
      <c r="E14222" s="5">
        <v>112.1</v>
      </c>
      <c r="F14222" s="5">
        <v>222.4</v>
      </c>
      <c r="G14222" s="5">
        <v>110.5</v>
      </c>
      <c r="H14222" s="5">
        <v>110.4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112</v>
      </c>
      <c r="D14223" s="5">
        <v>0.1</v>
      </c>
      <c r="E14223" s="5">
        <v>112.1</v>
      </c>
      <c r="F14223" s="5">
        <v>222.4</v>
      </c>
      <c r="G14223" s="5">
        <v>110.5</v>
      </c>
      <c r="H14223" s="5">
        <v>110.4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112</v>
      </c>
      <c r="D14224" s="5">
        <v>0.1</v>
      </c>
      <c r="E14224" s="5">
        <v>112.1</v>
      </c>
      <c r="F14224" s="5">
        <v>222.4</v>
      </c>
      <c r="G14224" s="5">
        <v>110.5</v>
      </c>
      <c r="H14224" s="5">
        <v>110.4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112</v>
      </c>
      <c r="D14225" s="5">
        <v>0.1</v>
      </c>
      <c r="E14225" s="5">
        <v>112.1</v>
      </c>
      <c r="F14225" s="5">
        <v>222.4</v>
      </c>
      <c r="G14225" s="5">
        <v>110.5</v>
      </c>
      <c r="H14225" s="5">
        <v>110.4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112</v>
      </c>
      <c r="D14226" s="5">
        <v>0.1</v>
      </c>
      <c r="E14226" s="5">
        <v>112.1</v>
      </c>
      <c r="F14226" s="5">
        <v>222.4</v>
      </c>
      <c r="G14226" s="5">
        <v>110.5</v>
      </c>
      <c r="H14226" s="5">
        <v>110.4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112</v>
      </c>
      <c r="D14227" s="5">
        <v>0.1</v>
      </c>
      <c r="E14227" s="5">
        <v>112.1</v>
      </c>
      <c r="F14227" s="5">
        <v>222.4</v>
      </c>
      <c r="G14227" s="5">
        <v>110.5</v>
      </c>
      <c r="H14227" s="5">
        <v>110.4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112</v>
      </c>
      <c r="D14228" s="5">
        <v>0.1</v>
      </c>
      <c r="E14228" s="5">
        <v>112.1</v>
      </c>
      <c r="F14228" s="5">
        <v>222.4</v>
      </c>
      <c r="G14228" s="5">
        <v>110.5</v>
      </c>
      <c r="H14228" s="5">
        <v>110.4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112</v>
      </c>
      <c r="D14229" s="5">
        <v>0.1</v>
      </c>
      <c r="E14229" s="5">
        <v>112.1</v>
      </c>
      <c r="F14229" s="5">
        <v>222.4</v>
      </c>
      <c r="G14229" s="5">
        <v>110.5</v>
      </c>
      <c r="H14229" s="5">
        <v>110.4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112</v>
      </c>
      <c r="D14230" s="5">
        <v>0.1</v>
      </c>
      <c r="E14230" s="5">
        <v>112.1</v>
      </c>
      <c r="F14230" s="5">
        <v>222.4</v>
      </c>
      <c r="G14230" s="5">
        <v>110.5</v>
      </c>
      <c r="H14230" s="5">
        <v>110.4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112</v>
      </c>
      <c r="D14231" s="5">
        <v>0.1</v>
      </c>
      <c r="E14231" s="5">
        <v>112.1</v>
      </c>
      <c r="F14231" s="5">
        <v>222.4</v>
      </c>
      <c r="G14231" s="5">
        <v>110.5</v>
      </c>
      <c r="H14231" s="5">
        <v>110.4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112</v>
      </c>
      <c r="D14232" s="5">
        <v>0.1</v>
      </c>
      <c r="E14232" s="5">
        <v>112.1</v>
      </c>
      <c r="F14232" s="5">
        <v>222.4</v>
      </c>
      <c r="G14232" s="5">
        <v>110.5</v>
      </c>
      <c r="H14232" s="5">
        <v>110.4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112</v>
      </c>
      <c r="D14233" s="5">
        <v>0.1</v>
      </c>
      <c r="E14233" s="5">
        <v>112.1</v>
      </c>
      <c r="F14233" s="5">
        <v>222.4</v>
      </c>
      <c r="G14233" s="5">
        <v>110.5</v>
      </c>
      <c r="H14233" s="5">
        <v>110.4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112</v>
      </c>
      <c r="D14234" s="5">
        <v>0.1</v>
      </c>
      <c r="E14234" s="5">
        <v>112.1</v>
      </c>
      <c r="F14234" s="5">
        <v>222.4</v>
      </c>
      <c r="G14234" s="5">
        <v>110.5</v>
      </c>
      <c r="H14234" s="5">
        <v>110.4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112</v>
      </c>
      <c r="D14235" s="5">
        <v>0.1</v>
      </c>
      <c r="E14235" s="5">
        <v>112.1</v>
      </c>
      <c r="F14235" s="5">
        <v>222.4</v>
      </c>
      <c r="G14235" s="5">
        <v>110.5</v>
      </c>
      <c r="H14235" s="5">
        <v>110.4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112</v>
      </c>
      <c r="D14236" s="5">
        <v>0.1</v>
      </c>
      <c r="E14236" s="5">
        <v>112.1</v>
      </c>
      <c r="F14236" s="5">
        <v>222.4</v>
      </c>
      <c r="G14236" s="5">
        <v>110.5</v>
      </c>
      <c r="H14236" s="5">
        <v>110.4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112</v>
      </c>
      <c r="D14237" s="5">
        <v>0.1</v>
      </c>
      <c r="E14237" s="5">
        <v>112.1</v>
      </c>
      <c r="F14237" s="5">
        <v>222.4</v>
      </c>
      <c r="G14237" s="5">
        <v>110.5</v>
      </c>
      <c r="H14237" s="5">
        <v>110.4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112</v>
      </c>
      <c r="D14238" s="5">
        <v>0.1</v>
      </c>
      <c r="E14238" s="5">
        <v>112.1</v>
      </c>
      <c r="F14238" s="5">
        <v>222.4</v>
      </c>
      <c r="G14238" s="5">
        <v>110.5</v>
      </c>
      <c r="H14238" s="5">
        <v>110.4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112</v>
      </c>
      <c r="D14239" s="5">
        <v>0.1</v>
      </c>
      <c r="E14239" s="5">
        <v>112.1</v>
      </c>
      <c r="F14239" s="5">
        <v>222.4</v>
      </c>
      <c r="G14239" s="5">
        <v>110.5</v>
      </c>
      <c r="H14239" s="5">
        <v>110.4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112</v>
      </c>
      <c r="D14240" s="5">
        <v>0.1</v>
      </c>
      <c r="E14240" s="5">
        <v>112.1</v>
      </c>
      <c r="F14240" s="5">
        <v>222.4</v>
      </c>
      <c r="G14240" s="5">
        <v>110.5</v>
      </c>
      <c r="H14240" s="5">
        <v>110.4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112</v>
      </c>
      <c r="D14241" s="5">
        <v>0.1</v>
      </c>
      <c r="E14241" s="5">
        <v>112.1</v>
      </c>
      <c r="F14241" s="5">
        <v>222.4</v>
      </c>
      <c r="G14241" s="5">
        <v>110.5</v>
      </c>
      <c r="H14241" s="5">
        <v>110.4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112</v>
      </c>
      <c r="D14242" s="5">
        <v>0.1</v>
      </c>
      <c r="E14242" s="5">
        <v>112.1</v>
      </c>
      <c r="F14242" s="5">
        <v>222.4</v>
      </c>
      <c r="G14242" s="5">
        <v>110.5</v>
      </c>
      <c r="H14242" s="5">
        <v>110.4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112</v>
      </c>
      <c r="D14243" s="5">
        <v>0.1</v>
      </c>
      <c r="E14243" s="5">
        <v>112.1</v>
      </c>
      <c r="F14243" s="5">
        <v>222.4</v>
      </c>
      <c r="G14243" s="5">
        <v>110.5</v>
      </c>
      <c r="H14243" s="5">
        <v>110.4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112</v>
      </c>
      <c r="D14244" s="5">
        <v>0.1</v>
      </c>
      <c r="E14244" s="5">
        <v>112.1</v>
      </c>
      <c r="F14244" s="5">
        <v>222.4</v>
      </c>
      <c r="G14244" s="5">
        <v>110.5</v>
      </c>
      <c r="H14244" s="5">
        <v>110.4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112</v>
      </c>
      <c r="D14245" s="5">
        <v>0.1</v>
      </c>
      <c r="E14245" s="5">
        <v>112.1</v>
      </c>
      <c r="F14245" s="5">
        <v>222.4</v>
      </c>
      <c r="G14245" s="5">
        <v>110.5</v>
      </c>
      <c r="H14245" s="5">
        <v>110.4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112</v>
      </c>
      <c r="D14246" s="5">
        <v>0.1</v>
      </c>
      <c r="E14246" s="5">
        <v>112.1</v>
      </c>
      <c r="F14246" s="5">
        <v>222.4</v>
      </c>
      <c r="G14246" s="5">
        <v>110.5</v>
      </c>
      <c r="H14246" s="5">
        <v>110.4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112</v>
      </c>
      <c r="D14247" s="5">
        <v>0.1</v>
      </c>
      <c r="E14247" s="5">
        <v>112.1</v>
      </c>
      <c r="F14247" s="5">
        <v>222.4</v>
      </c>
      <c r="G14247" s="5">
        <v>110.5</v>
      </c>
      <c r="H14247" s="5">
        <v>110.4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112</v>
      </c>
      <c r="D14248" s="5">
        <v>0.1</v>
      </c>
      <c r="E14248" s="5">
        <v>112.1</v>
      </c>
      <c r="F14248" s="5">
        <v>222.4</v>
      </c>
      <c r="G14248" s="5">
        <v>110.5</v>
      </c>
      <c r="H14248" s="5">
        <v>110.4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112</v>
      </c>
      <c r="D14249" s="5">
        <v>0.1</v>
      </c>
      <c r="E14249" s="5">
        <v>112.1</v>
      </c>
      <c r="F14249" s="5">
        <v>222.4</v>
      </c>
      <c r="G14249" s="5">
        <v>110.5</v>
      </c>
      <c r="H14249" s="5">
        <v>110.4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112</v>
      </c>
      <c r="D14250" s="5">
        <v>0.1</v>
      </c>
      <c r="E14250" s="5">
        <v>112.1</v>
      </c>
      <c r="F14250" s="5">
        <v>222.4</v>
      </c>
      <c r="G14250" s="5">
        <v>110.5</v>
      </c>
      <c r="H14250" s="5">
        <v>110.4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112</v>
      </c>
      <c r="D14251" s="5">
        <v>0.1</v>
      </c>
      <c r="E14251" s="5">
        <v>112.1</v>
      </c>
      <c r="F14251" s="5">
        <v>222.4</v>
      </c>
      <c r="G14251" s="5">
        <v>110.5</v>
      </c>
      <c r="H14251" s="5">
        <v>110.4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112</v>
      </c>
      <c r="D14252" s="5">
        <v>0.1</v>
      </c>
      <c r="E14252" s="5">
        <v>112.1</v>
      </c>
      <c r="F14252" s="5">
        <v>222.4</v>
      </c>
      <c r="G14252" s="5">
        <v>110.5</v>
      </c>
      <c r="H14252" s="5">
        <v>110.4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112</v>
      </c>
      <c r="D14253" s="5">
        <v>0.1</v>
      </c>
      <c r="E14253" s="5">
        <v>112.1</v>
      </c>
      <c r="F14253" s="5">
        <v>222.4</v>
      </c>
      <c r="G14253" s="5">
        <v>110.5</v>
      </c>
      <c r="H14253" s="5">
        <v>110.4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112</v>
      </c>
      <c r="D14254" s="5">
        <v>0.1</v>
      </c>
      <c r="E14254" s="5">
        <v>112.1</v>
      </c>
      <c r="F14254" s="5">
        <v>222.4</v>
      </c>
      <c r="G14254" s="5">
        <v>110.5</v>
      </c>
      <c r="H14254" s="5">
        <v>110.4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112</v>
      </c>
      <c r="D14255" s="5">
        <v>0.1</v>
      </c>
      <c r="E14255" s="5">
        <v>112.1</v>
      </c>
      <c r="F14255" s="5">
        <v>222.4</v>
      </c>
      <c r="G14255" s="5">
        <v>110.5</v>
      </c>
      <c r="H14255" s="5">
        <v>110.4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112</v>
      </c>
      <c r="D14256" s="5">
        <v>0.1</v>
      </c>
      <c r="E14256" s="5">
        <v>112.1</v>
      </c>
      <c r="F14256" s="5">
        <v>222.4</v>
      </c>
      <c r="G14256" s="5">
        <v>110.5</v>
      </c>
      <c r="H14256" s="5">
        <v>110.4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112</v>
      </c>
      <c r="D14257" s="5">
        <v>0.1</v>
      </c>
      <c r="E14257" s="5">
        <v>112.1</v>
      </c>
      <c r="F14257" s="5">
        <v>222.4</v>
      </c>
      <c r="G14257" s="5">
        <v>110.5</v>
      </c>
      <c r="H14257" s="5">
        <v>110.4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112</v>
      </c>
      <c r="D14258" s="5">
        <v>0.1</v>
      </c>
      <c r="E14258" s="5">
        <v>112.1</v>
      </c>
      <c r="F14258" s="5">
        <v>222.4</v>
      </c>
      <c r="G14258" s="5">
        <v>110.5</v>
      </c>
      <c r="H14258" s="5">
        <v>110.4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112</v>
      </c>
      <c r="D14259" s="5">
        <v>0.1</v>
      </c>
      <c r="E14259" s="5">
        <v>112.1</v>
      </c>
      <c r="F14259" s="5">
        <v>222.4</v>
      </c>
      <c r="G14259" s="5">
        <v>110.5</v>
      </c>
      <c r="H14259" s="5">
        <v>110.4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112</v>
      </c>
      <c r="D14260" s="5">
        <v>0.1</v>
      </c>
      <c r="E14260" s="5">
        <v>112.1</v>
      </c>
      <c r="F14260" s="5">
        <v>222.4</v>
      </c>
      <c r="G14260" s="5">
        <v>110.5</v>
      </c>
      <c r="H14260" s="5">
        <v>110.4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112</v>
      </c>
      <c r="D14261" s="5">
        <v>0.1</v>
      </c>
      <c r="E14261" s="5">
        <v>112.1</v>
      </c>
      <c r="F14261" s="5">
        <v>222.4</v>
      </c>
      <c r="G14261" s="5">
        <v>110.5</v>
      </c>
      <c r="H14261" s="5">
        <v>110.4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112</v>
      </c>
      <c r="D14262" s="5">
        <v>0.1</v>
      </c>
      <c r="E14262" s="5">
        <v>112.1</v>
      </c>
      <c r="F14262" s="5">
        <v>222.4</v>
      </c>
      <c r="G14262" s="5">
        <v>110.5</v>
      </c>
      <c r="H14262" s="5">
        <v>110.4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112</v>
      </c>
      <c r="D14263" s="5">
        <v>0.1</v>
      </c>
      <c r="E14263" s="5">
        <v>112.1</v>
      </c>
      <c r="F14263" s="5">
        <v>222.4</v>
      </c>
      <c r="G14263" s="5">
        <v>110.5</v>
      </c>
      <c r="H14263" s="5">
        <v>110.4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112</v>
      </c>
      <c r="D14264" s="5">
        <v>0.1</v>
      </c>
      <c r="E14264" s="5">
        <v>112.1</v>
      </c>
      <c r="F14264" s="5">
        <v>222.4</v>
      </c>
      <c r="G14264" s="5">
        <v>110.5</v>
      </c>
      <c r="H14264" s="5">
        <v>110.4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112</v>
      </c>
      <c r="D14265" s="5">
        <v>0.1</v>
      </c>
      <c r="E14265" s="5">
        <v>112.1</v>
      </c>
      <c r="F14265" s="5">
        <v>222.4</v>
      </c>
      <c r="G14265" s="5">
        <v>110.5</v>
      </c>
      <c r="H14265" s="5">
        <v>110.4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112</v>
      </c>
      <c r="D14266" s="5">
        <v>0.1</v>
      </c>
      <c r="E14266" s="5">
        <v>112.1</v>
      </c>
      <c r="F14266" s="5">
        <v>222.4</v>
      </c>
      <c r="G14266" s="5">
        <v>110.5</v>
      </c>
      <c r="H14266" s="5">
        <v>110.4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112</v>
      </c>
      <c r="D14267" s="5">
        <v>0.1</v>
      </c>
      <c r="E14267" s="5">
        <v>112.1</v>
      </c>
      <c r="F14267" s="5">
        <v>222.4</v>
      </c>
      <c r="G14267" s="5">
        <v>110.5</v>
      </c>
      <c r="H14267" s="5">
        <v>110.4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112</v>
      </c>
      <c r="D14268" s="5">
        <v>0.1</v>
      </c>
      <c r="E14268" s="5">
        <v>112.1</v>
      </c>
      <c r="F14268" s="5">
        <v>222.4</v>
      </c>
      <c r="G14268" s="5">
        <v>110.5</v>
      </c>
      <c r="H14268" s="5">
        <v>110.4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112</v>
      </c>
      <c r="D14269" s="5">
        <v>0.1</v>
      </c>
      <c r="E14269" s="5">
        <v>112.1</v>
      </c>
      <c r="F14269" s="5">
        <v>222.4</v>
      </c>
      <c r="G14269" s="5">
        <v>110.5</v>
      </c>
      <c r="H14269" s="5">
        <v>110.4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112</v>
      </c>
      <c r="D14270" s="5">
        <v>0.1</v>
      </c>
      <c r="E14270" s="5">
        <v>112.1</v>
      </c>
      <c r="F14270" s="5">
        <v>222.4</v>
      </c>
      <c r="G14270" s="5">
        <v>110.5</v>
      </c>
      <c r="H14270" s="5">
        <v>110.4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112</v>
      </c>
      <c r="D14271" s="5">
        <v>0.1</v>
      </c>
      <c r="E14271" s="5">
        <v>112.1</v>
      </c>
      <c r="F14271" s="5">
        <v>222.4</v>
      </c>
      <c r="G14271" s="5">
        <v>110.5</v>
      </c>
      <c r="H14271" s="5">
        <v>110.4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112</v>
      </c>
      <c r="D14272" s="5">
        <v>0.1</v>
      </c>
      <c r="E14272" s="5">
        <v>112.1</v>
      </c>
      <c r="F14272" s="5">
        <v>222.4</v>
      </c>
      <c r="G14272" s="5">
        <v>110.5</v>
      </c>
      <c r="H14272" s="5">
        <v>110.4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112</v>
      </c>
      <c r="D14273" s="5">
        <v>0.1</v>
      </c>
      <c r="E14273" s="5">
        <v>112.1</v>
      </c>
      <c r="F14273" s="5">
        <v>222.4</v>
      </c>
      <c r="G14273" s="5">
        <v>110.5</v>
      </c>
      <c r="H14273" s="5">
        <v>110.4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112</v>
      </c>
      <c r="D14274" s="5">
        <v>0.1</v>
      </c>
      <c r="E14274" s="5">
        <v>112.1</v>
      </c>
      <c r="F14274" s="5">
        <v>222.4</v>
      </c>
      <c r="G14274" s="5">
        <v>110.5</v>
      </c>
      <c r="H14274" s="5">
        <v>110.4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112</v>
      </c>
      <c r="D14275" s="5">
        <v>0.1</v>
      </c>
      <c r="E14275" s="5">
        <v>112.1</v>
      </c>
      <c r="F14275" s="5">
        <v>222.4</v>
      </c>
      <c r="G14275" s="5">
        <v>110.5</v>
      </c>
      <c r="H14275" s="5">
        <v>110.4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112</v>
      </c>
      <c r="D14276" s="5">
        <v>0.1</v>
      </c>
      <c r="E14276" s="5">
        <v>112.1</v>
      </c>
      <c r="F14276" s="5">
        <v>222.4</v>
      </c>
      <c r="G14276" s="5">
        <v>110.5</v>
      </c>
      <c r="H14276" s="5">
        <v>110.4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112</v>
      </c>
      <c r="D14277" s="5">
        <v>0.1</v>
      </c>
      <c r="E14277" s="5">
        <v>112.1</v>
      </c>
      <c r="F14277" s="5">
        <v>222.4</v>
      </c>
      <c r="G14277" s="5">
        <v>110.5</v>
      </c>
      <c r="H14277" s="5">
        <v>110.4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112</v>
      </c>
      <c r="D14278" s="5">
        <v>0.1</v>
      </c>
      <c r="E14278" s="5">
        <v>112.1</v>
      </c>
      <c r="F14278" s="5">
        <v>222.4</v>
      </c>
      <c r="G14278" s="5">
        <v>110.5</v>
      </c>
      <c r="H14278" s="5">
        <v>110.4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112</v>
      </c>
      <c r="D14279" s="5">
        <v>0.1</v>
      </c>
      <c r="E14279" s="5">
        <v>112.1</v>
      </c>
      <c r="F14279" s="5">
        <v>222.4</v>
      </c>
      <c r="G14279" s="5">
        <v>110.5</v>
      </c>
      <c r="H14279" s="5">
        <v>110.4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112</v>
      </c>
      <c r="D14280" s="5">
        <v>0.1</v>
      </c>
      <c r="E14280" s="5">
        <v>112.1</v>
      </c>
      <c r="F14280" s="5">
        <v>222.4</v>
      </c>
      <c r="G14280" s="5">
        <v>110.5</v>
      </c>
      <c r="H14280" s="5">
        <v>110.4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112</v>
      </c>
      <c r="D14281" s="5">
        <v>0.1</v>
      </c>
      <c r="E14281" s="5">
        <v>112.1</v>
      </c>
      <c r="F14281" s="5">
        <v>222.4</v>
      </c>
      <c r="G14281" s="5">
        <v>110.5</v>
      </c>
      <c r="H14281" s="5">
        <v>110.4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112</v>
      </c>
      <c r="D14282" s="5">
        <v>0.1</v>
      </c>
      <c r="E14282" s="5">
        <v>112.1</v>
      </c>
      <c r="F14282" s="5">
        <v>222.4</v>
      </c>
      <c r="G14282" s="5">
        <v>110.5</v>
      </c>
      <c r="H14282" s="5">
        <v>110.4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112</v>
      </c>
      <c r="D14283" s="5">
        <v>0.1</v>
      </c>
      <c r="E14283" s="5">
        <v>112.1</v>
      </c>
      <c r="F14283" s="5">
        <v>222.4</v>
      </c>
      <c r="G14283" s="5">
        <v>110.5</v>
      </c>
      <c r="H14283" s="5">
        <v>110.4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112</v>
      </c>
      <c r="D14284" s="5">
        <v>0.1</v>
      </c>
      <c r="E14284" s="5">
        <v>112.1</v>
      </c>
      <c r="F14284" s="5">
        <v>222.4</v>
      </c>
      <c r="G14284" s="5">
        <v>110.5</v>
      </c>
      <c r="H14284" s="5">
        <v>110.4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112</v>
      </c>
      <c r="D14285" s="5">
        <v>0.1</v>
      </c>
      <c r="E14285" s="5">
        <v>112.1</v>
      </c>
      <c r="F14285" s="5">
        <v>222.4</v>
      </c>
      <c r="G14285" s="5">
        <v>110.5</v>
      </c>
      <c r="H14285" s="5">
        <v>110.4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112</v>
      </c>
      <c r="D14286" s="5">
        <v>0.1</v>
      </c>
      <c r="E14286" s="5">
        <v>112.1</v>
      </c>
      <c r="F14286" s="5">
        <v>222.4</v>
      </c>
      <c r="G14286" s="5">
        <v>110.5</v>
      </c>
      <c r="H14286" s="5">
        <v>110.4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112</v>
      </c>
      <c r="D14287" s="5">
        <v>0.1</v>
      </c>
      <c r="E14287" s="5">
        <v>112.1</v>
      </c>
      <c r="F14287" s="5">
        <v>222.4</v>
      </c>
      <c r="G14287" s="5">
        <v>110.5</v>
      </c>
      <c r="H14287" s="5">
        <v>110.4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112</v>
      </c>
      <c r="D14288" s="5">
        <v>0.1</v>
      </c>
      <c r="E14288" s="5">
        <v>112.1</v>
      </c>
      <c r="F14288" s="5">
        <v>222.4</v>
      </c>
      <c r="G14288" s="5">
        <v>110.5</v>
      </c>
      <c r="H14288" s="5">
        <v>110.4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112</v>
      </c>
      <c r="D14289" s="5">
        <v>0.1</v>
      </c>
      <c r="E14289" s="5">
        <v>112.1</v>
      </c>
      <c r="F14289" s="5">
        <v>222.4</v>
      </c>
      <c r="G14289" s="5">
        <v>110.5</v>
      </c>
      <c r="H14289" s="5">
        <v>110.4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112</v>
      </c>
      <c r="D14290" s="5">
        <v>0.1</v>
      </c>
      <c r="E14290" s="5">
        <v>112.1</v>
      </c>
      <c r="F14290" s="5">
        <v>222.4</v>
      </c>
      <c r="G14290" s="5">
        <v>110.5</v>
      </c>
      <c r="H14290" s="5">
        <v>110.4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112</v>
      </c>
      <c r="D14291" s="5">
        <v>0.1</v>
      </c>
      <c r="E14291" s="5">
        <v>112.1</v>
      </c>
      <c r="F14291" s="5">
        <v>222.4</v>
      </c>
      <c r="G14291" s="5">
        <v>110.5</v>
      </c>
      <c r="H14291" s="5">
        <v>110.4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112</v>
      </c>
      <c r="D14292" s="5">
        <v>0.1</v>
      </c>
      <c r="E14292" s="5">
        <v>112.1</v>
      </c>
      <c r="F14292" s="5">
        <v>222.4</v>
      </c>
      <c r="G14292" s="5">
        <v>110.5</v>
      </c>
      <c r="H14292" s="5">
        <v>110.4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112</v>
      </c>
      <c r="D14293" s="5">
        <v>0.1</v>
      </c>
      <c r="E14293" s="5">
        <v>112.1</v>
      </c>
      <c r="F14293" s="5">
        <v>222.4</v>
      </c>
      <c r="G14293" s="5">
        <v>110.5</v>
      </c>
      <c r="H14293" s="5">
        <v>110.4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112</v>
      </c>
      <c r="D14294" s="5">
        <v>0.1</v>
      </c>
      <c r="E14294" s="5">
        <v>112.1</v>
      </c>
      <c r="F14294" s="5">
        <v>222.4</v>
      </c>
      <c r="G14294" s="5">
        <v>110.5</v>
      </c>
      <c r="H14294" s="5">
        <v>110.4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112</v>
      </c>
      <c r="D14295" s="5">
        <v>0.1</v>
      </c>
      <c r="E14295" s="5">
        <v>112.1</v>
      </c>
      <c r="F14295" s="5">
        <v>222.4</v>
      </c>
      <c r="G14295" s="5">
        <v>110.5</v>
      </c>
      <c r="H14295" s="5">
        <v>110.4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112</v>
      </c>
      <c r="D14296" s="5">
        <v>0.1</v>
      </c>
      <c r="E14296" s="5">
        <v>112.1</v>
      </c>
      <c r="F14296" s="5">
        <v>222.4</v>
      </c>
      <c r="G14296" s="5">
        <v>110.5</v>
      </c>
      <c r="H14296" s="5">
        <v>110.4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112</v>
      </c>
      <c r="D14297" s="5">
        <v>0.1</v>
      </c>
      <c r="E14297" s="5">
        <v>112.1</v>
      </c>
      <c r="F14297" s="5">
        <v>222.4</v>
      </c>
      <c r="G14297" s="5">
        <v>110.5</v>
      </c>
      <c r="H14297" s="5">
        <v>110.4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112</v>
      </c>
      <c r="D14298" s="5">
        <v>0.1</v>
      </c>
      <c r="E14298" s="5">
        <v>112.1</v>
      </c>
      <c r="F14298" s="5">
        <v>222.4</v>
      </c>
      <c r="G14298" s="5">
        <v>110.5</v>
      </c>
      <c r="H14298" s="5">
        <v>110.4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112</v>
      </c>
      <c r="D14299" s="5">
        <v>0.1</v>
      </c>
      <c r="E14299" s="5">
        <v>112.1</v>
      </c>
      <c r="F14299" s="5">
        <v>222.4</v>
      </c>
      <c r="G14299" s="5">
        <v>110.5</v>
      </c>
      <c r="H14299" s="5">
        <v>110.4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112</v>
      </c>
      <c r="D14300" s="5">
        <v>0.1</v>
      </c>
      <c r="E14300" s="5">
        <v>112.1</v>
      </c>
      <c r="F14300" s="5">
        <v>222.4</v>
      </c>
      <c r="G14300" s="5">
        <v>110.5</v>
      </c>
      <c r="H14300" s="5">
        <v>110.4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112</v>
      </c>
      <c r="D14301" s="5">
        <v>0.1</v>
      </c>
      <c r="E14301" s="5">
        <v>112.1</v>
      </c>
      <c r="F14301" s="5">
        <v>222.4</v>
      </c>
      <c r="G14301" s="5">
        <v>110.5</v>
      </c>
      <c r="H14301" s="5">
        <v>110.4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112</v>
      </c>
      <c r="D14302" s="5">
        <v>0.1</v>
      </c>
      <c r="E14302" s="5">
        <v>112.1</v>
      </c>
      <c r="F14302" s="5">
        <v>222.4</v>
      </c>
      <c r="G14302" s="5">
        <v>110.5</v>
      </c>
      <c r="H14302" s="5">
        <v>110.4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112</v>
      </c>
      <c r="D14303" s="5">
        <v>0.1</v>
      </c>
      <c r="E14303" s="5">
        <v>112.1</v>
      </c>
      <c r="F14303" s="5">
        <v>222.4</v>
      </c>
      <c r="G14303" s="5">
        <v>110.5</v>
      </c>
      <c r="H14303" s="5">
        <v>110.4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112</v>
      </c>
      <c r="D14304" s="5">
        <v>0.1</v>
      </c>
      <c r="E14304" s="5">
        <v>112.1</v>
      </c>
      <c r="F14304" s="5">
        <v>222.4</v>
      </c>
      <c r="G14304" s="5">
        <v>110.5</v>
      </c>
      <c r="H14304" s="5">
        <v>110.4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112</v>
      </c>
      <c r="D14305" s="5">
        <v>0.1</v>
      </c>
      <c r="E14305" s="5">
        <v>112.1</v>
      </c>
      <c r="F14305" s="5">
        <v>222.4</v>
      </c>
      <c r="G14305" s="5">
        <v>110.5</v>
      </c>
      <c r="H14305" s="5">
        <v>110.4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112</v>
      </c>
      <c r="D14306" s="5">
        <v>0.1</v>
      </c>
      <c r="E14306" s="5">
        <v>112.1</v>
      </c>
      <c r="F14306" s="5">
        <v>222.4</v>
      </c>
      <c r="G14306" s="5">
        <v>110.5</v>
      </c>
      <c r="H14306" s="5">
        <v>110.4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112</v>
      </c>
      <c r="D14307" s="5">
        <v>0.1</v>
      </c>
      <c r="E14307" s="5">
        <v>112.1</v>
      </c>
      <c r="F14307" s="5">
        <v>222.4</v>
      </c>
      <c r="G14307" s="5">
        <v>110.5</v>
      </c>
      <c r="H14307" s="5">
        <v>110.4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112</v>
      </c>
      <c r="D14308" s="5">
        <v>0.1</v>
      </c>
      <c r="E14308" s="5">
        <v>112.1</v>
      </c>
      <c r="F14308" s="5">
        <v>222.4</v>
      </c>
      <c r="G14308" s="5">
        <v>110.5</v>
      </c>
      <c r="H14308" s="5">
        <v>110.4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112</v>
      </c>
      <c r="D14309" s="5">
        <v>0.1</v>
      </c>
      <c r="E14309" s="5">
        <v>112.1</v>
      </c>
      <c r="F14309" s="5">
        <v>222.4</v>
      </c>
      <c r="G14309" s="5">
        <v>110.5</v>
      </c>
      <c r="H14309" s="5">
        <v>110.4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112</v>
      </c>
      <c r="D14310" s="5">
        <v>0.1</v>
      </c>
      <c r="E14310" s="5">
        <v>112.1</v>
      </c>
      <c r="F14310" s="5">
        <v>222.4</v>
      </c>
      <c r="G14310" s="5">
        <v>110.5</v>
      </c>
      <c r="H14310" s="5">
        <v>110.4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112</v>
      </c>
      <c r="D14311" s="5">
        <v>0.1</v>
      </c>
      <c r="E14311" s="5">
        <v>112.1</v>
      </c>
      <c r="F14311" s="5">
        <v>222.4</v>
      </c>
      <c r="G14311" s="5">
        <v>110.5</v>
      </c>
      <c r="H14311" s="5">
        <v>110.4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112</v>
      </c>
      <c r="D14312" s="5">
        <v>0.1</v>
      </c>
      <c r="E14312" s="5">
        <v>112.1</v>
      </c>
      <c r="F14312" s="5">
        <v>222.4</v>
      </c>
      <c r="G14312" s="5">
        <v>110.5</v>
      </c>
      <c r="H14312" s="5">
        <v>110.4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112</v>
      </c>
      <c r="D14313" s="5">
        <v>0.1</v>
      </c>
      <c r="E14313" s="5">
        <v>112.1</v>
      </c>
      <c r="F14313" s="5">
        <v>222.4</v>
      </c>
      <c r="G14313" s="5">
        <v>110.5</v>
      </c>
      <c r="H14313" s="5">
        <v>110.4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112</v>
      </c>
      <c r="D14314" s="5">
        <v>0.1</v>
      </c>
      <c r="E14314" s="5">
        <v>112.1</v>
      </c>
      <c r="F14314" s="5">
        <v>222.4</v>
      </c>
      <c r="G14314" s="5">
        <v>110.5</v>
      </c>
      <c r="H14314" s="5">
        <v>110.4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112</v>
      </c>
      <c r="D14315" s="5">
        <v>0.1</v>
      </c>
      <c r="E14315" s="5">
        <v>112.1</v>
      </c>
      <c r="F14315" s="5">
        <v>222.4</v>
      </c>
      <c r="G14315" s="5">
        <v>110.5</v>
      </c>
      <c r="H14315" s="5">
        <v>110.4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112</v>
      </c>
      <c r="D14316" s="5">
        <v>0.1</v>
      </c>
      <c r="E14316" s="5">
        <v>112.1</v>
      </c>
      <c r="F14316" s="5">
        <v>222.4</v>
      </c>
      <c r="G14316" s="5">
        <v>110.5</v>
      </c>
      <c r="H14316" s="5">
        <v>110.4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112</v>
      </c>
      <c r="D14317" s="5">
        <v>0.1</v>
      </c>
      <c r="E14317" s="5">
        <v>112.1</v>
      </c>
      <c r="F14317" s="5">
        <v>222.4</v>
      </c>
      <c r="G14317" s="5">
        <v>110.5</v>
      </c>
      <c r="H14317" s="5">
        <v>110.4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112</v>
      </c>
      <c r="D14318" s="5">
        <v>0.1</v>
      </c>
      <c r="E14318" s="5">
        <v>112.1</v>
      </c>
      <c r="F14318" s="5">
        <v>222.4</v>
      </c>
      <c r="G14318" s="5">
        <v>110.5</v>
      </c>
      <c r="H14318" s="5">
        <v>110.4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112</v>
      </c>
      <c r="D14319" s="5">
        <v>0.1</v>
      </c>
      <c r="E14319" s="5">
        <v>112.1</v>
      </c>
      <c r="F14319" s="5">
        <v>222.4</v>
      </c>
      <c r="G14319" s="5">
        <v>110.5</v>
      </c>
      <c r="H14319" s="5">
        <v>110.4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112</v>
      </c>
      <c r="D14320" s="5">
        <v>0.1</v>
      </c>
      <c r="E14320" s="5">
        <v>112.1</v>
      </c>
      <c r="F14320" s="5">
        <v>222.4</v>
      </c>
      <c r="G14320" s="5">
        <v>110.5</v>
      </c>
      <c r="H14320" s="5">
        <v>110.4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112</v>
      </c>
      <c r="D14321" s="5">
        <v>0.1</v>
      </c>
      <c r="E14321" s="5">
        <v>112.1</v>
      </c>
      <c r="F14321" s="5">
        <v>222.4</v>
      </c>
      <c r="G14321" s="5">
        <v>110.5</v>
      </c>
      <c r="H14321" s="5">
        <v>110.4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112</v>
      </c>
      <c r="D14322" s="5">
        <v>0.1</v>
      </c>
      <c r="E14322" s="5">
        <v>112.1</v>
      </c>
      <c r="F14322" s="5">
        <v>222.4</v>
      </c>
      <c r="G14322" s="5">
        <v>110.5</v>
      </c>
      <c r="H14322" s="5">
        <v>110.4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112</v>
      </c>
      <c r="D14323" s="5">
        <v>0.1</v>
      </c>
      <c r="E14323" s="5">
        <v>112.1</v>
      </c>
      <c r="F14323" s="5">
        <v>222.4</v>
      </c>
      <c r="G14323" s="5">
        <v>110.5</v>
      </c>
      <c r="H14323" s="5">
        <v>110.4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112</v>
      </c>
      <c r="D14324" s="5">
        <v>0.1</v>
      </c>
      <c r="E14324" s="5">
        <v>112.1</v>
      </c>
      <c r="F14324" s="5">
        <v>222.4</v>
      </c>
      <c r="G14324" s="5">
        <v>110.5</v>
      </c>
      <c r="H14324" s="5">
        <v>110.4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112</v>
      </c>
      <c r="D14325" s="5">
        <v>0.1</v>
      </c>
      <c r="E14325" s="5">
        <v>112.1</v>
      </c>
      <c r="F14325" s="5">
        <v>222.4</v>
      </c>
      <c r="G14325" s="5">
        <v>110.5</v>
      </c>
      <c r="H14325" s="5">
        <v>110.4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112</v>
      </c>
      <c r="D14326" s="5">
        <v>0.1</v>
      </c>
      <c r="E14326" s="5">
        <v>112.1</v>
      </c>
      <c r="F14326" s="5">
        <v>222.4</v>
      </c>
      <c r="G14326" s="5">
        <v>110.5</v>
      </c>
      <c r="H14326" s="5">
        <v>110.4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112</v>
      </c>
      <c r="D14327" s="5">
        <v>0.1</v>
      </c>
      <c r="E14327" s="5">
        <v>112.1</v>
      </c>
      <c r="F14327" s="5">
        <v>222.4</v>
      </c>
      <c r="G14327" s="5">
        <v>110.5</v>
      </c>
      <c r="H14327" s="5">
        <v>110.4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112</v>
      </c>
      <c r="D14328" s="5">
        <v>0.1</v>
      </c>
      <c r="E14328" s="5">
        <v>112.1</v>
      </c>
      <c r="F14328" s="5">
        <v>222.4</v>
      </c>
      <c r="G14328" s="5">
        <v>110.5</v>
      </c>
      <c r="H14328" s="5">
        <v>110.4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112</v>
      </c>
      <c r="D14329" s="5">
        <v>0.1</v>
      </c>
      <c r="E14329" s="5">
        <v>112.1</v>
      </c>
      <c r="F14329" s="5">
        <v>222.4</v>
      </c>
      <c r="G14329" s="5">
        <v>110.5</v>
      </c>
      <c r="H14329" s="5">
        <v>110.4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112</v>
      </c>
      <c r="D14330" s="5">
        <v>0.1</v>
      </c>
      <c r="E14330" s="5">
        <v>112.1</v>
      </c>
      <c r="F14330" s="5">
        <v>222.4</v>
      </c>
      <c r="G14330" s="5">
        <v>110.5</v>
      </c>
      <c r="H14330" s="5">
        <v>110.4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112</v>
      </c>
      <c r="D14331" s="5">
        <v>0.1</v>
      </c>
      <c r="E14331" s="5">
        <v>112.1</v>
      </c>
      <c r="F14331" s="5">
        <v>222.4</v>
      </c>
      <c r="G14331" s="5">
        <v>110.5</v>
      </c>
      <c r="H14331" s="5">
        <v>110.4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112</v>
      </c>
      <c r="D14332" s="5">
        <v>0.1</v>
      </c>
      <c r="E14332" s="5">
        <v>112.1</v>
      </c>
      <c r="F14332" s="5">
        <v>222.4</v>
      </c>
      <c r="G14332" s="5">
        <v>110.5</v>
      </c>
      <c r="H14332" s="5">
        <v>110.4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112</v>
      </c>
      <c r="D14333" s="5">
        <v>0.1</v>
      </c>
      <c r="E14333" s="5">
        <v>112.1</v>
      </c>
      <c r="F14333" s="5">
        <v>222.4</v>
      </c>
      <c r="G14333" s="5">
        <v>110.5</v>
      </c>
      <c r="H14333" s="5">
        <v>110.4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112</v>
      </c>
      <c r="D14334" s="5">
        <v>0.1</v>
      </c>
      <c r="E14334" s="5">
        <v>112.1</v>
      </c>
      <c r="F14334" s="5">
        <v>222.4</v>
      </c>
      <c r="G14334" s="5">
        <v>110.5</v>
      </c>
      <c r="H14334" s="5">
        <v>110.4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112</v>
      </c>
      <c r="D14335" s="5">
        <v>0.1</v>
      </c>
      <c r="E14335" s="5">
        <v>112.1</v>
      </c>
      <c r="F14335" s="5">
        <v>222.4</v>
      </c>
      <c r="G14335" s="5">
        <v>110.5</v>
      </c>
      <c r="H14335" s="5">
        <v>110.4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112</v>
      </c>
      <c r="D14336" s="5">
        <v>0.1</v>
      </c>
      <c r="E14336" s="5">
        <v>112.1</v>
      </c>
      <c r="F14336" s="5">
        <v>222.4</v>
      </c>
      <c r="G14336" s="5">
        <v>110.5</v>
      </c>
      <c r="H14336" s="5">
        <v>110.4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112</v>
      </c>
      <c r="D14337" s="5">
        <v>0.1</v>
      </c>
      <c r="E14337" s="5">
        <v>112.1</v>
      </c>
      <c r="F14337" s="5">
        <v>222.4</v>
      </c>
      <c r="G14337" s="5">
        <v>110.5</v>
      </c>
      <c r="H14337" s="5">
        <v>110.4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112</v>
      </c>
      <c r="D14338" s="5">
        <v>0.1</v>
      </c>
      <c r="E14338" s="5">
        <v>112.1</v>
      </c>
      <c r="F14338" s="5">
        <v>222.4</v>
      </c>
      <c r="G14338" s="5">
        <v>110.5</v>
      </c>
      <c r="H14338" s="5">
        <v>110.4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112</v>
      </c>
      <c r="D14339" s="5">
        <v>0.1</v>
      </c>
      <c r="E14339" s="5">
        <v>112.1</v>
      </c>
      <c r="F14339" s="5">
        <v>222.4</v>
      </c>
      <c r="G14339" s="5">
        <v>110.5</v>
      </c>
      <c r="H14339" s="5">
        <v>110.4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112</v>
      </c>
      <c r="D14340" s="5">
        <v>0.1</v>
      </c>
      <c r="E14340" s="5">
        <v>112.1</v>
      </c>
      <c r="F14340" s="5">
        <v>222.4</v>
      </c>
      <c r="G14340" s="5">
        <v>110.5</v>
      </c>
      <c r="H14340" s="5">
        <v>110.4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112</v>
      </c>
      <c r="D14341" s="5">
        <v>0.1</v>
      </c>
      <c r="E14341" s="5">
        <v>112.1</v>
      </c>
      <c r="F14341" s="5">
        <v>222.4</v>
      </c>
      <c r="G14341" s="5">
        <v>110.5</v>
      </c>
      <c r="H14341" s="5">
        <v>110.4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112</v>
      </c>
      <c r="D14342" s="5">
        <v>0.1</v>
      </c>
      <c r="E14342" s="5">
        <v>112.1</v>
      </c>
      <c r="F14342" s="5">
        <v>222.4</v>
      </c>
      <c r="G14342" s="5">
        <v>110.5</v>
      </c>
      <c r="H14342" s="5">
        <v>110.4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112</v>
      </c>
      <c r="D14343" s="5">
        <v>0.1</v>
      </c>
      <c r="E14343" s="5">
        <v>112.1</v>
      </c>
      <c r="F14343" s="5">
        <v>222.4</v>
      </c>
      <c r="G14343" s="5">
        <v>110.5</v>
      </c>
      <c r="H14343" s="5">
        <v>110.4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112</v>
      </c>
      <c r="D14344" s="5">
        <v>0.1</v>
      </c>
      <c r="E14344" s="5">
        <v>112.1</v>
      </c>
      <c r="F14344" s="5">
        <v>222.4</v>
      </c>
      <c r="G14344" s="5">
        <v>110.5</v>
      </c>
      <c r="H14344" s="5">
        <v>110.4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112</v>
      </c>
      <c r="D14345" s="5">
        <v>0.1</v>
      </c>
      <c r="E14345" s="5">
        <v>112.1</v>
      </c>
      <c r="F14345" s="5">
        <v>222.4</v>
      </c>
      <c r="G14345" s="5">
        <v>110.5</v>
      </c>
      <c r="H14345" s="5">
        <v>110.4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112</v>
      </c>
      <c r="D14346" s="5">
        <v>0.1</v>
      </c>
      <c r="E14346" s="5">
        <v>112.1</v>
      </c>
      <c r="F14346" s="5">
        <v>222.4</v>
      </c>
      <c r="G14346" s="5">
        <v>110.5</v>
      </c>
      <c r="H14346" s="5">
        <v>110.4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112</v>
      </c>
      <c r="D14347" s="5">
        <v>0.1</v>
      </c>
      <c r="E14347" s="5">
        <v>112.1</v>
      </c>
      <c r="F14347" s="5">
        <v>222.4</v>
      </c>
      <c r="G14347" s="5">
        <v>110.5</v>
      </c>
      <c r="H14347" s="5">
        <v>110.4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112</v>
      </c>
      <c r="D14348" s="5">
        <v>0.1</v>
      </c>
      <c r="E14348" s="5">
        <v>112.1</v>
      </c>
      <c r="F14348" s="5">
        <v>222.4</v>
      </c>
      <c r="G14348" s="5">
        <v>110.5</v>
      </c>
      <c r="H14348" s="5">
        <v>110.4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112</v>
      </c>
      <c r="D14349" s="5">
        <v>0.1</v>
      </c>
      <c r="E14349" s="5">
        <v>112.1</v>
      </c>
      <c r="F14349" s="5">
        <v>222.4</v>
      </c>
      <c r="G14349" s="5">
        <v>110.5</v>
      </c>
      <c r="H14349" s="5">
        <v>110.4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112</v>
      </c>
      <c r="D14350" s="5">
        <v>0.1</v>
      </c>
      <c r="E14350" s="5">
        <v>112.1</v>
      </c>
      <c r="F14350" s="5">
        <v>222.4</v>
      </c>
      <c r="G14350" s="5">
        <v>110.5</v>
      </c>
      <c r="H14350" s="5">
        <v>110.4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112</v>
      </c>
      <c r="D14351" s="5">
        <v>0.1</v>
      </c>
      <c r="E14351" s="5">
        <v>112.1</v>
      </c>
      <c r="F14351" s="5">
        <v>222.4</v>
      </c>
      <c r="G14351" s="5">
        <v>110.5</v>
      </c>
      <c r="H14351" s="5">
        <v>110.4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112</v>
      </c>
      <c r="D14352" s="5">
        <v>0.1</v>
      </c>
      <c r="E14352" s="5">
        <v>112.1</v>
      </c>
      <c r="F14352" s="5">
        <v>222.4</v>
      </c>
      <c r="G14352" s="5">
        <v>110.5</v>
      </c>
      <c r="H14352" s="5">
        <v>110.4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112</v>
      </c>
      <c r="D14353" s="5">
        <v>0.1</v>
      </c>
      <c r="E14353" s="5">
        <v>112.1</v>
      </c>
      <c r="F14353" s="5">
        <v>222.4</v>
      </c>
      <c r="G14353" s="5">
        <v>110.5</v>
      </c>
      <c r="H14353" s="5">
        <v>110.4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112</v>
      </c>
      <c r="D14354" s="5">
        <v>0.1</v>
      </c>
      <c r="E14354" s="5">
        <v>112.1</v>
      </c>
      <c r="F14354" s="5">
        <v>222.4</v>
      </c>
      <c r="G14354" s="5">
        <v>110.5</v>
      </c>
      <c r="H14354" s="5">
        <v>110.4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112</v>
      </c>
      <c r="D14355" s="5">
        <v>0.1</v>
      </c>
      <c r="E14355" s="5">
        <v>112.1</v>
      </c>
      <c r="F14355" s="5">
        <v>222.4</v>
      </c>
      <c r="G14355" s="5">
        <v>110.5</v>
      </c>
      <c r="H14355" s="5">
        <v>110.4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112</v>
      </c>
      <c r="D14356" s="5">
        <v>0.1</v>
      </c>
      <c r="E14356" s="5">
        <v>112.1</v>
      </c>
      <c r="F14356" s="5">
        <v>222.4</v>
      </c>
      <c r="G14356" s="5">
        <v>110.5</v>
      </c>
      <c r="H14356" s="5">
        <v>110.4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112</v>
      </c>
      <c r="D14357" s="5">
        <v>0.1</v>
      </c>
      <c r="E14357" s="5">
        <v>112.1</v>
      </c>
      <c r="F14357" s="5">
        <v>222.4</v>
      </c>
      <c r="G14357" s="5">
        <v>110.5</v>
      </c>
      <c r="H14357" s="5">
        <v>110.4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112</v>
      </c>
      <c r="D14358" s="5">
        <v>0.1</v>
      </c>
      <c r="E14358" s="5">
        <v>112.1</v>
      </c>
      <c r="F14358" s="5">
        <v>222.4</v>
      </c>
      <c r="G14358" s="5">
        <v>110.5</v>
      </c>
      <c r="H14358" s="5">
        <v>110.4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112</v>
      </c>
      <c r="D14359" s="5">
        <v>0.1</v>
      </c>
      <c r="E14359" s="5">
        <v>112.1</v>
      </c>
      <c r="F14359" s="5">
        <v>222.4</v>
      </c>
      <c r="G14359" s="5">
        <v>110.5</v>
      </c>
      <c r="H14359" s="5">
        <v>110.4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112</v>
      </c>
      <c r="D14360" s="5">
        <v>0.1</v>
      </c>
      <c r="E14360" s="5">
        <v>112.1</v>
      </c>
      <c r="F14360" s="5">
        <v>222.4</v>
      </c>
      <c r="G14360" s="5">
        <v>110.5</v>
      </c>
      <c r="H14360" s="5">
        <v>110.4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112</v>
      </c>
      <c r="D14361" s="5">
        <v>0.1</v>
      </c>
      <c r="E14361" s="5">
        <v>112.1</v>
      </c>
      <c r="F14361" s="5">
        <v>222.4</v>
      </c>
      <c r="G14361" s="5">
        <v>110.5</v>
      </c>
      <c r="H14361" s="5">
        <v>110.4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112</v>
      </c>
      <c r="D14362" s="5">
        <v>0.1</v>
      </c>
      <c r="E14362" s="5">
        <v>112.1</v>
      </c>
      <c r="F14362" s="5">
        <v>222.4</v>
      </c>
      <c r="G14362" s="5">
        <v>110.5</v>
      </c>
      <c r="H14362" s="5">
        <v>110.4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112</v>
      </c>
      <c r="D14363" s="5">
        <v>0.1</v>
      </c>
      <c r="E14363" s="5">
        <v>112.1</v>
      </c>
      <c r="F14363" s="5">
        <v>222.4</v>
      </c>
      <c r="G14363" s="5">
        <v>110.5</v>
      </c>
      <c r="H14363" s="5">
        <v>110.4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112</v>
      </c>
      <c r="D14364" s="5">
        <v>0.1</v>
      </c>
      <c r="E14364" s="5">
        <v>112.1</v>
      </c>
      <c r="F14364" s="5">
        <v>222.4</v>
      </c>
      <c r="G14364" s="5">
        <v>110.5</v>
      </c>
      <c r="H14364" s="5">
        <v>110.4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112</v>
      </c>
      <c r="D14365" s="5">
        <v>0.1</v>
      </c>
      <c r="E14365" s="5">
        <v>112.1</v>
      </c>
      <c r="F14365" s="5">
        <v>222.4</v>
      </c>
      <c r="G14365" s="5">
        <v>110.5</v>
      </c>
      <c r="H14365" s="5">
        <v>110.4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112</v>
      </c>
      <c r="D14366" s="5">
        <v>0.1</v>
      </c>
      <c r="E14366" s="5">
        <v>112.1</v>
      </c>
      <c r="F14366" s="5">
        <v>222.4</v>
      </c>
      <c r="G14366" s="5">
        <v>110.5</v>
      </c>
      <c r="H14366" s="5">
        <v>110.4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112</v>
      </c>
      <c r="D14367" s="5">
        <v>0.1</v>
      </c>
      <c r="E14367" s="5">
        <v>112.1</v>
      </c>
      <c r="F14367" s="5">
        <v>222.4</v>
      </c>
      <c r="G14367" s="5">
        <v>110.5</v>
      </c>
      <c r="H14367" s="5">
        <v>110.4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112</v>
      </c>
      <c r="D14368" s="5">
        <v>0.1</v>
      </c>
      <c r="E14368" s="5">
        <v>112.1</v>
      </c>
      <c r="F14368" s="5">
        <v>222.4</v>
      </c>
      <c r="G14368" s="5">
        <v>110.5</v>
      </c>
      <c r="H14368" s="5">
        <v>110.4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112</v>
      </c>
      <c r="D14369" s="5">
        <v>0.1</v>
      </c>
      <c r="E14369" s="5">
        <v>112.1</v>
      </c>
      <c r="F14369" s="5">
        <v>222.4</v>
      </c>
      <c r="G14369" s="5">
        <v>110.5</v>
      </c>
      <c r="H14369" s="5">
        <v>110.4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112</v>
      </c>
      <c r="D14370" s="5">
        <v>0.1</v>
      </c>
      <c r="E14370" s="5">
        <v>112.1</v>
      </c>
      <c r="F14370" s="5">
        <v>222.4</v>
      </c>
      <c r="G14370" s="5">
        <v>110.5</v>
      </c>
      <c r="H14370" s="5">
        <v>110.4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112</v>
      </c>
      <c r="D14371" s="5">
        <v>0.1</v>
      </c>
      <c r="E14371" s="5">
        <v>112.1</v>
      </c>
      <c r="F14371" s="5">
        <v>222.4</v>
      </c>
      <c r="G14371" s="5">
        <v>110.5</v>
      </c>
      <c r="H14371" s="5">
        <v>110.4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112</v>
      </c>
      <c r="D14372" s="5">
        <v>0.1</v>
      </c>
      <c r="E14372" s="5">
        <v>112.1</v>
      </c>
      <c r="F14372" s="5">
        <v>222.4</v>
      </c>
      <c r="G14372" s="5">
        <v>110.5</v>
      </c>
      <c r="H14372" s="5">
        <v>110.4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112</v>
      </c>
      <c r="D14373" s="5">
        <v>0.1</v>
      </c>
      <c r="E14373" s="5">
        <v>112.1</v>
      </c>
      <c r="F14373" s="5">
        <v>222.4</v>
      </c>
      <c r="G14373" s="5">
        <v>110.5</v>
      </c>
      <c r="H14373" s="5">
        <v>110.4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112</v>
      </c>
      <c r="D14374" s="5">
        <v>0.1</v>
      </c>
      <c r="E14374" s="5">
        <v>112.1</v>
      </c>
      <c r="F14374" s="5">
        <v>222.4</v>
      </c>
      <c r="G14374" s="5">
        <v>110.5</v>
      </c>
      <c r="H14374" s="5">
        <v>110.4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112</v>
      </c>
      <c r="D14375" s="5">
        <v>0.1</v>
      </c>
      <c r="E14375" s="5">
        <v>112.1</v>
      </c>
      <c r="F14375" s="5">
        <v>222.4</v>
      </c>
      <c r="G14375" s="5">
        <v>110.5</v>
      </c>
      <c r="H14375" s="5">
        <v>110.4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112</v>
      </c>
      <c r="D14376" s="5">
        <v>0.1</v>
      </c>
      <c r="E14376" s="5">
        <v>112.1</v>
      </c>
      <c r="F14376" s="5">
        <v>222.4</v>
      </c>
      <c r="G14376" s="5">
        <v>110.5</v>
      </c>
      <c r="H14376" s="5">
        <v>110.4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112</v>
      </c>
      <c r="D14377" s="5">
        <v>0.1</v>
      </c>
      <c r="E14377" s="5">
        <v>112.1</v>
      </c>
      <c r="F14377" s="5">
        <v>222.4</v>
      </c>
      <c r="G14377" s="5">
        <v>110.5</v>
      </c>
      <c r="H14377" s="5">
        <v>110.4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112</v>
      </c>
      <c r="D14378" s="5">
        <v>0.1</v>
      </c>
      <c r="E14378" s="5">
        <v>112.1</v>
      </c>
      <c r="F14378" s="5">
        <v>222.4</v>
      </c>
      <c r="G14378" s="5">
        <v>110.5</v>
      </c>
      <c r="H14378" s="5">
        <v>110.4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112</v>
      </c>
      <c r="D14379" s="5">
        <v>0.1</v>
      </c>
      <c r="E14379" s="5">
        <v>112.1</v>
      </c>
      <c r="F14379" s="5">
        <v>222.4</v>
      </c>
      <c r="G14379" s="5">
        <v>110.5</v>
      </c>
      <c r="H14379" s="5">
        <v>110.4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112</v>
      </c>
      <c r="D14380" s="5">
        <v>0.1</v>
      </c>
      <c r="E14380" s="5">
        <v>112.1</v>
      </c>
      <c r="F14380" s="5">
        <v>222.4</v>
      </c>
      <c r="G14380" s="5">
        <v>110.5</v>
      </c>
      <c r="H14380" s="5">
        <v>110.4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112</v>
      </c>
      <c r="D14381" s="5">
        <v>0.1</v>
      </c>
      <c r="E14381" s="5">
        <v>112.1</v>
      </c>
      <c r="F14381" s="5">
        <v>222.4</v>
      </c>
      <c r="G14381" s="5">
        <v>110.5</v>
      </c>
      <c r="H14381" s="5">
        <v>110.4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112</v>
      </c>
      <c r="D14382" s="5">
        <v>0.1</v>
      </c>
      <c r="E14382" s="5">
        <v>112.1</v>
      </c>
      <c r="F14382" s="5">
        <v>222.4</v>
      </c>
      <c r="G14382" s="5">
        <v>110.5</v>
      </c>
      <c r="H14382" s="5">
        <v>110.4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112</v>
      </c>
      <c r="D14383" s="5">
        <v>0.1</v>
      </c>
      <c r="E14383" s="5">
        <v>112.1</v>
      </c>
      <c r="F14383" s="5">
        <v>222.4</v>
      </c>
      <c r="G14383" s="5">
        <v>110.5</v>
      </c>
      <c r="H14383" s="5">
        <v>110.4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112</v>
      </c>
      <c r="D14384" s="5">
        <v>0.1</v>
      </c>
      <c r="E14384" s="5">
        <v>112.1</v>
      </c>
      <c r="F14384" s="5">
        <v>222.4</v>
      </c>
      <c r="G14384" s="5">
        <v>110.5</v>
      </c>
      <c r="H14384" s="5">
        <v>110.4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112</v>
      </c>
      <c r="D14385" s="5">
        <v>0.1</v>
      </c>
      <c r="E14385" s="5">
        <v>112.1</v>
      </c>
      <c r="F14385" s="5">
        <v>222.4</v>
      </c>
      <c r="G14385" s="5">
        <v>110.5</v>
      </c>
      <c r="H14385" s="5">
        <v>110.4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112</v>
      </c>
      <c r="D14386" s="5">
        <v>0.1</v>
      </c>
      <c r="E14386" s="5">
        <v>112.1</v>
      </c>
      <c r="F14386" s="5">
        <v>222.4</v>
      </c>
      <c r="G14386" s="5">
        <v>110.5</v>
      </c>
      <c r="H14386" s="5">
        <v>110.4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112</v>
      </c>
      <c r="D14387" s="5">
        <v>0.1</v>
      </c>
      <c r="E14387" s="5">
        <v>112.1</v>
      </c>
      <c r="F14387" s="5">
        <v>222.4</v>
      </c>
      <c r="G14387" s="5">
        <v>110.5</v>
      </c>
      <c r="H14387" s="5">
        <v>110.4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112</v>
      </c>
      <c r="D14388" s="5">
        <v>0.1</v>
      </c>
      <c r="E14388" s="5">
        <v>112.1</v>
      </c>
      <c r="F14388" s="5">
        <v>222.4</v>
      </c>
      <c r="G14388" s="5">
        <v>110.5</v>
      </c>
      <c r="H14388" s="5">
        <v>110.4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112</v>
      </c>
      <c r="D14389" s="5">
        <v>0.1</v>
      </c>
      <c r="E14389" s="5">
        <v>112.1</v>
      </c>
      <c r="F14389" s="5">
        <v>222.4</v>
      </c>
      <c r="G14389" s="5">
        <v>110.5</v>
      </c>
      <c r="H14389" s="5">
        <v>110.4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112</v>
      </c>
      <c r="D14390" s="5">
        <v>0.1</v>
      </c>
      <c r="E14390" s="5">
        <v>112.1</v>
      </c>
      <c r="F14390" s="5">
        <v>222.4</v>
      </c>
      <c r="G14390" s="5">
        <v>110.5</v>
      </c>
      <c r="H14390" s="5">
        <v>110.4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112</v>
      </c>
      <c r="D14391" s="5">
        <v>0.1</v>
      </c>
      <c r="E14391" s="5">
        <v>112.1</v>
      </c>
      <c r="F14391" s="5">
        <v>222.4</v>
      </c>
      <c r="G14391" s="5">
        <v>110.5</v>
      </c>
      <c r="H14391" s="5">
        <v>110.4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112</v>
      </c>
      <c r="D14392" s="5">
        <v>0.1</v>
      </c>
      <c r="E14392" s="5">
        <v>112.1</v>
      </c>
      <c r="F14392" s="5">
        <v>222.4</v>
      </c>
      <c r="G14392" s="5">
        <v>110.5</v>
      </c>
      <c r="H14392" s="5">
        <v>110.4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112</v>
      </c>
      <c r="D14393" s="5">
        <v>0.1</v>
      </c>
      <c r="E14393" s="5">
        <v>112.1</v>
      </c>
      <c r="F14393" s="5">
        <v>222.4</v>
      </c>
      <c r="G14393" s="5">
        <v>110.5</v>
      </c>
      <c r="H14393" s="5">
        <v>110.4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112</v>
      </c>
      <c r="D14394" s="5">
        <v>0.1</v>
      </c>
      <c r="E14394" s="5">
        <v>112.1</v>
      </c>
      <c r="F14394" s="5">
        <v>222.4</v>
      </c>
      <c r="G14394" s="5">
        <v>110.5</v>
      </c>
      <c r="H14394" s="5">
        <v>110.4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112</v>
      </c>
      <c r="D14395" s="5">
        <v>0.1</v>
      </c>
      <c r="E14395" s="5">
        <v>112.1</v>
      </c>
      <c r="F14395" s="5">
        <v>222.4</v>
      </c>
      <c r="G14395" s="5">
        <v>110.5</v>
      </c>
      <c r="H14395" s="5">
        <v>110.4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112</v>
      </c>
      <c r="D14396" s="5">
        <v>0.1</v>
      </c>
      <c r="E14396" s="5">
        <v>112.1</v>
      </c>
      <c r="F14396" s="5">
        <v>222.4</v>
      </c>
      <c r="G14396" s="5">
        <v>110.5</v>
      </c>
      <c r="H14396" s="5">
        <v>110.4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112</v>
      </c>
      <c r="D14397" s="5">
        <v>0.1</v>
      </c>
      <c r="E14397" s="5">
        <v>112.1</v>
      </c>
      <c r="F14397" s="5">
        <v>222.4</v>
      </c>
      <c r="G14397" s="5">
        <v>110.5</v>
      </c>
      <c r="H14397" s="5">
        <v>110.4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112</v>
      </c>
      <c r="D14398" s="5">
        <v>0.1</v>
      </c>
      <c r="E14398" s="5">
        <v>112.1</v>
      </c>
      <c r="F14398" s="5">
        <v>222.4</v>
      </c>
      <c r="G14398" s="5">
        <v>110.5</v>
      </c>
      <c r="H14398" s="5">
        <v>110.4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112</v>
      </c>
      <c r="D14399" s="5">
        <v>0.1</v>
      </c>
      <c r="E14399" s="5">
        <v>112.1</v>
      </c>
      <c r="F14399" s="5">
        <v>222.4</v>
      </c>
      <c r="G14399" s="5">
        <v>110.5</v>
      </c>
      <c r="H14399" s="5">
        <v>110.4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112</v>
      </c>
      <c r="D14400" s="5">
        <v>0.1</v>
      </c>
      <c r="E14400" s="5">
        <v>112.1</v>
      </c>
      <c r="F14400" s="5">
        <v>222.4</v>
      </c>
      <c r="G14400" s="5">
        <v>110.5</v>
      </c>
      <c r="H14400" s="5">
        <v>110.4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112</v>
      </c>
      <c r="D14401" s="5">
        <v>0.1</v>
      </c>
      <c r="E14401" s="5">
        <v>112.1</v>
      </c>
      <c r="F14401" s="5">
        <v>222.4</v>
      </c>
      <c r="G14401" s="5">
        <v>110.5</v>
      </c>
      <c r="H14401" s="5">
        <v>110.4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112</v>
      </c>
      <c r="D14402" s="5">
        <v>0.1</v>
      </c>
      <c r="E14402" s="5">
        <v>112.1</v>
      </c>
      <c r="F14402" s="5">
        <v>222.4</v>
      </c>
      <c r="G14402" s="5">
        <v>110.5</v>
      </c>
      <c r="H14402" s="5">
        <v>110.4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112</v>
      </c>
      <c r="D14403" s="5">
        <v>0.1</v>
      </c>
      <c r="E14403" s="5">
        <v>112.1</v>
      </c>
      <c r="F14403" s="5">
        <v>222.4</v>
      </c>
      <c r="G14403" s="5">
        <v>110.5</v>
      </c>
      <c r="H14403" s="5">
        <v>110.4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112</v>
      </c>
      <c r="D14404" s="5">
        <v>0.1</v>
      </c>
      <c r="E14404" s="5">
        <v>112.1</v>
      </c>
      <c r="F14404" s="5">
        <v>222.4</v>
      </c>
      <c r="G14404" s="5">
        <v>110.5</v>
      </c>
      <c r="H14404" s="5">
        <v>110.4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112</v>
      </c>
      <c r="D14405" s="5">
        <v>0.1</v>
      </c>
      <c r="E14405" s="5">
        <v>112.1</v>
      </c>
      <c r="F14405" s="5">
        <v>222.4</v>
      </c>
      <c r="G14405" s="5">
        <v>110.5</v>
      </c>
      <c r="H14405" s="5">
        <v>110.4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112</v>
      </c>
      <c r="D14406" s="5">
        <v>0.1</v>
      </c>
      <c r="E14406" s="5">
        <v>112.1</v>
      </c>
      <c r="F14406" s="5">
        <v>222.4</v>
      </c>
      <c r="G14406" s="5">
        <v>110.5</v>
      </c>
      <c r="H14406" s="5">
        <v>110.4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112</v>
      </c>
      <c r="D14407" s="5">
        <v>0.1</v>
      </c>
      <c r="E14407" s="5">
        <v>112.1</v>
      </c>
      <c r="F14407" s="5">
        <v>222.4</v>
      </c>
      <c r="G14407" s="5">
        <v>110.5</v>
      </c>
      <c r="H14407" s="5">
        <v>110.4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112</v>
      </c>
      <c r="D14408" s="5">
        <v>0.1</v>
      </c>
      <c r="E14408" s="5">
        <v>112.1</v>
      </c>
      <c r="F14408" s="5">
        <v>222.4</v>
      </c>
      <c r="G14408" s="5">
        <v>110.5</v>
      </c>
      <c r="H14408" s="5">
        <v>110.4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112</v>
      </c>
      <c r="D14409" s="5">
        <v>0.1</v>
      </c>
      <c r="E14409" s="5">
        <v>112.1</v>
      </c>
      <c r="F14409" s="5">
        <v>222.4</v>
      </c>
      <c r="G14409" s="5">
        <v>110.5</v>
      </c>
      <c r="H14409" s="5">
        <v>110.4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112</v>
      </c>
      <c r="D14410" s="5">
        <v>0.1</v>
      </c>
      <c r="E14410" s="5">
        <v>112.1</v>
      </c>
      <c r="F14410" s="5">
        <v>222.4</v>
      </c>
      <c r="G14410" s="5">
        <v>110.5</v>
      </c>
      <c r="H14410" s="5">
        <v>110.4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112</v>
      </c>
      <c r="D14411" s="5">
        <v>0.1</v>
      </c>
      <c r="E14411" s="5">
        <v>112.1</v>
      </c>
      <c r="F14411" s="5">
        <v>222.4</v>
      </c>
      <c r="G14411" s="5">
        <v>110.5</v>
      </c>
      <c r="H14411" s="5">
        <v>110.4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112</v>
      </c>
      <c r="D14412" s="5">
        <v>0.1</v>
      </c>
      <c r="E14412" s="5">
        <v>112.1</v>
      </c>
      <c r="F14412" s="5">
        <v>222.4</v>
      </c>
      <c r="G14412" s="5">
        <v>110.5</v>
      </c>
      <c r="H14412" s="5">
        <v>110.4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112</v>
      </c>
      <c r="D14413" s="5">
        <v>0.1</v>
      </c>
      <c r="E14413" s="5">
        <v>112.1</v>
      </c>
      <c r="F14413" s="5">
        <v>222.4</v>
      </c>
      <c r="G14413" s="5">
        <v>110.5</v>
      </c>
      <c r="H14413" s="5">
        <v>110.4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112</v>
      </c>
      <c r="D14414" s="5">
        <v>0.1</v>
      </c>
      <c r="E14414" s="5">
        <v>112.1</v>
      </c>
      <c r="F14414" s="5">
        <v>222.4</v>
      </c>
      <c r="G14414" s="5">
        <v>110.5</v>
      </c>
      <c r="H14414" s="5">
        <v>110.4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112</v>
      </c>
      <c r="D14415" s="5">
        <v>0.1</v>
      </c>
      <c r="E14415" s="5">
        <v>112.1</v>
      </c>
      <c r="F14415" s="5">
        <v>222.4</v>
      </c>
      <c r="G14415" s="5">
        <v>110.5</v>
      </c>
      <c r="H14415" s="5">
        <v>110.4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112</v>
      </c>
      <c r="D14416" s="5">
        <v>0.1</v>
      </c>
      <c r="E14416" s="5">
        <v>112.1</v>
      </c>
      <c r="F14416" s="5">
        <v>222.4</v>
      </c>
      <c r="G14416" s="5">
        <v>110.5</v>
      </c>
      <c r="H14416" s="5">
        <v>110.4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112</v>
      </c>
      <c r="D14417" s="5">
        <v>0.1</v>
      </c>
      <c r="E14417" s="5">
        <v>112.1</v>
      </c>
      <c r="F14417" s="5">
        <v>222.4</v>
      </c>
      <c r="G14417" s="5">
        <v>110.5</v>
      </c>
      <c r="H14417" s="5">
        <v>110.4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112</v>
      </c>
      <c r="D14418" s="5">
        <v>0.1</v>
      </c>
      <c r="E14418" s="5">
        <v>112.1</v>
      </c>
      <c r="F14418" s="5">
        <v>222.4</v>
      </c>
      <c r="G14418" s="5">
        <v>110.5</v>
      </c>
      <c r="H14418" s="5">
        <v>110.4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112</v>
      </c>
      <c r="D14419" s="5">
        <v>0.1</v>
      </c>
      <c r="E14419" s="5">
        <v>112.1</v>
      </c>
      <c r="F14419" s="5">
        <v>222.4</v>
      </c>
      <c r="G14419" s="5">
        <v>110.5</v>
      </c>
      <c r="H14419" s="5">
        <v>110.4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112</v>
      </c>
      <c r="D14420" s="5">
        <v>0.1</v>
      </c>
      <c r="E14420" s="5">
        <v>112.1</v>
      </c>
      <c r="F14420" s="5">
        <v>222.4</v>
      </c>
      <c r="G14420" s="5">
        <v>110.5</v>
      </c>
      <c r="H14420" s="5">
        <v>110.4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112</v>
      </c>
      <c r="D14421" s="5">
        <v>0.1</v>
      </c>
      <c r="E14421" s="5">
        <v>112.1</v>
      </c>
      <c r="F14421" s="5">
        <v>222.4</v>
      </c>
      <c r="G14421" s="5">
        <v>110.5</v>
      </c>
      <c r="H14421" s="5">
        <v>110.4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112</v>
      </c>
      <c r="D14422" s="5">
        <v>0.1</v>
      </c>
      <c r="E14422" s="5">
        <v>112.1</v>
      </c>
      <c r="F14422" s="5">
        <v>222.4</v>
      </c>
      <c r="G14422" s="5">
        <v>110.5</v>
      </c>
      <c r="H14422" s="5">
        <v>110.4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112</v>
      </c>
      <c r="D14423" s="5">
        <v>0.1</v>
      </c>
      <c r="E14423" s="5">
        <v>112.1</v>
      </c>
      <c r="F14423" s="5">
        <v>222.4</v>
      </c>
      <c r="G14423" s="5">
        <v>110.5</v>
      </c>
      <c r="H14423" s="5">
        <v>110.4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112</v>
      </c>
      <c r="D14424" s="5">
        <v>0.1</v>
      </c>
      <c r="E14424" s="5">
        <v>112.1</v>
      </c>
      <c r="F14424" s="5">
        <v>222.4</v>
      </c>
      <c r="G14424" s="5">
        <v>110.5</v>
      </c>
      <c r="H14424" s="5">
        <v>110.4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112</v>
      </c>
      <c r="D14425" s="5">
        <v>0.1</v>
      </c>
      <c r="E14425" s="5">
        <v>112.1</v>
      </c>
      <c r="F14425" s="5">
        <v>222.4</v>
      </c>
      <c r="G14425" s="5">
        <v>110.5</v>
      </c>
      <c r="H14425" s="5">
        <v>110.4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112</v>
      </c>
      <c r="D14426" s="5">
        <v>0.1</v>
      </c>
      <c r="E14426" s="5">
        <v>112.1</v>
      </c>
      <c r="F14426" s="5">
        <v>222.4</v>
      </c>
      <c r="G14426" s="5">
        <v>110.5</v>
      </c>
      <c r="H14426" s="5">
        <v>110.4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112</v>
      </c>
      <c r="D14427" s="5">
        <v>0.1</v>
      </c>
      <c r="E14427" s="5">
        <v>112.1</v>
      </c>
      <c r="F14427" s="5">
        <v>222.4</v>
      </c>
      <c r="G14427" s="5">
        <v>110.5</v>
      </c>
      <c r="H14427" s="5">
        <v>110.4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112</v>
      </c>
      <c r="D14428" s="5">
        <v>0.1</v>
      </c>
      <c r="E14428" s="5">
        <v>112.1</v>
      </c>
      <c r="F14428" s="5">
        <v>222.4</v>
      </c>
      <c r="G14428" s="5">
        <v>110.5</v>
      </c>
      <c r="H14428" s="5">
        <v>110.4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112</v>
      </c>
      <c r="D14429" s="5">
        <v>0.1</v>
      </c>
      <c r="E14429" s="5">
        <v>112.1</v>
      </c>
      <c r="F14429" s="5">
        <v>222.4</v>
      </c>
      <c r="G14429" s="5">
        <v>110.5</v>
      </c>
      <c r="H14429" s="5">
        <v>110.4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112</v>
      </c>
      <c r="D14430" s="5">
        <v>0.1</v>
      </c>
      <c r="E14430" s="5">
        <v>112.1</v>
      </c>
      <c r="F14430" s="5">
        <v>222.4</v>
      </c>
      <c r="G14430" s="5">
        <v>110.5</v>
      </c>
      <c r="H14430" s="5">
        <v>110.4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112</v>
      </c>
      <c r="D14431" s="5">
        <v>0.1</v>
      </c>
      <c r="E14431" s="5">
        <v>112.1</v>
      </c>
      <c r="F14431" s="5">
        <v>222.4</v>
      </c>
      <c r="G14431" s="5">
        <v>110.5</v>
      </c>
      <c r="H14431" s="5">
        <v>110.4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112</v>
      </c>
      <c r="D14432" s="5">
        <v>0.1</v>
      </c>
      <c r="E14432" s="5">
        <v>112.1</v>
      </c>
      <c r="F14432" s="5">
        <v>222.4</v>
      </c>
      <c r="G14432" s="5">
        <v>110.5</v>
      </c>
      <c r="H14432" s="5">
        <v>110.4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112</v>
      </c>
      <c r="D14433" s="5">
        <v>0.1</v>
      </c>
      <c r="E14433" s="5">
        <v>112.1</v>
      </c>
      <c r="F14433" s="5">
        <v>222.4</v>
      </c>
      <c r="G14433" s="5">
        <v>110.5</v>
      </c>
      <c r="H14433" s="5">
        <v>110.4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112</v>
      </c>
      <c r="D14434" s="5">
        <v>0.1</v>
      </c>
      <c r="E14434" s="5">
        <v>112.1</v>
      </c>
      <c r="F14434" s="5">
        <v>222.4</v>
      </c>
      <c r="G14434" s="5">
        <v>110.5</v>
      </c>
      <c r="H14434" s="5">
        <v>110.4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112</v>
      </c>
      <c r="D14435" s="5">
        <v>0.1</v>
      </c>
      <c r="E14435" s="5">
        <v>112.1</v>
      </c>
      <c r="F14435" s="5">
        <v>222.4</v>
      </c>
      <c r="G14435" s="5">
        <v>110.5</v>
      </c>
      <c r="H14435" s="5">
        <v>110.4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112</v>
      </c>
      <c r="D14436" s="5">
        <v>0.1</v>
      </c>
      <c r="E14436" s="5">
        <v>112.1</v>
      </c>
      <c r="F14436" s="5">
        <v>222.4</v>
      </c>
      <c r="G14436" s="5">
        <v>110.5</v>
      </c>
      <c r="H14436" s="5">
        <v>110.4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112</v>
      </c>
      <c r="D14437" s="5">
        <v>0.1</v>
      </c>
      <c r="E14437" s="5">
        <v>112.1</v>
      </c>
      <c r="F14437" s="5">
        <v>222.4</v>
      </c>
      <c r="G14437" s="5">
        <v>110.5</v>
      </c>
      <c r="H14437" s="5">
        <v>110.4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112</v>
      </c>
      <c r="D14438" s="5">
        <v>0.1</v>
      </c>
      <c r="E14438" s="5">
        <v>112.1</v>
      </c>
      <c r="F14438" s="5">
        <v>222.4</v>
      </c>
      <c r="G14438" s="5">
        <v>110.5</v>
      </c>
      <c r="H14438" s="5">
        <v>110.4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112</v>
      </c>
      <c r="D14439" s="5">
        <v>0.1</v>
      </c>
      <c r="E14439" s="5">
        <v>112.1</v>
      </c>
      <c r="F14439" s="5">
        <v>222.4</v>
      </c>
      <c r="G14439" s="5">
        <v>110.5</v>
      </c>
      <c r="H14439" s="5">
        <v>110.4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112</v>
      </c>
      <c r="D14440" s="5">
        <v>0.1</v>
      </c>
      <c r="E14440" s="5">
        <v>112.1</v>
      </c>
      <c r="F14440" s="5">
        <v>222.4</v>
      </c>
      <c r="G14440" s="5">
        <v>110.5</v>
      </c>
      <c r="H14440" s="5">
        <v>110.4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112</v>
      </c>
      <c r="D14441" s="5">
        <v>0.1</v>
      </c>
      <c r="E14441" s="5">
        <v>112.1</v>
      </c>
      <c r="F14441" s="5">
        <v>222.4</v>
      </c>
      <c r="G14441" s="5">
        <v>110.5</v>
      </c>
      <c r="H14441" s="5">
        <v>110.4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112</v>
      </c>
      <c r="D14442" s="5">
        <v>0.1</v>
      </c>
      <c r="E14442" s="5">
        <v>112.1</v>
      </c>
      <c r="F14442" s="5">
        <v>222.4</v>
      </c>
      <c r="G14442" s="5">
        <v>110.5</v>
      </c>
      <c r="H14442" s="5">
        <v>110.4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112</v>
      </c>
      <c r="D14443" s="5">
        <v>0.1</v>
      </c>
      <c r="E14443" s="5">
        <v>112.1</v>
      </c>
      <c r="F14443" s="5">
        <v>222.4</v>
      </c>
      <c r="G14443" s="5">
        <v>110.5</v>
      </c>
      <c r="H14443" s="5">
        <v>110.4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112</v>
      </c>
      <c r="D14444" s="5">
        <v>0.1</v>
      </c>
      <c r="E14444" s="5">
        <v>112.1</v>
      </c>
      <c r="F14444" s="5">
        <v>222.4</v>
      </c>
      <c r="G14444" s="5">
        <v>110.5</v>
      </c>
      <c r="H14444" s="5">
        <v>110.4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112</v>
      </c>
      <c r="D14445" s="5">
        <v>0.1</v>
      </c>
      <c r="E14445" s="5">
        <v>112.1</v>
      </c>
      <c r="F14445" s="5">
        <v>222.4</v>
      </c>
      <c r="G14445" s="5">
        <v>110.5</v>
      </c>
      <c r="H14445" s="5">
        <v>110.4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112</v>
      </c>
      <c r="D14446" s="5">
        <v>0.1</v>
      </c>
      <c r="E14446" s="5">
        <v>112.1</v>
      </c>
      <c r="F14446" s="5">
        <v>222.4</v>
      </c>
      <c r="G14446" s="5">
        <v>110.5</v>
      </c>
      <c r="H14446" s="5">
        <v>110.4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112</v>
      </c>
      <c r="D14447" s="5">
        <v>0.1</v>
      </c>
      <c r="E14447" s="5">
        <v>112.1</v>
      </c>
      <c r="F14447" s="5">
        <v>222.4</v>
      </c>
      <c r="G14447" s="5">
        <v>110.5</v>
      </c>
      <c r="H14447" s="5">
        <v>110.4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112</v>
      </c>
      <c r="D14448" s="5">
        <v>0.1</v>
      </c>
      <c r="E14448" s="5">
        <v>112.1</v>
      </c>
      <c r="F14448" s="5">
        <v>222.4</v>
      </c>
      <c r="G14448" s="5">
        <v>110.5</v>
      </c>
      <c r="H14448" s="5">
        <v>110.4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112</v>
      </c>
      <c r="D14449" s="5">
        <v>0.1</v>
      </c>
      <c r="E14449" s="5">
        <v>112.1</v>
      </c>
      <c r="F14449" s="5">
        <v>222.4</v>
      </c>
      <c r="G14449" s="5">
        <v>110.5</v>
      </c>
      <c r="H14449" s="5">
        <v>110.4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112</v>
      </c>
      <c r="D14450" s="5">
        <v>0.1</v>
      </c>
      <c r="E14450" s="5">
        <v>112.1</v>
      </c>
      <c r="F14450" s="5">
        <v>222.4</v>
      </c>
      <c r="G14450" s="5">
        <v>110.5</v>
      </c>
      <c r="H14450" s="5">
        <v>110.4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112</v>
      </c>
      <c r="D14451" s="5">
        <v>0.1</v>
      </c>
      <c r="E14451" s="5">
        <v>112.1</v>
      </c>
      <c r="F14451" s="5">
        <v>222.4</v>
      </c>
      <c r="G14451" s="5">
        <v>110.5</v>
      </c>
      <c r="H14451" s="5">
        <v>110.4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112</v>
      </c>
      <c r="D14452" s="5">
        <v>0.1</v>
      </c>
      <c r="E14452" s="5">
        <v>112.1</v>
      </c>
      <c r="F14452" s="5">
        <v>222.4</v>
      </c>
      <c r="G14452" s="5">
        <v>110.5</v>
      </c>
      <c r="H14452" s="5">
        <v>110.4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112</v>
      </c>
      <c r="D14453" s="5">
        <v>0.1</v>
      </c>
      <c r="E14453" s="5">
        <v>112.1</v>
      </c>
      <c r="F14453" s="5">
        <v>222.4</v>
      </c>
      <c r="G14453" s="5">
        <v>110.5</v>
      </c>
      <c r="H14453" s="5">
        <v>110.4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112</v>
      </c>
      <c r="D14454" s="5">
        <v>0.1</v>
      </c>
      <c r="E14454" s="5">
        <v>112.1</v>
      </c>
      <c r="F14454" s="5">
        <v>222.4</v>
      </c>
      <c r="G14454" s="5">
        <v>110.5</v>
      </c>
      <c r="H14454" s="5">
        <v>110.4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112</v>
      </c>
      <c r="D14455" s="5">
        <v>0.1</v>
      </c>
      <c r="E14455" s="5">
        <v>112.1</v>
      </c>
      <c r="F14455" s="5">
        <v>222.4</v>
      </c>
      <c r="G14455" s="5">
        <v>110.5</v>
      </c>
      <c r="H14455" s="5">
        <v>110.4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112</v>
      </c>
      <c r="D14456" s="5">
        <v>0.1</v>
      </c>
      <c r="E14456" s="5">
        <v>112.1</v>
      </c>
      <c r="F14456" s="5">
        <v>222.4</v>
      </c>
      <c r="G14456" s="5">
        <v>110.5</v>
      </c>
      <c r="H14456" s="5">
        <v>110.4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112</v>
      </c>
      <c r="D14457" s="5">
        <v>0.1</v>
      </c>
      <c r="E14457" s="5">
        <v>112.1</v>
      </c>
      <c r="F14457" s="5">
        <v>222.4</v>
      </c>
      <c r="G14457" s="5">
        <v>110.5</v>
      </c>
      <c r="H14457" s="5">
        <v>110.4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112</v>
      </c>
      <c r="D14458" s="5">
        <v>0.1</v>
      </c>
      <c r="E14458" s="5">
        <v>112.1</v>
      </c>
      <c r="F14458" s="5">
        <v>222.4</v>
      </c>
      <c r="G14458" s="5">
        <v>110.5</v>
      </c>
      <c r="H14458" s="5">
        <v>110.4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112</v>
      </c>
      <c r="D14459" s="5">
        <v>0.1</v>
      </c>
      <c r="E14459" s="5">
        <v>112.1</v>
      </c>
      <c r="F14459" s="5">
        <v>222.4</v>
      </c>
      <c r="G14459" s="5">
        <v>110.5</v>
      </c>
      <c r="H14459" s="5">
        <v>110.4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112</v>
      </c>
      <c r="D14460" s="5">
        <v>0.1</v>
      </c>
      <c r="E14460" s="5">
        <v>112.1</v>
      </c>
      <c r="F14460" s="5">
        <v>222.4</v>
      </c>
      <c r="G14460" s="5">
        <v>110.5</v>
      </c>
      <c r="H14460" s="5">
        <v>110.4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112</v>
      </c>
      <c r="D14461" s="5">
        <v>0.1</v>
      </c>
      <c r="E14461" s="5">
        <v>112.1</v>
      </c>
      <c r="F14461" s="5">
        <v>222.4</v>
      </c>
      <c r="G14461" s="5">
        <v>110.5</v>
      </c>
      <c r="H14461" s="5">
        <v>110.4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112</v>
      </c>
      <c r="D14462" s="5">
        <v>0.1</v>
      </c>
      <c r="E14462" s="5">
        <v>112.1</v>
      </c>
      <c r="F14462" s="5">
        <v>222.4</v>
      </c>
      <c r="G14462" s="5">
        <v>110.5</v>
      </c>
      <c r="H14462" s="5">
        <v>110.4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112</v>
      </c>
      <c r="D14463" s="5">
        <v>0.1</v>
      </c>
      <c r="E14463" s="5">
        <v>112.1</v>
      </c>
      <c r="F14463" s="5">
        <v>222.4</v>
      </c>
      <c r="G14463" s="5">
        <v>110.5</v>
      </c>
      <c r="H14463" s="5">
        <v>110.4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112</v>
      </c>
      <c r="D14464" s="5">
        <v>0.1</v>
      </c>
      <c r="E14464" s="5">
        <v>112.1</v>
      </c>
      <c r="F14464" s="5">
        <v>222.4</v>
      </c>
      <c r="G14464" s="5">
        <v>110.5</v>
      </c>
      <c r="H14464" s="5">
        <v>110.4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112</v>
      </c>
      <c r="D14465" s="5">
        <v>0.1</v>
      </c>
      <c r="E14465" s="5">
        <v>112.1</v>
      </c>
      <c r="F14465" s="5">
        <v>222.4</v>
      </c>
      <c r="G14465" s="5">
        <v>110.5</v>
      </c>
      <c r="H14465" s="5">
        <v>110.4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112</v>
      </c>
      <c r="D14466" s="5">
        <v>0.1</v>
      </c>
      <c r="E14466" s="5">
        <v>112.1</v>
      </c>
      <c r="F14466" s="5">
        <v>222.4</v>
      </c>
      <c r="G14466" s="5">
        <v>110.5</v>
      </c>
      <c r="H14466" s="5">
        <v>110.4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112</v>
      </c>
      <c r="D14467" s="5">
        <v>0.1</v>
      </c>
      <c r="E14467" s="5">
        <v>112.1</v>
      </c>
      <c r="F14467" s="5">
        <v>222.4</v>
      </c>
      <c r="G14467" s="5">
        <v>110.5</v>
      </c>
      <c r="H14467" s="5">
        <v>110.4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112</v>
      </c>
      <c r="D14468" s="5">
        <v>0.1</v>
      </c>
      <c r="E14468" s="5">
        <v>112.1</v>
      </c>
      <c r="F14468" s="5">
        <v>222.4</v>
      </c>
      <c r="G14468" s="5">
        <v>110.5</v>
      </c>
      <c r="H14468" s="5">
        <v>110.4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112</v>
      </c>
      <c r="D14469" s="5">
        <v>0.1</v>
      </c>
      <c r="E14469" s="5">
        <v>112.1</v>
      </c>
      <c r="F14469" s="5">
        <v>222.4</v>
      </c>
      <c r="G14469" s="5">
        <v>110.5</v>
      </c>
      <c r="H14469" s="5">
        <v>110.4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112</v>
      </c>
      <c r="D14470" s="5">
        <v>0.1</v>
      </c>
      <c r="E14470" s="5">
        <v>112.1</v>
      </c>
      <c r="F14470" s="5">
        <v>222.4</v>
      </c>
      <c r="G14470" s="5">
        <v>110.5</v>
      </c>
      <c r="H14470" s="5">
        <v>110.4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112</v>
      </c>
      <c r="D14471" s="5">
        <v>0.1</v>
      </c>
      <c r="E14471" s="5">
        <v>112.1</v>
      </c>
      <c r="F14471" s="5">
        <v>222.4</v>
      </c>
      <c r="G14471" s="5">
        <v>110.5</v>
      </c>
      <c r="H14471" s="5">
        <v>110.4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112</v>
      </c>
      <c r="D14472" s="5">
        <v>0.1</v>
      </c>
      <c r="E14472" s="5">
        <v>112.1</v>
      </c>
      <c r="F14472" s="5">
        <v>222.4</v>
      </c>
      <c r="G14472" s="5">
        <v>110.5</v>
      </c>
      <c r="H14472" s="5">
        <v>110.4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112</v>
      </c>
      <c r="D14473" s="5">
        <v>0.1</v>
      </c>
      <c r="E14473" s="5">
        <v>112.1</v>
      </c>
      <c r="F14473" s="5">
        <v>222.4</v>
      </c>
      <c r="G14473" s="5">
        <v>110.5</v>
      </c>
      <c r="H14473" s="5">
        <v>110.4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112</v>
      </c>
      <c r="D14474" s="5">
        <v>0.1</v>
      </c>
      <c r="E14474" s="5">
        <v>112.1</v>
      </c>
      <c r="F14474" s="5">
        <v>222.4</v>
      </c>
      <c r="G14474" s="5">
        <v>110.5</v>
      </c>
      <c r="H14474" s="5">
        <v>110.4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112</v>
      </c>
      <c r="D14475" s="5">
        <v>0.1</v>
      </c>
      <c r="E14475" s="5">
        <v>112.1</v>
      </c>
      <c r="F14475" s="5">
        <v>222.4</v>
      </c>
      <c r="G14475" s="5">
        <v>110.5</v>
      </c>
      <c r="H14475" s="5">
        <v>110.4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112</v>
      </c>
      <c r="D14476" s="5">
        <v>0.1</v>
      </c>
      <c r="E14476" s="5">
        <v>112.1</v>
      </c>
      <c r="F14476" s="5">
        <v>222.4</v>
      </c>
      <c r="G14476" s="5">
        <v>110.5</v>
      </c>
      <c r="H14476" s="5">
        <v>110.4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112</v>
      </c>
      <c r="D14477" s="5">
        <v>0.1</v>
      </c>
      <c r="E14477" s="5">
        <v>112.1</v>
      </c>
      <c r="F14477" s="5">
        <v>222.4</v>
      </c>
      <c r="G14477" s="5">
        <v>110.5</v>
      </c>
      <c r="H14477" s="5">
        <v>110.4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112</v>
      </c>
      <c r="D14478" s="5">
        <v>0.1</v>
      </c>
      <c r="E14478" s="5">
        <v>112.1</v>
      </c>
      <c r="F14478" s="5">
        <v>222.4</v>
      </c>
      <c r="G14478" s="5">
        <v>110.5</v>
      </c>
      <c r="H14478" s="5">
        <v>110.4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112</v>
      </c>
      <c r="D14479" s="5">
        <v>0.1</v>
      </c>
      <c r="E14479" s="5">
        <v>112.1</v>
      </c>
      <c r="F14479" s="5">
        <v>222.4</v>
      </c>
      <c r="G14479" s="5">
        <v>110.5</v>
      </c>
      <c r="H14479" s="5">
        <v>110.4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112</v>
      </c>
      <c r="D14480" s="5">
        <v>0.1</v>
      </c>
      <c r="E14480" s="5">
        <v>112.1</v>
      </c>
      <c r="F14480" s="5">
        <v>222.4</v>
      </c>
      <c r="G14480" s="5">
        <v>110.5</v>
      </c>
      <c r="H14480" s="5">
        <v>110.4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112</v>
      </c>
      <c r="D14481" s="5">
        <v>0.1</v>
      </c>
      <c r="E14481" s="5">
        <v>112.1</v>
      </c>
      <c r="F14481" s="5">
        <v>222.4</v>
      </c>
      <c r="G14481" s="5">
        <v>110.5</v>
      </c>
      <c r="H14481" s="5">
        <v>110.4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112</v>
      </c>
      <c r="D14482" s="5">
        <v>0.1</v>
      </c>
      <c r="E14482" s="5">
        <v>112.1</v>
      </c>
      <c r="F14482" s="5">
        <v>222.4</v>
      </c>
      <c r="G14482" s="5">
        <v>110.5</v>
      </c>
      <c r="H14482" s="5">
        <v>110.4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112</v>
      </c>
      <c r="D14483" s="5">
        <v>0.1</v>
      </c>
      <c r="E14483" s="5">
        <v>112.1</v>
      </c>
      <c r="F14483" s="5">
        <v>222.4</v>
      </c>
      <c r="G14483" s="5">
        <v>110.5</v>
      </c>
      <c r="H14483" s="5">
        <v>110.4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112</v>
      </c>
      <c r="D14484" s="5">
        <v>0.1</v>
      </c>
      <c r="E14484" s="5">
        <v>112.1</v>
      </c>
      <c r="F14484" s="5">
        <v>222.4</v>
      </c>
      <c r="G14484" s="5">
        <v>110.5</v>
      </c>
      <c r="H14484" s="5">
        <v>110.4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112</v>
      </c>
      <c r="D14485" s="5">
        <v>0.1</v>
      </c>
      <c r="E14485" s="5">
        <v>112.1</v>
      </c>
      <c r="F14485" s="5">
        <v>222.4</v>
      </c>
      <c r="G14485" s="5">
        <v>110.5</v>
      </c>
      <c r="H14485" s="5">
        <v>110.4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112</v>
      </c>
      <c r="D14486" s="5">
        <v>0.1</v>
      </c>
      <c r="E14486" s="5">
        <v>112.1</v>
      </c>
      <c r="F14486" s="5">
        <v>222.4</v>
      </c>
      <c r="G14486" s="5">
        <v>110.5</v>
      </c>
      <c r="H14486" s="5">
        <v>110.4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112</v>
      </c>
      <c r="D14487" s="5">
        <v>0.1</v>
      </c>
      <c r="E14487" s="5">
        <v>112.1</v>
      </c>
      <c r="F14487" s="5">
        <v>222.4</v>
      </c>
      <c r="G14487" s="5">
        <v>110.5</v>
      </c>
      <c r="H14487" s="5">
        <v>110.4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112</v>
      </c>
      <c r="D14488" s="5">
        <v>0.1</v>
      </c>
      <c r="E14488" s="5">
        <v>112.1</v>
      </c>
      <c r="F14488" s="5">
        <v>222.4</v>
      </c>
      <c r="G14488" s="5">
        <v>110.5</v>
      </c>
      <c r="H14488" s="5">
        <v>110.4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112</v>
      </c>
      <c r="D14489" s="5">
        <v>0.1</v>
      </c>
      <c r="E14489" s="5">
        <v>112.1</v>
      </c>
      <c r="F14489" s="5">
        <v>222.4</v>
      </c>
      <c r="G14489" s="5">
        <v>110.5</v>
      </c>
      <c r="H14489" s="5">
        <v>110.4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112</v>
      </c>
      <c r="D14490" s="5">
        <v>0.1</v>
      </c>
      <c r="E14490" s="5">
        <v>112.1</v>
      </c>
      <c r="F14490" s="5">
        <v>222.4</v>
      </c>
      <c r="G14490" s="5">
        <v>110.5</v>
      </c>
      <c r="H14490" s="5">
        <v>110.4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112</v>
      </c>
      <c r="D14491" s="5">
        <v>0.1</v>
      </c>
      <c r="E14491" s="5">
        <v>112.1</v>
      </c>
      <c r="F14491" s="5">
        <v>222.4</v>
      </c>
      <c r="G14491" s="5">
        <v>110.5</v>
      </c>
      <c r="H14491" s="5">
        <v>110.4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112</v>
      </c>
      <c r="D14492" s="5">
        <v>0.1</v>
      </c>
      <c r="E14492" s="5">
        <v>112.1</v>
      </c>
      <c r="F14492" s="5">
        <v>222.4</v>
      </c>
      <c r="G14492" s="5">
        <v>110.5</v>
      </c>
      <c r="H14492" s="5">
        <v>110.4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112</v>
      </c>
      <c r="D14493" s="5">
        <v>0.1</v>
      </c>
      <c r="E14493" s="5">
        <v>112.1</v>
      </c>
      <c r="F14493" s="5">
        <v>222.4</v>
      </c>
      <c r="G14493" s="5">
        <v>110.5</v>
      </c>
      <c r="H14493" s="5">
        <v>110.4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112</v>
      </c>
      <c r="D14494" s="5">
        <v>0.1</v>
      </c>
      <c r="E14494" s="5">
        <v>112.1</v>
      </c>
      <c r="F14494" s="5">
        <v>222.4</v>
      </c>
      <c r="G14494" s="5">
        <v>110.5</v>
      </c>
      <c r="H14494" s="5">
        <v>110.4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112</v>
      </c>
      <c r="D14495" s="5">
        <v>0.1</v>
      </c>
      <c r="E14495" s="5">
        <v>112.1</v>
      </c>
      <c r="F14495" s="5">
        <v>222.4</v>
      </c>
      <c r="G14495" s="5">
        <v>110.5</v>
      </c>
      <c r="H14495" s="5">
        <v>110.4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112</v>
      </c>
      <c r="D14496" s="5">
        <v>0.1</v>
      </c>
      <c r="E14496" s="5">
        <v>112.1</v>
      </c>
      <c r="F14496" s="5">
        <v>222.4</v>
      </c>
      <c r="G14496" s="5">
        <v>110.5</v>
      </c>
      <c r="H14496" s="5">
        <v>110.4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112</v>
      </c>
      <c r="D14497" s="5">
        <v>0.1</v>
      </c>
      <c r="E14497" s="5">
        <v>112.1</v>
      </c>
      <c r="F14497" s="5">
        <v>222.4</v>
      </c>
      <c r="G14497" s="5">
        <v>110.5</v>
      </c>
      <c r="H14497" s="5">
        <v>110.4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112</v>
      </c>
      <c r="D14498" s="5">
        <v>0.1</v>
      </c>
      <c r="E14498" s="5">
        <v>112.1</v>
      </c>
      <c r="F14498" s="5">
        <v>222.4</v>
      </c>
      <c r="G14498" s="5">
        <v>110.5</v>
      </c>
      <c r="H14498" s="5">
        <v>110.4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112</v>
      </c>
      <c r="D14499" s="5">
        <v>0.1</v>
      </c>
      <c r="E14499" s="5">
        <v>112.1</v>
      </c>
      <c r="F14499" s="5">
        <v>222.4</v>
      </c>
      <c r="G14499" s="5">
        <v>110.5</v>
      </c>
      <c r="H14499" s="5">
        <v>110.4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112</v>
      </c>
      <c r="D14500" s="5">
        <v>0.1</v>
      </c>
      <c r="E14500" s="5">
        <v>112.1</v>
      </c>
      <c r="F14500" s="5">
        <v>222.4</v>
      </c>
      <c r="G14500" s="5">
        <v>110.5</v>
      </c>
      <c r="H14500" s="5">
        <v>110.4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112</v>
      </c>
      <c r="D14501" s="5">
        <v>0.1</v>
      </c>
      <c r="E14501" s="5">
        <v>112.1</v>
      </c>
      <c r="F14501" s="5">
        <v>222.4</v>
      </c>
      <c r="G14501" s="5">
        <v>110.5</v>
      </c>
      <c r="H14501" s="5">
        <v>110.4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112</v>
      </c>
      <c r="D14502" s="5">
        <v>0.1</v>
      </c>
      <c r="E14502" s="5">
        <v>112.1</v>
      </c>
      <c r="F14502" s="5">
        <v>222.4</v>
      </c>
      <c r="G14502" s="5">
        <v>110.5</v>
      </c>
      <c r="H14502" s="5">
        <v>110.4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112</v>
      </c>
      <c r="D14503" s="5">
        <v>0.1</v>
      </c>
      <c r="E14503" s="5">
        <v>112.1</v>
      </c>
      <c r="F14503" s="5">
        <v>222.4</v>
      </c>
      <c r="G14503" s="5">
        <v>110.5</v>
      </c>
      <c r="H14503" s="5">
        <v>110.4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112</v>
      </c>
      <c r="D14504" s="5">
        <v>0.1</v>
      </c>
      <c r="E14504" s="5">
        <v>112.1</v>
      </c>
      <c r="F14504" s="5">
        <v>222.4</v>
      </c>
      <c r="G14504" s="5">
        <v>110.5</v>
      </c>
      <c r="H14504" s="5">
        <v>110.4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112</v>
      </c>
      <c r="D14505" s="5">
        <v>0.1</v>
      </c>
      <c r="E14505" s="5">
        <v>112.1</v>
      </c>
      <c r="F14505" s="5">
        <v>222.4</v>
      </c>
      <c r="G14505" s="5">
        <v>110.5</v>
      </c>
      <c r="H14505" s="5">
        <v>110.4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112</v>
      </c>
      <c r="D14506" s="5">
        <v>0.1</v>
      </c>
      <c r="E14506" s="5">
        <v>112.1</v>
      </c>
      <c r="F14506" s="5">
        <v>222.4</v>
      </c>
      <c r="G14506" s="5">
        <v>110.5</v>
      </c>
      <c r="H14506" s="5">
        <v>110.4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112</v>
      </c>
      <c r="D14507" s="5">
        <v>0.1</v>
      </c>
      <c r="E14507" s="5">
        <v>112.1</v>
      </c>
      <c r="F14507" s="5">
        <v>222.4</v>
      </c>
      <c r="G14507" s="5">
        <v>110.5</v>
      </c>
      <c r="H14507" s="5">
        <v>110.4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112</v>
      </c>
      <c r="D14508" s="5">
        <v>0.1</v>
      </c>
      <c r="E14508" s="5">
        <v>112.1</v>
      </c>
      <c r="F14508" s="5">
        <v>222.4</v>
      </c>
      <c r="G14508" s="5">
        <v>110.5</v>
      </c>
      <c r="H14508" s="5">
        <v>110.4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112</v>
      </c>
      <c r="D14509" s="5">
        <v>0.1</v>
      </c>
      <c r="E14509" s="5">
        <v>112.1</v>
      </c>
      <c r="F14509" s="5">
        <v>222.4</v>
      </c>
      <c r="G14509" s="5">
        <v>110.5</v>
      </c>
      <c r="H14509" s="5">
        <v>110.4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112</v>
      </c>
      <c r="D14510" s="5">
        <v>0.1</v>
      </c>
      <c r="E14510" s="5">
        <v>112.1</v>
      </c>
      <c r="F14510" s="5">
        <v>222.4</v>
      </c>
      <c r="G14510" s="5">
        <v>110.5</v>
      </c>
      <c r="H14510" s="5">
        <v>110.4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112</v>
      </c>
      <c r="D14511" s="5">
        <v>0.1</v>
      </c>
      <c r="E14511" s="5">
        <v>112.1</v>
      </c>
      <c r="F14511" s="5">
        <v>222.4</v>
      </c>
      <c r="G14511" s="5">
        <v>110.5</v>
      </c>
      <c r="H14511" s="5">
        <v>110.4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112</v>
      </c>
      <c r="D14512" s="5">
        <v>0.1</v>
      </c>
      <c r="E14512" s="5">
        <v>112.1</v>
      </c>
      <c r="F14512" s="5">
        <v>222.4</v>
      </c>
      <c r="G14512" s="5">
        <v>110.5</v>
      </c>
      <c r="H14512" s="5">
        <v>110.4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112</v>
      </c>
      <c r="D14513" s="5">
        <v>0.1</v>
      </c>
      <c r="E14513" s="5">
        <v>112.1</v>
      </c>
      <c r="F14513" s="5">
        <v>222.4</v>
      </c>
      <c r="G14513" s="5">
        <v>110.5</v>
      </c>
      <c r="H14513" s="5">
        <v>110.4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112</v>
      </c>
      <c r="D14514" s="5">
        <v>0.1</v>
      </c>
      <c r="E14514" s="5">
        <v>112.1</v>
      </c>
      <c r="F14514" s="5">
        <v>222.4</v>
      </c>
      <c r="G14514" s="5">
        <v>110.5</v>
      </c>
      <c r="H14514" s="5">
        <v>110.4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112</v>
      </c>
      <c r="D14515" s="5">
        <v>0.1</v>
      </c>
      <c r="E14515" s="5">
        <v>112.1</v>
      </c>
      <c r="F14515" s="5">
        <v>222.4</v>
      </c>
      <c r="G14515" s="5">
        <v>110.5</v>
      </c>
      <c r="H14515" s="5">
        <v>110.4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112</v>
      </c>
      <c r="D14516" s="5">
        <v>0.1</v>
      </c>
      <c r="E14516" s="5">
        <v>112.1</v>
      </c>
      <c r="F14516" s="5">
        <v>222.4</v>
      </c>
      <c r="G14516" s="5">
        <v>110.5</v>
      </c>
      <c r="H14516" s="5">
        <v>110.4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112</v>
      </c>
      <c r="D14517" s="5">
        <v>0.1</v>
      </c>
      <c r="E14517" s="5">
        <v>112.1</v>
      </c>
      <c r="F14517" s="5">
        <v>222.4</v>
      </c>
      <c r="G14517" s="5">
        <v>110.5</v>
      </c>
      <c r="H14517" s="5">
        <v>110.4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112</v>
      </c>
      <c r="D14518" s="5">
        <v>0.1</v>
      </c>
      <c r="E14518" s="5">
        <v>112.1</v>
      </c>
      <c r="F14518" s="5">
        <v>222.4</v>
      </c>
      <c r="G14518" s="5">
        <v>110.5</v>
      </c>
      <c r="H14518" s="5">
        <v>110.4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112</v>
      </c>
      <c r="D14519" s="5">
        <v>0.1</v>
      </c>
      <c r="E14519" s="5">
        <v>112.1</v>
      </c>
      <c r="F14519" s="5">
        <v>222.4</v>
      </c>
      <c r="G14519" s="5">
        <v>110.5</v>
      </c>
      <c r="H14519" s="5">
        <v>110.4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112</v>
      </c>
      <c r="D14520" s="5">
        <v>0.1</v>
      </c>
      <c r="E14520" s="5">
        <v>112.1</v>
      </c>
      <c r="F14520" s="5">
        <v>222.4</v>
      </c>
      <c r="G14520" s="5">
        <v>110.5</v>
      </c>
      <c r="H14520" s="5">
        <v>110.4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112</v>
      </c>
      <c r="D14521" s="5">
        <v>0.1</v>
      </c>
      <c r="E14521" s="5">
        <v>112.1</v>
      </c>
      <c r="F14521" s="5">
        <v>222.4</v>
      </c>
      <c r="G14521" s="5">
        <v>110.5</v>
      </c>
      <c r="H14521" s="5">
        <v>110.4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112</v>
      </c>
      <c r="D14522" s="5">
        <v>0.1</v>
      </c>
      <c r="E14522" s="5">
        <v>112.1</v>
      </c>
      <c r="F14522" s="5">
        <v>222.4</v>
      </c>
      <c r="G14522" s="5">
        <v>110.5</v>
      </c>
      <c r="H14522" s="5">
        <v>110.4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112</v>
      </c>
      <c r="D14523" s="5">
        <v>0.1</v>
      </c>
      <c r="E14523" s="5">
        <v>112.1</v>
      </c>
      <c r="F14523" s="5">
        <v>222.4</v>
      </c>
      <c r="G14523" s="5">
        <v>110.5</v>
      </c>
      <c r="H14523" s="5">
        <v>110.4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112</v>
      </c>
      <c r="D14524" s="5">
        <v>0.1</v>
      </c>
      <c r="E14524" s="5">
        <v>112.1</v>
      </c>
      <c r="F14524" s="5">
        <v>222.4</v>
      </c>
      <c r="G14524" s="5">
        <v>110.5</v>
      </c>
      <c r="H14524" s="5">
        <v>110.4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112</v>
      </c>
      <c r="D14525" s="5">
        <v>0.1</v>
      </c>
      <c r="E14525" s="5">
        <v>112.1</v>
      </c>
      <c r="F14525" s="5">
        <v>222.4</v>
      </c>
      <c r="G14525" s="5">
        <v>110.5</v>
      </c>
      <c r="H14525" s="5">
        <v>110.4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112</v>
      </c>
      <c r="D14526" s="5">
        <v>0.1</v>
      </c>
      <c r="E14526" s="5">
        <v>112.1</v>
      </c>
      <c r="F14526" s="5">
        <v>222.4</v>
      </c>
      <c r="G14526" s="5">
        <v>110.5</v>
      </c>
      <c r="H14526" s="5">
        <v>110.4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112</v>
      </c>
      <c r="D14527" s="5">
        <v>0.1</v>
      </c>
      <c r="E14527" s="5">
        <v>112.1</v>
      </c>
      <c r="F14527" s="5">
        <v>222.4</v>
      </c>
      <c r="G14527" s="5">
        <v>110.5</v>
      </c>
      <c r="H14527" s="5">
        <v>110.4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112</v>
      </c>
      <c r="D14528" s="5">
        <v>0.1</v>
      </c>
      <c r="E14528" s="5">
        <v>112.1</v>
      </c>
      <c r="F14528" s="5">
        <v>222.4</v>
      </c>
      <c r="G14528" s="5">
        <v>110.5</v>
      </c>
      <c r="H14528" s="5">
        <v>110.4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112</v>
      </c>
      <c r="D14529" s="5">
        <v>0.1</v>
      </c>
      <c r="E14529" s="5">
        <v>112.1</v>
      </c>
      <c r="F14529" s="5">
        <v>222.4</v>
      </c>
      <c r="G14529" s="5">
        <v>110.5</v>
      </c>
      <c r="H14529" s="5">
        <v>110.4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112</v>
      </c>
      <c r="D14530" s="5">
        <v>0.1</v>
      </c>
      <c r="E14530" s="5">
        <v>112.1</v>
      </c>
      <c r="F14530" s="5">
        <v>222.4</v>
      </c>
      <c r="G14530" s="5">
        <v>110.5</v>
      </c>
      <c r="H14530" s="5">
        <v>110.4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112</v>
      </c>
      <c r="D14531" s="5">
        <v>0.1</v>
      </c>
      <c r="E14531" s="5">
        <v>112.1</v>
      </c>
      <c r="F14531" s="5">
        <v>222.4</v>
      </c>
      <c r="G14531" s="5">
        <v>110.5</v>
      </c>
      <c r="H14531" s="5">
        <v>110.4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112</v>
      </c>
      <c r="D14532" s="5">
        <v>0.1</v>
      </c>
      <c r="E14532" s="5">
        <v>112.1</v>
      </c>
      <c r="F14532" s="5">
        <v>222.4</v>
      </c>
      <c r="G14532" s="5">
        <v>110.5</v>
      </c>
      <c r="H14532" s="5">
        <v>110.4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112</v>
      </c>
      <c r="D14533" s="5">
        <v>0.1</v>
      </c>
      <c r="E14533" s="5">
        <v>112.1</v>
      </c>
      <c r="F14533" s="5">
        <v>222.4</v>
      </c>
      <c r="G14533" s="5">
        <v>110.5</v>
      </c>
      <c r="H14533" s="5">
        <v>110.4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112</v>
      </c>
      <c r="D14534" s="5">
        <v>0.1</v>
      </c>
      <c r="E14534" s="5">
        <v>112.1</v>
      </c>
      <c r="F14534" s="5">
        <v>222.4</v>
      </c>
      <c r="G14534" s="5">
        <v>110.5</v>
      </c>
      <c r="H14534" s="5">
        <v>110.4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112</v>
      </c>
      <c r="D14535" s="5">
        <v>0.1</v>
      </c>
      <c r="E14535" s="5">
        <v>112.1</v>
      </c>
      <c r="F14535" s="5">
        <v>222.4</v>
      </c>
      <c r="G14535" s="5">
        <v>110.5</v>
      </c>
      <c r="H14535" s="5">
        <v>110.4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112</v>
      </c>
      <c r="D14536" s="5">
        <v>0.1</v>
      </c>
      <c r="E14536" s="5">
        <v>112.1</v>
      </c>
      <c r="F14536" s="5">
        <v>222.4</v>
      </c>
      <c r="G14536" s="5">
        <v>110.5</v>
      </c>
      <c r="H14536" s="5">
        <v>110.4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112</v>
      </c>
      <c r="D14537" s="5">
        <v>0.1</v>
      </c>
      <c r="E14537" s="5">
        <v>112.1</v>
      </c>
      <c r="F14537" s="5">
        <v>222.4</v>
      </c>
      <c r="G14537" s="5">
        <v>110.5</v>
      </c>
      <c r="H14537" s="5">
        <v>110.4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112</v>
      </c>
      <c r="D14538" s="5">
        <v>0.1</v>
      </c>
      <c r="E14538" s="5">
        <v>112.1</v>
      </c>
      <c r="F14538" s="5">
        <v>222.4</v>
      </c>
      <c r="G14538" s="5">
        <v>110.5</v>
      </c>
      <c r="H14538" s="5">
        <v>110.4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112</v>
      </c>
      <c r="D14539" s="5">
        <v>0.1</v>
      </c>
      <c r="E14539" s="5">
        <v>112.1</v>
      </c>
      <c r="F14539" s="5">
        <v>222.4</v>
      </c>
      <c r="G14539" s="5">
        <v>110.5</v>
      </c>
      <c r="H14539" s="5">
        <v>110.4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112</v>
      </c>
      <c r="D14540" s="5">
        <v>0.1</v>
      </c>
      <c r="E14540" s="5">
        <v>112.1</v>
      </c>
      <c r="F14540" s="5">
        <v>222.4</v>
      </c>
      <c r="G14540" s="5">
        <v>110.5</v>
      </c>
      <c r="H14540" s="5">
        <v>110.4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112</v>
      </c>
      <c r="D14541" s="5">
        <v>0.1</v>
      </c>
      <c r="E14541" s="5">
        <v>112.1</v>
      </c>
      <c r="F14541" s="5">
        <v>222.4</v>
      </c>
      <c r="G14541" s="5">
        <v>110.5</v>
      </c>
      <c r="H14541" s="5">
        <v>110.4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112</v>
      </c>
      <c r="D14542" s="5">
        <v>0.1</v>
      </c>
      <c r="E14542" s="5">
        <v>112.1</v>
      </c>
      <c r="F14542" s="5">
        <v>222.4</v>
      </c>
      <c r="G14542" s="5">
        <v>110.5</v>
      </c>
      <c r="H14542" s="5">
        <v>110.4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112</v>
      </c>
      <c r="D14543" s="5">
        <v>0.1</v>
      </c>
      <c r="E14543" s="5">
        <v>112.1</v>
      </c>
      <c r="F14543" s="5">
        <v>222.4</v>
      </c>
      <c r="G14543" s="5">
        <v>110.5</v>
      </c>
      <c r="H14543" s="5">
        <v>110.4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112</v>
      </c>
      <c r="D14544" s="5">
        <v>0.1</v>
      </c>
      <c r="E14544" s="5">
        <v>112.1</v>
      </c>
      <c r="F14544" s="5">
        <v>222.4</v>
      </c>
      <c r="G14544" s="5">
        <v>110.5</v>
      </c>
      <c r="H14544" s="5">
        <v>110.4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112</v>
      </c>
      <c r="D14545" s="5">
        <v>0.1</v>
      </c>
      <c r="E14545" s="5">
        <v>112.1</v>
      </c>
      <c r="F14545" s="5">
        <v>222.4</v>
      </c>
      <c r="G14545" s="5">
        <v>110.5</v>
      </c>
      <c r="H14545" s="5">
        <v>110.4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112</v>
      </c>
      <c r="D14546" s="5">
        <v>0.1</v>
      </c>
      <c r="E14546" s="5">
        <v>112.1</v>
      </c>
      <c r="F14546" s="5">
        <v>222.4</v>
      </c>
      <c r="G14546" s="5">
        <v>110.5</v>
      </c>
      <c r="H14546" s="5">
        <v>110.4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112</v>
      </c>
      <c r="D14547" s="5">
        <v>0.1</v>
      </c>
      <c r="E14547" s="5">
        <v>112.1</v>
      </c>
      <c r="F14547" s="5">
        <v>222.4</v>
      </c>
      <c r="G14547" s="5">
        <v>110.5</v>
      </c>
      <c r="H14547" s="5">
        <v>110.4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112</v>
      </c>
      <c r="D14548" s="5">
        <v>0.1</v>
      </c>
      <c r="E14548" s="5">
        <v>112.1</v>
      </c>
      <c r="F14548" s="5">
        <v>222.4</v>
      </c>
      <c r="G14548" s="5">
        <v>110.5</v>
      </c>
      <c r="H14548" s="5">
        <v>110.4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112</v>
      </c>
      <c r="D14549" s="5">
        <v>0.1</v>
      </c>
      <c r="E14549" s="5">
        <v>112.1</v>
      </c>
      <c r="F14549" s="5">
        <v>222.4</v>
      </c>
      <c r="G14549" s="5">
        <v>110.5</v>
      </c>
      <c r="H14549" s="5">
        <v>110.4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112</v>
      </c>
      <c r="D14550" s="5">
        <v>0.1</v>
      </c>
      <c r="E14550" s="5">
        <v>112.1</v>
      </c>
      <c r="F14550" s="5">
        <v>222.4</v>
      </c>
      <c r="G14550" s="5">
        <v>110.5</v>
      </c>
      <c r="H14550" s="5">
        <v>110.4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112</v>
      </c>
      <c r="D14551" s="5">
        <v>0.1</v>
      </c>
      <c r="E14551" s="5">
        <v>112.1</v>
      </c>
      <c r="F14551" s="5">
        <v>222.4</v>
      </c>
      <c r="G14551" s="5">
        <v>110.5</v>
      </c>
      <c r="H14551" s="5">
        <v>110.4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112</v>
      </c>
      <c r="D14552" s="5">
        <v>0.1</v>
      </c>
      <c r="E14552" s="5">
        <v>112.1</v>
      </c>
      <c r="F14552" s="5">
        <v>222.4</v>
      </c>
      <c r="G14552" s="5">
        <v>110.5</v>
      </c>
      <c r="H14552" s="5">
        <v>110.4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112</v>
      </c>
      <c r="D14553" s="5">
        <v>0.1</v>
      </c>
      <c r="E14553" s="5">
        <v>112.1</v>
      </c>
      <c r="F14553" s="5">
        <v>222.4</v>
      </c>
      <c r="G14553" s="5">
        <v>110.5</v>
      </c>
      <c r="H14553" s="5">
        <v>110.4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112</v>
      </c>
      <c r="D14554" s="5">
        <v>0.1</v>
      </c>
      <c r="E14554" s="5">
        <v>112.1</v>
      </c>
      <c r="F14554" s="5">
        <v>222.4</v>
      </c>
      <c r="G14554" s="5">
        <v>110.5</v>
      </c>
      <c r="H14554" s="5">
        <v>110.4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112</v>
      </c>
      <c r="D14555" s="5">
        <v>0.1</v>
      </c>
      <c r="E14555" s="5">
        <v>112.1</v>
      </c>
      <c r="F14555" s="5">
        <v>222.4</v>
      </c>
      <c r="G14555" s="5">
        <v>110.5</v>
      </c>
      <c r="H14555" s="5">
        <v>110.4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112</v>
      </c>
      <c r="D14556" s="5">
        <v>0.1</v>
      </c>
      <c r="E14556" s="5">
        <v>112.1</v>
      </c>
      <c r="F14556" s="5">
        <v>222.4</v>
      </c>
      <c r="G14556" s="5">
        <v>110.5</v>
      </c>
      <c r="H14556" s="5">
        <v>110.4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112</v>
      </c>
      <c r="D14557" s="5">
        <v>0.1</v>
      </c>
      <c r="E14557" s="5">
        <v>112.1</v>
      </c>
      <c r="F14557" s="5">
        <v>222.4</v>
      </c>
      <c r="G14557" s="5">
        <v>110.5</v>
      </c>
      <c r="H14557" s="5">
        <v>110.4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112</v>
      </c>
      <c r="D14558" s="5">
        <v>0.1</v>
      </c>
      <c r="E14558" s="5">
        <v>112.1</v>
      </c>
      <c r="F14558" s="5">
        <v>222.4</v>
      </c>
      <c r="G14558" s="5">
        <v>110.5</v>
      </c>
      <c r="H14558" s="5">
        <v>110.4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112</v>
      </c>
      <c r="D14559" s="5">
        <v>0.1</v>
      </c>
      <c r="E14559" s="5">
        <v>112.1</v>
      </c>
      <c r="F14559" s="5">
        <v>222.4</v>
      </c>
      <c r="G14559" s="5">
        <v>110.5</v>
      </c>
      <c r="H14559" s="5">
        <v>110.4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112</v>
      </c>
      <c r="D14560" s="5">
        <v>0.1</v>
      </c>
      <c r="E14560" s="5">
        <v>112.1</v>
      </c>
      <c r="F14560" s="5">
        <v>222.4</v>
      </c>
      <c r="G14560" s="5">
        <v>110.5</v>
      </c>
      <c r="H14560" s="5">
        <v>110.4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112</v>
      </c>
      <c r="D14561" s="5">
        <v>0.1</v>
      </c>
      <c r="E14561" s="5">
        <v>112.1</v>
      </c>
      <c r="F14561" s="5">
        <v>222.4</v>
      </c>
      <c r="G14561" s="5">
        <v>110.5</v>
      </c>
      <c r="H14561" s="5">
        <v>110.4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112</v>
      </c>
      <c r="D14562" s="5">
        <v>0.1</v>
      </c>
      <c r="E14562" s="5">
        <v>112.1</v>
      </c>
      <c r="F14562" s="5">
        <v>222.4</v>
      </c>
      <c r="G14562" s="5">
        <v>110.5</v>
      </c>
      <c r="H14562" s="5">
        <v>110.4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112</v>
      </c>
      <c r="D14563" s="5">
        <v>0.1</v>
      </c>
      <c r="E14563" s="5">
        <v>112.1</v>
      </c>
      <c r="F14563" s="5">
        <v>222.4</v>
      </c>
      <c r="G14563" s="5">
        <v>110.5</v>
      </c>
      <c r="H14563" s="5">
        <v>110.4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112</v>
      </c>
      <c r="D14564" s="5">
        <v>0.1</v>
      </c>
      <c r="E14564" s="5">
        <v>112.1</v>
      </c>
      <c r="F14564" s="5">
        <v>222.4</v>
      </c>
      <c r="G14564" s="5">
        <v>110.5</v>
      </c>
      <c r="H14564" s="5">
        <v>110.4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112</v>
      </c>
      <c r="D14565" s="5">
        <v>0.1</v>
      </c>
      <c r="E14565" s="5">
        <v>112.1</v>
      </c>
      <c r="F14565" s="5">
        <v>222.4</v>
      </c>
      <c r="G14565" s="5">
        <v>110.5</v>
      </c>
      <c r="H14565" s="5">
        <v>110.4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112</v>
      </c>
      <c r="D14566" s="5">
        <v>0.1</v>
      </c>
      <c r="E14566" s="5">
        <v>112.1</v>
      </c>
      <c r="F14566" s="5">
        <v>222.4</v>
      </c>
      <c r="G14566" s="5">
        <v>110.5</v>
      </c>
      <c r="H14566" s="5">
        <v>110.4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112</v>
      </c>
      <c r="D14567" s="5">
        <v>0.1</v>
      </c>
      <c r="E14567" s="5">
        <v>112.1</v>
      </c>
      <c r="F14567" s="5">
        <v>222.4</v>
      </c>
      <c r="G14567" s="5">
        <v>110.5</v>
      </c>
      <c r="H14567" s="5">
        <v>110.4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112</v>
      </c>
      <c r="D14568" s="5">
        <v>0.1</v>
      </c>
      <c r="E14568" s="5">
        <v>112.1</v>
      </c>
      <c r="F14568" s="5">
        <v>222.4</v>
      </c>
      <c r="G14568" s="5">
        <v>110.5</v>
      </c>
      <c r="H14568" s="5">
        <v>110.4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112</v>
      </c>
      <c r="D14569" s="5">
        <v>0.1</v>
      </c>
      <c r="E14569" s="5">
        <v>112.1</v>
      </c>
      <c r="F14569" s="5">
        <v>222.4</v>
      </c>
      <c r="G14569" s="5">
        <v>110.5</v>
      </c>
      <c r="H14569" s="5">
        <v>110.4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112</v>
      </c>
      <c r="D14570" s="5">
        <v>0.1</v>
      </c>
      <c r="E14570" s="5">
        <v>112.1</v>
      </c>
      <c r="F14570" s="5">
        <v>222.4</v>
      </c>
      <c r="G14570" s="5">
        <v>110.5</v>
      </c>
      <c r="H14570" s="5">
        <v>110.4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112</v>
      </c>
      <c r="D14571" s="5">
        <v>0.1</v>
      </c>
      <c r="E14571" s="5">
        <v>112.1</v>
      </c>
      <c r="F14571" s="5">
        <v>222.4</v>
      </c>
      <c r="G14571" s="5">
        <v>110.5</v>
      </c>
      <c r="H14571" s="5">
        <v>110.4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112</v>
      </c>
      <c r="D14572" s="5">
        <v>0.1</v>
      </c>
      <c r="E14572" s="5">
        <v>112.1</v>
      </c>
      <c r="F14572" s="5">
        <v>222.4</v>
      </c>
      <c r="G14572" s="5">
        <v>110.5</v>
      </c>
      <c r="H14572" s="5">
        <v>110.4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112</v>
      </c>
      <c r="D14573" s="5">
        <v>0.1</v>
      </c>
      <c r="E14573" s="5">
        <v>112.1</v>
      </c>
      <c r="F14573" s="5">
        <v>222.4</v>
      </c>
      <c r="G14573" s="5">
        <v>110.5</v>
      </c>
      <c r="H14573" s="5">
        <v>110.4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112</v>
      </c>
      <c r="D14574" s="5">
        <v>0.1</v>
      </c>
      <c r="E14574" s="5">
        <v>112.1</v>
      </c>
      <c r="F14574" s="5">
        <v>222.4</v>
      </c>
      <c r="G14574" s="5">
        <v>110.5</v>
      </c>
      <c r="H14574" s="5">
        <v>110.4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112</v>
      </c>
      <c r="D14575" s="5">
        <v>0.1</v>
      </c>
      <c r="E14575" s="5">
        <v>112.1</v>
      </c>
      <c r="F14575" s="5">
        <v>222.4</v>
      </c>
      <c r="G14575" s="5">
        <v>110.5</v>
      </c>
      <c r="H14575" s="5">
        <v>110.4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112</v>
      </c>
      <c r="D14576" s="5">
        <v>0.1</v>
      </c>
      <c r="E14576" s="5">
        <v>112.1</v>
      </c>
      <c r="F14576" s="5">
        <v>222.4</v>
      </c>
      <c r="G14576" s="5">
        <v>110.5</v>
      </c>
      <c r="H14576" s="5">
        <v>110.4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112</v>
      </c>
      <c r="D14577" s="5">
        <v>0.1</v>
      </c>
      <c r="E14577" s="5">
        <v>112.1</v>
      </c>
      <c r="F14577" s="5">
        <v>222.4</v>
      </c>
      <c r="G14577" s="5">
        <v>110.5</v>
      </c>
      <c r="H14577" s="5">
        <v>110.4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112</v>
      </c>
      <c r="D14578" s="5">
        <v>0.1</v>
      </c>
      <c r="E14578" s="5">
        <v>112.1</v>
      </c>
      <c r="F14578" s="5">
        <v>222.4</v>
      </c>
      <c r="G14578" s="5">
        <v>110.5</v>
      </c>
      <c r="H14578" s="5">
        <v>110.4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112</v>
      </c>
      <c r="D14579" s="5">
        <v>0.1</v>
      </c>
      <c r="E14579" s="5">
        <v>112.1</v>
      </c>
      <c r="F14579" s="5">
        <v>222.4</v>
      </c>
      <c r="G14579" s="5">
        <v>110.5</v>
      </c>
      <c r="H14579" s="5">
        <v>110.4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112</v>
      </c>
      <c r="D14580" s="5">
        <v>0.1</v>
      </c>
      <c r="E14580" s="5">
        <v>112.1</v>
      </c>
      <c r="F14580" s="5">
        <v>222.4</v>
      </c>
      <c r="G14580" s="5">
        <v>110.5</v>
      </c>
      <c r="H14580" s="5">
        <v>110.4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112</v>
      </c>
      <c r="D14581" s="5">
        <v>0.1</v>
      </c>
      <c r="E14581" s="5">
        <v>112.1</v>
      </c>
      <c r="F14581" s="5">
        <v>222.4</v>
      </c>
      <c r="G14581" s="5">
        <v>110.5</v>
      </c>
      <c r="H14581" s="5">
        <v>110.4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112</v>
      </c>
      <c r="D14582" s="5">
        <v>0.1</v>
      </c>
      <c r="E14582" s="5">
        <v>112.1</v>
      </c>
      <c r="F14582" s="5">
        <v>222.4</v>
      </c>
      <c r="G14582" s="5">
        <v>110.5</v>
      </c>
      <c r="H14582" s="5">
        <v>110.4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112</v>
      </c>
      <c r="D14583" s="5">
        <v>0.1</v>
      </c>
      <c r="E14583" s="5">
        <v>112.1</v>
      </c>
      <c r="F14583" s="5">
        <v>222.4</v>
      </c>
      <c r="G14583" s="5">
        <v>110.5</v>
      </c>
      <c r="H14583" s="5">
        <v>110.4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112</v>
      </c>
      <c r="D14584" s="5">
        <v>0.1</v>
      </c>
      <c r="E14584" s="5">
        <v>112.1</v>
      </c>
      <c r="F14584" s="5">
        <v>222.4</v>
      </c>
      <c r="G14584" s="5">
        <v>110.5</v>
      </c>
      <c r="H14584" s="5">
        <v>110.4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112</v>
      </c>
      <c r="D14585" s="5">
        <v>0.1</v>
      </c>
      <c r="E14585" s="5">
        <v>112.1</v>
      </c>
      <c r="F14585" s="5">
        <v>222.4</v>
      </c>
      <c r="G14585" s="5">
        <v>110.5</v>
      </c>
      <c r="H14585" s="5">
        <v>110.4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112</v>
      </c>
      <c r="D14586" s="5">
        <v>0.1</v>
      </c>
      <c r="E14586" s="5">
        <v>112.1</v>
      </c>
      <c r="F14586" s="5">
        <v>222.4</v>
      </c>
      <c r="G14586" s="5">
        <v>110.5</v>
      </c>
      <c r="H14586" s="5">
        <v>110.4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112</v>
      </c>
      <c r="D14587" s="5">
        <v>0.1</v>
      </c>
      <c r="E14587" s="5">
        <v>112.1</v>
      </c>
      <c r="F14587" s="5">
        <v>222.4</v>
      </c>
      <c r="G14587" s="5">
        <v>110.5</v>
      </c>
      <c r="H14587" s="5">
        <v>110.4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112</v>
      </c>
      <c r="D14588" s="5">
        <v>0.1</v>
      </c>
      <c r="E14588" s="5">
        <v>112.1</v>
      </c>
      <c r="F14588" s="5">
        <v>222.4</v>
      </c>
      <c r="G14588" s="5">
        <v>110.5</v>
      </c>
      <c r="H14588" s="5">
        <v>110.4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112</v>
      </c>
      <c r="D14589" s="5">
        <v>0.1</v>
      </c>
      <c r="E14589" s="5">
        <v>112.1</v>
      </c>
      <c r="F14589" s="5">
        <v>222.4</v>
      </c>
      <c r="G14589" s="5">
        <v>110.5</v>
      </c>
      <c r="H14589" s="5">
        <v>110.4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112</v>
      </c>
      <c r="D14590" s="5">
        <v>0.1</v>
      </c>
      <c r="E14590" s="5">
        <v>112.1</v>
      </c>
      <c r="F14590" s="5">
        <v>222.4</v>
      </c>
      <c r="G14590" s="5">
        <v>110.5</v>
      </c>
      <c r="H14590" s="5">
        <v>110.4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112</v>
      </c>
      <c r="D14591" s="5">
        <v>0.1</v>
      </c>
      <c r="E14591" s="5">
        <v>112.1</v>
      </c>
      <c r="F14591" s="5">
        <v>222.4</v>
      </c>
      <c r="G14591" s="5">
        <v>110.5</v>
      </c>
      <c r="H14591" s="5">
        <v>110.4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112</v>
      </c>
      <c r="D14592" s="5">
        <v>0.1</v>
      </c>
      <c r="E14592" s="5">
        <v>112.1</v>
      </c>
      <c r="F14592" s="5">
        <v>222.4</v>
      </c>
      <c r="G14592" s="5">
        <v>110.5</v>
      </c>
      <c r="H14592" s="5">
        <v>110.4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112</v>
      </c>
      <c r="D14593" s="5">
        <v>0.1</v>
      </c>
      <c r="E14593" s="5">
        <v>112.1</v>
      </c>
      <c r="F14593" s="5">
        <v>222.4</v>
      </c>
      <c r="G14593" s="5">
        <v>110.5</v>
      </c>
      <c r="H14593" s="5">
        <v>110.4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112</v>
      </c>
      <c r="D14594" s="5">
        <v>0.1</v>
      </c>
      <c r="E14594" s="5">
        <v>112.1</v>
      </c>
      <c r="F14594" s="5">
        <v>222.4</v>
      </c>
      <c r="G14594" s="5">
        <v>110.5</v>
      </c>
      <c r="H14594" s="5">
        <v>110.4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112</v>
      </c>
      <c r="D14595" s="5">
        <v>0.1</v>
      </c>
      <c r="E14595" s="5">
        <v>112.1</v>
      </c>
      <c r="F14595" s="5">
        <v>222.4</v>
      </c>
      <c r="G14595" s="5">
        <v>110.5</v>
      </c>
      <c r="H14595" s="5">
        <v>110.4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112</v>
      </c>
      <c r="D14596" s="5">
        <v>0.1</v>
      </c>
      <c r="E14596" s="5">
        <v>112.1</v>
      </c>
      <c r="F14596" s="5">
        <v>222.4</v>
      </c>
      <c r="G14596" s="5">
        <v>110.5</v>
      </c>
      <c r="H14596" s="5">
        <v>110.4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112</v>
      </c>
      <c r="D14597" s="5">
        <v>0.1</v>
      </c>
      <c r="E14597" s="5">
        <v>112.1</v>
      </c>
      <c r="F14597" s="5">
        <v>222.4</v>
      </c>
      <c r="G14597" s="5">
        <v>110.5</v>
      </c>
      <c r="H14597" s="5">
        <v>110.4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112</v>
      </c>
      <c r="D14598" s="5">
        <v>0.1</v>
      </c>
      <c r="E14598" s="5">
        <v>112.1</v>
      </c>
      <c r="F14598" s="5">
        <v>222.4</v>
      </c>
      <c r="G14598" s="5">
        <v>110.5</v>
      </c>
      <c r="H14598" s="5">
        <v>110.4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112</v>
      </c>
      <c r="D14599" s="5">
        <v>0.1</v>
      </c>
      <c r="E14599" s="5">
        <v>112.1</v>
      </c>
      <c r="F14599" s="5">
        <v>222.4</v>
      </c>
      <c r="G14599" s="5">
        <v>110.5</v>
      </c>
      <c r="H14599" s="5">
        <v>110.4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112</v>
      </c>
      <c r="D14600" s="5">
        <v>0.1</v>
      </c>
      <c r="E14600" s="5">
        <v>112.1</v>
      </c>
      <c r="F14600" s="5">
        <v>222.4</v>
      </c>
      <c r="G14600" s="5">
        <v>110.5</v>
      </c>
      <c r="H14600" s="5">
        <v>110.4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112</v>
      </c>
      <c r="D14601" s="5">
        <v>0.1</v>
      </c>
      <c r="E14601" s="5">
        <v>112.1</v>
      </c>
      <c r="F14601" s="5">
        <v>222.4</v>
      </c>
      <c r="G14601" s="5">
        <v>110.5</v>
      </c>
      <c r="H14601" s="5">
        <v>110.4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112</v>
      </c>
      <c r="D14602" s="5">
        <v>0.1</v>
      </c>
      <c r="E14602" s="5">
        <v>112.1</v>
      </c>
      <c r="F14602" s="5">
        <v>222.4</v>
      </c>
      <c r="G14602" s="5">
        <v>110.5</v>
      </c>
      <c r="H14602" s="5">
        <v>110.4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112</v>
      </c>
      <c r="D14603" s="5">
        <v>0.1</v>
      </c>
      <c r="E14603" s="5">
        <v>112.1</v>
      </c>
      <c r="F14603" s="5">
        <v>222.4</v>
      </c>
      <c r="G14603" s="5">
        <v>110.5</v>
      </c>
      <c r="H14603" s="5">
        <v>110.4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112</v>
      </c>
      <c r="D14604" s="5">
        <v>0.1</v>
      </c>
      <c r="E14604" s="5">
        <v>112.1</v>
      </c>
      <c r="F14604" s="5">
        <v>222.4</v>
      </c>
      <c r="G14604" s="5">
        <v>110.5</v>
      </c>
      <c r="H14604" s="5">
        <v>110.4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112</v>
      </c>
      <c r="D14605" s="5">
        <v>0.1</v>
      </c>
      <c r="E14605" s="5">
        <v>112.1</v>
      </c>
      <c r="F14605" s="5">
        <v>222.4</v>
      </c>
      <c r="G14605" s="5">
        <v>110.5</v>
      </c>
      <c r="H14605" s="5">
        <v>110.4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112</v>
      </c>
      <c r="D14606" s="5">
        <v>0.1</v>
      </c>
      <c r="E14606" s="5">
        <v>112.1</v>
      </c>
      <c r="F14606" s="5">
        <v>222.4</v>
      </c>
      <c r="G14606" s="5">
        <v>110.5</v>
      </c>
      <c r="H14606" s="5">
        <v>110.4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112</v>
      </c>
      <c r="D14607" s="5">
        <v>0.1</v>
      </c>
      <c r="E14607" s="5">
        <v>112.1</v>
      </c>
      <c r="F14607" s="5">
        <v>222.4</v>
      </c>
      <c r="G14607" s="5">
        <v>110.5</v>
      </c>
      <c r="H14607" s="5">
        <v>110.4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112</v>
      </c>
      <c r="D14608" s="5">
        <v>0.1</v>
      </c>
      <c r="E14608" s="5">
        <v>112.1</v>
      </c>
      <c r="F14608" s="5">
        <v>222.4</v>
      </c>
      <c r="G14608" s="5">
        <v>110.5</v>
      </c>
      <c r="H14608" s="5">
        <v>110.4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112</v>
      </c>
      <c r="D14609" s="5">
        <v>0.1</v>
      </c>
      <c r="E14609" s="5">
        <v>112.1</v>
      </c>
      <c r="F14609" s="5">
        <v>222.4</v>
      </c>
      <c r="G14609" s="5">
        <v>110.5</v>
      </c>
      <c r="H14609" s="5">
        <v>110.4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112</v>
      </c>
      <c r="D14610" s="5">
        <v>0.1</v>
      </c>
      <c r="E14610" s="5">
        <v>112.1</v>
      </c>
      <c r="F14610" s="5">
        <v>222.4</v>
      </c>
      <c r="G14610" s="5">
        <v>110.5</v>
      </c>
      <c r="H14610" s="5">
        <v>110.4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112</v>
      </c>
      <c r="D14611" s="5">
        <v>0.1</v>
      </c>
      <c r="E14611" s="5">
        <v>112.1</v>
      </c>
      <c r="F14611" s="5">
        <v>222.4</v>
      </c>
      <c r="G14611" s="5">
        <v>110.5</v>
      </c>
      <c r="H14611" s="5">
        <v>110.4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112</v>
      </c>
      <c r="D14612" s="5">
        <v>0.1</v>
      </c>
      <c r="E14612" s="5">
        <v>112.1</v>
      </c>
      <c r="F14612" s="5">
        <v>222.4</v>
      </c>
      <c r="G14612" s="5">
        <v>110.5</v>
      </c>
      <c r="H14612" s="5">
        <v>110.4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112</v>
      </c>
      <c r="D14613" s="5">
        <v>0.1</v>
      </c>
      <c r="E14613" s="5">
        <v>112.1</v>
      </c>
      <c r="F14613" s="5">
        <v>222.4</v>
      </c>
      <c r="G14613" s="5">
        <v>110.5</v>
      </c>
      <c r="H14613" s="5">
        <v>110.4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112</v>
      </c>
      <c r="D14614" s="5">
        <v>0.1</v>
      </c>
      <c r="E14614" s="5">
        <v>112.1</v>
      </c>
      <c r="F14614" s="5">
        <v>222.4</v>
      </c>
      <c r="G14614" s="5">
        <v>110.5</v>
      </c>
      <c r="H14614" s="5">
        <v>110.4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112</v>
      </c>
      <c r="D14615" s="5">
        <v>0.1</v>
      </c>
      <c r="E14615" s="5">
        <v>112.1</v>
      </c>
      <c r="F14615" s="5">
        <v>222.4</v>
      </c>
      <c r="G14615" s="5">
        <v>110.5</v>
      </c>
      <c r="H14615" s="5">
        <v>110.4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112</v>
      </c>
      <c r="D14616" s="5">
        <v>0.1</v>
      </c>
      <c r="E14616" s="5">
        <v>112.1</v>
      </c>
      <c r="F14616" s="5">
        <v>222.4</v>
      </c>
      <c r="G14616" s="5">
        <v>110.5</v>
      </c>
      <c r="H14616" s="5">
        <v>110.4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112</v>
      </c>
      <c r="D14617" s="5">
        <v>0.1</v>
      </c>
      <c r="E14617" s="5">
        <v>112.1</v>
      </c>
      <c r="F14617" s="5">
        <v>222.4</v>
      </c>
      <c r="G14617" s="5">
        <v>110.5</v>
      </c>
      <c r="H14617" s="5">
        <v>110.4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112</v>
      </c>
      <c r="D14618" s="5">
        <v>0.1</v>
      </c>
      <c r="E14618" s="5">
        <v>112.1</v>
      </c>
      <c r="F14618" s="5">
        <v>222.4</v>
      </c>
      <c r="G14618" s="5">
        <v>110.5</v>
      </c>
      <c r="H14618" s="5">
        <v>110.4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112</v>
      </c>
      <c r="D14619" s="5">
        <v>0.1</v>
      </c>
      <c r="E14619" s="5">
        <v>112.1</v>
      </c>
      <c r="F14619" s="5">
        <v>222.4</v>
      </c>
      <c r="G14619" s="5">
        <v>110.5</v>
      </c>
      <c r="H14619" s="5">
        <v>110.4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112</v>
      </c>
      <c r="D14620" s="5">
        <v>0.1</v>
      </c>
      <c r="E14620" s="5">
        <v>112.1</v>
      </c>
      <c r="F14620" s="5">
        <v>222.4</v>
      </c>
      <c r="G14620" s="5">
        <v>110.5</v>
      </c>
      <c r="H14620" s="5">
        <v>110.4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112</v>
      </c>
      <c r="D14621" s="5">
        <v>0.1</v>
      </c>
      <c r="E14621" s="5">
        <v>112.1</v>
      </c>
      <c r="F14621" s="5">
        <v>222.4</v>
      </c>
      <c r="G14621" s="5">
        <v>110.5</v>
      </c>
      <c r="H14621" s="5">
        <v>110.4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112</v>
      </c>
      <c r="D14622" s="5">
        <v>0.1</v>
      </c>
      <c r="E14622" s="5">
        <v>112.1</v>
      </c>
      <c r="F14622" s="5">
        <v>222.4</v>
      </c>
      <c r="G14622" s="5">
        <v>110.5</v>
      </c>
      <c r="H14622" s="5">
        <v>110.4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112</v>
      </c>
      <c r="D14623" s="5">
        <v>0.1</v>
      </c>
      <c r="E14623" s="5">
        <v>112.1</v>
      </c>
      <c r="F14623" s="5">
        <v>222.4</v>
      </c>
      <c r="G14623" s="5">
        <v>110.5</v>
      </c>
      <c r="H14623" s="5">
        <v>110.4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112</v>
      </c>
      <c r="D14624" s="5">
        <v>0.1</v>
      </c>
      <c r="E14624" s="5">
        <v>112.1</v>
      </c>
      <c r="F14624" s="5">
        <v>222.4</v>
      </c>
      <c r="G14624" s="5">
        <v>110.5</v>
      </c>
      <c r="H14624" s="5">
        <v>110.4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112</v>
      </c>
      <c r="D14625" s="5">
        <v>0.1</v>
      </c>
      <c r="E14625" s="5">
        <v>112.1</v>
      </c>
      <c r="F14625" s="5">
        <v>222.4</v>
      </c>
      <c r="G14625" s="5">
        <v>110.5</v>
      </c>
      <c r="H14625" s="5">
        <v>110.4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112</v>
      </c>
      <c r="D14626" s="5">
        <v>0.1</v>
      </c>
      <c r="E14626" s="5">
        <v>112.1</v>
      </c>
      <c r="F14626" s="5">
        <v>222.4</v>
      </c>
      <c r="G14626" s="5">
        <v>110.5</v>
      </c>
      <c r="H14626" s="5">
        <v>110.4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112</v>
      </c>
      <c r="D14627" s="5">
        <v>0.1</v>
      </c>
      <c r="E14627" s="5">
        <v>112.1</v>
      </c>
      <c r="F14627" s="5">
        <v>222.4</v>
      </c>
      <c r="G14627" s="5">
        <v>110.5</v>
      </c>
      <c r="H14627" s="5">
        <v>110.4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112</v>
      </c>
      <c r="D14628" s="5">
        <v>0.1</v>
      </c>
      <c r="E14628" s="5">
        <v>112.1</v>
      </c>
      <c r="F14628" s="5">
        <v>222.4</v>
      </c>
      <c r="G14628" s="5">
        <v>110.5</v>
      </c>
      <c r="H14628" s="5">
        <v>110.4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112</v>
      </c>
      <c r="D14629" s="5">
        <v>0.1</v>
      </c>
      <c r="E14629" s="5">
        <v>112.1</v>
      </c>
      <c r="F14629" s="5">
        <v>222.4</v>
      </c>
      <c r="G14629" s="5">
        <v>110.5</v>
      </c>
      <c r="H14629" s="5">
        <v>110.4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112</v>
      </c>
      <c r="D14630" s="5">
        <v>0.1</v>
      </c>
      <c r="E14630" s="5">
        <v>112.1</v>
      </c>
      <c r="F14630" s="5">
        <v>222.4</v>
      </c>
      <c r="G14630" s="5">
        <v>110.5</v>
      </c>
      <c r="H14630" s="5">
        <v>110.4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112</v>
      </c>
      <c r="D14631" s="5">
        <v>0.1</v>
      </c>
      <c r="E14631" s="5">
        <v>112.1</v>
      </c>
      <c r="F14631" s="5">
        <v>222.4</v>
      </c>
      <c r="G14631" s="5">
        <v>110.5</v>
      </c>
      <c r="H14631" s="5">
        <v>110.4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112</v>
      </c>
      <c r="D14632" s="5">
        <v>0.1</v>
      </c>
      <c r="E14632" s="5">
        <v>112.1</v>
      </c>
      <c r="F14632" s="5">
        <v>222.4</v>
      </c>
      <c r="G14632" s="5">
        <v>110.5</v>
      </c>
      <c r="H14632" s="5">
        <v>110.4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112</v>
      </c>
      <c r="D14633" s="5">
        <v>0.1</v>
      </c>
      <c r="E14633" s="5">
        <v>112.1</v>
      </c>
      <c r="F14633" s="5">
        <v>222.4</v>
      </c>
      <c r="G14633" s="5">
        <v>110.5</v>
      </c>
      <c r="H14633" s="5">
        <v>110.4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112</v>
      </c>
      <c r="D14634" s="5">
        <v>0.1</v>
      </c>
      <c r="E14634" s="5">
        <v>112.1</v>
      </c>
      <c r="F14634" s="5">
        <v>222.4</v>
      </c>
      <c r="G14634" s="5">
        <v>110.5</v>
      </c>
      <c r="H14634" s="5">
        <v>110.4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112</v>
      </c>
      <c r="D14635" s="5">
        <v>0.1</v>
      </c>
      <c r="E14635" s="5">
        <v>112.1</v>
      </c>
      <c r="F14635" s="5">
        <v>222.4</v>
      </c>
      <c r="G14635" s="5">
        <v>110.5</v>
      </c>
      <c r="H14635" s="5">
        <v>110.4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112</v>
      </c>
      <c r="D14636" s="5">
        <v>0.1</v>
      </c>
      <c r="E14636" s="5">
        <v>112.1</v>
      </c>
      <c r="F14636" s="5">
        <v>222.4</v>
      </c>
      <c r="G14636" s="5">
        <v>110.5</v>
      </c>
      <c r="H14636" s="5">
        <v>110.4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112</v>
      </c>
      <c r="D14637" s="5">
        <v>0.1</v>
      </c>
      <c r="E14637" s="5">
        <v>112.1</v>
      </c>
      <c r="F14637" s="5">
        <v>222.4</v>
      </c>
      <c r="G14637" s="5">
        <v>110.5</v>
      </c>
      <c r="H14637" s="5">
        <v>110.4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112</v>
      </c>
      <c r="D14638" s="5">
        <v>0.1</v>
      </c>
      <c r="E14638" s="5">
        <v>112.1</v>
      </c>
      <c r="F14638" s="5">
        <v>222.4</v>
      </c>
      <c r="G14638" s="5">
        <v>110.5</v>
      </c>
      <c r="H14638" s="5">
        <v>110.4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112</v>
      </c>
      <c r="D14639" s="5">
        <v>0.1</v>
      </c>
      <c r="E14639" s="5">
        <v>112.1</v>
      </c>
      <c r="F14639" s="5">
        <v>222.4</v>
      </c>
      <c r="G14639" s="5">
        <v>110.5</v>
      </c>
      <c r="H14639" s="5">
        <v>110.4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112</v>
      </c>
      <c r="D14640" s="5">
        <v>0.1</v>
      </c>
      <c r="E14640" s="5">
        <v>112.1</v>
      </c>
      <c r="F14640" s="5">
        <v>222.4</v>
      </c>
      <c r="G14640" s="5">
        <v>110.5</v>
      </c>
      <c r="H14640" s="5">
        <v>110.4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112</v>
      </c>
      <c r="D14641" s="5">
        <v>0.1</v>
      </c>
      <c r="E14641" s="5">
        <v>112.1</v>
      </c>
      <c r="F14641" s="5">
        <v>222.4</v>
      </c>
      <c r="G14641" s="5">
        <v>110.5</v>
      </c>
      <c r="H14641" s="5">
        <v>110.4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112</v>
      </c>
      <c r="D14642" s="5">
        <v>0.1</v>
      </c>
      <c r="E14642" s="5">
        <v>112.1</v>
      </c>
      <c r="F14642" s="5">
        <v>222.4</v>
      </c>
      <c r="G14642" s="5">
        <v>110.5</v>
      </c>
      <c r="H14642" s="5">
        <v>110.4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112</v>
      </c>
      <c r="D14643" s="5">
        <v>0.1</v>
      </c>
      <c r="E14643" s="5">
        <v>112.1</v>
      </c>
      <c r="F14643" s="5">
        <v>222.4</v>
      </c>
      <c r="G14643" s="5">
        <v>110.5</v>
      </c>
      <c r="H14643" s="5">
        <v>110.4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112</v>
      </c>
      <c r="D14644" s="5">
        <v>0.1</v>
      </c>
      <c r="E14644" s="5">
        <v>112.1</v>
      </c>
      <c r="F14644" s="5">
        <v>222.4</v>
      </c>
      <c r="G14644" s="5">
        <v>110.5</v>
      </c>
      <c r="H14644" s="5">
        <v>110.4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112</v>
      </c>
      <c r="D14645" s="5">
        <v>0.1</v>
      </c>
      <c r="E14645" s="5">
        <v>112.1</v>
      </c>
      <c r="F14645" s="5">
        <v>222.4</v>
      </c>
      <c r="G14645" s="5">
        <v>110.5</v>
      </c>
      <c r="H14645" s="5">
        <v>110.4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112</v>
      </c>
      <c r="D14646" s="5">
        <v>0.1</v>
      </c>
      <c r="E14646" s="5">
        <v>112.1</v>
      </c>
      <c r="F14646" s="5">
        <v>222.4</v>
      </c>
      <c r="G14646" s="5">
        <v>110.5</v>
      </c>
      <c r="H14646" s="5">
        <v>110.4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112</v>
      </c>
      <c r="D14647" s="5">
        <v>0.1</v>
      </c>
      <c r="E14647" s="5">
        <v>112.1</v>
      </c>
      <c r="F14647" s="5">
        <v>222.4</v>
      </c>
      <c r="G14647" s="5">
        <v>110.5</v>
      </c>
      <c r="H14647" s="5">
        <v>110.4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112</v>
      </c>
      <c r="D14648" s="5">
        <v>0.1</v>
      </c>
      <c r="E14648" s="5">
        <v>112.1</v>
      </c>
      <c r="F14648" s="5">
        <v>222.4</v>
      </c>
      <c r="G14648" s="5">
        <v>110.5</v>
      </c>
      <c r="H14648" s="5">
        <v>110.4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112</v>
      </c>
      <c r="D14649" s="5">
        <v>0.1</v>
      </c>
      <c r="E14649" s="5">
        <v>112.1</v>
      </c>
      <c r="F14649" s="5">
        <v>222.4</v>
      </c>
      <c r="G14649" s="5">
        <v>110.5</v>
      </c>
      <c r="H14649" s="5">
        <v>110.4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112</v>
      </c>
      <c r="D14650" s="5">
        <v>0.1</v>
      </c>
      <c r="E14650" s="5">
        <v>112.1</v>
      </c>
      <c r="F14650" s="5">
        <v>222.4</v>
      </c>
      <c r="G14650" s="5">
        <v>110.5</v>
      </c>
      <c r="H14650" s="5">
        <v>110.4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112</v>
      </c>
      <c r="D14651" s="5">
        <v>0.1</v>
      </c>
      <c r="E14651" s="5">
        <v>112.1</v>
      </c>
      <c r="F14651" s="5">
        <v>222.4</v>
      </c>
      <c r="G14651" s="5">
        <v>110.5</v>
      </c>
      <c r="H14651" s="5">
        <v>110.4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112</v>
      </c>
      <c r="D14652" s="5">
        <v>0.1</v>
      </c>
      <c r="E14652" s="5">
        <v>112.1</v>
      </c>
      <c r="F14652" s="5">
        <v>222.4</v>
      </c>
      <c r="G14652" s="5">
        <v>110.5</v>
      </c>
      <c r="H14652" s="5">
        <v>110.4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112</v>
      </c>
      <c r="D14653" s="5">
        <v>0.1</v>
      </c>
      <c r="E14653" s="5">
        <v>112.1</v>
      </c>
      <c r="F14653" s="5">
        <v>222.4</v>
      </c>
      <c r="G14653" s="5">
        <v>110.5</v>
      </c>
      <c r="H14653" s="5">
        <v>110.4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112</v>
      </c>
      <c r="D14654" s="5">
        <v>0.1</v>
      </c>
      <c r="E14654" s="5">
        <v>112.1</v>
      </c>
      <c r="F14654" s="5">
        <v>222.4</v>
      </c>
      <c r="G14654" s="5">
        <v>110.5</v>
      </c>
      <c r="H14654" s="5">
        <v>110.4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112</v>
      </c>
      <c r="D14655" s="5">
        <v>0.1</v>
      </c>
      <c r="E14655" s="5">
        <v>112.1</v>
      </c>
      <c r="F14655" s="5">
        <v>222.4</v>
      </c>
      <c r="G14655" s="5">
        <v>110.5</v>
      </c>
      <c r="H14655" s="5">
        <v>110.4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112</v>
      </c>
      <c r="D14656" s="5">
        <v>0.1</v>
      </c>
      <c r="E14656" s="5">
        <v>112.1</v>
      </c>
      <c r="F14656" s="5">
        <v>222.4</v>
      </c>
      <c r="G14656" s="5">
        <v>110.5</v>
      </c>
      <c r="H14656" s="5">
        <v>110.4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112</v>
      </c>
      <c r="D14657" s="5">
        <v>0.1</v>
      </c>
      <c r="E14657" s="5">
        <v>112.1</v>
      </c>
      <c r="F14657" s="5">
        <v>222.4</v>
      </c>
      <c r="G14657" s="5">
        <v>110.5</v>
      </c>
      <c r="H14657" s="5">
        <v>110.4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112</v>
      </c>
      <c r="D14658" s="5">
        <v>0.1</v>
      </c>
      <c r="E14658" s="5">
        <v>112.1</v>
      </c>
      <c r="F14658" s="5">
        <v>222.4</v>
      </c>
      <c r="G14658" s="5">
        <v>110.5</v>
      </c>
      <c r="H14658" s="5">
        <v>110.4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112</v>
      </c>
      <c r="D14659" s="5">
        <v>0.1</v>
      </c>
      <c r="E14659" s="5">
        <v>112.1</v>
      </c>
      <c r="F14659" s="5">
        <v>222.4</v>
      </c>
      <c r="G14659" s="5">
        <v>110.5</v>
      </c>
      <c r="H14659" s="5">
        <v>110.4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112</v>
      </c>
      <c r="D14660" s="5">
        <v>0.1</v>
      </c>
      <c r="E14660" s="5">
        <v>112.1</v>
      </c>
      <c r="F14660" s="5">
        <v>222.4</v>
      </c>
      <c r="G14660" s="5">
        <v>110.5</v>
      </c>
      <c r="H14660" s="5">
        <v>110.4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112</v>
      </c>
      <c r="D14661" s="5">
        <v>0.1</v>
      </c>
      <c r="E14661" s="5">
        <v>112.1</v>
      </c>
      <c r="F14661" s="5">
        <v>222.4</v>
      </c>
      <c r="G14661" s="5">
        <v>110.5</v>
      </c>
      <c r="H14661" s="5">
        <v>110.4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112</v>
      </c>
      <c r="D14662" s="5">
        <v>0.1</v>
      </c>
      <c r="E14662" s="5">
        <v>112.1</v>
      </c>
      <c r="F14662" s="5">
        <v>222.4</v>
      </c>
      <c r="G14662" s="5">
        <v>110.5</v>
      </c>
      <c r="H14662" s="5">
        <v>110.4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112</v>
      </c>
      <c r="D14663" s="5">
        <v>0.1</v>
      </c>
      <c r="E14663" s="5">
        <v>112.1</v>
      </c>
      <c r="F14663" s="5">
        <v>222.4</v>
      </c>
      <c r="G14663" s="5">
        <v>110.5</v>
      </c>
      <c r="H14663" s="5">
        <v>110.4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112</v>
      </c>
      <c r="D14664" s="5">
        <v>0.1</v>
      </c>
      <c r="E14664" s="5">
        <v>112.1</v>
      </c>
      <c r="F14664" s="5">
        <v>222.4</v>
      </c>
      <c r="G14664" s="5">
        <v>110.5</v>
      </c>
      <c r="H14664" s="5">
        <v>110.4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112</v>
      </c>
      <c r="D14665" s="5">
        <v>0.1</v>
      </c>
      <c r="E14665" s="5">
        <v>112.1</v>
      </c>
      <c r="F14665" s="5">
        <v>222.4</v>
      </c>
      <c r="G14665" s="5">
        <v>110.5</v>
      </c>
      <c r="H14665" s="5">
        <v>110.4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112</v>
      </c>
      <c r="D14666" s="5">
        <v>0.1</v>
      </c>
      <c r="E14666" s="5">
        <v>112.1</v>
      </c>
      <c r="F14666" s="5">
        <v>222.4</v>
      </c>
      <c r="G14666" s="5">
        <v>110.5</v>
      </c>
      <c r="H14666" s="5">
        <v>110.4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112</v>
      </c>
      <c r="D14667" s="5">
        <v>0.1</v>
      </c>
      <c r="E14667" s="5">
        <v>112.1</v>
      </c>
      <c r="F14667" s="5">
        <v>222.4</v>
      </c>
      <c r="G14667" s="5">
        <v>110.5</v>
      </c>
      <c r="H14667" s="5">
        <v>110.4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112</v>
      </c>
      <c r="D14668" s="5">
        <v>0.1</v>
      </c>
      <c r="E14668" s="5">
        <v>112.1</v>
      </c>
      <c r="F14668" s="5">
        <v>222.4</v>
      </c>
      <c r="G14668" s="5">
        <v>110.5</v>
      </c>
      <c r="H14668" s="5">
        <v>110.4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112</v>
      </c>
      <c r="D14669" s="5">
        <v>0.1</v>
      </c>
      <c r="E14669" s="5">
        <v>112.1</v>
      </c>
      <c r="F14669" s="5">
        <v>222.4</v>
      </c>
      <c r="G14669" s="5">
        <v>110.5</v>
      </c>
      <c r="H14669" s="5">
        <v>110.4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112</v>
      </c>
      <c r="D14670" s="5">
        <v>0.1</v>
      </c>
      <c r="E14670" s="5">
        <v>112.1</v>
      </c>
      <c r="F14670" s="5">
        <v>222.4</v>
      </c>
      <c r="G14670" s="5">
        <v>110.5</v>
      </c>
      <c r="H14670" s="5">
        <v>110.4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112</v>
      </c>
      <c r="D14671" s="5">
        <v>0.1</v>
      </c>
      <c r="E14671" s="5">
        <v>112.1</v>
      </c>
      <c r="F14671" s="5">
        <v>222.4</v>
      </c>
      <c r="G14671" s="5">
        <v>110.5</v>
      </c>
      <c r="H14671" s="5">
        <v>110.4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112</v>
      </c>
      <c r="D14672" s="5">
        <v>0.1</v>
      </c>
      <c r="E14672" s="5">
        <v>112.1</v>
      </c>
      <c r="F14672" s="5">
        <v>222.4</v>
      </c>
      <c r="G14672" s="5">
        <v>110.5</v>
      </c>
      <c r="H14672" s="5">
        <v>110.4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112</v>
      </c>
      <c r="D14673" s="5">
        <v>0.1</v>
      </c>
      <c r="E14673" s="5">
        <v>112.1</v>
      </c>
      <c r="F14673" s="5">
        <v>222.4</v>
      </c>
      <c r="G14673" s="5">
        <v>110.5</v>
      </c>
      <c r="H14673" s="5">
        <v>110.4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112</v>
      </c>
      <c r="D14674" s="5">
        <v>0.1</v>
      </c>
      <c r="E14674" s="5">
        <v>112.1</v>
      </c>
      <c r="F14674" s="5">
        <v>222.4</v>
      </c>
      <c r="G14674" s="5">
        <v>110.5</v>
      </c>
      <c r="H14674" s="5">
        <v>110.4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112</v>
      </c>
      <c r="D14675" s="5">
        <v>0.1</v>
      </c>
      <c r="E14675" s="5">
        <v>112.1</v>
      </c>
      <c r="F14675" s="5">
        <v>222.4</v>
      </c>
      <c r="G14675" s="5">
        <v>110.5</v>
      </c>
      <c r="H14675" s="5">
        <v>110.4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112</v>
      </c>
      <c r="D14676" s="5">
        <v>0.1</v>
      </c>
      <c r="E14676" s="5">
        <v>112.1</v>
      </c>
      <c r="F14676" s="5">
        <v>222.4</v>
      </c>
      <c r="G14676" s="5">
        <v>110.5</v>
      </c>
      <c r="H14676" s="5">
        <v>110.4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112</v>
      </c>
      <c r="D14677" s="5">
        <v>0.1</v>
      </c>
      <c r="E14677" s="5">
        <v>112.1</v>
      </c>
      <c r="F14677" s="5">
        <v>222.4</v>
      </c>
      <c r="G14677" s="5">
        <v>110.5</v>
      </c>
      <c r="H14677" s="5">
        <v>110.4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112</v>
      </c>
      <c r="D14678" s="5">
        <v>0.1</v>
      </c>
      <c r="E14678" s="5">
        <v>112.1</v>
      </c>
      <c r="F14678" s="5">
        <v>222.4</v>
      </c>
      <c r="G14678" s="5">
        <v>110.5</v>
      </c>
      <c r="H14678" s="5">
        <v>110.4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112</v>
      </c>
      <c r="D14679" s="5">
        <v>0.1</v>
      </c>
      <c r="E14679" s="5">
        <v>112.1</v>
      </c>
      <c r="F14679" s="5">
        <v>222.4</v>
      </c>
      <c r="G14679" s="5">
        <v>110.5</v>
      </c>
      <c r="H14679" s="5">
        <v>110.4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112</v>
      </c>
      <c r="D14680" s="5">
        <v>0.1</v>
      </c>
      <c r="E14680" s="5">
        <v>112.1</v>
      </c>
      <c r="F14680" s="5">
        <v>222.4</v>
      </c>
      <c r="G14680" s="5">
        <v>110.5</v>
      </c>
      <c r="H14680" s="5">
        <v>110.4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112</v>
      </c>
      <c r="D14681" s="5">
        <v>0.1</v>
      </c>
      <c r="E14681" s="5">
        <v>112.1</v>
      </c>
      <c r="F14681" s="5">
        <v>222.4</v>
      </c>
      <c r="G14681" s="5">
        <v>110.5</v>
      </c>
      <c r="H14681" s="5">
        <v>110.4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112</v>
      </c>
      <c r="D14682" s="5">
        <v>0.1</v>
      </c>
      <c r="E14682" s="5">
        <v>112.1</v>
      </c>
      <c r="F14682" s="5">
        <v>222.4</v>
      </c>
      <c r="G14682" s="5">
        <v>110.5</v>
      </c>
      <c r="H14682" s="5">
        <v>110.4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112</v>
      </c>
      <c r="D14683" s="5">
        <v>0.1</v>
      </c>
      <c r="E14683" s="5">
        <v>112.1</v>
      </c>
      <c r="F14683" s="5">
        <v>222.4</v>
      </c>
      <c r="G14683" s="5">
        <v>110.5</v>
      </c>
      <c r="H14683" s="5">
        <v>110.4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112</v>
      </c>
      <c r="D14684" s="5">
        <v>0.1</v>
      </c>
      <c r="E14684" s="5">
        <v>112.1</v>
      </c>
      <c r="F14684" s="5">
        <v>222.4</v>
      </c>
      <c r="G14684" s="5">
        <v>110.5</v>
      </c>
      <c r="H14684" s="5">
        <v>110.4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112</v>
      </c>
      <c r="D14685" s="5">
        <v>0.1</v>
      </c>
      <c r="E14685" s="5">
        <v>112.1</v>
      </c>
      <c r="F14685" s="5">
        <v>222.4</v>
      </c>
      <c r="G14685" s="5">
        <v>110.5</v>
      </c>
      <c r="H14685" s="5">
        <v>110.4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112</v>
      </c>
      <c r="D14686" s="5">
        <v>0.1</v>
      </c>
      <c r="E14686" s="5">
        <v>112.1</v>
      </c>
      <c r="F14686" s="5">
        <v>222.4</v>
      </c>
      <c r="G14686" s="5">
        <v>110.5</v>
      </c>
      <c r="H14686" s="5">
        <v>110.4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112</v>
      </c>
      <c r="D14687" s="5">
        <v>0.1</v>
      </c>
      <c r="E14687" s="5">
        <v>112.1</v>
      </c>
      <c r="F14687" s="5">
        <v>222.4</v>
      </c>
      <c r="G14687" s="5">
        <v>110.5</v>
      </c>
      <c r="H14687" s="5">
        <v>110.4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112</v>
      </c>
      <c r="D14688" s="5">
        <v>0.1</v>
      </c>
      <c r="E14688" s="5">
        <v>112.1</v>
      </c>
      <c r="F14688" s="5">
        <v>222.4</v>
      </c>
      <c r="G14688" s="5">
        <v>110.5</v>
      </c>
      <c r="H14688" s="5">
        <v>110.4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112</v>
      </c>
      <c r="D14689" s="5">
        <v>0.1</v>
      </c>
      <c r="E14689" s="5">
        <v>112.1</v>
      </c>
      <c r="F14689" s="5">
        <v>222.4</v>
      </c>
      <c r="G14689" s="5">
        <v>110.5</v>
      </c>
      <c r="H14689" s="5">
        <v>110.4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112</v>
      </c>
      <c r="D14690" s="5">
        <v>0.1</v>
      </c>
      <c r="E14690" s="5">
        <v>112.1</v>
      </c>
      <c r="F14690" s="5">
        <v>222.4</v>
      </c>
      <c r="G14690" s="5">
        <v>110.5</v>
      </c>
      <c r="H14690" s="5">
        <v>110.4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112</v>
      </c>
      <c r="D14691" s="5">
        <v>0.1</v>
      </c>
      <c r="E14691" s="5">
        <v>112.1</v>
      </c>
      <c r="F14691" s="5">
        <v>222.4</v>
      </c>
      <c r="G14691" s="5">
        <v>110.5</v>
      </c>
      <c r="H14691" s="5">
        <v>110.4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112</v>
      </c>
      <c r="D14692" s="5">
        <v>0.1</v>
      </c>
      <c r="E14692" s="5">
        <v>112.1</v>
      </c>
      <c r="F14692" s="5">
        <v>222.4</v>
      </c>
      <c r="G14692" s="5">
        <v>110.5</v>
      </c>
      <c r="H14692" s="5">
        <v>110.4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112</v>
      </c>
      <c r="D14693" s="5">
        <v>0.1</v>
      </c>
      <c r="E14693" s="5">
        <v>112.1</v>
      </c>
      <c r="F14693" s="5">
        <v>222.4</v>
      </c>
      <c r="G14693" s="5">
        <v>110.5</v>
      </c>
      <c r="H14693" s="5">
        <v>110.4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112</v>
      </c>
      <c r="D14694" s="5">
        <v>0.1</v>
      </c>
      <c r="E14694" s="5">
        <v>112.1</v>
      </c>
      <c r="F14694" s="5">
        <v>222.4</v>
      </c>
      <c r="G14694" s="5">
        <v>110.5</v>
      </c>
      <c r="H14694" s="5">
        <v>110.4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112</v>
      </c>
      <c r="D14695" s="5">
        <v>0.1</v>
      </c>
      <c r="E14695" s="5">
        <v>112.1</v>
      </c>
      <c r="F14695" s="5">
        <v>222.4</v>
      </c>
      <c r="G14695" s="5">
        <v>110.5</v>
      </c>
      <c r="H14695" s="5">
        <v>110.4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112</v>
      </c>
      <c r="D14696" s="5">
        <v>0.1</v>
      </c>
      <c r="E14696" s="5">
        <v>112.1</v>
      </c>
      <c r="F14696" s="5">
        <v>222.4</v>
      </c>
      <c r="G14696" s="5">
        <v>110.5</v>
      </c>
      <c r="H14696" s="5">
        <v>110.4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112</v>
      </c>
      <c r="D14697" s="5">
        <v>0.1</v>
      </c>
      <c r="E14697" s="5">
        <v>112.1</v>
      </c>
      <c r="F14697" s="5">
        <v>222.4</v>
      </c>
      <c r="G14697" s="5">
        <v>110.5</v>
      </c>
      <c r="H14697" s="5">
        <v>110.4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112</v>
      </c>
      <c r="D14698" s="5">
        <v>0.1</v>
      </c>
      <c r="E14698" s="5">
        <v>112.1</v>
      </c>
      <c r="F14698" s="5">
        <v>222.4</v>
      </c>
      <c r="G14698" s="5">
        <v>110.5</v>
      </c>
      <c r="H14698" s="5">
        <v>110.4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112</v>
      </c>
      <c r="D14699" s="5">
        <v>0.1</v>
      </c>
      <c r="E14699" s="5">
        <v>112.1</v>
      </c>
      <c r="F14699" s="5">
        <v>222.4</v>
      </c>
      <c r="G14699" s="5">
        <v>110.5</v>
      </c>
      <c r="H14699" s="5">
        <v>110.4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112</v>
      </c>
      <c r="D14700" s="5">
        <v>0.1</v>
      </c>
      <c r="E14700" s="5">
        <v>112.1</v>
      </c>
      <c r="F14700" s="5">
        <v>222.4</v>
      </c>
      <c r="G14700" s="5">
        <v>110.5</v>
      </c>
      <c r="H14700" s="5">
        <v>110.4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112</v>
      </c>
      <c r="D14701" s="5">
        <v>0.1</v>
      </c>
      <c r="E14701" s="5">
        <v>112.1</v>
      </c>
      <c r="F14701" s="5">
        <v>222.4</v>
      </c>
      <c r="G14701" s="5">
        <v>110.5</v>
      </c>
      <c r="H14701" s="5">
        <v>110.4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112</v>
      </c>
      <c r="D14702" s="5">
        <v>0.1</v>
      </c>
      <c r="E14702" s="5">
        <v>112.1</v>
      </c>
      <c r="F14702" s="5">
        <v>222.4</v>
      </c>
      <c r="G14702" s="5">
        <v>110.5</v>
      </c>
      <c r="H14702" s="5">
        <v>110.4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112</v>
      </c>
      <c r="D14703" s="5">
        <v>0.1</v>
      </c>
      <c r="E14703" s="5">
        <v>112.1</v>
      </c>
      <c r="F14703" s="5">
        <v>222.4</v>
      </c>
      <c r="G14703" s="5">
        <v>110.5</v>
      </c>
      <c r="H14703" s="5">
        <v>110.4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112</v>
      </c>
      <c r="D14704" s="5">
        <v>0.1</v>
      </c>
      <c r="E14704" s="5">
        <v>112.1</v>
      </c>
      <c r="F14704" s="5">
        <v>222.4</v>
      </c>
      <c r="G14704" s="5">
        <v>110.5</v>
      </c>
      <c r="H14704" s="5">
        <v>110.4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112</v>
      </c>
      <c r="D14705" s="5">
        <v>0.1</v>
      </c>
      <c r="E14705" s="5">
        <v>112.1</v>
      </c>
      <c r="F14705" s="5">
        <v>222.4</v>
      </c>
      <c r="G14705" s="5">
        <v>110.5</v>
      </c>
      <c r="H14705" s="5">
        <v>110.4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112</v>
      </c>
      <c r="D14706" s="5">
        <v>0.1</v>
      </c>
      <c r="E14706" s="5">
        <v>112.1</v>
      </c>
      <c r="F14706" s="5">
        <v>222.4</v>
      </c>
      <c r="G14706" s="5">
        <v>110.5</v>
      </c>
      <c r="H14706" s="5">
        <v>110.4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112</v>
      </c>
      <c r="D14707" s="5">
        <v>0.1</v>
      </c>
      <c r="E14707" s="5">
        <v>112.1</v>
      </c>
      <c r="F14707" s="5">
        <v>222.4</v>
      </c>
      <c r="G14707" s="5">
        <v>110.5</v>
      </c>
      <c r="H14707" s="5">
        <v>110.4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112</v>
      </c>
      <c r="D14708" s="5">
        <v>0.1</v>
      </c>
      <c r="E14708" s="5">
        <v>112.1</v>
      </c>
      <c r="F14708" s="5">
        <v>222.4</v>
      </c>
      <c r="G14708" s="5">
        <v>110.5</v>
      </c>
      <c r="H14708" s="5">
        <v>110.4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112</v>
      </c>
      <c r="D14709" s="5">
        <v>0.1</v>
      </c>
      <c r="E14709" s="5">
        <v>112.1</v>
      </c>
      <c r="F14709" s="5">
        <v>222.4</v>
      </c>
      <c r="G14709" s="5">
        <v>110.5</v>
      </c>
      <c r="H14709" s="5">
        <v>110.4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112</v>
      </c>
      <c r="D14710" s="5">
        <v>0.1</v>
      </c>
      <c r="E14710" s="5">
        <v>112.1</v>
      </c>
      <c r="F14710" s="5">
        <v>222.4</v>
      </c>
      <c r="G14710" s="5">
        <v>110.5</v>
      </c>
      <c r="H14710" s="5">
        <v>110.4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112</v>
      </c>
      <c r="D14711" s="5">
        <v>0.1</v>
      </c>
      <c r="E14711" s="5">
        <v>112.1</v>
      </c>
      <c r="F14711" s="5">
        <v>222.4</v>
      </c>
      <c r="G14711" s="5">
        <v>110.5</v>
      </c>
      <c r="H14711" s="5">
        <v>110.4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112</v>
      </c>
      <c r="D14712" s="5">
        <v>0.1</v>
      </c>
      <c r="E14712" s="5">
        <v>112.1</v>
      </c>
      <c r="F14712" s="5">
        <v>222.4</v>
      </c>
      <c r="G14712" s="5">
        <v>110.5</v>
      </c>
      <c r="H14712" s="5">
        <v>110.4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112</v>
      </c>
      <c r="D14713" s="5">
        <v>0.1</v>
      </c>
      <c r="E14713" s="5">
        <v>112.1</v>
      </c>
      <c r="F14713" s="5">
        <v>222.4</v>
      </c>
      <c r="G14713" s="5">
        <v>110.5</v>
      </c>
      <c r="H14713" s="5">
        <v>110.4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112</v>
      </c>
      <c r="D14714" s="5">
        <v>0.1</v>
      </c>
      <c r="E14714" s="5">
        <v>112.1</v>
      </c>
      <c r="F14714" s="5">
        <v>222.4</v>
      </c>
      <c r="G14714" s="5">
        <v>110.5</v>
      </c>
      <c r="H14714" s="5">
        <v>110.4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112</v>
      </c>
      <c r="D14715" s="5">
        <v>0.1</v>
      </c>
      <c r="E14715" s="5">
        <v>112.1</v>
      </c>
      <c r="F14715" s="5">
        <v>222.4</v>
      </c>
      <c r="G14715" s="5">
        <v>110.5</v>
      </c>
      <c r="H14715" s="5">
        <v>110.4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112</v>
      </c>
      <c r="D14716" s="5">
        <v>0.1</v>
      </c>
      <c r="E14716" s="5">
        <v>112.1</v>
      </c>
      <c r="F14716" s="5">
        <v>222.4</v>
      </c>
      <c r="G14716" s="5">
        <v>110.5</v>
      </c>
      <c r="H14716" s="5">
        <v>110.4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112</v>
      </c>
      <c r="D14717" s="5">
        <v>0.1</v>
      </c>
      <c r="E14717" s="5">
        <v>112.1</v>
      </c>
      <c r="F14717" s="5">
        <v>222.4</v>
      </c>
      <c r="G14717" s="5">
        <v>110.5</v>
      </c>
      <c r="H14717" s="5">
        <v>110.4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112</v>
      </c>
      <c r="D14718" s="5">
        <v>0.1</v>
      </c>
      <c r="E14718" s="5">
        <v>112.1</v>
      </c>
      <c r="F14718" s="5">
        <v>222.4</v>
      </c>
      <c r="G14718" s="5">
        <v>110.5</v>
      </c>
      <c r="H14718" s="5">
        <v>110.4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112</v>
      </c>
      <c r="D14719" s="5">
        <v>0.1</v>
      </c>
      <c r="E14719" s="5">
        <v>112.1</v>
      </c>
      <c r="F14719" s="5">
        <v>222.4</v>
      </c>
      <c r="G14719" s="5">
        <v>110.5</v>
      </c>
      <c r="H14719" s="5">
        <v>110.4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112</v>
      </c>
      <c r="D14720" s="5">
        <v>0.1</v>
      </c>
      <c r="E14720" s="5">
        <v>112.1</v>
      </c>
      <c r="F14720" s="5">
        <v>222.4</v>
      </c>
      <c r="G14720" s="5">
        <v>110.5</v>
      </c>
      <c r="H14720" s="5">
        <v>110.4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112</v>
      </c>
      <c r="D14721" s="5">
        <v>0.1</v>
      </c>
      <c r="E14721" s="5">
        <v>112.1</v>
      </c>
      <c r="F14721" s="5">
        <v>222.4</v>
      </c>
      <c r="G14721" s="5">
        <v>110.5</v>
      </c>
      <c r="H14721" s="5">
        <v>110.4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112</v>
      </c>
      <c r="D14722" s="5">
        <v>0.1</v>
      </c>
      <c r="E14722" s="5">
        <v>112.1</v>
      </c>
      <c r="F14722" s="5">
        <v>222.4</v>
      </c>
      <c r="G14722" s="5">
        <v>110.5</v>
      </c>
      <c r="H14722" s="5">
        <v>110.4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112</v>
      </c>
      <c r="D14723" s="5">
        <v>0.1</v>
      </c>
      <c r="E14723" s="5">
        <v>112.1</v>
      </c>
      <c r="F14723" s="5">
        <v>222.4</v>
      </c>
      <c r="G14723" s="5">
        <v>110.5</v>
      </c>
      <c r="H14723" s="5">
        <v>110.4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112</v>
      </c>
      <c r="D14724" s="5">
        <v>0.1</v>
      </c>
      <c r="E14724" s="5">
        <v>112.1</v>
      </c>
      <c r="F14724" s="5">
        <v>222.4</v>
      </c>
      <c r="G14724" s="5">
        <v>110.5</v>
      </c>
      <c r="H14724" s="5">
        <v>110.4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112</v>
      </c>
      <c r="D14725" s="5">
        <v>0.1</v>
      </c>
      <c r="E14725" s="5">
        <v>112.1</v>
      </c>
      <c r="F14725" s="5">
        <v>222.4</v>
      </c>
      <c r="G14725" s="5">
        <v>110.5</v>
      </c>
      <c r="H14725" s="5">
        <v>110.4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112</v>
      </c>
      <c r="D14726" s="5">
        <v>0.1</v>
      </c>
      <c r="E14726" s="5">
        <v>112.1</v>
      </c>
      <c r="F14726" s="5">
        <v>222.4</v>
      </c>
      <c r="G14726" s="5">
        <v>110.5</v>
      </c>
      <c r="H14726" s="5">
        <v>110.4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112</v>
      </c>
      <c r="D14727" s="5">
        <v>0.1</v>
      </c>
      <c r="E14727" s="5">
        <v>112.1</v>
      </c>
      <c r="F14727" s="5">
        <v>222.4</v>
      </c>
      <c r="G14727" s="5">
        <v>110.5</v>
      </c>
      <c r="H14727" s="5">
        <v>110.4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112</v>
      </c>
      <c r="D14728" s="5">
        <v>0.1</v>
      </c>
      <c r="E14728" s="5">
        <v>112.1</v>
      </c>
      <c r="F14728" s="5">
        <v>222.4</v>
      </c>
      <c r="G14728" s="5">
        <v>110.5</v>
      </c>
      <c r="H14728" s="5">
        <v>110.4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112</v>
      </c>
      <c r="D14729" s="5">
        <v>0.1</v>
      </c>
      <c r="E14729" s="5">
        <v>112.1</v>
      </c>
      <c r="F14729" s="5">
        <v>222.4</v>
      </c>
      <c r="G14729" s="5">
        <v>110.5</v>
      </c>
      <c r="H14729" s="5">
        <v>110.4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112</v>
      </c>
      <c r="D14730" s="5">
        <v>0.1</v>
      </c>
      <c r="E14730" s="5">
        <v>112.1</v>
      </c>
      <c r="F14730" s="5">
        <v>222.4</v>
      </c>
      <c r="G14730" s="5">
        <v>110.5</v>
      </c>
      <c r="H14730" s="5">
        <v>110.4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112</v>
      </c>
      <c r="D14731" s="5">
        <v>0.1</v>
      </c>
      <c r="E14731" s="5">
        <v>112.1</v>
      </c>
      <c r="F14731" s="5">
        <v>222.4</v>
      </c>
      <c r="G14731" s="5">
        <v>110.5</v>
      </c>
      <c r="H14731" s="5">
        <v>110.4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112</v>
      </c>
      <c r="D14732" s="5">
        <v>0.1</v>
      </c>
      <c r="E14732" s="5">
        <v>112.1</v>
      </c>
      <c r="F14732" s="5">
        <v>222.4</v>
      </c>
      <c r="G14732" s="5">
        <v>110.5</v>
      </c>
      <c r="H14732" s="5">
        <v>110.4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112</v>
      </c>
      <c r="D14733" s="5">
        <v>0.1</v>
      </c>
      <c r="E14733" s="5">
        <v>112.1</v>
      </c>
      <c r="F14733" s="5">
        <v>222.4</v>
      </c>
      <c r="G14733" s="5">
        <v>110.5</v>
      </c>
      <c r="H14733" s="5">
        <v>110.4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112</v>
      </c>
      <c r="D14734" s="5">
        <v>0.1</v>
      </c>
      <c r="E14734" s="5">
        <v>112.1</v>
      </c>
      <c r="F14734" s="5">
        <v>222.4</v>
      </c>
      <c r="G14734" s="5">
        <v>110.5</v>
      </c>
      <c r="H14734" s="5">
        <v>110.4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112</v>
      </c>
      <c r="D14735" s="5">
        <v>0.1</v>
      </c>
      <c r="E14735" s="5">
        <v>112.1</v>
      </c>
      <c r="F14735" s="5">
        <v>222.4</v>
      </c>
      <c r="G14735" s="5">
        <v>110.5</v>
      </c>
      <c r="H14735" s="5">
        <v>110.4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112</v>
      </c>
      <c r="D14736" s="5">
        <v>0.1</v>
      </c>
      <c r="E14736" s="5">
        <v>112.1</v>
      </c>
      <c r="F14736" s="5">
        <v>222.4</v>
      </c>
      <c r="G14736" s="5">
        <v>110.5</v>
      </c>
      <c r="H14736" s="5">
        <v>110.4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112</v>
      </c>
      <c r="D14737" s="5">
        <v>0.1</v>
      </c>
      <c r="E14737" s="5">
        <v>112.1</v>
      </c>
      <c r="F14737" s="5">
        <v>222.4</v>
      </c>
      <c r="G14737" s="5">
        <v>110.5</v>
      </c>
      <c r="H14737" s="5">
        <v>110.4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112</v>
      </c>
      <c r="D14738" s="5">
        <v>0.1</v>
      </c>
      <c r="E14738" s="5">
        <v>112.1</v>
      </c>
      <c r="F14738" s="5">
        <v>222.4</v>
      </c>
      <c r="G14738" s="5">
        <v>110.5</v>
      </c>
      <c r="H14738" s="5">
        <v>110.4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112</v>
      </c>
      <c r="D14739" s="5">
        <v>0.1</v>
      </c>
      <c r="E14739" s="5">
        <v>112.1</v>
      </c>
      <c r="F14739" s="5">
        <v>222.4</v>
      </c>
      <c r="G14739" s="5">
        <v>110.5</v>
      </c>
      <c r="H14739" s="5">
        <v>110.4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112</v>
      </c>
      <c r="D14740" s="5">
        <v>0.1</v>
      </c>
      <c r="E14740" s="5">
        <v>112.1</v>
      </c>
      <c r="F14740" s="5">
        <v>222.4</v>
      </c>
      <c r="G14740" s="5">
        <v>110.5</v>
      </c>
      <c r="H14740" s="5">
        <v>110.4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112</v>
      </c>
      <c r="D14741" s="5">
        <v>0.1</v>
      </c>
      <c r="E14741" s="5">
        <v>112.1</v>
      </c>
      <c r="F14741" s="5">
        <v>222.4</v>
      </c>
      <c r="G14741" s="5">
        <v>110.5</v>
      </c>
      <c r="H14741" s="5">
        <v>110.4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112</v>
      </c>
      <c r="D14742" s="5">
        <v>0.1</v>
      </c>
      <c r="E14742" s="5">
        <v>112.1</v>
      </c>
      <c r="F14742" s="5">
        <v>222.4</v>
      </c>
      <c r="G14742" s="5">
        <v>110.5</v>
      </c>
      <c r="H14742" s="5">
        <v>110.4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112</v>
      </c>
      <c r="D14743" s="5">
        <v>0.1</v>
      </c>
      <c r="E14743" s="5">
        <v>112.1</v>
      </c>
      <c r="F14743" s="5">
        <v>222.4</v>
      </c>
      <c r="G14743" s="5">
        <v>110.5</v>
      </c>
      <c r="H14743" s="5">
        <v>110.4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112</v>
      </c>
      <c r="D14744" s="5">
        <v>0.1</v>
      </c>
      <c r="E14744" s="5">
        <v>112.1</v>
      </c>
      <c r="F14744" s="5">
        <v>222.4</v>
      </c>
      <c r="G14744" s="5">
        <v>110.5</v>
      </c>
      <c r="H14744" s="5">
        <v>110.4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112</v>
      </c>
      <c r="D14745" s="5">
        <v>0.1</v>
      </c>
      <c r="E14745" s="5">
        <v>112.1</v>
      </c>
      <c r="F14745" s="5">
        <v>222.4</v>
      </c>
      <c r="G14745" s="5">
        <v>110.5</v>
      </c>
      <c r="H14745" s="5">
        <v>110.4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112</v>
      </c>
      <c r="D14746" s="5">
        <v>0.1</v>
      </c>
      <c r="E14746" s="5">
        <v>112.1</v>
      </c>
      <c r="F14746" s="5">
        <v>222.4</v>
      </c>
      <c r="G14746" s="5">
        <v>110.5</v>
      </c>
      <c r="H14746" s="5">
        <v>110.4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112</v>
      </c>
      <c r="D14747" s="5">
        <v>0.1</v>
      </c>
      <c r="E14747" s="5">
        <v>112.1</v>
      </c>
      <c r="F14747" s="5">
        <v>222.4</v>
      </c>
      <c r="G14747" s="5">
        <v>110.5</v>
      </c>
      <c r="H14747" s="5">
        <v>110.4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112</v>
      </c>
      <c r="D14748" s="5">
        <v>0.1</v>
      </c>
      <c r="E14748" s="5">
        <v>112.1</v>
      </c>
      <c r="F14748" s="5">
        <v>222.4</v>
      </c>
      <c r="G14748" s="5">
        <v>110.5</v>
      </c>
      <c r="H14748" s="5">
        <v>110.4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112</v>
      </c>
      <c r="D14749" s="5">
        <v>0.1</v>
      </c>
      <c r="E14749" s="5">
        <v>112.1</v>
      </c>
      <c r="F14749" s="5">
        <v>222.4</v>
      </c>
      <c r="G14749" s="5">
        <v>110.5</v>
      </c>
      <c r="H14749" s="5">
        <v>110.4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112</v>
      </c>
      <c r="D14750" s="5">
        <v>0.1</v>
      </c>
      <c r="E14750" s="5">
        <v>112.1</v>
      </c>
      <c r="F14750" s="5">
        <v>222.4</v>
      </c>
      <c r="G14750" s="5">
        <v>110.5</v>
      </c>
      <c r="H14750" s="5">
        <v>110.4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112</v>
      </c>
      <c r="D14751" s="5">
        <v>0.1</v>
      </c>
      <c r="E14751" s="5">
        <v>112.1</v>
      </c>
      <c r="F14751" s="5">
        <v>222.4</v>
      </c>
      <c r="G14751" s="5">
        <v>110.5</v>
      </c>
      <c r="H14751" s="5">
        <v>110.4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112</v>
      </c>
      <c r="D14752" s="5">
        <v>0.1</v>
      </c>
      <c r="E14752" s="5">
        <v>112.1</v>
      </c>
      <c r="F14752" s="5">
        <v>222.4</v>
      </c>
      <c r="G14752" s="5">
        <v>110.5</v>
      </c>
      <c r="H14752" s="5">
        <v>110.4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112</v>
      </c>
      <c r="D14753" s="5">
        <v>0.1</v>
      </c>
      <c r="E14753" s="5">
        <v>112.1</v>
      </c>
      <c r="F14753" s="5">
        <v>222.4</v>
      </c>
      <c r="G14753" s="5">
        <v>110.5</v>
      </c>
      <c r="H14753" s="5">
        <v>110.4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112</v>
      </c>
      <c r="D14754" s="5">
        <v>0.1</v>
      </c>
      <c r="E14754" s="5">
        <v>112.1</v>
      </c>
      <c r="F14754" s="5">
        <v>222.4</v>
      </c>
      <c r="G14754" s="5">
        <v>110.5</v>
      </c>
      <c r="H14754" s="5">
        <v>110.4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112</v>
      </c>
      <c r="D14755" s="5">
        <v>0.1</v>
      </c>
      <c r="E14755" s="5">
        <v>112.1</v>
      </c>
      <c r="F14755" s="5">
        <v>222.4</v>
      </c>
      <c r="G14755" s="5">
        <v>110.5</v>
      </c>
      <c r="H14755" s="5">
        <v>110.4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112</v>
      </c>
      <c r="D14756" s="5">
        <v>0.1</v>
      </c>
      <c r="E14756" s="5">
        <v>112.1</v>
      </c>
      <c r="F14756" s="5">
        <v>222.4</v>
      </c>
      <c r="G14756" s="5">
        <v>110.5</v>
      </c>
      <c r="H14756" s="5">
        <v>110.4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112</v>
      </c>
      <c r="D14757" s="5">
        <v>0.1</v>
      </c>
      <c r="E14757" s="5">
        <v>112.1</v>
      </c>
      <c r="F14757" s="5">
        <v>222.4</v>
      </c>
      <c r="G14757" s="5">
        <v>110.5</v>
      </c>
      <c r="H14757" s="5">
        <v>110.4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112</v>
      </c>
      <c r="D14758" s="5">
        <v>0.1</v>
      </c>
      <c r="E14758" s="5">
        <v>112.1</v>
      </c>
      <c r="F14758" s="5">
        <v>222.4</v>
      </c>
      <c r="G14758" s="5">
        <v>110.5</v>
      </c>
      <c r="H14758" s="5">
        <v>110.4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112</v>
      </c>
      <c r="D14759" s="5">
        <v>0.1</v>
      </c>
      <c r="E14759" s="5">
        <v>112.1</v>
      </c>
      <c r="F14759" s="5">
        <v>222.4</v>
      </c>
      <c r="G14759" s="5">
        <v>110.5</v>
      </c>
      <c r="H14759" s="5">
        <v>110.4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112</v>
      </c>
      <c r="D14760" s="5">
        <v>0.1</v>
      </c>
      <c r="E14760" s="5">
        <v>112.1</v>
      </c>
      <c r="F14760" s="5">
        <v>222.4</v>
      </c>
      <c r="G14760" s="5">
        <v>110.5</v>
      </c>
      <c r="H14760" s="5">
        <v>110.4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112</v>
      </c>
      <c r="D14761" s="5">
        <v>0.1</v>
      </c>
      <c r="E14761" s="5">
        <v>112.1</v>
      </c>
      <c r="F14761" s="5">
        <v>222.4</v>
      </c>
      <c r="G14761" s="5">
        <v>110.5</v>
      </c>
      <c r="H14761" s="5">
        <v>110.4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112</v>
      </c>
      <c r="D14762" s="5">
        <v>0.1</v>
      </c>
      <c r="E14762" s="5">
        <v>112.1</v>
      </c>
      <c r="F14762" s="5">
        <v>222.4</v>
      </c>
      <c r="G14762" s="5">
        <v>110.5</v>
      </c>
      <c r="H14762" s="5">
        <v>110.4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112</v>
      </c>
      <c r="D14763" s="5">
        <v>0.1</v>
      </c>
      <c r="E14763" s="5">
        <v>112.1</v>
      </c>
      <c r="F14763" s="5">
        <v>222.4</v>
      </c>
      <c r="G14763" s="5">
        <v>110.5</v>
      </c>
      <c r="H14763" s="5">
        <v>110.4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112</v>
      </c>
      <c r="D14764" s="5">
        <v>0.1</v>
      </c>
      <c r="E14764" s="5">
        <v>112.1</v>
      </c>
      <c r="F14764" s="5">
        <v>222.4</v>
      </c>
      <c r="G14764" s="5">
        <v>110.5</v>
      </c>
      <c r="H14764" s="5">
        <v>110.4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112</v>
      </c>
      <c r="D14765" s="5">
        <v>0.1</v>
      </c>
      <c r="E14765" s="5">
        <v>112.1</v>
      </c>
      <c r="F14765" s="5">
        <v>222.4</v>
      </c>
      <c r="G14765" s="5">
        <v>110.5</v>
      </c>
      <c r="H14765" s="5">
        <v>110.4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112</v>
      </c>
      <c r="D14766" s="5">
        <v>0.1</v>
      </c>
      <c r="E14766" s="5">
        <v>112.1</v>
      </c>
      <c r="F14766" s="5">
        <v>222.4</v>
      </c>
      <c r="G14766" s="5">
        <v>110.5</v>
      </c>
      <c r="H14766" s="5">
        <v>110.4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112</v>
      </c>
      <c r="D14767" s="5">
        <v>0.1</v>
      </c>
      <c r="E14767" s="5">
        <v>112.1</v>
      </c>
      <c r="F14767" s="5">
        <v>222.4</v>
      </c>
      <c r="G14767" s="5">
        <v>110.5</v>
      </c>
      <c r="H14767" s="5">
        <v>110.4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112</v>
      </c>
      <c r="D14768" s="5">
        <v>0.1</v>
      </c>
      <c r="E14768" s="5">
        <v>112.1</v>
      </c>
      <c r="F14768" s="5">
        <v>222.4</v>
      </c>
      <c r="G14768" s="5">
        <v>110.5</v>
      </c>
      <c r="H14768" s="5">
        <v>110.4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112</v>
      </c>
      <c r="D14769" s="5">
        <v>0.1</v>
      </c>
      <c r="E14769" s="5">
        <v>112.1</v>
      </c>
      <c r="F14769" s="5">
        <v>222.4</v>
      </c>
      <c r="G14769" s="5">
        <v>110.5</v>
      </c>
      <c r="H14769" s="5">
        <v>110.4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112</v>
      </c>
      <c r="D14770" s="5">
        <v>0.1</v>
      </c>
      <c r="E14770" s="5">
        <v>112.1</v>
      </c>
      <c r="F14770" s="5">
        <v>222.4</v>
      </c>
      <c r="G14770" s="5">
        <v>110.5</v>
      </c>
      <c r="H14770" s="5">
        <v>110.4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112</v>
      </c>
      <c r="D14771" s="5">
        <v>0.1</v>
      </c>
      <c r="E14771" s="5">
        <v>112.1</v>
      </c>
      <c r="F14771" s="5">
        <v>222.4</v>
      </c>
      <c r="G14771" s="5">
        <v>110.5</v>
      </c>
      <c r="H14771" s="5">
        <v>110.4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112</v>
      </c>
      <c r="D14772" s="5">
        <v>0.1</v>
      </c>
      <c r="E14772" s="5">
        <v>112.1</v>
      </c>
      <c r="F14772" s="5">
        <v>222.4</v>
      </c>
      <c r="G14772" s="5">
        <v>110.5</v>
      </c>
      <c r="H14772" s="5">
        <v>110.4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112</v>
      </c>
      <c r="D14773" s="5">
        <v>0.1</v>
      </c>
      <c r="E14773" s="5">
        <v>112.1</v>
      </c>
      <c r="F14773" s="5">
        <v>222.4</v>
      </c>
      <c r="G14773" s="5">
        <v>110.5</v>
      </c>
      <c r="H14773" s="5">
        <v>110.4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112</v>
      </c>
      <c r="D14774" s="5">
        <v>0.1</v>
      </c>
      <c r="E14774" s="5">
        <v>112.1</v>
      </c>
      <c r="F14774" s="5">
        <v>222.4</v>
      </c>
      <c r="G14774" s="5">
        <v>110.5</v>
      </c>
      <c r="H14774" s="5">
        <v>110.4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112</v>
      </c>
      <c r="D14775" s="5">
        <v>0.1</v>
      </c>
      <c r="E14775" s="5">
        <v>112.1</v>
      </c>
      <c r="F14775" s="5">
        <v>222.4</v>
      </c>
      <c r="G14775" s="5">
        <v>110.5</v>
      </c>
      <c r="H14775" s="5">
        <v>110.4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112</v>
      </c>
      <c r="D14776" s="5">
        <v>0.1</v>
      </c>
      <c r="E14776" s="5">
        <v>112.1</v>
      </c>
      <c r="F14776" s="5">
        <v>222.4</v>
      </c>
      <c r="G14776" s="5">
        <v>110.5</v>
      </c>
      <c r="H14776" s="5">
        <v>110.4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112</v>
      </c>
      <c r="D14777" s="5">
        <v>0.1</v>
      </c>
      <c r="E14777" s="5">
        <v>112.1</v>
      </c>
      <c r="F14777" s="5">
        <v>222.4</v>
      </c>
      <c r="G14777" s="5">
        <v>110.5</v>
      </c>
      <c r="H14777" s="5">
        <v>110.4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112</v>
      </c>
      <c r="D14778" s="5">
        <v>0.1</v>
      </c>
      <c r="E14778" s="5">
        <v>112.1</v>
      </c>
      <c r="F14778" s="5">
        <v>222.4</v>
      </c>
      <c r="G14778" s="5">
        <v>110.5</v>
      </c>
      <c r="H14778" s="5">
        <v>110.4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112</v>
      </c>
      <c r="D14779" s="5">
        <v>0.1</v>
      </c>
      <c r="E14779" s="5">
        <v>112.1</v>
      </c>
      <c r="F14779" s="5">
        <v>222.4</v>
      </c>
      <c r="G14779" s="5">
        <v>110.5</v>
      </c>
      <c r="H14779" s="5">
        <v>110.4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112</v>
      </c>
      <c r="D14780" s="5">
        <v>0.1</v>
      </c>
      <c r="E14780" s="5">
        <v>112.1</v>
      </c>
      <c r="F14780" s="5">
        <v>222.4</v>
      </c>
      <c r="G14780" s="5">
        <v>110.5</v>
      </c>
      <c r="H14780" s="5">
        <v>110.4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112</v>
      </c>
      <c r="D14781" s="5">
        <v>0.1</v>
      </c>
      <c r="E14781" s="5">
        <v>112.1</v>
      </c>
      <c r="F14781" s="5">
        <v>222.4</v>
      </c>
      <c r="G14781" s="5">
        <v>110.5</v>
      </c>
      <c r="H14781" s="5">
        <v>110.4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112</v>
      </c>
      <c r="D14782" s="5">
        <v>0.1</v>
      </c>
      <c r="E14782" s="5">
        <v>112.1</v>
      </c>
      <c r="F14782" s="5">
        <v>222.4</v>
      </c>
      <c r="G14782" s="5">
        <v>110.5</v>
      </c>
      <c r="H14782" s="5">
        <v>110.4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112</v>
      </c>
      <c r="D14783" s="5">
        <v>0.1</v>
      </c>
      <c r="E14783" s="5">
        <v>112.1</v>
      </c>
      <c r="F14783" s="5">
        <v>222.4</v>
      </c>
      <c r="G14783" s="5">
        <v>110.5</v>
      </c>
      <c r="H14783" s="5">
        <v>110.4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112</v>
      </c>
      <c r="D14784" s="5">
        <v>0.1</v>
      </c>
      <c r="E14784" s="5">
        <v>112.1</v>
      </c>
      <c r="F14784" s="5">
        <v>222.4</v>
      </c>
      <c r="G14784" s="5">
        <v>110.5</v>
      </c>
      <c r="H14784" s="5">
        <v>110.4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112</v>
      </c>
      <c r="D14785" s="5">
        <v>0.1</v>
      </c>
      <c r="E14785" s="5">
        <v>112.1</v>
      </c>
      <c r="F14785" s="5">
        <v>222.4</v>
      </c>
      <c r="G14785" s="5">
        <v>110.5</v>
      </c>
      <c r="H14785" s="5">
        <v>110.4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112</v>
      </c>
      <c r="D14786" s="5">
        <v>0.1</v>
      </c>
      <c r="E14786" s="5">
        <v>112.1</v>
      </c>
      <c r="F14786" s="5">
        <v>222.4</v>
      </c>
      <c r="G14786" s="5">
        <v>110.5</v>
      </c>
      <c r="H14786" s="5">
        <v>110.4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112</v>
      </c>
      <c r="D14787" s="5">
        <v>0.1</v>
      </c>
      <c r="E14787" s="5">
        <v>112.1</v>
      </c>
      <c r="F14787" s="5">
        <v>222.4</v>
      </c>
      <c r="G14787" s="5">
        <v>110.5</v>
      </c>
      <c r="H14787" s="5">
        <v>110.4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112</v>
      </c>
      <c r="D14788" s="5">
        <v>0.1</v>
      </c>
      <c r="E14788" s="5">
        <v>112.1</v>
      </c>
      <c r="F14788" s="5">
        <v>222.4</v>
      </c>
      <c r="G14788" s="5">
        <v>110.5</v>
      </c>
      <c r="H14788" s="5">
        <v>110.4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112</v>
      </c>
      <c r="D14789" s="5">
        <v>0.1</v>
      </c>
      <c r="E14789" s="5">
        <v>112.1</v>
      </c>
      <c r="F14789" s="5">
        <v>222.4</v>
      </c>
      <c r="G14789" s="5">
        <v>110.5</v>
      </c>
      <c r="H14789" s="5">
        <v>110.4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112</v>
      </c>
      <c r="D14790" s="5">
        <v>0.1</v>
      </c>
      <c r="E14790" s="5">
        <v>112.1</v>
      </c>
      <c r="F14790" s="5">
        <v>222.4</v>
      </c>
      <c r="G14790" s="5">
        <v>110.5</v>
      </c>
      <c r="H14790" s="5">
        <v>110.4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112</v>
      </c>
      <c r="D14791" s="5">
        <v>0.1</v>
      </c>
      <c r="E14791" s="5">
        <v>112.1</v>
      </c>
      <c r="F14791" s="5">
        <v>222.4</v>
      </c>
      <c r="G14791" s="5">
        <v>110.5</v>
      </c>
      <c r="H14791" s="5">
        <v>110.4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112</v>
      </c>
      <c r="D14792" s="5">
        <v>0.1</v>
      </c>
      <c r="E14792" s="5">
        <v>112.1</v>
      </c>
      <c r="F14792" s="5">
        <v>222.4</v>
      </c>
      <c r="G14792" s="5">
        <v>110.5</v>
      </c>
      <c r="H14792" s="5">
        <v>110.4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112</v>
      </c>
      <c r="D14793" s="5">
        <v>0.1</v>
      </c>
      <c r="E14793" s="5">
        <v>112.1</v>
      </c>
      <c r="F14793" s="5">
        <v>222.4</v>
      </c>
      <c r="G14793" s="5">
        <v>110.5</v>
      </c>
      <c r="H14793" s="5">
        <v>110.4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112</v>
      </c>
      <c r="D14794" s="5">
        <v>0.1</v>
      </c>
      <c r="E14794" s="5">
        <v>112.1</v>
      </c>
      <c r="F14794" s="5">
        <v>222.4</v>
      </c>
      <c r="G14794" s="5">
        <v>110.5</v>
      </c>
      <c r="H14794" s="5">
        <v>110.4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112</v>
      </c>
      <c r="D14795" s="5">
        <v>0.1</v>
      </c>
      <c r="E14795" s="5">
        <v>112.1</v>
      </c>
      <c r="F14795" s="5">
        <v>222.4</v>
      </c>
      <c r="G14795" s="5">
        <v>110.5</v>
      </c>
      <c r="H14795" s="5">
        <v>110.4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112</v>
      </c>
      <c r="D14796" s="5">
        <v>0.1</v>
      </c>
      <c r="E14796" s="5">
        <v>112.1</v>
      </c>
      <c r="F14796" s="5">
        <v>222.4</v>
      </c>
      <c r="G14796" s="5">
        <v>110.5</v>
      </c>
      <c r="H14796" s="5">
        <v>110.4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112</v>
      </c>
      <c r="D14797" s="5">
        <v>0.1</v>
      </c>
      <c r="E14797" s="5">
        <v>112.1</v>
      </c>
      <c r="F14797" s="5">
        <v>222.4</v>
      </c>
      <c r="G14797" s="5">
        <v>110.5</v>
      </c>
      <c r="H14797" s="5">
        <v>110.4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112</v>
      </c>
      <c r="D14798" s="5">
        <v>0.1</v>
      </c>
      <c r="E14798" s="5">
        <v>112.1</v>
      </c>
      <c r="F14798" s="5">
        <v>222.4</v>
      </c>
      <c r="G14798" s="5">
        <v>110.5</v>
      </c>
      <c r="H14798" s="5">
        <v>110.4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112</v>
      </c>
      <c r="D14799" s="5">
        <v>0.1</v>
      </c>
      <c r="E14799" s="5">
        <v>112.1</v>
      </c>
      <c r="F14799" s="5">
        <v>222.4</v>
      </c>
      <c r="G14799" s="5">
        <v>110.5</v>
      </c>
      <c r="H14799" s="5">
        <v>110.4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112</v>
      </c>
      <c r="D14800" s="5">
        <v>0.1</v>
      </c>
      <c r="E14800" s="5">
        <v>112.1</v>
      </c>
      <c r="F14800" s="5">
        <v>222.4</v>
      </c>
      <c r="G14800" s="5">
        <v>110.5</v>
      </c>
      <c r="H14800" s="5">
        <v>110.4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112</v>
      </c>
      <c r="D14801" s="5">
        <v>0.1</v>
      </c>
      <c r="E14801" s="5">
        <v>112.1</v>
      </c>
      <c r="F14801" s="5">
        <v>222.4</v>
      </c>
      <c r="G14801" s="5">
        <v>110.5</v>
      </c>
      <c r="H14801" s="5">
        <v>110.4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112</v>
      </c>
      <c r="D14802" s="5">
        <v>0.1</v>
      </c>
      <c r="E14802" s="5">
        <v>112.1</v>
      </c>
      <c r="F14802" s="5">
        <v>222.4</v>
      </c>
      <c r="G14802" s="5">
        <v>110.5</v>
      </c>
      <c r="H14802" s="5">
        <v>110.4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112</v>
      </c>
      <c r="D14803" s="5">
        <v>0.1</v>
      </c>
      <c r="E14803" s="5">
        <v>112.1</v>
      </c>
      <c r="F14803" s="5">
        <v>222.4</v>
      </c>
      <c r="G14803" s="5">
        <v>110.5</v>
      </c>
      <c r="H14803" s="5">
        <v>110.4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112</v>
      </c>
      <c r="D14804" s="5">
        <v>0.1</v>
      </c>
      <c r="E14804" s="5">
        <v>112.1</v>
      </c>
      <c r="F14804" s="5">
        <v>222.4</v>
      </c>
      <c r="G14804" s="5">
        <v>110.5</v>
      </c>
      <c r="H14804" s="5">
        <v>110.4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112</v>
      </c>
      <c r="D14805" s="5">
        <v>0.1</v>
      </c>
      <c r="E14805" s="5">
        <v>112.1</v>
      </c>
      <c r="F14805" s="5">
        <v>222.4</v>
      </c>
      <c r="G14805" s="5">
        <v>110.5</v>
      </c>
      <c r="H14805" s="5">
        <v>110.4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112</v>
      </c>
      <c r="D14806" s="5">
        <v>0.1</v>
      </c>
      <c r="E14806" s="5">
        <v>112.1</v>
      </c>
      <c r="F14806" s="5">
        <v>222.4</v>
      </c>
      <c r="G14806" s="5">
        <v>110.5</v>
      </c>
      <c r="H14806" s="5">
        <v>110.4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112</v>
      </c>
      <c r="D14807" s="5">
        <v>0.1</v>
      </c>
      <c r="E14807" s="5">
        <v>112.1</v>
      </c>
      <c r="F14807" s="5">
        <v>222.4</v>
      </c>
      <c r="G14807" s="5">
        <v>110.5</v>
      </c>
      <c r="H14807" s="5">
        <v>110.4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112</v>
      </c>
      <c r="D14808" s="5">
        <v>0.1</v>
      </c>
      <c r="E14808" s="5">
        <v>112.1</v>
      </c>
      <c r="F14808" s="5">
        <v>222.4</v>
      </c>
      <c r="G14808" s="5">
        <v>110.5</v>
      </c>
      <c r="H14808" s="5">
        <v>110.4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112</v>
      </c>
      <c r="D14809" s="5">
        <v>0.1</v>
      </c>
      <c r="E14809" s="5">
        <v>112.1</v>
      </c>
      <c r="F14809" s="5">
        <v>222.4</v>
      </c>
      <c r="G14809" s="5">
        <v>110.5</v>
      </c>
      <c r="H14809" s="5">
        <v>110.4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112</v>
      </c>
      <c r="D14810" s="5">
        <v>0.1</v>
      </c>
      <c r="E14810" s="5">
        <v>112.1</v>
      </c>
      <c r="F14810" s="5">
        <v>222.4</v>
      </c>
      <c r="G14810" s="5">
        <v>110.5</v>
      </c>
      <c r="H14810" s="5">
        <v>110.4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112</v>
      </c>
      <c r="D14811" s="5">
        <v>0.1</v>
      </c>
      <c r="E14811" s="5">
        <v>112.1</v>
      </c>
      <c r="F14811" s="5">
        <v>222.4</v>
      </c>
      <c r="G14811" s="5">
        <v>110.5</v>
      </c>
      <c r="H14811" s="5">
        <v>110.4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112</v>
      </c>
      <c r="D14812" s="5">
        <v>0.1</v>
      </c>
      <c r="E14812" s="5">
        <v>112.1</v>
      </c>
      <c r="F14812" s="5">
        <v>222.4</v>
      </c>
      <c r="G14812" s="5">
        <v>110.5</v>
      </c>
      <c r="H14812" s="5">
        <v>110.4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112</v>
      </c>
      <c r="D14813" s="5">
        <v>0.1</v>
      </c>
      <c r="E14813" s="5">
        <v>112.1</v>
      </c>
      <c r="F14813" s="5">
        <v>222.4</v>
      </c>
      <c r="G14813" s="5">
        <v>110.5</v>
      </c>
      <c r="H14813" s="5">
        <v>110.4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112</v>
      </c>
      <c r="D14814" s="5">
        <v>0.1</v>
      </c>
      <c r="E14814" s="5">
        <v>112.1</v>
      </c>
      <c r="F14814" s="5">
        <v>222.4</v>
      </c>
      <c r="G14814" s="5">
        <v>110.5</v>
      </c>
      <c r="H14814" s="5">
        <v>110.4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112</v>
      </c>
      <c r="D14815" s="5">
        <v>0.1</v>
      </c>
      <c r="E14815" s="5">
        <v>112.1</v>
      </c>
      <c r="F14815" s="5">
        <v>222.4</v>
      </c>
      <c r="G14815" s="5">
        <v>110.5</v>
      </c>
      <c r="H14815" s="5">
        <v>110.4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112</v>
      </c>
      <c r="D14816" s="5">
        <v>0.1</v>
      </c>
      <c r="E14816" s="5">
        <v>112.1</v>
      </c>
      <c r="F14816" s="5">
        <v>222.4</v>
      </c>
      <c r="G14816" s="5">
        <v>110.5</v>
      </c>
      <c r="H14816" s="5">
        <v>110.4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112</v>
      </c>
      <c r="D14817" s="5">
        <v>0.1</v>
      </c>
      <c r="E14817" s="5">
        <v>112.1</v>
      </c>
      <c r="F14817" s="5">
        <v>222.4</v>
      </c>
      <c r="G14817" s="5">
        <v>110.5</v>
      </c>
      <c r="H14817" s="5">
        <v>110.4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112</v>
      </c>
      <c r="D14818" s="5">
        <v>0.1</v>
      </c>
      <c r="E14818" s="5">
        <v>112.1</v>
      </c>
      <c r="F14818" s="5">
        <v>222.4</v>
      </c>
      <c r="G14818" s="5">
        <v>110.5</v>
      </c>
      <c r="H14818" s="5">
        <v>110.4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112</v>
      </c>
      <c r="D14819" s="5">
        <v>0.1</v>
      </c>
      <c r="E14819" s="5">
        <v>112.1</v>
      </c>
      <c r="F14819" s="5">
        <v>222.4</v>
      </c>
      <c r="G14819" s="5">
        <v>110.5</v>
      </c>
      <c r="H14819" s="5">
        <v>110.4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112</v>
      </c>
      <c r="D14820" s="5">
        <v>0.1</v>
      </c>
      <c r="E14820" s="5">
        <v>112.1</v>
      </c>
      <c r="F14820" s="5">
        <v>222.4</v>
      </c>
      <c r="G14820" s="5">
        <v>110.5</v>
      </c>
      <c r="H14820" s="5">
        <v>110.4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112</v>
      </c>
      <c r="D14821" s="5">
        <v>0.1</v>
      </c>
      <c r="E14821" s="5">
        <v>112.1</v>
      </c>
      <c r="F14821" s="5">
        <v>222.4</v>
      </c>
      <c r="G14821" s="5">
        <v>110.5</v>
      </c>
      <c r="H14821" s="5">
        <v>110.4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112</v>
      </c>
      <c r="D14822" s="5">
        <v>0.1</v>
      </c>
      <c r="E14822" s="5">
        <v>112.1</v>
      </c>
      <c r="F14822" s="5">
        <v>222.4</v>
      </c>
      <c r="G14822" s="5">
        <v>110.5</v>
      </c>
      <c r="H14822" s="5">
        <v>110.4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112</v>
      </c>
      <c r="D14823" s="5">
        <v>0.1</v>
      </c>
      <c r="E14823" s="5">
        <v>112.1</v>
      </c>
      <c r="F14823" s="5">
        <v>222.4</v>
      </c>
      <c r="G14823" s="5">
        <v>110.5</v>
      </c>
      <c r="H14823" s="5">
        <v>110.4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112</v>
      </c>
      <c r="D14824" s="5">
        <v>0.1</v>
      </c>
      <c r="E14824" s="5">
        <v>112.1</v>
      </c>
      <c r="F14824" s="5">
        <v>222.4</v>
      </c>
      <c r="G14824" s="5">
        <v>110.5</v>
      </c>
      <c r="H14824" s="5">
        <v>110.4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112</v>
      </c>
      <c r="D14825" s="5">
        <v>0.1</v>
      </c>
      <c r="E14825" s="5">
        <v>112.1</v>
      </c>
      <c r="F14825" s="5">
        <v>222.4</v>
      </c>
      <c r="G14825" s="5">
        <v>110.5</v>
      </c>
      <c r="H14825" s="5">
        <v>110.4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112</v>
      </c>
      <c r="D14826" s="5">
        <v>0.1</v>
      </c>
      <c r="E14826" s="5">
        <v>112.1</v>
      </c>
      <c r="F14826" s="5">
        <v>222.4</v>
      </c>
      <c r="G14826" s="5">
        <v>110.5</v>
      </c>
      <c r="H14826" s="5">
        <v>110.4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112</v>
      </c>
      <c r="D14827" s="5">
        <v>0.1</v>
      </c>
      <c r="E14827" s="5">
        <v>112.1</v>
      </c>
      <c r="F14827" s="5">
        <v>222.4</v>
      </c>
      <c r="G14827" s="5">
        <v>110.5</v>
      </c>
      <c r="H14827" s="5">
        <v>110.4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112</v>
      </c>
      <c r="D14828" s="5">
        <v>0.1</v>
      </c>
      <c r="E14828" s="5">
        <v>112.1</v>
      </c>
      <c r="F14828" s="5">
        <v>222.4</v>
      </c>
      <c r="G14828" s="5">
        <v>110.5</v>
      </c>
      <c r="H14828" s="5">
        <v>110.4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112</v>
      </c>
      <c r="D14829" s="5">
        <v>0.1</v>
      </c>
      <c r="E14829" s="5">
        <v>112.1</v>
      </c>
      <c r="F14829" s="5">
        <v>222.4</v>
      </c>
      <c r="G14829" s="5">
        <v>110.5</v>
      </c>
      <c r="H14829" s="5">
        <v>110.4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112</v>
      </c>
      <c r="D14830" s="5">
        <v>0.1</v>
      </c>
      <c r="E14830" s="5">
        <v>112.1</v>
      </c>
      <c r="F14830" s="5">
        <v>222.4</v>
      </c>
      <c r="G14830" s="5">
        <v>110.5</v>
      </c>
      <c r="H14830" s="5">
        <v>110.4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112</v>
      </c>
      <c r="D14831" s="5">
        <v>0.1</v>
      </c>
      <c r="E14831" s="5">
        <v>112.1</v>
      </c>
      <c r="F14831" s="5">
        <v>222.4</v>
      </c>
      <c r="G14831" s="5">
        <v>110.5</v>
      </c>
      <c r="H14831" s="5">
        <v>110.4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112</v>
      </c>
      <c r="D14832" s="5">
        <v>0.1</v>
      </c>
      <c r="E14832" s="5">
        <v>112.1</v>
      </c>
      <c r="F14832" s="5">
        <v>222.4</v>
      </c>
      <c r="G14832" s="5">
        <v>110.5</v>
      </c>
      <c r="H14832" s="5">
        <v>110.4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112</v>
      </c>
      <c r="D14833" s="5">
        <v>0.1</v>
      </c>
      <c r="E14833" s="5">
        <v>112.1</v>
      </c>
      <c r="F14833" s="5">
        <v>222.4</v>
      </c>
      <c r="G14833" s="5">
        <v>110.5</v>
      </c>
      <c r="H14833" s="5">
        <v>110.4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112</v>
      </c>
      <c r="D14834" s="5">
        <v>0.1</v>
      </c>
      <c r="E14834" s="5">
        <v>112.1</v>
      </c>
      <c r="F14834" s="5">
        <v>222.4</v>
      </c>
      <c r="G14834" s="5">
        <v>110.5</v>
      </c>
      <c r="H14834" s="5">
        <v>110.4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112</v>
      </c>
      <c r="D14835" s="5">
        <v>0.1</v>
      </c>
      <c r="E14835" s="5">
        <v>112.1</v>
      </c>
      <c r="F14835" s="5">
        <v>222.4</v>
      </c>
      <c r="G14835" s="5">
        <v>110.5</v>
      </c>
      <c r="H14835" s="5">
        <v>110.4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112</v>
      </c>
      <c r="D14836" s="5">
        <v>0.1</v>
      </c>
      <c r="E14836" s="5">
        <v>112.1</v>
      </c>
      <c r="F14836" s="5">
        <v>222.4</v>
      </c>
      <c r="G14836" s="5">
        <v>110.5</v>
      </c>
      <c r="H14836" s="5">
        <v>110.4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112</v>
      </c>
      <c r="D14837" s="5">
        <v>0.1</v>
      </c>
      <c r="E14837" s="5">
        <v>112.1</v>
      </c>
      <c r="F14837" s="5">
        <v>222.4</v>
      </c>
      <c r="G14837" s="5">
        <v>110.5</v>
      </c>
      <c r="H14837" s="5">
        <v>110.4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112</v>
      </c>
      <c r="D14838" s="5">
        <v>0.1</v>
      </c>
      <c r="E14838" s="5">
        <v>112.1</v>
      </c>
      <c r="F14838" s="5">
        <v>222.4</v>
      </c>
      <c r="G14838" s="5">
        <v>110.5</v>
      </c>
      <c r="H14838" s="5">
        <v>110.4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112</v>
      </c>
      <c r="D14839" s="5">
        <v>0.1</v>
      </c>
      <c r="E14839" s="5">
        <v>112.1</v>
      </c>
      <c r="F14839" s="5">
        <v>222.4</v>
      </c>
      <c r="G14839" s="5">
        <v>110.5</v>
      </c>
      <c r="H14839" s="5">
        <v>110.4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112</v>
      </c>
      <c r="D14840" s="5">
        <v>0.1</v>
      </c>
      <c r="E14840" s="5">
        <v>112.1</v>
      </c>
      <c r="F14840" s="5">
        <v>222.4</v>
      </c>
      <c r="G14840" s="5">
        <v>110.5</v>
      </c>
      <c r="H14840" s="5">
        <v>110.4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112</v>
      </c>
      <c r="D14841" s="5">
        <v>0.1</v>
      </c>
      <c r="E14841" s="5">
        <v>112.1</v>
      </c>
      <c r="F14841" s="5">
        <v>222.4</v>
      </c>
      <c r="G14841" s="5">
        <v>110.5</v>
      </c>
      <c r="H14841" s="5">
        <v>110.4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112</v>
      </c>
      <c r="D14842" s="5">
        <v>0.1</v>
      </c>
      <c r="E14842" s="5">
        <v>112.1</v>
      </c>
      <c r="F14842" s="5">
        <v>222.4</v>
      </c>
      <c r="G14842" s="5">
        <v>110.5</v>
      </c>
      <c r="H14842" s="5">
        <v>110.4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112</v>
      </c>
      <c r="D14843" s="5">
        <v>0.1</v>
      </c>
      <c r="E14843" s="5">
        <v>112.1</v>
      </c>
      <c r="F14843" s="5">
        <v>222.4</v>
      </c>
      <c r="G14843" s="5">
        <v>110.5</v>
      </c>
      <c r="H14843" s="5">
        <v>110.4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112</v>
      </c>
      <c r="D14844" s="5">
        <v>0.1</v>
      </c>
      <c r="E14844" s="5">
        <v>112.1</v>
      </c>
      <c r="F14844" s="5">
        <v>222.4</v>
      </c>
      <c r="G14844" s="5">
        <v>110.5</v>
      </c>
      <c r="H14844" s="5">
        <v>110.4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112</v>
      </c>
      <c r="D14845" s="5">
        <v>0.1</v>
      </c>
      <c r="E14845" s="5">
        <v>112.1</v>
      </c>
      <c r="F14845" s="5">
        <v>222.4</v>
      </c>
      <c r="G14845" s="5">
        <v>110.5</v>
      </c>
      <c r="H14845" s="5">
        <v>110.4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112</v>
      </c>
      <c r="D14846" s="5">
        <v>0.1</v>
      </c>
      <c r="E14846" s="5">
        <v>112.1</v>
      </c>
      <c r="F14846" s="5">
        <v>222.4</v>
      </c>
      <c r="G14846" s="5">
        <v>110.5</v>
      </c>
      <c r="H14846" s="5">
        <v>110.4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112</v>
      </c>
      <c r="D14847" s="5">
        <v>0.1</v>
      </c>
      <c r="E14847" s="5">
        <v>112.1</v>
      </c>
      <c r="F14847" s="5">
        <v>222.4</v>
      </c>
      <c r="G14847" s="5">
        <v>110.5</v>
      </c>
      <c r="H14847" s="5">
        <v>110.4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112</v>
      </c>
      <c r="D14848" s="5">
        <v>0.1</v>
      </c>
      <c r="E14848" s="5">
        <v>112.1</v>
      </c>
      <c r="F14848" s="5">
        <v>222.4</v>
      </c>
      <c r="G14848" s="5">
        <v>110.5</v>
      </c>
      <c r="H14848" s="5">
        <v>110.4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112</v>
      </c>
      <c r="D14849" s="5">
        <v>0.1</v>
      </c>
      <c r="E14849" s="5">
        <v>112.1</v>
      </c>
      <c r="F14849" s="5">
        <v>222.4</v>
      </c>
      <c r="G14849" s="5">
        <v>110.5</v>
      </c>
      <c r="H14849" s="5">
        <v>110.4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112</v>
      </c>
      <c r="D14850" s="5">
        <v>0.1</v>
      </c>
      <c r="E14850" s="5">
        <v>112.1</v>
      </c>
      <c r="F14850" s="5">
        <v>222.4</v>
      </c>
      <c r="G14850" s="5">
        <v>110.5</v>
      </c>
      <c r="H14850" s="5">
        <v>110.4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112</v>
      </c>
      <c r="D14851" s="5">
        <v>0.1</v>
      </c>
      <c r="E14851" s="5">
        <v>112.1</v>
      </c>
      <c r="F14851" s="5">
        <v>222.4</v>
      </c>
      <c r="G14851" s="5">
        <v>110.5</v>
      </c>
      <c r="H14851" s="5">
        <v>110.4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112</v>
      </c>
      <c r="D14852" s="5">
        <v>0.1</v>
      </c>
      <c r="E14852" s="5">
        <v>112.1</v>
      </c>
      <c r="F14852" s="5">
        <v>222.4</v>
      </c>
      <c r="G14852" s="5">
        <v>110.5</v>
      </c>
      <c r="H14852" s="5">
        <v>110.4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112</v>
      </c>
      <c r="D14853" s="5">
        <v>0.1</v>
      </c>
      <c r="E14853" s="5">
        <v>112.1</v>
      </c>
      <c r="F14853" s="5">
        <v>222.4</v>
      </c>
      <c r="G14853" s="5">
        <v>110.5</v>
      </c>
      <c r="H14853" s="5">
        <v>110.4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112</v>
      </c>
      <c r="D14854" s="5">
        <v>0.1</v>
      </c>
      <c r="E14854" s="5">
        <v>112.1</v>
      </c>
      <c r="F14854" s="5">
        <v>222.4</v>
      </c>
      <c r="G14854" s="5">
        <v>110.5</v>
      </c>
      <c r="H14854" s="5">
        <v>110.4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112</v>
      </c>
      <c r="D14855" s="5">
        <v>0.1</v>
      </c>
      <c r="E14855" s="5">
        <v>112.1</v>
      </c>
      <c r="F14855" s="5">
        <v>222.4</v>
      </c>
      <c r="G14855" s="5">
        <v>110.5</v>
      </c>
      <c r="H14855" s="5">
        <v>110.4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112</v>
      </c>
      <c r="D14856" s="5">
        <v>0.1</v>
      </c>
      <c r="E14856" s="5">
        <v>112.1</v>
      </c>
      <c r="F14856" s="5">
        <v>222.4</v>
      </c>
      <c r="G14856" s="5">
        <v>110.5</v>
      </c>
      <c r="H14856" s="5">
        <v>110.4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112</v>
      </c>
      <c r="D14857" s="5">
        <v>0.1</v>
      </c>
      <c r="E14857" s="5">
        <v>112.1</v>
      </c>
      <c r="F14857" s="5">
        <v>222.4</v>
      </c>
      <c r="G14857" s="5">
        <v>110.5</v>
      </c>
      <c r="H14857" s="5">
        <v>110.4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112</v>
      </c>
      <c r="D14858" s="5">
        <v>0.1</v>
      </c>
      <c r="E14858" s="5">
        <v>112.1</v>
      </c>
      <c r="F14858" s="5">
        <v>222.4</v>
      </c>
      <c r="G14858" s="5">
        <v>110.5</v>
      </c>
      <c r="H14858" s="5">
        <v>110.4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112</v>
      </c>
      <c r="D14859" s="5">
        <v>0.1</v>
      </c>
      <c r="E14859" s="5">
        <v>112.1</v>
      </c>
      <c r="F14859" s="5">
        <v>222.4</v>
      </c>
      <c r="G14859" s="5">
        <v>110.5</v>
      </c>
      <c r="H14859" s="5">
        <v>110.4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112</v>
      </c>
      <c r="D14860" s="5">
        <v>0.1</v>
      </c>
      <c r="E14860" s="5">
        <v>112.1</v>
      </c>
      <c r="F14860" s="5">
        <v>222.4</v>
      </c>
      <c r="G14860" s="5">
        <v>110.5</v>
      </c>
      <c r="H14860" s="5">
        <v>110.4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112</v>
      </c>
      <c r="D14861" s="5">
        <v>0.1</v>
      </c>
      <c r="E14861" s="5">
        <v>112.1</v>
      </c>
      <c r="F14861" s="5">
        <v>222.4</v>
      </c>
      <c r="G14861" s="5">
        <v>110.5</v>
      </c>
      <c r="H14861" s="5">
        <v>110.4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112</v>
      </c>
      <c r="D14862" s="5">
        <v>0.1</v>
      </c>
      <c r="E14862" s="5">
        <v>112.1</v>
      </c>
      <c r="F14862" s="5">
        <v>222.4</v>
      </c>
      <c r="G14862" s="5">
        <v>110.5</v>
      </c>
      <c r="H14862" s="5">
        <v>110.4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112</v>
      </c>
      <c r="D14863" s="5">
        <v>0.1</v>
      </c>
      <c r="E14863" s="5">
        <v>112.1</v>
      </c>
      <c r="F14863" s="5">
        <v>222.4</v>
      </c>
      <c r="G14863" s="5">
        <v>110.5</v>
      </c>
      <c r="H14863" s="5">
        <v>110.4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112</v>
      </c>
      <c r="D14864" s="5">
        <v>0.1</v>
      </c>
      <c r="E14864" s="5">
        <v>112.1</v>
      </c>
      <c r="F14864" s="5">
        <v>222.4</v>
      </c>
      <c r="G14864" s="5">
        <v>110.5</v>
      </c>
      <c r="H14864" s="5">
        <v>110.4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112</v>
      </c>
      <c r="D14865" s="5">
        <v>0.1</v>
      </c>
      <c r="E14865" s="5">
        <v>112.1</v>
      </c>
      <c r="F14865" s="5">
        <v>222.4</v>
      </c>
      <c r="G14865" s="5">
        <v>110.5</v>
      </c>
      <c r="H14865" s="5">
        <v>110.4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112</v>
      </c>
      <c r="D14866" s="5">
        <v>0.1</v>
      </c>
      <c r="E14866" s="5">
        <v>112.1</v>
      </c>
      <c r="F14866" s="5">
        <v>222.4</v>
      </c>
      <c r="G14866" s="5">
        <v>110.5</v>
      </c>
      <c r="H14866" s="5">
        <v>110.4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112</v>
      </c>
      <c r="D14867" s="5">
        <v>0.1</v>
      </c>
      <c r="E14867" s="5">
        <v>112.1</v>
      </c>
      <c r="F14867" s="5">
        <v>222.4</v>
      </c>
      <c r="G14867" s="5">
        <v>110.5</v>
      </c>
      <c r="H14867" s="5">
        <v>110.4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112</v>
      </c>
      <c r="D14868" s="5">
        <v>0.1</v>
      </c>
      <c r="E14868" s="5">
        <v>112.1</v>
      </c>
      <c r="F14868" s="5">
        <v>222.4</v>
      </c>
      <c r="G14868" s="5">
        <v>110.5</v>
      </c>
      <c r="H14868" s="5">
        <v>110.4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112</v>
      </c>
      <c r="D14869" s="5">
        <v>0.1</v>
      </c>
      <c r="E14869" s="5">
        <v>112.1</v>
      </c>
      <c r="F14869" s="5">
        <v>222.4</v>
      </c>
      <c r="G14869" s="5">
        <v>110.5</v>
      </c>
      <c r="H14869" s="5">
        <v>110.4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112</v>
      </c>
      <c r="D14870" s="5">
        <v>0.1</v>
      </c>
      <c r="E14870" s="5">
        <v>112.1</v>
      </c>
      <c r="F14870" s="5">
        <v>222.4</v>
      </c>
      <c r="G14870" s="5">
        <v>110.5</v>
      </c>
      <c r="H14870" s="5">
        <v>110.4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112</v>
      </c>
      <c r="D14871" s="5">
        <v>0.1</v>
      </c>
      <c r="E14871" s="5">
        <v>112.1</v>
      </c>
      <c r="F14871" s="5">
        <v>222.4</v>
      </c>
      <c r="G14871" s="5">
        <v>110.5</v>
      </c>
      <c r="H14871" s="5">
        <v>110.4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112</v>
      </c>
      <c r="D14872" s="5">
        <v>0.1</v>
      </c>
      <c r="E14872" s="5">
        <v>112.1</v>
      </c>
      <c r="F14872" s="5">
        <v>222.4</v>
      </c>
      <c r="G14872" s="5">
        <v>110.5</v>
      </c>
      <c r="H14872" s="5">
        <v>110.4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112</v>
      </c>
      <c r="D14873" s="5">
        <v>0.1</v>
      </c>
      <c r="E14873" s="5">
        <v>112.1</v>
      </c>
      <c r="F14873" s="5">
        <v>222.4</v>
      </c>
      <c r="G14873" s="5">
        <v>110.5</v>
      </c>
      <c r="H14873" s="5">
        <v>110.4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112</v>
      </c>
      <c r="D14874" s="5">
        <v>0.1</v>
      </c>
      <c r="E14874" s="5">
        <v>112.1</v>
      </c>
      <c r="F14874" s="5">
        <v>222.4</v>
      </c>
      <c r="G14874" s="5">
        <v>110.5</v>
      </c>
      <c r="H14874" s="5">
        <v>110.4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112</v>
      </c>
      <c r="D14875" s="5">
        <v>0.1</v>
      </c>
      <c r="E14875" s="5">
        <v>112.1</v>
      </c>
      <c r="F14875" s="5">
        <v>222.4</v>
      </c>
      <c r="G14875" s="5">
        <v>110.5</v>
      </c>
      <c r="H14875" s="5">
        <v>110.4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112</v>
      </c>
      <c r="D14876" s="5">
        <v>0.1</v>
      </c>
      <c r="E14876" s="5">
        <v>112.1</v>
      </c>
      <c r="F14876" s="5">
        <v>222.4</v>
      </c>
      <c r="G14876" s="5">
        <v>110.5</v>
      </c>
      <c r="H14876" s="5">
        <v>110.4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112</v>
      </c>
      <c r="D14877" s="5">
        <v>0.1</v>
      </c>
      <c r="E14877" s="5">
        <v>112.1</v>
      </c>
      <c r="F14877" s="5">
        <v>222.4</v>
      </c>
      <c r="G14877" s="5">
        <v>110.5</v>
      </c>
      <c r="H14877" s="5">
        <v>110.4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112</v>
      </c>
      <c r="D14878" s="5">
        <v>0.1</v>
      </c>
      <c r="E14878" s="5">
        <v>112.1</v>
      </c>
      <c r="F14878" s="5">
        <v>222.4</v>
      </c>
      <c r="G14878" s="5">
        <v>110.5</v>
      </c>
      <c r="H14878" s="5">
        <v>110.4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112</v>
      </c>
      <c r="D14879" s="5">
        <v>0.1</v>
      </c>
      <c r="E14879" s="5">
        <v>112.1</v>
      </c>
      <c r="F14879" s="5">
        <v>222.4</v>
      </c>
      <c r="G14879" s="5">
        <v>110.5</v>
      </c>
      <c r="H14879" s="5">
        <v>110.4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112</v>
      </c>
      <c r="D14880" s="5">
        <v>0.1</v>
      </c>
      <c r="E14880" s="5">
        <v>112.1</v>
      </c>
      <c r="F14880" s="5">
        <v>222.4</v>
      </c>
      <c r="G14880" s="5">
        <v>110.5</v>
      </c>
      <c r="H14880" s="5">
        <v>110.4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112</v>
      </c>
      <c r="D14881" s="5">
        <v>0.1</v>
      </c>
      <c r="E14881" s="5">
        <v>112.1</v>
      </c>
      <c r="F14881" s="5">
        <v>222.4</v>
      </c>
      <c r="G14881" s="5">
        <v>110.5</v>
      </c>
      <c r="H14881" s="5">
        <v>110.4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112</v>
      </c>
      <c r="D14882" s="5">
        <v>0.1</v>
      </c>
      <c r="E14882" s="5">
        <v>112.1</v>
      </c>
      <c r="F14882" s="5">
        <v>222.4</v>
      </c>
      <c r="G14882" s="5">
        <v>110.5</v>
      </c>
      <c r="H14882" s="5">
        <v>110.4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112</v>
      </c>
      <c r="D14883" s="5">
        <v>0.1</v>
      </c>
      <c r="E14883" s="5">
        <v>112.1</v>
      </c>
      <c r="F14883" s="5">
        <v>222.4</v>
      </c>
      <c r="G14883" s="5">
        <v>110.5</v>
      </c>
      <c r="H14883" s="5">
        <v>110.4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112</v>
      </c>
      <c r="D14884" s="5">
        <v>0.1</v>
      </c>
      <c r="E14884" s="5">
        <v>112.1</v>
      </c>
      <c r="F14884" s="5">
        <v>222.4</v>
      </c>
      <c r="G14884" s="5">
        <v>110.5</v>
      </c>
      <c r="H14884" s="5">
        <v>110.4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112</v>
      </c>
      <c r="D14885" s="5">
        <v>0.1</v>
      </c>
      <c r="E14885" s="5">
        <v>112.1</v>
      </c>
      <c r="F14885" s="5">
        <v>222.4</v>
      </c>
      <c r="G14885" s="5">
        <v>110.5</v>
      </c>
      <c r="H14885" s="5">
        <v>110.4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112</v>
      </c>
      <c r="D14886" s="5">
        <v>0.1</v>
      </c>
      <c r="E14886" s="5">
        <v>112.1</v>
      </c>
      <c r="F14886" s="5">
        <v>222.4</v>
      </c>
      <c r="G14886" s="5">
        <v>110.5</v>
      </c>
      <c r="H14886" s="5">
        <v>110.4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112</v>
      </c>
      <c r="D14887" s="5">
        <v>0.1</v>
      </c>
      <c r="E14887" s="5">
        <v>112.1</v>
      </c>
      <c r="F14887" s="5">
        <v>222.4</v>
      </c>
      <c r="G14887" s="5">
        <v>110.5</v>
      </c>
      <c r="H14887" s="5">
        <v>110.4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112</v>
      </c>
      <c r="D14888" s="5">
        <v>0.1</v>
      </c>
      <c r="E14888" s="5">
        <v>112.1</v>
      </c>
      <c r="F14888" s="5">
        <v>222.4</v>
      </c>
      <c r="G14888" s="5">
        <v>110.5</v>
      </c>
      <c r="H14888" s="5">
        <v>110.4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112</v>
      </c>
      <c r="D14889" s="5">
        <v>0.1</v>
      </c>
      <c r="E14889" s="5">
        <v>112.1</v>
      </c>
      <c r="F14889" s="5">
        <v>222.4</v>
      </c>
      <c r="G14889" s="5">
        <v>110.5</v>
      </c>
      <c r="H14889" s="5">
        <v>110.4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112</v>
      </c>
      <c r="D14890" s="5">
        <v>0.1</v>
      </c>
      <c r="E14890" s="5">
        <v>112.1</v>
      </c>
      <c r="F14890" s="5">
        <v>222.4</v>
      </c>
      <c r="G14890" s="5">
        <v>110.5</v>
      </c>
      <c r="H14890" s="5">
        <v>110.4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112</v>
      </c>
      <c r="D14891" s="5">
        <v>0.1</v>
      </c>
      <c r="E14891" s="5">
        <v>112.1</v>
      </c>
      <c r="F14891" s="5">
        <v>222.4</v>
      </c>
      <c r="G14891" s="5">
        <v>110.5</v>
      </c>
      <c r="H14891" s="5">
        <v>110.4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112</v>
      </c>
      <c r="D14892" s="5">
        <v>0.1</v>
      </c>
      <c r="E14892" s="5">
        <v>112.1</v>
      </c>
      <c r="F14892" s="5">
        <v>222.4</v>
      </c>
      <c r="G14892" s="5">
        <v>110.5</v>
      </c>
      <c r="H14892" s="5">
        <v>110.4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112</v>
      </c>
      <c r="D14893" s="5">
        <v>0.1</v>
      </c>
      <c r="E14893" s="5">
        <v>112.1</v>
      </c>
      <c r="F14893" s="5">
        <v>222.4</v>
      </c>
      <c r="G14893" s="5">
        <v>110.5</v>
      </c>
      <c r="H14893" s="5">
        <v>110.4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112</v>
      </c>
      <c r="D14894" s="5">
        <v>0.1</v>
      </c>
      <c r="E14894" s="5">
        <v>112.1</v>
      </c>
      <c r="F14894" s="5">
        <v>222.4</v>
      </c>
      <c r="G14894" s="5">
        <v>110.5</v>
      </c>
      <c r="H14894" s="5">
        <v>110.4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112</v>
      </c>
      <c r="D14895" s="5">
        <v>0.1</v>
      </c>
      <c r="E14895" s="5">
        <v>112.1</v>
      </c>
      <c r="F14895" s="5">
        <v>222.4</v>
      </c>
      <c r="G14895" s="5">
        <v>110.5</v>
      </c>
      <c r="H14895" s="5">
        <v>110.4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112</v>
      </c>
      <c r="D14896" s="5">
        <v>0.1</v>
      </c>
      <c r="E14896" s="5">
        <v>112.1</v>
      </c>
      <c r="F14896" s="5">
        <v>222.4</v>
      </c>
      <c r="G14896" s="5">
        <v>110.5</v>
      </c>
      <c r="H14896" s="5">
        <v>110.4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112</v>
      </c>
      <c r="D14897" s="5">
        <v>0.1</v>
      </c>
      <c r="E14897" s="5">
        <v>112.1</v>
      </c>
      <c r="F14897" s="5">
        <v>222.4</v>
      </c>
      <c r="G14897" s="5">
        <v>110.5</v>
      </c>
      <c r="H14897" s="5">
        <v>110.4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112</v>
      </c>
      <c r="D14898" s="5">
        <v>0.1</v>
      </c>
      <c r="E14898" s="5">
        <v>112.1</v>
      </c>
      <c r="F14898" s="5">
        <v>222.4</v>
      </c>
      <c r="G14898" s="5">
        <v>110.5</v>
      </c>
      <c r="H14898" s="5">
        <v>110.4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112</v>
      </c>
      <c r="D14899" s="5">
        <v>0.1</v>
      </c>
      <c r="E14899" s="5">
        <v>112.1</v>
      </c>
      <c r="F14899" s="5">
        <v>222.4</v>
      </c>
      <c r="G14899" s="5">
        <v>110.5</v>
      </c>
      <c r="H14899" s="5">
        <v>110.4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112</v>
      </c>
      <c r="D14900" s="5">
        <v>0.1</v>
      </c>
      <c r="E14900" s="5">
        <v>112.1</v>
      </c>
      <c r="F14900" s="5">
        <v>222.4</v>
      </c>
      <c r="G14900" s="5">
        <v>110.5</v>
      </c>
      <c r="H14900" s="5">
        <v>110.4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112</v>
      </c>
      <c r="D14901" s="5">
        <v>0.1</v>
      </c>
      <c r="E14901" s="5">
        <v>112.1</v>
      </c>
      <c r="F14901" s="5">
        <v>222.4</v>
      </c>
      <c r="G14901" s="5">
        <v>110.5</v>
      </c>
      <c r="H14901" s="5">
        <v>110.4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112</v>
      </c>
      <c r="D14902" s="5">
        <v>0.1</v>
      </c>
      <c r="E14902" s="5">
        <v>112.1</v>
      </c>
      <c r="F14902" s="5">
        <v>222.4</v>
      </c>
      <c r="G14902" s="5">
        <v>110.5</v>
      </c>
      <c r="H14902" s="5">
        <v>110.4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112</v>
      </c>
      <c r="D14903" s="5">
        <v>0.1</v>
      </c>
      <c r="E14903" s="5">
        <v>112.1</v>
      </c>
      <c r="F14903" s="5">
        <v>222.4</v>
      </c>
      <c r="G14903" s="5">
        <v>110.5</v>
      </c>
      <c r="H14903" s="5">
        <v>110.4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112</v>
      </c>
      <c r="D14904" s="5">
        <v>0.1</v>
      </c>
      <c r="E14904" s="5">
        <v>112.1</v>
      </c>
      <c r="F14904" s="5">
        <v>222.4</v>
      </c>
      <c r="G14904" s="5">
        <v>110.5</v>
      </c>
      <c r="H14904" s="5">
        <v>110.4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112</v>
      </c>
      <c r="D14905" s="5">
        <v>0.1</v>
      </c>
      <c r="E14905" s="5">
        <v>112.1</v>
      </c>
      <c r="F14905" s="5">
        <v>222.4</v>
      </c>
      <c r="G14905" s="5">
        <v>110.5</v>
      </c>
      <c r="H14905" s="5">
        <v>110.4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112</v>
      </c>
      <c r="D14906" s="5">
        <v>0.1</v>
      </c>
      <c r="E14906" s="5">
        <v>112.1</v>
      </c>
      <c r="F14906" s="5">
        <v>222.4</v>
      </c>
      <c r="G14906" s="5">
        <v>110.5</v>
      </c>
      <c r="H14906" s="5">
        <v>110.4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112</v>
      </c>
      <c r="D14907" s="5">
        <v>0.1</v>
      </c>
      <c r="E14907" s="5">
        <v>112.1</v>
      </c>
      <c r="F14907" s="5">
        <v>222.4</v>
      </c>
      <c r="G14907" s="5">
        <v>110.5</v>
      </c>
      <c r="H14907" s="5">
        <v>110.4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112</v>
      </c>
      <c r="D14908" s="5">
        <v>0.1</v>
      </c>
      <c r="E14908" s="5">
        <v>112.1</v>
      </c>
      <c r="F14908" s="5">
        <v>222.4</v>
      </c>
      <c r="G14908" s="5">
        <v>110.5</v>
      </c>
      <c r="H14908" s="5">
        <v>110.4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112</v>
      </c>
      <c r="D14909" s="5">
        <v>0.1</v>
      </c>
      <c r="E14909" s="5">
        <v>112.1</v>
      </c>
      <c r="F14909" s="5">
        <v>222.4</v>
      </c>
      <c r="G14909" s="5">
        <v>110.5</v>
      </c>
      <c r="H14909" s="5">
        <v>110.4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112</v>
      </c>
      <c r="D14910" s="5">
        <v>0.1</v>
      </c>
      <c r="E14910" s="5">
        <v>112.1</v>
      </c>
      <c r="F14910" s="5">
        <v>222.4</v>
      </c>
      <c r="G14910" s="5">
        <v>110.5</v>
      </c>
      <c r="H14910" s="5">
        <v>110.4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112</v>
      </c>
      <c r="D14911" s="5">
        <v>0.1</v>
      </c>
      <c r="E14911" s="5">
        <v>112.1</v>
      </c>
      <c r="F14911" s="5">
        <v>222.4</v>
      </c>
      <c r="G14911" s="5">
        <v>110.5</v>
      </c>
      <c r="H14911" s="5">
        <v>110.4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112</v>
      </c>
      <c r="D14912" s="5">
        <v>0.1</v>
      </c>
      <c r="E14912" s="5">
        <v>112.1</v>
      </c>
      <c r="F14912" s="5">
        <v>222.4</v>
      </c>
      <c r="G14912" s="5">
        <v>110.5</v>
      </c>
      <c r="H14912" s="5">
        <v>110.4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112</v>
      </c>
      <c r="D14913" s="5">
        <v>0.1</v>
      </c>
      <c r="E14913" s="5">
        <v>112.1</v>
      </c>
      <c r="F14913" s="5">
        <v>222.4</v>
      </c>
      <c r="G14913" s="5">
        <v>110.5</v>
      </c>
      <c r="H14913" s="5">
        <v>110.4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112</v>
      </c>
      <c r="D14914" s="5">
        <v>0.1</v>
      </c>
      <c r="E14914" s="5">
        <v>112.1</v>
      </c>
      <c r="F14914" s="5">
        <v>222.4</v>
      </c>
      <c r="G14914" s="5">
        <v>110.5</v>
      </c>
      <c r="H14914" s="5">
        <v>110.4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112</v>
      </c>
      <c r="D14915" s="5">
        <v>0.1</v>
      </c>
      <c r="E14915" s="5">
        <v>112.1</v>
      </c>
      <c r="F14915" s="5">
        <v>222.4</v>
      </c>
      <c r="G14915" s="5">
        <v>110.5</v>
      </c>
      <c r="H14915" s="5">
        <v>110.4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112</v>
      </c>
      <c r="D14916" s="5">
        <v>0.1</v>
      </c>
      <c r="E14916" s="5">
        <v>112.1</v>
      </c>
      <c r="F14916" s="5">
        <v>222.4</v>
      </c>
      <c r="G14916" s="5">
        <v>110.5</v>
      </c>
      <c r="H14916" s="5">
        <v>110.4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112</v>
      </c>
      <c r="D14917" s="5">
        <v>0.1</v>
      </c>
      <c r="E14917" s="5">
        <v>112.1</v>
      </c>
      <c r="F14917" s="5">
        <v>222.4</v>
      </c>
      <c r="G14917" s="5">
        <v>110.5</v>
      </c>
      <c r="H14917" s="5">
        <v>110.4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112</v>
      </c>
      <c r="D14918" s="5">
        <v>0.1</v>
      </c>
      <c r="E14918" s="5">
        <v>112.1</v>
      </c>
      <c r="F14918" s="5">
        <v>222.4</v>
      </c>
      <c r="G14918" s="5">
        <v>110.5</v>
      </c>
      <c r="H14918" s="5">
        <v>110.4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112</v>
      </c>
      <c r="D14919" s="5">
        <v>0.1</v>
      </c>
      <c r="E14919" s="5">
        <v>112.1</v>
      </c>
      <c r="F14919" s="5">
        <v>222.4</v>
      </c>
      <c r="G14919" s="5">
        <v>110.5</v>
      </c>
      <c r="H14919" s="5">
        <v>110.4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112</v>
      </c>
      <c r="D14920" s="5">
        <v>0.1</v>
      </c>
      <c r="E14920" s="5">
        <v>112.1</v>
      </c>
      <c r="F14920" s="5">
        <v>222.4</v>
      </c>
      <c r="G14920" s="5">
        <v>110.5</v>
      </c>
      <c r="H14920" s="5">
        <v>110.4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112</v>
      </c>
      <c r="D14921" s="5">
        <v>0.1</v>
      </c>
      <c r="E14921" s="5">
        <v>112.1</v>
      </c>
      <c r="F14921" s="5">
        <v>222.4</v>
      </c>
      <c r="G14921" s="5">
        <v>110.5</v>
      </c>
      <c r="H14921" s="5">
        <v>110.4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112</v>
      </c>
      <c r="D14922" s="5">
        <v>0.1</v>
      </c>
      <c r="E14922" s="5">
        <v>112.1</v>
      </c>
      <c r="F14922" s="5">
        <v>222.4</v>
      </c>
      <c r="G14922" s="5">
        <v>110.5</v>
      </c>
      <c r="H14922" s="5">
        <v>110.4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112</v>
      </c>
      <c r="D14923" s="5">
        <v>0.1</v>
      </c>
      <c r="E14923" s="5">
        <v>112.1</v>
      </c>
      <c r="F14923" s="5">
        <v>222.4</v>
      </c>
      <c r="G14923" s="5">
        <v>110.5</v>
      </c>
      <c r="H14923" s="5">
        <v>110.4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112</v>
      </c>
      <c r="D14924" s="5">
        <v>0.1</v>
      </c>
      <c r="E14924" s="5">
        <v>112.1</v>
      </c>
      <c r="F14924" s="5">
        <v>222.4</v>
      </c>
      <c r="G14924" s="5">
        <v>110.5</v>
      </c>
      <c r="H14924" s="5">
        <v>110.4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112</v>
      </c>
      <c r="D14925" s="5">
        <v>0.1</v>
      </c>
      <c r="E14925" s="5">
        <v>112.1</v>
      </c>
      <c r="F14925" s="5">
        <v>222.4</v>
      </c>
      <c r="G14925" s="5">
        <v>110.5</v>
      </c>
      <c r="H14925" s="5">
        <v>110.4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112</v>
      </c>
      <c r="D14926" s="5">
        <v>0.1</v>
      </c>
      <c r="E14926" s="5">
        <v>112.1</v>
      </c>
      <c r="F14926" s="5">
        <v>222.4</v>
      </c>
      <c r="G14926" s="5">
        <v>110.5</v>
      </c>
      <c r="H14926" s="5">
        <v>110.4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112</v>
      </c>
      <c r="D14927" s="5">
        <v>0.1</v>
      </c>
      <c r="E14927" s="5">
        <v>112.1</v>
      </c>
      <c r="F14927" s="5">
        <v>222.4</v>
      </c>
      <c r="G14927" s="5">
        <v>110.5</v>
      </c>
      <c r="H14927" s="5">
        <v>110.4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112</v>
      </c>
      <c r="D14928" s="5">
        <v>0.1</v>
      </c>
      <c r="E14928" s="5">
        <v>112.1</v>
      </c>
      <c r="F14928" s="5">
        <v>222.4</v>
      </c>
      <c r="G14928" s="5">
        <v>110.5</v>
      </c>
      <c r="H14928" s="5">
        <v>110.4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112</v>
      </c>
      <c r="D14929" s="5">
        <v>0.1</v>
      </c>
      <c r="E14929" s="5">
        <v>112.1</v>
      </c>
      <c r="F14929" s="5">
        <v>222.4</v>
      </c>
      <c r="G14929" s="5">
        <v>110.5</v>
      </c>
      <c r="H14929" s="5">
        <v>110.4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112</v>
      </c>
      <c r="D14930" s="5">
        <v>0.1</v>
      </c>
      <c r="E14930" s="5">
        <v>112.1</v>
      </c>
      <c r="F14930" s="5">
        <v>222.4</v>
      </c>
      <c r="G14930" s="5">
        <v>110.5</v>
      </c>
      <c r="H14930" s="5">
        <v>110.4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112</v>
      </c>
      <c r="D14931" s="5">
        <v>0.1</v>
      </c>
      <c r="E14931" s="5">
        <v>112.1</v>
      </c>
      <c r="F14931" s="5">
        <v>222.4</v>
      </c>
      <c r="G14931" s="5">
        <v>110.5</v>
      </c>
      <c r="H14931" s="5">
        <v>110.4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112</v>
      </c>
      <c r="D14932" s="5">
        <v>0.1</v>
      </c>
      <c r="E14932" s="5">
        <v>112.1</v>
      </c>
      <c r="F14932" s="5">
        <v>222.4</v>
      </c>
      <c r="G14932" s="5">
        <v>110.5</v>
      </c>
      <c r="H14932" s="5">
        <v>110.4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112</v>
      </c>
      <c r="D14933" s="5">
        <v>0.1</v>
      </c>
      <c r="E14933" s="5">
        <v>112.1</v>
      </c>
      <c r="F14933" s="5">
        <v>222.4</v>
      </c>
      <c r="G14933" s="5">
        <v>110.5</v>
      </c>
      <c r="H14933" s="5">
        <v>110.4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112</v>
      </c>
      <c r="D14934" s="5">
        <v>0.1</v>
      </c>
      <c r="E14934" s="5">
        <v>112.1</v>
      </c>
      <c r="F14934" s="5">
        <v>222.4</v>
      </c>
      <c r="G14934" s="5">
        <v>110.5</v>
      </c>
      <c r="H14934" s="5">
        <v>110.4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112</v>
      </c>
      <c r="D14935" s="5">
        <v>0.1</v>
      </c>
      <c r="E14935" s="5">
        <v>112.1</v>
      </c>
      <c r="F14935" s="5">
        <v>222.4</v>
      </c>
      <c r="G14935" s="5">
        <v>110.5</v>
      </c>
      <c r="H14935" s="5">
        <v>110.4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112</v>
      </c>
      <c r="D14936" s="5">
        <v>0.1</v>
      </c>
      <c r="E14936" s="5">
        <v>112.1</v>
      </c>
      <c r="F14936" s="5">
        <v>222.4</v>
      </c>
      <c r="G14936" s="5">
        <v>110.5</v>
      </c>
      <c r="H14936" s="5">
        <v>110.4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112</v>
      </c>
      <c r="D14937" s="5">
        <v>0.1</v>
      </c>
      <c r="E14937" s="5">
        <v>112.1</v>
      </c>
      <c r="F14937" s="5">
        <v>222.4</v>
      </c>
      <c r="G14937" s="5">
        <v>110.5</v>
      </c>
      <c r="H14937" s="5">
        <v>110.4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112</v>
      </c>
      <c r="D14938" s="5">
        <v>0.1</v>
      </c>
      <c r="E14938" s="5">
        <v>112.1</v>
      </c>
      <c r="F14938" s="5">
        <v>222.4</v>
      </c>
      <c r="G14938" s="5">
        <v>110.5</v>
      </c>
      <c r="H14938" s="5">
        <v>110.4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112</v>
      </c>
      <c r="D14939" s="5">
        <v>0.1</v>
      </c>
      <c r="E14939" s="5">
        <v>112.1</v>
      </c>
      <c r="F14939" s="5">
        <v>222.4</v>
      </c>
      <c r="G14939" s="5">
        <v>110.5</v>
      </c>
      <c r="H14939" s="5">
        <v>110.4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112</v>
      </c>
      <c r="D14940" s="5">
        <v>0.1</v>
      </c>
      <c r="E14940" s="5">
        <v>112.1</v>
      </c>
      <c r="F14940" s="5">
        <v>222.4</v>
      </c>
      <c r="G14940" s="5">
        <v>110.5</v>
      </c>
      <c r="H14940" s="5">
        <v>110.4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112</v>
      </c>
      <c r="D14941" s="5">
        <v>0.1</v>
      </c>
      <c r="E14941" s="5">
        <v>112.1</v>
      </c>
      <c r="F14941" s="5">
        <v>222.4</v>
      </c>
      <c r="G14941" s="5">
        <v>110.5</v>
      </c>
      <c r="H14941" s="5">
        <v>110.4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112</v>
      </c>
      <c r="D14942" s="5">
        <v>0.1</v>
      </c>
      <c r="E14942" s="5">
        <v>112.1</v>
      </c>
      <c r="F14942" s="5">
        <v>222.4</v>
      </c>
      <c r="G14942" s="5">
        <v>110.5</v>
      </c>
      <c r="H14942" s="5">
        <v>110.4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112</v>
      </c>
      <c r="D14943" s="5">
        <v>0.1</v>
      </c>
      <c r="E14943" s="5">
        <v>112.1</v>
      </c>
      <c r="F14943" s="5">
        <v>222.4</v>
      </c>
      <c r="G14943" s="5">
        <v>110.5</v>
      </c>
      <c r="H14943" s="5">
        <v>110.4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112</v>
      </c>
      <c r="D14944" s="5">
        <v>0.1</v>
      </c>
      <c r="E14944" s="5">
        <v>112.1</v>
      </c>
      <c r="F14944" s="5">
        <v>222.4</v>
      </c>
      <c r="G14944" s="5">
        <v>110.5</v>
      </c>
      <c r="H14944" s="5">
        <v>110.4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112</v>
      </c>
      <c r="D14945" s="5">
        <v>0.1</v>
      </c>
      <c r="E14945" s="5">
        <v>112.1</v>
      </c>
      <c r="F14945" s="5">
        <v>222.4</v>
      </c>
      <c r="G14945" s="5">
        <v>110.5</v>
      </c>
      <c r="H14945" s="5">
        <v>110.4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112</v>
      </c>
      <c r="D14946" s="5">
        <v>0.1</v>
      </c>
      <c r="E14946" s="5">
        <v>112.1</v>
      </c>
      <c r="F14946" s="5">
        <v>222.4</v>
      </c>
      <c r="G14946" s="5">
        <v>110.5</v>
      </c>
      <c r="H14946" s="5">
        <v>110.4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112</v>
      </c>
      <c r="D14947" s="5">
        <v>0.1</v>
      </c>
      <c r="E14947" s="5">
        <v>112.1</v>
      </c>
      <c r="F14947" s="5">
        <v>222.4</v>
      </c>
      <c r="G14947" s="5">
        <v>110.5</v>
      </c>
      <c r="H14947" s="5">
        <v>110.4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112</v>
      </c>
      <c r="D14948" s="5">
        <v>0.1</v>
      </c>
      <c r="E14948" s="5">
        <v>112.1</v>
      </c>
      <c r="F14948" s="5">
        <v>222.4</v>
      </c>
      <c r="G14948" s="5">
        <v>110.5</v>
      </c>
      <c r="H14948" s="5">
        <v>110.4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112</v>
      </c>
      <c r="D14949" s="5">
        <v>0.1</v>
      </c>
      <c r="E14949" s="5">
        <v>112.1</v>
      </c>
      <c r="F14949" s="5">
        <v>222.4</v>
      </c>
      <c r="G14949" s="5">
        <v>110.5</v>
      </c>
      <c r="H14949" s="5">
        <v>110.4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112</v>
      </c>
      <c r="D14950" s="5">
        <v>0.1</v>
      </c>
      <c r="E14950" s="5">
        <v>112.1</v>
      </c>
      <c r="F14950" s="5">
        <v>222.4</v>
      </c>
      <c r="G14950" s="5">
        <v>110.5</v>
      </c>
      <c r="H14950" s="5">
        <v>110.4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112</v>
      </c>
      <c r="D14951" s="5">
        <v>0.1</v>
      </c>
      <c r="E14951" s="5">
        <v>112.1</v>
      </c>
      <c r="F14951" s="5">
        <v>222.4</v>
      </c>
      <c r="G14951" s="5">
        <v>110.5</v>
      </c>
      <c r="H14951" s="5">
        <v>110.4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112</v>
      </c>
      <c r="D14952" s="5">
        <v>0.1</v>
      </c>
      <c r="E14952" s="5">
        <v>112.1</v>
      </c>
      <c r="F14952" s="5">
        <v>222.4</v>
      </c>
      <c r="G14952" s="5">
        <v>110.5</v>
      </c>
      <c r="H14952" s="5">
        <v>110.4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112</v>
      </c>
      <c r="D14953" s="5">
        <v>0.1</v>
      </c>
      <c r="E14953" s="5">
        <v>112.1</v>
      </c>
      <c r="F14953" s="5">
        <v>222.4</v>
      </c>
      <c r="G14953" s="5">
        <v>110.5</v>
      </c>
      <c r="H14953" s="5">
        <v>110.4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112</v>
      </c>
      <c r="D14954" s="5">
        <v>0.1</v>
      </c>
      <c r="E14954" s="5">
        <v>112.1</v>
      </c>
      <c r="F14954" s="5">
        <v>222.4</v>
      </c>
      <c r="G14954" s="5">
        <v>110.5</v>
      </c>
      <c r="H14954" s="5">
        <v>110.4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112</v>
      </c>
      <c r="D14955" s="5">
        <v>0.1</v>
      </c>
      <c r="E14955" s="5">
        <v>112.1</v>
      </c>
      <c r="F14955" s="5">
        <v>222.4</v>
      </c>
      <c r="G14955" s="5">
        <v>110.5</v>
      </c>
      <c r="H14955" s="5">
        <v>110.4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112</v>
      </c>
      <c r="D14956" s="5">
        <v>0.1</v>
      </c>
      <c r="E14956" s="5">
        <v>112.1</v>
      </c>
      <c r="F14956" s="5">
        <v>222.4</v>
      </c>
      <c r="G14956" s="5">
        <v>110.5</v>
      </c>
      <c r="H14956" s="5">
        <v>110.4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112</v>
      </c>
      <c r="D14957" s="5">
        <v>0.1</v>
      </c>
      <c r="E14957" s="5">
        <v>112.1</v>
      </c>
      <c r="F14957" s="5">
        <v>222.4</v>
      </c>
      <c r="G14957" s="5">
        <v>110.5</v>
      </c>
      <c r="H14957" s="5">
        <v>110.4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112</v>
      </c>
      <c r="D14958" s="5">
        <v>0.1</v>
      </c>
      <c r="E14958" s="5">
        <v>112.1</v>
      </c>
      <c r="F14958" s="5">
        <v>222.4</v>
      </c>
      <c r="G14958" s="5">
        <v>110.5</v>
      </c>
      <c r="H14958" s="5">
        <v>110.4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112</v>
      </c>
      <c r="D14959" s="5">
        <v>0.1</v>
      </c>
      <c r="E14959" s="5">
        <v>112.1</v>
      </c>
      <c r="F14959" s="5">
        <v>222.4</v>
      </c>
      <c r="G14959" s="5">
        <v>110.5</v>
      </c>
      <c r="H14959" s="5">
        <v>110.4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112</v>
      </c>
      <c r="D14960" s="5">
        <v>0.1</v>
      </c>
      <c r="E14960" s="5">
        <v>112.1</v>
      </c>
      <c r="F14960" s="5">
        <v>222.4</v>
      </c>
      <c r="G14960" s="5">
        <v>110.5</v>
      </c>
      <c r="H14960" s="5">
        <v>110.4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112</v>
      </c>
      <c r="D14961" s="5">
        <v>0.1</v>
      </c>
      <c r="E14961" s="5">
        <v>112.1</v>
      </c>
      <c r="F14961" s="5">
        <v>222.4</v>
      </c>
      <c r="G14961" s="5">
        <v>110.5</v>
      </c>
      <c r="H14961" s="5">
        <v>110.4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112</v>
      </c>
      <c r="D14962" s="5">
        <v>0.1</v>
      </c>
      <c r="E14962" s="5">
        <v>112.1</v>
      </c>
      <c r="F14962" s="5">
        <v>222.4</v>
      </c>
      <c r="G14962" s="5">
        <v>110.5</v>
      </c>
      <c r="H14962" s="5">
        <v>110.4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112</v>
      </c>
      <c r="D14963" s="5">
        <v>0.1</v>
      </c>
      <c r="E14963" s="5">
        <v>112.1</v>
      </c>
      <c r="F14963" s="5">
        <v>222.4</v>
      </c>
      <c r="G14963" s="5">
        <v>110.5</v>
      </c>
      <c r="H14963" s="5">
        <v>110.4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112</v>
      </c>
      <c r="D14964" s="5">
        <v>0.1</v>
      </c>
      <c r="E14964" s="5">
        <v>112.1</v>
      </c>
      <c r="F14964" s="5">
        <v>222.4</v>
      </c>
      <c r="G14964" s="5">
        <v>110.5</v>
      </c>
      <c r="H14964" s="5">
        <v>110.4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112</v>
      </c>
      <c r="D14965" s="5">
        <v>0.1</v>
      </c>
      <c r="E14965" s="5">
        <v>112.1</v>
      </c>
      <c r="F14965" s="5">
        <v>222.4</v>
      </c>
      <c r="G14965" s="5">
        <v>110.5</v>
      </c>
      <c r="H14965" s="5">
        <v>110.4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112</v>
      </c>
      <c r="D14966" s="5">
        <v>0.1</v>
      </c>
      <c r="E14966" s="5">
        <v>112.1</v>
      </c>
      <c r="F14966" s="5">
        <v>222.4</v>
      </c>
      <c r="G14966" s="5">
        <v>110.5</v>
      </c>
      <c r="H14966" s="5">
        <v>110.4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112</v>
      </c>
      <c r="D14967" s="5">
        <v>0.1</v>
      </c>
      <c r="E14967" s="5">
        <v>112.1</v>
      </c>
      <c r="F14967" s="5">
        <v>222.4</v>
      </c>
      <c r="G14967" s="5">
        <v>110.5</v>
      </c>
      <c r="H14967" s="5">
        <v>110.4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112</v>
      </c>
      <c r="D14968" s="5">
        <v>0.1</v>
      </c>
      <c r="E14968" s="5">
        <v>112.1</v>
      </c>
      <c r="F14968" s="5">
        <v>222.4</v>
      </c>
      <c r="G14968" s="5">
        <v>110.5</v>
      </c>
      <c r="H14968" s="5">
        <v>110.4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112</v>
      </c>
      <c r="D14969" s="5">
        <v>0.1</v>
      </c>
      <c r="E14969" s="5">
        <v>112.1</v>
      </c>
      <c r="F14969" s="5">
        <v>222.4</v>
      </c>
      <c r="G14969" s="5">
        <v>110.5</v>
      </c>
      <c r="H14969" s="5">
        <v>110.4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112</v>
      </c>
      <c r="D14970" s="5">
        <v>0.1</v>
      </c>
      <c r="E14970" s="5">
        <v>112.1</v>
      </c>
      <c r="F14970" s="5">
        <v>222.4</v>
      </c>
      <c r="G14970" s="5">
        <v>110.5</v>
      </c>
      <c r="H14970" s="5">
        <v>110.4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112</v>
      </c>
      <c r="D14971" s="5">
        <v>0.1</v>
      </c>
      <c r="E14971" s="5">
        <v>112.1</v>
      </c>
      <c r="F14971" s="5">
        <v>222.4</v>
      </c>
      <c r="G14971" s="5">
        <v>110.5</v>
      </c>
      <c r="H14971" s="5">
        <v>110.4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112</v>
      </c>
      <c r="D14972" s="5">
        <v>0.1</v>
      </c>
      <c r="E14972" s="5">
        <v>112.1</v>
      </c>
      <c r="F14972" s="5">
        <v>222.4</v>
      </c>
      <c r="G14972" s="5">
        <v>110.5</v>
      </c>
      <c r="H14972" s="5">
        <v>110.4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112</v>
      </c>
      <c r="D14973" s="5">
        <v>0.1</v>
      </c>
      <c r="E14973" s="5">
        <v>112.1</v>
      </c>
      <c r="F14973" s="5">
        <v>222.4</v>
      </c>
      <c r="G14973" s="5">
        <v>110.5</v>
      </c>
      <c r="H14973" s="5">
        <v>110.4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112</v>
      </c>
      <c r="D14974" s="5">
        <v>0.1</v>
      </c>
      <c r="E14974" s="5">
        <v>112.1</v>
      </c>
      <c r="F14974" s="5">
        <v>222.4</v>
      </c>
      <c r="G14974" s="5">
        <v>110.5</v>
      </c>
      <c r="H14974" s="5">
        <v>110.4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112</v>
      </c>
      <c r="D14975" s="5">
        <v>0.1</v>
      </c>
      <c r="E14975" s="5">
        <v>112.1</v>
      </c>
      <c r="F14975" s="5">
        <v>222.4</v>
      </c>
      <c r="G14975" s="5">
        <v>110.5</v>
      </c>
      <c r="H14975" s="5">
        <v>110.4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112</v>
      </c>
      <c r="D14976" s="5">
        <v>0.1</v>
      </c>
      <c r="E14976" s="5">
        <v>112.1</v>
      </c>
      <c r="F14976" s="5">
        <v>222.4</v>
      </c>
      <c r="G14976" s="5">
        <v>110.5</v>
      </c>
      <c r="H14976" s="5">
        <v>110.4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112</v>
      </c>
      <c r="D14977" s="5">
        <v>0.1</v>
      </c>
      <c r="E14977" s="5">
        <v>112.1</v>
      </c>
      <c r="F14977" s="5">
        <v>222.4</v>
      </c>
      <c r="G14977" s="5">
        <v>110.5</v>
      </c>
      <c r="H14977" s="5">
        <v>110.4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112</v>
      </c>
      <c r="D14978" s="5">
        <v>0.1</v>
      </c>
      <c r="E14978" s="5">
        <v>112.1</v>
      </c>
      <c r="F14978" s="5">
        <v>222.4</v>
      </c>
      <c r="G14978" s="5">
        <v>110.5</v>
      </c>
      <c r="H14978" s="5">
        <v>110.4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112</v>
      </c>
      <c r="D14979" s="5">
        <v>0.1</v>
      </c>
      <c r="E14979" s="5">
        <v>112.1</v>
      </c>
      <c r="F14979" s="5">
        <v>222.4</v>
      </c>
      <c r="G14979" s="5">
        <v>110.5</v>
      </c>
      <c r="H14979" s="5">
        <v>110.4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112</v>
      </c>
      <c r="D14980" s="5">
        <v>0.1</v>
      </c>
      <c r="E14980" s="5">
        <v>112.1</v>
      </c>
      <c r="F14980" s="5">
        <v>222.4</v>
      </c>
      <c r="G14980" s="5">
        <v>110.5</v>
      </c>
      <c r="H14980" s="5">
        <v>110.4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112</v>
      </c>
      <c r="D14981" s="5">
        <v>0.1</v>
      </c>
      <c r="E14981" s="5">
        <v>112.1</v>
      </c>
      <c r="F14981" s="5">
        <v>222.4</v>
      </c>
      <c r="G14981" s="5">
        <v>110.5</v>
      </c>
      <c r="H14981" s="5">
        <v>110.4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112</v>
      </c>
      <c r="D14982" s="5">
        <v>0.1</v>
      </c>
      <c r="E14982" s="5">
        <v>112.1</v>
      </c>
      <c r="F14982" s="5">
        <v>222.4</v>
      </c>
      <c r="G14982" s="5">
        <v>110.5</v>
      </c>
      <c r="H14982" s="5">
        <v>110.4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112</v>
      </c>
      <c r="D14983" s="5">
        <v>0.1</v>
      </c>
      <c r="E14983" s="5">
        <v>112.1</v>
      </c>
      <c r="F14983" s="5">
        <v>222.4</v>
      </c>
      <c r="G14983" s="5">
        <v>110.5</v>
      </c>
      <c r="H14983" s="5">
        <v>110.4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112</v>
      </c>
      <c r="D14984" s="5">
        <v>0.1</v>
      </c>
      <c r="E14984" s="5">
        <v>112.1</v>
      </c>
      <c r="F14984" s="5">
        <v>222.4</v>
      </c>
      <c r="G14984" s="5">
        <v>110.5</v>
      </c>
      <c r="H14984" s="5">
        <v>110.4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112</v>
      </c>
      <c r="D14985" s="5">
        <v>0.1</v>
      </c>
      <c r="E14985" s="5">
        <v>112.1</v>
      </c>
      <c r="F14985" s="5">
        <v>222.4</v>
      </c>
      <c r="G14985" s="5">
        <v>110.5</v>
      </c>
      <c r="H14985" s="5">
        <v>110.4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112</v>
      </c>
      <c r="D14986" s="5">
        <v>0.1</v>
      </c>
      <c r="E14986" s="5">
        <v>112.1</v>
      </c>
      <c r="F14986" s="5">
        <v>222.4</v>
      </c>
      <c r="G14986" s="5">
        <v>110.5</v>
      </c>
      <c r="H14986" s="5">
        <v>110.4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112</v>
      </c>
      <c r="D14987" s="5">
        <v>0.1</v>
      </c>
      <c r="E14987" s="5">
        <v>112.1</v>
      </c>
      <c r="F14987" s="5">
        <v>222.4</v>
      </c>
      <c r="G14987" s="5">
        <v>110.5</v>
      </c>
      <c r="H14987" s="5">
        <v>110.4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112</v>
      </c>
      <c r="D14988" s="5">
        <v>0.1</v>
      </c>
      <c r="E14988" s="5">
        <v>112.1</v>
      </c>
      <c r="F14988" s="5">
        <v>222.4</v>
      </c>
      <c r="G14988" s="5">
        <v>110.5</v>
      </c>
      <c r="H14988" s="5">
        <v>110.4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112</v>
      </c>
      <c r="D14989" s="5">
        <v>0.1</v>
      </c>
      <c r="E14989" s="5">
        <v>112.1</v>
      </c>
      <c r="F14989" s="5">
        <v>222.4</v>
      </c>
      <c r="G14989" s="5">
        <v>110.5</v>
      </c>
      <c r="H14989" s="5">
        <v>110.4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112</v>
      </c>
      <c r="D14990" s="5">
        <v>0.1</v>
      </c>
      <c r="E14990" s="5">
        <v>112.1</v>
      </c>
      <c r="F14990" s="5">
        <v>222.4</v>
      </c>
      <c r="G14990" s="5">
        <v>110.5</v>
      </c>
      <c r="H14990" s="5">
        <v>110.4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112</v>
      </c>
      <c r="D14991" s="5">
        <v>0.1</v>
      </c>
      <c r="E14991" s="5">
        <v>112.1</v>
      </c>
      <c r="F14991" s="5">
        <v>222.4</v>
      </c>
      <c r="G14991" s="5">
        <v>110.5</v>
      </c>
      <c r="H14991" s="5">
        <v>110.4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112</v>
      </c>
      <c r="D14992" s="5">
        <v>0.1</v>
      </c>
      <c r="E14992" s="5">
        <v>112.1</v>
      </c>
      <c r="F14992" s="5">
        <v>222.4</v>
      </c>
      <c r="G14992" s="5">
        <v>110.5</v>
      </c>
      <c r="H14992" s="5">
        <v>110.4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112</v>
      </c>
      <c r="D14993" s="5">
        <v>0.1</v>
      </c>
      <c r="E14993" s="5">
        <v>112.1</v>
      </c>
      <c r="F14993" s="5">
        <v>222.4</v>
      </c>
      <c r="G14993" s="5">
        <v>110.5</v>
      </c>
      <c r="H14993" s="5">
        <v>110.4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112</v>
      </c>
      <c r="D14994" s="5">
        <v>0.1</v>
      </c>
      <c r="E14994" s="5">
        <v>112.1</v>
      </c>
      <c r="F14994" s="5">
        <v>222.4</v>
      </c>
      <c r="G14994" s="5">
        <v>110.5</v>
      </c>
      <c r="H14994" s="5">
        <v>110.4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112</v>
      </c>
      <c r="D14995" s="5">
        <v>0.1</v>
      </c>
      <c r="E14995" s="5">
        <v>112.1</v>
      </c>
      <c r="F14995" s="5">
        <v>222.4</v>
      </c>
      <c r="G14995" s="5">
        <v>110.5</v>
      </c>
      <c r="H14995" s="5">
        <v>110.4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112</v>
      </c>
      <c r="D14996" s="5">
        <v>0.1</v>
      </c>
      <c r="E14996" s="5">
        <v>112.1</v>
      </c>
      <c r="F14996" s="5">
        <v>222.4</v>
      </c>
      <c r="G14996" s="5">
        <v>110.5</v>
      </c>
      <c r="H14996" s="5">
        <v>110.4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112</v>
      </c>
      <c r="D14997" s="5">
        <v>0.1</v>
      </c>
      <c r="E14997" s="5">
        <v>112.1</v>
      </c>
      <c r="F14997" s="5">
        <v>222.4</v>
      </c>
      <c r="G14997" s="5">
        <v>110.5</v>
      </c>
      <c r="H14997" s="5">
        <v>110.4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112</v>
      </c>
      <c r="D14998" s="5">
        <v>0.1</v>
      </c>
      <c r="E14998" s="5">
        <v>112.1</v>
      </c>
      <c r="F14998" s="5">
        <v>222.4</v>
      </c>
      <c r="G14998" s="5">
        <v>110.5</v>
      </c>
      <c r="H14998" s="5">
        <v>110.4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112</v>
      </c>
      <c r="D14999" s="5">
        <v>0.1</v>
      </c>
      <c r="E14999" s="5">
        <v>112.1</v>
      </c>
      <c r="F14999" s="5">
        <v>222.4</v>
      </c>
      <c r="G14999" s="5">
        <v>110.5</v>
      </c>
      <c r="H14999" s="5">
        <v>110.4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112</v>
      </c>
      <c r="D15000" s="5">
        <v>0.1</v>
      </c>
      <c r="E15000" s="5">
        <v>112.1</v>
      </c>
      <c r="F15000" s="5">
        <v>222.4</v>
      </c>
      <c r="G15000" s="5">
        <v>110.5</v>
      </c>
      <c r="H15000" s="5">
        <v>110.4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112</v>
      </c>
      <c r="D15001" s="5">
        <v>0.1</v>
      </c>
      <c r="E15001" s="5">
        <v>112.1</v>
      </c>
      <c r="F15001" s="5">
        <v>222.4</v>
      </c>
      <c r="G15001" s="5">
        <v>110.5</v>
      </c>
      <c r="H15001" s="5">
        <v>110.4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112</v>
      </c>
      <c r="D15002" s="5">
        <v>0.1</v>
      </c>
      <c r="E15002" s="5">
        <v>112.1</v>
      </c>
      <c r="F15002" s="5">
        <v>222.4</v>
      </c>
      <c r="G15002" s="5">
        <v>110.5</v>
      </c>
      <c r="H15002" s="5">
        <v>110.4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112</v>
      </c>
      <c r="D15003" s="5">
        <v>0.1</v>
      </c>
      <c r="E15003" s="5">
        <v>112.1</v>
      </c>
      <c r="F15003" s="5">
        <v>222.4</v>
      </c>
      <c r="G15003" s="5">
        <v>110.5</v>
      </c>
      <c r="H15003" s="5">
        <v>110.4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112</v>
      </c>
      <c r="D15004" s="5">
        <v>0.1</v>
      </c>
      <c r="E15004" s="5">
        <v>112.1</v>
      </c>
      <c r="F15004" s="5">
        <v>222.4</v>
      </c>
      <c r="G15004" s="5">
        <v>110.5</v>
      </c>
      <c r="H15004" s="5">
        <v>110.4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112</v>
      </c>
      <c r="D15005" s="5">
        <v>0.1</v>
      </c>
      <c r="E15005" s="5">
        <v>112.1</v>
      </c>
      <c r="F15005" s="5">
        <v>222.4</v>
      </c>
      <c r="G15005" s="5">
        <v>110.5</v>
      </c>
      <c r="H15005" s="5">
        <v>110.4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112</v>
      </c>
      <c r="D15006" s="5">
        <v>0.1</v>
      </c>
      <c r="E15006" s="5">
        <v>112.1</v>
      </c>
      <c r="F15006" s="5">
        <v>222.4</v>
      </c>
      <c r="G15006" s="5">
        <v>110.5</v>
      </c>
      <c r="H15006" s="5">
        <v>110.4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112</v>
      </c>
      <c r="D15007" s="5">
        <v>0.1</v>
      </c>
      <c r="E15007" s="5">
        <v>112.1</v>
      </c>
      <c r="F15007" s="5">
        <v>222.4</v>
      </c>
      <c r="G15007" s="5">
        <v>110.5</v>
      </c>
      <c r="H15007" s="5">
        <v>110.4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112</v>
      </c>
      <c r="D15008" s="5">
        <v>0.1</v>
      </c>
      <c r="E15008" s="5">
        <v>112.1</v>
      </c>
      <c r="F15008" s="5">
        <v>222.4</v>
      </c>
      <c r="G15008" s="5">
        <v>110.5</v>
      </c>
      <c r="H15008" s="5">
        <v>110.4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112</v>
      </c>
      <c r="D15009" s="5">
        <v>0.1</v>
      </c>
      <c r="E15009" s="5">
        <v>112.1</v>
      </c>
      <c r="F15009" s="5">
        <v>222.4</v>
      </c>
      <c r="G15009" s="5">
        <v>110.5</v>
      </c>
      <c r="H15009" s="5">
        <v>110.4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112</v>
      </c>
      <c r="D15010" s="5">
        <v>0.1</v>
      </c>
      <c r="E15010" s="5">
        <v>112.1</v>
      </c>
      <c r="F15010" s="5">
        <v>222.4</v>
      </c>
      <c r="G15010" s="5">
        <v>110.5</v>
      </c>
      <c r="H15010" s="5">
        <v>110.4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112</v>
      </c>
      <c r="D15011" s="5">
        <v>0.1</v>
      </c>
      <c r="E15011" s="5">
        <v>112.1</v>
      </c>
      <c r="F15011" s="5">
        <v>222.4</v>
      </c>
      <c r="G15011" s="5">
        <v>110.5</v>
      </c>
      <c r="H15011" s="5">
        <v>110.4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112</v>
      </c>
      <c r="D15012" s="5">
        <v>0.1</v>
      </c>
      <c r="E15012" s="5">
        <v>112.1</v>
      </c>
      <c r="F15012" s="5">
        <v>222.4</v>
      </c>
      <c r="G15012" s="5">
        <v>110.5</v>
      </c>
      <c r="H15012" s="5">
        <v>110.4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112</v>
      </c>
      <c r="D15013" s="5">
        <v>0.1</v>
      </c>
      <c r="E15013" s="5">
        <v>112.1</v>
      </c>
      <c r="F15013" s="5">
        <v>222.4</v>
      </c>
      <c r="G15013" s="5">
        <v>110.5</v>
      </c>
      <c r="H15013" s="5">
        <v>110.4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112</v>
      </c>
      <c r="D15014" s="5">
        <v>0.1</v>
      </c>
      <c r="E15014" s="5">
        <v>112.1</v>
      </c>
      <c r="F15014" s="5">
        <v>222.4</v>
      </c>
      <c r="G15014" s="5">
        <v>110.5</v>
      </c>
      <c r="H15014" s="5">
        <v>110.4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112</v>
      </c>
      <c r="D15015" s="5">
        <v>0.1</v>
      </c>
      <c r="E15015" s="5">
        <v>112.1</v>
      </c>
      <c r="F15015" s="5">
        <v>222.4</v>
      </c>
      <c r="G15015" s="5">
        <v>110.5</v>
      </c>
      <c r="H15015" s="5">
        <v>110.4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112</v>
      </c>
      <c r="D15016" s="5">
        <v>0.1</v>
      </c>
      <c r="E15016" s="5">
        <v>112.1</v>
      </c>
      <c r="F15016" s="5">
        <v>222.4</v>
      </c>
      <c r="G15016" s="5">
        <v>110.5</v>
      </c>
      <c r="H15016" s="5">
        <v>110.4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112</v>
      </c>
      <c r="D15017" s="5">
        <v>0.1</v>
      </c>
      <c r="E15017" s="5">
        <v>112.1</v>
      </c>
      <c r="F15017" s="5">
        <v>222.4</v>
      </c>
      <c r="G15017" s="5">
        <v>110.5</v>
      </c>
      <c r="H15017" s="5">
        <v>110.4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112</v>
      </c>
      <c r="D15018" s="5">
        <v>0.1</v>
      </c>
      <c r="E15018" s="5">
        <v>112.1</v>
      </c>
      <c r="F15018" s="5">
        <v>222.4</v>
      </c>
      <c r="G15018" s="5">
        <v>110.5</v>
      </c>
      <c r="H15018" s="5">
        <v>110.4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112</v>
      </c>
      <c r="D15019" s="5">
        <v>0.1</v>
      </c>
      <c r="E15019" s="5">
        <v>112.1</v>
      </c>
      <c r="F15019" s="5">
        <v>222.4</v>
      </c>
      <c r="G15019" s="5">
        <v>110.5</v>
      </c>
      <c r="H15019" s="5">
        <v>110.4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112</v>
      </c>
      <c r="D15020" s="5">
        <v>0.1</v>
      </c>
      <c r="E15020" s="5">
        <v>112.1</v>
      </c>
      <c r="F15020" s="5">
        <v>222.4</v>
      </c>
      <c r="G15020" s="5">
        <v>110.5</v>
      </c>
      <c r="H15020" s="5">
        <v>110.4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112</v>
      </c>
      <c r="D15021" s="5">
        <v>0.1</v>
      </c>
      <c r="E15021" s="5">
        <v>112.1</v>
      </c>
      <c r="F15021" s="5">
        <v>222.4</v>
      </c>
      <c r="G15021" s="5">
        <v>110.5</v>
      </c>
      <c r="H15021" s="5">
        <v>110.4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112</v>
      </c>
      <c r="D15022" s="5">
        <v>0.1</v>
      </c>
      <c r="E15022" s="5">
        <v>112.1</v>
      </c>
      <c r="F15022" s="5">
        <v>222.4</v>
      </c>
      <c r="G15022" s="5">
        <v>110.5</v>
      </c>
      <c r="H15022" s="5">
        <v>110.4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112</v>
      </c>
      <c r="D15023" s="5">
        <v>0.1</v>
      </c>
      <c r="E15023" s="5">
        <v>112.1</v>
      </c>
      <c r="F15023" s="5">
        <v>222.4</v>
      </c>
      <c r="G15023" s="5">
        <v>110.5</v>
      </c>
      <c r="H15023" s="5">
        <v>110.4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112</v>
      </c>
      <c r="D15024" s="5">
        <v>0.1</v>
      </c>
      <c r="E15024" s="5">
        <v>112.1</v>
      </c>
      <c r="F15024" s="5">
        <v>222.4</v>
      </c>
      <c r="G15024" s="5">
        <v>110.5</v>
      </c>
      <c r="H15024" s="5">
        <v>110.4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112</v>
      </c>
      <c r="D15025" s="5">
        <v>0.1</v>
      </c>
      <c r="E15025" s="5">
        <v>112.1</v>
      </c>
      <c r="F15025" s="5">
        <v>222.4</v>
      </c>
      <c r="G15025" s="5">
        <v>110.5</v>
      </c>
      <c r="H15025" s="5">
        <v>110.4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112</v>
      </c>
      <c r="D15026" s="5">
        <v>0.1</v>
      </c>
      <c r="E15026" s="5">
        <v>112.1</v>
      </c>
      <c r="F15026" s="5">
        <v>222.4</v>
      </c>
      <c r="G15026" s="5">
        <v>110.5</v>
      </c>
      <c r="H15026" s="5">
        <v>110.4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112</v>
      </c>
      <c r="D15027" s="5">
        <v>0.1</v>
      </c>
      <c r="E15027" s="5">
        <v>112.1</v>
      </c>
      <c r="F15027" s="5">
        <v>222.4</v>
      </c>
      <c r="G15027" s="5">
        <v>110.5</v>
      </c>
      <c r="H15027" s="5">
        <v>110.4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112</v>
      </c>
      <c r="D15028" s="5">
        <v>0.1</v>
      </c>
      <c r="E15028" s="5">
        <v>112.1</v>
      </c>
      <c r="F15028" s="5">
        <v>222.4</v>
      </c>
      <c r="G15028" s="5">
        <v>110.5</v>
      </c>
      <c r="H15028" s="5">
        <v>110.4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112</v>
      </c>
      <c r="D15029" s="5">
        <v>0.1</v>
      </c>
      <c r="E15029" s="5">
        <v>112.1</v>
      </c>
      <c r="F15029" s="5">
        <v>222.4</v>
      </c>
      <c r="G15029" s="5">
        <v>110.5</v>
      </c>
      <c r="H15029" s="5">
        <v>110.4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112</v>
      </c>
      <c r="D15030" s="5">
        <v>0.1</v>
      </c>
      <c r="E15030" s="5">
        <v>112.1</v>
      </c>
      <c r="F15030" s="5">
        <v>222.4</v>
      </c>
      <c r="G15030" s="5">
        <v>110.5</v>
      </c>
      <c r="H15030" s="5">
        <v>110.4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112</v>
      </c>
      <c r="D15031" s="5">
        <v>0.1</v>
      </c>
      <c r="E15031" s="5">
        <v>112.1</v>
      </c>
      <c r="F15031" s="5">
        <v>222.4</v>
      </c>
      <c r="G15031" s="5">
        <v>110.5</v>
      </c>
      <c r="H15031" s="5">
        <v>110.4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112</v>
      </c>
      <c r="D15032" s="5">
        <v>0.1</v>
      </c>
      <c r="E15032" s="5">
        <v>112.1</v>
      </c>
      <c r="F15032" s="5">
        <v>222.4</v>
      </c>
      <c r="G15032" s="5">
        <v>110.5</v>
      </c>
      <c r="H15032" s="5">
        <v>110.4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112</v>
      </c>
      <c r="D15033" s="5">
        <v>0.1</v>
      </c>
      <c r="E15033" s="5">
        <v>112.1</v>
      </c>
      <c r="F15033" s="5">
        <v>222.4</v>
      </c>
      <c r="G15033" s="5">
        <v>110.5</v>
      </c>
      <c r="H15033" s="5">
        <v>110.4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112</v>
      </c>
      <c r="D15034" s="5">
        <v>0.1</v>
      </c>
      <c r="E15034" s="5">
        <v>112.1</v>
      </c>
      <c r="F15034" s="5">
        <v>222.4</v>
      </c>
      <c r="G15034" s="5">
        <v>110.5</v>
      </c>
      <c r="H15034" s="5">
        <v>110.4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112</v>
      </c>
      <c r="D15035" s="5">
        <v>0.1</v>
      </c>
      <c r="E15035" s="5">
        <v>112.1</v>
      </c>
      <c r="F15035" s="5">
        <v>222.4</v>
      </c>
      <c r="G15035" s="5">
        <v>110.5</v>
      </c>
      <c r="H15035" s="5">
        <v>110.4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112</v>
      </c>
      <c r="D15036" s="5">
        <v>0.1</v>
      </c>
      <c r="E15036" s="5">
        <v>112.1</v>
      </c>
      <c r="F15036" s="5">
        <v>222.4</v>
      </c>
      <c r="G15036" s="5">
        <v>110.5</v>
      </c>
      <c r="H15036" s="5">
        <v>110.4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112</v>
      </c>
      <c r="D15037" s="5">
        <v>0.1</v>
      </c>
      <c r="E15037" s="5">
        <v>112.1</v>
      </c>
      <c r="F15037" s="5">
        <v>222.4</v>
      </c>
      <c r="G15037" s="5">
        <v>110.5</v>
      </c>
      <c r="H15037" s="5">
        <v>110.4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112</v>
      </c>
      <c r="D15038" s="5">
        <v>0.1</v>
      </c>
      <c r="E15038" s="5">
        <v>112.1</v>
      </c>
      <c r="F15038" s="5">
        <v>222.4</v>
      </c>
      <c r="G15038" s="5">
        <v>110.5</v>
      </c>
      <c r="H15038" s="5">
        <v>110.4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112</v>
      </c>
      <c r="D15039" s="5">
        <v>0.1</v>
      </c>
      <c r="E15039" s="5">
        <v>112.1</v>
      </c>
      <c r="F15039" s="5">
        <v>222.4</v>
      </c>
      <c r="G15039" s="5">
        <v>110.5</v>
      </c>
      <c r="H15039" s="5">
        <v>110.4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112</v>
      </c>
      <c r="D15040" s="5">
        <v>0.1</v>
      </c>
      <c r="E15040" s="5">
        <v>112.1</v>
      </c>
      <c r="F15040" s="5">
        <v>222.4</v>
      </c>
      <c r="G15040" s="5">
        <v>110.5</v>
      </c>
      <c r="H15040" s="5">
        <v>110.4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112</v>
      </c>
      <c r="D15041" s="5">
        <v>0.1</v>
      </c>
      <c r="E15041" s="5">
        <v>112.1</v>
      </c>
      <c r="F15041" s="5">
        <v>222.4</v>
      </c>
      <c r="G15041" s="5">
        <v>110.5</v>
      </c>
      <c r="H15041" s="5">
        <v>110.4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112</v>
      </c>
      <c r="D15042" s="5">
        <v>0.1</v>
      </c>
      <c r="E15042" s="5">
        <v>112.1</v>
      </c>
      <c r="F15042" s="5">
        <v>222.4</v>
      </c>
      <c r="G15042" s="5">
        <v>110.5</v>
      </c>
      <c r="H15042" s="5">
        <v>110.4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112</v>
      </c>
      <c r="D15043" s="5">
        <v>0.1</v>
      </c>
      <c r="E15043" s="5">
        <v>112.1</v>
      </c>
      <c r="F15043" s="5">
        <v>222.4</v>
      </c>
      <c r="G15043" s="5">
        <v>110.5</v>
      </c>
      <c r="H15043" s="5">
        <v>110.4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112</v>
      </c>
      <c r="D15044" s="5">
        <v>0.1</v>
      </c>
      <c r="E15044" s="5">
        <v>112.1</v>
      </c>
      <c r="F15044" s="5">
        <v>222.4</v>
      </c>
      <c r="G15044" s="5">
        <v>110.5</v>
      </c>
      <c r="H15044" s="5">
        <v>110.4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112</v>
      </c>
      <c r="D15045" s="5">
        <v>0.1</v>
      </c>
      <c r="E15045" s="5">
        <v>112.1</v>
      </c>
      <c r="F15045" s="5">
        <v>222.4</v>
      </c>
      <c r="G15045" s="5">
        <v>110.5</v>
      </c>
      <c r="H15045" s="5">
        <v>110.4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112</v>
      </c>
      <c r="D15046" s="5">
        <v>0.1</v>
      </c>
      <c r="E15046" s="5">
        <v>112.1</v>
      </c>
      <c r="F15046" s="5">
        <v>222.4</v>
      </c>
      <c r="G15046" s="5">
        <v>110.5</v>
      </c>
      <c r="H15046" s="5">
        <v>110.4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112</v>
      </c>
      <c r="D15047" s="5">
        <v>0.1</v>
      </c>
      <c r="E15047" s="5">
        <v>112.1</v>
      </c>
      <c r="F15047" s="5">
        <v>222.4</v>
      </c>
      <c r="G15047" s="5">
        <v>110.5</v>
      </c>
      <c r="H15047" s="5">
        <v>110.4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112</v>
      </c>
      <c r="D15048" s="5">
        <v>0.1</v>
      </c>
      <c r="E15048" s="5">
        <v>112.1</v>
      </c>
      <c r="F15048" s="5">
        <v>222.4</v>
      </c>
      <c r="G15048" s="5">
        <v>110.5</v>
      </c>
      <c r="H15048" s="5">
        <v>110.4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112</v>
      </c>
      <c r="D15049" s="5">
        <v>0.1</v>
      </c>
      <c r="E15049" s="5">
        <v>112.1</v>
      </c>
      <c r="F15049" s="5">
        <v>222.4</v>
      </c>
      <c r="G15049" s="5">
        <v>110.5</v>
      </c>
      <c r="H15049" s="5">
        <v>110.4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112</v>
      </c>
      <c r="D15050" s="5">
        <v>0.1</v>
      </c>
      <c r="E15050" s="5">
        <v>112.1</v>
      </c>
      <c r="F15050" s="5">
        <v>222.4</v>
      </c>
      <c r="G15050" s="5">
        <v>110.5</v>
      </c>
      <c r="H15050" s="5">
        <v>110.4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112</v>
      </c>
      <c r="D15051" s="5">
        <v>0.1</v>
      </c>
      <c r="E15051" s="5">
        <v>112.1</v>
      </c>
      <c r="F15051" s="5">
        <v>222.4</v>
      </c>
      <c r="G15051" s="5">
        <v>110.5</v>
      </c>
      <c r="H15051" s="5">
        <v>110.4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112</v>
      </c>
      <c r="D15052" s="5">
        <v>0.1</v>
      </c>
      <c r="E15052" s="5">
        <v>112.1</v>
      </c>
      <c r="F15052" s="5">
        <v>222.4</v>
      </c>
      <c r="G15052" s="5">
        <v>110.5</v>
      </c>
      <c r="H15052" s="5">
        <v>110.4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112</v>
      </c>
      <c r="D15053" s="5">
        <v>0.1</v>
      </c>
      <c r="E15053" s="5">
        <v>112.1</v>
      </c>
      <c r="F15053" s="5">
        <v>222.4</v>
      </c>
      <c r="G15053" s="5">
        <v>110.5</v>
      </c>
      <c r="H15053" s="5">
        <v>110.4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112</v>
      </c>
      <c r="D15054" s="5">
        <v>0.1</v>
      </c>
      <c r="E15054" s="5">
        <v>112.1</v>
      </c>
      <c r="F15054" s="5">
        <v>222.4</v>
      </c>
      <c r="G15054" s="5">
        <v>110.5</v>
      </c>
      <c r="H15054" s="5">
        <v>110.4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112</v>
      </c>
      <c r="D15055" s="5">
        <v>0.1</v>
      </c>
      <c r="E15055" s="5">
        <v>112.1</v>
      </c>
      <c r="F15055" s="5">
        <v>222.4</v>
      </c>
      <c r="G15055" s="5">
        <v>110.5</v>
      </c>
      <c r="H15055" s="5">
        <v>110.4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112</v>
      </c>
      <c r="D15056" s="5">
        <v>0.1</v>
      </c>
      <c r="E15056" s="5">
        <v>112.1</v>
      </c>
      <c r="F15056" s="5">
        <v>222.4</v>
      </c>
      <c r="G15056" s="5">
        <v>110.5</v>
      </c>
      <c r="H15056" s="5">
        <v>110.4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112</v>
      </c>
      <c r="D15057" s="5">
        <v>0.1</v>
      </c>
      <c r="E15057" s="5">
        <v>112.1</v>
      </c>
      <c r="F15057" s="5">
        <v>222.4</v>
      </c>
      <c r="G15057" s="5">
        <v>110.5</v>
      </c>
      <c r="H15057" s="5">
        <v>110.4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112</v>
      </c>
      <c r="D15058" s="5">
        <v>0.1</v>
      </c>
      <c r="E15058" s="5">
        <v>112.1</v>
      </c>
      <c r="F15058" s="5">
        <v>222.4</v>
      </c>
      <c r="G15058" s="5">
        <v>110.5</v>
      </c>
      <c r="H15058" s="5">
        <v>110.4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112</v>
      </c>
      <c r="D15059" s="5">
        <v>0.1</v>
      </c>
      <c r="E15059" s="5">
        <v>112.1</v>
      </c>
      <c r="F15059" s="5">
        <v>222.4</v>
      </c>
      <c r="G15059" s="5">
        <v>110.5</v>
      </c>
      <c r="H15059" s="5">
        <v>110.4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112</v>
      </c>
      <c r="D15060" s="5">
        <v>0.1</v>
      </c>
      <c r="E15060" s="5">
        <v>112.1</v>
      </c>
      <c r="F15060" s="5">
        <v>222.4</v>
      </c>
      <c r="G15060" s="5">
        <v>110.5</v>
      </c>
      <c r="H15060" s="5">
        <v>110.4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112</v>
      </c>
      <c r="D15061" s="5">
        <v>0.1</v>
      </c>
      <c r="E15061" s="5">
        <v>112.1</v>
      </c>
      <c r="F15061" s="5">
        <v>222.4</v>
      </c>
      <c r="G15061" s="5">
        <v>110.5</v>
      </c>
      <c r="H15061" s="5">
        <v>110.4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112</v>
      </c>
      <c r="D15062" s="5">
        <v>0.1</v>
      </c>
      <c r="E15062" s="5">
        <v>112.1</v>
      </c>
      <c r="F15062" s="5">
        <v>222.4</v>
      </c>
      <c r="G15062" s="5">
        <v>110.5</v>
      </c>
      <c r="H15062" s="5">
        <v>110.4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112</v>
      </c>
      <c r="D15063" s="5">
        <v>0.1</v>
      </c>
      <c r="E15063" s="5">
        <v>112.1</v>
      </c>
      <c r="F15063" s="5">
        <v>222.4</v>
      </c>
      <c r="G15063" s="5">
        <v>110.5</v>
      </c>
      <c r="H15063" s="5">
        <v>110.4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112</v>
      </c>
      <c r="D15064" s="5">
        <v>0.1</v>
      </c>
      <c r="E15064" s="5">
        <v>112.1</v>
      </c>
      <c r="F15064" s="5">
        <v>222.4</v>
      </c>
      <c r="G15064" s="5">
        <v>110.5</v>
      </c>
      <c r="H15064" s="5">
        <v>110.4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112</v>
      </c>
      <c r="D15065" s="5">
        <v>0.1</v>
      </c>
      <c r="E15065" s="5">
        <v>112.1</v>
      </c>
      <c r="F15065" s="5">
        <v>222.4</v>
      </c>
      <c r="G15065" s="5">
        <v>110.5</v>
      </c>
      <c r="H15065" s="5">
        <v>110.4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112</v>
      </c>
      <c r="D15066" s="5">
        <v>0.1</v>
      </c>
      <c r="E15066" s="5">
        <v>112.1</v>
      </c>
      <c r="F15066" s="5">
        <v>222.4</v>
      </c>
      <c r="G15066" s="5">
        <v>110.5</v>
      </c>
      <c r="H15066" s="5">
        <v>110.4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112</v>
      </c>
      <c r="D15067" s="5">
        <v>0.1</v>
      </c>
      <c r="E15067" s="5">
        <v>112.1</v>
      </c>
      <c r="F15067" s="5">
        <v>222.4</v>
      </c>
      <c r="G15067" s="5">
        <v>110.5</v>
      </c>
      <c r="H15067" s="5">
        <v>110.4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112</v>
      </c>
      <c r="D15068" s="5">
        <v>0.1</v>
      </c>
      <c r="E15068" s="5">
        <v>112.1</v>
      </c>
      <c r="F15068" s="5">
        <v>222.4</v>
      </c>
      <c r="G15068" s="5">
        <v>110.5</v>
      </c>
      <c r="H15068" s="5">
        <v>110.4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112</v>
      </c>
      <c r="D15069" s="5">
        <v>0.1</v>
      </c>
      <c r="E15069" s="5">
        <v>112.1</v>
      </c>
      <c r="F15069" s="5">
        <v>222.4</v>
      </c>
      <c r="G15069" s="5">
        <v>110.5</v>
      </c>
      <c r="H15069" s="5">
        <v>110.4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112</v>
      </c>
      <c r="D15070" s="5">
        <v>0.1</v>
      </c>
      <c r="E15070" s="5">
        <v>112.1</v>
      </c>
      <c r="F15070" s="5">
        <v>222.4</v>
      </c>
      <c r="G15070" s="5">
        <v>110.5</v>
      </c>
      <c r="H15070" s="5">
        <v>110.4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112</v>
      </c>
      <c r="D15071" s="5">
        <v>0.1</v>
      </c>
      <c r="E15071" s="5">
        <v>112.1</v>
      </c>
      <c r="F15071" s="5">
        <v>222.4</v>
      </c>
      <c r="G15071" s="5">
        <v>110.5</v>
      </c>
      <c r="H15071" s="5">
        <v>110.4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112</v>
      </c>
      <c r="D15072" s="5">
        <v>0.1</v>
      </c>
      <c r="E15072" s="5">
        <v>112.1</v>
      </c>
      <c r="F15072" s="5">
        <v>222.4</v>
      </c>
      <c r="G15072" s="5">
        <v>110.5</v>
      </c>
      <c r="H15072" s="5">
        <v>110.4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112</v>
      </c>
      <c r="D15073" s="5">
        <v>0.1</v>
      </c>
      <c r="E15073" s="5">
        <v>112.1</v>
      </c>
      <c r="F15073" s="5">
        <v>222.4</v>
      </c>
      <c r="G15073" s="5">
        <v>110.5</v>
      </c>
      <c r="H15073" s="5">
        <v>110.4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112</v>
      </c>
      <c r="D15074" s="5">
        <v>0.1</v>
      </c>
      <c r="E15074" s="5">
        <v>112.1</v>
      </c>
      <c r="F15074" s="5">
        <v>222.4</v>
      </c>
      <c r="G15074" s="5">
        <v>110.5</v>
      </c>
      <c r="H15074" s="5">
        <v>110.4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112</v>
      </c>
      <c r="D15075" s="5">
        <v>0.1</v>
      </c>
      <c r="E15075" s="5">
        <v>112.1</v>
      </c>
      <c r="F15075" s="5">
        <v>222.4</v>
      </c>
      <c r="G15075" s="5">
        <v>110.5</v>
      </c>
      <c r="H15075" s="5">
        <v>110.4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112</v>
      </c>
      <c r="D15076" s="5">
        <v>0.1</v>
      </c>
      <c r="E15076" s="5">
        <v>112.1</v>
      </c>
      <c r="F15076" s="5">
        <v>222.4</v>
      </c>
      <c r="G15076" s="5">
        <v>110.5</v>
      </c>
      <c r="H15076" s="5">
        <v>110.4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112</v>
      </c>
      <c r="D15077" s="5">
        <v>0.1</v>
      </c>
      <c r="E15077" s="5">
        <v>112.1</v>
      </c>
      <c r="F15077" s="5">
        <v>222.4</v>
      </c>
      <c r="G15077" s="5">
        <v>110.5</v>
      </c>
      <c r="H15077" s="5">
        <v>110.4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112</v>
      </c>
      <c r="D15078" s="5">
        <v>0.1</v>
      </c>
      <c r="E15078" s="5">
        <v>112.1</v>
      </c>
      <c r="F15078" s="5">
        <v>222.4</v>
      </c>
      <c r="G15078" s="5">
        <v>110.5</v>
      </c>
      <c r="H15078" s="5">
        <v>110.4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112</v>
      </c>
      <c r="D15079" s="5">
        <v>0.1</v>
      </c>
      <c r="E15079" s="5">
        <v>112.1</v>
      </c>
      <c r="F15079" s="5">
        <v>222.4</v>
      </c>
      <c r="G15079" s="5">
        <v>110.5</v>
      </c>
      <c r="H15079" s="5">
        <v>110.4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112</v>
      </c>
      <c r="D15080" s="5">
        <v>0.1</v>
      </c>
      <c r="E15080" s="5">
        <v>112.1</v>
      </c>
      <c r="F15080" s="5">
        <v>222.4</v>
      </c>
      <c r="G15080" s="5">
        <v>110.5</v>
      </c>
      <c r="H15080" s="5">
        <v>110.4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112</v>
      </c>
      <c r="D15081" s="5">
        <v>0.1</v>
      </c>
      <c r="E15081" s="5">
        <v>112.1</v>
      </c>
      <c r="F15081" s="5">
        <v>222.4</v>
      </c>
      <c r="G15081" s="5">
        <v>110.5</v>
      </c>
      <c r="H15081" s="5">
        <v>110.4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112</v>
      </c>
      <c r="D15082" s="5">
        <v>0.1</v>
      </c>
      <c r="E15082" s="5">
        <v>112.1</v>
      </c>
      <c r="F15082" s="5">
        <v>222.4</v>
      </c>
      <c r="G15082" s="5">
        <v>110.5</v>
      </c>
      <c r="H15082" s="5">
        <v>110.4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112</v>
      </c>
      <c r="D15083" s="5">
        <v>0.1</v>
      </c>
      <c r="E15083" s="5">
        <v>112.1</v>
      </c>
      <c r="F15083" s="5">
        <v>222.4</v>
      </c>
      <c r="G15083" s="5">
        <v>110.5</v>
      </c>
      <c r="H15083" s="5">
        <v>110.4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112</v>
      </c>
      <c r="D15084" s="5">
        <v>0.1</v>
      </c>
      <c r="E15084" s="5">
        <v>112.1</v>
      </c>
      <c r="F15084" s="5">
        <v>222.4</v>
      </c>
      <c r="G15084" s="5">
        <v>110.5</v>
      </c>
      <c r="H15084" s="5">
        <v>110.4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112</v>
      </c>
      <c r="D15085" s="5">
        <v>0.1</v>
      </c>
      <c r="E15085" s="5">
        <v>112.1</v>
      </c>
      <c r="F15085" s="5">
        <v>222.4</v>
      </c>
      <c r="G15085" s="5">
        <v>110.5</v>
      </c>
      <c r="H15085" s="5">
        <v>110.4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112</v>
      </c>
      <c r="D15086" s="5">
        <v>0.1</v>
      </c>
      <c r="E15086" s="5">
        <v>112.1</v>
      </c>
      <c r="F15086" s="5">
        <v>222.4</v>
      </c>
      <c r="G15086" s="5">
        <v>110.5</v>
      </c>
      <c r="H15086" s="5">
        <v>110.4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112</v>
      </c>
      <c r="D15087" s="5">
        <v>0.1</v>
      </c>
      <c r="E15087" s="5">
        <v>112.1</v>
      </c>
      <c r="F15087" s="5">
        <v>222.4</v>
      </c>
      <c r="G15087" s="5">
        <v>110.5</v>
      </c>
      <c r="H15087" s="5">
        <v>110.4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112</v>
      </c>
      <c r="D15088" s="5">
        <v>0.1</v>
      </c>
      <c r="E15088" s="5">
        <v>112.1</v>
      </c>
      <c r="F15088" s="5">
        <v>222.4</v>
      </c>
      <c r="G15088" s="5">
        <v>110.5</v>
      </c>
      <c r="H15088" s="5">
        <v>110.4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112</v>
      </c>
      <c r="D15089" s="5">
        <v>0.1</v>
      </c>
      <c r="E15089" s="5">
        <v>112.1</v>
      </c>
      <c r="F15089" s="5">
        <v>222.4</v>
      </c>
      <c r="G15089" s="5">
        <v>110.5</v>
      </c>
      <c r="H15089" s="5">
        <v>110.4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112</v>
      </c>
      <c r="D15090" s="5">
        <v>0.1</v>
      </c>
      <c r="E15090" s="5">
        <v>112.1</v>
      </c>
      <c r="F15090" s="5">
        <v>222.4</v>
      </c>
      <c r="G15090" s="5">
        <v>110.5</v>
      </c>
      <c r="H15090" s="5">
        <v>110.4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112</v>
      </c>
      <c r="D15091" s="5">
        <v>0.1</v>
      </c>
      <c r="E15091" s="5">
        <v>112.1</v>
      </c>
      <c r="F15091" s="5">
        <v>222.4</v>
      </c>
      <c r="G15091" s="5">
        <v>110.5</v>
      </c>
      <c r="H15091" s="5">
        <v>110.4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112</v>
      </c>
      <c r="D15092" s="5">
        <v>0.1</v>
      </c>
      <c r="E15092" s="5">
        <v>112.1</v>
      </c>
      <c r="F15092" s="5">
        <v>222.4</v>
      </c>
      <c r="G15092" s="5">
        <v>110.5</v>
      </c>
      <c r="H15092" s="5">
        <v>110.4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112</v>
      </c>
      <c r="D15093" s="5">
        <v>0.1</v>
      </c>
      <c r="E15093" s="5">
        <v>112.1</v>
      </c>
      <c r="F15093" s="5">
        <v>222.4</v>
      </c>
      <c r="G15093" s="5">
        <v>110.5</v>
      </c>
      <c r="H15093" s="5">
        <v>110.4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112</v>
      </c>
      <c r="D15094" s="5">
        <v>0.1</v>
      </c>
      <c r="E15094" s="5">
        <v>112.1</v>
      </c>
      <c r="F15094" s="5">
        <v>222.4</v>
      </c>
      <c r="G15094" s="5">
        <v>110.5</v>
      </c>
      <c r="H15094" s="5">
        <v>110.4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112</v>
      </c>
      <c r="D15095" s="5">
        <v>0.1</v>
      </c>
      <c r="E15095" s="5">
        <v>112.1</v>
      </c>
      <c r="F15095" s="5">
        <v>222.4</v>
      </c>
      <c r="G15095" s="5">
        <v>110.5</v>
      </c>
      <c r="H15095" s="5">
        <v>110.4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112</v>
      </c>
      <c r="D15096" s="5">
        <v>0.1</v>
      </c>
      <c r="E15096" s="5">
        <v>112.1</v>
      </c>
      <c r="F15096" s="5">
        <v>222.4</v>
      </c>
      <c r="G15096" s="5">
        <v>110.5</v>
      </c>
      <c r="H15096" s="5">
        <v>110.4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112</v>
      </c>
      <c r="D15097" s="5">
        <v>0.1</v>
      </c>
      <c r="E15097" s="5">
        <v>112.1</v>
      </c>
      <c r="F15097" s="5">
        <v>222.4</v>
      </c>
      <c r="G15097" s="5">
        <v>110.5</v>
      </c>
      <c r="H15097" s="5">
        <v>110.4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112</v>
      </c>
      <c r="D15098" s="5">
        <v>0.1</v>
      </c>
      <c r="E15098" s="5">
        <v>112.1</v>
      </c>
      <c r="F15098" s="5">
        <v>222.4</v>
      </c>
      <c r="G15098" s="5">
        <v>110.5</v>
      </c>
      <c r="H15098" s="5">
        <v>110.4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112</v>
      </c>
      <c r="D15099" s="5">
        <v>0.1</v>
      </c>
      <c r="E15099" s="5">
        <v>112.1</v>
      </c>
      <c r="F15099" s="5">
        <v>222.4</v>
      </c>
      <c r="G15099" s="5">
        <v>110.5</v>
      </c>
      <c r="H15099" s="5">
        <v>110.4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112</v>
      </c>
      <c r="D15100" s="5">
        <v>0.1</v>
      </c>
      <c r="E15100" s="5">
        <v>112.1</v>
      </c>
      <c r="F15100" s="5">
        <v>222.4</v>
      </c>
      <c r="G15100" s="5">
        <v>110.5</v>
      </c>
      <c r="H15100" s="5">
        <v>110.4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112</v>
      </c>
      <c r="D15101" s="5">
        <v>0.1</v>
      </c>
      <c r="E15101" s="5">
        <v>112.1</v>
      </c>
      <c r="F15101" s="5">
        <v>222.4</v>
      </c>
      <c r="G15101" s="5">
        <v>110.5</v>
      </c>
      <c r="H15101" s="5">
        <v>110.4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112</v>
      </c>
      <c r="D15102" s="5">
        <v>0.1</v>
      </c>
      <c r="E15102" s="5">
        <v>112.1</v>
      </c>
      <c r="F15102" s="5">
        <v>222.4</v>
      </c>
      <c r="G15102" s="5">
        <v>110.5</v>
      </c>
      <c r="H15102" s="5">
        <v>110.4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112</v>
      </c>
      <c r="D15103" s="5">
        <v>0.1</v>
      </c>
      <c r="E15103" s="5">
        <v>112.1</v>
      </c>
      <c r="F15103" s="5">
        <v>222.4</v>
      </c>
      <c r="G15103" s="5">
        <v>110.5</v>
      </c>
      <c r="H15103" s="5">
        <v>110.4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112</v>
      </c>
      <c r="D15104" s="5">
        <v>0.1</v>
      </c>
      <c r="E15104" s="5">
        <v>112.1</v>
      </c>
      <c r="F15104" s="5">
        <v>222.4</v>
      </c>
      <c r="G15104" s="5">
        <v>110.5</v>
      </c>
      <c r="H15104" s="5">
        <v>110.4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112</v>
      </c>
      <c r="D15105" s="5">
        <v>0.1</v>
      </c>
      <c r="E15105" s="5">
        <v>112.1</v>
      </c>
      <c r="F15105" s="5">
        <v>222.4</v>
      </c>
      <c r="G15105" s="5">
        <v>110.5</v>
      </c>
      <c r="H15105" s="5">
        <v>110.4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112</v>
      </c>
      <c r="D15106" s="5">
        <v>0.1</v>
      </c>
      <c r="E15106" s="5">
        <v>112.1</v>
      </c>
      <c r="F15106" s="5">
        <v>222.4</v>
      </c>
      <c r="G15106" s="5">
        <v>110.5</v>
      </c>
      <c r="H15106" s="5">
        <v>110.4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112</v>
      </c>
      <c r="D15107" s="5">
        <v>0.1</v>
      </c>
      <c r="E15107" s="5">
        <v>112.1</v>
      </c>
      <c r="F15107" s="5">
        <v>222.4</v>
      </c>
      <c r="G15107" s="5">
        <v>110.5</v>
      </c>
      <c r="H15107" s="5">
        <v>110.4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112</v>
      </c>
      <c r="D15108" s="5">
        <v>0.1</v>
      </c>
      <c r="E15108" s="5">
        <v>112.1</v>
      </c>
      <c r="F15108" s="5">
        <v>222.4</v>
      </c>
      <c r="G15108" s="5">
        <v>110.5</v>
      </c>
      <c r="H15108" s="5">
        <v>110.4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112</v>
      </c>
      <c r="D15109" s="5">
        <v>0.1</v>
      </c>
      <c r="E15109" s="5">
        <v>112.1</v>
      </c>
      <c r="F15109" s="5">
        <v>222.4</v>
      </c>
      <c r="G15109" s="5">
        <v>110.5</v>
      </c>
      <c r="H15109" s="5">
        <v>110.4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112</v>
      </c>
      <c r="D15110" s="5">
        <v>0.1</v>
      </c>
      <c r="E15110" s="5">
        <v>112.1</v>
      </c>
      <c r="F15110" s="5">
        <v>222.4</v>
      </c>
      <c r="G15110" s="5">
        <v>110.5</v>
      </c>
      <c r="H15110" s="5">
        <v>110.4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112</v>
      </c>
      <c r="D15111" s="5">
        <v>0.1</v>
      </c>
      <c r="E15111" s="5">
        <v>112.1</v>
      </c>
      <c r="F15111" s="5">
        <v>222.4</v>
      </c>
      <c r="G15111" s="5">
        <v>110.5</v>
      </c>
      <c r="H15111" s="5">
        <v>110.4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112</v>
      </c>
      <c r="D15112" s="5">
        <v>0.1</v>
      </c>
      <c r="E15112" s="5">
        <v>112.1</v>
      </c>
      <c r="F15112" s="5">
        <v>222.4</v>
      </c>
      <c r="G15112" s="5">
        <v>110.5</v>
      </c>
      <c r="H15112" s="5">
        <v>110.4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112</v>
      </c>
      <c r="D15113" s="5">
        <v>0.1</v>
      </c>
      <c r="E15113" s="5">
        <v>112.1</v>
      </c>
      <c r="F15113" s="5">
        <v>222.4</v>
      </c>
      <c r="G15113" s="5">
        <v>110.5</v>
      </c>
      <c r="H15113" s="5">
        <v>110.4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112</v>
      </c>
      <c r="D15114" s="5">
        <v>0.1</v>
      </c>
      <c r="E15114" s="5">
        <v>112.1</v>
      </c>
      <c r="F15114" s="5">
        <v>222.4</v>
      </c>
      <c r="G15114" s="5">
        <v>110.5</v>
      </c>
      <c r="H15114" s="5">
        <v>110.4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112</v>
      </c>
      <c r="D15115" s="5">
        <v>0.1</v>
      </c>
      <c r="E15115" s="5">
        <v>112.1</v>
      </c>
      <c r="F15115" s="5">
        <v>222.4</v>
      </c>
      <c r="G15115" s="5">
        <v>110.5</v>
      </c>
      <c r="H15115" s="5">
        <v>110.4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112</v>
      </c>
      <c r="D15116" s="5">
        <v>0.1</v>
      </c>
      <c r="E15116" s="5">
        <v>112.1</v>
      </c>
      <c r="F15116" s="5">
        <v>222.4</v>
      </c>
      <c r="G15116" s="5">
        <v>110.5</v>
      </c>
      <c r="H15116" s="5">
        <v>110.4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112</v>
      </c>
      <c r="D15117" s="5">
        <v>0.1</v>
      </c>
      <c r="E15117" s="5">
        <v>112.1</v>
      </c>
      <c r="F15117" s="5">
        <v>222.4</v>
      </c>
      <c r="G15117" s="5">
        <v>110.5</v>
      </c>
      <c r="H15117" s="5">
        <v>110.4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112</v>
      </c>
      <c r="D15118" s="5">
        <v>0.1</v>
      </c>
      <c r="E15118" s="5">
        <v>112.1</v>
      </c>
      <c r="F15118" s="5">
        <v>222.4</v>
      </c>
      <c r="G15118" s="5">
        <v>110.5</v>
      </c>
      <c r="H15118" s="5">
        <v>110.4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112</v>
      </c>
      <c r="D15119" s="5">
        <v>0.1</v>
      </c>
      <c r="E15119" s="5">
        <v>112.1</v>
      </c>
      <c r="F15119" s="5">
        <v>222.4</v>
      </c>
      <c r="G15119" s="5">
        <v>110.5</v>
      </c>
      <c r="H15119" s="5">
        <v>110.4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112</v>
      </c>
      <c r="D15120" s="5">
        <v>0.1</v>
      </c>
      <c r="E15120" s="5">
        <v>112.1</v>
      </c>
      <c r="F15120" s="5">
        <v>222.4</v>
      </c>
      <c r="G15120" s="5">
        <v>110.5</v>
      </c>
      <c r="H15120" s="5">
        <v>110.4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112</v>
      </c>
      <c r="D15121" s="5">
        <v>0.1</v>
      </c>
      <c r="E15121" s="5">
        <v>112.1</v>
      </c>
      <c r="F15121" s="5">
        <v>222.4</v>
      </c>
      <c r="G15121" s="5">
        <v>110.5</v>
      </c>
      <c r="H15121" s="5">
        <v>110.4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112</v>
      </c>
      <c r="D15122" s="5">
        <v>0.1</v>
      </c>
      <c r="E15122" s="5">
        <v>112.1</v>
      </c>
      <c r="F15122" s="5">
        <v>222.4</v>
      </c>
      <c r="G15122" s="5">
        <v>110.5</v>
      </c>
      <c r="H15122" s="5">
        <v>110.4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112</v>
      </c>
      <c r="D15123" s="5">
        <v>0.1</v>
      </c>
      <c r="E15123" s="5">
        <v>112.1</v>
      </c>
      <c r="F15123" s="5">
        <v>222.4</v>
      </c>
      <c r="G15123" s="5">
        <v>110.5</v>
      </c>
      <c r="H15123" s="5">
        <v>110.4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112</v>
      </c>
      <c r="D15124" s="5">
        <v>0.1</v>
      </c>
      <c r="E15124" s="5">
        <v>112.1</v>
      </c>
      <c r="F15124" s="5">
        <v>222.4</v>
      </c>
      <c r="G15124" s="5">
        <v>110.5</v>
      </c>
      <c r="H15124" s="5">
        <v>110.4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112</v>
      </c>
      <c r="D15125" s="5">
        <v>0.1</v>
      </c>
      <c r="E15125" s="5">
        <v>112.1</v>
      </c>
      <c r="F15125" s="5">
        <v>222.4</v>
      </c>
      <c r="G15125" s="5">
        <v>110.5</v>
      </c>
      <c r="H15125" s="5">
        <v>110.4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112</v>
      </c>
      <c r="D15126" s="5">
        <v>0.1</v>
      </c>
      <c r="E15126" s="5">
        <v>112.1</v>
      </c>
      <c r="F15126" s="5">
        <v>222.4</v>
      </c>
      <c r="G15126" s="5">
        <v>110.5</v>
      </c>
      <c r="H15126" s="5">
        <v>110.4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112</v>
      </c>
      <c r="D15127" s="5">
        <v>0.1</v>
      </c>
      <c r="E15127" s="5">
        <v>112.1</v>
      </c>
      <c r="F15127" s="5">
        <v>222.4</v>
      </c>
      <c r="G15127" s="5">
        <v>110.5</v>
      </c>
      <c r="H15127" s="5">
        <v>110.4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112</v>
      </c>
      <c r="D15128" s="5">
        <v>0.1</v>
      </c>
      <c r="E15128" s="5">
        <v>112.1</v>
      </c>
      <c r="F15128" s="5">
        <v>222.4</v>
      </c>
      <c r="G15128" s="5">
        <v>110.5</v>
      </c>
      <c r="H15128" s="5">
        <v>110.4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112</v>
      </c>
      <c r="D15129" s="5">
        <v>0.1</v>
      </c>
      <c r="E15129" s="5">
        <v>112.1</v>
      </c>
      <c r="F15129" s="5">
        <v>222.4</v>
      </c>
      <c r="G15129" s="5">
        <v>110.5</v>
      </c>
      <c r="H15129" s="5">
        <v>110.4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112</v>
      </c>
      <c r="D15130" s="5">
        <v>0.1</v>
      </c>
      <c r="E15130" s="5">
        <v>112.1</v>
      </c>
      <c r="F15130" s="5">
        <v>222.4</v>
      </c>
      <c r="G15130" s="5">
        <v>110.5</v>
      </c>
      <c r="H15130" s="5">
        <v>110.4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112</v>
      </c>
      <c r="D15131" s="5">
        <v>0.1</v>
      </c>
      <c r="E15131" s="5">
        <v>112.1</v>
      </c>
      <c r="F15131" s="5">
        <v>222.4</v>
      </c>
      <c r="G15131" s="5">
        <v>110.5</v>
      </c>
      <c r="H15131" s="5">
        <v>110.4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112</v>
      </c>
      <c r="D15132" s="5">
        <v>0.1</v>
      </c>
      <c r="E15132" s="5">
        <v>112.1</v>
      </c>
      <c r="F15132" s="5">
        <v>222.4</v>
      </c>
      <c r="G15132" s="5">
        <v>110.5</v>
      </c>
      <c r="H15132" s="5">
        <v>110.4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112</v>
      </c>
      <c r="D15133" s="5">
        <v>0.1</v>
      </c>
      <c r="E15133" s="5">
        <v>112.1</v>
      </c>
      <c r="F15133" s="5">
        <v>222.4</v>
      </c>
      <c r="G15133" s="5">
        <v>110.5</v>
      </c>
      <c r="H15133" s="5">
        <v>110.4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112</v>
      </c>
      <c r="D15134" s="5">
        <v>0.1</v>
      </c>
      <c r="E15134" s="5">
        <v>112.1</v>
      </c>
      <c r="F15134" s="5">
        <v>222.4</v>
      </c>
      <c r="G15134" s="5">
        <v>110.5</v>
      </c>
      <c r="H15134" s="5">
        <v>110.4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112</v>
      </c>
      <c r="D15135" s="5">
        <v>0.1</v>
      </c>
      <c r="E15135" s="5">
        <v>112.1</v>
      </c>
      <c r="F15135" s="5">
        <v>222.4</v>
      </c>
      <c r="G15135" s="5">
        <v>110.5</v>
      </c>
      <c r="H15135" s="5">
        <v>110.4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112</v>
      </c>
      <c r="D15136" s="5">
        <v>0.1</v>
      </c>
      <c r="E15136" s="5">
        <v>112.1</v>
      </c>
      <c r="F15136" s="5">
        <v>222.4</v>
      </c>
      <c r="G15136" s="5">
        <v>110.5</v>
      </c>
      <c r="H15136" s="5">
        <v>110.4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112</v>
      </c>
      <c r="D15137" s="5">
        <v>0.1</v>
      </c>
      <c r="E15137" s="5">
        <v>112.1</v>
      </c>
      <c r="F15137" s="5">
        <v>222.4</v>
      </c>
      <c r="G15137" s="5">
        <v>110.5</v>
      </c>
      <c r="H15137" s="5">
        <v>110.4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112</v>
      </c>
      <c r="D15138" s="5">
        <v>0.1</v>
      </c>
      <c r="E15138" s="5">
        <v>112.1</v>
      </c>
      <c r="F15138" s="5">
        <v>222.4</v>
      </c>
      <c r="G15138" s="5">
        <v>110.5</v>
      </c>
      <c r="H15138" s="5">
        <v>110.4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112</v>
      </c>
      <c r="D15139" s="5">
        <v>0.1</v>
      </c>
      <c r="E15139" s="5">
        <v>112.1</v>
      </c>
      <c r="F15139" s="5">
        <v>222.4</v>
      </c>
      <c r="G15139" s="5">
        <v>110.5</v>
      </c>
      <c r="H15139" s="5">
        <v>110.4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112</v>
      </c>
      <c r="D15140" s="5">
        <v>0.1</v>
      </c>
      <c r="E15140" s="5">
        <v>112.1</v>
      </c>
      <c r="F15140" s="5">
        <v>222.4</v>
      </c>
      <c r="G15140" s="5">
        <v>110.5</v>
      </c>
      <c r="H15140" s="5">
        <v>110.4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112</v>
      </c>
      <c r="D15141" s="5">
        <v>0.1</v>
      </c>
      <c r="E15141" s="5">
        <v>112.1</v>
      </c>
      <c r="F15141" s="5">
        <v>222.4</v>
      </c>
      <c r="G15141" s="5">
        <v>110.5</v>
      </c>
      <c r="H15141" s="5">
        <v>110.4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112</v>
      </c>
      <c r="D15142" s="5">
        <v>0.1</v>
      </c>
      <c r="E15142" s="5">
        <v>112.1</v>
      </c>
      <c r="F15142" s="5">
        <v>222.4</v>
      </c>
      <c r="G15142" s="5">
        <v>110.5</v>
      </c>
      <c r="H15142" s="5">
        <v>110.4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112</v>
      </c>
      <c r="D15143" s="5">
        <v>0.1</v>
      </c>
      <c r="E15143" s="5">
        <v>112.1</v>
      </c>
      <c r="F15143" s="5">
        <v>222.4</v>
      </c>
      <c r="G15143" s="5">
        <v>110.5</v>
      </c>
      <c r="H15143" s="5">
        <v>110.4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112</v>
      </c>
      <c r="D15144" s="5">
        <v>0.1</v>
      </c>
      <c r="E15144" s="5">
        <v>112.1</v>
      </c>
      <c r="F15144" s="5">
        <v>222.4</v>
      </c>
      <c r="G15144" s="5">
        <v>110.5</v>
      </c>
      <c r="H15144" s="5">
        <v>110.4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112</v>
      </c>
      <c r="D15145" s="5">
        <v>0.1</v>
      </c>
      <c r="E15145" s="5">
        <v>112.1</v>
      </c>
      <c r="F15145" s="5">
        <v>222.4</v>
      </c>
      <c r="G15145" s="5">
        <v>110.5</v>
      </c>
      <c r="H15145" s="5">
        <v>110.4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112</v>
      </c>
      <c r="D15146" s="5">
        <v>0.1</v>
      </c>
      <c r="E15146" s="5">
        <v>112.1</v>
      </c>
      <c r="F15146" s="5">
        <v>222.4</v>
      </c>
      <c r="G15146" s="5">
        <v>110.5</v>
      </c>
      <c r="H15146" s="5">
        <v>110.4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112</v>
      </c>
      <c r="D15147" s="5">
        <v>0.1</v>
      </c>
      <c r="E15147" s="5">
        <v>112.1</v>
      </c>
      <c r="F15147" s="5">
        <v>222.4</v>
      </c>
      <c r="G15147" s="5">
        <v>110.5</v>
      </c>
      <c r="H15147" s="5">
        <v>110.4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112</v>
      </c>
      <c r="D15148" s="5">
        <v>0.1</v>
      </c>
      <c r="E15148" s="5">
        <v>112.1</v>
      </c>
      <c r="F15148" s="5">
        <v>222.4</v>
      </c>
      <c r="G15148" s="5">
        <v>110.5</v>
      </c>
      <c r="H15148" s="5">
        <v>110.4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112</v>
      </c>
      <c r="D15149" s="5">
        <v>0.1</v>
      </c>
      <c r="E15149" s="5">
        <v>112.1</v>
      </c>
      <c r="F15149" s="5">
        <v>222.4</v>
      </c>
      <c r="G15149" s="5">
        <v>110.5</v>
      </c>
      <c r="H15149" s="5">
        <v>110.4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112</v>
      </c>
      <c r="D15150" s="5">
        <v>0.1</v>
      </c>
      <c r="E15150" s="5">
        <v>112.1</v>
      </c>
      <c r="F15150" s="5">
        <v>222.4</v>
      </c>
      <c r="G15150" s="5">
        <v>110.5</v>
      </c>
      <c r="H15150" s="5">
        <v>110.4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112</v>
      </c>
      <c r="D15151" s="5">
        <v>0.1</v>
      </c>
      <c r="E15151" s="5">
        <v>112.1</v>
      </c>
      <c r="F15151" s="5">
        <v>222.4</v>
      </c>
      <c r="G15151" s="5">
        <v>110.5</v>
      </c>
      <c r="H15151" s="5">
        <v>110.4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112</v>
      </c>
      <c r="D15152" s="5">
        <v>0.1</v>
      </c>
      <c r="E15152" s="5">
        <v>112.1</v>
      </c>
      <c r="F15152" s="5">
        <v>222.4</v>
      </c>
      <c r="G15152" s="5">
        <v>110.5</v>
      </c>
      <c r="H15152" s="5">
        <v>110.4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112</v>
      </c>
      <c r="D15153" s="5">
        <v>0.1</v>
      </c>
      <c r="E15153" s="5">
        <v>112.1</v>
      </c>
      <c r="F15153" s="5">
        <v>222.4</v>
      </c>
      <c r="G15153" s="5">
        <v>110.5</v>
      </c>
      <c r="H15153" s="5">
        <v>110.4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112</v>
      </c>
      <c r="D15154" s="5">
        <v>0.1</v>
      </c>
      <c r="E15154" s="5">
        <v>112.1</v>
      </c>
      <c r="F15154" s="5">
        <v>222.4</v>
      </c>
      <c r="G15154" s="5">
        <v>110.5</v>
      </c>
      <c r="H15154" s="5">
        <v>110.4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112</v>
      </c>
      <c r="D15155" s="5">
        <v>0.1</v>
      </c>
      <c r="E15155" s="5">
        <v>112.1</v>
      </c>
      <c r="F15155" s="5">
        <v>222.4</v>
      </c>
      <c r="G15155" s="5">
        <v>110.5</v>
      </c>
      <c r="H15155" s="5">
        <v>110.4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112</v>
      </c>
      <c r="D15156" s="5">
        <v>0.1</v>
      </c>
      <c r="E15156" s="5">
        <v>112.1</v>
      </c>
      <c r="F15156" s="5">
        <v>222.4</v>
      </c>
      <c r="G15156" s="5">
        <v>110.5</v>
      </c>
      <c r="H15156" s="5">
        <v>110.4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112</v>
      </c>
      <c r="D15157" s="5">
        <v>0.1</v>
      </c>
      <c r="E15157" s="5">
        <v>112.1</v>
      </c>
      <c r="F15157" s="5">
        <v>222.4</v>
      </c>
      <c r="G15157" s="5">
        <v>110.5</v>
      </c>
      <c r="H15157" s="5">
        <v>110.4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112</v>
      </c>
      <c r="D15158" s="5">
        <v>0.1</v>
      </c>
      <c r="E15158" s="5">
        <v>112.1</v>
      </c>
      <c r="F15158" s="5">
        <v>222.4</v>
      </c>
      <c r="G15158" s="5">
        <v>110.5</v>
      </c>
      <c r="H15158" s="5">
        <v>110.4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112</v>
      </c>
      <c r="D15159" s="5">
        <v>0.1</v>
      </c>
      <c r="E15159" s="5">
        <v>112.1</v>
      </c>
      <c r="F15159" s="5">
        <v>222.4</v>
      </c>
      <c r="G15159" s="5">
        <v>110.5</v>
      </c>
      <c r="H15159" s="5">
        <v>110.4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112</v>
      </c>
      <c r="D15160" s="5">
        <v>0.1</v>
      </c>
      <c r="E15160" s="5">
        <v>112.1</v>
      </c>
      <c r="F15160" s="5">
        <v>222.4</v>
      </c>
      <c r="G15160" s="5">
        <v>110.5</v>
      </c>
      <c r="H15160" s="5">
        <v>110.4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112</v>
      </c>
      <c r="D15161" s="5">
        <v>0.1</v>
      </c>
      <c r="E15161" s="5">
        <v>112.1</v>
      </c>
      <c r="F15161" s="5">
        <v>222.4</v>
      </c>
      <c r="G15161" s="5">
        <v>110.5</v>
      </c>
      <c r="H15161" s="5">
        <v>110.4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112</v>
      </c>
      <c r="D15162" s="5">
        <v>0.1</v>
      </c>
      <c r="E15162" s="5">
        <v>112.1</v>
      </c>
      <c r="F15162" s="5">
        <v>222.4</v>
      </c>
      <c r="G15162" s="5">
        <v>110.5</v>
      </c>
      <c r="H15162" s="5">
        <v>110.4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112</v>
      </c>
      <c r="D15163" s="5">
        <v>0.1</v>
      </c>
      <c r="E15163" s="5">
        <v>112.1</v>
      </c>
      <c r="F15163" s="5">
        <v>222.4</v>
      </c>
      <c r="G15163" s="5">
        <v>110.5</v>
      </c>
      <c r="H15163" s="5">
        <v>110.4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112</v>
      </c>
      <c r="D15164" s="5">
        <v>0.1</v>
      </c>
      <c r="E15164" s="5">
        <v>112.1</v>
      </c>
      <c r="F15164" s="5">
        <v>222.4</v>
      </c>
      <c r="G15164" s="5">
        <v>110.5</v>
      </c>
      <c r="H15164" s="5">
        <v>110.4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112</v>
      </c>
      <c r="D15165" s="5">
        <v>0.1</v>
      </c>
      <c r="E15165" s="5">
        <v>112.1</v>
      </c>
      <c r="F15165" s="5">
        <v>222.4</v>
      </c>
      <c r="G15165" s="5">
        <v>110.5</v>
      </c>
      <c r="H15165" s="5">
        <v>110.4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112</v>
      </c>
      <c r="D15166" s="5">
        <v>0.1</v>
      </c>
      <c r="E15166" s="5">
        <v>112.1</v>
      </c>
      <c r="F15166" s="5">
        <v>222.4</v>
      </c>
      <c r="G15166" s="5">
        <v>110.5</v>
      </c>
      <c r="H15166" s="5">
        <v>110.4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112</v>
      </c>
      <c r="D15167" s="5">
        <v>0.1</v>
      </c>
      <c r="E15167" s="5">
        <v>112.1</v>
      </c>
      <c r="F15167" s="5">
        <v>222.4</v>
      </c>
      <c r="G15167" s="5">
        <v>110.5</v>
      </c>
      <c r="H15167" s="5">
        <v>110.4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112</v>
      </c>
      <c r="D15168" s="5">
        <v>0.1</v>
      </c>
      <c r="E15168" s="5">
        <v>112.1</v>
      </c>
      <c r="F15168" s="5">
        <v>222.4</v>
      </c>
      <c r="G15168" s="5">
        <v>110.5</v>
      </c>
      <c r="H15168" s="5">
        <v>110.4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112</v>
      </c>
      <c r="D15169" s="5">
        <v>0.1</v>
      </c>
      <c r="E15169" s="5">
        <v>112.1</v>
      </c>
      <c r="F15169" s="5">
        <v>222.4</v>
      </c>
      <c r="G15169" s="5">
        <v>110.5</v>
      </c>
      <c r="H15169" s="5">
        <v>110.4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112</v>
      </c>
      <c r="D15170" s="5">
        <v>0.1</v>
      </c>
      <c r="E15170" s="5">
        <v>112.1</v>
      </c>
      <c r="F15170" s="5">
        <v>222.4</v>
      </c>
      <c r="G15170" s="5">
        <v>110.5</v>
      </c>
      <c r="H15170" s="5">
        <v>110.4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112</v>
      </c>
      <c r="D15171" s="5">
        <v>0.1</v>
      </c>
      <c r="E15171" s="5">
        <v>112.1</v>
      </c>
      <c r="F15171" s="5">
        <v>222.4</v>
      </c>
      <c r="G15171" s="5">
        <v>110.5</v>
      </c>
      <c r="H15171" s="5">
        <v>110.4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112</v>
      </c>
      <c r="D15172" s="5">
        <v>0.1</v>
      </c>
      <c r="E15172" s="5">
        <v>112.1</v>
      </c>
      <c r="F15172" s="5">
        <v>222.4</v>
      </c>
      <c r="G15172" s="5">
        <v>110.5</v>
      </c>
      <c r="H15172" s="5">
        <v>110.4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112</v>
      </c>
      <c r="D15173" s="5">
        <v>0.1</v>
      </c>
      <c r="E15173" s="5">
        <v>112.1</v>
      </c>
      <c r="F15173" s="5">
        <v>222.4</v>
      </c>
      <c r="G15173" s="5">
        <v>110.5</v>
      </c>
      <c r="H15173" s="5">
        <v>110.4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112</v>
      </c>
      <c r="D15174" s="5">
        <v>0.1</v>
      </c>
      <c r="E15174" s="5">
        <v>112.1</v>
      </c>
      <c r="F15174" s="5">
        <v>222.4</v>
      </c>
      <c r="G15174" s="5">
        <v>110.5</v>
      </c>
      <c r="H15174" s="5">
        <v>110.4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112</v>
      </c>
      <c r="D15175" s="5">
        <v>0.1</v>
      </c>
      <c r="E15175" s="5">
        <v>112.1</v>
      </c>
      <c r="F15175" s="5">
        <v>222.4</v>
      </c>
      <c r="G15175" s="5">
        <v>110.5</v>
      </c>
      <c r="H15175" s="5">
        <v>110.4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112</v>
      </c>
      <c r="D15176" s="5">
        <v>0.1</v>
      </c>
      <c r="E15176" s="5">
        <v>112.1</v>
      </c>
      <c r="F15176" s="5">
        <v>222.4</v>
      </c>
      <c r="G15176" s="5">
        <v>110.5</v>
      </c>
      <c r="H15176" s="5">
        <v>110.4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112</v>
      </c>
      <c r="D15177" s="5">
        <v>0.1</v>
      </c>
      <c r="E15177" s="5">
        <v>112.1</v>
      </c>
      <c r="F15177" s="5">
        <v>222.4</v>
      </c>
      <c r="G15177" s="5">
        <v>110.5</v>
      </c>
      <c r="H15177" s="5">
        <v>110.4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112</v>
      </c>
      <c r="D15178" s="5">
        <v>0.1</v>
      </c>
      <c r="E15178" s="5">
        <v>112.1</v>
      </c>
      <c r="F15178" s="5">
        <v>222.4</v>
      </c>
      <c r="G15178" s="5">
        <v>110.5</v>
      </c>
      <c r="H15178" s="5">
        <v>110.4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112</v>
      </c>
      <c r="D15179" s="5">
        <v>0.1</v>
      </c>
      <c r="E15179" s="5">
        <v>112.1</v>
      </c>
      <c r="F15179" s="5">
        <v>222.4</v>
      </c>
      <c r="G15179" s="5">
        <v>110.5</v>
      </c>
      <c r="H15179" s="5">
        <v>110.4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112</v>
      </c>
      <c r="D15180" s="5">
        <v>0.1</v>
      </c>
      <c r="E15180" s="5">
        <v>112.1</v>
      </c>
      <c r="F15180" s="5">
        <v>222.4</v>
      </c>
      <c r="G15180" s="5">
        <v>110.5</v>
      </c>
      <c r="H15180" s="5">
        <v>110.4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112</v>
      </c>
      <c r="D15181" s="5">
        <v>0.1</v>
      </c>
      <c r="E15181" s="5">
        <v>112.1</v>
      </c>
      <c r="F15181" s="5">
        <v>222.4</v>
      </c>
      <c r="G15181" s="5">
        <v>110.5</v>
      </c>
      <c r="H15181" s="5">
        <v>110.4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112</v>
      </c>
      <c r="D15182" s="5">
        <v>0.1</v>
      </c>
      <c r="E15182" s="5">
        <v>112.1</v>
      </c>
      <c r="F15182" s="5">
        <v>222.4</v>
      </c>
      <c r="G15182" s="5">
        <v>110.5</v>
      </c>
      <c r="H15182" s="5">
        <v>110.4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112</v>
      </c>
      <c r="D15183" s="5">
        <v>0.1</v>
      </c>
      <c r="E15183" s="5">
        <v>112.1</v>
      </c>
      <c r="F15183" s="5">
        <v>222.4</v>
      </c>
      <c r="G15183" s="5">
        <v>110.5</v>
      </c>
      <c r="H15183" s="5">
        <v>110.4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112</v>
      </c>
      <c r="D15184" s="5">
        <v>0.1</v>
      </c>
      <c r="E15184" s="5">
        <v>112.1</v>
      </c>
      <c r="F15184" s="5">
        <v>222.4</v>
      </c>
      <c r="G15184" s="5">
        <v>110.5</v>
      </c>
      <c r="H15184" s="5">
        <v>110.4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112</v>
      </c>
      <c r="D15185" s="5">
        <v>0.1</v>
      </c>
      <c r="E15185" s="5">
        <v>112.1</v>
      </c>
      <c r="F15185" s="5">
        <v>222.4</v>
      </c>
      <c r="G15185" s="5">
        <v>110.5</v>
      </c>
      <c r="H15185" s="5">
        <v>110.4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112</v>
      </c>
      <c r="D15186" s="5">
        <v>0.1</v>
      </c>
      <c r="E15186" s="5">
        <v>112.1</v>
      </c>
      <c r="F15186" s="5">
        <v>222.4</v>
      </c>
      <c r="G15186" s="5">
        <v>110.5</v>
      </c>
      <c r="H15186" s="5">
        <v>110.4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112</v>
      </c>
      <c r="D15187" s="5">
        <v>0.1</v>
      </c>
      <c r="E15187" s="5">
        <v>112.1</v>
      </c>
      <c r="F15187" s="5">
        <v>222.4</v>
      </c>
      <c r="G15187" s="5">
        <v>110.5</v>
      </c>
      <c r="H15187" s="5">
        <v>110.4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112</v>
      </c>
      <c r="D15188" s="5">
        <v>0.1</v>
      </c>
      <c r="E15188" s="5">
        <v>112.1</v>
      </c>
      <c r="F15188" s="5">
        <v>222.4</v>
      </c>
      <c r="G15188" s="5">
        <v>110.5</v>
      </c>
      <c r="H15188" s="5">
        <v>110.4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112</v>
      </c>
      <c r="D15189" s="5">
        <v>0.1</v>
      </c>
      <c r="E15189" s="5">
        <v>112.1</v>
      </c>
      <c r="F15189" s="5">
        <v>222.4</v>
      </c>
      <c r="G15189" s="5">
        <v>110.5</v>
      </c>
      <c r="H15189" s="5">
        <v>110.4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112</v>
      </c>
      <c r="D15190" s="5">
        <v>0.1</v>
      </c>
      <c r="E15190" s="5">
        <v>112.1</v>
      </c>
      <c r="F15190" s="5">
        <v>222.4</v>
      </c>
      <c r="G15190" s="5">
        <v>110.5</v>
      </c>
      <c r="H15190" s="5">
        <v>110.4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112</v>
      </c>
      <c r="D15191" s="5">
        <v>0.1</v>
      </c>
      <c r="E15191" s="5">
        <v>112.1</v>
      </c>
      <c r="F15191" s="5">
        <v>222.4</v>
      </c>
      <c r="G15191" s="5">
        <v>110.5</v>
      </c>
      <c r="H15191" s="5">
        <v>110.4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112</v>
      </c>
      <c r="D15192" s="5">
        <v>0.1</v>
      </c>
      <c r="E15192" s="5">
        <v>112.1</v>
      </c>
      <c r="F15192" s="5">
        <v>222.4</v>
      </c>
      <c r="G15192" s="5">
        <v>110.5</v>
      </c>
      <c r="H15192" s="5">
        <v>110.4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112</v>
      </c>
      <c r="D15193" s="5">
        <v>0.1</v>
      </c>
      <c r="E15193" s="5">
        <v>112.1</v>
      </c>
      <c r="F15193" s="5">
        <v>222.4</v>
      </c>
      <c r="G15193" s="5">
        <v>110.5</v>
      </c>
      <c r="H15193" s="5">
        <v>110.4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112</v>
      </c>
      <c r="D15194" s="5">
        <v>0.1</v>
      </c>
      <c r="E15194" s="5">
        <v>112.1</v>
      </c>
      <c r="F15194" s="5">
        <v>222.4</v>
      </c>
      <c r="G15194" s="5">
        <v>110.5</v>
      </c>
      <c r="H15194" s="5">
        <v>110.4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112</v>
      </c>
      <c r="D15195" s="5">
        <v>0.1</v>
      </c>
      <c r="E15195" s="5">
        <v>112.1</v>
      </c>
      <c r="F15195" s="5">
        <v>222.4</v>
      </c>
      <c r="G15195" s="5">
        <v>110.5</v>
      </c>
      <c r="H15195" s="5">
        <v>110.4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112</v>
      </c>
      <c r="D15196" s="5">
        <v>0.1</v>
      </c>
      <c r="E15196" s="5">
        <v>112.1</v>
      </c>
      <c r="F15196" s="5">
        <v>222.4</v>
      </c>
      <c r="G15196" s="5">
        <v>110.5</v>
      </c>
      <c r="H15196" s="5">
        <v>110.4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112</v>
      </c>
      <c r="D15197" s="5">
        <v>0.1</v>
      </c>
      <c r="E15197" s="5">
        <v>112.1</v>
      </c>
      <c r="F15197" s="5">
        <v>222.4</v>
      </c>
      <c r="G15197" s="5">
        <v>110.5</v>
      </c>
      <c r="H15197" s="5">
        <v>110.4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112</v>
      </c>
      <c r="D15198" s="5">
        <v>0.1</v>
      </c>
      <c r="E15198" s="5">
        <v>112.1</v>
      </c>
      <c r="F15198" s="5">
        <v>222.4</v>
      </c>
      <c r="G15198" s="5">
        <v>110.5</v>
      </c>
      <c r="H15198" s="5">
        <v>110.4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112</v>
      </c>
      <c r="D15199" s="5">
        <v>0.1</v>
      </c>
      <c r="E15199" s="5">
        <v>112.1</v>
      </c>
      <c r="F15199" s="5">
        <v>222.4</v>
      </c>
      <c r="G15199" s="5">
        <v>110.5</v>
      </c>
      <c r="H15199" s="5">
        <v>110.4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112</v>
      </c>
      <c r="D15200" s="5">
        <v>0.1</v>
      </c>
      <c r="E15200" s="5">
        <v>112.1</v>
      </c>
      <c r="F15200" s="5">
        <v>222.4</v>
      </c>
      <c r="G15200" s="5">
        <v>110.5</v>
      </c>
      <c r="H15200" s="5">
        <v>110.4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112</v>
      </c>
      <c r="D15201" s="5">
        <v>0.1</v>
      </c>
      <c r="E15201" s="5">
        <v>112.1</v>
      </c>
      <c r="F15201" s="5">
        <v>222.4</v>
      </c>
      <c r="G15201" s="5">
        <v>110.5</v>
      </c>
      <c r="H15201" s="5">
        <v>110.4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112</v>
      </c>
      <c r="D15202" s="5">
        <v>0.1</v>
      </c>
      <c r="E15202" s="5">
        <v>112.1</v>
      </c>
      <c r="F15202" s="5">
        <v>222.4</v>
      </c>
      <c r="G15202" s="5">
        <v>110.5</v>
      </c>
      <c r="H15202" s="5">
        <v>110.4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112</v>
      </c>
      <c r="D15203" s="5">
        <v>0.1</v>
      </c>
      <c r="E15203" s="5">
        <v>112.1</v>
      </c>
      <c r="F15203" s="5">
        <v>222.4</v>
      </c>
      <c r="G15203" s="5">
        <v>110.5</v>
      </c>
      <c r="H15203" s="5">
        <v>110.4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112</v>
      </c>
      <c r="D15204" s="5">
        <v>0.1</v>
      </c>
      <c r="E15204" s="5">
        <v>112.1</v>
      </c>
      <c r="F15204" s="5">
        <v>222.4</v>
      </c>
      <c r="G15204" s="5">
        <v>110.5</v>
      </c>
      <c r="H15204" s="5">
        <v>110.4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112</v>
      </c>
      <c r="D15205" s="5">
        <v>0.1</v>
      </c>
      <c r="E15205" s="5">
        <v>112.1</v>
      </c>
      <c r="F15205" s="5">
        <v>222.4</v>
      </c>
      <c r="G15205" s="5">
        <v>110.5</v>
      </c>
      <c r="H15205" s="5">
        <v>110.4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112</v>
      </c>
      <c r="D15206" s="5">
        <v>0.1</v>
      </c>
      <c r="E15206" s="5">
        <v>112.1</v>
      </c>
      <c r="F15206" s="5">
        <v>222.4</v>
      </c>
      <c r="G15206" s="5">
        <v>110.5</v>
      </c>
      <c r="H15206" s="5">
        <v>110.4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112</v>
      </c>
      <c r="D15207" s="5">
        <v>0.1</v>
      </c>
      <c r="E15207" s="5">
        <v>112.1</v>
      </c>
      <c r="F15207" s="5">
        <v>222.4</v>
      </c>
      <c r="G15207" s="5">
        <v>110.5</v>
      </c>
      <c r="H15207" s="5">
        <v>110.4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112</v>
      </c>
      <c r="D15208" s="5">
        <v>0.1</v>
      </c>
      <c r="E15208" s="5">
        <v>112.1</v>
      </c>
      <c r="F15208" s="5">
        <v>222.4</v>
      </c>
      <c r="G15208" s="5">
        <v>110.5</v>
      </c>
      <c r="H15208" s="5">
        <v>110.4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112</v>
      </c>
      <c r="D15209" s="5">
        <v>0.1</v>
      </c>
      <c r="E15209" s="5">
        <v>112.1</v>
      </c>
      <c r="F15209" s="5">
        <v>222.4</v>
      </c>
      <c r="G15209" s="5">
        <v>110.5</v>
      </c>
      <c r="H15209" s="5">
        <v>110.4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112</v>
      </c>
      <c r="D15210" s="5">
        <v>0.1</v>
      </c>
      <c r="E15210" s="5">
        <v>112.1</v>
      </c>
      <c r="F15210" s="5">
        <v>222.4</v>
      </c>
      <c r="G15210" s="5">
        <v>110.5</v>
      </c>
      <c r="H15210" s="5">
        <v>110.4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112</v>
      </c>
      <c r="D15211" s="5">
        <v>0.1</v>
      </c>
      <c r="E15211" s="5">
        <v>112.1</v>
      </c>
      <c r="F15211" s="5">
        <v>222.4</v>
      </c>
      <c r="G15211" s="5">
        <v>110.5</v>
      </c>
      <c r="H15211" s="5">
        <v>110.4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112</v>
      </c>
      <c r="D15212" s="5">
        <v>0.1</v>
      </c>
      <c r="E15212" s="5">
        <v>112.1</v>
      </c>
      <c r="F15212" s="5">
        <v>222.4</v>
      </c>
      <c r="G15212" s="5">
        <v>110.5</v>
      </c>
      <c r="H15212" s="5">
        <v>110.4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112</v>
      </c>
      <c r="D15213" s="5">
        <v>0.1</v>
      </c>
      <c r="E15213" s="5">
        <v>112.1</v>
      </c>
      <c r="F15213" s="5">
        <v>222.4</v>
      </c>
      <c r="G15213" s="5">
        <v>110.5</v>
      </c>
      <c r="H15213" s="5">
        <v>110.4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112</v>
      </c>
      <c r="D15214" s="5">
        <v>0.1</v>
      </c>
      <c r="E15214" s="5">
        <v>112.1</v>
      </c>
      <c r="F15214" s="5">
        <v>222.4</v>
      </c>
      <c r="G15214" s="5">
        <v>110.5</v>
      </c>
      <c r="H15214" s="5">
        <v>110.4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112</v>
      </c>
      <c r="D15215" s="5">
        <v>0.1</v>
      </c>
      <c r="E15215" s="5">
        <v>112.1</v>
      </c>
      <c r="F15215" s="5">
        <v>222.4</v>
      </c>
      <c r="G15215" s="5">
        <v>110.5</v>
      </c>
      <c r="H15215" s="5">
        <v>110.4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112</v>
      </c>
      <c r="D15216" s="5">
        <v>0.1</v>
      </c>
      <c r="E15216" s="5">
        <v>112.1</v>
      </c>
      <c r="F15216" s="5">
        <v>222.4</v>
      </c>
      <c r="G15216" s="5">
        <v>110.5</v>
      </c>
      <c r="H15216" s="5">
        <v>110.4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112</v>
      </c>
      <c r="D15217" s="5">
        <v>0.1</v>
      </c>
      <c r="E15217" s="5">
        <v>112.1</v>
      </c>
      <c r="F15217" s="5">
        <v>222.4</v>
      </c>
      <c r="G15217" s="5">
        <v>110.5</v>
      </c>
      <c r="H15217" s="5">
        <v>110.4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112</v>
      </c>
      <c r="D15218" s="5">
        <v>0.1</v>
      </c>
      <c r="E15218" s="5">
        <v>112.1</v>
      </c>
      <c r="F15218" s="5">
        <v>222.4</v>
      </c>
      <c r="G15218" s="5">
        <v>110.5</v>
      </c>
      <c r="H15218" s="5">
        <v>110.4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112</v>
      </c>
      <c r="D15219" s="5">
        <v>0.1</v>
      </c>
      <c r="E15219" s="5">
        <v>112.1</v>
      </c>
      <c r="F15219" s="5">
        <v>222.4</v>
      </c>
      <c r="G15219" s="5">
        <v>110.5</v>
      </c>
      <c r="H15219" s="5">
        <v>110.4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112</v>
      </c>
      <c r="D15220" s="5">
        <v>0.1</v>
      </c>
      <c r="E15220" s="5">
        <v>112.1</v>
      </c>
      <c r="F15220" s="5">
        <v>222.4</v>
      </c>
      <c r="G15220" s="5">
        <v>110.5</v>
      </c>
      <c r="H15220" s="5">
        <v>110.4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112</v>
      </c>
      <c r="D15221" s="5">
        <v>0.1</v>
      </c>
      <c r="E15221" s="5">
        <v>112.1</v>
      </c>
      <c r="F15221" s="5">
        <v>222.4</v>
      </c>
      <c r="G15221" s="5">
        <v>110.5</v>
      </c>
      <c r="H15221" s="5">
        <v>110.4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112</v>
      </c>
      <c r="D15222" s="5">
        <v>0.1</v>
      </c>
      <c r="E15222" s="5">
        <v>112.1</v>
      </c>
      <c r="F15222" s="5">
        <v>222.4</v>
      </c>
      <c r="G15222" s="5">
        <v>110.5</v>
      </c>
      <c r="H15222" s="5">
        <v>110.4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112</v>
      </c>
      <c r="D15223" s="5">
        <v>0.1</v>
      </c>
      <c r="E15223" s="5">
        <v>112.1</v>
      </c>
      <c r="F15223" s="5">
        <v>222.4</v>
      </c>
      <c r="G15223" s="5">
        <v>110.5</v>
      </c>
      <c r="H15223" s="5">
        <v>110.4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112</v>
      </c>
      <c r="D15224" s="5">
        <v>0.1</v>
      </c>
      <c r="E15224" s="5">
        <v>112.1</v>
      </c>
      <c r="F15224" s="5">
        <v>222.4</v>
      </c>
      <c r="G15224" s="5">
        <v>110.5</v>
      </c>
      <c r="H15224" s="5">
        <v>110.4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112</v>
      </c>
      <c r="D15225" s="5">
        <v>0.1</v>
      </c>
      <c r="E15225" s="5">
        <v>112.1</v>
      </c>
      <c r="F15225" s="5">
        <v>222.4</v>
      </c>
      <c r="G15225" s="5">
        <v>110.5</v>
      </c>
      <c r="H15225" s="5">
        <v>110.4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112</v>
      </c>
      <c r="D15226" s="5">
        <v>0.1</v>
      </c>
      <c r="E15226" s="5">
        <v>112.1</v>
      </c>
      <c r="F15226" s="5">
        <v>222.4</v>
      </c>
      <c r="G15226" s="5">
        <v>110.5</v>
      </c>
      <c r="H15226" s="5">
        <v>110.4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112</v>
      </c>
      <c r="D15227" s="5">
        <v>0.1</v>
      </c>
      <c r="E15227" s="5">
        <v>112.1</v>
      </c>
      <c r="F15227" s="5">
        <v>222.4</v>
      </c>
      <c r="G15227" s="5">
        <v>110.5</v>
      </c>
      <c r="H15227" s="5">
        <v>110.4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112</v>
      </c>
      <c r="D15228" s="5">
        <v>0.1</v>
      </c>
      <c r="E15228" s="5">
        <v>112.1</v>
      </c>
      <c r="F15228" s="5">
        <v>222.4</v>
      </c>
      <c r="G15228" s="5">
        <v>110.5</v>
      </c>
      <c r="H15228" s="5">
        <v>110.4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112</v>
      </c>
      <c r="D15229" s="5">
        <v>0.1</v>
      </c>
      <c r="E15229" s="5">
        <v>112.1</v>
      </c>
      <c r="F15229" s="5">
        <v>222.4</v>
      </c>
      <c r="G15229" s="5">
        <v>110.5</v>
      </c>
      <c r="H15229" s="5">
        <v>110.4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112</v>
      </c>
      <c r="D15230" s="5">
        <v>0.1</v>
      </c>
      <c r="E15230" s="5">
        <v>112.1</v>
      </c>
      <c r="F15230" s="5">
        <v>222.4</v>
      </c>
      <c r="G15230" s="5">
        <v>110.5</v>
      </c>
      <c r="H15230" s="5">
        <v>110.4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112</v>
      </c>
      <c r="D15231" s="5">
        <v>0.1</v>
      </c>
      <c r="E15231" s="5">
        <v>112.1</v>
      </c>
      <c r="F15231" s="5">
        <v>222.4</v>
      </c>
      <c r="G15231" s="5">
        <v>110.5</v>
      </c>
      <c r="H15231" s="5">
        <v>110.4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112</v>
      </c>
      <c r="D15232" s="5">
        <v>0.1</v>
      </c>
      <c r="E15232" s="5">
        <v>112.1</v>
      </c>
      <c r="F15232" s="5">
        <v>222.4</v>
      </c>
      <c r="G15232" s="5">
        <v>110.5</v>
      </c>
      <c r="H15232" s="5">
        <v>110.4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112</v>
      </c>
      <c r="D15233" s="5">
        <v>0.1</v>
      </c>
      <c r="E15233" s="5">
        <v>112.1</v>
      </c>
      <c r="F15233" s="5">
        <v>222.4</v>
      </c>
      <c r="G15233" s="5">
        <v>110.5</v>
      </c>
      <c r="H15233" s="5">
        <v>110.4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112</v>
      </c>
      <c r="D15234" s="5">
        <v>0.1</v>
      </c>
      <c r="E15234" s="5">
        <v>112.1</v>
      </c>
      <c r="F15234" s="5">
        <v>222.4</v>
      </c>
      <c r="G15234" s="5">
        <v>110.5</v>
      </c>
      <c r="H15234" s="5">
        <v>110.4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112</v>
      </c>
      <c r="D15235" s="5">
        <v>0.1</v>
      </c>
      <c r="E15235" s="5">
        <v>112.1</v>
      </c>
      <c r="F15235" s="5">
        <v>222.4</v>
      </c>
      <c r="G15235" s="5">
        <v>110.5</v>
      </c>
      <c r="H15235" s="5">
        <v>110.4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112</v>
      </c>
      <c r="D15236" s="5">
        <v>0.1</v>
      </c>
      <c r="E15236" s="5">
        <v>112.1</v>
      </c>
      <c r="F15236" s="5">
        <v>222.4</v>
      </c>
      <c r="G15236" s="5">
        <v>110.5</v>
      </c>
      <c r="H15236" s="5">
        <v>110.4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112</v>
      </c>
      <c r="D15237" s="5">
        <v>0.1</v>
      </c>
      <c r="E15237" s="5">
        <v>112.1</v>
      </c>
      <c r="F15237" s="5">
        <v>222.4</v>
      </c>
      <c r="G15237" s="5">
        <v>110.5</v>
      </c>
      <c r="H15237" s="5">
        <v>110.4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112</v>
      </c>
      <c r="D15238" s="5">
        <v>0.1</v>
      </c>
      <c r="E15238" s="5">
        <v>112.1</v>
      </c>
      <c r="F15238" s="5">
        <v>222.4</v>
      </c>
      <c r="G15238" s="5">
        <v>110.5</v>
      </c>
      <c r="H15238" s="5">
        <v>110.4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112</v>
      </c>
      <c r="D15239" s="5">
        <v>0.1</v>
      </c>
      <c r="E15239" s="5">
        <v>112.1</v>
      </c>
      <c r="F15239" s="5">
        <v>222.4</v>
      </c>
      <c r="G15239" s="5">
        <v>110.5</v>
      </c>
      <c r="H15239" s="5">
        <v>110.4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112</v>
      </c>
      <c r="D15240" s="5">
        <v>0.1</v>
      </c>
      <c r="E15240" s="5">
        <v>112.1</v>
      </c>
      <c r="F15240" s="5">
        <v>222.4</v>
      </c>
      <c r="G15240" s="5">
        <v>110.5</v>
      </c>
      <c r="H15240" s="5">
        <v>110.4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112</v>
      </c>
      <c r="D15241" s="5">
        <v>0.1</v>
      </c>
      <c r="E15241" s="5">
        <v>112.1</v>
      </c>
      <c r="F15241" s="5">
        <v>222.4</v>
      </c>
      <c r="G15241" s="5">
        <v>110.5</v>
      </c>
      <c r="H15241" s="5">
        <v>110.4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112</v>
      </c>
      <c r="D15242" s="5">
        <v>0.1</v>
      </c>
      <c r="E15242" s="5">
        <v>112.1</v>
      </c>
      <c r="F15242" s="5">
        <v>222.4</v>
      </c>
      <c r="G15242" s="5">
        <v>110.5</v>
      </c>
      <c r="H15242" s="5">
        <v>110.4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112</v>
      </c>
      <c r="D15243" s="5">
        <v>0.1</v>
      </c>
      <c r="E15243" s="5">
        <v>112.1</v>
      </c>
      <c r="F15243" s="5">
        <v>222.4</v>
      </c>
      <c r="G15243" s="5">
        <v>110.5</v>
      </c>
      <c r="H15243" s="5">
        <v>110.4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112</v>
      </c>
      <c r="D15244" s="5">
        <v>0.1</v>
      </c>
      <c r="E15244" s="5">
        <v>112.1</v>
      </c>
      <c r="F15244" s="5">
        <v>222.4</v>
      </c>
      <c r="G15244" s="5">
        <v>110.5</v>
      </c>
      <c r="H15244" s="5">
        <v>110.4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112</v>
      </c>
      <c r="D15245" s="5">
        <v>0.1</v>
      </c>
      <c r="E15245" s="5">
        <v>112.1</v>
      </c>
      <c r="F15245" s="5">
        <v>222.4</v>
      </c>
      <c r="G15245" s="5">
        <v>110.5</v>
      </c>
      <c r="H15245" s="5">
        <v>110.4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112</v>
      </c>
      <c r="D15246" s="5">
        <v>0.1</v>
      </c>
      <c r="E15246" s="5">
        <v>112.1</v>
      </c>
      <c r="F15246" s="5">
        <v>222.4</v>
      </c>
      <c r="G15246" s="5">
        <v>110.5</v>
      </c>
      <c r="H15246" s="5">
        <v>110.4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112</v>
      </c>
      <c r="D15247" s="5">
        <v>0.1</v>
      </c>
      <c r="E15247" s="5">
        <v>112.1</v>
      </c>
      <c r="F15247" s="5">
        <v>222.4</v>
      </c>
      <c r="G15247" s="5">
        <v>110.5</v>
      </c>
      <c r="H15247" s="5">
        <v>110.4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112</v>
      </c>
      <c r="D15248" s="5">
        <v>0.1</v>
      </c>
      <c r="E15248" s="5">
        <v>112.1</v>
      </c>
      <c r="F15248" s="5">
        <v>222.4</v>
      </c>
      <c r="G15248" s="5">
        <v>110.5</v>
      </c>
      <c r="H15248" s="5">
        <v>110.4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112</v>
      </c>
      <c r="D15249" s="5">
        <v>0.1</v>
      </c>
      <c r="E15249" s="5">
        <v>112.1</v>
      </c>
      <c r="F15249" s="5">
        <v>222.4</v>
      </c>
      <c r="G15249" s="5">
        <v>110.5</v>
      </c>
      <c r="H15249" s="5">
        <v>110.4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112</v>
      </c>
      <c r="D15250" s="5">
        <v>0.1</v>
      </c>
      <c r="E15250" s="5">
        <v>112.1</v>
      </c>
      <c r="F15250" s="5">
        <v>222.4</v>
      </c>
      <c r="G15250" s="5">
        <v>110.5</v>
      </c>
      <c r="H15250" s="5">
        <v>110.4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112</v>
      </c>
      <c r="D15251" s="5">
        <v>0.1</v>
      </c>
      <c r="E15251" s="5">
        <v>112.1</v>
      </c>
      <c r="F15251" s="5">
        <v>222.4</v>
      </c>
      <c r="G15251" s="5">
        <v>110.5</v>
      </c>
      <c r="H15251" s="5">
        <v>110.4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112</v>
      </c>
      <c r="D15252" s="5">
        <v>0.1</v>
      </c>
      <c r="E15252" s="5">
        <v>112.1</v>
      </c>
      <c r="F15252" s="5">
        <v>222.4</v>
      </c>
      <c r="G15252" s="5">
        <v>110.5</v>
      </c>
      <c r="H15252" s="5">
        <v>110.4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112</v>
      </c>
      <c r="D15253" s="5">
        <v>0.1</v>
      </c>
      <c r="E15253" s="5">
        <v>112.1</v>
      </c>
      <c r="F15253" s="5">
        <v>222.4</v>
      </c>
      <c r="G15253" s="5">
        <v>110.5</v>
      </c>
      <c r="H15253" s="5">
        <v>110.4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112</v>
      </c>
      <c r="D15254" s="5">
        <v>0.1</v>
      </c>
      <c r="E15254" s="5">
        <v>112.1</v>
      </c>
      <c r="F15254" s="5">
        <v>222.4</v>
      </c>
      <c r="G15254" s="5">
        <v>110.5</v>
      </c>
      <c r="H15254" s="5">
        <v>110.4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112</v>
      </c>
      <c r="D15255" s="5">
        <v>0.1</v>
      </c>
      <c r="E15255" s="5">
        <v>112.1</v>
      </c>
      <c r="F15255" s="5">
        <v>222.4</v>
      </c>
      <c r="G15255" s="5">
        <v>110.5</v>
      </c>
      <c r="H15255" s="5">
        <v>110.4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112</v>
      </c>
      <c r="D15256" s="5">
        <v>0.1</v>
      </c>
      <c r="E15256" s="5">
        <v>112.1</v>
      </c>
      <c r="F15256" s="5">
        <v>222.4</v>
      </c>
      <c r="G15256" s="5">
        <v>110.5</v>
      </c>
      <c r="H15256" s="5">
        <v>110.4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112</v>
      </c>
      <c r="D15257" s="5">
        <v>0.1</v>
      </c>
      <c r="E15257" s="5">
        <v>112.1</v>
      </c>
      <c r="F15257" s="5">
        <v>222.4</v>
      </c>
      <c r="G15257" s="5">
        <v>110.5</v>
      </c>
      <c r="H15257" s="5">
        <v>110.4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112</v>
      </c>
      <c r="D15258" s="5">
        <v>0.1</v>
      </c>
      <c r="E15258" s="5">
        <v>112.1</v>
      </c>
      <c r="F15258" s="5">
        <v>222.4</v>
      </c>
      <c r="G15258" s="5">
        <v>110.5</v>
      </c>
      <c r="H15258" s="5">
        <v>110.4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112</v>
      </c>
      <c r="D15259" s="5">
        <v>0.1</v>
      </c>
      <c r="E15259" s="5">
        <v>112.1</v>
      </c>
      <c r="F15259" s="5">
        <v>222.4</v>
      </c>
      <c r="G15259" s="5">
        <v>110.5</v>
      </c>
      <c r="H15259" s="5">
        <v>110.4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112</v>
      </c>
      <c r="D15260" s="5">
        <v>0.1</v>
      </c>
      <c r="E15260" s="5">
        <v>112.1</v>
      </c>
      <c r="F15260" s="5">
        <v>222.4</v>
      </c>
      <c r="G15260" s="5">
        <v>110.5</v>
      </c>
      <c r="H15260" s="5">
        <v>110.4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112</v>
      </c>
      <c r="D15261" s="5">
        <v>0.1</v>
      </c>
      <c r="E15261" s="5">
        <v>112.1</v>
      </c>
      <c r="F15261" s="5">
        <v>222.4</v>
      </c>
      <c r="G15261" s="5">
        <v>110.5</v>
      </c>
      <c r="H15261" s="5">
        <v>110.4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112</v>
      </c>
      <c r="D15262" s="5">
        <v>0.1</v>
      </c>
      <c r="E15262" s="5">
        <v>112.1</v>
      </c>
      <c r="F15262" s="5">
        <v>222.4</v>
      </c>
      <c r="G15262" s="5">
        <v>110.5</v>
      </c>
      <c r="H15262" s="5">
        <v>110.4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112</v>
      </c>
      <c r="D15263" s="5">
        <v>0.1</v>
      </c>
      <c r="E15263" s="5">
        <v>112.1</v>
      </c>
      <c r="F15263" s="5">
        <v>222.4</v>
      </c>
      <c r="G15263" s="5">
        <v>110.5</v>
      </c>
      <c r="H15263" s="5">
        <v>110.4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112</v>
      </c>
      <c r="D15264" s="5">
        <v>0.1</v>
      </c>
      <c r="E15264" s="5">
        <v>112.1</v>
      </c>
      <c r="F15264" s="5">
        <v>222.4</v>
      </c>
      <c r="G15264" s="5">
        <v>110.5</v>
      </c>
      <c r="H15264" s="5">
        <v>110.4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112</v>
      </c>
      <c r="D15265" s="5">
        <v>0.1</v>
      </c>
      <c r="E15265" s="5">
        <v>112.1</v>
      </c>
      <c r="F15265" s="5">
        <v>222.4</v>
      </c>
      <c r="G15265" s="5">
        <v>110.5</v>
      </c>
      <c r="H15265" s="5">
        <v>110.4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112</v>
      </c>
      <c r="D15266" s="5">
        <v>0.1</v>
      </c>
      <c r="E15266" s="5">
        <v>112.1</v>
      </c>
      <c r="F15266" s="5">
        <v>222.4</v>
      </c>
      <c r="G15266" s="5">
        <v>110.5</v>
      </c>
      <c r="H15266" s="5">
        <v>110.4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112</v>
      </c>
      <c r="D15267" s="5">
        <v>0.1</v>
      </c>
      <c r="E15267" s="5">
        <v>112.1</v>
      </c>
      <c r="F15267" s="5">
        <v>222.4</v>
      </c>
      <c r="G15267" s="5">
        <v>110.5</v>
      </c>
      <c r="H15267" s="5">
        <v>110.4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112</v>
      </c>
      <c r="D15268" s="5">
        <v>0.1</v>
      </c>
      <c r="E15268" s="5">
        <v>112.1</v>
      </c>
      <c r="F15268" s="5">
        <v>222.4</v>
      </c>
      <c r="G15268" s="5">
        <v>110.5</v>
      </c>
      <c r="H15268" s="5">
        <v>110.4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112</v>
      </c>
      <c r="D15269" s="5">
        <v>0.1</v>
      </c>
      <c r="E15269" s="5">
        <v>112.1</v>
      </c>
      <c r="F15269" s="5">
        <v>222.4</v>
      </c>
      <c r="G15269" s="5">
        <v>110.5</v>
      </c>
      <c r="H15269" s="5">
        <v>110.4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112</v>
      </c>
      <c r="D15270" s="5">
        <v>0.1</v>
      </c>
      <c r="E15270" s="5">
        <v>112.1</v>
      </c>
      <c r="F15270" s="5">
        <v>222.4</v>
      </c>
      <c r="G15270" s="5">
        <v>110.5</v>
      </c>
      <c r="H15270" s="5">
        <v>110.4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112</v>
      </c>
      <c r="D15271" s="5">
        <v>0.1</v>
      </c>
      <c r="E15271" s="5">
        <v>112.1</v>
      </c>
      <c r="F15271" s="5">
        <v>222.4</v>
      </c>
      <c r="G15271" s="5">
        <v>110.5</v>
      </c>
      <c r="H15271" s="5">
        <v>110.4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112</v>
      </c>
      <c r="D15272" s="5">
        <v>0.1</v>
      </c>
      <c r="E15272" s="5">
        <v>112.1</v>
      </c>
      <c r="F15272" s="5">
        <v>222.4</v>
      </c>
      <c r="G15272" s="5">
        <v>110.5</v>
      </c>
      <c r="H15272" s="5">
        <v>110.4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112</v>
      </c>
      <c r="D15273" s="5">
        <v>0.1</v>
      </c>
      <c r="E15273" s="5">
        <v>112.1</v>
      </c>
      <c r="F15273" s="5">
        <v>222.4</v>
      </c>
      <c r="G15273" s="5">
        <v>110.5</v>
      </c>
      <c r="H15273" s="5">
        <v>110.4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112</v>
      </c>
      <c r="D15274" s="5">
        <v>0.1</v>
      </c>
      <c r="E15274" s="5">
        <v>112.1</v>
      </c>
      <c r="F15274" s="5">
        <v>222.4</v>
      </c>
      <c r="G15274" s="5">
        <v>110.5</v>
      </c>
      <c r="H15274" s="5">
        <v>110.4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112</v>
      </c>
      <c r="D15275" s="5">
        <v>0.1</v>
      </c>
      <c r="E15275" s="5">
        <v>112.1</v>
      </c>
      <c r="F15275" s="5">
        <v>222.4</v>
      </c>
      <c r="G15275" s="5">
        <v>110.5</v>
      </c>
      <c r="H15275" s="5">
        <v>110.4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112</v>
      </c>
      <c r="D15276" s="5">
        <v>0.1</v>
      </c>
      <c r="E15276" s="5">
        <v>112.1</v>
      </c>
      <c r="F15276" s="5">
        <v>222.4</v>
      </c>
      <c r="G15276" s="5">
        <v>110.5</v>
      </c>
      <c r="H15276" s="5">
        <v>110.4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112</v>
      </c>
      <c r="D15277" s="5">
        <v>0.1</v>
      </c>
      <c r="E15277" s="5">
        <v>112.1</v>
      </c>
      <c r="F15277" s="5">
        <v>222.4</v>
      </c>
      <c r="G15277" s="5">
        <v>110.5</v>
      </c>
      <c r="H15277" s="5">
        <v>110.4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112</v>
      </c>
      <c r="D15278" s="5">
        <v>0.1</v>
      </c>
      <c r="E15278" s="5">
        <v>112.1</v>
      </c>
      <c r="F15278" s="5">
        <v>222.4</v>
      </c>
      <c r="G15278" s="5">
        <v>110.5</v>
      </c>
      <c r="H15278" s="5">
        <v>110.4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112</v>
      </c>
      <c r="D15279" s="5">
        <v>0.1</v>
      </c>
      <c r="E15279" s="5">
        <v>112.1</v>
      </c>
      <c r="F15279" s="5">
        <v>222.4</v>
      </c>
      <c r="G15279" s="5">
        <v>110.5</v>
      </c>
      <c r="H15279" s="5">
        <v>110.4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112</v>
      </c>
      <c r="D15280" s="5">
        <v>0.1</v>
      </c>
      <c r="E15280" s="5">
        <v>112.1</v>
      </c>
      <c r="F15280" s="5">
        <v>222.4</v>
      </c>
      <c r="G15280" s="5">
        <v>110.5</v>
      </c>
      <c r="H15280" s="5">
        <v>110.4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112</v>
      </c>
      <c r="D15281" s="5">
        <v>0.1</v>
      </c>
      <c r="E15281" s="5">
        <v>112.1</v>
      </c>
      <c r="F15281" s="5">
        <v>222.4</v>
      </c>
      <c r="G15281" s="5">
        <v>110.5</v>
      </c>
      <c r="H15281" s="5">
        <v>110.4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112</v>
      </c>
      <c r="D15282" s="5">
        <v>0.1</v>
      </c>
      <c r="E15282" s="5">
        <v>112.1</v>
      </c>
      <c r="F15282" s="5">
        <v>222.4</v>
      </c>
      <c r="G15282" s="5">
        <v>110.5</v>
      </c>
      <c r="H15282" s="5">
        <v>110.4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112</v>
      </c>
      <c r="D15283" s="5">
        <v>0.1</v>
      </c>
      <c r="E15283" s="5">
        <v>112.1</v>
      </c>
      <c r="F15283" s="5">
        <v>222.4</v>
      </c>
      <c r="G15283" s="5">
        <v>110.5</v>
      </c>
      <c r="H15283" s="5">
        <v>110.4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112</v>
      </c>
      <c r="D15284" s="5">
        <v>0.1</v>
      </c>
      <c r="E15284" s="5">
        <v>112.1</v>
      </c>
      <c r="F15284" s="5">
        <v>222.4</v>
      </c>
      <c r="G15284" s="5">
        <v>110.5</v>
      </c>
      <c r="H15284" s="5">
        <v>110.4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112</v>
      </c>
      <c r="D15285" s="5">
        <v>0.1</v>
      </c>
      <c r="E15285" s="5">
        <v>112.1</v>
      </c>
      <c r="F15285" s="5">
        <v>222.4</v>
      </c>
      <c r="G15285" s="5">
        <v>110.5</v>
      </c>
      <c r="H15285" s="5">
        <v>110.4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112</v>
      </c>
      <c r="D15286" s="5">
        <v>0.1</v>
      </c>
      <c r="E15286" s="5">
        <v>112.1</v>
      </c>
      <c r="F15286" s="5">
        <v>222.4</v>
      </c>
      <c r="G15286" s="5">
        <v>110.5</v>
      </c>
      <c r="H15286" s="5">
        <v>110.4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112</v>
      </c>
      <c r="D15287" s="5">
        <v>0.1</v>
      </c>
      <c r="E15287" s="5">
        <v>112.1</v>
      </c>
      <c r="F15287" s="5">
        <v>222.4</v>
      </c>
      <c r="G15287" s="5">
        <v>110.5</v>
      </c>
      <c r="H15287" s="5">
        <v>110.4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112</v>
      </c>
      <c r="D15288" s="5">
        <v>0.1</v>
      </c>
      <c r="E15288" s="5">
        <v>112.1</v>
      </c>
      <c r="F15288" s="5">
        <v>222.4</v>
      </c>
      <c r="G15288" s="5">
        <v>110.5</v>
      </c>
      <c r="H15288" s="5">
        <v>110.4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112</v>
      </c>
      <c r="D15289" s="5">
        <v>0.1</v>
      </c>
      <c r="E15289" s="5">
        <v>112.1</v>
      </c>
      <c r="F15289" s="5">
        <v>222.4</v>
      </c>
      <c r="G15289" s="5">
        <v>110.5</v>
      </c>
      <c r="H15289" s="5">
        <v>110.4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112</v>
      </c>
      <c r="D15290" s="5">
        <v>0.1</v>
      </c>
      <c r="E15290" s="5">
        <v>112.1</v>
      </c>
      <c r="F15290" s="5">
        <v>222.4</v>
      </c>
      <c r="G15290" s="5">
        <v>110.5</v>
      </c>
      <c r="H15290" s="5">
        <v>110.4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112</v>
      </c>
      <c r="D15291" s="5">
        <v>0.1</v>
      </c>
      <c r="E15291" s="5">
        <v>112.1</v>
      </c>
      <c r="F15291" s="5">
        <v>222.4</v>
      </c>
      <c r="G15291" s="5">
        <v>110.5</v>
      </c>
      <c r="H15291" s="5">
        <v>110.4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112</v>
      </c>
      <c r="D15292" s="5">
        <v>0.1</v>
      </c>
      <c r="E15292" s="5">
        <v>112.1</v>
      </c>
      <c r="F15292" s="5">
        <v>222.4</v>
      </c>
      <c r="G15292" s="5">
        <v>110.5</v>
      </c>
      <c r="H15292" s="5">
        <v>110.4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112</v>
      </c>
      <c r="D15293" s="5">
        <v>0.1</v>
      </c>
      <c r="E15293" s="5">
        <v>112.1</v>
      </c>
      <c r="F15293" s="5">
        <v>222.4</v>
      </c>
      <c r="G15293" s="5">
        <v>110.5</v>
      </c>
      <c r="H15293" s="5">
        <v>110.4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112</v>
      </c>
      <c r="D15294" s="5">
        <v>0.1</v>
      </c>
      <c r="E15294" s="5">
        <v>112.1</v>
      </c>
      <c r="F15294" s="5">
        <v>222.4</v>
      </c>
      <c r="G15294" s="5">
        <v>110.5</v>
      </c>
      <c r="H15294" s="5">
        <v>110.4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112</v>
      </c>
      <c r="D15295" s="5">
        <v>0.1</v>
      </c>
      <c r="E15295" s="5">
        <v>112.1</v>
      </c>
      <c r="F15295" s="5">
        <v>222.4</v>
      </c>
      <c r="G15295" s="5">
        <v>110.5</v>
      </c>
      <c r="H15295" s="5">
        <v>110.4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112</v>
      </c>
      <c r="D15296" s="5">
        <v>0.1</v>
      </c>
      <c r="E15296" s="5">
        <v>112.1</v>
      </c>
      <c r="F15296" s="5">
        <v>222.4</v>
      </c>
      <c r="G15296" s="5">
        <v>110.5</v>
      </c>
      <c r="H15296" s="5">
        <v>110.4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112</v>
      </c>
      <c r="D15297" s="5">
        <v>0.1</v>
      </c>
      <c r="E15297" s="5">
        <v>112.1</v>
      </c>
      <c r="F15297" s="5">
        <v>222.4</v>
      </c>
      <c r="G15297" s="5">
        <v>110.5</v>
      </c>
      <c r="H15297" s="5">
        <v>110.4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112</v>
      </c>
      <c r="D15298" s="5">
        <v>0.1</v>
      </c>
      <c r="E15298" s="5">
        <v>112.1</v>
      </c>
      <c r="F15298" s="5">
        <v>222.4</v>
      </c>
      <c r="G15298" s="5">
        <v>110.5</v>
      </c>
      <c r="H15298" s="5">
        <v>110.4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112</v>
      </c>
      <c r="D15299" s="5">
        <v>0.1</v>
      </c>
      <c r="E15299" s="5">
        <v>112.1</v>
      </c>
      <c r="F15299" s="5">
        <v>222.4</v>
      </c>
      <c r="G15299" s="5">
        <v>110.5</v>
      </c>
      <c r="H15299" s="5">
        <v>110.4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112</v>
      </c>
      <c r="D15300" s="5">
        <v>0.1</v>
      </c>
      <c r="E15300" s="5">
        <v>112.1</v>
      </c>
      <c r="F15300" s="5">
        <v>222.4</v>
      </c>
      <c r="G15300" s="5">
        <v>110.5</v>
      </c>
      <c r="H15300" s="5">
        <v>110.4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112</v>
      </c>
      <c r="D15301" s="5">
        <v>0.1</v>
      </c>
      <c r="E15301" s="5">
        <v>112.1</v>
      </c>
      <c r="F15301" s="5">
        <v>222.4</v>
      </c>
      <c r="G15301" s="5">
        <v>110.5</v>
      </c>
      <c r="H15301" s="5">
        <v>110.4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112</v>
      </c>
      <c r="D15302" s="5">
        <v>0.1</v>
      </c>
      <c r="E15302" s="5">
        <v>112.1</v>
      </c>
      <c r="F15302" s="5">
        <v>222.4</v>
      </c>
      <c r="G15302" s="5">
        <v>110.5</v>
      </c>
      <c r="H15302" s="5">
        <v>110.4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112</v>
      </c>
      <c r="D15303" s="5">
        <v>0.1</v>
      </c>
      <c r="E15303" s="5">
        <v>112.1</v>
      </c>
      <c r="F15303" s="5">
        <v>222.4</v>
      </c>
      <c r="G15303" s="5">
        <v>110.5</v>
      </c>
      <c r="H15303" s="5">
        <v>110.4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112</v>
      </c>
      <c r="D15304" s="5">
        <v>0.1</v>
      </c>
      <c r="E15304" s="5">
        <v>112.1</v>
      </c>
      <c r="F15304" s="5">
        <v>222.4</v>
      </c>
      <c r="G15304" s="5">
        <v>110.5</v>
      </c>
      <c r="H15304" s="5">
        <v>110.4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112</v>
      </c>
      <c r="D15305" s="5">
        <v>0.1</v>
      </c>
      <c r="E15305" s="5">
        <v>112.1</v>
      </c>
      <c r="F15305" s="5">
        <v>222.4</v>
      </c>
      <c r="G15305" s="5">
        <v>110.5</v>
      </c>
      <c r="H15305" s="5">
        <v>110.4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112</v>
      </c>
      <c r="D15306" s="5">
        <v>0.1</v>
      </c>
      <c r="E15306" s="5">
        <v>112.1</v>
      </c>
      <c r="F15306" s="5">
        <v>222.4</v>
      </c>
      <c r="G15306" s="5">
        <v>110.5</v>
      </c>
      <c r="H15306" s="5">
        <v>110.4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112</v>
      </c>
      <c r="D15307" s="5">
        <v>0.1</v>
      </c>
      <c r="E15307" s="5">
        <v>112.1</v>
      </c>
      <c r="F15307" s="5">
        <v>222.4</v>
      </c>
      <c r="G15307" s="5">
        <v>110.5</v>
      </c>
      <c r="H15307" s="5">
        <v>110.4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112</v>
      </c>
      <c r="D15308" s="5">
        <v>0.1</v>
      </c>
      <c r="E15308" s="5">
        <v>112.1</v>
      </c>
      <c r="F15308" s="5">
        <v>222.4</v>
      </c>
      <c r="G15308" s="5">
        <v>110.5</v>
      </c>
      <c r="H15308" s="5">
        <v>110.4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112</v>
      </c>
      <c r="D15309" s="5">
        <v>0.1</v>
      </c>
      <c r="E15309" s="5">
        <v>112.1</v>
      </c>
      <c r="F15309" s="5">
        <v>222.4</v>
      </c>
      <c r="G15309" s="5">
        <v>110.5</v>
      </c>
      <c r="H15309" s="5">
        <v>110.4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112</v>
      </c>
      <c r="D15310" s="5">
        <v>0.1</v>
      </c>
      <c r="E15310" s="5">
        <v>112.1</v>
      </c>
      <c r="F15310" s="5">
        <v>222.4</v>
      </c>
      <c r="G15310" s="5">
        <v>110.5</v>
      </c>
      <c r="H15310" s="5">
        <v>110.4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112</v>
      </c>
      <c r="D15311" s="5">
        <v>0.1</v>
      </c>
      <c r="E15311" s="5">
        <v>112.1</v>
      </c>
      <c r="F15311" s="5">
        <v>222.4</v>
      </c>
      <c r="G15311" s="5">
        <v>110.5</v>
      </c>
      <c r="H15311" s="5">
        <v>110.4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112</v>
      </c>
      <c r="D15312" s="5">
        <v>0.1</v>
      </c>
      <c r="E15312" s="5">
        <v>112.1</v>
      </c>
      <c r="F15312" s="5">
        <v>222.4</v>
      </c>
      <c r="G15312" s="5">
        <v>110.5</v>
      </c>
      <c r="H15312" s="5">
        <v>110.4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112</v>
      </c>
      <c r="D15313" s="5">
        <v>0.1</v>
      </c>
      <c r="E15313" s="5">
        <v>112.1</v>
      </c>
      <c r="F15313" s="5">
        <v>222.4</v>
      </c>
      <c r="G15313" s="5">
        <v>110.5</v>
      </c>
      <c r="H15313" s="5">
        <v>110.4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112</v>
      </c>
      <c r="D15314" s="5">
        <v>0.1</v>
      </c>
      <c r="E15314" s="5">
        <v>112.1</v>
      </c>
      <c r="F15314" s="5">
        <v>222.4</v>
      </c>
      <c r="G15314" s="5">
        <v>110.5</v>
      </c>
      <c r="H15314" s="5">
        <v>110.4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112</v>
      </c>
      <c r="D15315" s="5">
        <v>0.1</v>
      </c>
      <c r="E15315" s="5">
        <v>112.1</v>
      </c>
      <c r="F15315" s="5">
        <v>222.4</v>
      </c>
      <c r="G15315" s="5">
        <v>110.5</v>
      </c>
      <c r="H15315" s="5">
        <v>110.4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112</v>
      </c>
      <c r="D15316" s="5">
        <v>0.1</v>
      </c>
      <c r="E15316" s="5">
        <v>112.1</v>
      </c>
      <c r="F15316" s="5">
        <v>222.4</v>
      </c>
      <c r="G15316" s="5">
        <v>110.5</v>
      </c>
      <c r="H15316" s="5">
        <v>110.4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112</v>
      </c>
      <c r="D15317" s="5">
        <v>0.1</v>
      </c>
      <c r="E15317" s="5">
        <v>112.1</v>
      </c>
      <c r="F15317" s="5">
        <v>222.4</v>
      </c>
      <c r="G15317" s="5">
        <v>110.5</v>
      </c>
      <c r="H15317" s="5">
        <v>110.4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112</v>
      </c>
      <c r="D15318" s="5">
        <v>0.1</v>
      </c>
      <c r="E15318" s="5">
        <v>112.1</v>
      </c>
      <c r="F15318" s="5">
        <v>222.4</v>
      </c>
      <c r="G15318" s="5">
        <v>110.5</v>
      </c>
      <c r="H15318" s="5">
        <v>110.4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112</v>
      </c>
      <c r="D15319" s="5">
        <v>0.1</v>
      </c>
      <c r="E15319" s="5">
        <v>112.1</v>
      </c>
      <c r="F15319" s="5">
        <v>222.4</v>
      </c>
      <c r="G15319" s="5">
        <v>110.5</v>
      </c>
      <c r="H15319" s="5">
        <v>110.4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112</v>
      </c>
      <c r="D15320" s="5">
        <v>0.1</v>
      </c>
      <c r="E15320" s="5">
        <v>112.1</v>
      </c>
      <c r="F15320" s="5">
        <v>222.4</v>
      </c>
      <c r="G15320" s="5">
        <v>110.5</v>
      </c>
      <c r="H15320" s="5">
        <v>110.4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112</v>
      </c>
      <c r="D15321" s="5">
        <v>0.1</v>
      </c>
      <c r="E15321" s="5">
        <v>112.1</v>
      </c>
      <c r="F15321" s="5">
        <v>222.4</v>
      </c>
      <c r="G15321" s="5">
        <v>110.5</v>
      </c>
      <c r="H15321" s="5">
        <v>110.4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112</v>
      </c>
      <c r="D15322" s="5">
        <v>0.1</v>
      </c>
      <c r="E15322" s="5">
        <v>112.1</v>
      </c>
      <c r="F15322" s="5">
        <v>222.4</v>
      </c>
      <c r="G15322" s="5">
        <v>110.5</v>
      </c>
      <c r="H15322" s="5">
        <v>110.4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112</v>
      </c>
      <c r="D15323" s="5">
        <v>0.1</v>
      </c>
      <c r="E15323" s="5">
        <v>112.1</v>
      </c>
      <c r="F15323" s="5">
        <v>222.4</v>
      </c>
      <c r="G15323" s="5">
        <v>110.5</v>
      </c>
      <c r="H15323" s="5">
        <v>110.4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112</v>
      </c>
      <c r="D15324" s="5">
        <v>0.1</v>
      </c>
      <c r="E15324" s="5">
        <v>112.1</v>
      </c>
      <c r="F15324" s="5">
        <v>222.4</v>
      </c>
      <c r="G15324" s="5">
        <v>110.5</v>
      </c>
      <c r="H15324" s="5">
        <v>110.4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112</v>
      </c>
      <c r="D15325" s="5">
        <v>0.1</v>
      </c>
      <c r="E15325" s="5">
        <v>112.1</v>
      </c>
      <c r="F15325" s="5">
        <v>222.4</v>
      </c>
      <c r="G15325" s="5">
        <v>110.5</v>
      </c>
      <c r="H15325" s="5">
        <v>110.4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112</v>
      </c>
      <c r="D15326" s="5">
        <v>0.1</v>
      </c>
      <c r="E15326" s="5">
        <v>112.1</v>
      </c>
      <c r="F15326" s="5">
        <v>222.4</v>
      </c>
      <c r="G15326" s="5">
        <v>110.5</v>
      </c>
      <c r="H15326" s="5">
        <v>110.4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112</v>
      </c>
      <c r="D15327" s="5">
        <v>0.1</v>
      </c>
      <c r="E15327" s="5">
        <v>112.1</v>
      </c>
      <c r="F15327" s="5">
        <v>222.4</v>
      </c>
      <c r="G15327" s="5">
        <v>110.5</v>
      </c>
      <c r="H15327" s="5">
        <v>110.4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112</v>
      </c>
      <c r="D15328" s="5">
        <v>0.1</v>
      </c>
      <c r="E15328" s="5">
        <v>112.1</v>
      </c>
      <c r="F15328" s="5">
        <v>222.4</v>
      </c>
      <c r="G15328" s="5">
        <v>110.5</v>
      </c>
      <c r="H15328" s="5">
        <v>110.4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112</v>
      </c>
      <c r="D15329" s="5">
        <v>0.1</v>
      </c>
      <c r="E15329" s="5">
        <v>112.1</v>
      </c>
      <c r="F15329" s="5">
        <v>222.4</v>
      </c>
      <c r="G15329" s="5">
        <v>110.5</v>
      </c>
      <c r="H15329" s="5">
        <v>110.4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112</v>
      </c>
      <c r="D15330" s="5">
        <v>0.1</v>
      </c>
      <c r="E15330" s="5">
        <v>112.1</v>
      </c>
      <c r="F15330" s="5">
        <v>222.4</v>
      </c>
      <c r="G15330" s="5">
        <v>110.5</v>
      </c>
      <c r="H15330" s="5">
        <v>110.4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112</v>
      </c>
      <c r="D15331" s="5">
        <v>0.1</v>
      </c>
      <c r="E15331" s="5">
        <v>112.1</v>
      </c>
      <c r="F15331" s="5">
        <v>222.4</v>
      </c>
      <c r="G15331" s="5">
        <v>110.5</v>
      </c>
      <c r="H15331" s="5">
        <v>110.4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112</v>
      </c>
      <c r="D15332" s="5">
        <v>0.1</v>
      </c>
      <c r="E15332" s="5">
        <v>112.1</v>
      </c>
      <c r="F15332" s="5">
        <v>222.4</v>
      </c>
      <c r="G15332" s="5">
        <v>110.5</v>
      </c>
      <c r="H15332" s="5">
        <v>110.4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112</v>
      </c>
      <c r="D15333" s="5">
        <v>0.1</v>
      </c>
      <c r="E15333" s="5">
        <v>112.1</v>
      </c>
      <c r="F15333" s="5">
        <v>222.4</v>
      </c>
      <c r="G15333" s="5">
        <v>110.5</v>
      </c>
      <c r="H15333" s="5">
        <v>110.4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112</v>
      </c>
      <c r="D15334" s="5">
        <v>0.1</v>
      </c>
      <c r="E15334" s="5">
        <v>112.1</v>
      </c>
      <c r="F15334" s="5">
        <v>222.4</v>
      </c>
      <c r="G15334" s="5">
        <v>110.5</v>
      </c>
      <c r="H15334" s="5">
        <v>110.4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112</v>
      </c>
      <c r="D15335" s="5">
        <v>0.1</v>
      </c>
      <c r="E15335" s="5">
        <v>112.1</v>
      </c>
      <c r="F15335" s="5">
        <v>222.4</v>
      </c>
      <c r="G15335" s="5">
        <v>110.5</v>
      </c>
      <c r="H15335" s="5">
        <v>110.4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112</v>
      </c>
      <c r="D15336" s="5">
        <v>0.1</v>
      </c>
      <c r="E15336" s="5">
        <v>112.1</v>
      </c>
      <c r="F15336" s="5">
        <v>222.4</v>
      </c>
      <c r="G15336" s="5">
        <v>110.5</v>
      </c>
      <c r="H15336" s="5">
        <v>110.4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112</v>
      </c>
      <c r="D15337" s="5">
        <v>0.1</v>
      </c>
      <c r="E15337" s="5">
        <v>112.1</v>
      </c>
      <c r="F15337" s="5">
        <v>222.4</v>
      </c>
      <c r="G15337" s="5">
        <v>110.5</v>
      </c>
      <c r="H15337" s="5">
        <v>110.4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112</v>
      </c>
      <c r="D15338" s="5">
        <v>0.1</v>
      </c>
      <c r="E15338" s="5">
        <v>112.1</v>
      </c>
      <c r="F15338" s="5">
        <v>222.4</v>
      </c>
      <c r="G15338" s="5">
        <v>110.5</v>
      </c>
      <c r="H15338" s="5">
        <v>110.4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112</v>
      </c>
      <c r="D15339" s="5">
        <v>0.1</v>
      </c>
      <c r="E15339" s="5">
        <v>112.1</v>
      </c>
      <c r="F15339" s="5">
        <v>222.4</v>
      </c>
      <c r="G15339" s="5">
        <v>110.5</v>
      </c>
      <c r="H15339" s="5">
        <v>110.4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112</v>
      </c>
      <c r="D15340" s="5">
        <v>0.1</v>
      </c>
      <c r="E15340" s="5">
        <v>112.1</v>
      </c>
      <c r="F15340" s="5">
        <v>222.4</v>
      </c>
      <c r="G15340" s="5">
        <v>110.5</v>
      </c>
      <c r="H15340" s="5">
        <v>110.4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112</v>
      </c>
      <c r="D15341" s="5">
        <v>0.1</v>
      </c>
      <c r="E15341" s="5">
        <v>112.1</v>
      </c>
      <c r="F15341" s="5">
        <v>222.4</v>
      </c>
      <c r="G15341" s="5">
        <v>110.5</v>
      </c>
      <c r="H15341" s="5">
        <v>110.4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112</v>
      </c>
      <c r="D15342" s="5">
        <v>0.1</v>
      </c>
      <c r="E15342" s="5">
        <v>112.1</v>
      </c>
      <c r="F15342" s="5">
        <v>222.4</v>
      </c>
      <c r="G15342" s="5">
        <v>110.5</v>
      </c>
      <c r="H15342" s="5">
        <v>110.4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112</v>
      </c>
      <c r="D15343" s="5">
        <v>0.1</v>
      </c>
      <c r="E15343" s="5">
        <v>112.1</v>
      </c>
      <c r="F15343" s="5">
        <v>222.4</v>
      </c>
      <c r="G15343" s="5">
        <v>110.5</v>
      </c>
      <c r="H15343" s="5">
        <v>110.4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112</v>
      </c>
      <c r="D15344" s="5">
        <v>0.1</v>
      </c>
      <c r="E15344" s="5">
        <v>112.1</v>
      </c>
      <c r="F15344" s="5">
        <v>222.4</v>
      </c>
      <c r="G15344" s="5">
        <v>110.5</v>
      </c>
      <c r="H15344" s="5">
        <v>110.4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112</v>
      </c>
      <c r="D15345" s="5">
        <v>0.1</v>
      </c>
      <c r="E15345" s="5">
        <v>112.1</v>
      </c>
      <c r="F15345" s="5">
        <v>222.4</v>
      </c>
      <c r="G15345" s="5">
        <v>110.5</v>
      </c>
      <c r="H15345" s="5">
        <v>110.4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112</v>
      </c>
      <c r="D15346" s="5">
        <v>0.1</v>
      </c>
      <c r="E15346" s="5">
        <v>112.1</v>
      </c>
      <c r="F15346" s="5">
        <v>222.4</v>
      </c>
      <c r="G15346" s="5">
        <v>110.5</v>
      </c>
      <c r="H15346" s="5">
        <v>110.4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112</v>
      </c>
      <c r="D15347" s="5">
        <v>0.1</v>
      </c>
      <c r="E15347" s="5">
        <v>112.1</v>
      </c>
      <c r="F15347" s="5">
        <v>222.4</v>
      </c>
      <c r="G15347" s="5">
        <v>110.5</v>
      </c>
      <c r="H15347" s="5">
        <v>110.4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112</v>
      </c>
      <c r="D15348" s="5">
        <v>0.1</v>
      </c>
      <c r="E15348" s="5">
        <v>112.1</v>
      </c>
      <c r="F15348" s="5">
        <v>222.4</v>
      </c>
      <c r="G15348" s="5">
        <v>110.5</v>
      </c>
      <c r="H15348" s="5">
        <v>110.4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112</v>
      </c>
      <c r="D15349" s="5">
        <v>0.1</v>
      </c>
      <c r="E15349" s="5">
        <v>112.1</v>
      </c>
      <c r="F15349" s="5">
        <v>222.4</v>
      </c>
      <c r="G15349" s="5">
        <v>110.5</v>
      </c>
      <c r="H15349" s="5">
        <v>110.4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112</v>
      </c>
      <c r="D15350" s="5">
        <v>0.1</v>
      </c>
      <c r="E15350" s="5">
        <v>112.1</v>
      </c>
      <c r="F15350" s="5">
        <v>222.4</v>
      </c>
      <c r="G15350" s="5">
        <v>110.5</v>
      </c>
      <c r="H15350" s="5">
        <v>110.4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112</v>
      </c>
      <c r="D15351" s="5">
        <v>0.1</v>
      </c>
      <c r="E15351" s="5">
        <v>112.1</v>
      </c>
      <c r="F15351" s="5">
        <v>222.4</v>
      </c>
      <c r="G15351" s="5">
        <v>110.5</v>
      </c>
      <c r="H15351" s="5">
        <v>110.4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112</v>
      </c>
      <c r="D15352" s="5">
        <v>0.1</v>
      </c>
      <c r="E15352" s="5">
        <v>112.1</v>
      </c>
      <c r="F15352" s="5">
        <v>222.4</v>
      </c>
      <c r="G15352" s="5">
        <v>110.5</v>
      </c>
      <c r="H15352" s="5">
        <v>110.4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112</v>
      </c>
      <c r="D15353" s="5">
        <v>0.1</v>
      </c>
      <c r="E15353" s="5">
        <v>112.1</v>
      </c>
      <c r="F15353" s="5">
        <v>222.4</v>
      </c>
      <c r="G15353" s="5">
        <v>110.5</v>
      </c>
      <c r="H15353" s="5">
        <v>110.4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112</v>
      </c>
      <c r="D15354" s="5">
        <v>0.1</v>
      </c>
      <c r="E15354" s="5">
        <v>112.1</v>
      </c>
      <c r="F15354" s="5">
        <v>222.4</v>
      </c>
      <c r="G15354" s="5">
        <v>110.5</v>
      </c>
      <c r="H15354" s="5">
        <v>110.4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112</v>
      </c>
      <c r="D15355" s="5">
        <v>0.1</v>
      </c>
      <c r="E15355" s="5">
        <v>112.1</v>
      </c>
      <c r="F15355" s="5">
        <v>222.4</v>
      </c>
      <c r="G15355" s="5">
        <v>110.5</v>
      </c>
      <c r="H15355" s="5">
        <v>110.4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112</v>
      </c>
      <c r="D15356" s="5">
        <v>0.1</v>
      </c>
      <c r="E15356" s="5">
        <v>112.1</v>
      </c>
      <c r="F15356" s="5">
        <v>222.4</v>
      </c>
      <c r="G15356" s="5">
        <v>110.5</v>
      </c>
      <c r="H15356" s="5">
        <v>110.4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112</v>
      </c>
      <c r="D15357" s="5">
        <v>0.1</v>
      </c>
      <c r="E15357" s="5">
        <v>112.1</v>
      </c>
      <c r="F15357" s="5">
        <v>222.4</v>
      </c>
      <c r="G15357" s="5">
        <v>110.5</v>
      </c>
      <c r="H15357" s="5">
        <v>110.4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112</v>
      </c>
      <c r="D15358" s="5">
        <v>0.1</v>
      </c>
      <c r="E15358" s="5">
        <v>112.1</v>
      </c>
      <c r="F15358" s="5">
        <v>222.4</v>
      </c>
      <c r="G15358" s="5">
        <v>110.5</v>
      </c>
      <c r="H15358" s="5">
        <v>110.4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112</v>
      </c>
      <c r="D15359" s="5">
        <v>0.1</v>
      </c>
      <c r="E15359" s="5">
        <v>112.1</v>
      </c>
      <c r="F15359" s="5">
        <v>222.4</v>
      </c>
      <c r="G15359" s="5">
        <v>110.5</v>
      </c>
      <c r="H15359" s="5">
        <v>110.4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112</v>
      </c>
      <c r="D15360" s="5">
        <v>0.1</v>
      </c>
      <c r="E15360" s="5">
        <v>112.1</v>
      </c>
      <c r="F15360" s="5">
        <v>222.4</v>
      </c>
      <c r="G15360" s="5">
        <v>110.5</v>
      </c>
      <c r="H15360" s="5">
        <v>110.4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112</v>
      </c>
      <c r="D15361" s="5">
        <v>0.1</v>
      </c>
      <c r="E15361" s="5">
        <v>112.1</v>
      </c>
      <c r="F15361" s="5">
        <v>222.4</v>
      </c>
      <c r="G15361" s="5">
        <v>110.5</v>
      </c>
      <c r="H15361" s="5">
        <v>110.4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112</v>
      </c>
      <c r="D15362" s="5">
        <v>0.1</v>
      </c>
      <c r="E15362" s="5">
        <v>112.1</v>
      </c>
      <c r="F15362" s="5">
        <v>222.4</v>
      </c>
      <c r="G15362" s="5">
        <v>110.5</v>
      </c>
      <c r="H15362" s="5">
        <v>110.4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112</v>
      </c>
      <c r="D15363" s="5">
        <v>0.1</v>
      </c>
      <c r="E15363" s="5">
        <v>112.1</v>
      </c>
      <c r="F15363" s="5">
        <v>222.4</v>
      </c>
      <c r="G15363" s="5">
        <v>110.5</v>
      </c>
      <c r="H15363" s="5">
        <v>110.4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112</v>
      </c>
      <c r="D15364" s="5">
        <v>0.1</v>
      </c>
      <c r="E15364" s="5">
        <v>112.1</v>
      </c>
      <c r="F15364" s="5">
        <v>222.4</v>
      </c>
      <c r="G15364" s="5">
        <v>110.5</v>
      </c>
      <c r="H15364" s="5">
        <v>110.4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112</v>
      </c>
      <c r="D15365" s="5">
        <v>0.1</v>
      </c>
      <c r="E15365" s="5">
        <v>112.1</v>
      </c>
      <c r="F15365" s="5">
        <v>222.4</v>
      </c>
      <c r="G15365" s="5">
        <v>110.5</v>
      </c>
      <c r="H15365" s="5">
        <v>110.4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112</v>
      </c>
      <c r="D15366" s="5">
        <v>0.1</v>
      </c>
      <c r="E15366" s="5">
        <v>112.1</v>
      </c>
      <c r="F15366" s="5">
        <v>222.4</v>
      </c>
      <c r="G15366" s="5">
        <v>110.5</v>
      </c>
      <c r="H15366" s="5">
        <v>110.4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112</v>
      </c>
      <c r="D15367" s="5">
        <v>0.1</v>
      </c>
      <c r="E15367" s="5">
        <v>112.1</v>
      </c>
      <c r="F15367" s="5">
        <v>222.4</v>
      </c>
      <c r="G15367" s="5">
        <v>110.5</v>
      </c>
      <c r="H15367" s="5">
        <v>110.4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112</v>
      </c>
      <c r="D15368" s="5">
        <v>0.1</v>
      </c>
      <c r="E15368" s="5">
        <v>112.1</v>
      </c>
      <c r="F15368" s="5">
        <v>222.4</v>
      </c>
      <c r="G15368" s="5">
        <v>110.5</v>
      </c>
      <c r="H15368" s="5">
        <v>110.4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112</v>
      </c>
      <c r="D15369" s="5">
        <v>0.1</v>
      </c>
      <c r="E15369" s="5">
        <v>112.1</v>
      </c>
      <c r="F15369" s="5">
        <v>222.4</v>
      </c>
      <c r="G15369" s="5">
        <v>110.5</v>
      </c>
      <c r="H15369" s="5">
        <v>110.4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112</v>
      </c>
      <c r="D15370" s="5">
        <v>0.1</v>
      </c>
      <c r="E15370" s="5">
        <v>112.1</v>
      </c>
      <c r="F15370" s="5">
        <v>222.4</v>
      </c>
      <c r="G15370" s="5">
        <v>110.5</v>
      </c>
      <c r="H15370" s="5">
        <v>110.4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112</v>
      </c>
      <c r="D15371" s="5">
        <v>0.1</v>
      </c>
      <c r="E15371" s="5">
        <v>112.1</v>
      </c>
      <c r="F15371" s="5">
        <v>222.4</v>
      </c>
      <c r="G15371" s="5">
        <v>110.5</v>
      </c>
      <c r="H15371" s="5">
        <v>110.4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112</v>
      </c>
      <c r="D15372" s="5">
        <v>0.1</v>
      </c>
      <c r="E15372" s="5">
        <v>112.1</v>
      </c>
      <c r="F15372" s="5">
        <v>222.4</v>
      </c>
      <c r="G15372" s="5">
        <v>110.5</v>
      </c>
      <c r="H15372" s="5">
        <v>110.4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112</v>
      </c>
      <c r="D15373" s="5">
        <v>0.1</v>
      </c>
      <c r="E15373" s="5">
        <v>112.1</v>
      </c>
      <c r="F15373" s="5">
        <v>222.4</v>
      </c>
      <c r="G15373" s="5">
        <v>110.5</v>
      </c>
      <c r="H15373" s="5">
        <v>110.4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112</v>
      </c>
      <c r="D15374" s="5">
        <v>0.1</v>
      </c>
      <c r="E15374" s="5">
        <v>112.1</v>
      </c>
      <c r="F15374" s="5">
        <v>222.4</v>
      </c>
      <c r="G15374" s="5">
        <v>110.5</v>
      </c>
      <c r="H15374" s="5">
        <v>110.4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112</v>
      </c>
      <c r="D15375" s="5">
        <v>0.1</v>
      </c>
      <c r="E15375" s="5">
        <v>112.1</v>
      </c>
      <c r="F15375" s="5">
        <v>222.4</v>
      </c>
      <c r="G15375" s="5">
        <v>110.5</v>
      </c>
      <c r="H15375" s="5">
        <v>110.4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112</v>
      </c>
      <c r="D15376" s="5">
        <v>0.1</v>
      </c>
      <c r="E15376" s="5">
        <v>112.1</v>
      </c>
      <c r="F15376" s="5">
        <v>222.4</v>
      </c>
      <c r="G15376" s="5">
        <v>110.5</v>
      </c>
      <c r="H15376" s="5">
        <v>110.4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112</v>
      </c>
      <c r="D15377" s="5">
        <v>0.1</v>
      </c>
      <c r="E15377" s="5">
        <v>112.1</v>
      </c>
      <c r="F15377" s="5">
        <v>222.4</v>
      </c>
      <c r="G15377" s="5">
        <v>110.5</v>
      </c>
      <c r="H15377" s="5">
        <v>110.4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112</v>
      </c>
      <c r="D15378" s="5">
        <v>0.1</v>
      </c>
      <c r="E15378" s="5">
        <v>112.1</v>
      </c>
      <c r="F15378" s="5">
        <v>222.4</v>
      </c>
      <c r="G15378" s="5">
        <v>110.5</v>
      </c>
      <c r="H15378" s="5">
        <v>110.4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112</v>
      </c>
      <c r="D15379" s="5">
        <v>0.1</v>
      </c>
      <c r="E15379" s="5">
        <v>112.1</v>
      </c>
      <c r="F15379" s="5">
        <v>222.4</v>
      </c>
      <c r="G15379" s="5">
        <v>110.5</v>
      </c>
      <c r="H15379" s="5">
        <v>110.4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112</v>
      </c>
      <c r="D15380" s="5">
        <v>0.1</v>
      </c>
      <c r="E15380" s="5">
        <v>112.1</v>
      </c>
      <c r="F15380" s="5">
        <v>222.4</v>
      </c>
      <c r="G15380" s="5">
        <v>110.5</v>
      </c>
      <c r="H15380" s="5">
        <v>110.4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112</v>
      </c>
      <c r="D15381" s="5">
        <v>0.1</v>
      </c>
      <c r="E15381" s="5">
        <v>112.1</v>
      </c>
      <c r="F15381" s="5">
        <v>222.4</v>
      </c>
      <c r="G15381" s="5">
        <v>110.5</v>
      </c>
      <c r="H15381" s="5">
        <v>110.4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112</v>
      </c>
      <c r="D15382" s="5">
        <v>0.1</v>
      </c>
      <c r="E15382" s="5">
        <v>112.1</v>
      </c>
      <c r="F15382" s="5">
        <v>222.4</v>
      </c>
      <c r="G15382" s="5">
        <v>110.5</v>
      </c>
      <c r="H15382" s="5">
        <v>110.4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112</v>
      </c>
      <c r="D15383" s="5">
        <v>0.1</v>
      </c>
      <c r="E15383" s="5">
        <v>112.1</v>
      </c>
      <c r="F15383" s="5">
        <v>222.4</v>
      </c>
      <c r="G15383" s="5">
        <v>110.5</v>
      </c>
      <c r="H15383" s="5">
        <v>110.4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112</v>
      </c>
      <c r="D15384" s="5">
        <v>0.1</v>
      </c>
      <c r="E15384" s="5">
        <v>112.1</v>
      </c>
      <c r="F15384" s="5">
        <v>222.4</v>
      </c>
      <c r="G15384" s="5">
        <v>110.5</v>
      </c>
      <c r="H15384" s="5">
        <v>110.4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112</v>
      </c>
      <c r="D15385" s="5">
        <v>0.1</v>
      </c>
      <c r="E15385" s="5">
        <v>112.1</v>
      </c>
      <c r="F15385" s="5">
        <v>222.4</v>
      </c>
      <c r="G15385" s="5">
        <v>110.5</v>
      </c>
      <c r="H15385" s="5">
        <v>110.4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112</v>
      </c>
      <c r="D15386" s="5">
        <v>0.1</v>
      </c>
      <c r="E15386" s="5">
        <v>112.1</v>
      </c>
      <c r="F15386" s="5">
        <v>222.4</v>
      </c>
      <c r="G15386" s="5">
        <v>110.5</v>
      </c>
      <c r="H15386" s="5">
        <v>110.4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112</v>
      </c>
      <c r="D15387" s="5">
        <v>0.1</v>
      </c>
      <c r="E15387" s="5">
        <v>112.1</v>
      </c>
      <c r="F15387" s="5">
        <v>222.4</v>
      </c>
      <c r="G15387" s="5">
        <v>110.5</v>
      </c>
      <c r="H15387" s="5">
        <v>110.4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112</v>
      </c>
      <c r="D15388" s="5">
        <v>0.1</v>
      </c>
      <c r="E15388" s="5">
        <v>112.1</v>
      </c>
      <c r="F15388" s="5">
        <v>222.4</v>
      </c>
      <c r="G15388" s="5">
        <v>110.5</v>
      </c>
      <c r="H15388" s="5">
        <v>110.4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112</v>
      </c>
      <c r="D15389" s="5">
        <v>0.1</v>
      </c>
      <c r="E15389" s="5">
        <v>112.1</v>
      </c>
      <c r="F15389" s="5">
        <v>222.4</v>
      </c>
      <c r="G15389" s="5">
        <v>110.5</v>
      </c>
      <c r="H15389" s="5">
        <v>110.4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112</v>
      </c>
      <c r="D15390" s="5">
        <v>0.1</v>
      </c>
      <c r="E15390" s="5">
        <v>112.1</v>
      </c>
      <c r="F15390" s="5">
        <v>222.4</v>
      </c>
      <c r="G15390" s="5">
        <v>110.5</v>
      </c>
      <c r="H15390" s="5">
        <v>110.4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112</v>
      </c>
      <c r="D15391" s="5">
        <v>0.1</v>
      </c>
      <c r="E15391" s="5">
        <v>112.1</v>
      </c>
      <c r="F15391" s="5">
        <v>222.4</v>
      </c>
      <c r="G15391" s="5">
        <v>110.5</v>
      </c>
      <c r="H15391" s="5">
        <v>110.4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112</v>
      </c>
      <c r="D15392" s="5">
        <v>0.1</v>
      </c>
      <c r="E15392" s="5">
        <v>112.1</v>
      </c>
      <c r="F15392" s="5">
        <v>222.4</v>
      </c>
      <c r="G15392" s="5">
        <v>110.5</v>
      </c>
      <c r="H15392" s="5">
        <v>110.4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112</v>
      </c>
      <c r="D15393" s="5">
        <v>0.1</v>
      </c>
      <c r="E15393" s="5">
        <v>112.1</v>
      </c>
      <c r="F15393" s="5">
        <v>222.4</v>
      </c>
      <c r="G15393" s="5">
        <v>110.5</v>
      </c>
      <c r="H15393" s="5">
        <v>110.4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112</v>
      </c>
      <c r="D15394" s="5">
        <v>0.1</v>
      </c>
      <c r="E15394" s="5">
        <v>112.1</v>
      </c>
      <c r="F15394" s="5">
        <v>222.4</v>
      </c>
      <c r="G15394" s="5">
        <v>110.5</v>
      </c>
      <c r="H15394" s="5">
        <v>110.4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112</v>
      </c>
      <c r="D15395" s="5">
        <v>0.1</v>
      </c>
      <c r="E15395" s="5">
        <v>112.1</v>
      </c>
      <c r="F15395" s="5">
        <v>222.4</v>
      </c>
      <c r="G15395" s="5">
        <v>110.5</v>
      </c>
      <c r="H15395" s="5">
        <v>110.4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112</v>
      </c>
      <c r="D15396" s="5">
        <v>0.1</v>
      </c>
      <c r="E15396" s="5">
        <v>112.1</v>
      </c>
      <c r="F15396" s="5">
        <v>222.4</v>
      </c>
      <c r="G15396" s="5">
        <v>110.5</v>
      </c>
      <c r="H15396" s="5">
        <v>110.4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112</v>
      </c>
      <c r="D15397" s="5">
        <v>0.1</v>
      </c>
      <c r="E15397" s="5">
        <v>112.1</v>
      </c>
      <c r="F15397" s="5">
        <v>222.4</v>
      </c>
      <c r="G15397" s="5">
        <v>110.5</v>
      </c>
      <c r="H15397" s="5">
        <v>110.4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112</v>
      </c>
      <c r="D15398" s="5">
        <v>0.1</v>
      </c>
      <c r="E15398" s="5">
        <v>112.1</v>
      </c>
      <c r="F15398" s="5">
        <v>222.4</v>
      </c>
      <c r="G15398" s="5">
        <v>110.5</v>
      </c>
      <c r="H15398" s="5">
        <v>110.4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112</v>
      </c>
      <c r="D15399" s="5">
        <v>0.1</v>
      </c>
      <c r="E15399" s="5">
        <v>112.1</v>
      </c>
      <c r="F15399" s="5">
        <v>222.4</v>
      </c>
      <c r="G15399" s="5">
        <v>110.5</v>
      </c>
      <c r="H15399" s="5">
        <v>110.4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112</v>
      </c>
      <c r="D15400" s="5">
        <v>0.1</v>
      </c>
      <c r="E15400" s="5">
        <v>112.1</v>
      </c>
      <c r="F15400" s="5">
        <v>222.4</v>
      </c>
      <c r="G15400" s="5">
        <v>110.5</v>
      </c>
      <c r="H15400" s="5">
        <v>110.4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112</v>
      </c>
      <c r="D15401" s="5">
        <v>0.1</v>
      </c>
      <c r="E15401" s="5">
        <v>112.1</v>
      </c>
      <c r="F15401" s="5">
        <v>222.4</v>
      </c>
      <c r="G15401" s="5">
        <v>110.5</v>
      </c>
      <c r="H15401" s="5">
        <v>110.4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112</v>
      </c>
      <c r="D15402" s="5">
        <v>0.1</v>
      </c>
      <c r="E15402" s="5">
        <v>112.1</v>
      </c>
      <c r="F15402" s="5">
        <v>222.4</v>
      </c>
      <c r="G15402" s="5">
        <v>110.5</v>
      </c>
      <c r="H15402" s="5">
        <v>110.4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112</v>
      </c>
      <c r="D15403" s="5">
        <v>0.1</v>
      </c>
      <c r="E15403" s="5">
        <v>112.1</v>
      </c>
      <c r="F15403" s="5">
        <v>222.4</v>
      </c>
      <c r="G15403" s="5">
        <v>110.5</v>
      </c>
      <c r="H15403" s="5">
        <v>110.4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112</v>
      </c>
      <c r="D15404" s="5">
        <v>0.1</v>
      </c>
      <c r="E15404" s="5">
        <v>112.1</v>
      </c>
      <c r="F15404" s="5">
        <v>222.4</v>
      </c>
      <c r="G15404" s="5">
        <v>110.5</v>
      </c>
      <c r="H15404" s="5">
        <v>110.4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112</v>
      </c>
      <c r="D15405" s="5">
        <v>0.1</v>
      </c>
      <c r="E15405" s="5">
        <v>112.1</v>
      </c>
      <c r="F15405" s="5">
        <v>222.4</v>
      </c>
      <c r="G15405" s="5">
        <v>110.5</v>
      </c>
      <c r="H15405" s="5">
        <v>110.4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112</v>
      </c>
      <c r="D15406" s="5">
        <v>0.1</v>
      </c>
      <c r="E15406" s="5">
        <v>112.1</v>
      </c>
      <c r="F15406" s="5">
        <v>222.4</v>
      </c>
      <c r="G15406" s="5">
        <v>110.5</v>
      </c>
      <c r="H15406" s="5">
        <v>110.4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112</v>
      </c>
      <c r="D15407" s="5">
        <v>0.1</v>
      </c>
      <c r="E15407" s="5">
        <v>112.1</v>
      </c>
      <c r="F15407" s="5">
        <v>222.4</v>
      </c>
      <c r="G15407" s="5">
        <v>110.5</v>
      </c>
      <c r="H15407" s="5">
        <v>110.4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112</v>
      </c>
      <c r="D15408" s="5">
        <v>0.1</v>
      </c>
      <c r="E15408" s="5">
        <v>112.1</v>
      </c>
      <c r="F15408" s="5">
        <v>222.4</v>
      </c>
      <c r="G15408" s="5">
        <v>110.5</v>
      </c>
      <c r="H15408" s="5">
        <v>110.4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112</v>
      </c>
      <c r="D15409" s="5">
        <v>0.1</v>
      </c>
      <c r="E15409" s="5">
        <v>112.1</v>
      </c>
      <c r="F15409" s="5">
        <v>222.4</v>
      </c>
      <c r="G15409" s="5">
        <v>110.5</v>
      </c>
      <c r="H15409" s="5">
        <v>110.4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112</v>
      </c>
      <c r="D15410" s="5">
        <v>0.1</v>
      </c>
      <c r="E15410" s="5">
        <v>112.1</v>
      </c>
      <c r="F15410" s="5">
        <v>222.4</v>
      </c>
      <c r="G15410" s="5">
        <v>110.5</v>
      </c>
      <c r="H15410" s="5">
        <v>110.4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112</v>
      </c>
      <c r="D15411" s="5">
        <v>0.1</v>
      </c>
      <c r="E15411" s="5">
        <v>112.1</v>
      </c>
      <c r="F15411" s="5">
        <v>222.4</v>
      </c>
      <c r="G15411" s="5">
        <v>110.5</v>
      </c>
      <c r="H15411" s="5">
        <v>110.4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112</v>
      </c>
      <c r="D15412" s="5">
        <v>0.1</v>
      </c>
      <c r="E15412" s="5">
        <v>112.1</v>
      </c>
      <c r="F15412" s="5">
        <v>222.4</v>
      </c>
      <c r="G15412" s="5">
        <v>110.5</v>
      </c>
      <c r="H15412" s="5">
        <v>110.4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112</v>
      </c>
      <c r="D15413" s="5">
        <v>0.1</v>
      </c>
      <c r="E15413" s="5">
        <v>112.1</v>
      </c>
      <c r="F15413" s="5">
        <v>222.4</v>
      </c>
      <c r="G15413" s="5">
        <v>110.5</v>
      </c>
      <c r="H15413" s="5">
        <v>110.4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112</v>
      </c>
      <c r="D15414" s="5">
        <v>0.1</v>
      </c>
      <c r="E15414" s="5">
        <v>112.1</v>
      </c>
      <c r="F15414" s="5">
        <v>222.4</v>
      </c>
      <c r="G15414" s="5">
        <v>110.5</v>
      </c>
      <c r="H15414" s="5">
        <v>110.4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112</v>
      </c>
      <c r="D15415" s="5">
        <v>0.1</v>
      </c>
      <c r="E15415" s="5">
        <v>112.1</v>
      </c>
      <c r="F15415" s="5">
        <v>222.4</v>
      </c>
      <c r="G15415" s="5">
        <v>110.5</v>
      </c>
      <c r="H15415" s="5">
        <v>110.4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112</v>
      </c>
      <c r="D15416" s="5">
        <v>0.1</v>
      </c>
      <c r="E15416" s="5">
        <v>112.1</v>
      </c>
      <c r="F15416" s="5">
        <v>222.4</v>
      </c>
      <c r="G15416" s="5">
        <v>110.5</v>
      </c>
      <c r="H15416" s="5">
        <v>110.4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112</v>
      </c>
      <c r="D15417" s="5">
        <v>0.1</v>
      </c>
      <c r="E15417" s="5">
        <v>112.1</v>
      </c>
      <c r="F15417" s="5">
        <v>222.4</v>
      </c>
      <c r="G15417" s="5">
        <v>110.5</v>
      </c>
      <c r="H15417" s="5">
        <v>110.4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112</v>
      </c>
      <c r="D15418" s="5">
        <v>0.1</v>
      </c>
      <c r="E15418" s="5">
        <v>112.1</v>
      </c>
      <c r="F15418" s="5">
        <v>222.4</v>
      </c>
      <c r="G15418" s="5">
        <v>110.5</v>
      </c>
      <c r="H15418" s="5">
        <v>110.4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112</v>
      </c>
      <c r="D15419" s="5">
        <v>0.1</v>
      </c>
      <c r="E15419" s="5">
        <v>112.1</v>
      </c>
      <c r="F15419" s="5">
        <v>222.4</v>
      </c>
      <c r="G15419" s="5">
        <v>110.5</v>
      </c>
      <c r="H15419" s="5">
        <v>110.4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112</v>
      </c>
      <c r="D15420" s="5">
        <v>0.1</v>
      </c>
      <c r="E15420" s="5">
        <v>112.1</v>
      </c>
      <c r="F15420" s="5">
        <v>222.4</v>
      </c>
      <c r="G15420" s="5">
        <v>110.5</v>
      </c>
      <c r="H15420" s="5">
        <v>110.4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112</v>
      </c>
      <c r="D15421" s="5">
        <v>0.1</v>
      </c>
      <c r="E15421" s="5">
        <v>112.1</v>
      </c>
      <c r="F15421" s="5">
        <v>222.4</v>
      </c>
      <c r="G15421" s="5">
        <v>110.5</v>
      </c>
      <c r="H15421" s="5">
        <v>110.4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112</v>
      </c>
      <c r="D15422" s="5">
        <v>0.1</v>
      </c>
      <c r="E15422" s="5">
        <v>112.1</v>
      </c>
      <c r="F15422" s="5">
        <v>222.4</v>
      </c>
      <c r="G15422" s="5">
        <v>110.5</v>
      </c>
      <c r="H15422" s="5">
        <v>110.4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112</v>
      </c>
      <c r="D15423" s="5">
        <v>0.1</v>
      </c>
      <c r="E15423" s="5">
        <v>112.1</v>
      </c>
      <c r="F15423" s="5">
        <v>222.4</v>
      </c>
      <c r="G15423" s="5">
        <v>110.5</v>
      </c>
      <c r="H15423" s="5">
        <v>110.4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112</v>
      </c>
      <c r="D15424" s="5">
        <v>0.1</v>
      </c>
      <c r="E15424" s="5">
        <v>112.1</v>
      </c>
      <c r="F15424" s="5">
        <v>222.4</v>
      </c>
      <c r="G15424" s="5">
        <v>110.5</v>
      </c>
      <c r="H15424" s="5">
        <v>110.4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112</v>
      </c>
      <c r="D15425" s="5">
        <v>0.1</v>
      </c>
      <c r="E15425" s="5">
        <v>112.1</v>
      </c>
      <c r="F15425" s="5">
        <v>222.4</v>
      </c>
      <c r="G15425" s="5">
        <v>110.5</v>
      </c>
      <c r="H15425" s="5">
        <v>110.4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112</v>
      </c>
      <c r="D15426" s="5">
        <v>0.1</v>
      </c>
      <c r="E15426" s="5">
        <v>112.1</v>
      </c>
      <c r="F15426" s="5">
        <v>222.4</v>
      </c>
      <c r="G15426" s="5">
        <v>110.5</v>
      </c>
      <c r="H15426" s="5">
        <v>110.4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112</v>
      </c>
      <c r="D15427" s="5">
        <v>0.1</v>
      </c>
      <c r="E15427" s="5">
        <v>112.1</v>
      </c>
      <c r="F15427" s="5">
        <v>222.4</v>
      </c>
      <c r="G15427" s="5">
        <v>110.5</v>
      </c>
      <c r="H15427" s="5">
        <v>110.4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112</v>
      </c>
      <c r="D15428" s="5">
        <v>0.1</v>
      </c>
      <c r="E15428" s="5">
        <v>112.1</v>
      </c>
      <c r="F15428" s="5">
        <v>222.4</v>
      </c>
      <c r="G15428" s="5">
        <v>110.5</v>
      </c>
      <c r="H15428" s="5">
        <v>110.4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112</v>
      </c>
      <c r="D15429" s="5">
        <v>0.1</v>
      </c>
      <c r="E15429" s="5">
        <v>112.1</v>
      </c>
      <c r="F15429" s="5">
        <v>222.4</v>
      </c>
      <c r="G15429" s="5">
        <v>110.5</v>
      </c>
      <c r="H15429" s="5">
        <v>110.4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112</v>
      </c>
      <c r="D15430" s="5">
        <v>0.1</v>
      </c>
      <c r="E15430" s="5">
        <v>112.1</v>
      </c>
      <c r="F15430" s="5">
        <v>222.4</v>
      </c>
      <c r="G15430" s="5">
        <v>110.5</v>
      </c>
      <c r="H15430" s="5">
        <v>110.4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112</v>
      </c>
      <c r="D15431" s="5">
        <v>0.1</v>
      </c>
      <c r="E15431" s="5">
        <v>112.1</v>
      </c>
      <c r="F15431" s="5">
        <v>222.4</v>
      </c>
      <c r="G15431" s="5">
        <v>110.5</v>
      </c>
      <c r="H15431" s="5">
        <v>110.4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112</v>
      </c>
      <c r="D15432" s="5">
        <v>0.1</v>
      </c>
      <c r="E15432" s="5">
        <v>112.1</v>
      </c>
      <c r="F15432" s="5">
        <v>222.4</v>
      </c>
      <c r="G15432" s="5">
        <v>110.5</v>
      </c>
      <c r="H15432" s="5">
        <v>110.4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112</v>
      </c>
      <c r="D15433" s="5">
        <v>0.1</v>
      </c>
      <c r="E15433" s="5">
        <v>112.1</v>
      </c>
      <c r="F15433" s="5">
        <v>222.4</v>
      </c>
      <c r="G15433" s="5">
        <v>110.5</v>
      </c>
      <c r="H15433" s="5">
        <v>110.4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112</v>
      </c>
      <c r="D15434" s="5">
        <v>0.1</v>
      </c>
      <c r="E15434" s="5">
        <v>112.1</v>
      </c>
      <c r="F15434" s="5">
        <v>222.4</v>
      </c>
      <c r="G15434" s="5">
        <v>110.5</v>
      </c>
      <c r="H15434" s="5">
        <v>110.4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112</v>
      </c>
      <c r="D15435" s="5">
        <v>0.1</v>
      </c>
      <c r="E15435" s="5">
        <v>112.1</v>
      </c>
      <c r="F15435" s="5">
        <v>222.4</v>
      </c>
      <c r="G15435" s="5">
        <v>110.5</v>
      </c>
      <c r="H15435" s="5">
        <v>110.4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112</v>
      </c>
      <c r="D15436" s="5">
        <v>0.1</v>
      </c>
      <c r="E15436" s="5">
        <v>112.1</v>
      </c>
      <c r="F15436" s="5">
        <v>222.4</v>
      </c>
      <c r="G15436" s="5">
        <v>110.5</v>
      </c>
      <c r="H15436" s="5">
        <v>110.4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112</v>
      </c>
      <c r="D15437" s="5">
        <v>0.1</v>
      </c>
      <c r="E15437" s="5">
        <v>112.1</v>
      </c>
      <c r="F15437" s="5">
        <v>222.4</v>
      </c>
      <c r="G15437" s="5">
        <v>110.5</v>
      </c>
      <c r="H15437" s="5">
        <v>110.4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112</v>
      </c>
      <c r="D15438" s="5">
        <v>0.1</v>
      </c>
      <c r="E15438" s="5">
        <v>112.1</v>
      </c>
      <c r="F15438" s="5">
        <v>222.4</v>
      </c>
      <c r="G15438" s="5">
        <v>110.5</v>
      </c>
      <c r="H15438" s="5">
        <v>110.4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112</v>
      </c>
      <c r="D15439" s="5">
        <v>0.1</v>
      </c>
      <c r="E15439" s="5">
        <v>112.1</v>
      </c>
      <c r="F15439" s="5">
        <v>222.4</v>
      </c>
      <c r="G15439" s="5">
        <v>110.5</v>
      </c>
      <c r="H15439" s="5">
        <v>110.4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112</v>
      </c>
      <c r="D15440" s="5">
        <v>0.1</v>
      </c>
      <c r="E15440" s="5">
        <v>112.1</v>
      </c>
      <c r="F15440" s="5">
        <v>222.4</v>
      </c>
      <c r="G15440" s="5">
        <v>110.5</v>
      </c>
      <c r="H15440" s="5">
        <v>110.4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112</v>
      </c>
      <c r="D15441" s="5">
        <v>0.1</v>
      </c>
      <c r="E15441" s="5">
        <v>112.1</v>
      </c>
      <c r="F15441" s="5">
        <v>222.4</v>
      </c>
      <c r="G15441" s="5">
        <v>110.5</v>
      </c>
      <c r="H15441" s="5">
        <v>110.4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112</v>
      </c>
      <c r="D15442" s="5">
        <v>0.1</v>
      </c>
      <c r="E15442" s="5">
        <v>112.1</v>
      </c>
      <c r="F15442" s="5">
        <v>222.4</v>
      </c>
      <c r="G15442" s="5">
        <v>110.5</v>
      </c>
      <c r="H15442" s="5">
        <v>110.4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112</v>
      </c>
      <c r="D15443" s="5">
        <v>0.1</v>
      </c>
      <c r="E15443" s="5">
        <v>112.1</v>
      </c>
      <c r="F15443" s="5">
        <v>222.4</v>
      </c>
      <c r="G15443" s="5">
        <v>110.5</v>
      </c>
      <c r="H15443" s="5">
        <v>110.4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112</v>
      </c>
      <c r="D15444" s="5">
        <v>0.1</v>
      </c>
      <c r="E15444" s="5">
        <v>112.1</v>
      </c>
      <c r="F15444" s="5">
        <v>222.4</v>
      </c>
      <c r="G15444" s="5">
        <v>110.5</v>
      </c>
      <c r="H15444" s="5">
        <v>110.4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112</v>
      </c>
      <c r="D15445" s="5">
        <v>0.1</v>
      </c>
      <c r="E15445" s="5">
        <v>112.1</v>
      </c>
      <c r="F15445" s="5">
        <v>222.4</v>
      </c>
      <c r="G15445" s="5">
        <v>110.5</v>
      </c>
      <c r="H15445" s="5">
        <v>110.4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112</v>
      </c>
      <c r="D15446" s="5">
        <v>0.1</v>
      </c>
      <c r="E15446" s="5">
        <v>112.1</v>
      </c>
      <c r="F15446" s="5">
        <v>222.4</v>
      </c>
      <c r="G15446" s="5">
        <v>110.5</v>
      </c>
      <c r="H15446" s="5">
        <v>110.4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112</v>
      </c>
      <c r="D15447" s="5">
        <v>0.1</v>
      </c>
      <c r="E15447" s="5">
        <v>112.1</v>
      </c>
      <c r="F15447" s="5">
        <v>222.4</v>
      </c>
      <c r="G15447" s="5">
        <v>110.5</v>
      </c>
      <c r="H15447" s="5">
        <v>110.4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112</v>
      </c>
      <c r="D15448" s="5">
        <v>0.1</v>
      </c>
      <c r="E15448" s="5">
        <v>112.1</v>
      </c>
      <c r="F15448" s="5">
        <v>222.4</v>
      </c>
      <c r="G15448" s="5">
        <v>110.5</v>
      </c>
      <c r="H15448" s="5">
        <v>110.4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112</v>
      </c>
      <c r="D15449" s="5">
        <v>0.1</v>
      </c>
      <c r="E15449" s="5">
        <v>112.1</v>
      </c>
      <c r="F15449" s="5">
        <v>222.4</v>
      </c>
      <c r="G15449" s="5">
        <v>110.5</v>
      </c>
      <c r="H15449" s="5">
        <v>110.4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112</v>
      </c>
      <c r="D15450" s="5">
        <v>0.1</v>
      </c>
      <c r="E15450" s="5">
        <v>112.1</v>
      </c>
      <c r="F15450" s="5">
        <v>222.4</v>
      </c>
      <c r="G15450" s="5">
        <v>110.5</v>
      </c>
      <c r="H15450" s="5">
        <v>110.4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112</v>
      </c>
      <c r="D15451" s="5">
        <v>0.1</v>
      </c>
      <c r="E15451" s="5">
        <v>112.1</v>
      </c>
      <c r="F15451" s="5">
        <v>222.4</v>
      </c>
      <c r="G15451" s="5">
        <v>110.5</v>
      </c>
      <c r="H15451" s="5">
        <v>110.4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112</v>
      </c>
      <c r="D15452" s="5">
        <v>0.1</v>
      </c>
      <c r="E15452" s="5">
        <v>112.1</v>
      </c>
      <c r="F15452" s="5">
        <v>222.4</v>
      </c>
      <c r="G15452" s="5">
        <v>110.5</v>
      </c>
      <c r="H15452" s="5">
        <v>110.4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112</v>
      </c>
      <c r="D15453" s="5">
        <v>0.1</v>
      </c>
      <c r="E15453" s="5">
        <v>112.1</v>
      </c>
      <c r="F15453" s="5">
        <v>222.4</v>
      </c>
      <c r="G15453" s="5">
        <v>110.5</v>
      </c>
      <c r="H15453" s="5">
        <v>110.4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112</v>
      </c>
      <c r="D15454" s="5">
        <v>0.1</v>
      </c>
      <c r="E15454" s="5">
        <v>112.1</v>
      </c>
      <c r="F15454" s="5">
        <v>222.4</v>
      </c>
      <c r="G15454" s="5">
        <v>110.5</v>
      </c>
      <c r="H15454" s="5">
        <v>110.4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112</v>
      </c>
      <c r="D15455" s="5">
        <v>0.1</v>
      </c>
      <c r="E15455" s="5">
        <v>112.1</v>
      </c>
      <c r="F15455" s="5">
        <v>222.4</v>
      </c>
      <c r="G15455" s="5">
        <v>110.5</v>
      </c>
      <c r="H15455" s="5">
        <v>110.4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112</v>
      </c>
      <c r="D15456" s="5">
        <v>0.1</v>
      </c>
      <c r="E15456" s="5">
        <v>112.1</v>
      </c>
      <c r="F15456" s="5">
        <v>222.4</v>
      </c>
      <c r="G15456" s="5">
        <v>110.5</v>
      </c>
      <c r="H15456" s="5">
        <v>110.4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112</v>
      </c>
      <c r="D15457" s="5">
        <v>0.1</v>
      </c>
      <c r="E15457" s="5">
        <v>112.1</v>
      </c>
      <c r="F15457" s="5">
        <v>222.4</v>
      </c>
      <c r="G15457" s="5">
        <v>110.5</v>
      </c>
      <c r="H15457" s="5">
        <v>110.4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112</v>
      </c>
      <c r="D15458" s="5">
        <v>0.1</v>
      </c>
      <c r="E15458" s="5">
        <v>112.1</v>
      </c>
      <c r="F15458" s="5">
        <v>222.4</v>
      </c>
      <c r="G15458" s="5">
        <v>110.5</v>
      </c>
      <c r="H15458" s="5">
        <v>110.4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112</v>
      </c>
      <c r="D15459" s="5">
        <v>0.1</v>
      </c>
      <c r="E15459" s="5">
        <v>112.1</v>
      </c>
      <c r="F15459" s="5">
        <v>222.4</v>
      </c>
      <c r="G15459" s="5">
        <v>110.5</v>
      </c>
      <c r="H15459" s="5">
        <v>110.4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112</v>
      </c>
      <c r="D15460" s="5">
        <v>0.1</v>
      </c>
      <c r="E15460" s="5">
        <v>112.1</v>
      </c>
      <c r="F15460" s="5">
        <v>222.4</v>
      </c>
      <c r="G15460" s="5">
        <v>110.5</v>
      </c>
      <c r="H15460" s="5">
        <v>110.4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112</v>
      </c>
      <c r="D15461" s="5">
        <v>0.1</v>
      </c>
      <c r="E15461" s="5">
        <v>112.1</v>
      </c>
      <c r="F15461" s="5">
        <v>222.4</v>
      </c>
      <c r="G15461" s="5">
        <v>110.5</v>
      </c>
      <c r="H15461" s="5">
        <v>110.4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112</v>
      </c>
      <c r="D15462" s="5">
        <v>0.1</v>
      </c>
      <c r="E15462" s="5">
        <v>112.1</v>
      </c>
      <c r="F15462" s="5">
        <v>222.4</v>
      </c>
      <c r="G15462" s="5">
        <v>110.5</v>
      </c>
      <c r="H15462" s="5">
        <v>110.4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112</v>
      </c>
      <c r="D15463" s="5">
        <v>0.1</v>
      </c>
      <c r="E15463" s="5">
        <v>112.1</v>
      </c>
      <c r="F15463" s="5">
        <v>222.4</v>
      </c>
      <c r="G15463" s="5">
        <v>110.5</v>
      </c>
      <c r="H15463" s="5">
        <v>110.4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112</v>
      </c>
      <c r="D15464" s="5">
        <v>0.1</v>
      </c>
      <c r="E15464" s="5">
        <v>112.1</v>
      </c>
      <c r="F15464" s="5">
        <v>222.4</v>
      </c>
      <c r="G15464" s="5">
        <v>110.5</v>
      </c>
      <c r="H15464" s="5">
        <v>110.4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112</v>
      </c>
      <c r="D15465" s="5">
        <v>0.1</v>
      </c>
      <c r="E15465" s="5">
        <v>112.1</v>
      </c>
      <c r="F15465" s="5">
        <v>222.4</v>
      </c>
      <c r="G15465" s="5">
        <v>110.5</v>
      </c>
      <c r="H15465" s="5">
        <v>110.4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112</v>
      </c>
      <c r="D15466" s="5">
        <v>0.1</v>
      </c>
      <c r="E15466" s="5">
        <v>112.1</v>
      </c>
      <c r="F15466" s="5">
        <v>222.4</v>
      </c>
      <c r="G15466" s="5">
        <v>110.5</v>
      </c>
      <c r="H15466" s="5">
        <v>110.4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112</v>
      </c>
      <c r="D15467" s="5">
        <v>0.1</v>
      </c>
      <c r="E15467" s="5">
        <v>112.1</v>
      </c>
      <c r="F15467" s="5">
        <v>222.4</v>
      </c>
      <c r="G15467" s="5">
        <v>110.5</v>
      </c>
      <c r="H15467" s="5">
        <v>110.4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112</v>
      </c>
      <c r="D15468" s="5">
        <v>0.1</v>
      </c>
      <c r="E15468" s="5">
        <v>112.1</v>
      </c>
      <c r="F15468" s="5">
        <v>222.4</v>
      </c>
      <c r="G15468" s="5">
        <v>110.5</v>
      </c>
      <c r="H15468" s="5">
        <v>110.4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112</v>
      </c>
      <c r="D15469" s="5">
        <v>0.1</v>
      </c>
      <c r="E15469" s="5">
        <v>112.1</v>
      </c>
      <c r="F15469" s="5">
        <v>222.4</v>
      </c>
      <c r="G15469" s="5">
        <v>110.5</v>
      </c>
      <c r="H15469" s="5">
        <v>110.4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112</v>
      </c>
      <c r="D15470" s="5">
        <v>0.1</v>
      </c>
      <c r="E15470" s="5">
        <v>112.1</v>
      </c>
      <c r="F15470" s="5">
        <v>222.4</v>
      </c>
      <c r="G15470" s="5">
        <v>110.5</v>
      </c>
      <c r="H15470" s="5">
        <v>110.4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112</v>
      </c>
      <c r="D15471" s="5">
        <v>0.1</v>
      </c>
      <c r="E15471" s="5">
        <v>112.1</v>
      </c>
      <c r="F15471" s="5">
        <v>222.4</v>
      </c>
      <c r="G15471" s="5">
        <v>110.5</v>
      </c>
      <c r="H15471" s="5">
        <v>110.4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112</v>
      </c>
      <c r="D15472" s="5">
        <v>0.1</v>
      </c>
      <c r="E15472" s="5">
        <v>112.1</v>
      </c>
      <c r="F15472" s="5">
        <v>222.4</v>
      </c>
      <c r="G15472" s="5">
        <v>110.5</v>
      </c>
      <c r="H15472" s="5">
        <v>110.4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112</v>
      </c>
      <c r="D15473" s="5">
        <v>0.1</v>
      </c>
      <c r="E15473" s="5">
        <v>112.1</v>
      </c>
      <c r="F15473" s="5">
        <v>222.4</v>
      </c>
      <c r="G15473" s="5">
        <v>110.5</v>
      </c>
      <c r="H15473" s="5">
        <v>110.4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112</v>
      </c>
      <c r="D15474" s="5">
        <v>0.1</v>
      </c>
      <c r="E15474" s="5">
        <v>112.1</v>
      </c>
      <c r="F15474" s="5">
        <v>222.4</v>
      </c>
      <c r="G15474" s="5">
        <v>110.5</v>
      </c>
      <c r="H15474" s="5">
        <v>110.4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112</v>
      </c>
      <c r="D15475" s="5">
        <v>0.1</v>
      </c>
      <c r="E15475" s="5">
        <v>112.1</v>
      </c>
      <c r="F15475" s="5">
        <v>222.4</v>
      </c>
      <c r="G15475" s="5">
        <v>110.5</v>
      </c>
      <c r="H15475" s="5">
        <v>110.4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112</v>
      </c>
      <c r="D15476" s="5">
        <v>0.1</v>
      </c>
      <c r="E15476" s="5">
        <v>112.1</v>
      </c>
      <c r="F15476" s="5">
        <v>222.4</v>
      </c>
      <c r="G15476" s="5">
        <v>110.5</v>
      </c>
      <c r="H15476" s="5">
        <v>110.4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112</v>
      </c>
      <c r="D15477" s="5">
        <v>0.1</v>
      </c>
      <c r="E15477" s="5">
        <v>112.1</v>
      </c>
      <c r="F15477" s="5">
        <v>222.4</v>
      </c>
      <c r="G15477" s="5">
        <v>110.5</v>
      </c>
      <c r="H15477" s="5">
        <v>110.4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112</v>
      </c>
      <c r="D15478" s="5">
        <v>0.1</v>
      </c>
      <c r="E15478" s="5">
        <v>112.1</v>
      </c>
      <c r="F15478" s="5">
        <v>222.4</v>
      </c>
      <c r="G15478" s="5">
        <v>110.5</v>
      </c>
      <c r="H15478" s="5">
        <v>110.4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112</v>
      </c>
      <c r="D15479" s="5">
        <v>0.1</v>
      </c>
      <c r="E15479" s="5">
        <v>112.1</v>
      </c>
      <c r="F15479" s="5">
        <v>222.4</v>
      </c>
      <c r="G15479" s="5">
        <v>110.5</v>
      </c>
      <c r="H15479" s="5">
        <v>110.4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112</v>
      </c>
      <c r="D15480" s="5">
        <v>0.1</v>
      </c>
      <c r="E15480" s="5">
        <v>112.1</v>
      </c>
      <c r="F15480" s="5">
        <v>222.4</v>
      </c>
      <c r="G15480" s="5">
        <v>110.5</v>
      </c>
      <c r="H15480" s="5">
        <v>110.4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112</v>
      </c>
      <c r="D15481" s="5">
        <v>0.1</v>
      </c>
      <c r="E15481" s="5">
        <v>112.1</v>
      </c>
      <c r="F15481" s="5">
        <v>222.4</v>
      </c>
      <c r="G15481" s="5">
        <v>110.5</v>
      </c>
      <c r="H15481" s="5">
        <v>110.4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112</v>
      </c>
      <c r="D15482" s="5">
        <v>0.1</v>
      </c>
      <c r="E15482" s="5">
        <v>112.1</v>
      </c>
      <c r="F15482" s="5">
        <v>222.4</v>
      </c>
      <c r="G15482" s="5">
        <v>110.5</v>
      </c>
      <c r="H15482" s="5">
        <v>110.4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112</v>
      </c>
      <c r="D15483" s="5">
        <v>0.1</v>
      </c>
      <c r="E15483" s="5">
        <v>112.1</v>
      </c>
      <c r="F15483" s="5">
        <v>222.4</v>
      </c>
      <c r="G15483" s="5">
        <v>110.5</v>
      </c>
      <c r="H15483" s="5">
        <v>110.4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112</v>
      </c>
      <c r="D15484" s="5">
        <v>0.1</v>
      </c>
      <c r="E15484" s="5">
        <v>112.1</v>
      </c>
      <c r="F15484" s="5">
        <v>222.4</v>
      </c>
      <c r="G15484" s="5">
        <v>110.5</v>
      </c>
      <c r="H15484" s="5">
        <v>110.4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112</v>
      </c>
      <c r="D15485" s="5">
        <v>0.1</v>
      </c>
      <c r="E15485" s="5">
        <v>112.1</v>
      </c>
      <c r="F15485" s="5">
        <v>222.4</v>
      </c>
      <c r="G15485" s="5">
        <v>110.5</v>
      </c>
      <c r="H15485" s="5">
        <v>110.4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112</v>
      </c>
      <c r="D15486" s="5">
        <v>0.1</v>
      </c>
      <c r="E15486" s="5">
        <v>112.1</v>
      </c>
      <c r="F15486" s="5">
        <v>222.4</v>
      </c>
      <c r="G15486" s="5">
        <v>110.5</v>
      </c>
      <c r="H15486" s="5">
        <v>110.4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112</v>
      </c>
      <c r="D15487" s="5">
        <v>0.1</v>
      </c>
      <c r="E15487" s="5">
        <v>112.1</v>
      </c>
      <c r="F15487" s="5">
        <v>222.4</v>
      </c>
      <c r="G15487" s="5">
        <v>110.5</v>
      </c>
      <c r="H15487" s="5">
        <v>110.4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112</v>
      </c>
      <c r="D15488" s="5">
        <v>0.1</v>
      </c>
      <c r="E15488" s="5">
        <v>112.1</v>
      </c>
      <c r="F15488" s="5">
        <v>222.4</v>
      </c>
      <c r="G15488" s="5">
        <v>110.5</v>
      </c>
      <c r="H15488" s="5">
        <v>110.4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112</v>
      </c>
      <c r="D15489" s="5">
        <v>0.1</v>
      </c>
      <c r="E15489" s="5">
        <v>112.1</v>
      </c>
      <c r="F15489" s="5">
        <v>222.4</v>
      </c>
      <c r="G15489" s="5">
        <v>110.5</v>
      </c>
      <c r="H15489" s="5">
        <v>110.4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112</v>
      </c>
      <c r="D15490" s="5">
        <v>0.1</v>
      </c>
      <c r="E15490" s="5">
        <v>112.1</v>
      </c>
      <c r="F15490" s="5">
        <v>222.4</v>
      </c>
      <c r="G15490" s="5">
        <v>110.5</v>
      </c>
      <c r="H15490" s="5">
        <v>110.4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112</v>
      </c>
      <c r="D15491" s="5">
        <v>0.1</v>
      </c>
      <c r="E15491" s="5">
        <v>112.1</v>
      </c>
      <c r="F15491" s="5">
        <v>222.4</v>
      </c>
      <c r="G15491" s="5">
        <v>110.5</v>
      </c>
      <c r="H15491" s="5">
        <v>110.4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112</v>
      </c>
      <c r="D15492" s="5">
        <v>0.1</v>
      </c>
      <c r="E15492" s="5">
        <v>112.1</v>
      </c>
      <c r="F15492" s="5">
        <v>222.4</v>
      </c>
      <c r="G15492" s="5">
        <v>110.5</v>
      </c>
      <c r="H15492" s="5">
        <v>110.4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112</v>
      </c>
      <c r="D15493" s="5">
        <v>0.1</v>
      </c>
      <c r="E15493" s="5">
        <v>112.1</v>
      </c>
      <c r="F15493" s="5">
        <v>222.4</v>
      </c>
      <c r="G15493" s="5">
        <v>110.5</v>
      </c>
      <c r="H15493" s="5">
        <v>110.4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112</v>
      </c>
      <c r="D15494" s="5">
        <v>0.1</v>
      </c>
      <c r="E15494" s="5">
        <v>112.1</v>
      </c>
      <c r="F15494" s="5">
        <v>222.4</v>
      </c>
      <c r="G15494" s="5">
        <v>110.5</v>
      </c>
      <c r="H15494" s="5">
        <v>110.4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112</v>
      </c>
      <c r="D15495" s="5">
        <v>0.1</v>
      </c>
      <c r="E15495" s="5">
        <v>112.1</v>
      </c>
      <c r="F15495" s="5">
        <v>222.4</v>
      </c>
      <c r="G15495" s="5">
        <v>110.5</v>
      </c>
      <c r="H15495" s="5">
        <v>110.4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112</v>
      </c>
      <c r="D15496" s="5">
        <v>0.1</v>
      </c>
      <c r="E15496" s="5">
        <v>112.1</v>
      </c>
      <c r="F15496" s="5">
        <v>222.4</v>
      </c>
      <c r="G15496" s="5">
        <v>110.5</v>
      </c>
      <c r="H15496" s="5">
        <v>110.4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112</v>
      </c>
      <c r="D15497" s="5">
        <v>0.1</v>
      </c>
      <c r="E15497" s="5">
        <v>112.1</v>
      </c>
      <c r="F15497" s="5">
        <v>222.4</v>
      </c>
      <c r="G15497" s="5">
        <v>110.5</v>
      </c>
      <c r="H15497" s="5">
        <v>110.4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112</v>
      </c>
      <c r="D15498" s="5">
        <v>0.1</v>
      </c>
      <c r="E15498" s="5">
        <v>112.1</v>
      </c>
      <c r="F15498" s="5">
        <v>222.4</v>
      </c>
      <c r="G15498" s="5">
        <v>110.5</v>
      </c>
      <c r="H15498" s="5">
        <v>110.4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112</v>
      </c>
      <c r="D15499" s="5">
        <v>0.1</v>
      </c>
      <c r="E15499" s="5">
        <v>112.1</v>
      </c>
      <c r="F15499" s="5">
        <v>222.4</v>
      </c>
      <c r="G15499" s="5">
        <v>110.5</v>
      </c>
      <c r="H15499" s="5">
        <v>110.4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112</v>
      </c>
      <c r="D15500" s="5">
        <v>0.1</v>
      </c>
      <c r="E15500" s="5">
        <v>112.1</v>
      </c>
      <c r="F15500" s="5">
        <v>222.4</v>
      </c>
      <c r="G15500" s="5">
        <v>110.5</v>
      </c>
      <c r="H15500" s="5">
        <v>110.4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112</v>
      </c>
      <c r="D15501" s="5">
        <v>0.1</v>
      </c>
      <c r="E15501" s="5">
        <v>112.1</v>
      </c>
      <c r="F15501" s="5">
        <v>222.4</v>
      </c>
      <c r="G15501" s="5">
        <v>110.5</v>
      </c>
      <c r="H15501" s="5">
        <v>110.4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112</v>
      </c>
      <c r="D15502" s="5">
        <v>0.1</v>
      </c>
      <c r="E15502" s="5">
        <v>112.1</v>
      </c>
      <c r="F15502" s="5">
        <v>222.4</v>
      </c>
      <c r="G15502" s="5">
        <v>110.5</v>
      </c>
      <c r="H15502" s="5">
        <v>110.4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112</v>
      </c>
      <c r="D15503" s="5">
        <v>0.1</v>
      </c>
      <c r="E15503" s="5">
        <v>112.1</v>
      </c>
      <c r="F15503" s="5">
        <v>222.4</v>
      </c>
      <c r="G15503" s="5">
        <v>110.5</v>
      </c>
      <c r="H15503" s="5">
        <v>110.4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112</v>
      </c>
      <c r="D15504" s="5">
        <v>0.1</v>
      </c>
      <c r="E15504" s="5">
        <v>112.1</v>
      </c>
      <c r="F15504" s="5">
        <v>222.4</v>
      </c>
      <c r="G15504" s="5">
        <v>110.5</v>
      </c>
      <c r="H15504" s="5">
        <v>110.4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112</v>
      </c>
      <c r="D15505" s="5">
        <v>0.1</v>
      </c>
      <c r="E15505" s="5">
        <v>112.1</v>
      </c>
      <c r="F15505" s="5">
        <v>222.4</v>
      </c>
      <c r="G15505" s="5">
        <v>110.5</v>
      </c>
      <c r="H15505" s="5">
        <v>110.4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112</v>
      </c>
      <c r="D15506" s="5">
        <v>0.1</v>
      </c>
      <c r="E15506" s="5">
        <v>112.1</v>
      </c>
      <c r="F15506" s="5">
        <v>222.4</v>
      </c>
      <c r="G15506" s="5">
        <v>110.5</v>
      </c>
      <c r="H15506" s="5">
        <v>110.4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112</v>
      </c>
      <c r="D15507" s="5">
        <v>0.1</v>
      </c>
      <c r="E15507" s="5">
        <v>112.1</v>
      </c>
      <c r="F15507" s="5">
        <v>222.4</v>
      </c>
      <c r="G15507" s="5">
        <v>110.5</v>
      </c>
      <c r="H15507" s="5">
        <v>110.4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112</v>
      </c>
      <c r="D15508" s="5">
        <v>0.1</v>
      </c>
      <c r="E15508" s="5">
        <v>112.1</v>
      </c>
      <c r="F15508" s="5">
        <v>222.4</v>
      </c>
      <c r="G15508" s="5">
        <v>110.5</v>
      </c>
      <c r="H15508" s="5">
        <v>110.4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112</v>
      </c>
      <c r="D15509" s="5">
        <v>0.1</v>
      </c>
      <c r="E15509" s="5">
        <v>112.1</v>
      </c>
      <c r="F15509" s="5">
        <v>222.4</v>
      </c>
      <c r="G15509" s="5">
        <v>110.5</v>
      </c>
      <c r="H15509" s="5">
        <v>110.4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112</v>
      </c>
      <c r="D15510" s="5">
        <v>0.1</v>
      </c>
      <c r="E15510" s="5">
        <v>112.1</v>
      </c>
      <c r="F15510" s="5">
        <v>222.4</v>
      </c>
      <c r="G15510" s="5">
        <v>110.5</v>
      </c>
      <c r="H15510" s="5">
        <v>110.4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112</v>
      </c>
      <c r="D15511" s="5">
        <v>0.1</v>
      </c>
      <c r="E15511" s="5">
        <v>112.1</v>
      </c>
      <c r="F15511" s="5">
        <v>222.4</v>
      </c>
      <c r="G15511" s="5">
        <v>110.5</v>
      </c>
      <c r="H15511" s="5">
        <v>110.4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112</v>
      </c>
      <c r="D15512" s="5">
        <v>0.1</v>
      </c>
      <c r="E15512" s="5">
        <v>112.1</v>
      </c>
      <c r="F15512" s="5">
        <v>222.4</v>
      </c>
      <c r="G15512" s="5">
        <v>110.5</v>
      </c>
      <c r="H15512" s="5">
        <v>110.4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112</v>
      </c>
      <c r="D15513" s="5">
        <v>0.1</v>
      </c>
      <c r="E15513" s="5">
        <v>112.1</v>
      </c>
      <c r="F15513" s="5">
        <v>222.4</v>
      </c>
      <c r="G15513" s="5">
        <v>110.5</v>
      </c>
      <c r="H15513" s="5">
        <v>110.4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112</v>
      </c>
      <c r="D15514" s="5">
        <v>0.1</v>
      </c>
      <c r="E15514" s="5">
        <v>112.1</v>
      </c>
      <c r="F15514" s="5">
        <v>222.4</v>
      </c>
      <c r="G15514" s="5">
        <v>110.5</v>
      </c>
      <c r="H15514" s="5">
        <v>110.4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112</v>
      </c>
      <c r="D15515" s="5">
        <v>0.1</v>
      </c>
      <c r="E15515" s="5">
        <v>112.1</v>
      </c>
      <c r="F15515" s="5">
        <v>222.4</v>
      </c>
      <c r="G15515" s="5">
        <v>110.5</v>
      </c>
      <c r="H15515" s="5">
        <v>110.4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112</v>
      </c>
      <c r="D15516" s="5">
        <v>0.1</v>
      </c>
      <c r="E15516" s="5">
        <v>112.1</v>
      </c>
      <c r="F15516" s="5">
        <v>222.4</v>
      </c>
      <c r="G15516" s="5">
        <v>110.5</v>
      </c>
      <c r="H15516" s="5">
        <v>110.4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112</v>
      </c>
      <c r="D15517" s="5">
        <v>0.1</v>
      </c>
      <c r="E15517" s="5">
        <v>112.1</v>
      </c>
      <c r="F15517" s="5">
        <v>222.4</v>
      </c>
      <c r="G15517" s="5">
        <v>110.5</v>
      </c>
      <c r="H15517" s="5">
        <v>110.4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112</v>
      </c>
      <c r="D15518" s="5">
        <v>0.1</v>
      </c>
      <c r="E15518" s="5">
        <v>112.1</v>
      </c>
      <c r="F15518" s="5">
        <v>222.4</v>
      </c>
      <c r="G15518" s="5">
        <v>110.5</v>
      </c>
      <c r="H15518" s="5">
        <v>110.4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112</v>
      </c>
      <c r="D15519" s="5">
        <v>0.1</v>
      </c>
      <c r="E15519" s="5">
        <v>112.1</v>
      </c>
      <c r="F15519" s="5">
        <v>222.4</v>
      </c>
      <c r="G15519" s="5">
        <v>110.5</v>
      </c>
      <c r="H15519" s="5">
        <v>110.4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112</v>
      </c>
      <c r="D15520" s="5">
        <v>0.1</v>
      </c>
      <c r="E15520" s="5">
        <v>112.1</v>
      </c>
      <c r="F15520" s="5">
        <v>222.4</v>
      </c>
      <c r="G15520" s="5">
        <v>110.5</v>
      </c>
      <c r="H15520" s="5">
        <v>110.4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112</v>
      </c>
      <c r="D15521" s="5">
        <v>0.1</v>
      </c>
      <c r="E15521" s="5">
        <v>112.1</v>
      </c>
      <c r="F15521" s="5">
        <v>222.4</v>
      </c>
      <c r="G15521" s="5">
        <v>110.5</v>
      </c>
      <c r="H15521" s="5">
        <v>110.4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112</v>
      </c>
      <c r="D15522" s="5">
        <v>0.1</v>
      </c>
      <c r="E15522" s="5">
        <v>112.1</v>
      </c>
      <c r="F15522" s="5">
        <v>222.4</v>
      </c>
      <c r="G15522" s="5">
        <v>110.5</v>
      </c>
      <c r="H15522" s="5">
        <v>110.4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112</v>
      </c>
      <c r="D15523" s="5">
        <v>0.1</v>
      </c>
      <c r="E15523" s="5">
        <v>112.1</v>
      </c>
      <c r="F15523" s="5">
        <v>222.4</v>
      </c>
      <c r="G15523" s="5">
        <v>110.5</v>
      </c>
      <c r="H15523" s="5">
        <v>110.4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112</v>
      </c>
      <c r="D15524" s="5">
        <v>0.1</v>
      </c>
      <c r="E15524" s="5">
        <v>112.1</v>
      </c>
      <c r="F15524" s="5">
        <v>222.4</v>
      </c>
      <c r="G15524" s="5">
        <v>110.5</v>
      </c>
      <c r="H15524" s="5">
        <v>110.4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112</v>
      </c>
      <c r="D15525" s="5">
        <v>0.1</v>
      </c>
      <c r="E15525" s="5">
        <v>112.1</v>
      </c>
      <c r="F15525" s="5">
        <v>222.4</v>
      </c>
      <c r="G15525" s="5">
        <v>110.5</v>
      </c>
      <c r="H15525" s="5">
        <v>110.4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112</v>
      </c>
      <c r="D15526" s="5">
        <v>0.1</v>
      </c>
      <c r="E15526" s="5">
        <v>112.1</v>
      </c>
      <c r="F15526" s="5">
        <v>222.4</v>
      </c>
      <c r="G15526" s="5">
        <v>110.5</v>
      </c>
      <c r="H15526" s="5">
        <v>110.4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112</v>
      </c>
      <c r="D15527" s="5">
        <v>0.1</v>
      </c>
      <c r="E15527" s="5">
        <v>112.1</v>
      </c>
      <c r="F15527" s="5">
        <v>222.4</v>
      </c>
      <c r="G15527" s="5">
        <v>110.5</v>
      </c>
      <c r="H15527" s="5">
        <v>110.4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112</v>
      </c>
      <c r="D15528" s="5">
        <v>0.1</v>
      </c>
      <c r="E15528" s="5">
        <v>112.1</v>
      </c>
      <c r="F15528" s="5">
        <v>222.4</v>
      </c>
      <c r="G15528" s="5">
        <v>110.5</v>
      </c>
      <c r="H15528" s="5">
        <v>110.4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112</v>
      </c>
      <c r="D15529" s="5">
        <v>0.1</v>
      </c>
      <c r="E15529" s="5">
        <v>112.1</v>
      </c>
      <c r="F15529" s="5">
        <v>222.4</v>
      </c>
      <c r="G15529" s="5">
        <v>110.5</v>
      </c>
      <c r="H15529" s="5">
        <v>110.4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112</v>
      </c>
      <c r="D15530" s="5">
        <v>0.1</v>
      </c>
      <c r="E15530" s="5">
        <v>112.1</v>
      </c>
      <c r="F15530" s="5">
        <v>222.4</v>
      </c>
      <c r="G15530" s="5">
        <v>110.5</v>
      </c>
      <c r="H15530" s="5">
        <v>110.4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112</v>
      </c>
      <c r="D15531" s="5">
        <v>0.1</v>
      </c>
      <c r="E15531" s="5">
        <v>112.1</v>
      </c>
      <c r="F15531" s="5">
        <v>222.4</v>
      </c>
      <c r="G15531" s="5">
        <v>110.5</v>
      </c>
      <c r="H15531" s="5">
        <v>110.4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112</v>
      </c>
      <c r="D15532" s="5">
        <v>0.1</v>
      </c>
      <c r="E15532" s="5">
        <v>112.1</v>
      </c>
      <c r="F15532" s="5">
        <v>222.4</v>
      </c>
      <c r="G15532" s="5">
        <v>110.5</v>
      </c>
      <c r="H15532" s="5">
        <v>110.4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112</v>
      </c>
      <c r="D15533" s="5">
        <v>0.1</v>
      </c>
      <c r="E15533" s="5">
        <v>112.1</v>
      </c>
      <c r="F15533" s="5">
        <v>222.4</v>
      </c>
      <c r="G15533" s="5">
        <v>110.5</v>
      </c>
      <c r="H15533" s="5">
        <v>110.4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112</v>
      </c>
      <c r="D15534" s="5">
        <v>0.1</v>
      </c>
      <c r="E15534" s="5">
        <v>112.1</v>
      </c>
      <c r="F15534" s="5">
        <v>222.4</v>
      </c>
      <c r="G15534" s="5">
        <v>110.5</v>
      </c>
      <c r="H15534" s="5">
        <v>110.4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112</v>
      </c>
      <c r="D15535" s="5">
        <v>0.1</v>
      </c>
      <c r="E15535" s="5">
        <v>112.1</v>
      </c>
      <c r="F15535" s="5">
        <v>222.4</v>
      </c>
      <c r="G15535" s="5">
        <v>110.5</v>
      </c>
      <c r="H15535" s="5">
        <v>110.4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112</v>
      </c>
      <c r="D15536" s="5">
        <v>0.1</v>
      </c>
      <c r="E15536" s="5">
        <v>112.1</v>
      </c>
      <c r="F15536" s="5">
        <v>222.4</v>
      </c>
      <c r="G15536" s="5">
        <v>110.5</v>
      </c>
      <c r="H15536" s="5">
        <v>110.4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112</v>
      </c>
      <c r="D15537" s="5">
        <v>0.1</v>
      </c>
      <c r="E15537" s="5">
        <v>112.1</v>
      </c>
      <c r="F15537" s="5">
        <v>222.4</v>
      </c>
      <c r="G15537" s="5">
        <v>110.5</v>
      </c>
      <c r="H15537" s="5">
        <v>110.4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112</v>
      </c>
      <c r="D15538" s="5">
        <v>0.1</v>
      </c>
      <c r="E15538" s="5">
        <v>112.1</v>
      </c>
      <c r="F15538" s="5">
        <v>222.4</v>
      </c>
      <c r="G15538" s="5">
        <v>110.5</v>
      </c>
      <c r="H15538" s="5">
        <v>110.4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112</v>
      </c>
      <c r="D15539" s="5">
        <v>0.1</v>
      </c>
      <c r="E15539" s="5">
        <v>112.1</v>
      </c>
      <c r="F15539" s="5">
        <v>222.4</v>
      </c>
      <c r="G15539" s="5">
        <v>110.5</v>
      </c>
      <c r="H15539" s="5">
        <v>110.4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112</v>
      </c>
      <c r="D15540" s="5">
        <v>0.1</v>
      </c>
      <c r="E15540" s="5">
        <v>112.1</v>
      </c>
      <c r="F15540" s="5">
        <v>222.4</v>
      </c>
      <c r="G15540" s="5">
        <v>110.5</v>
      </c>
      <c r="H15540" s="5">
        <v>110.4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112</v>
      </c>
      <c r="D15541" s="5">
        <v>0.1</v>
      </c>
      <c r="E15541" s="5">
        <v>112.1</v>
      </c>
      <c r="F15541" s="5">
        <v>222.4</v>
      </c>
      <c r="G15541" s="5">
        <v>110.5</v>
      </c>
      <c r="H15541" s="5">
        <v>110.4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112</v>
      </c>
      <c r="D15542" s="5">
        <v>0.1</v>
      </c>
      <c r="E15542" s="5">
        <v>112.1</v>
      </c>
      <c r="F15542" s="5">
        <v>222.4</v>
      </c>
      <c r="G15542" s="5">
        <v>110.5</v>
      </c>
      <c r="H15542" s="5">
        <v>110.4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112</v>
      </c>
      <c r="D15543" s="5">
        <v>0.1</v>
      </c>
      <c r="E15543" s="5">
        <v>112.1</v>
      </c>
      <c r="F15543" s="5">
        <v>222.4</v>
      </c>
      <c r="G15543" s="5">
        <v>110.5</v>
      </c>
      <c r="H15543" s="5">
        <v>110.4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112</v>
      </c>
      <c r="D15544" s="5">
        <v>0.1</v>
      </c>
      <c r="E15544" s="5">
        <v>112.1</v>
      </c>
      <c r="F15544" s="5">
        <v>222.4</v>
      </c>
      <c r="G15544" s="5">
        <v>110.5</v>
      </c>
      <c r="H15544" s="5">
        <v>110.4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112</v>
      </c>
      <c r="D15545" s="5">
        <v>0.1</v>
      </c>
      <c r="E15545" s="5">
        <v>112.1</v>
      </c>
      <c r="F15545" s="5">
        <v>222.4</v>
      </c>
      <c r="G15545" s="5">
        <v>110.5</v>
      </c>
      <c r="H15545" s="5">
        <v>110.4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112</v>
      </c>
      <c r="D15546" s="5">
        <v>0.1</v>
      </c>
      <c r="E15546" s="5">
        <v>112.1</v>
      </c>
      <c r="F15546" s="5">
        <v>222.4</v>
      </c>
      <c r="G15546" s="5">
        <v>110.5</v>
      </c>
      <c r="H15546" s="5">
        <v>110.4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112</v>
      </c>
      <c r="D15547" s="5">
        <v>0.1</v>
      </c>
      <c r="E15547" s="5">
        <v>112.1</v>
      </c>
      <c r="F15547" s="5">
        <v>222.4</v>
      </c>
      <c r="G15547" s="5">
        <v>110.5</v>
      </c>
      <c r="H15547" s="5">
        <v>110.4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112</v>
      </c>
      <c r="D15548" s="5">
        <v>0.1</v>
      </c>
      <c r="E15548" s="5">
        <v>112.1</v>
      </c>
      <c r="F15548" s="5">
        <v>222.4</v>
      </c>
      <c r="G15548" s="5">
        <v>110.5</v>
      </c>
      <c r="H15548" s="5">
        <v>110.4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112</v>
      </c>
      <c r="D15549" s="5">
        <v>0.1</v>
      </c>
      <c r="E15549" s="5">
        <v>112.1</v>
      </c>
      <c r="F15549" s="5">
        <v>222.4</v>
      </c>
      <c r="G15549" s="5">
        <v>110.5</v>
      </c>
      <c r="H15549" s="5">
        <v>110.4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112</v>
      </c>
      <c r="D15550" s="5">
        <v>0.1</v>
      </c>
      <c r="E15550" s="5">
        <v>112.1</v>
      </c>
      <c r="F15550" s="5">
        <v>222.4</v>
      </c>
      <c r="G15550" s="5">
        <v>110.5</v>
      </c>
      <c r="H15550" s="5">
        <v>110.4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112</v>
      </c>
      <c r="D15551" s="5">
        <v>0.1</v>
      </c>
      <c r="E15551" s="5">
        <v>112.1</v>
      </c>
      <c r="F15551" s="5">
        <v>222.4</v>
      </c>
      <c r="G15551" s="5">
        <v>110.5</v>
      </c>
      <c r="H15551" s="5">
        <v>110.4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112</v>
      </c>
      <c r="D15552" s="5">
        <v>0.1</v>
      </c>
      <c r="E15552" s="5">
        <v>112.1</v>
      </c>
      <c r="F15552" s="5">
        <v>222.4</v>
      </c>
      <c r="G15552" s="5">
        <v>110.5</v>
      </c>
      <c r="H15552" s="5">
        <v>110.4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112</v>
      </c>
      <c r="D15553" s="5">
        <v>0.1</v>
      </c>
      <c r="E15553" s="5">
        <v>112.1</v>
      </c>
      <c r="F15553" s="5">
        <v>222.4</v>
      </c>
      <c r="G15553" s="5">
        <v>110.5</v>
      </c>
      <c r="H15553" s="5">
        <v>110.4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112</v>
      </c>
      <c r="D15554" s="5">
        <v>0.1</v>
      </c>
      <c r="E15554" s="5">
        <v>112.1</v>
      </c>
      <c r="F15554" s="5">
        <v>222.4</v>
      </c>
      <c r="G15554" s="5">
        <v>110.5</v>
      </c>
      <c r="H15554" s="5">
        <v>110.4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112</v>
      </c>
      <c r="D15555" s="5">
        <v>0.1</v>
      </c>
      <c r="E15555" s="5">
        <v>112.1</v>
      </c>
      <c r="F15555" s="5">
        <v>222.4</v>
      </c>
      <c r="G15555" s="5">
        <v>110.5</v>
      </c>
      <c r="H15555" s="5">
        <v>110.4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112</v>
      </c>
      <c r="D15556" s="5">
        <v>0.1</v>
      </c>
      <c r="E15556" s="5">
        <v>112.1</v>
      </c>
      <c r="F15556" s="5">
        <v>222.4</v>
      </c>
      <c r="G15556" s="5">
        <v>110.5</v>
      </c>
      <c r="H15556" s="5">
        <v>110.4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112</v>
      </c>
      <c r="D15557" s="5">
        <v>0.1</v>
      </c>
      <c r="E15557" s="5">
        <v>112.1</v>
      </c>
      <c r="F15557" s="5">
        <v>222.4</v>
      </c>
      <c r="G15557" s="5">
        <v>110.5</v>
      </c>
      <c r="H15557" s="5">
        <v>110.4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112</v>
      </c>
      <c r="D15558" s="5">
        <v>0.1</v>
      </c>
      <c r="E15558" s="5">
        <v>112.1</v>
      </c>
      <c r="F15558" s="5">
        <v>222.4</v>
      </c>
      <c r="G15558" s="5">
        <v>110.5</v>
      </c>
      <c r="H15558" s="5">
        <v>110.4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112</v>
      </c>
      <c r="D15559" s="5">
        <v>0.1</v>
      </c>
      <c r="E15559" s="5">
        <v>112.1</v>
      </c>
      <c r="F15559" s="5">
        <v>222.4</v>
      </c>
      <c r="G15559" s="5">
        <v>110.5</v>
      </c>
      <c r="H15559" s="5">
        <v>110.4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112</v>
      </c>
      <c r="D15560" s="5">
        <v>0.1</v>
      </c>
      <c r="E15560" s="5">
        <v>112.1</v>
      </c>
      <c r="F15560" s="5">
        <v>222.4</v>
      </c>
      <c r="G15560" s="5">
        <v>110.5</v>
      </c>
      <c r="H15560" s="5">
        <v>110.4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112</v>
      </c>
      <c r="D15561" s="5">
        <v>0.1</v>
      </c>
      <c r="E15561" s="5">
        <v>112.1</v>
      </c>
      <c r="F15561" s="5">
        <v>222.4</v>
      </c>
      <c r="G15561" s="5">
        <v>110.5</v>
      </c>
      <c r="H15561" s="5">
        <v>110.4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112</v>
      </c>
      <c r="D15562" s="5">
        <v>0.1</v>
      </c>
      <c r="E15562" s="5">
        <v>112.1</v>
      </c>
      <c r="F15562" s="5">
        <v>222.4</v>
      </c>
      <c r="G15562" s="5">
        <v>110.5</v>
      </c>
      <c r="H15562" s="5">
        <v>110.4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112</v>
      </c>
      <c r="D15563" s="5">
        <v>0.1</v>
      </c>
      <c r="E15563" s="5">
        <v>112.1</v>
      </c>
      <c r="F15563" s="5">
        <v>222.4</v>
      </c>
      <c r="G15563" s="5">
        <v>110.5</v>
      </c>
      <c r="H15563" s="5">
        <v>110.4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112</v>
      </c>
      <c r="D15564" s="5">
        <v>0.1</v>
      </c>
      <c r="E15564" s="5">
        <v>112.1</v>
      </c>
      <c r="F15564" s="5">
        <v>222.4</v>
      </c>
      <c r="G15564" s="5">
        <v>110.5</v>
      </c>
      <c r="H15564" s="5">
        <v>110.4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112</v>
      </c>
      <c r="D15565" s="5">
        <v>0.1</v>
      </c>
      <c r="E15565" s="5">
        <v>112.1</v>
      </c>
      <c r="F15565" s="5">
        <v>222.4</v>
      </c>
      <c r="G15565" s="5">
        <v>110.5</v>
      </c>
      <c r="H15565" s="5">
        <v>110.4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112</v>
      </c>
      <c r="D15566" s="5">
        <v>0.1</v>
      </c>
      <c r="E15566" s="5">
        <v>112.1</v>
      </c>
      <c r="F15566" s="5">
        <v>222.4</v>
      </c>
      <c r="G15566" s="5">
        <v>110.5</v>
      </c>
      <c r="H15566" s="5">
        <v>110.4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112</v>
      </c>
      <c r="D15567" s="5">
        <v>0.1</v>
      </c>
      <c r="E15567" s="5">
        <v>112.1</v>
      </c>
      <c r="F15567" s="5">
        <v>222.4</v>
      </c>
      <c r="G15567" s="5">
        <v>110.5</v>
      </c>
      <c r="H15567" s="5">
        <v>110.4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112</v>
      </c>
      <c r="D15568" s="5">
        <v>0.1</v>
      </c>
      <c r="E15568" s="5">
        <v>112.1</v>
      </c>
      <c r="F15568" s="5">
        <v>222.4</v>
      </c>
      <c r="G15568" s="5">
        <v>110.5</v>
      </c>
      <c r="H15568" s="5">
        <v>110.4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112</v>
      </c>
      <c r="D15569" s="5">
        <v>0.1</v>
      </c>
      <c r="E15569" s="5">
        <v>112.1</v>
      </c>
      <c r="F15569" s="5">
        <v>222.4</v>
      </c>
      <c r="G15569" s="5">
        <v>110.5</v>
      </c>
      <c r="H15569" s="5">
        <v>110.4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112</v>
      </c>
      <c r="D15570" s="5">
        <v>0.1</v>
      </c>
      <c r="E15570" s="5">
        <v>112.1</v>
      </c>
      <c r="F15570" s="5">
        <v>222.4</v>
      </c>
      <c r="G15570" s="5">
        <v>110.5</v>
      </c>
      <c r="H15570" s="5">
        <v>110.4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112</v>
      </c>
      <c r="D15571" s="5">
        <v>0.1</v>
      </c>
      <c r="E15571" s="5">
        <v>112.1</v>
      </c>
      <c r="F15571" s="5">
        <v>222.4</v>
      </c>
      <c r="G15571" s="5">
        <v>110.5</v>
      </c>
      <c r="H15571" s="5">
        <v>110.4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112</v>
      </c>
      <c r="D15572" s="5">
        <v>0.1</v>
      </c>
      <c r="E15572" s="5">
        <v>112.1</v>
      </c>
      <c r="F15572" s="5">
        <v>222.4</v>
      </c>
      <c r="G15572" s="5">
        <v>110.5</v>
      </c>
      <c r="H15572" s="5">
        <v>110.4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112</v>
      </c>
      <c r="D15573" s="5">
        <v>0.1</v>
      </c>
      <c r="E15573" s="5">
        <v>112.1</v>
      </c>
      <c r="F15573" s="5">
        <v>222.4</v>
      </c>
      <c r="G15573" s="5">
        <v>110.5</v>
      </c>
      <c r="H15573" s="5">
        <v>110.4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112</v>
      </c>
      <c r="D15574" s="5">
        <v>0.1</v>
      </c>
      <c r="E15574" s="5">
        <v>112.1</v>
      </c>
      <c r="F15574" s="5">
        <v>222.4</v>
      </c>
      <c r="G15574" s="5">
        <v>110.5</v>
      </c>
      <c r="H15574" s="5">
        <v>110.4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112</v>
      </c>
      <c r="D15575" s="5">
        <v>0.1</v>
      </c>
      <c r="E15575" s="5">
        <v>112.1</v>
      </c>
      <c r="F15575" s="5">
        <v>222.4</v>
      </c>
      <c r="G15575" s="5">
        <v>110.5</v>
      </c>
      <c r="H15575" s="5">
        <v>110.4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112</v>
      </c>
      <c r="D15576" s="5">
        <v>0.1</v>
      </c>
      <c r="E15576" s="5">
        <v>112.1</v>
      </c>
      <c r="F15576" s="5">
        <v>222.4</v>
      </c>
      <c r="G15576" s="5">
        <v>110.5</v>
      </c>
      <c r="H15576" s="5">
        <v>110.4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112</v>
      </c>
      <c r="D15577" s="5">
        <v>0.1</v>
      </c>
      <c r="E15577" s="5">
        <v>112.1</v>
      </c>
      <c r="F15577" s="5">
        <v>222.4</v>
      </c>
      <c r="G15577" s="5">
        <v>110.5</v>
      </c>
      <c r="H15577" s="5">
        <v>110.4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112</v>
      </c>
      <c r="D15578" s="5">
        <v>0.1</v>
      </c>
      <c r="E15578" s="5">
        <v>112.1</v>
      </c>
      <c r="F15578" s="5">
        <v>222.4</v>
      </c>
      <c r="G15578" s="5">
        <v>110.5</v>
      </c>
      <c r="H15578" s="5">
        <v>110.4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112</v>
      </c>
      <c r="D15579" s="5">
        <v>0.1</v>
      </c>
      <c r="E15579" s="5">
        <v>112.1</v>
      </c>
      <c r="F15579" s="5">
        <v>222.4</v>
      </c>
      <c r="G15579" s="5">
        <v>110.5</v>
      </c>
      <c r="H15579" s="5">
        <v>110.4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112</v>
      </c>
      <c r="D15580" s="5">
        <v>0.1</v>
      </c>
      <c r="E15580" s="5">
        <v>112.1</v>
      </c>
      <c r="F15580" s="5">
        <v>222.4</v>
      </c>
      <c r="G15580" s="5">
        <v>110.5</v>
      </c>
      <c r="H15580" s="5">
        <v>110.4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112</v>
      </c>
      <c r="D15581" s="5">
        <v>0.1</v>
      </c>
      <c r="E15581" s="5">
        <v>112.1</v>
      </c>
      <c r="F15581" s="5">
        <v>222.4</v>
      </c>
      <c r="G15581" s="5">
        <v>110.5</v>
      </c>
      <c r="H15581" s="5">
        <v>110.4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112</v>
      </c>
      <c r="D15582" s="5">
        <v>0.1</v>
      </c>
      <c r="E15582" s="5">
        <v>112.1</v>
      </c>
      <c r="F15582" s="5">
        <v>222.4</v>
      </c>
      <c r="G15582" s="5">
        <v>110.5</v>
      </c>
      <c r="H15582" s="5">
        <v>110.4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112</v>
      </c>
      <c r="D15583" s="5">
        <v>0.1</v>
      </c>
      <c r="E15583" s="5">
        <v>112.1</v>
      </c>
      <c r="F15583" s="5">
        <v>222.4</v>
      </c>
      <c r="G15583" s="5">
        <v>110.5</v>
      </c>
      <c r="H15583" s="5">
        <v>110.4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112</v>
      </c>
      <c r="D15584" s="5">
        <v>0.1</v>
      </c>
      <c r="E15584" s="5">
        <v>112.1</v>
      </c>
      <c r="F15584" s="5">
        <v>222.4</v>
      </c>
      <c r="G15584" s="5">
        <v>110.5</v>
      </c>
      <c r="H15584" s="5">
        <v>110.4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112</v>
      </c>
      <c r="D15585" s="5">
        <v>0.1</v>
      </c>
      <c r="E15585" s="5">
        <v>112.1</v>
      </c>
      <c r="F15585" s="5">
        <v>222.4</v>
      </c>
      <c r="G15585" s="5">
        <v>110.5</v>
      </c>
      <c r="H15585" s="5">
        <v>110.4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112</v>
      </c>
      <c r="D15586" s="5">
        <v>0.1</v>
      </c>
      <c r="E15586" s="5">
        <v>112.1</v>
      </c>
      <c r="F15586" s="5">
        <v>222.4</v>
      </c>
      <c r="G15586" s="5">
        <v>110.5</v>
      </c>
      <c r="H15586" s="5">
        <v>110.4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112</v>
      </c>
      <c r="D15587" s="5">
        <v>0.1</v>
      </c>
      <c r="E15587" s="5">
        <v>112.1</v>
      </c>
      <c r="F15587" s="5">
        <v>222.4</v>
      </c>
      <c r="G15587" s="5">
        <v>110.5</v>
      </c>
      <c r="H15587" s="5">
        <v>110.4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112</v>
      </c>
      <c r="D15588" s="5">
        <v>0.1</v>
      </c>
      <c r="E15588" s="5">
        <v>112.1</v>
      </c>
      <c r="F15588" s="5">
        <v>222.4</v>
      </c>
      <c r="G15588" s="5">
        <v>110.5</v>
      </c>
      <c r="H15588" s="5">
        <v>110.4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112</v>
      </c>
      <c r="D15589" s="5">
        <v>0.1</v>
      </c>
      <c r="E15589" s="5">
        <v>112.1</v>
      </c>
      <c r="F15589" s="5">
        <v>222.4</v>
      </c>
      <c r="G15589" s="5">
        <v>110.5</v>
      </c>
      <c r="H15589" s="5">
        <v>110.4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112</v>
      </c>
      <c r="D15590" s="5">
        <v>0.1</v>
      </c>
      <c r="E15590" s="5">
        <v>112.1</v>
      </c>
      <c r="F15590" s="5">
        <v>222.4</v>
      </c>
      <c r="G15590" s="5">
        <v>110.5</v>
      </c>
      <c r="H15590" s="5">
        <v>110.4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112</v>
      </c>
      <c r="D15591" s="5">
        <v>0.1</v>
      </c>
      <c r="E15591" s="5">
        <v>112.1</v>
      </c>
      <c r="F15591" s="5">
        <v>222.4</v>
      </c>
      <c r="G15591" s="5">
        <v>110.5</v>
      </c>
      <c r="H15591" s="5">
        <v>110.4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112</v>
      </c>
      <c r="D15592" s="5">
        <v>0.1</v>
      </c>
      <c r="E15592" s="5">
        <v>112.1</v>
      </c>
      <c r="F15592" s="5">
        <v>222.4</v>
      </c>
      <c r="G15592" s="5">
        <v>110.5</v>
      </c>
      <c r="H15592" s="5">
        <v>110.4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112</v>
      </c>
      <c r="D15593" s="5">
        <v>0.1</v>
      </c>
      <c r="E15593" s="5">
        <v>112.1</v>
      </c>
      <c r="F15593" s="5">
        <v>222.4</v>
      </c>
      <c r="G15593" s="5">
        <v>110.5</v>
      </c>
      <c r="H15593" s="5">
        <v>110.4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112</v>
      </c>
      <c r="D15594" s="5">
        <v>0.1</v>
      </c>
      <c r="E15594" s="5">
        <v>112.1</v>
      </c>
      <c r="F15594" s="5">
        <v>222.4</v>
      </c>
      <c r="G15594" s="5">
        <v>110.5</v>
      </c>
      <c r="H15594" s="5">
        <v>110.4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112</v>
      </c>
      <c r="D15595" s="5">
        <v>0.1</v>
      </c>
      <c r="E15595" s="5">
        <v>112.1</v>
      </c>
      <c r="F15595" s="5">
        <v>222.4</v>
      </c>
      <c r="G15595" s="5">
        <v>110.5</v>
      </c>
      <c r="H15595" s="5">
        <v>110.4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112</v>
      </c>
      <c r="D15596" s="5">
        <v>0.1</v>
      </c>
      <c r="E15596" s="5">
        <v>112.1</v>
      </c>
      <c r="F15596" s="5">
        <v>222.4</v>
      </c>
      <c r="G15596" s="5">
        <v>110.5</v>
      </c>
      <c r="H15596" s="5">
        <v>110.4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112</v>
      </c>
      <c r="D15597" s="5">
        <v>0.1</v>
      </c>
      <c r="E15597" s="5">
        <v>112.1</v>
      </c>
      <c r="F15597" s="5">
        <v>222.4</v>
      </c>
      <c r="G15597" s="5">
        <v>110.5</v>
      </c>
      <c r="H15597" s="5">
        <v>110.4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112</v>
      </c>
      <c r="D15598" s="5">
        <v>0.1</v>
      </c>
      <c r="E15598" s="5">
        <v>112.1</v>
      </c>
      <c r="F15598" s="5">
        <v>222.4</v>
      </c>
      <c r="G15598" s="5">
        <v>110.5</v>
      </c>
      <c r="H15598" s="5">
        <v>110.4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112</v>
      </c>
      <c r="D15599" s="5">
        <v>0.1</v>
      </c>
      <c r="E15599" s="5">
        <v>112.1</v>
      </c>
      <c r="F15599" s="5">
        <v>222.4</v>
      </c>
      <c r="G15599" s="5">
        <v>110.5</v>
      </c>
      <c r="H15599" s="5">
        <v>110.4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112</v>
      </c>
      <c r="D15600" s="5">
        <v>0.1</v>
      </c>
      <c r="E15600" s="5">
        <v>112.1</v>
      </c>
      <c r="F15600" s="5">
        <v>222.4</v>
      </c>
      <c r="G15600" s="5">
        <v>110.5</v>
      </c>
      <c r="H15600" s="5">
        <v>110.4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112</v>
      </c>
      <c r="D15601" s="5">
        <v>0.1</v>
      </c>
      <c r="E15601" s="5">
        <v>112.1</v>
      </c>
      <c r="F15601" s="5">
        <v>222.4</v>
      </c>
      <c r="G15601" s="5">
        <v>110.5</v>
      </c>
      <c r="H15601" s="5">
        <v>110.4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112</v>
      </c>
      <c r="D15602" s="5">
        <v>0.1</v>
      </c>
      <c r="E15602" s="5">
        <v>112.1</v>
      </c>
      <c r="F15602" s="5">
        <v>222.4</v>
      </c>
      <c r="G15602" s="5">
        <v>110.5</v>
      </c>
      <c r="H15602" s="5">
        <v>110.4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112</v>
      </c>
      <c r="D15603" s="5">
        <v>0.1</v>
      </c>
      <c r="E15603" s="5">
        <v>112.1</v>
      </c>
      <c r="F15603" s="5">
        <v>222.4</v>
      </c>
      <c r="G15603" s="5">
        <v>110.5</v>
      </c>
      <c r="H15603" s="5">
        <v>110.4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112</v>
      </c>
      <c r="D15604" s="5">
        <v>0.1</v>
      </c>
      <c r="E15604" s="5">
        <v>112.1</v>
      </c>
      <c r="F15604" s="5">
        <v>222.4</v>
      </c>
      <c r="G15604" s="5">
        <v>110.5</v>
      </c>
      <c r="H15604" s="5">
        <v>110.4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112</v>
      </c>
      <c r="D15605" s="5">
        <v>0.1</v>
      </c>
      <c r="E15605" s="5">
        <v>112.1</v>
      </c>
      <c r="F15605" s="5">
        <v>222.4</v>
      </c>
      <c r="G15605" s="5">
        <v>110.5</v>
      </c>
      <c r="H15605" s="5">
        <v>110.4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112</v>
      </c>
      <c r="D15606" s="5">
        <v>0.1</v>
      </c>
      <c r="E15606" s="5">
        <v>112.1</v>
      </c>
      <c r="F15606" s="5">
        <v>222.4</v>
      </c>
      <c r="G15606" s="5">
        <v>110.5</v>
      </c>
      <c r="H15606" s="5">
        <v>110.4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112</v>
      </c>
      <c r="D15607" s="5">
        <v>0.1</v>
      </c>
      <c r="E15607" s="5">
        <v>112.1</v>
      </c>
      <c r="F15607" s="5">
        <v>222.4</v>
      </c>
      <c r="G15607" s="5">
        <v>110.5</v>
      </c>
      <c r="H15607" s="5">
        <v>110.4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112</v>
      </c>
      <c r="D15608" s="5">
        <v>0.1</v>
      </c>
      <c r="E15608" s="5">
        <v>112.1</v>
      </c>
      <c r="F15608" s="5">
        <v>222.4</v>
      </c>
      <c r="G15608" s="5">
        <v>110.5</v>
      </c>
      <c r="H15608" s="5">
        <v>110.4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112</v>
      </c>
      <c r="D15609" s="5">
        <v>0.1</v>
      </c>
      <c r="E15609" s="5">
        <v>112.1</v>
      </c>
      <c r="F15609" s="5">
        <v>222.4</v>
      </c>
      <c r="G15609" s="5">
        <v>110.5</v>
      </c>
      <c r="H15609" s="5">
        <v>110.4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112</v>
      </c>
      <c r="D15610" s="5">
        <v>0.1</v>
      </c>
      <c r="E15610" s="5">
        <v>112.1</v>
      </c>
      <c r="F15610" s="5">
        <v>222.4</v>
      </c>
      <c r="G15610" s="5">
        <v>110.5</v>
      </c>
      <c r="H15610" s="5">
        <v>110.4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112</v>
      </c>
      <c r="D15611" s="5">
        <v>0.1</v>
      </c>
      <c r="E15611" s="5">
        <v>112.1</v>
      </c>
      <c r="F15611" s="5">
        <v>222.4</v>
      </c>
      <c r="G15611" s="5">
        <v>110.5</v>
      </c>
      <c r="H15611" s="5">
        <v>110.4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112</v>
      </c>
      <c r="D15612" s="5">
        <v>0.1</v>
      </c>
      <c r="E15612" s="5">
        <v>112.1</v>
      </c>
      <c r="F15612" s="5">
        <v>222.4</v>
      </c>
      <c r="G15612" s="5">
        <v>110.5</v>
      </c>
      <c r="H15612" s="5">
        <v>110.4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112</v>
      </c>
      <c r="D15613" s="5">
        <v>0.1</v>
      </c>
      <c r="E15613" s="5">
        <v>112.1</v>
      </c>
      <c r="F15613" s="5">
        <v>222.4</v>
      </c>
      <c r="G15613" s="5">
        <v>110.5</v>
      </c>
      <c r="H15613" s="5">
        <v>110.4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112</v>
      </c>
      <c r="D15614" s="5">
        <v>0.1</v>
      </c>
      <c r="E15614" s="5">
        <v>112.1</v>
      </c>
      <c r="F15614" s="5">
        <v>222.4</v>
      </c>
      <c r="G15614" s="5">
        <v>110.5</v>
      </c>
      <c r="H15614" s="5">
        <v>110.4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112</v>
      </c>
      <c r="D15615" s="5">
        <v>0.1</v>
      </c>
      <c r="E15615" s="5">
        <v>112.1</v>
      </c>
      <c r="F15615" s="5">
        <v>222.4</v>
      </c>
      <c r="G15615" s="5">
        <v>110.5</v>
      </c>
      <c r="H15615" s="5">
        <v>110.4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112</v>
      </c>
      <c r="D15616" s="5">
        <v>0.1</v>
      </c>
      <c r="E15616" s="5">
        <v>112.1</v>
      </c>
      <c r="F15616" s="5">
        <v>222.4</v>
      </c>
      <c r="G15616" s="5">
        <v>110.5</v>
      </c>
      <c r="H15616" s="5">
        <v>110.4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112</v>
      </c>
      <c r="D15617" s="5">
        <v>0.1</v>
      </c>
      <c r="E15617" s="5">
        <v>112.1</v>
      </c>
      <c r="F15617" s="5">
        <v>222.4</v>
      </c>
      <c r="G15617" s="5">
        <v>110.5</v>
      </c>
      <c r="H15617" s="5">
        <v>110.4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112</v>
      </c>
      <c r="D15618" s="5">
        <v>0.1</v>
      </c>
      <c r="E15618" s="5">
        <v>112.1</v>
      </c>
      <c r="F15618" s="5">
        <v>222.4</v>
      </c>
      <c r="G15618" s="5">
        <v>110.5</v>
      </c>
      <c r="H15618" s="5">
        <v>110.4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112</v>
      </c>
      <c r="D15619" s="5">
        <v>0.1</v>
      </c>
      <c r="E15619" s="5">
        <v>112.1</v>
      </c>
      <c r="F15619" s="5">
        <v>222.4</v>
      </c>
      <c r="G15619" s="5">
        <v>110.5</v>
      </c>
      <c r="H15619" s="5">
        <v>110.4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112</v>
      </c>
      <c r="D15620" s="5">
        <v>0.1</v>
      </c>
      <c r="E15620" s="5">
        <v>112.1</v>
      </c>
      <c r="F15620" s="5">
        <v>222.4</v>
      </c>
      <c r="G15620" s="5">
        <v>110.5</v>
      </c>
      <c r="H15620" s="5">
        <v>110.4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112</v>
      </c>
      <c r="D15621" s="5">
        <v>0.1</v>
      </c>
      <c r="E15621" s="5">
        <v>112.1</v>
      </c>
      <c r="F15621" s="5">
        <v>222.4</v>
      </c>
      <c r="G15621" s="5">
        <v>110.5</v>
      </c>
      <c r="H15621" s="5">
        <v>110.4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112</v>
      </c>
      <c r="D15622" s="5">
        <v>0.1</v>
      </c>
      <c r="E15622" s="5">
        <v>112.1</v>
      </c>
      <c r="F15622" s="5">
        <v>222.4</v>
      </c>
      <c r="G15622" s="5">
        <v>110.5</v>
      </c>
      <c r="H15622" s="5">
        <v>110.4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112</v>
      </c>
      <c r="D15623" s="5">
        <v>0.1</v>
      </c>
      <c r="E15623" s="5">
        <v>112.1</v>
      </c>
      <c r="F15623" s="5">
        <v>222.4</v>
      </c>
      <c r="G15623" s="5">
        <v>110.5</v>
      </c>
      <c r="H15623" s="5">
        <v>110.4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112</v>
      </c>
      <c r="D15624" s="5">
        <v>0.1</v>
      </c>
      <c r="E15624" s="5">
        <v>112.1</v>
      </c>
      <c r="F15624" s="5">
        <v>222.4</v>
      </c>
      <c r="G15624" s="5">
        <v>110.5</v>
      </c>
      <c r="H15624" s="5">
        <v>110.4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112</v>
      </c>
      <c r="D15625" s="5">
        <v>0.1</v>
      </c>
      <c r="E15625" s="5">
        <v>112.1</v>
      </c>
      <c r="F15625" s="5">
        <v>222.4</v>
      </c>
      <c r="G15625" s="5">
        <v>110.5</v>
      </c>
      <c r="H15625" s="5">
        <v>110.4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112</v>
      </c>
      <c r="D15626" s="5">
        <v>0.1</v>
      </c>
      <c r="E15626" s="5">
        <v>112.1</v>
      </c>
      <c r="F15626" s="5">
        <v>222.4</v>
      </c>
      <c r="G15626" s="5">
        <v>110.5</v>
      </c>
      <c r="H15626" s="5">
        <v>110.4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112</v>
      </c>
      <c r="D15627" s="5">
        <v>0.1</v>
      </c>
      <c r="E15627" s="5">
        <v>112.1</v>
      </c>
      <c r="F15627" s="5">
        <v>222.4</v>
      </c>
      <c r="G15627" s="5">
        <v>110.5</v>
      </c>
      <c r="H15627" s="5">
        <v>110.4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112</v>
      </c>
      <c r="D15628" s="5">
        <v>0.1</v>
      </c>
      <c r="E15628" s="5">
        <v>112.1</v>
      </c>
      <c r="F15628" s="5">
        <v>222.4</v>
      </c>
      <c r="G15628" s="5">
        <v>110.5</v>
      </c>
      <c r="H15628" s="5">
        <v>110.4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112</v>
      </c>
      <c r="D15629" s="5">
        <v>0.1</v>
      </c>
      <c r="E15629" s="5">
        <v>112.1</v>
      </c>
      <c r="F15629" s="5">
        <v>222.4</v>
      </c>
      <c r="G15629" s="5">
        <v>110.5</v>
      </c>
      <c r="H15629" s="5">
        <v>110.4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112</v>
      </c>
      <c r="D15630" s="5">
        <v>0.1</v>
      </c>
      <c r="E15630" s="5">
        <v>112.1</v>
      </c>
      <c r="F15630" s="5">
        <v>222.4</v>
      </c>
      <c r="G15630" s="5">
        <v>110.5</v>
      </c>
      <c r="H15630" s="5">
        <v>110.4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112</v>
      </c>
      <c r="D15631" s="5">
        <v>0.1</v>
      </c>
      <c r="E15631" s="5">
        <v>112.1</v>
      </c>
      <c r="F15631" s="5">
        <v>222.4</v>
      </c>
      <c r="G15631" s="5">
        <v>110.5</v>
      </c>
      <c r="H15631" s="5">
        <v>110.4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112</v>
      </c>
      <c r="D15632" s="5">
        <v>0.1</v>
      </c>
      <c r="E15632" s="5">
        <v>112.1</v>
      </c>
      <c r="F15632" s="5">
        <v>222.4</v>
      </c>
      <c r="G15632" s="5">
        <v>110.5</v>
      </c>
      <c r="H15632" s="5">
        <v>110.4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112</v>
      </c>
      <c r="D15633" s="5">
        <v>0.1</v>
      </c>
      <c r="E15633" s="5">
        <v>112.1</v>
      </c>
      <c r="F15633" s="5">
        <v>222.4</v>
      </c>
      <c r="G15633" s="5">
        <v>110.5</v>
      </c>
      <c r="H15633" s="5">
        <v>110.4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112</v>
      </c>
      <c r="D15634" s="5">
        <v>0.1</v>
      </c>
      <c r="E15634" s="5">
        <v>112.1</v>
      </c>
      <c r="F15634" s="5">
        <v>222.4</v>
      </c>
      <c r="G15634" s="5">
        <v>110.5</v>
      </c>
      <c r="H15634" s="5">
        <v>110.4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112</v>
      </c>
      <c r="D15635" s="5">
        <v>0.1</v>
      </c>
      <c r="E15635" s="5">
        <v>112.1</v>
      </c>
      <c r="F15635" s="5">
        <v>222.4</v>
      </c>
      <c r="G15635" s="5">
        <v>110.5</v>
      </c>
      <c r="H15635" s="5">
        <v>110.4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112</v>
      </c>
      <c r="D15636" s="5">
        <v>0.1</v>
      </c>
      <c r="E15636" s="5">
        <v>112.1</v>
      </c>
      <c r="F15636" s="5">
        <v>222.4</v>
      </c>
      <c r="G15636" s="5">
        <v>110.5</v>
      </c>
      <c r="H15636" s="5">
        <v>110.4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112</v>
      </c>
      <c r="D15637" s="5">
        <v>0.1</v>
      </c>
      <c r="E15637" s="5">
        <v>112.1</v>
      </c>
      <c r="F15637" s="5">
        <v>222.4</v>
      </c>
      <c r="G15637" s="5">
        <v>110.5</v>
      </c>
      <c r="H15637" s="5">
        <v>110.4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112</v>
      </c>
      <c r="D15638" s="5">
        <v>0.1</v>
      </c>
      <c r="E15638" s="5">
        <v>112.1</v>
      </c>
      <c r="F15638" s="5">
        <v>222.4</v>
      </c>
      <c r="G15638" s="5">
        <v>110.5</v>
      </c>
      <c r="H15638" s="5">
        <v>110.4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112</v>
      </c>
      <c r="D15639" s="5">
        <v>0.1</v>
      </c>
      <c r="E15639" s="5">
        <v>112.1</v>
      </c>
      <c r="F15639" s="5">
        <v>222.4</v>
      </c>
      <c r="G15639" s="5">
        <v>110.5</v>
      </c>
      <c r="H15639" s="5">
        <v>110.4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112</v>
      </c>
      <c r="D15640" s="5">
        <v>0.1</v>
      </c>
      <c r="E15640" s="5">
        <v>112.1</v>
      </c>
      <c r="F15640" s="5">
        <v>222.4</v>
      </c>
      <c r="G15640" s="5">
        <v>110.5</v>
      </c>
      <c r="H15640" s="5">
        <v>110.4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112</v>
      </c>
      <c r="D15641" s="5">
        <v>0.1</v>
      </c>
      <c r="E15641" s="5">
        <v>112.1</v>
      </c>
      <c r="F15641" s="5">
        <v>222.4</v>
      </c>
      <c r="G15641" s="5">
        <v>110.5</v>
      </c>
      <c r="H15641" s="5">
        <v>110.4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112</v>
      </c>
      <c r="D15642" s="5">
        <v>0.1</v>
      </c>
      <c r="E15642" s="5">
        <v>112.1</v>
      </c>
      <c r="F15642" s="5">
        <v>222.4</v>
      </c>
      <c r="G15642" s="5">
        <v>110.5</v>
      </c>
      <c r="H15642" s="5">
        <v>110.4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112</v>
      </c>
      <c r="D15643" s="5">
        <v>0.1</v>
      </c>
      <c r="E15643" s="5">
        <v>112.1</v>
      </c>
      <c r="F15643" s="5">
        <v>222.4</v>
      </c>
      <c r="G15643" s="5">
        <v>110.5</v>
      </c>
      <c r="H15643" s="5">
        <v>110.4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112</v>
      </c>
      <c r="D15644" s="5">
        <v>0.1</v>
      </c>
      <c r="E15644" s="5">
        <v>112.1</v>
      </c>
      <c r="F15644" s="5">
        <v>222.4</v>
      </c>
      <c r="G15644" s="5">
        <v>110.5</v>
      </c>
      <c r="H15644" s="5">
        <v>110.4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112</v>
      </c>
      <c r="D15645" s="5">
        <v>0.1</v>
      </c>
      <c r="E15645" s="5">
        <v>112.1</v>
      </c>
      <c r="F15645" s="5">
        <v>222.4</v>
      </c>
      <c r="G15645" s="5">
        <v>110.5</v>
      </c>
      <c r="H15645" s="5">
        <v>110.4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112</v>
      </c>
      <c r="D15646" s="5">
        <v>0.1</v>
      </c>
      <c r="E15646" s="5">
        <v>112.1</v>
      </c>
      <c r="F15646" s="5">
        <v>222.4</v>
      </c>
      <c r="G15646" s="5">
        <v>110.5</v>
      </c>
      <c r="H15646" s="5">
        <v>110.4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112</v>
      </c>
      <c r="D15647" s="5">
        <v>0.1</v>
      </c>
      <c r="E15647" s="5">
        <v>112.1</v>
      </c>
      <c r="F15647" s="5">
        <v>222.4</v>
      </c>
      <c r="G15647" s="5">
        <v>110.5</v>
      </c>
      <c r="H15647" s="5">
        <v>110.4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112</v>
      </c>
      <c r="D15648" s="5">
        <v>0.1</v>
      </c>
      <c r="E15648" s="5">
        <v>112.1</v>
      </c>
      <c r="F15648" s="5">
        <v>222.4</v>
      </c>
      <c r="G15648" s="5">
        <v>110.5</v>
      </c>
      <c r="H15648" s="5">
        <v>110.4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112</v>
      </c>
      <c r="D15649" s="5">
        <v>0.1</v>
      </c>
      <c r="E15649" s="5">
        <v>112.1</v>
      </c>
      <c r="F15649" s="5">
        <v>222.4</v>
      </c>
      <c r="G15649" s="5">
        <v>110.5</v>
      </c>
      <c r="H15649" s="5">
        <v>110.4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112</v>
      </c>
      <c r="D15650" s="5">
        <v>0.1</v>
      </c>
      <c r="E15650" s="5">
        <v>112.1</v>
      </c>
      <c r="F15650" s="5">
        <v>222.4</v>
      </c>
      <c r="G15650" s="5">
        <v>110.5</v>
      </c>
      <c r="H15650" s="5">
        <v>110.4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112</v>
      </c>
      <c r="D15651" s="5">
        <v>0.1</v>
      </c>
      <c r="E15651" s="5">
        <v>112.1</v>
      </c>
      <c r="F15651" s="5">
        <v>222.4</v>
      </c>
      <c r="G15651" s="5">
        <v>110.5</v>
      </c>
      <c r="H15651" s="5">
        <v>110.4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112</v>
      </c>
      <c r="D15652" s="5">
        <v>0.1</v>
      </c>
      <c r="E15652" s="5">
        <v>112.1</v>
      </c>
      <c r="F15652" s="5">
        <v>222.4</v>
      </c>
      <c r="G15652" s="5">
        <v>110.5</v>
      </c>
      <c r="H15652" s="5">
        <v>110.4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112</v>
      </c>
      <c r="D15653" s="5">
        <v>0.1</v>
      </c>
      <c r="E15653" s="5">
        <v>112.1</v>
      </c>
      <c r="F15653" s="5">
        <v>222.4</v>
      </c>
      <c r="G15653" s="5">
        <v>110.5</v>
      </c>
      <c r="H15653" s="5">
        <v>110.4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112</v>
      </c>
      <c r="D15654" s="5">
        <v>0.1</v>
      </c>
      <c r="E15654" s="5">
        <v>112.1</v>
      </c>
      <c r="F15654" s="5">
        <v>222.4</v>
      </c>
      <c r="G15654" s="5">
        <v>110.5</v>
      </c>
      <c r="H15654" s="5">
        <v>110.4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112</v>
      </c>
      <c r="D15655" s="5">
        <v>0.1</v>
      </c>
      <c r="E15655" s="5">
        <v>112.1</v>
      </c>
      <c r="F15655" s="5">
        <v>222.4</v>
      </c>
      <c r="G15655" s="5">
        <v>110.5</v>
      </c>
      <c r="H15655" s="5">
        <v>110.4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112</v>
      </c>
      <c r="D15656" s="5">
        <v>0.1</v>
      </c>
      <c r="E15656" s="5">
        <v>112.1</v>
      </c>
      <c r="F15656" s="5">
        <v>222.4</v>
      </c>
      <c r="G15656" s="5">
        <v>110.5</v>
      </c>
      <c r="H15656" s="5">
        <v>110.4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112</v>
      </c>
      <c r="D15657" s="5">
        <v>0.1</v>
      </c>
      <c r="E15657" s="5">
        <v>112.1</v>
      </c>
      <c r="F15657" s="5">
        <v>222.4</v>
      </c>
      <c r="G15657" s="5">
        <v>110.5</v>
      </c>
      <c r="H15657" s="5">
        <v>110.4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112</v>
      </c>
      <c r="D15658" s="5">
        <v>0.1</v>
      </c>
      <c r="E15658" s="5">
        <v>112.1</v>
      </c>
      <c r="F15658" s="5">
        <v>222.4</v>
      </c>
      <c r="G15658" s="5">
        <v>110.5</v>
      </c>
      <c r="H15658" s="5">
        <v>110.4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112</v>
      </c>
      <c r="D15659" s="5">
        <v>0.1</v>
      </c>
      <c r="E15659" s="5">
        <v>112.1</v>
      </c>
      <c r="F15659" s="5">
        <v>222.4</v>
      </c>
      <c r="G15659" s="5">
        <v>110.5</v>
      </c>
      <c r="H15659" s="5">
        <v>110.4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112</v>
      </c>
      <c r="D15660" s="5">
        <v>0.1</v>
      </c>
      <c r="E15660" s="5">
        <v>112.1</v>
      </c>
      <c r="F15660" s="5">
        <v>222.4</v>
      </c>
      <c r="G15660" s="5">
        <v>110.5</v>
      </c>
      <c r="H15660" s="5">
        <v>110.4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112</v>
      </c>
      <c r="D15661" s="5">
        <v>0.1</v>
      </c>
      <c r="E15661" s="5">
        <v>112.1</v>
      </c>
      <c r="F15661" s="5">
        <v>222.4</v>
      </c>
      <c r="G15661" s="5">
        <v>110.5</v>
      </c>
      <c r="H15661" s="5">
        <v>110.4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112</v>
      </c>
      <c r="D15662" s="5">
        <v>0.1</v>
      </c>
      <c r="E15662" s="5">
        <v>112.1</v>
      </c>
      <c r="F15662" s="5">
        <v>222.4</v>
      </c>
      <c r="G15662" s="5">
        <v>110.5</v>
      </c>
      <c r="H15662" s="5">
        <v>110.4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112</v>
      </c>
      <c r="D15663" s="5">
        <v>0.1</v>
      </c>
      <c r="E15663" s="5">
        <v>112.1</v>
      </c>
      <c r="F15663" s="5">
        <v>222.4</v>
      </c>
      <c r="G15663" s="5">
        <v>110.5</v>
      </c>
      <c r="H15663" s="5">
        <v>110.4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112</v>
      </c>
      <c r="D15664" s="5">
        <v>0.1</v>
      </c>
      <c r="E15664" s="5">
        <v>112.1</v>
      </c>
      <c r="F15664" s="5">
        <v>222.4</v>
      </c>
      <c r="G15664" s="5">
        <v>110.5</v>
      </c>
      <c r="H15664" s="5">
        <v>110.4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112</v>
      </c>
      <c r="D15665" s="5">
        <v>0.1</v>
      </c>
      <c r="E15665" s="5">
        <v>112.1</v>
      </c>
      <c r="F15665" s="5">
        <v>222.4</v>
      </c>
      <c r="G15665" s="5">
        <v>110.5</v>
      </c>
      <c r="H15665" s="5">
        <v>110.4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112</v>
      </c>
      <c r="D15666" s="5">
        <v>0.1</v>
      </c>
      <c r="E15666" s="5">
        <v>112.1</v>
      </c>
      <c r="F15666" s="5">
        <v>222.4</v>
      </c>
      <c r="G15666" s="5">
        <v>110.5</v>
      </c>
      <c r="H15666" s="5">
        <v>110.4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112</v>
      </c>
      <c r="D15667" s="5">
        <v>0.1</v>
      </c>
      <c r="E15667" s="5">
        <v>112.1</v>
      </c>
      <c r="F15667" s="5">
        <v>222.4</v>
      </c>
      <c r="G15667" s="5">
        <v>110.5</v>
      </c>
      <c r="H15667" s="5">
        <v>110.4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112</v>
      </c>
      <c r="D15668" s="5">
        <v>0.1</v>
      </c>
      <c r="E15668" s="5">
        <v>112.1</v>
      </c>
      <c r="F15668" s="5">
        <v>222.4</v>
      </c>
      <c r="G15668" s="5">
        <v>110.5</v>
      </c>
      <c r="H15668" s="5">
        <v>110.4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112</v>
      </c>
      <c r="D15669" s="5">
        <v>0.1</v>
      </c>
      <c r="E15669" s="5">
        <v>112.1</v>
      </c>
      <c r="F15669" s="5">
        <v>222.4</v>
      </c>
      <c r="G15669" s="5">
        <v>110.5</v>
      </c>
      <c r="H15669" s="5">
        <v>110.4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112</v>
      </c>
      <c r="D15670" s="5">
        <v>0.1</v>
      </c>
      <c r="E15670" s="5">
        <v>112.1</v>
      </c>
      <c r="F15670" s="5">
        <v>222.4</v>
      </c>
      <c r="G15670" s="5">
        <v>110.5</v>
      </c>
      <c r="H15670" s="5">
        <v>110.4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112</v>
      </c>
      <c r="D15671" s="5">
        <v>0.1</v>
      </c>
      <c r="E15671" s="5">
        <v>112.1</v>
      </c>
      <c r="F15671" s="5">
        <v>222.4</v>
      </c>
      <c r="G15671" s="5">
        <v>110.5</v>
      </c>
      <c r="H15671" s="5">
        <v>110.4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112</v>
      </c>
      <c r="D15672" s="5">
        <v>0.1</v>
      </c>
      <c r="E15672" s="5">
        <v>112.1</v>
      </c>
      <c r="F15672" s="5">
        <v>222.4</v>
      </c>
      <c r="G15672" s="5">
        <v>110.5</v>
      </c>
      <c r="H15672" s="5">
        <v>110.4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112</v>
      </c>
      <c r="D15673" s="5">
        <v>0.1</v>
      </c>
      <c r="E15673" s="5">
        <v>112.1</v>
      </c>
      <c r="F15673" s="5">
        <v>222.4</v>
      </c>
      <c r="G15673" s="5">
        <v>110.5</v>
      </c>
      <c r="H15673" s="5">
        <v>110.4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112</v>
      </c>
      <c r="D15674" s="5">
        <v>0.1</v>
      </c>
      <c r="E15674" s="5">
        <v>112.1</v>
      </c>
      <c r="F15674" s="5">
        <v>222.4</v>
      </c>
      <c r="G15674" s="5">
        <v>110.5</v>
      </c>
      <c r="H15674" s="5">
        <v>110.4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112</v>
      </c>
      <c r="D15675" s="5">
        <v>0.1</v>
      </c>
      <c r="E15675" s="5">
        <v>112.1</v>
      </c>
      <c r="F15675" s="5">
        <v>222.4</v>
      </c>
      <c r="G15675" s="5">
        <v>110.5</v>
      </c>
      <c r="H15675" s="5">
        <v>110.4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112</v>
      </c>
      <c r="D15676" s="5">
        <v>0.1</v>
      </c>
      <c r="E15676" s="5">
        <v>112.1</v>
      </c>
      <c r="F15676" s="5">
        <v>222.4</v>
      </c>
      <c r="G15676" s="5">
        <v>110.5</v>
      </c>
      <c r="H15676" s="5">
        <v>110.4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112</v>
      </c>
      <c r="D15677" s="5">
        <v>0.1</v>
      </c>
      <c r="E15677" s="5">
        <v>112.1</v>
      </c>
      <c r="F15677" s="5">
        <v>222.4</v>
      </c>
      <c r="G15677" s="5">
        <v>110.5</v>
      </c>
      <c r="H15677" s="5">
        <v>110.4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112</v>
      </c>
      <c r="D15678" s="5">
        <v>0.1</v>
      </c>
      <c r="E15678" s="5">
        <v>112.1</v>
      </c>
      <c r="F15678" s="5">
        <v>222.4</v>
      </c>
      <c r="G15678" s="5">
        <v>110.5</v>
      </c>
      <c r="H15678" s="5">
        <v>110.4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112</v>
      </c>
      <c r="D15679" s="5">
        <v>0.1</v>
      </c>
      <c r="E15679" s="5">
        <v>112.1</v>
      </c>
      <c r="F15679" s="5">
        <v>222.4</v>
      </c>
      <c r="G15679" s="5">
        <v>110.5</v>
      </c>
      <c r="H15679" s="5">
        <v>110.4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112</v>
      </c>
      <c r="D15680" s="5">
        <v>0.1</v>
      </c>
      <c r="E15680" s="5">
        <v>112.1</v>
      </c>
      <c r="F15680" s="5">
        <v>222.4</v>
      </c>
      <c r="G15680" s="5">
        <v>110.5</v>
      </c>
      <c r="H15680" s="5">
        <v>110.4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112</v>
      </c>
      <c r="D15681" s="5">
        <v>0.1</v>
      </c>
      <c r="E15681" s="5">
        <v>112.1</v>
      </c>
      <c r="F15681" s="5">
        <v>222.4</v>
      </c>
      <c r="G15681" s="5">
        <v>110.5</v>
      </c>
      <c r="H15681" s="5">
        <v>110.4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112</v>
      </c>
      <c r="D15682" s="5">
        <v>0.1</v>
      </c>
      <c r="E15682" s="5">
        <v>112.1</v>
      </c>
      <c r="F15682" s="5">
        <v>222.4</v>
      </c>
      <c r="G15682" s="5">
        <v>110.5</v>
      </c>
      <c r="H15682" s="5">
        <v>110.4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112</v>
      </c>
      <c r="D15683" s="5">
        <v>0.1</v>
      </c>
      <c r="E15683" s="5">
        <v>112.1</v>
      </c>
      <c r="F15683" s="5">
        <v>222.4</v>
      </c>
      <c r="G15683" s="5">
        <v>110.5</v>
      </c>
      <c r="H15683" s="5">
        <v>110.4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112</v>
      </c>
      <c r="D15684" s="5">
        <v>0.1</v>
      </c>
      <c r="E15684" s="5">
        <v>112.1</v>
      </c>
      <c r="F15684" s="5">
        <v>222.4</v>
      </c>
      <c r="G15684" s="5">
        <v>110.5</v>
      </c>
      <c r="H15684" s="5">
        <v>110.4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112</v>
      </c>
      <c r="D15685" s="5">
        <v>0.1</v>
      </c>
      <c r="E15685" s="5">
        <v>112.1</v>
      </c>
      <c r="F15685" s="5">
        <v>222.4</v>
      </c>
      <c r="G15685" s="5">
        <v>110.5</v>
      </c>
      <c r="H15685" s="5">
        <v>110.4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112</v>
      </c>
      <c r="D15686" s="5">
        <v>0.1</v>
      </c>
      <c r="E15686" s="5">
        <v>112.1</v>
      </c>
      <c r="F15686" s="5">
        <v>222.4</v>
      </c>
      <c r="G15686" s="5">
        <v>110.5</v>
      </c>
      <c r="H15686" s="5">
        <v>110.4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112</v>
      </c>
      <c r="D15687" s="5">
        <v>0.1</v>
      </c>
      <c r="E15687" s="5">
        <v>112.1</v>
      </c>
      <c r="F15687" s="5">
        <v>222.4</v>
      </c>
      <c r="G15687" s="5">
        <v>110.5</v>
      </c>
      <c r="H15687" s="5">
        <v>110.4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112</v>
      </c>
      <c r="D15688" s="5">
        <v>0.1</v>
      </c>
      <c r="E15688" s="5">
        <v>112.1</v>
      </c>
      <c r="F15688" s="5">
        <v>222.4</v>
      </c>
      <c r="G15688" s="5">
        <v>110.5</v>
      </c>
      <c r="H15688" s="5">
        <v>110.4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112</v>
      </c>
      <c r="D15689" s="5">
        <v>0.1</v>
      </c>
      <c r="E15689" s="5">
        <v>112.1</v>
      </c>
      <c r="F15689" s="5">
        <v>222.4</v>
      </c>
      <c r="G15689" s="5">
        <v>110.5</v>
      </c>
      <c r="H15689" s="5">
        <v>110.4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112</v>
      </c>
      <c r="D15690" s="5">
        <v>0.1</v>
      </c>
      <c r="E15690" s="5">
        <v>112.1</v>
      </c>
      <c r="F15690" s="5">
        <v>222.4</v>
      </c>
      <c r="G15690" s="5">
        <v>110.5</v>
      </c>
      <c r="H15690" s="5">
        <v>110.4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112</v>
      </c>
      <c r="D15691" s="5">
        <v>0.1</v>
      </c>
      <c r="E15691" s="5">
        <v>112.1</v>
      </c>
      <c r="F15691" s="5">
        <v>222.4</v>
      </c>
      <c r="G15691" s="5">
        <v>110.5</v>
      </c>
      <c r="H15691" s="5">
        <v>110.4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112</v>
      </c>
      <c r="D15692" s="5">
        <v>0.1</v>
      </c>
      <c r="E15692" s="5">
        <v>112.1</v>
      </c>
      <c r="F15692" s="5">
        <v>222.4</v>
      </c>
      <c r="G15692" s="5">
        <v>110.5</v>
      </c>
      <c r="H15692" s="5">
        <v>110.4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112</v>
      </c>
      <c r="D15693" s="5">
        <v>0.1</v>
      </c>
      <c r="E15693" s="5">
        <v>112.1</v>
      </c>
      <c r="F15693" s="5">
        <v>222.4</v>
      </c>
      <c r="G15693" s="5">
        <v>110.5</v>
      </c>
      <c r="H15693" s="5">
        <v>110.4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112</v>
      </c>
      <c r="D15694" s="5">
        <v>0.1</v>
      </c>
      <c r="E15694" s="5">
        <v>112.1</v>
      </c>
      <c r="F15694" s="5">
        <v>222.4</v>
      </c>
      <c r="G15694" s="5">
        <v>110.5</v>
      </c>
      <c r="H15694" s="5">
        <v>110.4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112</v>
      </c>
      <c r="D15695" s="5">
        <v>0.1</v>
      </c>
      <c r="E15695" s="5">
        <v>112.1</v>
      </c>
      <c r="F15695" s="5">
        <v>222.4</v>
      </c>
      <c r="G15695" s="5">
        <v>110.5</v>
      </c>
      <c r="H15695" s="5">
        <v>110.4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112</v>
      </c>
      <c r="D15696" s="5">
        <v>0.1</v>
      </c>
      <c r="E15696" s="5">
        <v>112.1</v>
      </c>
      <c r="F15696" s="5">
        <v>222.4</v>
      </c>
      <c r="G15696" s="5">
        <v>110.5</v>
      </c>
      <c r="H15696" s="5">
        <v>110.4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112</v>
      </c>
      <c r="D15697" s="5">
        <v>0.1</v>
      </c>
      <c r="E15697" s="5">
        <v>112.1</v>
      </c>
      <c r="F15697" s="5">
        <v>222.4</v>
      </c>
      <c r="G15697" s="5">
        <v>110.5</v>
      </c>
      <c r="H15697" s="5">
        <v>110.4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112</v>
      </c>
      <c r="D15698" s="5">
        <v>0.1</v>
      </c>
      <c r="E15698" s="5">
        <v>112.1</v>
      </c>
      <c r="F15698" s="5">
        <v>222.4</v>
      </c>
      <c r="G15698" s="5">
        <v>110.5</v>
      </c>
      <c r="H15698" s="5">
        <v>110.4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112</v>
      </c>
      <c r="D15699" s="5">
        <v>0.1</v>
      </c>
      <c r="E15699" s="5">
        <v>112.1</v>
      </c>
      <c r="F15699" s="5">
        <v>222.4</v>
      </c>
      <c r="G15699" s="5">
        <v>110.5</v>
      </c>
      <c r="H15699" s="5">
        <v>110.4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112</v>
      </c>
      <c r="D15700" s="5">
        <v>0.1</v>
      </c>
      <c r="E15700" s="5">
        <v>112.1</v>
      </c>
      <c r="F15700" s="5">
        <v>222.4</v>
      </c>
      <c r="G15700" s="5">
        <v>110.5</v>
      </c>
      <c r="H15700" s="5">
        <v>110.4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112</v>
      </c>
      <c r="D15701" s="5">
        <v>0.1</v>
      </c>
      <c r="E15701" s="5">
        <v>112.1</v>
      </c>
      <c r="F15701" s="5">
        <v>222.4</v>
      </c>
      <c r="G15701" s="5">
        <v>110.5</v>
      </c>
      <c r="H15701" s="5">
        <v>110.4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112</v>
      </c>
      <c r="D15702" s="5">
        <v>0.1</v>
      </c>
      <c r="E15702" s="5">
        <v>112.1</v>
      </c>
      <c r="F15702" s="5">
        <v>222.4</v>
      </c>
      <c r="G15702" s="5">
        <v>110.5</v>
      </c>
      <c r="H15702" s="5">
        <v>110.4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112</v>
      </c>
      <c r="D15703" s="5">
        <v>0.1</v>
      </c>
      <c r="E15703" s="5">
        <v>112.1</v>
      </c>
      <c r="F15703" s="5">
        <v>222.4</v>
      </c>
      <c r="G15703" s="5">
        <v>110.5</v>
      </c>
      <c r="H15703" s="5">
        <v>110.4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112</v>
      </c>
      <c r="D15704" s="5">
        <v>0.1</v>
      </c>
      <c r="E15704" s="5">
        <v>112.1</v>
      </c>
      <c r="F15704" s="5">
        <v>222.4</v>
      </c>
      <c r="G15704" s="5">
        <v>110.5</v>
      </c>
      <c r="H15704" s="5">
        <v>110.4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112</v>
      </c>
      <c r="D15705" s="5">
        <v>0.1</v>
      </c>
      <c r="E15705" s="5">
        <v>112.1</v>
      </c>
      <c r="F15705" s="5">
        <v>222.4</v>
      </c>
      <c r="G15705" s="5">
        <v>110.5</v>
      </c>
      <c r="H15705" s="5">
        <v>110.4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112</v>
      </c>
      <c r="D15706" s="5">
        <v>0.1</v>
      </c>
      <c r="E15706" s="5">
        <v>112.1</v>
      </c>
      <c r="F15706" s="5">
        <v>222.4</v>
      </c>
      <c r="G15706" s="5">
        <v>110.5</v>
      </c>
      <c r="H15706" s="5">
        <v>110.4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112</v>
      </c>
      <c r="D15707" s="5">
        <v>0.1</v>
      </c>
      <c r="E15707" s="5">
        <v>112.1</v>
      </c>
      <c r="F15707" s="5">
        <v>222.4</v>
      </c>
      <c r="G15707" s="5">
        <v>110.5</v>
      </c>
      <c r="H15707" s="5">
        <v>110.4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112</v>
      </c>
      <c r="D15708" s="5">
        <v>0.1</v>
      </c>
      <c r="E15708" s="5">
        <v>112.1</v>
      </c>
      <c r="F15708" s="5">
        <v>222.4</v>
      </c>
      <c r="G15708" s="5">
        <v>110.5</v>
      </c>
      <c r="H15708" s="5">
        <v>110.4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112</v>
      </c>
      <c r="D15709" s="5">
        <v>0.1</v>
      </c>
      <c r="E15709" s="5">
        <v>112.1</v>
      </c>
      <c r="F15709" s="5">
        <v>222.4</v>
      </c>
      <c r="G15709" s="5">
        <v>110.5</v>
      </c>
      <c r="H15709" s="5">
        <v>110.4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112</v>
      </c>
      <c r="D15710" s="5">
        <v>0.1</v>
      </c>
      <c r="E15710" s="5">
        <v>112.1</v>
      </c>
      <c r="F15710" s="5">
        <v>222.4</v>
      </c>
      <c r="G15710" s="5">
        <v>110.5</v>
      </c>
      <c r="H15710" s="5">
        <v>110.4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112</v>
      </c>
      <c r="D15711" s="5">
        <v>0.1</v>
      </c>
      <c r="E15711" s="5">
        <v>112.1</v>
      </c>
      <c r="F15711" s="5">
        <v>222.4</v>
      </c>
      <c r="G15711" s="5">
        <v>110.5</v>
      </c>
      <c r="H15711" s="5">
        <v>110.4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112</v>
      </c>
      <c r="D15712" s="5">
        <v>0.1</v>
      </c>
      <c r="E15712" s="5">
        <v>112.1</v>
      </c>
      <c r="F15712" s="5">
        <v>222.4</v>
      </c>
      <c r="G15712" s="5">
        <v>110.5</v>
      </c>
      <c r="H15712" s="5">
        <v>110.4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112</v>
      </c>
      <c r="D15713" s="5">
        <v>0.1</v>
      </c>
      <c r="E15713" s="5">
        <v>112.1</v>
      </c>
      <c r="F15713" s="5">
        <v>222.4</v>
      </c>
      <c r="G15713" s="5">
        <v>110.5</v>
      </c>
      <c r="H15713" s="5">
        <v>110.4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112</v>
      </c>
      <c r="D15714" s="5">
        <v>0.1</v>
      </c>
      <c r="E15714" s="5">
        <v>112.1</v>
      </c>
      <c r="F15714" s="5">
        <v>222.4</v>
      </c>
      <c r="G15714" s="5">
        <v>110.5</v>
      </c>
      <c r="H15714" s="5">
        <v>110.4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112</v>
      </c>
      <c r="D15715" s="5">
        <v>0.1</v>
      </c>
      <c r="E15715" s="5">
        <v>112.1</v>
      </c>
      <c r="F15715" s="5">
        <v>222.4</v>
      </c>
      <c r="G15715" s="5">
        <v>110.5</v>
      </c>
      <c r="H15715" s="5">
        <v>110.4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112</v>
      </c>
      <c r="D15716" s="5">
        <v>0.1</v>
      </c>
      <c r="E15716" s="5">
        <v>112.1</v>
      </c>
      <c r="F15716" s="5">
        <v>222.4</v>
      </c>
      <c r="G15716" s="5">
        <v>110.5</v>
      </c>
      <c r="H15716" s="5">
        <v>110.4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112</v>
      </c>
      <c r="D15717" s="5">
        <v>0.1</v>
      </c>
      <c r="E15717" s="5">
        <v>112.1</v>
      </c>
      <c r="F15717" s="5">
        <v>222.4</v>
      </c>
      <c r="G15717" s="5">
        <v>110.5</v>
      </c>
      <c r="H15717" s="5">
        <v>110.4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112</v>
      </c>
      <c r="D15718" s="5">
        <v>0.1</v>
      </c>
      <c r="E15718" s="5">
        <v>112.1</v>
      </c>
      <c r="F15718" s="5">
        <v>222.4</v>
      </c>
      <c r="G15718" s="5">
        <v>110.5</v>
      </c>
      <c r="H15718" s="5">
        <v>110.4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112</v>
      </c>
      <c r="D15719" s="5">
        <v>0.1</v>
      </c>
      <c r="E15719" s="5">
        <v>112.1</v>
      </c>
      <c r="F15719" s="5">
        <v>222.4</v>
      </c>
      <c r="G15719" s="5">
        <v>110.5</v>
      </c>
      <c r="H15719" s="5">
        <v>110.4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112</v>
      </c>
      <c r="D15720" s="5">
        <v>0.1</v>
      </c>
      <c r="E15720" s="5">
        <v>112.1</v>
      </c>
      <c r="F15720" s="5">
        <v>222.4</v>
      </c>
      <c r="G15720" s="5">
        <v>110.5</v>
      </c>
      <c r="H15720" s="5">
        <v>110.4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112</v>
      </c>
      <c r="D15721" s="5">
        <v>0.1</v>
      </c>
      <c r="E15721" s="5">
        <v>112.1</v>
      </c>
      <c r="F15721" s="5">
        <v>222.4</v>
      </c>
      <c r="G15721" s="5">
        <v>110.5</v>
      </c>
      <c r="H15721" s="5">
        <v>110.4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112</v>
      </c>
      <c r="D15722" s="5">
        <v>0.1</v>
      </c>
      <c r="E15722" s="5">
        <v>112.1</v>
      </c>
      <c r="F15722" s="5">
        <v>222.4</v>
      </c>
      <c r="G15722" s="5">
        <v>110.5</v>
      </c>
      <c r="H15722" s="5">
        <v>110.4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112</v>
      </c>
      <c r="D15723" s="5">
        <v>0.1</v>
      </c>
      <c r="E15723" s="5">
        <v>112.1</v>
      </c>
      <c r="F15723" s="5">
        <v>222.4</v>
      </c>
      <c r="G15723" s="5">
        <v>110.5</v>
      </c>
      <c r="H15723" s="5">
        <v>110.4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112</v>
      </c>
      <c r="D15724" s="5">
        <v>0.1</v>
      </c>
      <c r="E15724" s="5">
        <v>112.1</v>
      </c>
      <c r="F15724" s="5">
        <v>222.4</v>
      </c>
      <c r="G15724" s="5">
        <v>110.5</v>
      </c>
      <c r="H15724" s="5">
        <v>110.4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112</v>
      </c>
      <c r="D15725" s="5">
        <v>0.1</v>
      </c>
      <c r="E15725" s="5">
        <v>112.1</v>
      </c>
      <c r="F15725" s="5">
        <v>222.4</v>
      </c>
      <c r="G15725" s="5">
        <v>110.5</v>
      </c>
      <c r="H15725" s="5">
        <v>110.4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112</v>
      </c>
      <c r="D15726" s="5">
        <v>0.1</v>
      </c>
      <c r="E15726" s="5">
        <v>112.1</v>
      </c>
      <c r="F15726" s="5">
        <v>222.4</v>
      </c>
      <c r="G15726" s="5">
        <v>110.5</v>
      </c>
      <c r="H15726" s="5">
        <v>110.4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112</v>
      </c>
      <c r="D15727" s="5">
        <v>0.1</v>
      </c>
      <c r="E15727" s="5">
        <v>112.1</v>
      </c>
      <c r="F15727" s="5">
        <v>222.4</v>
      </c>
      <c r="G15727" s="5">
        <v>110.5</v>
      </c>
      <c r="H15727" s="5">
        <v>110.4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112</v>
      </c>
      <c r="D15728" s="5">
        <v>0.1</v>
      </c>
      <c r="E15728" s="5">
        <v>112.1</v>
      </c>
      <c r="F15728" s="5">
        <v>222.4</v>
      </c>
      <c r="G15728" s="5">
        <v>110.5</v>
      </c>
      <c r="H15728" s="5">
        <v>110.4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112</v>
      </c>
      <c r="D15729" s="5">
        <v>0.1</v>
      </c>
      <c r="E15729" s="5">
        <v>112.1</v>
      </c>
      <c r="F15729" s="5">
        <v>222.4</v>
      </c>
      <c r="G15729" s="5">
        <v>110.5</v>
      </c>
      <c r="H15729" s="5">
        <v>110.4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112</v>
      </c>
      <c r="D15730" s="5">
        <v>0.1</v>
      </c>
      <c r="E15730" s="5">
        <v>112.1</v>
      </c>
      <c r="F15730" s="5">
        <v>222.4</v>
      </c>
      <c r="G15730" s="5">
        <v>110.5</v>
      </c>
      <c r="H15730" s="5">
        <v>110.4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112</v>
      </c>
      <c r="D15731" s="5">
        <v>0.1</v>
      </c>
      <c r="E15731" s="5">
        <v>112.1</v>
      </c>
      <c r="F15731" s="5">
        <v>222.4</v>
      </c>
      <c r="G15731" s="5">
        <v>110.5</v>
      </c>
      <c r="H15731" s="5">
        <v>110.4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112</v>
      </c>
      <c r="D15732" s="5">
        <v>0.1</v>
      </c>
      <c r="E15732" s="5">
        <v>112.1</v>
      </c>
      <c r="F15732" s="5">
        <v>222.4</v>
      </c>
      <c r="G15732" s="5">
        <v>110.5</v>
      </c>
      <c r="H15732" s="5">
        <v>110.4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112</v>
      </c>
      <c r="D15733" s="5">
        <v>0.1</v>
      </c>
      <c r="E15733" s="5">
        <v>112.1</v>
      </c>
      <c r="F15733" s="5">
        <v>222.4</v>
      </c>
      <c r="G15733" s="5">
        <v>110.5</v>
      </c>
      <c r="H15733" s="5">
        <v>110.4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112</v>
      </c>
      <c r="D15734" s="5">
        <v>0.1</v>
      </c>
      <c r="E15734" s="5">
        <v>112.1</v>
      </c>
      <c r="F15734" s="5">
        <v>222.4</v>
      </c>
      <c r="G15734" s="5">
        <v>110.5</v>
      </c>
      <c r="H15734" s="5">
        <v>110.4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112</v>
      </c>
      <c r="D15735" s="5">
        <v>0.1</v>
      </c>
      <c r="E15735" s="5">
        <v>112.1</v>
      </c>
      <c r="F15735" s="5">
        <v>222.4</v>
      </c>
      <c r="G15735" s="5">
        <v>110.5</v>
      </c>
      <c r="H15735" s="5">
        <v>110.4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112</v>
      </c>
      <c r="D15736" s="5">
        <v>0.1</v>
      </c>
      <c r="E15736" s="5">
        <v>112.1</v>
      </c>
      <c r="F15736" s="5">
        <v>222.4</v>
      </c>
      <c r="G15736" s="5">
        <v>110.5</v>
      </c>
      <c r="H15736" s="5">
        <v>110.4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112</v>
      </c>
      <c r="D15737" s="5">
        <v>0.1</v>
      </c>
      <c r="E15737" s="5">
        <v>112.1</v>
      </c>
      <c r="F15737" s="5">
        <v>222.4</v>
      </c>
      <c r="G15737" s="5">
        <v>110.5</v>
      </c>
      <c r="H15737" s="5">
        <v>110.4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112</v>
      </c>
      <c r="D15738" s="5">
        <v>0.1</v>
      </c>
      <c r="E15738" s="5">
        <v>112.1</v>
      </c>
      <c r="F15738" s="5">
        <v>222.4</v>
      </c>
      <c r="G15738" s="5">
        <v>110.5</v>
      </c>
      <c r="H15738" s="5">
        <v>110.4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112</v>
      </c>
      <c r="D15739" s="5">
        <v>0.1</v>
      </c>
      <c r="E15739" s="5">
        <v>112.1</v>
      </c>
      <c r="F15739" s="5">
        <v>222.4</v>
      </c>
      <c r="G15739" s="5">
        <v>110.5</v>
      </c>
      <c r="H15739" s="5">
        <v>110.4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112</v>
      </c>
      <c r="D15740" s="5">
        <v>0.1</v>
      </c>
      <c r="E15740" s="5">
        <v>112.1</v>
      </c>
      <c r="F15740" s="5">
        <v>222.4</v>
      </c>
      <c r="G15740" s="5">
        <v>110.5</v>
      </c>
      <c r="H15740" s="5">
        <v>110.4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112</v>
      </c>
      <c r="D15741" s="5">
        <v>0.1</v>
      </c>
      <c r="E15741" s="5">
        <v>112.1</v>
      </c>
      <c r="F15741" s="5">
        <v>222.4</v>
      </c>
      <c r="G15741" s="5">
        <v>110.5</v>
      </c>
      <c r="H15741" s="5">
        <v>110.4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112</v>
      </c>
      <c r="D15742" s="5">
        <v>0.1</v>
      </c>
      <c r="E15742" s="5">
        <v>112.1</v>
      </c>
      <c r="F15742" s="5">
        <v>222.4</v>
      </c>
      <c r="G15742" s="5">
        <v>110.5</v>
      </c>
      <c r="H15742" s="5">
        <v>110.4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112</v>
      </c>
      <c r="D15743" s="5">
        <v>0.1</v>
      </c>
      <c r="E15743" s="5">
        <v>112.1</v>
      </c>
      <c r="F15743" s="5">
        <v>222.4</v>
      </c>
      <c r="G15743" s="5">
        <v>110.5</v>
      </c>
      <c r="H15743" s="5">
        <v>110.4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112</v>
      </c>
      <c r="D15744" s="5">
        <v>0.1</v>
      </c>
      <c r="E15744" s="5">
        <v>112.1</v>
      </c>
      <c r="F15744" s="5">
        <v>222.4</v>
      </c>
      <c r="G15744" s="5">
        <v>110.5</v>
      </c>
      <c r="H15744" s="5">
        <v>110.4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112</v>
      </c>
      <c r="D15745" s="5">
        <v>0.1</v>
      </c>
      <c r="E15745" s="5">
        <v>112.1</v>
      </c>
      <c r="F15745" s="5">
        <v>222.4</v>
      </c>
      <c r="G15745" s="5">
        <v>110.5</v>
      </c>
      <c r="H15745" s="5">
        <v>110.4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112</v>
      </c>
      <c r="D15746" s="5">
        <v>0.1</v>
      </c>
      <c r="E15746" s="5">
        <v>112.1</v>
      </c>
      <c r="F15746" s="5">
        <v>222.4</v>
      </c>
      <c r="G15746" s="5">
        <v>110.5</v>
      </c>
      <c r="H15746" s="5">
        <v>110.4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112</v>
      </c>
      <c r="D15747" s="5">
        <v>0.1</v>
      </c>
      <c r="E15747" s="5">
        <v>112.1</v>
      </c>
      <c r="F15747" s="5">
        <v>222.4</v>
      </c>
      <c r="G15747" s="5">
        <v>110.5</v>
      </c>
      <c r="H15747" s="5">
        <v>110.4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112</v>
      </c>
      <c r="D15748" s="5">
        <v>0.1</v>
      </c>
      <c r="E15748" s="5">
        <v>112.1</v>
      </c>
      <c r="F15748" s="5">
        <v>222.4</v>
      </c>
      <c r="G15748" s="5">
        <v>110.5</v>
      </c>
      <c r="H15748" s="5">
        <v>110.4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112</v>
      </c>
      <c r="D15749" s="5">
        <v>0.1</v>
      </c>
      <c r="E15749" s="5">
        <v>112.1</v>
      </c>
      <c r="F15749" s="5">
        <v>222.4</v>
      </c>
      <c r="G15749" s="5">
        <v>110.5</v>
      </c>
      <c r="H15749" s="5">
        <v>110.4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112</v>
      </c>
      <c r="D15750" s="5">
        <v>0.1</v>
      </c>
      <c r="E15750" s="5">
        <v>112.1</v>
      </c>
      <c r="F15750" s="5">
        <v>222.4</v>
      </c>
      <c r="G15750" s="5">
        <v>110.5</v>
      </c>
      <c r="H15750" s="5">
        <v>110.4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112</v>
      </c>
      <c r="D15751" s="5">
        <v>0.1</v>
      </c>
      <c r="E15751" s="5">
        <v>112.1</v>
      </c>
      <c r="F15751" s="5">
        <v>222.4</v>
      </c>
      <c r="G15751" s="5">
        <v>110.5</v>
      </c>
      <c r="H15751" s="5">
        <v>110.4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112</v>
      </c>
      <c r="D15752" s="5">
        <v>0.1</v>
      </c>
      <c r="E15752" s="5">
        <v>112.1</v>
      </c>
      <c r="F15752" s="5">
        <v>222.4</v>
      </c>
      <c r="G15752" s="5">
        <v>110.5</v>
      </c>
      <c r="H15752" s="5">
        <v>110.4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112</v>
      </c>
      <c r="D15753" s="5">
        <v>0.1</v>
      </c>
      <c r="E15753" s="5">
        <v>112.1</v>
      </c>
      <c r="F15753" s="5">
        <v>222.4</v>
      </c>
      <c r="G15753" s="5">
        <v>110.5</v>
      </c>
      <c r="H15753" s="5">
        <v>110.4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112</v>
      </c>
      <c r="D15754" s="5">
        <v>0.1</v>
      </c>
      <c r="E15754" s="5">
        <v>112.1</v>
      </c>
      <c r="F15754" s="5">
        <v>222.4</v>
      </c>
      <c r="G15754" s="5">
        <v>110.5</v>
      </c>
      <c r="H15754" s="5">
        <v>110.4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112</v>
      </c>
      <c r="D15755" s="5">
        <v>0.1</v>
      </c>
      <c r="E15755" s="5">
        <v>112.1</v>
      </c>
      <c r="F15755" s="5">
        <v>222.4</v>
      </c>
      <c r="G15755" s="5">
        <v>110.5</v>
      </c>
      <c r="H15755" s="5">
        <v>110.4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112</v>
      </c>
      <c r="D15756" s="5">
        <v>0.1</v>
      </c>
      <c r="E15756" s="5">
        <v>112.1</v>
      </c>
      <c r="F15756" s="5">
        <v>222.4</v>
      </c>
      <c r="G15756" s="5">
        <v>110.5</v>
      </c>
      <c r="H15756" s="5">
        <v>110.4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112</v>
      </c>
      <c r="D15757" s="5">
        <v>0.1</v>
      </c>
      <c r="E15757" s="5">
        <v>112.1</v>
      </c>
      <c r="F15757" s="5">
        <v>222.4</v>
      </c>
      <c r="G15757" s="5">
        <v>110.5</v>
      </c>
      <c r="H15757" s="5">
        <v>110.4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112</v>
      </c>
      <c r="D15758" s="5">
        <v>0.1</v>
      </c>
      <c r="E15758" s="5">
        <v>112.1</v>
      </c>
      <c r="F15758" s="5">
        <v>222.4</v>
      </c>
      <c r="G15758" s="5">
        <v>110.5</v>
      </c>
      <c r="H15758" s="5">
        <v>110.4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112</v>
      </c>
      <c r="D15759" s="5">
        <v>0.1</v>
      </c>
      <c r="E15759" s="5">
        <v>112.1</v>
      </c>
      <c r="F15759" s="5">
        <v>222.4</v>
      </c>
      <c r="G15759" s="5">
        <v>110.5</v>
      </c>
      <c r="H15759" s="5">
        <v>110.4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112</v>
      </c>
      <c r="D15760" s="5">
        <v>0.1</v>
      </c>
      <c r="E15760" s="5">
        <v>112.1</v>
      </c>
      <c r="F15760" s="5">
        <v>222.4</v>
      </c>
      <c r="G15760" s="5">
        <v>110.5</v>
      </c>
      <c r="H15760" s="5">
        <v>110.4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112</v>
      </c>
      <c r="D15761" s="5">
        <v>0.1</v>
      </c>
      <c r="E15761" s="5">
        <v>112.1</v>
      </c>
      <c r="F15761" s="5">
        <v>222.4</v>
      </c>
      <c r="G15761" s="5">
        <v>110.5</v>
      </c>
      <c r="H15761" s="5">
        <v>110.4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112</v>
      </c>
      <c r="D15762" s="5">
        <v>0.1</v>
      </c>
      <c r="E15762" s="5">
        <v>112.1</v>
      </c>
      <c r="F15762" s="5">
        <v>222.4</v>
      </c>
      <c r="G15762" s="5">
        <v>110.5</v>
      </c>
      <c r="H15762" s="5">
        <v>110.4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112</v>
      </c>
      <c r="D15763" s="5">
        <v>0.1</v>
      </c>
      <c r="E15763" s="5">
        <v>112.1</v>
      </c>
      <c r="F15763" s="5">
        <v>222.4</v>
      </c>
      <c r="G15763" s="5">
        <v>110.5</v>
      </c>
      <c r="H15763" s="5">
        <v>110.4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112</v>
      </c>
      <c r="D15764" s="5">
        <v>0.1</v>
      </c>
      <c r="E15764" s="5">
        <v>112.1</v>
      </c>
      <c r="F15764" s="5">
        <v>222.4</v>
      </c>
      <c r="G15764" s="5">
        <v>110.5</v>
      </c>
      <c r="H15764" s="5">
        <v>110.4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112</v>
      </c>
      <c r="D15765" s="5">
        <v>0.1</v>
      </c>
      <c r="E15765" s="5">
        <v>112.1</v>
      </c>
      <c r="F15765" s="5">
        <v>222.4</v>
      </c>
      <c r="G15765" s="5">
        <v>110.5</v>
      </c>
      <c r="H15765" s="5">
        <v>110.4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112</v>
      </c>
      <c r="D15766" s="5">
        <v>0.1</v>
      </c>
      <c r="E15766" s="5">
        <v>112.1</v>
      </c>
      <c r="F15766" s="5">
        <v>222.4</v>
      </c>
      <c r="G15766" s="5">
        <v>110.5</v>
      </c>
      <c r="H15766" s="5">
        <v>110.4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112</v>
      </c>
      <c r="D15767" s="5">
        <v>0.1</v>
      </c>
      <c r="E15767" s="5">
        <v>112.1</v>
      </c>
      <c r="F15767" s="5">
        <v>222.4</v>
      </c>
      <c r="G15767" s="5">
        <v>110.5</v>
      </c>
      <c r="H15767" s="5">
        <v>110.4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112</v>
      </c>
      <c r="D15768" s="5">
        <v>0.1</v>
      </c>
      <c r="E15768" s="5">
        <v>112.1</v>
      </c>
      <c r="F15768" s="5">
        <v>222.4</v>
      </c>
      <c r="G15768" s="5">
        <v>110.5</v>
      </c>
      <c r="H15768" s="5">
        <v>110.4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112</v>
      </c>
      <c r="D15769" s="5">
        <v>0.1</v>
      </c>
      <c r="E15769" s="5">
        <v>112.1</v>
      </c>
      <c r="F15769" s="5">
        <v>222.4</v>
      </c>
      <c r="G15769" s="5">
        <v>110.5</v>
      </c>
      <c r="H15769" s="5">
        <v>110.4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112</v>
      </c>
      <c r="D15770" s="5">
        <v>0.1</v>
      </c>
      <c r="E15770" s="5">
        <v>112.1</v>
      </c>
      <c r="F15770" s="5">
        <v>222.4</v>
      </c>
      <c r="G15770" s="5">
        <v>110.5</v>
      </c>
      <c r="H15770" s="5">
        <v>110.4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112</v>
      </c>
      <c r="D15771" s="5">
        <v>0.1</v>
      </c>
      <c r="E15771" s="5">
        <v>112.1</v>
      </c>
      <c r="F15771" s="5">
        <v>222.4</v>
      </c>
      <c r="G15771" s="5">
        <v>110.5</v>
      </c>
      <c r="H15771" s="5">
        <v>110.4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112</v>
      </c>
      <c r="D15772" s="5">
        <v>0.1</v>
      </c>
      <c r="E15772" s="5">
        <v>112.1</v>
      </c>
      <c r="F15772" s="5">
        <v>222.4</v>
      </c>
      <c r="G15772" s="5">
        <v>110.5</v>
      </c>
      <c r="H15772" s="5">
        <v>110.4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112</v>
      </c>
      <c r="D15773" s="5">
        <v>0.1</v>
      </c>
      <c r="E15773" s="5">
        <v>112.1</v>
      </c>
      <c r="F15773" s="5">
        <v>222.4</v>
      </c>
      <c r="G15773" s="5">
        <v>110.5</v>
      </c>
      <c r="H15773" s="5">
        <v>110.4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112</v>
      </c>
      <c r="D15774" s="5">
        <v>0.1</v>
      </c>
      <c r="E15774" s="5">
        <v>112.1</v>
      </c>
      <c r="F15774" s="5">
        <v>222.4</v>
      </c>
      <c r="G15774" s="5">
        <v>110.5</v>
      </c>
      <c r="H15774" s="5">
        <v>110.4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112</v>
      </c>
      <c r="D15775" s="5">
        <v>0.1</v>
      </c>
      <c r="E15775" s="5">
        <v>112.1</v>
      </c>
      <c r="F15775" s="5">
        <v>222.4</v>
      </c>
      <c r="G15775" s="5">
        <v>110.5</v>
      </c>
      <c r="H15775" s="5">
        <v>110.4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112</v>
      </c>
      <c r="D15776" s="5">
        <v>0.1</v>
      </c>
      <c r="E15776" s="5">
        <v>112.1</v>
      </c>
      <c r="F15776" s="5">
        <v>222.4</v>
      </c>
      <c r="G15776" s="5">
        <v>110.5</v>
      </c>
      <c r="H15776" s="5">
        <v>110.4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112</v>
      </c>
      <c r="D15777" s="5">
        <v>0.1</v>
      </c>
      <c r="E15777" s="5">
        <v>112.1</v>
      </c>
      <c r="F15777" s="5">
        <v>222.4</v>
      </c>
      <c r="G15777" s="5">
        <v>110.5</v>
      </c>
      <c r="H15777" s="5">
        <v>110.4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112</v>
      </c>
      <c r="D15778" s="5">
        <v>0.1</v>
      </c>
      <c r="E15778" s="5">
        <v>112.1</v>
      </c>
      <c r="F15778" s="5">
        <v>222.4</v>
      </c>
      <c r="G15778" s="5">
        <v>110.5</v>
      </c>
      <c r="H15778" s="5">
        <v>110.4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112</v>
      </c>
      <c r="D15779" s="5">
        <v>0.1</v>
      </c>
      <c r="E15779" s="5">
        <v>112.1</v>
      </c>
      <c r="F15779" s="5">
        <v>222.4</v>
      </c>
      <c r="G15779" s="5">
        <v>110.5</v>
      </c>
      <c r="H15779" s="5">
        <v>110.4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112</v>
      </c>
      <c r="D15780" s="5">
        <v>0.1</v>
      </c>
      <c r="E15780" s="5">
        <v>112.1</v>
      </c>
      <c r="F15780" s="5">
        <v>222.4</v>
      </c>
      <c r="G15780" s="5">
        <v>110.5</v>
      </c>
      <c r="H15780" s="5">
        <v>110.4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112</v>
      </c>
      <c r="D15781" s="5">
        <v>0.1</v>
      </c>
      <c r="E15781" s="5">
        <v>112.1</v>
      </c>
      <c r="F15781" s="5">
        <v>222.4</v>
      </c>
      <c r="G15781" s="5">
        <v>110.5</v>
      </c>
      <c r="H15781" s="5">
        <v>110.4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112</v>
      </c>
      <c r="D15782" s="5">
        <v>0.1</v>
      </c>
      <c r="E15782" s="5">
        <v>112.1</v>
      </c>
      <c r="F15782" s="5">
        <v>222.4</v>
      </c>
      <c r="G15782" s="5">
        <v>110.5</v>
      </c>
      <c r="H15782" s="5">
        <v>110.4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112</v>
      </c>
      <c r="D15783" s="5">
        <v>0.1</v>
      </c>
      <c r="E15783" s="5">
        <v>112.1</v>
      </c>
      <c r="F15783" s="5">
        <v>222.4</v>
      </c>
      <c r="G15783" s="5">
        <v>110.5</v>
      </c>
      <c r="H15783" s="5">
        <v>110.4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112</v>
      </c>
      <c r="D15784" s="5">
        <v>0.1</v>
      </c>
      <c r="E15784" s="5">
        <v>112.1</v>
      </c>
      <c r="F15784" s="5">
        <v>222.4</v>
      </c>
      <c r="G15784" s="5">
        <v>110.5</v>
      </c>
      <c r="H15784" s="5">
        <v>110.4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112</v>
      </c>
      <c r="D15785" s="5">
        <v>0.1</v>
      </c>
      <c r="E15785" s="5">
        <v>112.1</v>
      </c>
      <c r="F15785" s="5">
        <v>222.4</v>
      </c>
      <c r="G15785" s="5">
        <v>110.5</v>
      </c>
      <c r="H15785" s="5">
        <v>110.4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112</v>
      </c>
      <c r="D15786" s="5">
        <v>0.1</v>
      </c>
      <c r="E15786" s="5">
        <v>112.1</v>
      </c>
      <c r="F15786" s="5">
        <v>222.4</v>
      </c>
      <c r="G15786" s="5">
        <v>110.5</v>
      </c>
      <c r="H15786" s="5">
        <v>110.4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112</v>
      </c>
      <c r="D15787" s="5">
        <v>0.1</v>
      </c>
      <c r="E15787" s="5">
        <v>112.1</v>
      </c>
      <c r="F15787" s="5">
        <v>222.4</v>
      </c>
      <c r="G15787" s="5">
        <v>110.5</v>
      </c>
      <c r="H15787" s="5">
        <v>110.4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112</v>
      </c>
      <c r="D15788" s="5">
        <v>0.1</v>
      </c>
      <c r="E15788" s="5">
        <v>112.1</v>
      </c>
      <c r="F15788" s="5">
        <v>222.4</v>
      </c>
      <c r="G15788" s="5">
        <v>110.5</v>
      </c>
      <c r="H15788" s="5">
        <v>110.4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112</v>
      </c>
      <c r="D15789" s="5">
        <v>0.1</v>
      </c>
      <c r="E15789" s="5">
        <v>112.1</v>
      </c>
      <c r="F15789" s="5">
        <v>222.4</v>
      </c>
      <c r="G15789" s="5">
        <v>110.5</v>
      </c>
      <c r="H15789" s="5">
        <v>110.4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112</v>
      </c>
      <c r="D15790" s="5">
        <v>0.1</v>
      </c>
      <c r="E15790" s="5">
        <v>112.1</v>
      </c>
      <c r="F15790" s="5">
        <v>222.4</v>
      </c>
      <c r="G15790" s="5">
        <v>110.5</v>
      </c>
      <c r="H15790" s="5">
        <v>110.4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112</v>
      </c>
      <c r="D15791" s="5">
        <v>0.1</v>
      </c>
      <c r="E15791" s="5">
        <v>112.1</v>
      </c>
      <c r="F15791" s="5">
        <v>222.4</v>
      </c>
      <c r="G15791" s="5">
        <v>110.5</v>
      </c>
      <c r="H15791" s="5">
        <v>110.4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112</v>
      </c>
      <c r="D15792" s="5">
        <v>0.1</v>
      </c>
      <c r="E15792" s="5">
        <v>112.1</v>
      </c>
      <c r="F15792" s="5">
        <v>222.4</v>
      </c>
      <c r="G15792" s="5">
        <v>110.5</v>
      </c>
      <c r="H15792" s="5">
        <v>110.4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112</v>
      </c>
      <c r="D15793" s="5">
        <v>0.1</v>
      </c>
      <c r="E15793" s="5">
        <v>112.1</v>
      </c>
      <c r="F15793" s="5">
        <v>222.4</v>
      </c>
      <c r="G15793" s="5">
        <v>110.5</v>
      </c>
      <c r="H15793" s="5">
        <v>110.4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112</v>
      </c>
      <c r="D15794" s="5">
        <v>0.1</v>
      </c>
      <c r="E15794" s="5">
        <v>112.1</v>
      </c>
      <c r="F15794" s="5">
        <v>222.4</v>
      </c>
      <c r="G15794" s="5">
        <v>110.5</v>
      </c>
      <c r="H15794" s="5">
        <v>110.4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112</v>
      </c>
      <c r="D15795" s="5">
        <v>0.1</v>
      </c>
      <c r="E15795" s="5">
        <v>112.1</v>
      </c>
      <c r="F15795" s="5">
        <v>222.4</v>
      </c>
      <c r="G15795" s="5">
        <v>110.5</v>
      </c>
      <c r="H15795" s="5">
        <v>110.4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112</v>
      </c>
      <c r="D15796" s="5">
        <v>0.1</v>
      </c>
      <c r="E15796" s="5">
        <v>112.1</v>
      </c>
      <c r="F15796" s="5">
        <v>222.4</v>
      </c>
      <c r="G15796" s="5">
        <v>110.5</v>
      </c>
      <c r="H15796" s="5">
        <v>110.4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112</v>
      </c>
      <c r="D15797" s="5">
        <v>0.1</v>
      </c>
      <c r="E15797" s="5">
        <v>112.1</v>
      </c>
      <c r="F15797" s="5">
        <v>222.4</v>
      </c>
      <c r="G15797" s="5">
        <v>110.5</v>
      </c>
      <c r="H15797" s="5">
        <v>110.4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112</v>
      </c>
      <c r="D15798" s="5">
        <v>0.1</v>
      </c>
      <c r="E15798" s="5">
        <v>112.1</v>
      </c>
      <c r="F15798" s="5">
        <v>222.4</v>
      </c>
      <c r="G15798" s="5">
        <v>110.5</v>
      </c>
      <c r="H15798" s="5">
        <v>110.4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112</v>
      </c>
      <c r="D15799" s="5">
        <v>0.1</v>
      </c>
      <c r="E15799" s="5">
        <v>112.1</v>
      </c>
      <c r="F15799" s="5">
        <v>222.4</v>
      </c>
      <c r="G15799" s="5">
        <v>110.5</v>
      </c>
      <c r="H15799" s="5">
        <v>110.4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112</v>
      </c>
      <c r="D15800" s="5">
        <v>0.1</v>
      </c>
      <c r="E15800" s="5">
        <v>112.1</v>
      </c>
      <c r="F15800" s="5">
        <v>222.4</v>
      </c>
      <c r="G15800" s="5">
        <v>110.5</v>
      </c>
      <c r="H15800" s="5">
        <v>110.4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112</v>
      </c>
      <c r="D15801" s="5">
        <v>0.1</v>
      </c>
      <c r="E15801" s="5">
        <v>112.1</v>
      </c>
      <c r="F15801" s="5">
        <v>222.4</v>
      </c>
      <c r="G15801" s="5">
        <v>110.5</v>
      </c>
      <c r="H15801" s="5">
        <v>110.4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112</v>
      </c>
      <c r="D15802" s="5">
        <v>0.1</v>
      </c>
      <c r="E15802" s="5">
        <v>112.1</v>
      </c>
      <c r="F15802" s="5">
        <v>222.4</v>
      </c>
      <c r="G15802" s="5">
        <v>110.5</v>
      </c>
      <c r="H15802" s="5">
        <v>110.4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112</v>
      </c>
      <c r="D15803" s="5">
        <v>0.1</v>
      </c>
      <c r="E15803" s="5">
        <v>112.1</v>
      </c>
      <c r="F15803" s="5">
        <v>222.4</v>
      </c>
      <c r="G15803" s="5">
        <v>110.5</v>
      </c>
      <c r="H15803" s="5">
        <v>110.4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112</v>
      </c>
      <c r="D15804" s="5">
        <v>0.1</v>
      </c>
      <c r="E15804" s="5">
        <v>112.1</v>
      </c>
      <c r="F15804" s="5">
        <v>222.4</v>
      </c>
      <c r="G15804" s="5">
        <v>110.5</v>
      </c>
      <c r="H15804" s="5">
        <v>110.4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112</v>
      </c>
      <c r="D15805" s="5">
        <v>0.1</v>
      </c>
      <c r="E15805" s="5">
        <v>112.1</v>
      </c>
      <c r="F15805" s="5">
        <v>222.4</v>
      </c>
      <c r="G15805" s="5">
        <v>110.5</v>
      </c>
      <c r="H15805" s="5">
        <v>110.4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112</v>
      </c>
      <c r="D15806" s="5">
        <v>0.1</v>
      </c>
      <c r="E15806" s="5">
        <v>112.1</v>
      </c>
      <c r="F15806" s="5">
        <v>222.4</v>
      </c>
      <c r="G15806" s="5">
        <v>110.5</v>
      </c>
      <c r="H15806" s="5">
        <v>110.4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112</v>
      </c>
      <c r="D15807" s="5">
        <v>0.1</v>
      </c>
      <c r="E15807" s="5">
        <v>112.1</v>
      </c>
      <c r="F15807" s="5">
        <v>222.4</v>
      </c>
      <c r="G15807" s="5">
        <v>110.5</v>
      </c>
      <c r="H15807" s="5">
        <v>110.4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112</v>
      </c>
      <c r="D15808" s="5">
        <v>0.1</v>
      </c>
      <c r="E15808" s="5">
        <v>112.1</v>
      </c>
      <c r="F15808" s="5">
        <v>222.4</v>
      </c>
      <c r="G15808" s="5">
        <v>110.5</v>
      </c>
      <c r="H15808" s="5">
        <v>110.4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112</v>
      </c>
      <c r="D15809" s="5">
        <v>0.1</v>
      </c>
      <c r="E15809" s="5">
        <v>112.1</v>
      </c>
      <c r="F15809" s="5">
        <v>222.4</v>
      </c>
      <c r="G15809" s="5">
        <v>110.5</v>
      </c>
      <c r="H15809" s="5">
        <v>110.4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112</v>
      </c>
      <c r="D15810" s="5">
        <v>0.1</v>
      </c>
      <c r="E15810" s="5">
        <v>112.1</v>
      </c>
      <c r="F15810" s="5">
        <v>222.4</v>
      </c>
      <c r="G15810" s="5">
        <v>110.5</v>
      </c>
      <c r="H15810" s="5">
        <v>110.4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112</v>
      </c>
      <c r="D15811" s="5">
        <v>0.1</v>
      </c>
      <c r="E15811" s="5">
        <v>112.1</v>
      </c>
      <c r="F15811" s="5">
        <v>222.4</v>
      </c>
      <c r="G15811" s="5">
        <v>110.5</v>
      </c>
      <c r="H15811" s="5">
        <v>110.4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112</v>
      </c>
      <c r="D15812" s="5">
        <v>0.1</v>
      </c>
      <c r="E15812" s="5">
        <v>112.1</v>
      </c>
      <c r="F15812" s="5">
        <v>222.4</v>
      </c>
      <c r="G15812" s="5">
        <v>110.5</v>
      </c>
      <c r="H15812" s="5">
        <v>110.4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112</v>
      </c>
      <c r="D15813" s="5">
        <v>0.1</v>
      </c>
      <c r="E15813" s="5">
        <v>112.1</v>
      </c>
      <c r="F15813" s="5">
        <v>222.4</v>
      </c>
      <c r="G15813" s="5">
        <v>110.5</v>
      </c>
      <c r="H15813" s="5">
        <v>110.4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112</v>
      </c>
      <c r="D15814" s="5">
        <v>0.1</v>
      </c>
      <c r="E15814" s="5">
        <v>112.1</v>
      </c>
      <c r="F15814" s="5">
        <v>222.4</v>
      </c>
      <c r="G15814" s="5">
        <v>110.5</v>
      </c>
      <c r="H15814" s="5">
        <v>110.4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112</v>
      </c>
      <c r="D15815" s="5">
        <v>0.1</v>
      </c>
      <c r="E15815" s="5">
        <v>112.1</v>
      </c>
      <c r="F15815" s="5">
        <v>222.4</v>
      </c>
      <c r="G15815" s="5">
        <v>110.5</v>
      </c>
      <c r="H15815" s="5">
        <v>110.4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112</v>
      </c>
      <c r="D15816" s="5">
        <v>0.1</v>
      </c>
      <c r="E15816" s="5">
        <v>112.1</v>
      </c>
      <c r="F15816" s="5">
        <v>222.4</v>
      </c>
      <c r="G15816" s="5">
        <v>110.5</v>
      </c>
      <c r="H15816" s="5">
        <v>110.4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112</v>
      </c>
      <c r="D15817" s="5">
        <v>0.1</v>
      </c>
      <c r="E15817" s="5">
        <v>112.1</v>
      </c>
      <c r="F15817" s="5">
        <v>222.4</v>
      </c>
      <c r="G15817" s="5">
        <v>110.5</v>
      </c>
      <c r="H15817" s="5">
        <v>110.4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112</v>
      </c>
      <c r="D15818" s="5">
        <v>0.1</v>
      </c>
      <c r="E15818" s="5">
        <v>112.1</v>
      </c>
      <c r="F15818" s="5">
        <v>222.4</v>
      </c>
      <c r="G15818" s="5">
        <v>110.5</v>
      </c>
      <c r="H15818" s="5">
        <v>110.4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112</v>
      </c>
      <c r="D15819" s="5">
        <v>0.1</v>
      </c>
      <c r="E15819" s="5">
        <v>112.1</v>
      </c>
      <c r="F15819" s="5">
        <v>222.4</v>
      </c>
      <c r="G15819" s="5">
        <v>110.5</v>
      </c>
      <c r="H15819" s="5">
        <v>110.4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112</v>
      </c>
      <c r="D15820" s="5">
        <v>0.1</v>
      </c>
      <c r="E15820" s="5">
        <v>112.1</v>
      </c>
      <c r="F15820" s="5">
        <v>222.4</v>
      </c>
      <c r="G15820" s="5">
        <v>110.5</v>
      </c>
      <c r="H15820" s="5">
        <v>110.4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112</v>
      </c>
      <c r="D15821" s="5">
        <v>0.1</v>
      </c>
      <c r="E15821" s="5">
        <v>112.1</v>
      </c>
      <c r="F15821" s="5">
        <v>222.4</v>
      </c>
      <c r="G15821" s="5">
        <v>110.5</v>
      </c>
      <c r="H15821" s="5">
        <v>110.4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112</v>
      </c>
      <c r="D15822" s="5">
        <v>0.1</v>
      </c>
      <c r="E15822" s="5">
        <v>112.1</v>
      </c>
      <c r="F15822" s="5">
        <v>222.4</v>
      </c>
      <c r="G15822" s="5">
        <v>110.5</v>
      </c>
      <c r="H15822" s="5">
        <v>110.4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112</v>
      </c>
      <c r="D15823" s="5">
        <v>0.1</v>
      </c>
      <c r="E15823" s="5">
        <v>112.1</v>
      </c>
      <c r="F15823" s="5">
        <v>222.4</v>
      </c>
      <c r="G15823" s="5">
        <v>110.5</v>
      </c>
      <c r="H15823" s="5">
        <v>110.4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112</v>
      </c>
      <c r="D15824" s="5">
        <v>0.1</v>
      </c>
      <c r="E15824" s="5">
        <v>112.1</v>
      </c>
      <c r="F15824" s="5">
        <v>222.4</v>
      </c>
      <c r="G15824" s="5">
        <v>110.5</v>
      </c>
      <c r="H15824" s="5">
        <v>110.4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112</v>
      </c>
      <c r="D15825" s="5">
        <v>0.1</v>
      </c>
      <c r="E15825" s="5">
        <v>112.1</v>
      </c>
      <c r="F15825" s="5">
        <v>222.4</v>
      </c>
      <c r="G15825" s="5">
        <v>110.5</v>
      </c>
      <c r="H15825" s="5">
        <v>110.4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112</v>
      </c>
      <c r="D15826" s="5">
        <v>0.1</v>
      </c>
      <c r="E15826" s="5">
        <v>112.1</v>
      </c>
      <c r="F15826" s="5">
        <v>222.4</v>
      </c>
      <c r="G15826" s="5">
        <v>110.5</v>
      </c>
      <c r="H15826" s="5">
        <v>110.4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112</v>
      </c>
      <c r="D15827" s="5">
        <v>0.1</v>
      </c>
      <c r="E15827" s="5">
        <v>112.1</v>
      </c>
      <c r="F15827" s="5">
        <v>222.4</v>
      </c>
      <c r="G15827" s="5">
        <v>110.5</v>
      </c>
      <c r="H15827" s="5">
        <v>110.4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112</v>
      </c>
      <c r="D15828" s="5">
        <v>0.1</v>
      </c>
      <c r="E15828" s="5">
        <v>112.1</v>
      </c>
      <c r="F15828" s="5">
        <v>222.4</v>
      </c>
      <c r="G15828" s="5">
        <v>110.5</v>
      </c>
      <c r="H15828" s="5">
        <v>110.4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112</v>
      </c>
      <c r="D15829" s="5">
        <v>0.1</v>
      </c>
      <c r="E15829" s="5">
        <v>112.1</v>
      </c>
      <c r="F15829" s="5">
        <v>222.4</v>
      </c>
      <c r="G15829" s="5">
        <v>110.5</v>
      </c>
      <c r="H15829" s="5">
        <v>110.4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112</v>
      </c>
      <c r="D15830" s="5">
        <v>0.1</v>
      </c>
      <c r="E15830" s="5">
        <v>112.1</v>
      </c>
      <c r="F15830" s="5">
        <v>222.4</v>
      </c>
      <c r="G15830" s="5">
        <v>110.5</v>
      </c>
      <c r="H15830" s="5">
        <v>110.4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112</v>
      </c>
      <c r="D15831" s="5">
        <v>0.1</v>
      </c>
      <c r="E15831" s="5">
        <v>112.1</v>
      </c>
      <c r="F15831" s="5">
        <v>222.4</v>
      </c>
      <c r="G15831" s="5">
        <v>110.5</v>
      </c>
      <c r="H15831" s="5">
        <v>110.4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112</v>
      </c>
      <c r="D15832" s="5">
        <v>0.1</v>
      </c>
      <c r="E15832" s="5">
        <v>112.1</v>
      </c>
      <c r="F15832" s="5">
        <v>222.4</v>
      </c>
      <c r="G15832" s="5">
        <v>110.5</v>
      </c>
      <c r="H15832" s="5">
        <v>110.4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112</v>
      </c>
      <c r="D15833" s="5">
        <v>0.1</v>
      </c>
      <c r="E15833" s="5">
        <v>112.1</v>
      </c>
      <c r="F15833" s="5">
        <v>222.4</v>
      </c>
      <c r="G15833" s="5">
        <v>110.5</v>
      </c>
      <c r="H15833" s="5">
        <v>110.4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112</v>
      </c>
      <c r="D15834" s="5">
        <v>0.1</v>
      </c>
      <c r="E15834" s="5">
        <v>112.1</v>
      </c>
      <c r="F15834" s="5">
        <v>222.4</v>
      </c>
      <c r="G15834" s="5">
        <v>110.5</v>
      </c>
      <c r="H15834" s="5">
        <v>110.4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112</v>
      </c>
      <c r="D15835" s="5">
        <v>0.1</v>
      </c>
      <c r="E15835" s="5">
        <v>112.1</v>
      </c>
      <c r="F15835" s="5">
        <v>222.4</v>
      </c>
      <c r="G15835" s="5">
        <v>110.5</v>
      </c>
      <c r="H15835" s="5">
        <v>110.4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112</v>
      </c>
      <c r="D15836" s="5">
        <v>0.1</v>
      </c>
      <c r="E15836" s="5">
        <v>112.1</v>
      </c>
      <c r="F15836" s="5">
        <v>222.4</v>
      </c>
      <c r="G15836" s="5">
        <v>110.5</v>
      </c>
      <c r="H15836" s="5">
        <v>110.4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112</v>
      </c>
      <c r="D15837" s="5">
        <v>0.1</v>
      </c>
      <c r="E15837" s="5">
        <v>112.1</v>
      </c>
      <c r="F15837" s="5">
        <v>222.4</v>
      </c>
      <c r="G15837" s="5">
        <v>110.5</v>
      </c>
      <c r="H15837" s="5">
        <v>110.4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112</v>
      </c>
      <c r="D15838" s="5">
        <v>0.1</v>
      </c>
      <c r="E15838" s="5">
        <v>112.1</v>
      </c>
      <c r="F15838" s="5">
        <v>222.4</v>
      </c>
      <c r="G15838" s="5">
        <v>110.5</v>
      </c>
      <c r="H15838" s="5">
        <v>110.4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112</v>
      </c>
      <c r="D15839" s="5">
        <v>0.1</v>
      </c>
      <c r="E15839" s="5">
        <v>112.1</v>
      </c>
      <c r="F15839" s="5">
        <v>222.4</v>
      </c>
      <c r="G15839" s="5">
        <v>110.5</v>
      </c>
      <c r="H15839" s="5">
        <v>110.4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112</v>
      </c>
      <c r="D15840" s="5">
        <v>0.1</v>
      </c>
      <c r="E15840" s="5">
        <v>112.1</v>
      </c>
      <c r="F15840" s="5">
        <v>222.4</v>
      </c>
      <c r="G15840" s="5">
        <v>110.5</v>
      </c>
      <c r="H15840" s="5">
        <v>110.4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112</v>
      </c>
      <c r="D15841" s="5">
        <v>0.1</v>
      </c>
      <c r="E15841" s="5">
        <v>112.1</v>
      </c>
      <c r="F15841" s="5">
        <v>222.4</v>
      </c>
      <c r="G15841" s="5">
        <v>110.5</v>
      </c>
      <c r="H15841" s="5">
        <v>110.4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112</v>
      </c>
      <c r="D15842" s="5">
        <v>0.1</v>
      </c>
      <c r="E15842" s="5">
        <v>112.1</v>
      </c>
      <c r="F15842" s="5">
        <v>222.4</v>
      </c>
      <c r="G15842" s="5">
        <v>110.5</v>
      </c>
      <c r="H15842" s="5">
        <v>110.4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112</v>
      </c>
      <c r="D15843" s="5">
        <v>0.1</v>
      </c>
      <c r="E15843" s="5">
        <v>112.1</v>
      </c>
      <c r="F15843" s="5">
        <v>222.4</v>
      </c>
      <c r="G15843" s="5">
        <v>110.5</v>
      </c>
      <c r="H15843" s="5">
        <v>110.4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112</v>
      </c>
      <c r="D15844" s="5">
        <v>0.1</v>
      </c>
      <c r="E15844" s="5">
        <v>112.1</v>
      </c>
      <c r="F15844" s="5">
        <v>222.4</v>
      </c>
      <c r="G15844" s="5">
        <v>110.5</v>
      </c>
      <c r="H15844" s="5">
        <v>110.4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112</v>
      </c>
      <c r="D15845" s="5">
        <v>0.1</v>
      </c>
      <c r="E15845" s="5">
        <v>112.1</v>
      </c>
      <c r="F15845" s="5">
        <v>222.4</v>
      </c>
      <c r="G15845" s="5">
        <v>110.5</v>
      </c>
      <c r="H15845" s="5">
        <v>110.4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112</v>
      </c>
      <c r="D15846" s="5">
        <v>0.1</v>
      </c>
      <c r="E15846" s="5">
        <v>112.1</v>
      </c>
      <c r="F15846" s="5">
        <v>222.4</v>
      </c>
      <c r="G15846" s="5">
        <v>110.5</v>
      </c>
      <c r="H15846" s="5">
        <v>110.4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112</v>
      </c>
      <c r="D15847" s="5">
        <v>0.1</v>
      </c>
      <c r="E15847" s="5">
        <v>112.1</v>
      </c>
      <c r="F15847" s="5">
        <v>222.4</v>
      </c>
      <c r="G15847" s="5">
        <v>110.5</v>
      </c>
      <c r="H15847" s="5">
        <v>110.4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112</v>
      </c>
      <c r="D15848" s="5">
        <v>0.1</v>
      </c>
      <c r="E15848" s="5">
        <v>112.1</v>
      </c>
      <c r="F15848" s="5">
        <v>222.4</v>
      </c>
      <c r="G15848" s="5">
        <v>110.5</v>
      </c>
      <c r="H15848" s="5">
        <v>110.4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112</v>
      </c>
      <c r="D15849" s="5">
        <v>0.1</v>
      </c>
      <c r="E15849" s="5">
        <v>112.1</v>
      </c>
      <c r="F15849" s="5">
        <v>222.4</v>
      </c>
      <c r="G15849" s="5">
        <v>110.5</v>
      </c>
      <c r="H15849" s="5">
        <v>110.4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112</v>
      </c>
      <c r="D15850" s="5">
        <v>0.1</v>
      </c>
      <c r="E15850" s="5">
        <v>112.1</v>
      </c>
      <c r="F15850" s="5">
        <v>222.4</v>
      </c>
      <c r="G15850" s="5">
        <v>110.5</v>
      </c>
      <c r="H15850" s="5">
        <v>110.4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112</v>
      </c>
      <c r="D15851" s="5">
        <v>0.1</v>
      </c>
      <c r="E15851" s="5">
        <v>112.1</v>
      </c>
      <c r="F15851" s="5">
        <v>222.4</v>
      </c>
      <c r="G15851" s="5">
        <v>110.5</v>
      </c>
      <c r="H15851" s="5">
        <v>110.4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112</v>
      </c>
      <c r="D15852" s="5">
        <v>0.1</v>
      </c>
      <c r="E15852" s="5">
        <v>112.1</v>
      </c>
      <c r="F15852" s="5">
        <v>222.4</v>
      </c>
      <c r="G15852" s="5">
        <v>110.5</v>
      </c>
      <c r="H15852" s="5">
        <v>110.4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112</v>
      </c>
      <c r="D15853" s="5">
        <v>0.1</v>
      </c>
      <c r="E15853" s="5">
        <v>112.1</v>
      </c>
      <c r="F15853" s="5">
        <v>222.4</v>
      </c>
      <c r="G15853" s="5">
        <v>110.5</v>
      </c>
      <c r="H15853" s="5">
        <v>110.4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112</v>
      </c>
      <c r="D15854" s="5">
        <v>0.1</v>
      </c>
      <c r="E15854" s="5">
        <v>112.1</v>
      </c>
      <c r="F15854" s="5">
        <v>222.4</v>
      </c>
      <c r="G15854" s="5">
        <v>110.5</v>
      </c>
      <c r="H15854" s="5">
        <v>110.4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112</v>
      </c>
      <c r="D15855" s="5">
        <v>0.1</v>
      </c>
      <c r="E15855" s="5">
        <v>112.1</v>
      </c>
      <c r="F15855" s="5">
        <v>222.4</v>
      </c>
      <c r="G15855" s="5">
        <v>110.5</v>
      </c>
      <c r="H15855" s="5">
        <v>110.4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112</v>
      </c>
      <c r="D15856" s="5">
        <v>0.1</v>
      </c>
      <c r="E15856" s="5">
        <v>112.1</v>
      </c>
      <c r="F15856" s="5">
        <v>222.4</v>
      </c>
      <c r="G15856" s="5">
        <v>110.5</v>
      </c>
      <c r="H15856" s="5">
        <v>110.4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112</v>
      </c>
      <c r="D15857" s="5">
        <v>0.1</v>
      </c>
      <c r="E15857" s="5">
        <v>112.1</v>
      </c>
      <c r="F15857" s="5">
        <v>222.4</v>
      </c>
      <c r="G15857" s="5">
        <v>110.5</v>
      </c>
      <c r="H15857" s="5">
        <v>110.4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112</v>
      </c>
      <c r="D15858" s="5">
        <v>0.1</v>
      </c>
      <c r="E15858" s="5">
        <v>112.1</v>
      </c>
      <c r="F15858" s="5">
        <v>222.4</v>
      </c>
      <c r="G15858" s="5">
        <v>110.5</v>
      </c>
      <c r="H15858" s="5">
        <v>110.4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112</v>
      </c>
      <c r="D15859" s="5">
        <v>0.1</v>
      </c>
      <c r="E15859" s="5">
        <v>112.1</v>
      </c>
      <c r="F15859" s="5">
        <v>222.4</v>
      </c>
      <c r="G15859" s="5">
        <v>110.5</v>
      </c>
      <c r="H15859" s="5">
        <v>110.4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112</v>
      </c>
      <c r="D15860" s="5">
        <v>0.1</v>
      </c>
      <c r="E15860" s="5">
        <v>112.1</v>
      </c>
      <c r="F15860" s="5">
        <v>222.4</v>
      </c>
      <c r="G15860" s="5">
        <v>110.5</v>
      </c>
      <c r="H15860" s="5">
        <v>110.4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112</v>
      </c>
      <c r="D15861" s="5">
        <v>0.1</v>
      </c>
      <c r="E15861" s="5">
        <v>112.1</v>
      </c>
      <c r="F15861" s="5">
        <v>222.4</v>
      </c>
      <c r="G15861" s="5">
        <v>110.5</v>
      </c>
      <c r="H15861" s="5">
        <v>110.4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112</v>
      </c>
      <c r="D15862" s="5">
        <v>0.1</v>
      </c>
      <c r="E15862" s="5">
        <v>112.1</v>
      </c>
      <c r="F15862" s="5">
        <v>222.4</v>
      </c>
      <c r="G15862" s="5">
        <v>110.5</v>
      </c>
      <c r="H15862" s="5">
        <v>110.4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112</v>
      </c>
      <c r="D15863" s="5">
        <v>0.1</v>
      </c>
      <c r="E15863" s="5">
        <v>112.1</v>
      </c>
      <c r="F15863" s="5">
        <v>222.4</v>
      </c>
      <c r="G15863" s="5">
        <v>110.5</v>
      </c>
      <c r="H15863" s="5">
        <v>110.4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112</v>
      </c>
      <c r="D15864" s="5">
        <v>0.1</v>
      </c>
      <c r="E15864" s="5">
        <v>112.1</v>
      </c>
      <c r="F15864" s="5">
        <v>222.4</v>
      </c>
      <c r="G15864" s="5">
        <v>110.5</v>
      </c>
      <c r="H15864" s="5">
        <v>110.4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112</v>
      </c>
      <c r="D15865" s="5">
        <v>0.1</v>
      </c>
      <c r="E15865" s="5">
        <v>112.1</v>
      </c>
      <c r="F15865" s="5">
        <v>222.4</v>
      </c>
      <c r="G15865" s="5">
        <v>110.5</v>
      </c>
      <c r="H15865" s="5">
        <v>110.4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112</v>
      </c>
      <c r="D15866" s="5">
        <v>0.1</v>
      </c>
      <c r="E15866" s="5">
        <v>112.1</v>
      </c>
      <c r="F15866" s="5">
        <v>222.4</v>
      </c>
      <c r="G15866" s="5">
        <v>110.5</v>
      </c>
      <c r="H15866" s="5">
        <v>110.4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112</v>
      </c>
      <c r="D15867" s="5">
        <v>0.1</v>
      </c>
      <c r="E15867" s="5">
        <v>112.1</v>
      </c>
      <c r="F15867" s="5">
        <v>222.4</v>
      </c>
      <c r="G15867" s="5">
        <v>110.5</v>
      </c>
      <c r="H15867" s="5">
        <v>110.4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112</v>
      </c>
      <c r="D15868" s="5">
        <v>0.1</v>
      </c>
      <c r="E15868" s="5">
        <v>112.1</v>
      </c>
      <c r="F15868" s="5">
        <v>222.4</v>
      </c>
      <c r="G15868" s="5">
        <v>110.5</v>
      </c>
      <c r="H15868" s="5">
        <v>110.4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112</v>
      </c>
      <c r="D15869" s="5">
        <v>0.1</v>
      </c>
      <c r="E15869" s="5">
        <v>112.1</v>
      </c>
      <c r="F15869" s="5">
        <v>222.4</v>
      </c>
      <c r="G15869" s="5">
        <v>110.5</v>
      </c>
      <c r="H15869" s="5">
        <v>110.4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112</v>
      </c>
      <c r="D15870" s="5">
        <v>0.1</v>
      </c>
      <c r="E15870" s="5">
        <v>112.1</v>
      </c>
      <c r="F15870" s="5">
        <v>222.4</v>
      </c>
      <c r="G15870" s="5">
        <v>110.5</v>
      </c>
      <c r="H15870" s="5">
        <v>110.4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112</v>
      </c>
      <c r="D15871" s="5">
        <v>0.1</v>
      </c>
      <c r="E15871" s="5">
        <v>112.1</v>
      </c>
      <c r="F15871" s="5">
        <v>222.4</v>
      </c>
      <c r="G15871" s="5">
        <v>110.5</v>
      </c>
      <c r="H15871" s="5">
        <v>110.4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112</v>
      </c>
      <c r="D15872" s="5">
        <v>0.1</v>
      </c>
      <c r="E15872" s="5">
        <v>112.1</v>
      </c>
      <c r="F15872" s="5">
        <v>222.4</v>
      </c>
      <c r="G15872" s="5">
        <v>110.5</v>
      </c>
      <c r="H15872" s="5">
        <v>110.4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112</v>
      </c>
      <c r="D15873" s="5">
        <v>0.1</v>
      </c>
      <c r="E15873" s="5">
        <v>112.1</v>
      </c>
      <c r="F15873" s="5">
        <v>222.4</v>
      </c>
      <c r="G15873" s="5">
        <v>110.5</v>
      </c>
      <c r="H15873" s="5">
        <v>110.4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112</v>
      </c>
      <c r="D15874" s="5">
        <v>0.1</v>
      </c>
      <c r="E15874" s="5">
        <v>112.1</v>
      </c>
      <c r="F15874" s="5">
        <v>222.4</v>
      </c>
      <c r="G15874" s="5">
        <v>110.5</v>
      </c>
      <c r="H15874" s="5">
        <v>110.4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112</v>
      </c>
      <c r="D15875" s="5">
        <v>0.1</v>
      </c>
      <c r="E15875" s="5">
        <v>112.1</v>
      </c>
      <c r="F15875" s="5">
        <v>222.4</v>
      </c>
      <c r="G15875" s="5">
        <v>110.5</v>
      </c>
      <c r="H15875" s="5">
        <v>110.4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112</v>
      </c>
      <c r="D15876" s="5">
        <v>0.1</v>
      </c>
      <c r="E15876" s="5">
        <v>112.1</v>
      </c>
      <c r="F15876" s="5">
        <v>222.4</v>
      </c>
      <c r="G15876" s="5">
        <v>110.5</v>
      </c>
      <c r="H15876" s="5">
        <v>110.4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112</v>
      </c>
      <c r="D15877" s="5">
        <v>0.1</v>
      </c>
      <c r="E15877" s="5">
        <v>112.1</v>
      </c>
      <c r="F15877" s="5">
        <v>222.4</v>
      </c>
      <c r="G15877" s="5">
        <v>110.5</v>
      </c>
      <c r="H15877" s="5">
        <v>110.4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112</v>
      </c>
      <c r="D15878" s="5">
        <v>0.1</v>
      </c>
      <c r="E15878" s="5">
        <v>112.1</v>
      </c>
      <c r="F15878" s="5">
        <v>222.4</v>
      </c>
      <c r="G15878" s="5">
        <v>110.5</v>
      </c>
      <c r="H15878" s="5">
        <v>110.4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112</v>
      </c>
      <c r="D15879" s="5">
        <v>0.1</v>
      </c>
      <c r="E15879" s="5">
        <v>112.1</v>
      </c>
      <c r="F15879" s="5">
        <v>222.4</v>
      </c>
      <c r="G15879" s="5">
        <v>110.5</v>
      </c>
      <c r="H15879" s="5">
        <v>110.4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112</v>
      </c>
      <c r="D15880" s="5">
        <v>0.1</v>
      </c>
      <c r="E15880" s="5">
        <v>112.1</v>
      </c>
      <c r="F15880" s="5">
        <v>222.4</v>
      </c>
      <c r="G15880" s="5">
        <v>110.5</v>
      </c>
      <c r="H15880" s="5">
        <v>110.4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112</v>
      </c>
      <c r="D15881" s="5">
        <v>0.1</v>
      </c>
      <c r="E15881" s="5">
        <v>112.1</v>
      </c>
      <c r="F15881" s="5">
        <v>222.4</v>
      </c>
      <c r="G15881" s="5">
        <v>110.5</v>
      </c>
      <c r="H15881" s="5">
        <v>110.4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112</v>
      </c>
      <c r="D15882" s="5">
        <v>0.1</v>
      </c>
      <c r="E15882" s="5">
        <v>112.1</v>
      </c>
      <c r="F15882" s="5">
        <v>222.4</v>
      </c>
      <c r="G15882" s="5">
        <v>110.5</v>
      </c>
      <c r="H15882" s="5">
        <v>110.4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112</v>
      </c>
      <c r="D15883" s="5">
        <v>0.1</v>
      </c>
      <c r="E15883" s="5">
        <v>112.1</v>
      </c>
      <c r="F15883" s="5">
        <v>222.4</v>
      </c>
      <c r="G15883" s="5">
        <v>110.5</v>
      </c>
      <c r="H15883" s="5">
        <v>110.4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112</v>
      </c>
      <c r="D15884" s="5">
        <v>0.1</v>
      </c>
      <c r="E15884" s="5">
        <v>112.1</v>
      </c>
      <c r="F15884" s="5">
        <v>222.4</v>
      </c>
      <c r="G15884" s="5">
        <v>110.5</v>
      </c>
      <c r="H15884" s="5">
        <v>110.4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112</v>
      </c>
      <c r="D15885" s="5">
        <v>0.1</v>
      </c>
      <c r="E15885" s="5">
        <v>112.1</v>
      </c>
      <c r="F15885" s="5">
        <v>222.4</v>
      </c>
      <c r="G15885" s="5">
        <v>110.5</v>
      </c>
      <c r="H15885" s="5">
        <v>110.4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112</v>
      </c>
      <c r="D15886" s="5">
        <v>0.1</v>
      </c>
      <c r="E15886" s="5">
        <v>112.1</v>
      </c>
      <c r="F15886" s="5">
        <v>222.4</v>
      </c>
      <c r="G15886" s="5">
        <v>110.5</v>
      </c>
      <c r="H15886" s="5">
        <v>110.4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112</v>
      </c>
      <c r="D15887" s="5">
        <v>0.1</v>
      </c>
      <c r="E15887" s="5">
        <v>112.1</v>
      </c>
      <c r="F15887" s="5">
        <v>222.4</v>
      </c>
      <c r="G15887" s="5">
        <v>110.5</v>
      </c>
      <c r="H15887" s="5">
        <v>110.4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112</v>
      </c>
      <c r="D15888" s="5">
        <v>0.1</v>
      </c>
      <c r="E15888" s="5">
        <v>112.1</v>
      </c>
      <c r="F15888" s="5">
        <v>222.4</v>
      </c>
      <c r="G15888" s="5">
        <v>110.5</v>
      </c>
      <c r="H15888" s="5">
        <v>110.4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112</v>
      </c>
      <c r="D15889" s="5">
        <v>0.1</v>
      </c>
      <c r="E15889" s="5">
        <v>112.1</v>
      </c>
      <c r="F15889" s="5">
        <v>222.4</v>
      </c>
      <c r="G15889" s="5">
        <v>110.5</v>
      </c>
      <c r="H15889" s="5">
        <v>110.4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112</v>
      </c>
      <c r="D15890" s="5">
        <v>0.1</v>
      </c>
      <c r="E15890" s="5">
        <v>112.1</v>
      </c>
      <c r="F15890" s="5">
        <v>222.4</v>
      </c>
      <c r="G15890" s="5">
        <v>110.5</v>
      </c>
      <c r="H15890" s="5">
        <v>110.4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112</v>
      </c>
      <c r="D15891" s="5">
        <v>0.1</v>
      </c>
      <c r="E15891" s="5">
        <v>112.1</v>
      </c>
      <c r="F15891" s="5">
        <v>222.4</v>
      </c>
      <c r="G15891" s="5">
        <v>110.5</v>
      </c>
      <c r="H15891" s="5">
        <v>110.4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112</v>
      </c>
      <c r="D15892" s="5">
        <v>0.1</v>
      </c>
      <c r="E15892" s="5">
        <v>112.1</v>
      </c>
      <c r="F15892" s="5">
        <v>222.4</v>
      </c>
      <c r="G15892" s="5">
        <v>110.5</v>
      </c>
      <c r="H15892" s="5">
        <v>110.4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112</v>
      </c>
      <c r="D15893" s="5">
        <v>0.1</v>
      </c>
      <c r="E15893" s="5">
        <v>112.1</v>
      </c>
      <c r="F15893" s="5">
        <v>222.4</v>
      </c>
      <c r="G15893" s="5">
        <v>110.5</v>
      </c>
      <c r="H15893" s="5">
        <v>110.4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112</v>
      </c>
      <c r="D15894" s="5">
        <v>0.1</v>
      </c>
      <c r="E15894" s="5">
        <v>112.1</v>
      </c>
      <c r="F15894" s="5">
        <v>222.4</v>
      </c>
      <c r="G15894" s="5">
        <v>110.5</v>
      </c>
      <c r="H15894" s="5">
        <v>110.4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112</v>
      </c>
      <c r="D15895" s="5">
        <v>0.1</v>
      </c>
      <c r="E15895" s="5">
        <v>112.1</v>
      </c>
      <c r="F15895" s="5">
        <v>222.4</v>
      </c>
      <c r="G15895" s="5">
        <v>110.5</v>
      </c>
      <c r="H15895" s="5">
        <v>110.4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112</v>
      </c>
      <c r="D15896" s="5">
        <v>0.1</v>
      </c>
      <c r="E15896" s="5">
        <v>112.1</v>
      </c>
      <c r="F15896" s="5">
        <v>222.4</v>
      </c>
      <c r="G15896" s="5">
        <v>110.5</v>
      </c>
      <c r="H15896" s="5">
        <v>110.4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112</v>
      </c>
      <c r="D15897" s="5">
        <v>0.1</v>
      </c>
      <c r="E15897" s="5">
        <v>112.1</v>
      </c>
      <c r="F15897" s="5">
        <v>222.4</v>
      </c>
      <c r="G15897" s="5">
        <v>110.5</v>
      </c>
      <c r="H15897" s="5">
        <v>110.4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112</v>
      </c>
      <c r="D15898" s="5">
        <v>0.1</v>
      </c>
      <c r="E15898" s="5">
        <v>112.1</v>
      </c>
      <c r="F15898" s="5">
        <v>222.4</v>
      </c>
      <c r="G15898" s="5">
        <v>110.5</v>
      </c>
      <c r="H15898" s="5">
        <v>110.4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112</v>
      </c>
      <c r="D15899" s="5">
        <v>0.1</v>
      </c>
      <c r="E15899" s="5">
        <v>112.1</v>
      </c>
      <c r="F15899" s="5">
        <v>222.4</v>
      </c>
      <c r="G15899" s="5">
        <v>110.5</v>
      </c>
      <c r="H15899" s="5">
        <v>110.4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112</v>
      </c>
      <c r="D15900" s="5">
        <v>0.1</v>
      </c>
      <c r="E15900" s="5">
        <v>112.1</v>
      </c>
      <c r="F15900" s="5">
        <v>222.4</v>
      </c>
      <c r="G15900" s="5">
        <v>110.5</v>
      </c>
      <c r="H15900" s="5">
        <v>110.4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112</v>
      </c>
      <c r="D15901" s="5">
        <v>0.1</v>
      </c>
      <c r="E15901" s="5">
        <v>112.1</v>
      </c>
      <c r="F15901" s="5">
        <v>222.4</v>
      </c>
      <c r="G15901" s="5">
        <v>110.5</v>
      </c>
      <c r="H15901" s="5">
        <v>110.4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112</v>
      </c>
      <c r="D15902" s="5">
        <v>0.1</v>
      </c>
      <c r="E15902" s="5">
        <v>112.1</v>
      </c>
      <c r="F15902" s="5">
        <v>222.4</v>
      </c>
      <c r="G15902" s="5">
        <v>110.5</v>
      </c>
      <c r="H15902" s="5">
        <v>110.4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112</v>
      </c>
      <c r="D15903" s="5">
        <v>0.1</v>
      </c>
      <c r="E15903" s="5">
        <v>112.1</v>
      </c>
      <c r="F15903" s="5">
        <v>222.4</v>
      </c>
      <c r="G15903" s="5">
        <v>110.5</v>
      </c>
      <c r="H15903" s="5">
        <v>110.4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112</v>
      </c>
      <c r="D15904" s="5">
        <v>0.1</v>
      </c>
      <c r="E15904" s="5">
        <v>112.1</v>
      </c>
      <c r="F15904" s="5">
        <v>222.4</v>
      </c>
      <c r="G15904" s="5">
        <v>110.5</v>
      </c>
      <c r="H15904" s="5">
        <v>110.4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112</v>
      </c>
      <c r="D15905" s="5">
        <v>0.1</v>
      </c>
      <c r="E15905" s="5">
        <v>112.1</v>
      </c>
      <c r="F15905" s="5">
        <v>222.4</v>
      </c>
      <c r="G15905" s="5">
        <v>110.5</v>
      </c>
      <c r="H15905" s="5">
        <v>110.4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112</v>
      </c>
      <c r="D15906" s="5">
        <v>0.1</v>
      </c>
      <c r="E15906" s="5">
        <v>112.1</v>
      </c>
      <c r="F15906" s="5">
        <v>222.4</v>
      </c>
      <c r="G15906" s="5">
        <v>110.5</v>
      </c>
      <c r="H15906" s="5">
        <v>110.4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112</v>
      </c>
      <c r="D15907" s="5">
        <v>0.1</v>
      </c>
      <c r="E15907" s="5">
        <v>112.1</v>
      </c>
      <c r="F15907" s="5">
        <v>222.4</v>
      </c>
      <c r="G15907" s="5">
        <v>110.5</v>
      </c>
      <c r="H15907" s="5">
        <v>110.4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112</v>
      </c>
      <c r="D15908" s="5">
        <v>0.1</v>
      </c>
      <c r="E15908" s="5">
        <v>112.1</v>
      </c>
      <c r="F15908" s="5">
        <v>222.4</v>
      </c>
      <c r="G15908" s="5">
        <v>110.5</v>
      </c>
      <c r="H15908" s="5">
        <v>110.4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112</v>
      </c>
      <c r="D15909" s="5">
        <v>0.1</v>
      </c>
      <c r="E15909" s="5">
        <v>112.1</v>
      </c>
      <c r="F15909" s="5">
        <v>222.4</v>
      </c>
      <c r="G15909" s="5">
        <v>110.5</v>
      </c>
      <c r="H15909" s="5">
        <v>110.4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112</v>
      </c>
      <c r="D15910" s="5">
        <v>0.1</v>
      </c>
      <c r="E15910" s="5">
        <v>112.1</v>
      </c>
      <c r="F15910" s="5">
        <v>222.4</v>
      </c>
      <c r="G15910" s="5">
        <v>110.5</v>
      </c>
      <c r="H15910" s="5">
        <v>110.4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112</v>
      </c>
      <c r="D15911" s="5">
        <v>0.1</v>
      </c>
      <c r="E15911" s="5">
        <v>112.1</v>
      </c>
      <c r="F15911" s="5">
        <v>222.4</v>
      </c>
      <c r="G15911" s="5">
        <v>110.5</v>
      </c>
      <c r="H15911" s="5">
        <v>110.4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112</v>
      </c>
      <c r="D15912" s="5">
        <v>0.1</v>
      </c>
      <c r="E15912" s="5">
        <v>112.1</v>
      </c>
      <c r="F15912" s="5">
        <v>222.4</v>
      </c>
      <c r="G15912" s="5">
        <v>110.5</v>
      </c>
      <c r="H15912" s="5">
        <v>110.4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112</v>
      </c>
      <c r="D15913" s="5">
        <v>0.1</v>
      </c>
      <c r="E15913" s="5">
        <v>112.1</v>
      </c>
      <c r="F15913" s="5">
        <v>222.4</v>
      </c>
      <c r="G15913" s="5">
        <v>110.5</v>
      </c>
      <c r="H15913" s="5">
        <v>110.4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112</v>
      </c>
      <c r="D15914" s="5">
        <v>0.1</v>
      </c>
      <c r="E15914" s="5">
        <v>112.1</v>
      </c>
      <c r="F15914" s="5">
        <v>222.4</v>
      </c>
      <c r="G15914" s="5">
        <v>110.5</v>
      </c>
      <c r="H15914" s="5">
        <v>110.4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112</v>
      </c>
      <c r="D15915" s="5">
        <v>0.1</v>
      </c>
      <c r="E15915" s="5">
        <v>112.1</v>
      </c>
      <c r="F15915" s="5">
        <v>222.4</v>
      </c>
      <c r="G15915" s="5">
        <v>110.5</v>
      </c>
      <c r="H15915" s="5">
        <v>110.4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112</v>
      </c>
      <c r="D15916" s="5">
        <v>0.1</v>
      </c>
      <c r="E15916" s="5">
        <v>112.1</v>
      </c>
      <c r="F15916" s="5">
        <v>222.4</v>
      </c>
      <c r="G15916" s="5">
        <v>110.5</v>
      </c>
      <c r="H15916" s="5">
        <v>110.4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112</v>
      </c>
      <c r="D15917" s="5">
        <v>0.1</v>
      </c>
      <c r="E15917" s="5">
        <v>112.1</v>
      </c>
      <c r="F15917" s="5">
        <v>222.4</v>
      </c>
      <c r="G15917" s="5">
        <v>110.5</v>
      </c>
      <c r="H15917" s="5">
        <v>110.4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112</v>
      </c>
      <c r="D15918" s="5">
        <v>0.1</v>
      </c>
      <c r="E15918" s="5">
        <v>112.1</v>
      </c>
      <c r="F15918" s="5">
        <v>222.4</v>
      </c>
      <c r="G15918" s="5">
        <v>110.5</v>
      </c>
      <c r="H15918" s="5">
        <v>110.4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112</v>
      </c>
      <c r="D15919" s="5">
        <v>0.1</v>
      </c>
      <c r="E15919" s="5">
        <v>112.1</v>
      </c>
      <c r="F15919" s="5">
        <v>222.4</v>
      </c>
      <c r="G15919" s="5">
        <v>110.5</v>
      </c>
      <c r="H15919" s="5">
        <v>110.4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112</v>
      </c>
      <c r="D15920" s="5">
        <v>0.1</v>
      </c>
      <c r="E15920" s="5">
        <v>112.1</v>
      </c>
      <c r="F15920" s="5">
        <v>222.4</v>
      </c>
      <c r="G15920" s="5">
        <v>110.5</v>
      </c>
      <c r="H15920" s="5">
        <v>110.4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112</v>
      </c>
      <c r="D15921" s="5">
        <v>0.1</v>
      </c>
      <c r="E15921" s="5">
        <v>112.1</v>
      </c>
      <c r="F15921" s="5">
        <v>222.4</v>
      </c>
      <c r="G15921" s="5">
        <v>110.5</v>
      </c>
      <c r="H15921" s="5">
        <v>110.4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112</v>
      </c>
      <c r="D15922" s="5">
        <v>0.1</v>
      </c>
      <c r="E15922" s="5">
        <v>112.1</v>
      </c>
      <c r="F15922" s="5">
        <v>222.4</v>
      </c>
      <c r="G15922" s="5">
        <v>110.5</v>
      </c>
      <c r="H15922" s="5">
        <v>110.4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112</v>
      </c>
      <c r="D15923" s="5">
        <v>0.1</v>
      </c>
      <c r="E15923" s="5">
        <v>112.1</v>
      </c>
      <c r="F15923" s="5">
        <v>222.4</v>
      </c>
      <c r="G15923" s="5">
        <v>110.5</v>
      </c>
      <c r="H15923" s="5">
        <v>110.4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112</v>
      </c>
      <c r="D15924" s="5">
        <v>0.1</v>
      </c>
      <c r="E15924" s="5">
        <v>112.1</v>
      </c>
      <c r="F15924" s="5">
        <v>222.4</v>
      </c>
      <c r="G15924" s="5">
        <v>110.5</v>
      </c>
      <c r="H15924" s="5">
        <v>110.4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112</v>
      </c>
      <c r="D15925" s="5">
        <v>0.1</v>
      </c>
      <c r="E15925" s="5">
        <v>112.1</v>
      </c>
      <c r="F15925" s="5">
        <v>222.4</v>
      </c>
      <c r="G15925" s="5">
        <v>110.5</v>
      </c>
      <c r="H15925" s="5">
        <v>110.4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112</v>
      </c>
      <c r="D15926" s="5">
        <v>0.1</v>
      </c>
      <c r="E15926" s="5">
        <v>112.1</v>
      </c>
      <c r="F15926" s="5">
        <v>222.4</v>
      </c>
      <c r="G15926" s="5">
        <v>110.5</v>
      </c>
      <c r="H15926" s="5">
        <v>110.4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112</v>
      </c>
      <c r="D15927" s="5">
        <v>0.1</v>
      </c>
      <c r="E15927" s="5">
        <v>112.1</v>
      </c>
      <c r="F15927" s="5">
        <v>222.4</v>
      </c>
      <c r="G15927" s="5">
        <v>110.5</v>
      </c>
      <c r="H15927" s="5">
        <v>110.4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112</v>
      </c>
      <c r="D15928" s="5">
        <v>0.1</v>
      </c>
      <c r="E15928" s="5">
        <v>112.1</v>
      </c>
      <c r="F15928" s="5">
        <v>222.4</v>
      </c>
      <c r="G15928" s="5">
        <v>110.5</v>
      </c>
      <c r="H15928" s="5">
        <v>110.4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112</v>
      </c>
      <c r="D15929" s="5">
        <v>0.1</v>
      </c>
      <c r="E15929" s="5">
        <v>112.1</v>
      </c>
      <c r="F15929" s="5">
        <v>222.4</v>
      </c>
      <c r="G15929" s="5">
        <v>110.5</v>
      </c>
      <c r="H15929" s="5">
        <v>110.4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112</v>
      </c>
      <c r="D15930" s="5">
        <v>0.1</v>
      </c>
      <c r="E15930" s="5">
        <v>112.1</v>
      </c>
      <c r="F15930" s="5">
        <v>222.4</v>
      </c>
      <c r="G15930" s="5">
        <v>110.5</v>
      </c>
      <c r="H15930" s="5">
        <v>110.4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112</v>
      </c>
      <c r="D15931" s="5">
        <v>0.1</v>
      </c>
      <c r="E15931" s="5">
        <v>112.1</v>
      </c>
      <c r="F15931" s="5">
        <v>222.4</v>
      </c>
      <c r="G15931" s="5">
        <v>110.5</v>
      </c>
      <c r="H15931" s="5">
        <v>110.4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112</v>
      </c>
      <c r="D15932" s="5">
        <v>0.1</v>
      </c>
      <c r="E15932" s="5">
        <v>112.1</v>
      </c>
      <c r="F15932" s="5">
        <v>222.4</v>
      </c>
      <c r="G15932" s="5">
        <v>110.5</v>
      </c>
      <c r="H15932" s="5">
        <v>110.4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112</v>
      </c>
      <c r="D15933" s="5">
        <v>0.1</v>
      </c>
      <c r="E15933" s="5">
        <v>112.1</v>
      </c>
      <c r="F15933" s="5">
        <v>222.4</v>
      </c>
      <c r="G15933" s="5">
        <v>110.5</v>
      </c>
      <c r="H15933" s="5">
        <v>110.4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112</v>
      </c>
      <c r="D15934" s="5">
        <v>0.1</v>
      </c>
      <c r="E15934" s="5">
        <v>112.1</v>
      </c>
      <c r="F15934" s="5">
        <v>222.4</v>
      </c>
      <c r="G15934" s="5">
        <v>110.5</v>
      </c>
      <c r="H15934" s="5">
        <v>110.4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112</v>
      </c>
      <c r="D15935" s="5">
        <v>0.1</v>
      </c>
      <c r="E15935" s="5">
        <v>112.1</v>
      </c>
      <c r="F15935" s="5">
        <v>222.4</v>
      </c>
      <c r="G15935" s="5">
        <v>110.5</v>
      </c>
      <c r="H15935" s="5">
        <v>110.4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112</v>
      </c>
      <c r="D15936" s="5">
        <v>0.1</v>
      </c>
      <c r="E15936" s="5">
        <v>112.1</v>
      </c>
      <c r="F15936" s="5">
        <v>222.4</v>
      </c>
      <c r="G15936" s="5">
        <v>110.5</v>
      </c>
      <c r="H15936" s="5">
        <v>110.4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112</v>
      </c>
      <c r="D15937" s="5">
        <v>0.1</v>
      </c>
      <c r="E15937" s="5">
        <v>112.1</v>
      </c>
      <c r="F15937" s="5">
        <v>222.4</v>
      </c>
      <c r="G15937" s="5">
        <v>110.5</v>
      </c>
      <c r="H15937" s="5">
        <v>110.4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112</v>
      </c>
      <c r="D15938" s="5">
        <v>0.1</v>
      </c>
      <c r="E15938" s="5">
        <v>112.1</v>
      </c>
      <c r="F15938" s="5">
        <v>222.4</v>
      </c>
      <c r="G15938" s="5">
        <v>110.5</v>
      </c>
      <c r="H15938" s="5">
        <v>110.4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112</v>
      </c>
      <c r="D15939" s="5">
        <v>0.1</v>
      </c>
      <c r="E15939" s="5">
        <v>112.1</v>
      </c>
      <c r="F15939" s="5">
        <v>222.4</v>
      </c>
      <c r="G15939" s="5">
        <v>110.5</v>
      </c>
      <c r="H15939" s="5">
        <v>110.4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112</v>
      </c>
      <c r="D15940" s="5">
        <v>0.1</v>
      </c>
      <c r="E15940" s="5">
        <v>112.1</v>
      </c>
      <c r="F15940" s="5">
        <v>222.4</v>
      </c>
      <c r="G15940" s="5">
        <v>110.5</v>
      </c>
      <c r="H15940" s="5">
        <v>110.4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112</v>
      </c>
      <c r="D15941" s="5">
        <v>0.1</v>
      </c>
      <c r="E15941" s="5">
        <v>112.1</v>
      </c>
      <c r="F15941" s="5">
        <v>222.4</v>
      </c>
      <c r="G15941" s="5">
        <v>110.5</v>
      </c>
      <c r="H15941" s="5">
        <v>110.4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112</v>
      </c>
      <c r="D15942" s="5">
        <v>0.1</v>
      </c>
      <c r="E15942" s="5">
        <v>112.1</v>
      </c>
      <c r="F15942" s="5">
        <v>222.4</v>
      </c>
      <c r="G15942" s="5">
        <v>110.5</v>
      </c>
      <c r="H15942" s="5">
        <v>110.4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112</v>
      </c>
      <c r="D15943" s="5">
        <v>0.1</v>
      </c>
      <c r="E15943" s="5">
        <v>112.1</v>
      </c>
      <c r="F15943" s="5">
        <v>222.4</v>
      </c>
      <c r="G15943" s="5">
        <v>110.5</v>
      </c>
      <c r="H15943" s="5">
        <v>110.4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112</v>
      </c>
      <c r="D15944" s="5">
        <v>0.1</v>
      </c>
      <c r="E15944" s="5">
        <v>112.1</v>
      </c>
      <c r="F15944" s="5">
        <v>222.4</v>
      </c>
      <c r="G15944" s="5">
        <v>110.5</v>
      </c>
      <c r="H15944" s="5">
        <v>110.4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112</v>
      </c>
      <c r="D15945" s="5">
        <v>0.1</v>
      </c>
      <c r="E15945" s="5">
        <v>112.1</v>
      </c>
      <c r="F15945" s="5">
        <v>222.4</v>
      </c>
      <c r="G15945" s="5">
        <v>110.5</v>
      </c>
      <c r="H15945" s="5">
        <v>110.4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112</v>
      </c>
      <c r="D15946" s="5">
        <v>0.1</v>
      </c>
      <c r="E15946" s="5">
        <v>112.1</v>
      </c>
      <c r="F15946" s="5">
        <v>222.4</v>
      </c>
      <c r="G15946" s="5">
        <v>110.5</v>
      </c>
      <c r="H15946" s="5">
        <v>110.4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112</v>
      </c>
      <c r="D15947" s="5">
        <v>0.1</v>
      </c>
      <c r="E15947" s="5">
        <v>112.1</v>
      </c>
      <c r="F15947" s="5">
        <v>222.4</v>
      </c>
      <c r="G15947" s="5">
        <v>110.5</v>
      </c>
      <c r="H15947" s="5">
        <v>110.4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112</v>
      </c>
      <c r="D15948" s="5">
        <v>0.1</v>
      </c>
      <c r="E15948" s="5">
        <v>112.1</v>
      </c>
      <c r="F15948" s="5">
        <v>222.4</v>
      </c>
      <c r="G15948" s="5">
        <v>110.5</v>
      </c>
      <c r="H15948" s="5">
        <v>110.4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112</v>
      </c>
      <c r="D15949" s="5">
        <v>0.1</v>
      </c>
      <c r="E15949" s="5">
        <v>112.1</v>
      </c>
      <c r="F15949" s="5">
        <v>222.4</v>
      </c>
      <c r="G15949" s="5">
        <v>110.5</v>
      </c>
      <c r="H15949" s="5">
        <v>110.4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112</v>
      </c>
      <c r="D15950" s="5">
        <v>0.1</v>
      </c>
      <c r="E15950" s="5">
        <v>112.1</v>
      </c>
      <c r="F15950" s="5">
        <v>222.4</v>
      </c>
      <c r="G15950" s="5">
        <v>110.5</v>
      </c>
      <c r="H15950" s="5">
        <v>110.4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112</v>
      </c>
      <c r="D15951" s="5">
        <v>0.1</v>
      </c>
      <c r="E15951" s="5">
        <v>112.1</v>
      </c>
      <c r="F15951" s="5">
        <v>222.4</v>
      </c>
      <c r="G15951" s="5">
        <v>110.5</v>
      </c>
      <c r="H15951" s="5">
        <v>110.4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112</v>
      </c>
      <c r="D15952" s="5">
        <v>0.1</v>
      </c>
      <c r="E15952" s="5">
        <v>112.1</v>
      </c>
      <c r="F15952" s="5">
        <v>222.4</v>
      </c>
      <c r="G15952" s="5">
        <v>110.5</v>
      </c>
      <c r="H15952" s="5">
        <v>110.4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112</v>
      </c>
      <c r="D15953" s="5">
        <v>0.1</v>
      </c>
      <c r="E15953" s="5">
        <v>112.1</v>
      </c>
      <c r="F15953" s="5">
        <v>222.4</v>
      </c>
      <c r="G15953" s="5">
        <v>110.5</v>
      </c>
      <c r="H15953" s="5">
        <v>110.4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112</v>
      </c>
      <c r="D15954" s="5">
        <v>0.1</v>
      </c>
      <c r="E15954" s="5">
        <v>112.1</v>
      </c>
      <c r="F15954" s="5">
        <v>222.4</v>
      </c>
      <c r="G15954" s="5">
        <v>110.5</v>
      </c>
      <c r="H15954" s="5">
        <v>110.4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112</v>
      </c>
      <c r="D15955" s="5">
        <v>0.1</v>
      </c>
      <c r="E15955" s="5">
        <v>112.1</v>
      </c>
      <c r="F15955" s="5">
        <v>222.4</v>
      </c>
      <c r="G15955" s="5">
        <v>110.5</v>
      </c>
      <c r="H15955" s="5">
        <v>110.4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112</v>
      </c>
      <c r="D15956" s="5">
        <v>0.1</v>
      </c>
      <c r="E15956" s="5">
        <v>112.1</v>
      </c>
      <c r="F15956" s="5">
        <v>222.4</v>
      </c>
      <c r="G15956" s="5">
        <v>110.5</v>
      </c>
      <c r="H15956" s="5">
        <v>110.4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112</v>
      </c>
      <c r="D15957" s="5">
        <v>0.1</v>
      </c>
      <c r="E15957" s="5">
        <v>112.1</v>
      </c>
      <c r="F15957" s="5">
        <v>222.4</v>
      </c>
      <c r="G15957" s="5">
        <v>110.5</v>
      </c>
      <c r="H15957" s="5">
        <v>110.4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112</v>
      </c>
      <c r="D15958" s="5">
        <v>0.1</v>
      </c>
      <c r="E15958" s="5">
        <v>112.1</v>
      </c>
      <c r="F15958" s="5">
        <v>222.4</v>
      </c>
      <c r="G15958" s="5">
        <v>110.5</v>
      </c>
      <c r="H15958" s="5">
        <v>110.4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112</v>
      </c>
      <c r="D15959" s="5">
        <v>0.1</v>
      </c>
      <c r="E15959" s="5">
        <v>112.1</v>
      </c>
      <c r="F15959" s="5">
        <v>222.4</v>
      </c>
      <c r="G15959" s="5">
        <v>110.5</v>
      </c>
      <c r="H15959" s="5">
        <v>110.4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112</v>
      </c>
      <c r="D15960" s="5">
        <v>0.1</v>
      </c>
      <c r="E15960" s="5">
        <v>112.1</v>
      </c>
      <c r="F15960" s="5">
        <v>222.4</v>
      </c>
      <c r="G15960" s="5">
        <v>110.5</v>
      </c>
      <c r="H15960" s="5">
        <v>110.4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112</v>
      </c>
      <c r="D15961" s="5">
        <v>0.1</v>
      </c>
      <c r="E15961" s="5">
        <v>112.1</v>
      </c>
      <c r="F15961" s="5">
        <v>222.4</v>
      </c>
      <c r="G15961" s="5">
        <v>110.5</v>
      </c>
      <c r="H15961" s="5">
        <v>110.4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112</v>
      </c>
      <c r="D15962" s="5">
        <v>0.1</v>
      </c>
      <c r="E15962" s="5">
        <v>112.1</v>
      </c>
      <c r="F15962" s="5">
        <v>222.4</v>
      </c>
      <c r="G15962" s="5">
        <v>110.5</v>
      </c>
      <c r="H15962" s="5">
        <v>110.4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112</v>
      </c>
      <c r="D15963" s="5">
        <v>0.1</v>
      </c>
      <c r="E15963" s="5">
        <v>112.1</v>
      </c>
      <c r="F15963" s="5">
        <v>222.4</v>
      </c>
      <c r="G15963" s="5">
        <v>110.5</v>
      </c>
      <c r="H15963" s="5">
        <v>110.4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112</v>
      </c>
      <c r="D15964" s="5">
        <v>0.1</v>
      </c>
      <c r="E15964" s="5">
        <v>112.1</v>
      </c>
      <c r="F15964" s="5">
        <v>222.4</v>
      </c>
      <c r="G15964" s="5">
        <v>110.5</v>
      </c>
      <c r="H15964" s="5">
        <v>110.4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112</v>
      </c>
      <c r="D15965" s="5">
        <v>0.1</v>
      </c>
      <c r="E15965" s="5">
        <v>112.1</v>
      </c>
      <c r="F15965" s="5">
        <v>222.4</v>
      </c>
      <c r="G15965" s="5">
        <v>110.5</v>
      </c>
      <c r="H15965" s="5">
        <v>110.4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112</v>
      </c>
      <c r="D15966" s="5">
        <v>0.1</v>
      </c>
      <c r="E15966" s="5">
        <v>112.1</v>
      </c>
      <c r="F15966" s="5">
        <v>222.4</v>
      </c>
      <c r="G15966" s="5">
        <v>110.5</v>
      </c>
      <c r="H15966" s="5">
        <v>110.4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112</v>
      </c>
      <c r="D15967" s="5">
        <v>0.1</v>
      </c>
      <c r="E15967" s="5">
        <v>112.1</v>
      </c>
      <c r="F15967" s="5">
        <v>222.4</v>
      </c>
      <c r="G15967" s="5">
        <v>110.5</v>
      </c>
      <c r="H15967" s="5">
        <v>110.4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112</v>
      </c>
      <c r="D15968" s="5">
        <v>0.1</v>
      </c>
      <c r="E15968" s="5">
        <v>112.1</v>
      </c>
      <c r="F15968" s="5">
        <v>222.4</v>
      </c>
      <c r="G15968" s="5">
        <v>110.5</v>
      </c>
      <c r="H15968" s="5">
        <v>110.4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112</v>
      </c>
      <c r="D15969" s="5">
        <v>0.1</v>
      </c>
      <c r="E15969" s="5">
        <v>112.1</v>
      </c>
      <c r="F15969" s="5">
        <v>222.4</v>
      </c>
      <c r="G15969" s="5">
        <v>110.5</v>
      </c>
      <c r="H15969" s="5">
        <v>110.4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112</v>
      </c>
      <c r="D15970" s="5">
        <v>0.1</v>
      </c>
      <c r="E15970" s="5">
        <v>112.1</v>
      </c>
      <c r="F15970" s="5">
        <v>222.4</v>
      </c>
      <c r="G15970" s="5">
        <v>110.5</v>
      </c>
      <c r="H15970" s="5">
        <v>110.4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112</v>
      </c>
      <c r="D15971" s="5">
        <v>0.1</v>
      </c>
      <c r="E15971" s="5">
        <v>112.1</v>
      </c>
      <c r="F15971" s="5">
        <v>222.4</v>
      </c>
      <c r="G15971" s="5">
        <v>110.5</v>
      </c>
      <c r="H15971" s="5">
        <v>110.4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112</v>
      </c>
      <c r="D15972" s="5">
        <v>0.1</v>
      </c>
      <c r="E15972" s="5">
        <v>112.1</v>
      </c>
      <c r="F15972" s="5">
        <v>222.4</v>
      </c>
      <c r="G15972" s="5">
        <v>110.5</v>
      </c>
      <c r="H15972" s="5">
        <v>110.4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112</v>
      </c>
      <c r="D15973" s="5">
        <v>0.1</v>
      </c>
      <c r="E15973" s="5">
        <v>112.1</v>
      </c>
      <c r="F15973" s="5">
        <v>222.4</v>
      </c>
      <c r="G15973" s="5">
        <v>110.5</v>
      </c>
      <c r="H15973" s="5">
        <v>110.4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112</v>
      </c>
      <c r="D15974" s="5">
        <v>0.1</v>
      </c>
      <c r="E15974" s="5">
        <v>112.1</v>
      </c>
      <c r="F15974" s="5">
        <v>222.4</v>
      </c>
      <c r="G15974" s="5">
        <v>110.5</v>
      </c>
      <c r="H15974" s="5">
        <v>110.4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112</v>
      </c>
      <c r="D15975" s="5">
        <v>0.1</v>
      </c>
      <c r="E15975" s="5">
        <v>112.1</v>
      </c>
      <c r="F15975" s="5">
        <v>222.4</v>
      </c>
      <c r="G15975" s="5">
        <v>110.5</v>
      </c>
      <c r="H15975" s="5">
        <v>110.4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112</v>
      </c>
      <c r="D15976" s="5">
        <v>0.1</v>
      </c>
      <c r="E15976" s="5">
        <v>112.1</v>
      </c>
      <c r="F15976" s="5">
        <v>222.4</v>
      </c>
      <c r="G15976" s="5">
        <v>110.5</v>
      </c>
      <c r="H15976" s="5">
        <v>110.4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112</v>
      </c>
      <c r="D15977" s="5">
        <v>0.1</v>
      </c>
      <c r="E15977" s="5">
        <v>112.1</v>
      </c>
      <c r="F15977" s="5">
        <v>222.4</v>
      </c>
      <c r="G15977" s="5">
        <v>110.5</v>
      </c>
      <c r="H15977" s="5">
        <v>110.4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112</v>
      </c>
      <c r="D15978" s="5">
        <v>0.1</v>
      </c>
      <c r="E15978" s="5">
        <v>112.1</v>
      </c>
      <c r="F15978" s="5">
        <v>222.4</v>
      </c>
      <c r="G15978" s="5">
        <v>110.5</v>
      </c>
      <c r="H15978" s="5">
        <v>110.4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112</v>
      </c>
      <c r="D15979" s="5">
        <v>0.1</v>
      </c>
      <c r="E15979" s="5">
        <v>112.1</v>
      </c>
      <c r="F15979" s="5">
        <v>222.4</v>
      </c>
      <c r="G15979" s="5">
        <v>110.5</v>
      </c>
      <c r="H15979" s="5">
        <v>110.4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112</v>
      </c>
      <c r="D15980" s="5">
        <v>0.1</v>
      </c>
      <c r="E15980" s="5">
        <v>112.1</v>
      </c>
      <c r="F15980" s="5">
        <v>222.4</v>
      </c>
      <c r="G15980" s="5">
        <v>110.5</v>
      </c>
      <c r="H15980" s="5">
        <v>110.4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112</v>
      </c>
      <c r="D15981" s="5">
        <v>0.1</v>
      </c>
      <c r="E15981" s="5">
        <v>112.1</v>
      </c>
      <c r="F15981" s="5">
        <v>222.4</v>
      </c>
      <c r="G15981" s="5">
        <v>110.5</v>
      </c>
      <c r="H15981" s="5">
        <v>110.4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112</v>
      </c>
      <c r="D15982" s="5">
        <v>0.1</v>
      </c>
      <c r="E15982" s="5">
        <v>112.1</v>
      </c>
      <c r="F15982" s="5">
        <v>222.4</v>
      </c>
      <c r="G15982" s="5">
        <v>110.5</v>
      </c>
      <c r="H15982" s="5">
        <v>110.4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112</v>
      </c>
      <c r="D15983" s="5">
        <v>0.1</v>
      </c>
      <c r="E15983" s="5">
        <v>112.1</v>
      </c>
      <c r="F15983" s="5">
        <v>222.4</v>
      </c>
      <c r="G15983" s="5">
        <v>110.5</v>
      </c>
      <c r="H15983" s="5">
        <v>110.4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112</v>
      </c>
      <c r="D15984" s="5">
        <v>0.1</v>
      </c>
      <c r="E15984" s="5">
        <v>112.1</v>
      </c>
      <c r="F15984" s="5">
        <v>222.4</v>
      </c>
      <c r="G15984" s="5">
        <v>110.5</v>
      </c>
      <c r="H15984" s="5">
        <v>110.4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112</v>
      </c>
      <c r="D15985" s="5">
        <v>0.1</v>
      </c>
      <c r="E15985" s="5">
        <v>112.1</v>
      </c>
      <c r="F15985" s="5">
        <v>222.4</v>
      </c>
      <c r="G15985" s="5">
        <v>110.5</v>
      </c>
      <c r="H15985" s="5">
        <v>110.4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112</v>
      </c>
      <c r="D15986" s="5">
        <v>0.1</v>
      </c>
      <c r="E15986" s="5">
        <v>112.1</v>
      </c>
      <c r="F15986" s="5">
        <v>222.4</v>
      </c>
      <c r="G15986" s="5">
        <v>110.5</v>
      </c>
      <c r="H15986" s="5">
        <v>110.4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112</v>
      </c>
      <c r="D15987" s="5">
        <v>0.1</v>
      </c>
      <c r="E15987" s="5">
        <v>112.1</v>
      </c>
      <c r="F15987" s="5">
        <v>222.4</v>
      </c>
      <c r="G15987" s="5">
        <v>110.5</v>
      </c>
      <c r="H15987" s="5">
        <v>110.4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112</v>
      </c>
      <c r="D15988" s="5">
        <v>0.1</v>
      </c>
      <c r="E15988" s="5">
        <v>112.1</v>
      </c>
      <c r="F15988" s="5">
        <v>222.4</v>
      </c>
      <c r="G15988" s="5">
        <v>110.5</v>
      </c>
      <c r="H15988" s="5">
        <v>110.4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112</v>
      </c>
      <c r="D15989" s="5">
        <v>0.1</v>
      </c>
      <c r="E15989" s="5">
        <v>112.1</v>
      </c>
      <c r="F15989" s="5">
        <v>222.4</v>
      </c>
      <c r="G15989" s="5">
        <v>110.5</v>
      </c>
      <c r="H15989" s="5">
        <v>110.4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112</v>
      </c>
      <c r="D15990" s="5">
        <v>0.1</v>
      </c>
      <c r="E15990" s="5">
        <v>112.1</v>
      </c>
      <c r="F15990" s="5">
        <v>222.4</v>
      </c>
      <c r="G15990" s="5">
        <v>110.5</v>
      </c>
      <c r="H15990" s="5">
        <v>110.4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112</v>
      </c>
      <c r="D15991" s="5">
        <v>0.1</v>
      </c>
      <c r="E15991" s="5">
        <v>112.1</v>
      </c>
      <c r="F15991" s="5">
        <v>222.4</v>
      </c>
      <c r="G15991" s="5">
        <v>110.5</v>
      </c>
      <c r="H15991" s="5">
        <v>110.4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112</v>
      </c>
      <c r="D15992" s="5">
        <v>0.1</v>
      </c>
      <c r="E15992" s="5">
        <v>112.1</v>
      </c>
      <c r="F15992" s="5">
        <v>222.4</v>
      </c>
      <c r="G15992" s="5">
        <v>110.5</v>
      </c>
      <c r="H15992" s="5">
        <v>110.4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112</v>
      </c>
      <c r="D15993" s="5">
        <v>0.1</v>
      </c>
      <c r="E15993" s="5">
        <v>112.1</v>
      </c>
      <c r="F15993" s="5">
        <v>222.4</v>
      </c>
      <c r="G15993" s="5">
        <v>110.5</v>
      </c>
      <c r="H15993" s="5">
        <v>110.4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112</v>
      </c>
      <c r="D15994" s="5">
        <v>0.1</v>
      </c>
      <c r="E15994" s="5">
        <v>112.1</v>
      </c>
      <c r="F15994" s="5">
        <v>222.4</v>
      </c>
      <c r="G15994" s="5">
        <v>110.5</v>
      </c>
      <c r="H15994" s="5">
        <v>110.4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112</v>
      </c>
      <c r="D15995" s="5">
        <v>0.1</v>
      </c>
      <c r="E15995" s="5">
        <v>112.1</v>
      </c>
      <c r="F15995" s="5">
        <v>222.4</v>
      </c>
      <c r="G15995" s="5">
        <v>110.5</v>
      </c>
      <c r="H15995" s="5">
        <v>110.4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112</v>
      </c>
      <c r="D15996" s="5">
        <v>0.1</v>
      </c>
      <c r="E15996" s="5">
        <v>112.1</v>
      </c>
      <c r="F15996" s="5">
        <v>222.4</v>
      </c>
      <c r="G15996" s="5">
        <v>110.5</v>
      </c>
      <c r="H15996" s="5">
        <v>110.4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112</v>
      </c>
      <c r="D15997" s="5">
        <v>0.1</v>
      </c>
      <c r="E15997" s="5">
        <v>112.1</v>
      </c>
      <c r="F15997" s="5">
        <v>222.4</v>
      </c>
      <c r="G15997" s="5">
        <v>110.5</v>
      </c>
      <c r="H15997" s="5">
        <v>110.4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112</v>
      </c>
      <c r="D15998" s="5">
        <v>0.1</v>
      </c>
      <c r="E15998" s="5">
        <v>112.1</v>
      </c>
      <c r="F15998" s="5">
        <v>222.4</v>
      </c>
      <c r="G15998" s="5">
        <v>110.5</v>
      </c>
      <c r="H15998" s="5">
        <v>110.4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112</v>
      </c>
      <c r="D15999" s="5">
        <v>0.1</v>
      </c>
      <c r="E15999" s="5">
        <v>112.1</v>
      </c>
      <c r="F15999" s="5">
        <v>222.4</v>
      </c>
      <c r="G15999" s="5">
        <v>110.5</v>
      </c>
      <c r="H15999" s="5">
        <v>110.4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112</v>
      </c>
      <c r="D16000" s="5">
        <v>0.1</v>
      </c>
      <c r="E16000" s="5">
        <v>112.1</v>
      </c>
      <c r="F16000" s="5">
        <v>222.4</v>
      </c>
      <c r="G16000" s="5">
        <v>110.5</v>
      </c>
      <c r="H16000" s="5">
        <v>110.4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112</v>
      </c>
      <c r="D16001" s="5">
        <v>0.1</v>
      </c>
      <c r="E16001" s="5">
        <v>112.1</v>
      </c>
      <c r="F16001" s="5">
        <v>222.4</v>
      </c>
      <c r="G16001" s="5">
        <v>110.5</v>
      </c>
      <c r="H16001" s="5">
        <v>110.4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112</v>
      </c>
      <c r="D16002" s="5">
        <v>0.1</v>
      </c>
      <c r="E16002" s="5">
        <v>112.1</v>
      </c>
      <c r="F16002" s="5">
        <v>222.4</v>
      </c>
      <c r="G16002" s="5">
        <v>110.5</v>
      </c>
      <c r="H16002" s="5">
        <v>110.4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112</v>
      </c>
      <c r="D16003" s="5">
        <v>0.1</v>
      </c>
      <c r="E16003" s="5">
        <v>112.1</v>
      </c>
      <c r="F16003" s="5">
        <v>222.4</v>
      </c>
      <c r="G16003" s="5">
        <v>110.5</v>
      </c>
      <c r="H16003" s="5">
        <v>110.4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112</v>
      </c>
      <c r="D16004" s="5">
        <v>0.1</v>
      </c>
      <c r="E16004" s="5">
        <v>112.1</v>
      </c>
      <c r="F16004" s="5">
        <v>222.4</v>
      </c>
      <c r="G16004" s="5">
        <v>110.5</v>
      </c>
      <c r="H16004" s="5">
        <v>110.4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112</v>
      </c>
      <c r="D16005" s="5">
        <v>0.1</v>
      </c>
      <c r="E16005" s="5">
        <v>112.1</v>
      </c>
      <c r="F16005" s="5">
        <v>222.4</v>
      </c>
      <c r="G16005" s="5">
        <v>110.5</v>
      </c>
      <c r="H16005" s="5">
        <v>110.4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112</v>
      </c>
      <c r="D16006" s="5">
        <v>0.1</v>
      </c>
      <c r="E16006" s="5">
        <v>112.1</v>
      </c>
      <c r="F16006" s="5">
        <v>222.4</v>
      </c>
      <c r="G16006" s="5">
        <v>110.5</v>
      </c>
      <c r="H16006" s="5">
        <v>110.4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112</v>
      </c>
      <c r="D16007" s="5">
        <v>0.1</v>
      </c>
      <c r="E16007" s="5">
        <v>112.1</v>
      </c>
      <c r="F16007" s="5">
        <v>222.4</v>
      </c>
      <c r="G16007" s="5">
        <v>110.5</v>
      </c>
      <c r="H16007" s="5">
        <v>110.4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112</v>
      </c>
      <c r="D16008" s="5">
        <v>0.1</v>
      </c>
      <c r="E16008" s="5">
        <v>112.1</v>
      </c>
      <c r="F16008" s="5">
        <v>222.4</v>
      </c>
      <c r="G16008" s="5">
        <v>110.5</v>
      </c>
      <c r="H16008" s="5">
        <v>110.4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112</v>
      </c>
      <c r="D16009" s="5">
        <v>0.1</v>
      </c>
      <c r="E16009" s="5">
        <v>112.1</v>
      </c>
      <c r="F16009" s="5">
        <v>222.4</v>
      </c>
      <c r="G16009" s="5">
        <v>110.5</v>
      </c>
      <c r="H16009" s="5">
        <v>110.4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112</v>
      </c>
      <c r="D16010" s="5">
        <v>0.1</v>
      </c>
      <c r="E16010" s="5">
        <v>112.1</v>
      </c>
      <c r="F16010" s="5">
        <v>222.4</v>
      </c>
      <c r="G16010" s="5">
        <v>110.5</v>
      </c>
      <c r="H16010" s="5">
        <v>110.4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112</v>
      </c>
      <c r="D16011" s="5">
        <v>0.1</v>
      </c>
      <c r="E16011" s="5">
        <v>112.1</v>
      </c>
      <c r="F16011" s="5">
        <v>222.4</v>
      </c>
      <c r="G16011" s="5">
        <v>110.5</v>
      </c>
      <c r="H16011" s="5">
        <v>110.4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112</v>
      </c>
      <c r="D16012" s="5">
        <v>0.1</v>
      </c>
      <c r="E16012" s="5">
        <v>112.1</v>
      </c>
      <c r="F16012" s="5">
        <v>222.4</v>
      </c>
      <c r="G16012" s="5">
        <v>110.5</v>
      </c>
      <c r="H16012" s="5">
        <v>110.4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112</v>
      </c>
      <c r="D16013" s="5">
        <v>0.1</v>
      </c>
      <c r="E16013" s="5">
        <v>112.1</v>
      </c>
      <c r="F16013" s="5">
        <v>222.4</v>
      </c>
      <c r="G16013" s="5">
        <v>110.5</v>
      </c>
      <c r="H16013" s="5">
        <v>110.4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112</v>
      </c>
      <c r="D16014" s="5">
        <v>0.1</v>
      </c>
      <c r="E16014" s="5">
        <v>112.1</v>
      </c>
      <c r="F16014" s="5">
        <v>222.4</v>
      </c>
      <c r="G16014" s="5">
        <v>110.5</v>
      </c>
      <c r="H16014" s="5">
        <v>110.4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112</v>
      </c>
      <c r="D16015" s="5">
        <v>0.1</v>
      </c>
      <c r="E16015" s="5">
        <v>112.1</v>
      </c>
      <c r="F16015" s="5">
        <v>222.4</v>
      </c>
      <c r="G16015" s="5">
        <v>110.5</v>
      </c>
      <c r="H16015" s="5">
        <v>110.4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112</v>
      </c>
      <c r="D16016" s="5">
        <v>0.1</v>
      </c>
      <c r="E16016" s="5">
        <v>112.1</v>
      </c>
      <c r="F16016" s="5">
        <v>222.4</v>
      </c>
      <c r="G16016" s="5">
        <v>110.5</v>
      </c>
      <c r="H16016" s="5">
        <v>110.4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112</v>
      </c>
      <c r="D16017" s="5">
        <v>0.1</v>
      </c>
      <c r="E16017" s="5">
        <v>112.1</v>
      </c>
      <c r="F16017" s="5">
        <v>222.4</v>
      </c>
      <c r="G16017" s="5">
        <v>110.5</v>
      </c>
      <c r="H16017" s="5">
        <v>110.4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112</v>
      </c>
      <c r="D16018" s="5">
        <v>0.1</v>
      </c>
      <c r="E16018" s="5">
        <v>112.1</v>
      </c>
      <c r="F16018" s="5">
        <v>222.4</v>
      </c>
      <c r="G16018" s="5">
        <v>110.5</v>
      </c>
      <c r="H16018" s="5">
        <v>110.4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112</v>
      </c>
      <c r="D16019" s="5">
        <v>0.1</v>
      </c>
      <c r="E16019" s="5">
        <v>112.1</v>
      </c>
      <c r="F16019" s="5">
        <v>222.4</v>
      </c>
      <c r="G16019" s="5">
        <v>110.5</v>
      </c>
      <c r="H16019" s="5">
        <v>110.4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112</v>
      </c>
      <c r="D16020" s="5">
        <v>0.1</v>
      </c>
      <c r="E16020" s="5">
        <v>112.1</v>
      </c>
      <c r="F16020" s="5">
        <v>222.4</v>
      </c>
      <c r="G16020" s="5">
        <v>110.5</v>
      </c>
      <c r="H16020" s="5">
        <v>110.4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112</v>
      </c>
      <c r="D16021" s="5">
        <v>0.1</v>
      </c>
      <c r="E16021" s="5">
        <v>112.1</v>
      </c>
      <c r="F16021" s="5">
        <v>222.4</v>
      </c>
      <c r="G16021" s="5">
        <v>110.5</v>
      </c>
      <c r="H16021" s="5">
        <v>110.4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112</v>
      </c>
      <c r="D16022" s="5">
        <v>0.1</v>
      </c>
      <c r="E16022" s="5">
        <v>112.1</v>
      </c>
      <c r="F16022" s="5">
        <v>222.4</v>
      </c>
      <c r="G16022" s="5">
        <v>110.5</v>
      </c>
      <c r="H16022" s="5">
        <v>110.4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112</v>
      </c>
      <c r="D16023" s="5">
        <v>0.1</v>
      </c>
      <c r="E16023" s="5">
        <v>112.1</v>
      </c>
      <c r="F16023" s="5">
        <v>222.4</v>
      </c>
      <c r="G16023" s="5">
        <v>110.5</v>
      </c>
      <c r="H16023" s="5">
        <v>110.4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112</v>
      </c>
      <c r="D16024" s="5">
        <v>0.1</v>
      </c>
      <c r="E16024" s="5">
        <v>112.1</v>
      </c>
      <c r="F16024" s="5">
        <v>222.4</v>
      </c>
      <c r="G16024" s="5">
        <v>110.5</v>
      </c>
      <c r="H16024" s="5">
        <v>110.4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112</v>
      </c>
      <c r="D16025" s="5">
        <v>0.1</v>
      </c>
      <c r="E16025" s="5">
        <v>112.1</v>
      </c>
      <c r="F16025" s="5">
        <v>222.4</v>
      </c>
      <c r="G16025" s="5">
        <v>110.5</v>
      </c>
      <c r="H16025" s="5">
        <v>110.4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112</v>
      </c>
      <c r="D16026" s="5">
        <v>0.1</v>
      </c>
      <c r="E16026" s="5">
        <v>112.1</v>
      </c>
      <c r="F16026" s="5">
        <v>222.4</v>
      </c>
      <c r="G16026" s="5">
        <v>110.5</v>
      </c>
      <c r="H16026" s="5">
        <v>110.4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112</v>
      </c>
      <c r="D16027" s="5">
        <v>0.1</v>
      </c>
      <c r="E16027" s="5">
        <v>112.1</v>
      </c>
      <c r="F16027" s="5">
        <v>222.4</v>
      </c>
      <c r="G16027" s="5">
        <v>110.5</v>
      </c>
      <c r="H16027" s="5">
        <v>110.4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112</v>
      </c>
      <c r="D16028" s="5">
        <v>0.1</v>
      </c>
      <c r="E16028" s="5">
        <v>112.1</v>
      </c>
      <c r="F16028" s="5">
        <v>222.4</v>
      </c>
      <c r="G16028" s="5">
        <v>110.5</v>
      </c>
      <c r="H16028" s="5">
        <v>110.4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112</v>
      </c>
      <c r="D16029" s="5">
        <v>0.1</v>
      </c>
      <c r="E16029" s="5">
        <v>112.1</v>
      </c>
      <c r="F16029" s="5">
        <v>222.4</v>
      </c>
      <c r="G16029" s="5">
        <v>110.5</v>
      </c>
      <c r="H16029" s="5">
        <v>110.4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112</v>
      </c>
      <c r="D16030" s="5">
        <v>0.1</v>
      </c>
      <c r="E16030" s="5">
        <v>112.1</v>
      </c>
      <c r="F16030" s="5">
        <v>222.4</v>
      </c>
      <c r="G16030" s="5">
        <v>110.5</v>
      </c>
      <c r="H16030" s="5">
        <v>110.4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112</v>
      </c>
      <c r="D16031" s="5">
        <v>0.1</v>
      </c>
      <c r="E16031" s="5">
        <v>112.1</v>
      </c>
      <c r="F16031" s="5">
        <v>222.4</v>
      </c>
      <c r="G16031" s="5">
        <v>110.5</v>
      </c>
      <c r="H16031" s="5">
        <v>110.4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112</v>
      </c>
      <c r="D16032" s="5">
        <v>0.1</v>
      </c>
      <c r="E16032" s="5">
        <v>112.1</v>
      </c>
      <c r="F16032" s="5">
        <v>222.4</v>
      </c>
      <c r="G16032" s="5">
        <v>110.5</v>
      </c>
      <c r="H16032" s="5">
        <v>110.4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112</v>
      </c>
      <c r="D16033" s="5">
        <v>0.1</v>
      </c>
      <c r="E16033" s="5">
        <v>112.1</v>
      </c>
      <c r="F16033" s="5">
        <v>222.4</v>
      </c>
      <c r="G16033" s="5">
        <v>110.5</v>
      </c>
      <c r="H16033" s="5">
        <v>110.4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112</v>
      </c>
      <c r="D16034" s="5">
        <v>0.1</v>
      </c>
      <c r="E16034" s="5">
        <v>112.1</v>
      </c>
      <c r="F16034" s="5">
        <v>222.4</v>
      </c>
      <c r="G16034" s="5">
        <v>110.5</v>
      </c>
      <c r="H16034" s="5">
        <v>110.4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112</v>
      </c>
      <c r="D16035" s="5">
        <v>0.1</v>
      </c>
      <c r="E16035" s="5">
        <v>112.1</v>
      </c>
      <c r="F16035" s="5">
        <v>222.4</v>
      </c>
      <c r="G16035" s="5">
        <v>110.5</v>
      </c>
      <c r="H16035" s="5">
        <v>110.4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112</v>
      </c>
      <c r="D16036" s="5">
        <v>0.1</v>
      </c>
      <c r="E16036" s="5">
        <v>112.1</v>
      </c>
      <c r="F16036" s="5">
        <v>222.4</v>
      </c>
      <c r="G16036" s="5">
        <v>110.5</v>
      </c>
      <c r="H16036" s="5">
        <v>110.4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112</v>
      </c>
      <c r="D16037" s="5">
        <v>0.1</v>
      </c>
      <c r="E16037" s="5">
        <v>112.1</v>
      </c>
      <c r="F16037" s="5">
        <v>222.4</v>
      </c>
      <c r="G16037" s="5">
        <v>110.5</v>
      </c>
      <c r="H16037" s="5">
        <v>110.4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112</v>
      </c>
      <c r="D16038" s="5">
        <v>0.1</v>
      </c>
      <c r="E16038" s="5">
        <v>112.1</v>
      </c>
      <c r="F16038" s="5">
        <v>222.4</v>
      </c>
      <c r="G16038" s="5">
        <v>110.5</v>
      </c>
      <c r="H16038" s="5">
        <v>110.4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112</v>
      </c>
      <c r="D16039" s="5">
        <v>0.1</v>
      </c>
      <c r="E16039" s="5">
        <v>112.1</v>
      </c>
      <c r="F16039" s="5">
        <v>222.4</v>
      </c>
      <c r="G16039" s="5">
        <v>110.5</v>
      </c>
      <c r="H16039" s="5">
        <v>110.4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112</v>
      </c>
      <c r="D16040" s="5">
        <v>0.1</v>
      </c>
      <c r="E16040" s="5">
        <v>112.1</v>
      </c>
      <c r="F16040" s="5">
        <v>222.4</v>
      </c>
      <c r="G16040" s="5">
        <v>110.5</v>
      </c>
      <c r="H16040" s="5">
        <v>110.4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112</v>
      </c>
      <c r="D16041" s="5">
        <v>0.1</v>
      </c>
      <c r="E16041" s="5">
        <v>112.1</v>
      </c>
      <c r="F16041" s="5">
        <v>222.4</v>
      </c>
      <c r="G16041" s="5">
        <v>110.5</v>
      </c>
      <c r="H16041" s="5">
        <v>110.4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112</v>
      </c>
      <c r="D16042" s="5">
        <v>0.1</v>
      </c>
      <c r="E16042" s="5">
        <v>112.1</v>
      </c>
      <c r="F16042" s="5">
        <v>222.4</v>
      </c>
      <c r="G16042" s="5">
        <v>110.5</v>
      </c>
      <c r="H16042" s="5">
        <v>110.4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112</v>
      </c>
      <c r="D16043" s="5">
        <v>0.1</v>
      </c>
      <c r="E16043" s="5">
        <v>112.1</v>
      </c>
      <c r="F16043" s="5">
        <v>222.4</v>
      </c>
      <c r="G16043" s="5">
        <v>110.5</v>
      </c>
      <c r="H16043" s="5">
        <v>110.4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112</v>
      </c>
      <c r="D16044" s="5">
        <v>0.1</v>
      </c>
      <c r="E16044" s="5">
        <v>112.1</v>
      </c>
      <c r="F16044" s="5">
        <v>222.4</v>
      </c>
      <c r="G16044" s="5">
        <v>110.5</v>
      </c>
      <c r="H16044" s="5">
        <v>110.4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112</v>
      </c>
      <c r="D16045" s="5">
        <v>0.1</v>
      </c>
      <c r="E16045" s="5">
        <v>112.1</v>
      </c>
      <c r="F16045" s="5">
        <v>222.4</v>
      </c>
      <c r="G16045" s="5">
        <v>110.5</v>
      </c>
      <c r="H16045" s="5">
        <v>110.4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112</v>
      </c>
      <c r="D16046" s="5">
        <v>0.1</v>
      </c>
      <c r="E16046" s="5">
        <v>112.1</v>
      </c>
      <c r="F16046" s="5">
        <v>222.4</v>
      </c>
      <c r="G16046" s="5">
        <v>110.5</v>
      </c>
      <c r="H16046" s="5">
        <v>110.4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112</v>
      </c>
      <c r="D16047" s="5">
        <v>0.1</v>
      </c>
      <c r="E16047" s="5">
        <v>112.1</v>
      </c>
      <c r="F16047" s="5">
        <v>222.4</v>
      </c>
      <c r="G16047" s="5">
        <v>110.5</v>
      </c>
      <c r="H16047" s="5">
        <v>110.4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112</v>
      </c>
      <c r="D16048" s="5">
        <v>0.1</v>
      </c>
      <c r="E16048" s="5">
        <v>112.1</v>
      </c>
      <c r="F16048" s="5">
        <v>222.4</v>
      </c>
      <c r="G16048" s="5">
        <v>110.5</v>
      </c>
      <c r="H16048" s="5">
        <v>110.4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112</v>
      </c>
      <c r="D16049" s="5">
        <v>0.1</v>
      </c>
      <c r="E16049" s="5">
        <v>112.1</v>
      </c>
      <c r="F16049" s="5">
        <v>222.4</v>
      </c>
      <c r="G16049" s="5">
        <v>110.5</v>
      </c>
      <c r="H16049" s="5">
        <v>110.4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112</v>
      </c>
      <c r="D16050" s="5">
        <v>0.1</v>
      </c>
      <c r="E16050" s="5">
        <v>112.1</v>
      </c>
      <c r="F16050" s="5">
        <v>222.4</v>
      </c>
      <c r="G16050" s="5">
        <v>110.5</v>
      </c>
      <c r="H16050" s="5">
        <v>110.4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112</v>
      </c>
      <c r="D16051" s="5">
        <v>0.1</v>
      </c>
      <c r="E16051" s="5">
        <v>112.1</v>
      </c>
      <c r="F16051" s="5">
        <v>222.4</v>
      </c>
      <c r="G16051" s="5">
        <v>110.5</v>
      </c>
      <c r="H16051" s="5">
        <v>110.4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112</v>
      </c>
      <c r="D16052" s="5">
        <v>0.1</v>
      </c>
      <c r="E16052" s="5">
        <v>112.1</v>
      </c>
      <c r="F16052" s="5">
        <v>222.4</v>
      </c>
      <c r="G16052" s="5">
        <v>110.5</v>
      </c>
      <c r="H16052" s="5">
        <v>110.4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112</v>
      </c>
      <c r="D16053" s="5">
        <v>0.1</v>
      </c>
      <c r="E16053" s="5">
        <v>112.1</v>
      </c>
      <c r="F16053" s="5">
        <v>222.4</v>
      </c>
      <c r="G16053" s="5">
        <v>110.5</v>
      </c>
      <c r="H16053" s="5">
        <v>110.4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112</v>
      </c>
      <c r="D16054" s="5">
        <v>0.1</v>
      </c>
      <c r="E16054" s="5">
        <v>112.1</v>
      </c>
      <c r="F16054" s="5">
        <v>222.4</v>
      </c>
      <c r="G16054" s="5">
        <v>110.5</v>
      </c>
      <c r="H16054" s="5">
        <v>110.4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112</v>
      </c>
      <c r="D16055" s="5">
        <v>0.1</v>
      </c>
      <c r="E16055" s="5">
        <v>112.1</v>
      </c>
      <c r="F16055" s="5">
        <v>222.4</v>
      </c>
      <c r="G16055" s="5">
        <v>110.5</v>
      </c>
      <c r="H16055" s="5">
        <v>110.4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112</v>
      </c>
      <c r="D16056" s="5">
        <v>0.1</v>
      </c>
      <c r="E16056" s="5">
        <v>112.1</v>
      </c>
      <c r="F16056" s="5">
        <v>222.4</v>
      </c>
      <c r="G16056" s="5">
        <v>110.5</v>
      </c>
      <c r="H16056" s="5">
        <v>110.4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112</v>
      </c>
      <c r="D16057" s="5">
        <v>0.1</v>
      </c>
      <c r="E16057" s="5">
        <v>112.1</v>
      </c>
      <c r="F16057" s="5">
        <v>222.4</v>
      </c>
      <c r="G16057" s="5">
        <v>110.5</v>
      </c>
      <c r="H16057" s="5">
        <v>110.4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112</v>
      </c>
      <c r="D16058" s="5">
        <v>0.1</v>
      </c>
      <c r="E16058" s="5">
        <v>112.1</v>
      </c>
      <c r="F16058" s="5">
        <v>222.4</v>
      </c>
      <c r="G16058" s="5">
        <v>110.5</v>
      </c>
      <c r="H16058" s="5">
        <v>110.4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112</v>
      </c>
      <c r="D16059" s="5">
        <v>0.1</v>
      </c>
      <c r="E16059" s="5">
        <v>112.1</v>
      </c>
      <c r="F16059" s="5">
        <v>222.4</v>
      </c>
      <c r="G16059" s="5">
        <v>110.5</v>
      </c>
      <c r="H16059" s="5">
        <v>110.4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112</v>
      </c>
      <c r="D16060" s="5">
        <v>0.1</v>
      </c>
      <c r="E16060" s="5">
        <v>112.1</v>
      </c>
      <c r="F16060" s="5">
        <v>222.4</v>
      </c>
      <c r="G16060" s="5">
        <v>110.5</v>
      </c>
      <c r="H16060" s="5">
        <v>110.4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112</v>
      </c>
      <c r="D16061" s="5">
        <v>0.1</v>
      </c>
      <c r="E16061" s="5">
        <v>112.1</v>
      </c>
      <c r="F16061" s="5">
        <v>222.4</v>
      </c>
      <c r="G16061" s="5">
        <v>110.5</v>
      </c>
      <c r="H16061" s="5">
        <v>110.4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112</v>
      </c>
      <c r="D16062" s="5">
        <v>0.1</v>
      </c>
      <c r="E16062" s="5">
        <v>112.1</v>
      </c>
      <c r="F16062" s="5">
        <v>222.4</v>
      </c>
      <c r="G16062" s="5">
        <v>110.5</v>
      </c>
      <c r="H16062" s="5">
        <v>110.4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112</v>
      </c>
      <c r="D16063" s="5">
        <v>0.1</v>
      </c>
      <c r="E16063" s="5">
        <v>112.1</v>
      </c>
      <c r="F16063" s="5">
        <v>222.4</v>
      </c>
      <c r="G16063" s="5">
        <v>110.5</v>
      </c>
      <c r="H16063" s="5">
        <v>110.4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112</v>
      </c>
      <c r="D16064" s="5">
        <v>0.1</v>
      </c>
      <c r="E16064" s="5">
        <v>112.1</v>
      </c>
      <c r="F16064" s="5">
        <v>222.4</v>
      </c>
      <c r="G16064" s="5">
        <v>110.5</v>
      </c>
      <c r="H16064" s="5">
        <v>110.4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112</v>
      </c>
      <c r="D16065" s="5">
        <v>0.1</v>
      </c>
      <c r="E16065" s="5">
        <v>112.1</v>
      </c>
      <c r="F16065" s="5">
        <v>222.4</v>
      </c>
      <c r="G16065" s="5">
        <v>110.5</v>
      </c>
      <c r="H16065" s="5">
        <v>110.4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112</v>
      </c>
      <c r="D16066" s="5">
        <v>0.1</v>
      </c>
      <c r="E16066" s="5">
        <v>112.1</v>
      </c>
      <c r="F16066" s="5">
        <v>222.4</v>
      </c>
      <c r="G16066" s="5">
        <v>110.5</v>
      </c>
      <c r="H16066" s="5">
        <v>110.4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112</v>
      </c>
      <c r="D16067" s="5">
        <v>0.1</v>
      </c>
      <c r="E16067" s="5">
        <v>112.1</v>
      </c>
      <c r="F16067" s="5">
        <v>222.4</v>
      </c>
      <c r="G16067" s="5">
        <v>110.5</v>
      </c>
      <c r="H16067" s="5">
        <v>110.4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112</v>
      </c>
      <c r="D16068" s="5">
        <v>0.1</v>
      </c>
      <c r="E16068" s="5">
        <v>112.1</v>
      </c>
      <c r="F16068" s="5">
        <v>222.4</v>
      </c>
      <c r="G16068" s="5">
        <v>110.5</v>
      </c>
      <c r="H16068" s="5">
        <v>110.4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112</v>
      </c>
      <c r="D16069" s="5">
        <v>0.1</v>
      </c>
      <c r="E16069" s="5">
        <v>112.1</v>
      </c>
      <c r="F16069" s="5">
        <v>222.4</v>
      </c>
      <c r="G16069" s="5">
        <v>110.5</v>
      </c>
      <c r="H16069" s="5">
        <v>110.4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112</v>
      </c>
      <c r="D16070" s="5">
        <v>0.1</v>
      </c>
      <c r="E16070" s="5">
        <v>112.1</v>
      </c>
      <c r="F16070" s="5">
        <v>222.4</v>
      </c>
      <c r="G16070" s="5">
        <v>110.5</v>
      </c>
      <c r="H16070" s="5">
        <v>110.4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112</v>
      </c>
      <c r="D16071" s="5">
        <v>0.1</v>
      </c>
      <c r="E16071" s="5">
        <v>112.1</v>
      </c>
      <c r="F16071" s="5">
        <v>222.4</v>
      </c>
      <c r="G16071" s="5">
        <v>110.5</v>
      </c>
      <c r="H16071" s="5">
        <v>110.4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112</v>
      </c>
      <c r="D16072" s="5">
        <v>0.1</v>
      </c>
      <c r="E16072" s="5">
        <v>112.1</v>
      </c>
      <c r="F16072" s="5">
        <v>222.4</v>
      </c>
      <c r="G16072" s="5">
        <v>110.5</v>
      </c>
      <c r="H16072" s="5">
        <v>110.4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112</v>
      </c>
      <c r="D16073" s="5">
        <v>0.1</v>
      </c>
      <c r="E16073" s="5">
        <v>112.1</v>
      </c>
      <c r="F16073" s="5">
        <v>222.4</v>
      </c>
      <c r="G16073" s="5">
        <v>110.5</v>
      </c>
      <c r="H16073" s="5">
        <v>110.4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112</v>
      </c>
      <c r="D16074" s="5">
        <v>0.1</v>
      </c>
      <c r="E16074" s="5">
        <v>112.1</v>
      </c>
      <c r="F16074" s="5">
        <v>222.4</v>
      </c>
      <c r="G16074" s="5">
        <v>110.5</v>
      </c>
      <c r="H16074" s="5">
        <v>110.4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112</v>
      </c>
      <c r="D16075" s="5">
        <v>0.1</v>
      </c>
      <c r="E16075" s="5">
        <v>112.1</v>
      </c>
      <c r="F16075" s="5">
        <v>222.4</v>
      </c>
      <c r="G16075" s="5">
        <v>110.5</v>
      </c>
      <c r="H16075" s="5">
        <v>110.4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112</v>
      </c>
      <c r="D16076" s="5">
        <v>0.1</v>
      </c>
      <c r="E16076" s="5">
        <v>112.1</v>
      </c>
      <c r="F16076" s="5">
        <v>222.4</v>
      </c>
      <c r="G16076" s="5">
        <v>110.5</v>
      </c>
      <c r="H16076" s="5">
        <v>110.4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112</v>
      </c>
      <c r="D16077" s="5">
        <v>0.1</v>
      </c>
      <c r="E16077" s="5">
        <v>112.1</v>
      </c>
      <c r="F16077" s="5">
        <v>222.4</v>
      </c>
      <c r="G16077" s="5">
        <v>110.5</v>
      </c>
      <c r="H16077" s="5">
        <v>110.4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112</v>
      </c>
      <c r="D16078" s="5">
        <v>0.1</v>
      </c>
      <c r="E16078" s="5">
        <v>112.1</v>
      </c>
      <c r="F16078" s="5">
        <v>222.4</v>
      </c>
      <c r="G16078" s="5">
        <v>110.5</v>
      </c>
      <c r="H16078" s="5">
        <v>110.4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112</v>
      </c>
      <c r="D16079" s="5">
        <v>0.1</v>
      </c>
      <c r="E16079" s="5">
        <v>112.1</v>
      </c>
      <c r="F16079" s="5">
        <v>222.4</v>
      </c>
      <c r="G16079" s="5">
        <v>110.5</v>
      </c>
      <c r="H16079" s="5">
        <v>110.4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112</v>
      </c>
      <c r="D16080" s="5">
        <v>0.1</v>
      </c>
      <c r="E16080" s="5">
        <v>112.1</v>
      </c>
      <c r="F16080" s="5">
        <v>222.4</v>
      </c>
      <c r="G16080" s="5">
        <v>110.5</v>
      </c>
      <c r="H16080" s="5">
        <v>110.4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112</v>
      </c>
      <c r="D16081" s="5">
        <v>0.1</v>
      </c>
      <c r="E16081" s="5">
        <v>112.1</v>
      </c>
      <c r="F16081" s="5">
        <v>222.4</v>
      </c>
      <c r="G16081" s="5">
        <v>110.5</v>
      </c>
      <c r="H16081" s="5">
        <v>110.4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112</v>
      </c>
      <c r="D16082" s="5">
        <v>0.1</v>
      </c>
      <c r="E16082" s="5">
        <v>112.1</v>
      </c>
      <c r="F16082" s="5">
        <v>222.4</v>
      </c>
      <c r="G16082" s="5">
        <v>110.5</v>
      </c>
      <c r="H16082" s="5">
        <v>110.4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112</v>
      </c>
      <c r="D16083" s="5">
        <v>0.1</v>
      </c>
      <c r="E16083" s="5">
        <v>112.1</v>
      </c>
      <c r="F16083" s="5">
        <v>222.4</v>
      </c>
      <c r="G16083" s="5">
        <v>110.5</v>
      </c>
      <c r="H16083" s="5">
        <v>110.4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112</v>
      </c>
      <c r="D16084" s="5">
        <v>0.1</v>
      </c>
      <c r="E16084" s="5">
        <v>112.1</v>
      </c>
      <c r="F16084" s="5">
        <v>222.4</v>
      </c>
      <c r="G16084" s="5">
        <v>110.5</v>
      </c>
      <c r="H16084" s="5">
        <v>110.4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112</v>
      </c>
      <c r="D16085" s="5">
        <v>0.1</v>
      </c>
      <c r="E16085" s="5">
        <v>112.1</v>
      </c>
      <c r="F16085" s="5">
        <v>222.4</v>
      </c>
      <c r="G16085" s="5">
        <v>110.5</v>
      </c>
      <c r="H16085" s="5">
        <v>110.4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112</v>
      </c>
      <c r="D16086" s="5">
        <v>0.1</v>
      </c>
      <c r="E16086" s="5">
        <v>112.1</v>
      </c>
      <c r="F16086" s="5">
        <v>222.4</v>
      </c>
      <c r="G16086" s="5">
        <v>110.5</v>
      </c>
      <c r="H16086" s="5">
        <v>110.4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112</v>
      </c>
      <c r="D16087" s="5">
        <v>0.1</v>
      </c>
      <c r="E16087" s="5">
        <v>112.1</v>
      </c>
      <c r="F16087" s="5">
        <v>222.4</v>
      </c>
      <c r="G16087" s="5">
        <v>110.5</v>
      </c>
      <c r="H16087" s="5">
        <v>110.4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112</v>
      </c>
      <c r="D16088" s="5">
        <v>0.1</v>
      </c>
      <c r="E16088" s="5">
        <v>112.1</v>
      </c>
      <c r="F16088" s="5">
        <v>222.4</v>
      </c>
      <c r="G16088" s="5">
        <v>110.5</v>
      </c>
      <c r="H16088" s="5">
        <v>110.4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112</v>
      </c>
      <c r="D16089" s="5">
        <v>0.1</v>
      </c>
      <c r="E16089" s="5">
        <v>112.1</v>
      </c>
      <c r="F16089" s="5">
        <v>222.4</v>
      </c>
      <c r="G16089" s="5">
        <v>110.5</v>
      </c>
      <c r="H16089" s="5">
        <v>110.4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112</v>
      </c>
      <c r="D16090" s="5">
        <v>0.1</v>
      </c>
      <c r="E16090" s="5">
        <v>112.1</v>
      </c>
      <c r="F16090" s="5">
        <v>222.4</v>
      </c>
      <c r="G16090" s="5">
        <v>110.5</v>
      </c>
      <c r="H16090" s="5">
        <v>110.4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112</v>
      </c>
      <c r="D16091" s="5">
        <v>0.1</v>
      </c>
      <c r="E16091" s="5">
        <v>112.1</v>
      </c>
      <c r="F16091" s="5">
        <v>222.4</v>
      </c>
      <c r="G16091" s="5">
        <v>110.5</v>
      </c>
      <c r="H16091" s="5">
        <v>110.4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112</v>
      </c>
      <c r="D16092" s="5">
        <v>0.1</v>
      </c>
      <c r="E16092" s="5">
        <v>112.1</v>
      </c>
      <c r="F16092" s="5">
        <v>222.4</v>
      </c>
      <c r="G16092" s="5">
        <v>110.5</v>
      </c>
      <c r="H16092" s="5">
        <v>110.4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112</v>
      </c>
      <c r="D16093" s="5">
        <v>0.1</v>
      </c>
      <c r="E16093" s="5">
        <v>112.1</v>
      </c>
      <c r="F16093" s="5">
        <v>222.4</v>
      </c>
      <c r="G16093" s="5">
        <v>110.5</v>
      </c>
      <c r="H16093" s="5">
        <v>110.4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112</v>
      </c>
      <c r="D16094" s="5">
        <v>0.1</v>
      </c>
      <c r="E16094" s="5">
        <v>112.1</v>
      </c>
      <c r="F16094" s="5">
        <v>222.4</v>
      </c>
      <c r="G16094" s="5">
        <v>110.5</v>
      </c>
      <c r="H16094" s="5">
        <v>110.4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112</v>
      </c>
      <c r="D16095" s="5">
        <v>0.1</v>
      </c>
      <c r="E16095" s="5">
        <v>112.1</v>
      </c>
      <c r="F16095" s="5">
        <v>222.4</v>
      </c>
      <c r="G16095" s="5">
        <v>110.5</v>
      </c>
      <c r="H16095" s="5">
        <v>110.4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112</v>
      </c>
      <c r="D16096" s="5">
        <v>0.1</v>
      </c>
      <c r="E16096" s="5">
        <v>112.1</v>
      </c>
      <c r="F16096" s="5">
        <v>222.4</v>
      </c>
      <c r="G16096" s="5">
        <v>110.5</v>
      </c>
      <c r="H16096" s="5">
        <v>110.4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112</v>
      </c>
      <c r="D16097" s="5">
        <v>0.1</v>
      </c>
      <c r="E16097" s="5">
        <v>112.1</v>
      </c>
      <c r="F16097" s="5">
        <v>222.4</v>
      </c>
      <c r="G16097" s="5">
        <v>110.5</v>
      </c>
      <c r="H16097" s="5">
        <v>110.4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112</v>
      </c>
      <c r="D16098" s="5">
        <v>0.1</v>
      </c>
      <c r="E16098" s="5">
        <v>112.1</v>
      </c>
      <c r="F16098" s="5">
        <v>222.4</v>
      </c>
      <c r="G16098" s="5">
        <v>110.5</v>
      </c>
      <c r="H16098" s="5">
        <v>110.4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112</v>
      </c>
      <c r="D16099" s="5">
        <v>0.1</v>
      </c>
      <c r="E16099" s="5">
        <v>112.1</v>
      </c>
      <c r="F16099" s="5">
        <v>222.4</v>
      </c>
      <c r="G16099" s="5">
        <v>110.5</v>
      </c>
      <c r="H16099" s="5">
        <v>110.4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112</v>
      </c>
      <c r="D16100" s="5">
        <v>0.1</v>
      </c>
      <c r="E16100" s="5">
        <v>112.1</v>
      </c>
      <c r="F16100" s="5">
        <v>222.4</v>
      </c>
      <c r="G16100" s="5">
        <v>110.5</v>
      </c>
      <c r="H16100" s="5">
        <v>110.4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112</v>
      </c>
      <c r="D16101" s="5">
        <v>0.1</v>
      </c>
      <c r="E16101" s="5">
        <v>112.1</v>
      </c>
      <c r="F16101" s="5">
        <v>222.4</v>
      </c>
      <c r="G16101" s="5">
        <v>110.5</v>
      </c>
      <c r="H16101" s="5">
        <v>110.4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112</v>
      </c>
      <c r="D16102" s="5">
        <v>0.1</v>
      </c>
      <c r="E16102" s="5">
        <v>112.1</v>
      </c>
      <c r="F16102" s="5">
        <v>222.4</v>
      </c>
      <c r="G16102" s="5">
        <v>110.5</v>
      </c>
      <c r="H16102" s="5">
        <v>110.4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112</v>
      </c>
      <c r="D16103" s="5">
        <v>0.1</v>
      </c>
      <c r="E16103" s="5">
        <v>112.1</v>
      </c>
      <c r="F16103" s="5">
        <v>222.4</v>
      </c>
      <c r="G16103" s="5">
        <v>110.5</v>
      </c>
      <c r="H16103" s="5">
        <v>110.4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112</v>
      </c>
      <c r="D16104" s="5">
        <v>0.1</v>
      </c>
      <c r="E16104" s="5">
        <v>112.1</v>
      </c>
      <c r="F16104" s="5">
        <v>222.4</v>
      </c>
      <c r="G16104" s="5">
        <v>110.5</v>
      </c>
      <c r="H16104" s="5">
        <v>110.4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112</v>
      </c>
      <c r="D16105" s="5">
        <v>0.1</v>
      </c>
      <c r="E16105" s="5">
        <v>112.1</v>
      </c>
      <c r="F16105" s="5">
        <v>222.4</v>
      </c>
      <c r="G16105" s="5">
        <v>110.5</v>
      </c>
      <c r="H16105" s="5">
        <v>110.4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112</v>
      </c>
      <c r="D16106" s="5">
        <v>0.1</v>
      </c>
      <c r="E16106" s="5">
        <v>112.1</v>
      </c>
      <c r="F16106" s="5">
        <v>222.4</v>
      </c>
      <c r="G16106" s="5">
        <v>110.5</v>
      </c>
      <c r="H16106" s="5">
        <v>110.4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112</v>
      </c>
      <c r="D16107" s="5">
        <v>0.1</v>
      </c>
      <c r="E16107" s="5">
        <v>112.1</v>
      </c>
      <c r="F16107" s="5">
        <v>222.4</v>
      </c>
      <c r="G16107" s="5">
        <v>110.5</v>
      </c>
      <c r="H16107" s="5">
        <v>110.4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112</v>
      </c>
      <c r="D16108" s="5">
        <v>0.1</v>
      </c>
      <c r="E16108" s="5">
        <v>112.1</v>
      </c>
      <c r="F16108" s="5">
        <v>222.4</v>
      </c>
      <c r="G16108" s="5">
        <v>110.5</v>
      </c>
      <c r="H16108" s="5">
        <v>110.4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112</v>
      </c>
      <c r="D16109" s="5">
        <v>0.1</v>
      </c>
      <c r="E16109" s="5">
        <v>112.1</v>
      </c>
      <c r="F16109" s="5">
        <v>222.4</v>
      </c>
      <c r="G16109" s="5">
        <v>110.5</v>
      </c>
      <c r="H16109" s="5">
        <v>110.4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112</v>
      </c>
      <c r="D16110" s="5">
        <v>0.1</v>
      </c>
      <c r="E16110" s="5">
        <v>112.1</v>
      </c>
      <c r="F16110" s="5">
        <v>222.4</v>
      </c>
      <c r="G16110" s="5">
        <v>110.5</v>
      </c>
      <c r="H16110" s="5">
        <v>110.4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112</v>
      </c>
      <c r="D16111" s="5">
        <v>0.1</v>
      </c>
      <c r="E16111" s="5">
        <v>112.1</v>
      </c>
      <c r="F16111" s="5">
        <v>222.4</v>
      </c>
      <c r="G16111" s="5">
        <v>110.5</v>
      </c>
      <c r="H16111" s="5">
        <v>110.4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112</v>
      </c>
      <c r="D16112" s="5">
        <v>0.1</v>
      </c>
      <c r="E16112" s="5">
        <v>112.1</v>
      </c>
      <c r="F16112" s="5">
        <v>222.4</v>
      </c>
      <c r="G16112" s="5">
        <v>110.5</v>
      </c>
      <c r="H16112" s="5">
        <v>110.4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112</v>
      </c>
      <c r="D16113" s="5">
        <v>0.1</v>
      </c>
      <c r="E16113" s="5">
        <v>112.1</v>
      </c>
      <c r="F16113" s="5">
        <v>222.4</v>
      </c>
      <c r="G16113" s="5">
        <v>110.5</v>
      </c>
      <c r="H16113" s="5">
        <v>110.4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112</v>
      </c>
      <c r="D16114" s="5">
        <v>0.1</v>
      </c>
      <c r="E16114" s="5">
        <v>112.1</v>
      </c>
      <c r="F16114" s="5">
        <v>222.4</v>
      </c>
      <c r="G16114" s="5">
        <v>110.5</v>
      </c>
      <c r="H16114" s="5">
        <v>110.4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112</v>
      </c>
      <c r="D16115" s="5">
        <v>0.1</v>
      </c>
      <c r="E16115" s="5">
        <v>112.1</v>
      </c>
      <c r="F16115" s="5">
        <v>222.4</v>
      </c>
      <c r="G16115" s="5">
        <v>110.5</v>
      </c>
      <c r="H16115" s="5">
        <v>110.4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112</v>
      </c>
      <c r="D16116" s="5">
        <v>0.1</v>
      </c>
      <c r="E16116" s="5">
        <v>112.1</v>
      </c>
      <c r="F16116" s="5">
        <v>222.4</v>
      </c>
      <c r="G16116" s="5">
        <v>110.5</v>
      </c>
      <c r="H16116" s="5">
        <v>110.4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112</v>
      </c>
      <c r="D16117" s="5">
        <v>0.1</v>
      </c>
      <c r="E16117" s="5">
        <v>112.1</v>
      </c>
      <c r="F16117" s="5">
        <v>222.4</v>
      </c>
      <c r="G16117" s="5">
        <v>110.5</v>
      </c>
      <c r="H16117" s="5">
        <v>110.4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112</v>
      </c>
      <c r="D16118" s="5">
        <v>0.1</v>
      </c>
      <c r="E16118" s="5">
        <v>112.1</v>
      </c>
      <c r="F16118" s="5">
        <v>222.4</v>
      </c>
      <c r="G16118" s="5">
        <v>110.5</v>
      </c>
      <c r="H16118" s="5">
        <v>110.4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112</v>
      </c>
      <c r="D16119" s="5">
        <v>0.1</v>
      </c>
      <c r="E16119" s="5">
        <v>112.1</v>
      </c>
      <c r="F16119" s="5">
        <v>222.4</v>
      </c>
      <c r="G16119" s="5">
        <v>110.5</v>
      </c>
      <c r="H16119" s="5">
        <v>110.4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112</v>
      </c>
      <c r="D16120" s="5">
        <v>0.1</v>
      </c>
      <c r="E16120" s="5">
        <v>112.1</v>
      </c>
      <c r="F16120" s="5">
        <v>222.4</v>
      </c>
      <c r="G16120" s="5">
        <v>110.5</v>
      </c>
      <c r="H16120" s="5">
        <v>110.4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112</v>
      </c>
      <c r="D16121" s="5">
        <v>0.1</v>
      </c>
      <c r="E16121" s="5">
        <v>112.1</v>
      </c>
      <c r="F16121" s="5">
        <v>222.4</v>
      </c>
      <c r="G16121" s="5">
        <v>110.5</v>
      </c>
      <c r="H16121" s="5">
        <v>110.4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112</v>
      </c>
      <c r="D16122" s="5">
        <v>0.1</v>
      </c>
      <c r="E16122" s="5">
        <v>112.1</v>
      </c>
      <c r="F16122" s="5">
        <v>222.4</v>
      </c>
      <c r="G16122" s="5">
        <v>110.5</v>
      </c>
      <c r="H16122" s="5">
        <v>110.4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112</v>
      </c>
      <c r="D16123" s="5">
        <v>0.1</v>
      </c>
      <c r="E16123" s="5">
        <v>112.1</v>
      </c>
      <c r="F16123" s="5">
        <v>222.4</v>
      </c>
      <c r="G16123" s="5">
        <v>110.5</v>
      </c>
      <c r="H16123" s="5">
        <v>110.4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112</v>
      </c>
      <c r="D16124" s="5">
        <v>0.1</v>
      </c>
      <c r="E16124" s="5">
        <v>112.1</v>
      </c>
      <c r="F16124" s="5">
        <v>222.4</v>
      </c>
      <c r="G16124" s="5">
        <v>110.5</v>
      </c>
      <c r="H16124" s="5">
        <v>110.4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112</v>
      </c>
      <c r="D16125" s="5">
        <v>0.1</v>
      </c>
      <c r="E16125" s="5">
        <v>112.1</v>
      </c>
      <c r="F16125" s="5">
        <v>222.4</v>
      </c>
      <c r="G16125" s="5">
        <v>110.5</v>
      </c>
      <c r="H16125" s="5">
        <v>110.4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112</v>
      </c>
      <c r="D16126" s="5">
        <v>0.1</v>
      </c>
      <c r="E16126" s="5">
        <v>112.1</v>
      </c>
      <c r="F16126" s="5">
        <v>222.4</v>
      </c>
      <c r="G16126" s="5">
        <v>110.5</v>
      </c>
      <c r="H16126" s="5">
        <v>110.4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112</v>
      </c>
      <c r="D16127" s="5">
        <v>0.1</v>
      </c>
      <c r="E16127" s="5">
        <v>112.1</v>
      </c>
      <c r="F16127" s="5">
        <v>222.4</v>
      </c>
      <c r="G16127" s="5">
        <v>110.5</v>
      </c>
      <c r="H16127" s="5">
        <v>110.4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112</v>
      </c>
      <c r="D16128" s="5">
        <v>0.1</v>
      </c>
      <c r="E16128" s="5">
        <v>112.1</v>
      </c>
      <c r="F16128" s="5">
        <v>222.4</v>
      </c>
      <c r="G16128" s="5">
        <v>110.5</v>
      </c>
      <c r="H16128" s="5">
        <v>110.4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112</v>
      </c>
      <c r="D16129" s="5">
        <v>0.1</v>
      </c>
      <c r="E16129" s="5">
        <v>112.1</v>
      </c>
      <c r="F16129" s="5">
        <v>222.4</v>
      </c>
      <c r="G16129" s="5">
        <v>110.5</v>
      </c>
      <c r="H16129" s="5">
        <v>110.4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112</v>
      </c>
      <c r="D16130" s="5">
        <v>0.1</v>
      </c>
      <c r="E16130" s="5">
        <v>112.1</v>
      </c>
      <c r="F16130" s="5">
        <v>222.4</v>
      </c>
      <c r="G16130" s="5">
        <v>110.5</v>
      </c>
      <c r="H16130" s="5">
        <v>110.4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112</v>
      </c>
      <c r="D16131" s="5">
        <v>0.1</v>
      </c>
      <c r="E16131" s="5">
        <v>112.1</v>
      </c>
      <c r="F16131" s="5">
        <v>222.4</v>
      </c>
      <c r="G16131" s="5">
        <v>110.5</v>
      </c>
      <c r="H16131" s="5">
        <v>110.4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112</v>
      </c>
      <c r="D16132" s="5">
        <v>0.1</v>
      </c>
      <c r="E16132" s="5">
        <v>112.1</v>
      </c>
      <c r="F16132" s="5">
        <v>222.4</v>
      </c>
      <c r="G16132" s="5">
        <v>110.5</v>
      </c>
      <c r="H16132" s="5">
        <v>110.4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112</v>
      </c>
      <c r="D16133" s="5">
        <v>0.1</v>
      </c>
      <c r="E16133" s="5">
        <v>112.1</v>
      </c>
      <c r="F16133" s="5">
        <v>222.4</v>
      </c>
      <c r="G16133" s="5">
        <v>110.5</v>
      </c>
      <c r="H16133" s="5">
        <v>110.4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112</v>
      </c>
      <c r="D16134" s="5">
        <v>0.1</v>
      </c>
      <c r="E16134" s="5">
        <v>112.1</v>
      </c>
      <c r="F16134" s="5">
        <v>222.4</v>
      </c>
      <c r="G16134" s="5">
        <v>110.5</v>
      </c>
      <c r="H16134" s="5">
        <v>110.4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112</v>
      </c>
      <c r="D16135" s="5">
        <v>0.1</v>
      </c>
      <c r="E16135" s="5">
        <v>112.1</v>
      </c>
      <c r="F16135" s="5">
        <v>222.4</v>
      </c>
      <c r="G16135" s="5">
        <v>110.5</v>
      </c>
      <c r="H16135" s="5">
        <v>110.4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112</v>
      </c>
      <c r="D16136" s="5">
        <v>0.1</v>
      </c>
      <c r="E16136" s="5">
        <v>112.1</v>
      </c>
      <c r="F16136" s="5">
        <v>222.4</v>
      </c>
      <c r="G16136" s="5">
        <v>110.5</v>
      </c>
      <c r="H16136" s="5">
        <v>110.4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112</v>
      </c>
      <c r="D16137" s="5">
        <v>0.1</v>
      </c>
      <c r="E16137" s="5">
        <v>112.1</v>
      </c>
      <c r="F16137" s="5">
        <v>222.4</v>
      </c>
      <c r="G16137" s="5">
        <v>110.5</v>
      </c>
      <c r="H16137" s="5">
        <v>110.4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112</v>
      </c>
      <c r="D16138" s="5">
        <v>0.1</v>
      </c>
      <c r="E16138" s="5">
        <v>112.1</v>
      </c>
      <c r="F16138" s="5">
        <v>222.4</v>
      </c>
      <c r="G16138" s="5">
        <v>110.5</v>
      </c>
      <c r="H16138" s="5">
        <v>110.4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112</v>
      </c>
      <c r="D16139" s="5">
        <v>0.1</v>
      </c>
      <c r="E16139" s="5">
        <v>112.1</v>
      </c>
      <c r="F16139" s="5">
        <v>222.4</v>
      </c>
      <c r="G16139" s="5">
        <v>110.5</v>
      </c>
      <c r="H16139" s="5">
        <v>110.4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112</v>
      </c>
      <c r="D16140" s="5">
        <v>0.1</v>
      </c>
      <c r="E16140" s="5">
        <v>112.1</v>
      </c>
      <c r="F16140" s="5">
        <v>222.4</v>
      </c>
      <c r="G16140" s="5">
        <v>110.5</v>
      </c>
      <c r="H16140" s="5">
        <v>110.4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112</v>
      </c>
      <c r="D16141" s="5">
        <v>0.1</v>
      </c>
      <c r="E16141" s="5">
        <v>112.1</v>
      </c>
      <c r="F16141" s="5">
        <v>222.4</v>
      </c>
      <c r="G16141" s="5">
        <v>110.5</v>
      </c>
      <c r="H16141" s="5">
        <v>110.4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112</v>
      </c>
      <c r="D16142" s="5">
        <v>0.1</v>
      </c>
      <c r="E16142" s="5">
        <v>112.1</v>
      </c>
      <c r="F16142" s="5">
        <v>222.4</v>
      </c>
      <c r="G16142" s="5">
        <v>110.5</v>
      </c>
      <c r="H16142" s="5">
        <v>110.4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112</v>
      </c>
      <c r="D16143" s="5">
        <v>0.1</v>
      </c>
      <c r="E16143" s="5">
        <v>112.1</v>
      </c>
      <c r="F16143" s="5">
        <v>222.4</v>
      </c>
      <c r="G16143" s="5">
        <v>110.5</v>
      </c>
      <c r="H16143" s="5">
        <v>110.4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112</v>
      </c>
      <c r="D16144" s="5">
        <v>0.1</v>
      </c>
      <c r="E16144" s="5">
        <v>112.1</v>
      </c>
      <c r="F16144" s="5">
        <v>222.4</v>
      </c>
      <c r="G16144" s="5">
        <v>110.5</v>
      </c>
      <c r="H16144" s="5">
        <v>110.4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112</v>
      </c>
      <c r="D16145" s="5">
        <v>0.1</v>
      </c>
      <c r="E16145" s="5">
        <v>112.1</v>
      </c>
      <c r="F16145" s="5">
        <v>222.4</v>
      </c>
      <c r="G16145" s="5">
        <v>110.5</v>
      </c>
      <c r="H16145" s="5">
        <v>110.4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112</v>
      </c>
      <c r="D16146" s="5">
        <v>0.1</v>
      </c>
      <c r="E16146" s="5">
        <v>112.1</v>
      </c>
      <c r="F16146" s="5">
        <v>222.4</v>
      </c>
      <c r="G16146" s="5">
        <v>110.5</v>
      </c>
      <c r="H16146" s="5">
        <v>110.4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112</v>
      </c>
      <c r="D16147" s="5">
        <v>0.1</v>
      </c>
      <c r="E16147" s="5">
        <v>112.1</v>
      </c>
      <c r="F16147" s="5">
        <v>222.4</v>
      </c>
      <c r="G16147" s="5">
        <v>110.5</v>
      </c>
      <c r="H16147" s="5">
        <v>110.4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112</v>
      </c>
      <c r="D16148" s="5">
        <v>0.1</v>
      </c>
      <c r="E16148" s="5">
        <v>112.1</v>
      </c>
      <c r="F16148" s="5">
        <v>222.4</v>
      </c>
      <c r="G16148" s="5">
        <v>110.5</v>
      </c>
      <c r="H16148" s="5">
        <v>110.4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112</v>
      </c>
      <c r="D16149" s="5">
        <v>0.1</v>
      </c>
      <c r="E16149" s="5">
        <v>112.1</v>
      </c>
      <c r="F16149" s="5">
        <v>222.4</v>
      </c>
      <c r="G16149" s="5">
        <v>110.5</v>
      </c>
      <c r="H16149" s="5">
        <v>110.4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112</v>
      </c>
      <c r="D16150" s="5">
        <v>0.1</v>
      </c>
      <c r="E16150" s="5">
        <v>112.1</v>
      </c>
      <c r="F16150" s="5">
        <v>222.4</v>
      </c>
      <c r="G16150" s="5">
        <v>110.5</v>
      </c>
      <c r="H16150" s="5">
        <v>110.4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112</v>
      </c>
      <c r="D16151" s="5">
        <v>0.1</v>
      </c>
      <c r="E16151" s="5">
        <v>112.1</v>
      </c>
      <c r="F16151" s="5">
        <v>222.4</v>
      </c>
      <c r="G16151" s="5">
        <v>110.5</v>
      </c>
      <c r="H16151" s="5">
        <v>110.4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112</v>
      </c>
      <c r="D16152" s="5">
        <v>0.1</v>
      </c>
      <c r="E16152" s="5">
        <v>112.1</v>
      </c>
      <c r="F16152" s="5">
        <v>222.4</v>
      </c>
      <c r="G16152" s="5">
        <v>110.5</v>
      </c>
      <c r="H16152" s="5">
        <v>110.4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112</v>
      </c>
      <c r="D16153" s="5">
        <v>0.1</v>
      </c>
      <c r="E16153" s="5">
        <v>112.1</v>
      </c>
      <c r="F16153" s="5">
        <v>222.4</v>
      </c>
      <c r="G16153" s="5">
        <v>110.5</v>
      </c>
      <c r="H16153" s="5">
        <v>110.4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112</v>
      </c>
      <c r="D16154" s="5">
        <v>0.1</v>
      </c>
      <c r="E16154" s="5">
        <v>112.1</v>
      </c>
      <c r="F16154" s="5">
        <v>222.4</v>
      </c>
      <c r="G16154" s="5">
        <v>110.5</v>
      </c>
      <c r="H16154" s="5">
        <v>110.4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112</v>
      </c>
      <c r="D16155" s="5">
        <v>0.1</v>
      </c>
      <c r="E16155" s="5">
        <v>112.1</v>
      </c>
      <c r="F16155" s="5">
        <v>222.4</v>
      </c>
      <c r="G16155" s="5">
        <v>110.5</v>
      </c>
      <c r="H16155" s="5">
        <v>110.4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112</v>
      </c>
      <c r="D16156" s="5">
        <v>0.1</v>
      </c>
      <c r="E16156" s="5">
        <v>112.1</v>
      </c>
      <c r="F16156" s="5">
        <v>222.4</v>
      </c>
      <c r="G16156" s="5">
        <v>110.5</v>
      </c>
      <c r="H16156" s="5">
        <v>110.4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112</v>
      </c>
      <c r="D16157" s="5">
        <v>0.1</v>
      </c>
      <c r="E16157" s="5">
        <v>112.1</v>
      </c>
      <c r="F16157" s="5">
        <v>222.4</v>
      </c>
      <c r="G16157" s="5">
        <v>110.5</v>
      </c>
      <c r="H16157" s="5">
        <v>110.4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112</v>
      </c>
      <c r="D16158" s="5">
        <v>0.1</v>
      </c>
      <c r="E16158" s="5">
        <v>112.1</v>
      </c>
      <c r="F16158" s="5">
        <v>222.4</v>
      </c>
      <c r="G16158" s="5">
        <v>110.5</v>
      </c>
      <c r="H16158" s="5">
        <v>110.4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112</v>
      </c>
      <c r="D16159" s="5">
        <v>0.1</v>
      </c>
      <c r="E16159" s="5">
        <v>112.1</v>
      </c>
      <c r="F16159" s="5">
        <v>222.4</v>
      </c>
      <c r="G16159" s="5">
        <v>110.5</v>
      </c>
      <c r="H16159" s="5">
        <v>110.4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112</v>
      </c>
      <c r="D16160" s="5">
        <v>0.1</v>
      </c>
      <c r="E16160" s="5">
        <v>112.1</v>
      </c>
      <c r="F16160" s="5">
        <v>222.4</v>
      </c>
      <c r="G16160" s="5">
        <v>110.5</v>
      </c>
      <c r="H16160" s="5">
        <v>110.4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112</v>
      </c>
      <c r="D16161" s="5">
        <v>0.1</v>
      </c>
      <c r="E16161" s="5">
        <v>112.1</v>
      </c>
      <c r="F16161" s="5">
        <v>222.4</v>
      </c>
      <c r="G16161" s="5">
        <v>110.5</v>
      </c>
      <c r="H16161" s="5">
        <v>110.4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112</v>
      </c>
      <c r="D16162" s="5">
        <v>0.1</v>
      </c>
      <c r="E16162" s="5">
        <v>112.1</v>
      </c>
      <c r="F16162" s="5">
        <v>222.4</v>
      </c>
      <c r="G16162" s="5">
        <v>110.5</v>
      </c>
      <c r="H16162" s="5">
        <v>110.4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112</v>
      </c>
      <c r="D16163" s="5">
        <v>0.1</v>
      </c>
      <c r="E16163" s="5">
        <v>112.1</v>
      </c>
      <c r="F16163" s="5">
        <v>222.4</v>
      </c>
      <c r="G16163" s="5">
        <v>110.5</v>
      </c>
      <c r="H16163" s="5">
        <v>110.4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112</v>
      </c>
      <c r="D16164" s="5">
        <v>0.1</v>
      </c>
      <c r="E16164" s="5">
        <v>112.1</v>
      </c>
      <c r="F16164" s="5">
        <v>222.4</v>
      </c>
      <c r="G16164" s="5">
        <v>110.5</v>
      </c>
      <c r="H16164" s="5">
        <v>110.4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112</v>
      </c>
      <c r="D16165" s="5">
        <v>0.1</v>
      </c>
      <c r="E16165" s="5">
        <v>112.1</v>
      </c>
      <c r="F16165" s="5">
        <v>222.4</v>
      </c>
      <c r="G16165" s="5">
        <v>110.5</v>
      </c>
      <c r="H16165" s="5">
        <v>110.4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112</v>
      </c>
      <c r="D16166" s="5">
        <v>0.1</v>
      </c>
      <c r="E16166" s="5">
        <v>112.1</v>
      </c>
      <c r="F16166" s="5">
        <v>222.4</v>
      </c>
      <c r="G16166" s="5">
        <v>110.5</v>
      </c>
      <c r="H16166" s="5">
        <v>110.4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112</v>
      </c>
      <c r="D16167" s="5">
        <v>0.1</v>
      </c>
      <c r="E16167" s="5">
        <v>112.1</v>
      </c>
      <c r="F16167" s="5">
        <v>222.4</v>
      </c>
      <c r="G16167" s="5">
        <v>110.5</v>
      </c>
      <c r="H16167" s="5">
        <v>110.4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112</v>
      </c>
      <c r="D16168" s="5">
        <v>0.1</v>
      </c>
      <c r="E16168" s="5">
        <v>112.1</v>
      </c>
      <c r="F16168" s="5">
        <v>222.4</v>
      </c>
      <c r="G16168" s="5">
        <v>110.5</v>
      </c>
      <c r="H16168" s="5">
        <v>110.4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112</v>
      </c>
      <c r="D16169" s="5">
        <v>0.1</v>
      </c>
      <c r="E16169" s="5">
        <v>112.1</v>
      </c>
      <c r="F16169" s="5">
        <v>222.4</v>
      </c>
      <c r="G16169" s="5">
        <v>110.5</v>
      </c>
      <c r="H16169" s="5">
        <v>110.4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112</v>
      </c>
      <c r="D16170" s="5">
        <v>0.1</v>
      </c>
      <c r="E16170" s="5">
        <v>112.1</v>
      </c>
      <c r="F16170" s="5">
        <v>222.4</v>
      </c>
      <c r="G16170" s="5">
        <v>110.5</v>
      </c>
      <c r="H16170" s="5">
        <v>110.4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112</v>
      </c>
      <c r="D16171" s="5">
        <v>0.1</v>
      </c>
      <c r="E16171" s="5">
        <v>112.1</v>
      </c>
      <c r="F16171" s="5">
        <v>222.4</v>
      </c>
      <c r="G16171" s="5">
        <v>110.5</v>
      </c>
      <c r="H16171" s="5">
        <v>110.4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112</v>
      </c>
      <c r="D16172" s="5">
        <v>0.1</v>
      </c>
      <c r="E16172" s="5">
        <v>112.1</v>
      </c>
      <c r="F16172" s="5">
        <v>222.4</v>
      </c>
      <c r="G16172" s="5">
        <v>110.5</v>
      </c>
      <c r="H16172" s="5">
        <v>110.4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112</v>
      </c>
      <c r="D16173" s="5">
        <v>0.1</v>
      </c>
      <c r="E16173" s="5">
        <v>112.1</v>
      </c>
      <c r="F16173" s="5">
        <v>222.4</v>
      </c>
      <c r="G16173" s="5">
        <v>110.5</v>
      </c>
      <c r="H16173" s="5">
        <v>110.4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112</v>
      </c>
      <c r="D16174" s="5">
        <v>0.1</v>
      </c>
      <c r="E16174" s="5">
        <v>112.1</v>
      </c>
      <c r="F16174" s="5">
        <v>222.4</v>
      </c>
      <c r="G16174" s="5">
        <v>110.5</v>
      </c>
      <c r="H16174" s="5">
        <v>110.4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112</v>
      </c>
      <c r="D16175" s="5">
        <v>0.1</v>
      </c>
      <c r="E16175" s="5">
        <v>112.1</v>
      </c>
      <c r="F16175" s="5">
        <v>222.4</v>
      </c>
      <c r="G16175" s="5">
        <v>110.5</v>
      </c>
      <c r="H16175" s="5">
        <v>110.4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112</v>
      </c>
      <c r="D16176" s="5">
        <v>0.1</v>
      </c>
      <c r="E16176" s="5">
        <v>112.1</v>
      </c>
      <c r="F16176" s="5">
        <v>222.4</v>
      </c>
      <c r="G16176" s="5">
        <v>110.5</v>
      </c>
      <c r="H16176" s="5">
        <v>110.4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112</v>
      </c>
      <c r="D16177" s="5">
        <v>0.1</v>
      </c>
      <c r="E16177" s="5">
        <v>112.1</v>
      </c>
      <c r="F16177" s="5">
        <v>222.4</v>
      </c>
      <c r="G16177" s="5">
        <v>110.5</v>
      </c>
      <c r="H16177" s="5">
        <v>110.4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112</v>
      </c>
      <c r="D16178" s="5">
        <v>0.1</v>
      </c>
      <c r="E16178" s="5">
        <v>112.1</v>
      </c>
      <c r="F16178" s="5">
        <v>222.4</v>
      </c>
      <c r="G16178" s="5">
        <v>110.5</v>
      </c>
      <c r="H16178" s="5">
        <v>110.4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112</v>
      </c>
      <c r="D16179" s="5">
        <v>0.1</v>
      </c>
      <c r="E16179" s="5">
        <v>112.1</v>
      </c>
      <c r="F16179" s="5">
        <v>222.4</v>
      </c>
      <c r="G16179" s="5">
        <v>110.5</v>
      </c>
      <c r="H16179" s="5">
        <v>110.4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112</v>
      </c>
      <c r="D16180" s="5">
        <v>0.1</v>
      </c>
      <c r="E16180" s="5">
        <v>112.1</v>
      </c>
      <c r="F16180" s="5">
        <v>222.4</v>
      </c>
      <c r="G16180" s="5">
        <v>110.5</v>
      </c>
      <c r="H16180" s="5">
        <v>110.4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112</v>
      </c>
      <c r="D16181" s="5">
        <v>0.1</v>
      </c>
      <c r="E16181" s="5">
        <v>112.1</v>
      </c>
      <c r="F16181" s="5">
        <v>222.4</v>
      </c>
      <c r="G16181" s="5">
        <v>110.5</v>
      </c>
      <c r="H16181" s="5">
        <v>110.4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112</v>
      </c>
      <c r="D16182" s="5">
        <v>0.1</v>
      </c>
      <c r="E16182" s="5">
        <v>112.1</v>
      </c>
      <c r="F16182" s="5">
        <v>222.4</v>
      </c>
      <c r="G16182" s="5">
        <v>110.5</v>
      </c>
      <c r="H16182" s="5">
        <v>110.4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112</v>
      </c>
      <c r="D16183" s="5">
        <v>0.1</v>
      </c>
      <c r="E16183" s="5">
        <v>112.1</v>
      </c>
      <c r="F16183" s="5">
        <v>222.4</v>
      </c>
      <c r="G16183" s="5">
        <v>110.5</v>
      </c>
      <c r="H16183" s="5">
        <v>110.4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112</v>
      </c>
      <c r="D16184" s="5">
        <v>0.1</v>
      </c>
      <c r="E16184" s="5">
        <v>112.1</v>
      </c>
      <c r="F16184" s="5">
        <v>222.4</v>
      </c>
      <c r="G16184" s="5">
        <v>110.5</v>
      </c>
      <c r="H16184" s="5">
        <v>110.4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112</v>
      </c>
      <c r="D16185" s="5">
        <v>0.1</v>
      </c>
      <c r="E16185" s="5">
        <v>112.1</v>
      </c>
      <c r="F16185" s="5">
        <v>222.4</v>
      </c>
      <c r="G16185" s="5">
        <v>110.5</v>
      </c>
      <c r="H16185" s="5">
        <v>110.4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112</v>
      </c>
      <c r="D16186" s="5">
        <v>0.1</v>
      </c>
      <c r="E16186" s="5">
        <v>112.1</v>
      </c>
      <c r="F16186" s="5">
        <v>222.4</v>
      </c>
      <c r="G16186" s="5">
        <v>110.5</v>
      </c>
      <c r="H16186" s="5">
        <v>110.4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112</v>
      </c>
      <c r="D16187" s="5">
        <v>0.1</v>
      </c>
      <c r="E16187" s="5">
        <v>112.1</v>
      </c>
      <c r="F16187" s="5">
        <v>222.4</v>
      </c>
      <c r="G16187" s="5">
        <v>110.5</v>
      </c>
      <c r="H16187" s="5">
        <v>110.4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112</v>
      </c>
      <c r="D16188" s="5">
        <v>0.1</v>
      </c>
      <c r="E16188" s="5">
        <v>112.1</v>
      </c>
      <c r="F16188" s="5">
        <v>222.4</v>
      </c>
      <c r="G16188" s="5">
        <v>110.5</v>
      </c>
      <c r="H16188" s="5">
        <v>110.4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112</v>
      </c>
      <c r="D16189" s="5">
        <v>0.1</v>
      </c>
      <c r="E16189" s="5">
        <v>112.1</v>
      </c>
      <c r="F16189" s="5">
        <v>222.4</v>
      </c>
      <c r="G16189" s="5">
        <v>110.5</v>
      </c>
      <c r="H16189" s="5">
        <v>110.4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112</v>
      </c>
      <c r="D16190" s="5">
        <v>0.1</v>
      </c>
      <c r="E16190" s="5">
        <v>112.1</v>
      </c>
      <c r="F16190" s="5">
        <v>222.4</v>
      </c>
      <c r="G16190" s="5">
        <v>110.5</v>
      </c>
      <c r="H16190" s="5">
        <v>110.4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112</v>
      </c>
      <c r="D16191" s="5">
        <v>0.1</v>
      </c>
      <c r="E16191" s="5">
        <v>112.1</v>
      </c>
      <c r="F16191" s="5">
        <v>222.4</v>
      </c>
      <c r="G16191" s="5">
        <v>110.5</v>
      </c>
      <c r="H16191" s="5">
        <v>110.4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112</v>
      </c>
      <c r="D16192" s="5">
        <v>0.1</v>
      </c>
      <c r="E16192" s="5">
        <v>112.1</v>
      </c>
      <c r="F16192" s="5">
        <v>222.4</v>
      </c>
      <c r="G16192" s="5">
        <v>110.5</v>
      </c>
      <c r="H16192" s="5">
        <v>110.4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112</v>
      </c>
      <c r="D16193" s="5">
        <v>0.1</v>
      </c>
      <c r="E16193" s="5">
        <v>112.1</v>
      </c>
      <c r="F16193" s="5">
        <v>222.4</v>
      </c>
      <c r="G16193" s="5">
        <v>110.5</v>
      </c>
      <c r="H16193" s="5">
        <v>110.4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112</v>
      </c>
      <c r="D16194" s="5">
        <v>0.1</v>
      </c>
      <c r="E16194" s="5">
        <v>112.1</v>
      </c>
      <c r="F16194" s="5">
        <v>222.4</v>
      </c>
      <c r="G16194" s="5">
        <v>110.5</v>
      </c>
      <c r="H16194" s="5">
        <v>110.4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112</v>
      </c>
      <c r="D16195" s="5">
        <v>0.1</v>
      </c>
      <c r="E16195" s="5">
        <v>112.1</v>
      </c>
      <c r="F16195" s="5">
        <v>222.4</v>
      </c>
      <c r="G16195" s="5">
        <v>110.5</v>
      </c>
      <c r="H16195" s="5">
        <v>110.4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112</v>
      </c>
      <c r="D16196" s="5">
        <v>0.1</v>
      </c>
      <c r="E16196" s="5">
        <v>112.1</v>
      </c>
      <c r="F16196" s="5">
        <v>222.4</v>
      </c>
      <c r="G16196" s="5">
        <v>110.5</v>
      </c>
      <c r="H16196" s="5">
        <v>110.4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112</v>
      </c>
      <c r="D16197" s="5">
        <v>0.1</v>
      </c>
      <c r="E16197" s="5">
        <v>112.1</v>
      </c>
      <c r="F16197" s="5">
        <v>222.4</v>
      </c>
      <c r="G16197" s="5">
        <v>110.5</v>
      </c>
      <c r="H16197" s="5">
        <v>110.4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112</v>
      </c>
      <c r="D16198" s="5">
        <v>0.1</v>
      </c>
      <c r="E16198" s="5">
        <v>112.1</v>
      </c>
      <c r="F16198" s="5">
        <v>222.4</v>
      </c>
      <c r="G16198" s="5">
        <v>110.5</v>
      </c>
      <c r="H16198" s="5">
        <v>110.4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112</v>
      </c>
      <c r="D16199" s="5">
        <v>0.1</v>
      </c>
      <c r="E16199" s="5">
        <v>112.1</v>
      </c>
      <c r="F16199" s="5">
        <v>222.4</v>
      </c>
      <c r="G16199" s="5">
        <v>110.5</v>
      </c>
      <c r="H16199" s="5">
        <v>110.4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112</v>
      </c>
      <c r="D16200" s="5">
        <v>0.1</v>
      </c>
      <c r="E16200" s="5">
        <v>112.1</v>
      </c>
      <c r="F16200" s="5">
        <v>222.4</v>
      </c>
      <c r="G16200" s="5">
        <v>110.5</v>
      </c>
      <c r="H16200" s="5">
        <v>110.4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112</v>
      </c>
      <c r="D16201" s="5">
        <v>0.1</v>
      </c>
      <c r="E16201" s="5">
        <v>112.1</v>
      </c>
      <c r="F16201" s="5">
        <v>222.4</v>
      </c>
      <c r="G16201" s="5">
        <v>110.5</v>
      </c>
      <c r="H16201" s="5">
        <v>110.4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112</v>
      </c>
      <c r="D16202" s="5">
        <v>0.1</v>
      </c>
      <c r="E16202" s="5">
        <v>112.1</v>
      </c>
      <c r="F16202" s="5">
        <v>222.4</v>
      </c>
      <c r="G16202" s="5">
        <v>110.5</v>
      </c>
      <c r="H16202" s="5">
        <v>110.4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112</v>
      </c>
      <c r="D16203" s="5">
        <v>0.1</v>
      </c>
      <c r="E16203" s="5">
        <v>112.1</v>
      </c>
      <c r="F16203" s="5">
        <v>222.4</v>
      </c>
      <c r="G16203" s="5">
        <v>110.5</v>
      </c>
      <c r="H16203" s="5">
        <v>110.4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112</v>
      </c>
      <c r="D16204" s="5">
        <v>0.1</v>
      </c>
      <c r="E16204" s="5">
        <v>112.1</v>
      </c>
      <c r="F16204" s="5">
        <v>222.4</v>
      </c>
      <c r="G16204" s="5">
        <v>110.5</v>
      </c>
      <c r="H16204" s="5">
        <v>110.4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112</v>
      </c>
      <c r="D16205" s="5">
        <v>0.1</v>
      </c>
      <c r="E16205" s="5">
        <v>112.1</v>
      </c>
      <c r="F16205" s="5">
        <v>222.4</v>
      </c>
      <c r="G16205" s="5">
        <v>110.5</v>
      </c>
      <c r="H16205" s="5">
        <v>110.4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112</v>
      </c>
      <c r="D16206" s="5">
        <v>0.1</v>
      </c>
      <c r="E16206" s="5">
        <v>112.1</v>
      </c>
      <c r="F16206" s="5">
        <v>222.4</v>
      </c>
      <c r="G16206" s="5">
        <v>110.5</v>
      </c>
      <c r="H16206" s="5">
        <v>110.4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112</v>
      </c>
      <c r="D16207" s="5">
        <v>0.1</v>
      </c>
      <c r="E16207" s="5">
        <v>112.1</v>
      </c>
      <c r="F16207" s="5">
        <v>222.4</v>
      </c>
      <c r="G16207" s="5">
        <v>110.5</v>
      </c>
      <c r="H16207" s="5">
        <v>110.4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112</v>
      </c>
      <c r="D16208" s="5">
        <v>0.1</v>
      </c>
      <c r="E16208" s="5">
        <v>112.1</v>
      </c>
      <c r="F16208" s="5">
        <v>222.4</v>
      </c>
      <c r="G16208" s="5">
        <v>110.5</v>
      </c>
      <c r="H16208" s="5">
        <v>110.4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112</v>
      </c>
      <c r="D16209" s="5">
        <v>0.1</v>
      </c>
      <c r="E16209" s="5">
        <v>112.1</v>
      </c>
      <c r="F16209" s="5">
        <v>222.4</v>
      </c>
      <c r="G16209" s="5">
        <v>110.5</v>
      </c>
      <c r="H16209" s="5">
        <v>110.4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112</v>
      </c>
      <c r="D16210" s="5">
        <v>0.1</v>
      </c>
      <c r="E16210" s="5">
        <v>112.1</v>
      </c>
      <c r="F16210" s="5">
        <v>222.4</v>
      </c>
      <c r="G16210" s="5">
        <v>110.5</v>
      </c>
      <c r="H16210" s="5">
        <v>110.4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112</v>
      </c>
      <c r="D16211" s="5">
        <v>0.1</v>
      </c>
      <c r="E16211" s="5">
        <v>112.1</v>
      </c>
      <c r="F16211" s="5">
        <v>222.4</v>
      </c>
      <c r="G16211" s="5">
        <v>110.5</v>
      </c>
      <c r="H16211" s="5">
        <v>110.4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112</v>
      </c>
      <c r="D16212" s="5">
        <v>0.1</v>
      </c>
      <c r="E16212" s="5">
        <v>112.1</v>
      </c>
      <c r="F16212" s="5">
        <v>222.4</v>
      </c>
      <c r="G16212" s="5">
        <v>110.5</v>
      </c>
      <c r="H16212" s="5">
        <v>110.4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112</v>
      </c>
      <c r="D16213" s="5">
        <v>0.1</v>
      </c>
      <c r="E16213" s="5">
        <v>112.1</v>
      </c>
      <c r="F16213" s="5">
        <v>222.4</v>
      </c>
      <c r="G16213" s="5">
        <v>110.5</v>
      </c>
      <c r="H16213" s="5">
        <v>110.4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112</v>
      </c>
      <c r="D16214" s="5">
        <v>0.1</v>
      </c>
      <c r="E16214" s="5">
        <v>112.1</v>
      </c>
      <c r="F16214" s="5">
        <v>222.4</v>
      </c>
      <c r="G16214" s="5">
        <v>110.5</v>
      </c>
      <c r="H16214" s="5">
        <v>110.4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112</v>
      </c>
      <c r="D16215" s="5">
        <v>0.1</v>
      </c>
      <c r="E16215" s="5">
        <v>112.1</v>
      </c>
      <c r="F16215" s="5">
        <v>222.4</v>
      </c>
      <c r="G16215" s="5">
        <v>110.5</v>
      </c>
      <c r="H16215" s="5">
        <v>110.4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112</v>
      </c>
      <c r="D16216" s="5">
        <v>0.1</v>
      </c>
      <c r="E16216" s="5">
        <v>112.1</v>
      </c>
      <c r="F16216" s="5">
        <v>222.4</v>
      </c>
      <c r="G16216" s="5">
        <v>110.5</v>
      </c>
      <c r="H16216" s="5">
        <v>110.4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112</v>
      </c>
      <c r="D16217" s="5">
        <v>0.1</v>
      </c>
      <c r="E16217" s="5">
        <v>112.1</v>
      </c>
      <c r="F16217" s="5">
        <v>222.4</v>
      </c>
      <c r="G16217" s="5">
        <v>110.5</v>
      </c>
      <c r="H16217" s="5">
        <v>110.4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112</v>
      </c>
      <c r="D16218" s="5">
        <v>0.1</v>
      </c>
      <c r="E16218" s="5">
        <v>112.1</v>
      </c>
      <c r="F16218" s="5">
        <v>222.4</v>
      </c>
      <c r="G16218" s="5">
        <v>110.5</v>
      </c>
      <c r="H16218" s="5">
        <v>110.4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112</v>
      </c>
      <c r="D16219" s="5">
        <v>0.1</v>
      </c>
      <c r="E16219" s="5">
        <v>112.1</v>
      </c>
      <c r="F16219" s="5">
        <v>222.4</v>
      </c>
      <c r="G16219" s="5">
        <v>110.5</v>
      </c>
      <c r="H16219" s="5">
        <v>110.4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112</v>
      </c>
      <c r="D16220" s="5">
        <v>0.1</v>
      </c>
      <c r="E16220" s="5">
        <v>112.1</v>
      </c>
      <c r="F16220" s="5">
        <v>222.4</v>
      </c>
      <c r="G16220" s="5">
        <v>110.5</v>
      </c>
      <c r="H16220" s="5">
        <v>110.4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112</v>
      </c>
      <c r="D16221" s="5">
        <v>0.1</v>
      </c>
      <c r="E16221" s="5">
        <v>112.1</v>
      </c>
      <c r="F16221" s="5">
        <v>222.4</v>
      </c>
      <c r="G16221" s="5">
        <v>110.5</v>
      </c>
      <c r="H16221" s="5">
        <v>110.4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112</v>
      </c>
      <c r="D16222" s="5">
        <v>0.1</v>
      </c>
      <c r="E16222" s="5">
        <v>112.1</v>
      </c>
      <c r="F16222" s="5">
        <v>222.4</v>
      </c>
      <c r="G16222" s="5">
        <v>110.5</v>
      </c>
      <c r="H16222" s="5">
        <v>110.4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112</v>
      </c>
      <c r="D16223" s="5">
        <v>0.1</v>
      </c>
      <c r="E16223" s="5">
        <v>112.1</v>
      </c>
      <c r="F16223" s="5">
        <v>222.4</v>
      </c>
      <c r="G16223" s="5">
        <v>110.5</v>
      </c>
      <c r="H16223" s="5">
        <v>110.4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112</v>
      </c>
      <c r="D16224" s="5">
        <v>0.1</v>
      </c>
      <c r="E16224" s="5">
        <v>112.1</v>
      </c>
      <c r="F16224" s="5">
        <v>222.4</v>
      </c>
      <c r="G16224" s="5">
        <v>110.5</v>
      </c>
      <c r="H16224" s="5">
        <v>110.4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112</v>
      </c>
      <c r="D16225" s="5">
        <v>0.1</v>
      </c>
      <c r="E16225" s="5">
        <v>112.1</v>
      </c>
      <c r="F16225" s="5">
        <v>222.4</v>
      </c>
      <c r="G16225" s="5">
        <v>110.5</v>
      </c>
      <c r="H16225" s="5">
        <v>110.4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112</v>
      </c>
      <c r="D16226" s="5">
        <v>0.1</v>
      </c>
      <c r="E16226" s="5">
        <v>112.1</v>
      </c>
      <c r="F16226" s="5">
        <v>222.4</v>
      </c>
      <c r="G16226" s="5">
        <v>110.5</v>
      </c>
      <c r="H16226" s="5">
        <v>110.4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112</v>
      </c>
      <c r="D16227" s="5">
        <v>0.1</v>
      </c>
      <c r="E16227" s="5">
        <v>112.1</v>
      </c>
      <c r="F16227" s="5">
        <v>222.4</v>
      </c>
      <c r="G16227" s="5">
        <v>110.5</v>
      </c>
      <c r="H16227" s="5">
        <v>110.4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112</v>
      </c>
      <c r="D16228" s="5">
        <v>0.1</v>
      </c>
      <c r="E16228" s="5">
        <v>112.1</v>
      </c>
      <c r="F16228" s="5">
        <v>222.4</v>
      </c>
      <c r="G16228" s="5">
        <v>110.5</v>
      </c>
      <c r="H16228" s="5">
        <v>110.4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112</v>
      </c>
      <c r="D16229" s="5">
        <v>0.1</v>
      </c>
      <c r="E16229" s="5">
        <v>112.1</v>
      </c>
      <c r="F16229" s="5">
        <v>222.4</v>
      </c>
      <c r="G16229" s="5">
        <v>110.5</v>
      </c>
      <c r="H16229" s="5">
        <v>110.4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112</v>
      </c>
      <c r="D16230" s="5">
        <v>0.1</v>
      </c>
      <c r="E16230" s="5">
        <v>112.1</v>
      </c>
      <c r="F16230" s="5">
        <v>222.4</v>
      </c>
      <c r="G16230" s="5">
        <v>110.5</v>
      </c>
      <c r="H16230" s="5">
        <v>110.4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112</v>
      </c>
      <c r="D16231" s="5">
        <v>0.1</v>
      </c>
      <c r="E16231" s="5">
        <v>112.1</v>
      </c>
      <c r="F16231" s="5">
        <v>222.4</v>
      </c>
      <c r="G16231" s="5">
        <v>110.5</v>
      </c>
      <c r="H16231" s="5">
        <v>110.4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112</v>
      </c>
      <c r="D16232" s="5">
        <v>0.1</v>
      </c>
      <c r="E16232" s="5">
        <v>112.1</v>
      </c>
      <c r="F16232" s="5">
        <v>222.4</v>
      </c>
      <c r="G16232" s="5">
        <v>110.5</v>
      </c>
      <c r="H16232" s="5">
        <v>110.4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112</v>
      </c>
      <c r="D16233" s="5">
        <v>0.1</v>
      </c>
      <c r="E16233" s="5">
        <v>112.1</v>
      </c>
      <c r="F16233" s="5">
        <v>222.4</v>
      </c>
      <c r="G16233" s="5">
        <v>110.5</v>
      </c>
      <c r="H16233" s="5">
        <v>110.4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112</v>
      </c>
      <c r="D16234" s="5">
        <v>0.1</v>
      </c>
      <c r="E16234" s="5">
        <v>112.1</v>
      </c>
      <c r="F16234" s="5">
        <v>222.4</v>
      </c>
      <c r="G16234" s="5">
        <v>110.5</v>
      </c>
      <c r="H16234" s="5">
        <v>110.4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112</v>
      </c>
      <c r="D16235" s="5">
        <v>0.1</v>
      </c>
      <c r="E16235" s="5">
        <v>112.1</v>
      </c>
      <c r="F16235" s="5">
        <v>222.4</v>
      </c>
      <c r="G16235" s="5">
        <v>110.5</v>
      </c>
      <c r="H16235" s="5">
        <v>110.4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112</v>
      </c>
      <c r="D16236" s="5">
        <v>0.1</v>
      </c>
      <c r="E16236" s="5">
        <v>112.1</v>
      </c>
      <c r="F16236" s="5">
        <v>222.4</v>
      </c>
      <c r="G16236" s="5">
        <v>110.5</v>
      </c>
      <c r="H16236" s="5">
        <v>110.4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112</v>
      </c>
      <c r="D16237" s="5">
        <v>0.1</v>
      </c>
      <c r="E16237" s="5">
        <v>112.1</v>
      </c>
      <c r="F16237" s="5">
        <v>222.4</v>
      </c>
      <c r="G16237" s="5">
        <v>110.5</v>
      </c>
      <c r="H16237" s="5">
        <v>110.4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112</v>
      </c>
      <c r="D16238" s="5">
        <v>0.1</v>
      </c>
      <c r="E16238" s="5">
        <v>112.1</v>
      </c>
      <c r="F16238" s="5">
        <v>222.4</v>
      </c>
      <c r="G16238" s="5">
        <v>110.5</v>
      </c>
      <c r="H16238" s="5">
        <v>110.4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112</v>
      </c>
      <c r="D16239" s="5">
        <v>0.1</v>
      </c>
      <c r="E16239" s="5">
        <v>112.1</v>
      </c>
      <c r="F16239" s="5">
        <v>222.4</v>
      </c>
      <c r="G16239" s="5">
        <v>110.5</v>
      </c>
      <c r="H16239" s="5">
        <v>110.4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112</v>
      </c>
      <c r="D16240" s="5">
        <v>0.1</v>
      </c>
      <c r="E16240" s="5">
        <v>112.1</v>
      </c>
      <c r="F16240" s="5">
        <v>222.4</v>
      </c>
      <c r="G16240" s="5">
        <v>110.5</v>
      </c>
      <c r="H16240" s="5">
        <v>110.4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112</v>
      </c>
      <c r="D16241" s="5">
        <v>0.1</v>
      </c>
      <c r="E16241" s="5">
        <v>112.1</v>
      </c>
      <c r="F16241" s="5">
        <v>222.4</v>
      </c>
      <c r="G16241" s="5">
        <v>110.5</v>
      </c>
      <c r="H16241" s="5">
        <v>110.4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112</v>
      </c>
      <c r="D16242" s="5">
        <v>0.1</v>
      </c>
      <c r="E16242" s="5">
        <v>112.1</v>
      </c>
      <c r="F16242" s="5">
        <v>222.4</v>
      </c>
      <c r="G16242" s="5">
        <v>110.5</v>
      </c>
      <c r="H16242" s="5">
        <v>110.4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112</v>
      </c>
      <c r="D16243" s="5">
        <v>0.1</v>
      </c>
      <c r="E16243" s="5">
        <v>112.1</v>
      </c>
      <c r="F16243" s="5">
        <v>222.4</v>
      </c>
      <c r="G16243" s="5">
        <v>110.5</v>
      </c>
      <c r="H16243" s="5">
        <v>110.4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112</v>
      </c>
      <c r="D16244" s="5">
        <v>0.1</v>
      </c>
      <c r="E16244" s="5">
        <v>112.1</v>
      </c>
      <c r="F16244" s="5">
        <v>222.4</v>
      </c>
      <c r="G16244" s="5">
        <v>110.5</v>
      </c>
      <c r="H16244" s="5">
        <v>110.4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112</v>
      </c>
      <c r="D16245" s="5">
        <v>0.1</v>
      </c>
      <c r="E16245" s="5">
        <v>112.1</v>
      </c>
      <c r="F16245" s="5">
        <v>222.4</v>
      </c>
      <c r="G16245" s="5">
        <v>110.5</v>
      </c>
      <c r="H16245" s="5">
        <v>110.4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112</v>
      </c>
      <c r="D16246" s="5">
        <v>0.1</v>
      </c>
      <c r="E16246" s="5">
        <v>112.1</v>
      </c>
      <c r="F16246" s="5">
        <v>222.4</v>
      </c>
      <c r="G16246" s="5">
        <v>110.5</v>
      </c>
      <c r="H16246" s="5">
        <v>110.4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112</v>
      </c>
      <c r="D16247" s="5">
        <v>0.1</v>
      </c>
      <c r="E16247" s="5">
        <v>112.1</v>
      </c>
      <c r="F16247" s="5">
        <v>222.4</v>
      </c>
      <c r="G16247" s="5">
        <v>110.5</v>
      </c>
      <c r="H16247" s="5">
        <v>110.4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112</v>
      </c>
      <c r="D16248" s="5">
        <v>0.1</v>
      </c>
      <c r="E16248" s="5">
        <v>112.1</v>
      </c>
      <c r="F16248" s="5">
        <v>222.4</v>
      </c>
      <c r="G16248" s="5">
        <v>110.5</v>
      </c>
      <c r="H16248" s="5">
        <v>110.4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112</v>
      </c>
      <c r="D16249" s="5">
        <v>0.1</v>
      </c>
      <c r="E16249" s="5">
        <v>112.1</v>
      </c>
      <c r="F16249" s="5">
        <v>222.4</v>
      </c>
      <c r="G16249" s="5">
        <v>110.5</v>
      </c>
      <c r="H16249" s="5">
        <v>110.4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112</v>
      </c>
      <c r="D16250" s="5">
        <v>0.1</v>
      </c>
      <c r="E16250" s="5">
        <v>112.1</v>
      </c>
      <c r="F16250" s="5">
        <v>222.4</v>
      </c>
      <c r="G16250" s="5">
        <v>110.5</v>
      </c>
      <c r="H16250" s="5">
        <v>110.4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112</v>
      </c>
      <c r="D16251" s="5">
        <v>0.1</v>
      </c>
      <c r="E16251" s="5">
        <v>112.1</v>
      </c>
      <c r="F16251" s="5">
        <v>222.4</v>
      </c>
      <c r="G16251" s="5">
        <v>110.5</v>
      </c>
      <c r="H16251" s="5">
        <v>110.4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112</v>
      </c>
      <c r="D16252" s="5">
        <v>0.1</v>
      </c>
      <c r="E16252" s="5">
        <v>112.1</v>
      </c>
      <c r="F16252" s="5">
        <v>222.4</v>
      </c>
      <c r="G16252" s="5">
        <v>110.5</v>
      </c>
      <c r="H16252" s="5">
        <v>110.4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112</v>
      </c>
      <c r="D16253" s="5">
        <v>0.1</v>
      </c>
      <c r="E16253" s="5">
        <v>112.1</v>
      </c>
      <c r="F16253" s="5">
        <v>222.4</v>
      </c>
      <c r="G16253" s="5">
        <v>110.5</v>
      </c>
      <c r="H16253" s="5">
        <v>110.4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112</v>
      </c>
      <c r="D16254" s="5">
        <v>0.1</v>
      </c>
      <c r="E16254" s="5">
        <v>112.1</v>
      </c>
      <c r="F16254" s="5">
        <v>222.4</v>
      </c>
      <c r="G16254" s="5">
        <v>110.5</v>
      </c>
      <c r="H16254" s="5">
        <v>110.4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112</v>
      </c>
      <c r="D16255" s="5">
        <v>0.1</v>
      </c>
      <c r="E16255" s="5">
        <v>112.1</v>
      </c>
      <c r="F16255" s="5">
        <v>222.4</v>
      </c>
      <c r="G16255" s="5">
        <v>110.5</v>
      </c>
      <c r="H16255" s="5">
        <v>110.4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112</v>
      </c>
      <c r="D16256" s="5">
        <v>0.1</v>
      </c>
      <c r="E16256" s="5">
        <v>112.1</v>
      </c>
      <c r="F16256" s="5">
        <v>222.4</v>
      </c>
      <c r="G16256" s="5">
        <v>110.5</v>
      </c>
      <c r="H16256" s="5">
        <v>110.4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112</v>
      </c>
      <c r="D16257" s="5">
        <v>0.1</v>
      </c>
      <c r="E16257" s="5">
        <v>112.1</v>
      </c>
      <c r="F16257" s="5">
        <v>222.4</v>
      </c>
      <c r="G16257" s="5">
        <v>110.5</v>
      </c>
      <c r="H16257" s="5">
        <v>110.4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112</v>
      </c>
      <c r="D16258" s="5">
        <v>0.1</v>
      </c>
      <c r="E16258" s="5">
        <v>112.1</v>
      </c>
      <c r="F16258" s="5">
        <v>222.4</v>
      </c>
      <c r="G16258" s="5">
        <v>110.5</v>
      </c>
      <c r="H16258" s="5">
        <v>110.4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112</v>
      </c>
      <c r="D16259" s="5">
        <v>0.1</v>
      </c>
      <c r="E16259" s="5">
        <v>112.1</v>
      </c>
      <c r="F16259" s="5">
        <v>222.4</v>
      </c>
      <c r="G16259" s="5">
        <v>110.5</v>
      </c>
      <c r="H16259" s="5">
        <v>110.4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112</v>
      </c>
      <c r="D16260" s="5">
        <v>0.1</v>
      </c>
      <c r="E16260" s="5">
        <v>112.1</v>
      </c>
      <c r="F16260" s="5">
        <v>222.4</v>
      </c>
      <c r="G16260" s="5">
        <v>110.5</v>
      </c>
      <c r="H16260" s="5">
        <v>110.4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112</v>
      </c>
      <c r="D16261" s="5">
        <v>0.1</v>
      </c>
      <c r="E16261" s="5">
        <v>112.1</v>
      </c>
      <c r="F16261" s="5">
        <v>222.4</v>
      </c>
      <c r="G16261" s="5">
        <v>110.5</v>
      </c>
      <c r="H16261" s="5">
        <v>110.4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112</v>
      </c>
      <c r="D16262" s="5">
        <v>0.1</v>
      </c>
      <c r="E16262" s="5">
        <v>112.1</v>
      </c>
      <c r="F16262" s="5">
        <v>222.4</v>
      </c>
      <c r="G16262" s="5">
        <v>110.5</v>
      </c>
      <c r="H16262" s="5">
        <v>110.4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112</v>
      </c>
      <c r="D16263" s="5">
        <v>0.1</v>
      </c>
      <c r="E16263" s="5">
        <v>112.1</v>
      </c>
      <c r="F16263" s="5">
        <v>222.4</v>
      </c>
      <c r="G16263" s="5">
        <v>110.5</v>
      </c>
      <c r="H16263" s="5">
        <v>110.4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112</v>
      </c>
      <c r="D16264" s="5">
        <v>0.1</v>
      </c>
      <c r="E16264" s="5">
        <v>112.1</v>
      </c>
      <c r="F16264" s="5">
        <v>222.4</v>
      </c>
      <c r="G16264" s="5">
        <v>110.5</v>
      </c>
      <c r="H16264" s="5">
        <v>110.4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112</v>
      </c>
      <c r="D16265" s="5">
        <v>0.1</v>
      </c>
      <c r="E16265" s="5">
        <v>112.1</v>
      </c>
      <c r="F16265" s="5">
        <v>222.4</v>
      </c>
      <c r="G16265" s="5">
        <v>110.5</v>
      </c>
      <c r="H16265" s="5">
        <v>110.4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112</v>
      </c>
      <c r="D16266" s="5">
        <v>0.1</v>
      </c>
      <c r="E16266" s="5">
        <v>112.1</v>
      </c>
      <c r="F16266" s="5">
        <v>222.4</v>
      </c>
      <c r="G16266" s="5">
        <v>110.5</v>
      </c>
      <c r="H16266" s="5">
        <v>110.4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112</v>
      </c>
      <c r="D16267" s="5">
        <v>0.1</v>
      </c>
      <c r="E16267" s="5">
        <v>112.1</v>
      </c>
      <c r="F16267" s="5">
        <v>222.4</v>
      </c>
      <c r="G16267" s="5">
        <v>110.5</v>
      </c>
      <c r="H16267" s="5">
        <v>110.4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112</v>
      </c>
      <c r="D16268" s="5">
        <v>0.1</v>
      </c>
      <c r="E16268" s="5">
        <v>112.1</v>
      </c>
      <c r="F16268" s="5">
        <v>222.4</v>
      </c>
      <c r="G16268" s="5">
        <v>110.5</v>
      </c>
      <c r="H16268" s="5">
        <v>110.4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112</v>
      </c>
      <c r="D16269" s="5">
        <v>0.1</v>
      </c>
      <c r="E16269" s="5">
        <v>112.1</v>
      </c>
      <c r="F16269" s="5">
        <v>222.4</v>
      </c>
      <c r="G16269" s="5">
        <v>110.5</v>
      </c>
      <c r="H16269" s="5">
        <v>110.4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112</v>
      </c>
      <c r="D16270" s="5">
        <v>0.1</v>
      </c>
      <c r="E16270" s="5">
        <v>112.1</v>
      </c>
      <c r="F16270" s="5">
        <v>222.4</v>
      </c>
      <c r="G16270" s="5">
        <v>110.5</v>
      </c>
      <c r="H16270" s="5">
        <v>110.4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112</v>
      </c>
      <c r="D16271" s="5">
        <v>0.1</v>
      </c>
      <c r="E16271" s="5">
        <v>112.1</v>
      </c>
      <c r="F16271" s="5">
        <v>222.4</v>
      </c>
      <c r="G16271" s="5">
        <v>110.5</v>
      </c>
      <c r="H16271" s="5">
        <v>110.4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112</v>
      </c>
      <c r="D16272" s="5">
        <v>0.1</v>
      </c>
      <c r="E16272" s="5">
        <v>112.1</v>
      </c>
      <c r="F16272" s="5">
        <v>222.4</v>
      </c>
      <c r="G16272" s="5">
        <v>110.5</v>
      </c>
      <c r="H16272" s="5">
        <v>110.4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112</v>
      </c>
      <c r="D16273" s="5">
        <v>0.1</v>
      </c>
      <c r="E16273" s="5">
        <v>112.1</v>
      </c>
      <c r="F16273" s="5">
        <v>222.4</v>
      </c>
      <c r="G16273" s="5">
        <v>110.5</v>
      </c>
      <c r="H16273" s="5">
        <v>110.4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112</v>
      </c>
      <c r="D16274" s="5">
        <v>0.1</v>
      </c>
      <c r="E16274" s="5">
        <v>112.1</v>
      </c>
      <c r="F16274" s="5">
        <v>222.4</v>
      </c>
      <c r="G16274" s="5">
        <v>110.5</v>
      </c>
      <c r="H16274" s="5">
        <v>110.4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112</v>
      </c>
      <c r="D16275" s="5">
        <v>0.1</v>
      </c>
      <c r="E16275" s="5">
        <v>112.1</v>
      </c>
      <c r="F16275" s="5">
        <v>222.4</v>
      </c>
      <c r="G16275" s="5">
        <v>110.5</v>
      </c>
      <c r="H16275" s="5">
        <v>110.4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112</v>
      </c>
      <c r="D16276" s="5">
        <v>0.1</v>
      </c>
      <c r="E16276" s="5">
        <v>112.1</v>
      </c>
      <c r="F16276" s="5">
        <v>222.4</v>
      </c>
      <c r="G16276" s="5">
        <v>110.5</v>
      </c>
      <c r="H16276" s="5">
        <v>110.4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112</v>
      </c>
      <c r="D16277" s="5">
        <v>0.1</v>
      </c>
      <c r="E16277" s="5">
        <v>112.1</v>
      </c>
      <c r="F16277" s="5">
        <v>222.4</v>
      </c>
      <c r="G16277" s="5">
        <v>110.5</v>
      </c>
      <c r="H16277" s="5">
        <v>110.4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112</v>
      </c>
      <c r="D16278" s="5">
        <v>0.1</v>
      </c>
      <c r="E16278" s="5">
        <v>112.1</v>
      </c>
      <c r="F16278" s="5">
        <v>222.4</v>
      </c>
      <c r="G16278" s="5">
        <v>110.5</v>
      </c>
      <c r="H16278" s="5">
        <v>110.4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112</v>
      </c>
      <c r="D16279" s="5">
        <v>0.1</v>
      </c>
      <c r="E16279" s="5">
        <v>112.1</v>
      </c>
      <c r="F16279" s="5">
        <v>222.4</v>
      </c>
      <c r="G16279" s="5">
        <v>110.5</v>
      </c>
      <c r="H16279" s="5">
        <v>110.4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112</v>
      </c>
      <c r="D16280" s="5">
        <v>0.1</v>
      </c>
      <c r="E16280" s="5">
        <v>112.1</v>
      </c>
      <c r="F16280" s="5">
        <v>222.4</v>
      </c>
      <c r="G16280" s="5">
        <v>110.5</v>
      </c>
      <c r="H16280" s="5">
        <v>110.4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112</v>
      </c>
      <c r="D16281" s="5">
        <v>0.1</v>
      </c>
      <c r="E16281" s="5">
        <v>112.1</v>
      </c>
      <c r="F16281" s="5">
        <v>222.4</v>
      </c>
      <c r="G16281" s="5">
        <v>110.5</v>
      </c>
      <c r="H16281" s="5">
        <v>110.4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112</v>
      </c>
      <c r="D16282" s="5">
        <v>0.1</v>
      </c>
      <c r="E16282" s="5">
        <v>112.1</v>
      </c>
      <c r="F16282" s="5">
        <v>222.4</v>
      </c>
      <c r="G16282" s="5">
        <v>110.5</v>
      </c>
      <c r="H16282" s="5">
        <v>110.4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112</v>
      </c>
      <c r="D16283" s="5">
        <v>0.1</v>
      </c>
      <c r="E16283" s="5">
        <v>112.1</v>
      </c>
      <c r="F16283" s="5">
        <v>222.4</v>
      </c>
      <c r="G16283" s="5">
        <v>110.5</v>
      </c>
      <c r="H16283" s="5">
        <v>110.4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112</v>
      </c>
      <c r="D16284" s="5">
        <v>0.1</v>
      </c>
      <c r="E16284" s="5">
        <v>112.1</v>
      </c>
      <c r="F16284" s="5">
        <v>222.4</v>
      </c>
      <c r="G16284" s="5">
        <v>110.5</v>
      </c>
      <c r="H16284" s="5">
        <v>110.4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112</v>
      </c>
      <c r="D16285" s="5">
        <v>0.1</v>
      </c>
      <c r="E16285" s="5">
        <v>112.1</v>
      </c>
      <c r="F16285" s="5">
        <v>222.4</v>
      </c>
      <c r="G16285" s="5">
        <v>110.5</v>
      </c>
      <c r="H16285" s="5">
        <v>110.4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112</v>
      </c>
      <c r="D16286" s="5">
        <v>0.1</v>
      </c>
      <c r="E16286" s="5">
        <v>112.1</v>
      </c>
      <c r="F16286" s="5">
        <v>222.4</v>
      </c>
      <c r="G16286" s="5">
        <v>110.5</v>
      </c>
      <c r="H16286" s="5">
        <v>110.4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112</v>
      </c>
      <c r="D16287" s="5">
        <v>0.1</v>
      </c>
      <c r="E16287" s="5">
        <v>112.1</v>
      </c>
      <c r="F16287" s="5">
        <v>222.4</v>
      </c>
      <c r="G16287" s="5">
        <v>110.5</v>
      </c>
      <c r="H16287" s="5">
        <v>110.4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112</v>
      </c>
      <c r="D16288" s="5">
        <v>0.1</v>
      </c>
      <c r="E16288" s="5">
        <v>112.1</v>
      </c>
      <c r="F16288" s="5">
        <v>222.4</v>
      </c>
      <c r="G16288" s="5">
        <v>110.5</v>
      </c>
      <c r="H16288" s="5">
        <v>110.4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112</v>
      </c>
      <c r="D16289" s="5">
        <v>0.1</v>
      </c>
      <c r="E16289" s="5">
        <v>112.1</v>
      </c>
      <c r="F16289" s="5">
        <v>222.4</v>
      </c>
      <c r="G16289" s="5">
        <v>110.5</v>
      </c>
      <c r="H16289" s="5">
        <v>110.4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112</v>
      </c>
      <c r="D16290" s="5">
        <v>0.1</v>
      </c>
      <c r="E16290" s="5">
        <v>112.1</v>
      </c>
      <c r="F16290" s="5">
        <v>222.4</v>
      </c>
      <c r="G16290" s="5">
        <v>110.5</v>
      </c>
      <c r="H16290" s="5">
        <v>110.4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112</v>
      </c>
      <c r="D16291" s="5">
        <v>0.1</v>
      </c>
      <c r="E16291" s="5">
        <v>112.1</v>
      </c>
      <c r="F16291" s="5">
        <v>222.4</v>
      </c>
      <c r="G16291" s="5">
        <v>110.5</v>
      </c>
      <c r="H16291" s="5">
        <v>110.4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112</v>
      </c>
      <c r="D16292" s="5">
        <v>0.1</v>
      </c>
      <c r="E16292" s="5">
        <v>112.1</v>
      </c>
      <c r="F16292" s="5">
        <v>222.4</v>
      </c>
      <c r="G16292" s="5">
        <v>110.5</v>
      </c>
      <c r="H16292" s="5">
        <v>110.4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112</v>
      </c>
      <c r="D16293" s="5">
        <v>0.1</v>
      </c>
      <c r="E16293" s="5">
        <v>112.1</v>
      </c>
      <c r="F16293" s="5">
        <v>222.4</v>
      </c>
      <c r="G16293" s="5">
        <v>110.5</v>
      </c>
      <c r="H16293" s="5">
        <v>110.4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112</v>
      </c>
      <c r="D16294" s="5">
        <v>0.1</v>
      </c>
      <c r="E16294" s="5">
        <v>112.1</v>
      </c>
      <c r="F16294" s="5">
        <v>222.4</v>
      </c>
      <c r="G16294" s="5">
        <v>110.5</v>
      </c>
      <c r="H16294" s="5">
        <v>110.4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112</v>
      </c>
      <c r="D16295" s="5">
        <v>0.1</v>
      </c>
      <c r="E16295" s="5">
        <v>112.1</v>
      </c>
      <c r="F16295" s="5">
        <v>222.4</v>
      </c>
      <c r="G16295" s="5">
        <v>110.5</v>
      </c>
      <c r="H16295" s="5">
        <v>110.4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112</v>
      </c>
      <c r="D16296" s="5">
        <v>0.1</v>
      </c>
      <c r="E16296" s="5">
        <v>112.1</v>
      </c>
      <c r="F16296" s="5">
        <v>222.4</v>
      </c>
      <c r="G16296" s="5">
        <v>110.5</v>
      </c>
      <c r="H16296" s="5">
        <v>110.4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112</v>
      </c>
      <c r="D16297" s="5">
        <v>0.1</v>
      </c>
      <c r="E16297" s="5">
        <v>112.1</v>
      </c>
      <c r="F16297" s="5">
        <v>222.4</v>
      </c>
      <c r="G16297" s="5">
        <v>110.5</v>
      </c>
      <c r="H16297" s="5">
        <v>110.4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112</v>
      </c>
      <c r="D16298" s="5">
        <v>0.1</v>
      </c>
      <c r="E16298" s="5">
        <v>112.1</v>
      </c>
      <c r="F16298" s="5">
        <v>222.4</v>
      </c>
      <c r="G16298" s="5">
        <v>110.5</v>
      </c>
      <c r="H16298" s="5">
        <v>110.4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112</v>
      </c>
      <c r="D16299" s="5">
        <v>0.1</v>
      </c>
      <c r="E16299" s="5">
        <v>112.1</v>
      </c>
      <c r="F16299" s="5">
        <v>222.4</v>
      </c>
      <c r="G16299" s="5">
        <v>110.5</v>
      </c>
      <c r="H16299" s="5">
        <v>110.4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112</v>
      </c>
      <c r="D16300" s="5">
        <v>0.1</v>
      </c>
      <c r="E16300" s="5">
        <v>112.1</v>
      </c>
      <c r="F16300" s="5">
        <v>222.4</v>
      </c>
      <c r="G16300" s="5">
        <v>110.5</v>
      </c>
      <c r="H16300" s="5">
        <v>110.4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112</v>
      </c>
      <c r="D16301" s="5">
        <v>0.1</v>
      </c>
      <c r="E16301" s="5">
        <v>112.1</v>
      </c>
      <c r="F16301" s="5">
        <v>222.4</v>
      </c>
      <c r="G16301" s="5">
        <v>110.5</v>
      </c>
      <c r="H16301" s="5">
        <v>110.4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112</v>
      </c>
      <c r="D16302" s="5">
        <v>0.1</v>
      </c>
      <c r="E16302" s="5">
        <v>112.1</v>
      </c>
      <c r="F16302" s="5">
        <v>222.4</v>
      </c>
      <c r="G16302" s="5">
        <v>110.5</v>
      </c>
      <c r="H16302" s="5">
        <v>110.4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112</v>
      </c>
      <c r="D16303" s="5">
        <v>0.1</v>
      </c>
      <c r="E16303" s="5">
        <v>112.1</v>
      </c>
      <c r="F16303" s="5">
        <v>222.4</v>
      </c>
      <c r="G16303" s="5">
        <v>110.5</v>
      </c>
      <c r="H16303" s="5">
        <v>110.4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112</v>
      </c>
      <c r="D16304" s="5">
        <v>0.1</v>
      </c>
      <c r="E16304" s="5">
        <v>112.1</v>
      </c>
      <c r="F16304" s="5">
        <v>222.4</v>
      </c>
      <c r="G16304" s="5">
        <v>110.5</v>
      </c>
      <c r="H16304" s="5">
        <v>110.4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112</v>
      </c>
      <c r="D16305" s="5">
        <v>0.1</v>
      </c>
      <c r="E16305" s="5">
        <v>112.1</v>
      </c>
      <c r="F16305" s="5">
        <v>222.4</v>
      </c>
      <c r="G16305" s="5">
        <v>110.5</v>
      </c>
      <c r="H16305" s="5">
        <v>110.4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112</v>
      </c>
      <c r="D16306" s="5">
        <v>0.1</v>
      </c>
      <c r="E16306" s="5">
        <v>112.1</v>
      </c>
      <c r="F16306" s="5">
        <v>222.4</v>
      </c>
      <c r="G16306" s="5">
        <v>110.5</v>
      </c>
      <c r="H16306" s="5">
        <v>110.4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112</v>
      </c>
      <c r="D16307" s="5">
        <v>0.1</v>
      </c>
      <c r="E16307" s="5">
        <v>112.1</v>
      </c>
      <c r="F16307" s="5">
        <v>222.4</v>
      </c>
      <c r="G16307" s="5">
        <v>110.5</v>
      </c>
      <c r="H16307" s="5">
        <v>110.4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112</v>
      </c>
      <c r="D16308" s="5">
        <v>0.1</v>
      </c>
      <c r="E16308" s="5">
        <v>112.1</v>
      </c>
      <c r="F16308" s="5">
        <v>222.4</v>
      </c>
      <c r="G16308" s="5">
        <v>110.5</v>
      </c>
      <c r="H16308" s="5">
        <v>110.4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112</v>
      </c>
      <c r="D16309" s="5">
        <v>0.1</v>
      </c>
      <c r="E16309" s="5">
        <v>112.1</v>
      </c>
      <c r="F16309" s="5">
        <v>222.4</v>
      </c>
      <c r="G16309" s="5">
        <v>110.5</v>
      </c>
      <c r="H16309" s="5">
        <v>110.4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112</v>
      </c>
      <c r="D16310" s="5">
        <v>0.1</v>
      </c>
      <c r="E16310" s="5">
        <v>112.1</v>
      </c>
      <c r="F16310" s="5">
        <v>222.4</v>
      </c>
      <c r="G16310" s="5">
        <v>110.5</v>
      </c>
      <c r="H16310" s="5">
        <v>110.4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112</v>
      </c>
      <c r="D16311" s="5">
        <v>0.1</v>
      </c>
      <c r="E16311" s="5">
        <v>112.1</v>
      </c>
      <c r="F16311" s="5">
        <v>222.4</v>
      </c>
      <c r="G16311" s="5">
        <v>110.5</v>
      </c>
      <c r="H16311" s="5">
        <v>110.4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112</v>
      </c>
      <c r="D16312" s="5">
        <v>0.1</v>
      </c>
      <c r="E16312" s="5">
        <v>112.1</v>
      </c>
      <c r="F16312" s="5">
        <v>222.4</v>
      </c>
      <c r="G16312" s="5">
        <v>110.5</v>
      </c>
      <c r="H16312" s="5">
        <v>110.4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112</v>
      </c>
      <c r="D16313" s="5">
        <v>0.1</v>
      </c>
      <c r="E16313" s="5">
        <v>112.1</v>
      </c>
      <c r="F16313" s="5">
        <v>222.4</v>
      </c>
      <c r="G16313" s="5">
        <v>110.5</v>
      </c>
      <c r="H16313" s="5">
        <v>110.4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112</v>
      </c>
      <c r="D16314" s="5">
        <v>0.1</v>
      </c>
      <c r="E16314" s="5">
        <v>112.1</v>
      </c>
      <c r="F16314" s="5">
        <v>222.4</v>
      </c>
      <c r="G16314" s="5">
        <v>110.5</v>
      </c>
      <c r="H16314" s="5">
        <v>110.4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112</v>
      </c>
      <c r="D16315" s="5">
        <v>0.1</v>
      </c>
      <c r="E16315" s="5">
        <v>112.1</v>
      </c>
      <c r="F16315" s="5">
        <v>222.4</v>
      </c>
      <c r="G16315" s="5">
        <v>110.5</v>
      </c>
      <c r="H16315" s="5">
        <v>110.4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112</v>
      </c>
      <c r="D16316" s="5">
        <v>0.1</v>
      </c>
      <c r="E16316" s="5">
        <v>112.1</v>
      </c>
      <c r="F16316" s="5">
        <v>222.4</v>
      </c>
      <c r="G16316" s="5">
        <v>110.5</v>
      </c>
      <c r="H16316" s="5">
        <v>110.4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112</v>
      </c>
      <c r="D16317" s="5">
        <v>0.1</v>
      </c>
      <c r="E16317" s="5">
        <v>112.1</v>
      </c>
      <c r="F16317" s="5">
        <v>222.4</v>
      </c>
      <c r="G16317" s="5">
        <v>110.5</v>
      </c>
      <c r="H16317" s="5">
        <v>110.4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112</v>
      </c>
      <c r="D16318" s="5">
        <v>0.1</v>
      </c>
      <c r="E16318" s="5">
        <v>112.1</v>
      </c>
      <c r="F16318" s="5">
        <v>222.4</v>
      </c>
      <c r="G16318" s="5">
        <v>110.5</v>
      </c>
      <c r="H16318" s="5">
        <v>110.4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112</v>
      </c>
      <c r="D16319" s="5">
        <v>0.1</v>
      </c>
      <c r="E16319" s="5">
        <v>112.1</v>
      </c>
      <c r="F16319" s="5">
        <v>222.4</v>
      </c>
      <c r="G16319" s="5">
        <v>110.5</v>
      </c>
      <c r="H16319" s="5">
        <v>110.4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112</v>
      </c>
      <c r="D16320" s="5">
        <v>0.1</v>
      </c>
      <c r="E16320" s="5">
        <v>112.1</v>
      </c>
      <c r="F16320" s="5">
        <v>222.4</v>
      </c>
      <c r="G16320" s="5">
        <v>110.5</v>
      </c>
      <c r="H16320" s="5">
        <v>110.4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112</v>
      </c>
      <c r="D16321" s="5">
        <v>0.1</v>
      </c>
      <c r="E16321" s="5">
        <v>112.1</v>
      </c>
      <c r="F16321" s="5">
        <v>222.4</v>
      </c>
      <c r="G16321" s="5">
        <v>110.5</v>
      </c>
      <c r="H16321" s="5">
        <v>110.4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112</v>
      </c>
      <c r="D16322" s="5">
        <v>0.1</v>
      </c>
      <c r="E16322" s="5">
        <v>112.1</v>
      </c>
      <c r="F16322" s="5">
        <v>222.4</v>
      </c>
      <c r="G16322" s="5">
        <v>110.5</v>
      </c>
      <c r="H16322" s="5">
        <v>110.4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112</v>
      </c>
      <c r="D16323" s="5">
        <v>0.1</v>
      </c>
      <c r="E16323" s="5">
        <v>112.1</v>
      </c>
      <c r="F16323" s="5">
        <v>222.4</v>
      </c>
      <c r="G16323" s="5">
        <v>110.5</v>
      </c>
      <c r="H16323" s="5">
        <v>110.4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112</v>
      </c>
      <c r="D16324" s="5">
        <v>0.1</v>
      </c>
      <c r="E16324" s="5">
        <v>112.1</v>
      </c>
      <c r="F16324" s="5">
        <v>222.4</v>
      </c>
      <c r="G16324" s="5">
        <v>110.5</v>
      </c>
      <c r="H16324" s="5">
        <v>110.4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112</v>
      </c>
      <c r="D16325" s="5">
        <v>0.1</v>
      </c>
      <c r="E16325" s="5">
        <v>112.1</v>
      </c>
      <c r="F16325" s="5">
        <v>222.4</v>
      </c>
      <c r="G16325" s="5">
        <v>110.5</v>
      </c>
      <c r="H16325" s="5">
        <v>110.4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112</v>
      </c>
      <c r="D16326" s="5">
        <v>0.1</v>
      </c>
      <c r="E16326" s="5">
        <v>112.1</v>
      </c>
      <c r="F16326" s="5">
        <v>222.4</v>
      </c>
      <c r="G16326" s="5">
        <v>110.5</v>
      </c>
      <c r="H16326" s="5">
        <v>110.4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112</v>
      </c>
      <c r="D16327" s="5">
        <v>0.1</v>
      </c>
      <c r="E16327" s="5">
        <v>112.1</v>
      </c>
      <c r="F16327" s="5">
        <v>222.4</v>
      </c>
      <c r="G16327" s="5">
        <v>110.5</v>
      </c>
      <c r="H16327" s="5">
        <v>110.4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112</v>
      </c>
      <c r="D16328" s="5">
        <v>0.1</v>
      </c>
      <c r="E16328" s="5">
        <v>112.1</v>
      </c>
      <c r="F16328" s="5">
        <v>222.4</v>
      </c>
      <c r="G16328" s="5">
        <v>110.5</v>
      </c>
      <c r="H16328" s="5">
        <v>110.4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112</v>
      </c>
      <c r="D16329" s="5">
        <v>0.1</v>
      </c>
      <c r="E16329" s="5">
        <v>112.1</v>
      </c>
      <c r="F16329" s="5">
        <v>222.4</v>
      </c>
      <c r="G16329" s="5">
        <v>110.5</v>
      </c>
      <c r="H16329" s="5">
        <v>110.4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112</v>
      </c>
      <c r="D16330" s="5">
        <v>0.1</v>
      </c>
      <c r="E16330" s="5">
        <v>112.1</v>
      </c>
      <c r="F16330" s="5">
        <v>222.4</v>
      </c>
      <c r="G16330" s="5">
        <v>110.5</v>
      </c>
      <c r="H16330" s="5">
        <v>110.4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112</v>
      </c>
      <c r="D16331" s="5">
        <v>0.1</v>
      </c>
      <c r="E16331" s="5">
        <v>112.1</v>
      </c>
      <c r="F16331" s="5">
        <v>222.4</v>
      </c>
      <c r="G16331" s="5">
        <v>110.5</v>
      </c>
      <c r="H16331" s="5">
        <v>110.4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112</v>
      </c>
      <c r="D16332" s="5">
        <v>0.1</v>
      </c>
      <c r="E16332" s="5">
        <v>112.1</v>
      </c>
      <c r="F16332" s="5">
        <v>222.4</v>
      </c>
      <c r="G16332" s="5">
        <v>110.5</v>
      </c>
      <c r="H16332" s="5">
        <v>110.4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112</v>
      </c>
      <c r="D16333" s="5">
        <v>0.1</v>
      </c>
      <c r="E16333" s="5">
        <v>112.1</v>
      </c>
      <c r="F16333" s="5">
        <v>222.4</v>
      </c>
      <c r="G16333" s="5">
        <v>110.5</v>
      </c>
      <c r="H16333" s="5">
        <v>110.4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112</v>
      </c>
      <c r="D16334" s="5">
        <v>0.1</v>
      </c>
      <c r="E16334" s="5">
        <v>112.1</v>
      </c>
      <c r="F16334" s="5">
        <v>222.4</v>
      </c>
      <c r="G16334" s="5">
        <v>110.5</v>
      </c>
      <c r="H16334" s="5">
        <v>110.4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112</v>
      </c>
      <c r="D16335" s="5">
        <v>0.1</v>
      </c>
      <c r="E16335" s="5">
        <v>112.1</v>
      </c>
      <c r="F16335" s="5">
        <v>222.4</v>
      </c>
      <c r="G16335" s="5">
        <v>110.5</v>
      </c>
      <c r="H16335" s="5">
        <v>110.4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112</v>
      </c>
      <c r="D16336" s="5">
        <v>0.1</v>
      </c>
      <c r="E16336" s="5">
        <v>112.1</v>
      </c>
      <c r="F16336" s="5">
        <v>222.4</v>
      </c>
      <c r="G16336" s="5">
        <v>110.5</v>
      </c>
      <c r="H16336" s="5">
        <v>110.4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112</v>
      </c>
      <c r="D16337" s="5">
        <v>0.1</v>
      </c>
      <c r="E16337" s="5">
        <v>112.1</v>
      </c>
      <c r="F16337" s="5">
        <v>222.4</v>
      </c>
      <c r="G16337" s="5">
        <v>110.5</v>
      </c>
      <c r="H16337" s="5">
        <v>110.4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112</v>
      </c>
      <c r="D16338" s="5">
        <v>0.1</v>
      </c>
      <c r="E16338" s="5">
        <v>112.1</v>
      </c>
      <c r="F16338" s="5">
        <v>222.4</v>
      </c>
      <c r="G16338" s="5">
        <v>110.5</v>
      </c>
      <c r="H16338" s="5">
        <v>110.4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112</v>
      </c>
      <c r="D16339" s="5">
        <v>0.1</v>
      </c>
      <c r="E16339" s="5">
        <v>112.1</v>
      </c>
      <c r="F16339" s="5">
        <v>222.4</v>
      </c>
      <c r="G16339" s="5">
        <v>110.5</v>
      </c>
      <c r="H16339" s="5">
        <v>110.4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112</v>
      </c>
      <c r="D16340" s="5">
        <v>0.1</v>
      </c>
      <c r="E16340" s="5">
        <v>112.1</v>
      </c>
      <c r="F16340" s="5">
        <v>222.4</v>
      </c>
      <c r="G16340" s="5">
        <v>110.5</v>
      </c>
      <c r="H16340" s="5">
        <v>110.4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112</v>
      </c>
      <c r="D16341" s="5">
        <v>0.1</v>
      </c>
      <c r="E16341" s="5">
        <v>112.1</v>
      </c>
      <c r="F16341" s="5">
        <v>222.4</v>
      </c>
      <c r="G16341" s="5">
        <v>110.5</v>
      </c>
      <c r="H16341" s="5">
        <v>110.4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112</v>
      </c>
      <c r="D16342" s="5">
        <v>0.1</v>
      </c>
      <c r="E16342" s="5">
        <v>112.1</v>
      </c>
      <c r="F16342" s="5">
        <v>222.4</v>
      </c>
      <c r="G16342" s="5">
        <v>110.5</v>
      </c>
      <c r="H16342" s="5">
        <v>110.4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112</v>
      </c>
      <c r="D16343" s="5">
        <v>0.1</v>
      </c>
      <c r="E16343" s="5">
        <v>112.1</v>
      </c>
      <c r="F16343" s="5">
        <v>222.4</v>
      </c>
      <c r="G16343" s="5">
        <v>110.5</v>
      </c>
      <c r="H16343" s="5">
        <v>110.4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112</v>
      </c>
      <c r="D16344" s="5">
        <v>0.1</v>
      </c>
      <c r="E16344" s="5">
        <v>112.1</v>
      </c>
      <c r="F16344" s="5">
        <v>222.4</v>
      </c>
      <c r="G16344" s="5">
        <v>110.5</v>
      </c>
      <c r="H16344" s="5">
        <v>110.4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112</v>
      </c>
      <c r="D16345" s="5">
        <v>0.1</v>
      </c>
      <c r="E16345" s="5">
        <v>112.1</v>
      </c>
      <c r="F16345" s="5">
        <v>222.4</v>
      </c>
      <c r="G16345" s="5">
        <v>110.5</v>
      </c>
      <c r="H16345" s="5">
        <v>110.4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112</v>
      </c>
      <c r="D16346" s="5">
        <v>0.1</v>
      </c>
      <c r="E16346" s="5">
        <v>112.1</v>
      </c>
      <c r="F16346" s="5">
        <v>222.4</v>
      </c>
      <c r="G16346" s="5">
        <v>110.5</v>
      </c>
      <c r="H16346" s="5">
        <v>110.4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112</v>
      </c>
      <c r="D16347" s="5">
        <v>0.1</v>
      </c>
      <c r="E16347" s="5">
        <v>112.1</v>
      </c>
      <c r="F16347" s="5">
        <v>222.4</v>
      </c>
      <c r="G16347" s="5">
        <v>110.5</v>
      </c>
      <c r="H16347" s="5">
        <v>110.4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112</v>
      </c>
      <c r="D16348" s="5">
        <v>0.1</v>
      </c>
      <c r="E16348" s="5">
        <v>112.1</v>
      </c>
      <c r="F16348" s="5">
        <v>222.4</v>
      </c>
      <c r="G16348" s="5">
        <v>110.5</v>
      </c>
      <c r="H16348" s="5">
        <v>110.4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112</v>
      </c>
      <c r="D16349" s="5">
        <v>0.1</v>
      </c>
      <c r="E16349" s="5">
        <v>112.1</v>
      </c>
      <c r="F16349" s="5">
        <v>222.4</v>
      </c>
      <c r="G16349" s="5">
        <v>110.5</v>
      </c>
      <c r="H16349" s="5">
        <v>110.4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112</v>
      </c>
      <c r="D16350" s="5">
        <v>0.1</v>
      </c>
      <c r="E16350" s="5">
        <v>112.1</v>
      </c>
      <c r="F16350" s="5">
        <v>222.4</v>
      </c>
      <c r="G16350" s="5">
        <v>110.5</v>
      </c>
      <c r="H16350" s="5">
        <v>110.4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112</v>
      </c>
      <c r="D16351" s="5">
        <v>0.1</v>
      </c>
      <c r="E16351" s="5">
        <v>112.1</v>
      </c>
      <c r="F16351" s="5">
        <v>222.4</v>
      </c>
      <c r="G16351" s="5">
        <v>110.5</v>
      </c>
      <c r="H16351" s="5">
        <v>110.4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112</v>
      </c>
      <c r="D16352" s="5">
        <v>0.1</v>
      </c>
      <c r="E16352" s="5">
        <v>112.1</v>
      </c>
      <c r="F16352" s="5">
        <v>222.4</v>
      </c>
      <c r="G16352" s="5">
        <v>110.5</v>
      </c>
      <c r="H16352" s="5">
        <v>110.4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112</v>
      </c>
      <c r="D16353" s="5">
        <v>0.1</v>
      </c>
      <c r="E16353" s="5">
        <v>112.1</v>
      </c>
      <c r="F16353" s="5">
        <v>222.4</v>
      </c>
      <c r="G16353" s="5">
        <v>110.5</v>
      </c>
      <c r="H16353" s="5">
        <v>110.4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112</v>
      </c>
      <c r="D16354" s="5">
        <v>0.1</v>
      </c>
      <c r="E16354" s="5">
        <v>112.1</v>
      </c>
      <c r="F16354" s="5">
        <v>222.4</v>
      </c>
      <c r="G16354" s="5">
        <v>110.5</v>
      </c>
      <c r="H16354" s="5">
        <v>110.4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112</v>
      </c>
      <c r="D16355" s="5">
        <v>0.1</v>
      </c>
      <c r="E16355" s="5">
        <v>112.1</v>
      </c>
      <c r="F16355" s="5">
        <v>222.4</v>
      </c>
      <c r="G16355" s="5">
        <v>110.5</v>
      </c>
      <c r="H16355" s="5">
        <v>110.4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112</v>
      </c>
      <c r="D16356" s="5">
        <v>0.1</v>
      </c>
      <c r="E16356" s="5">
        <v>112.1</v>
      </c>
      <c r="F16356" s="5">
        <v>222.4</v>
      </c>
      <c r="G16356" s="5">
        <v>110.5</v>
      </c>
      <c r="H16356" s="5">
        <v>110.4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112</v>
      </c>
      <c r="D16357" s="5">
        <v>0.1</v>
      </c>
      <c r="E16357" s="5">
        <v>112.1</v>
      </c>
      <c r="F16357" s="5">
        <v>222.4</v>
      </c>
      <c r="G16357" s="5">
        <v>110.5</v>
      </c>
      <c r="H16357" s="5">
        <v>110.4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112</v>
      </c>
      <c r="D16358" s="5">
        <v>0.1</v>
      </c>
      <c r="E16358" s="5">
        <v>112.1</v>
      </c>
      <c r="F16358" s="5">
        <v>222.4</v>
      </c>
      <c r="G16358" s="5">
        <v>110.5</v>
      </c>
      <c r="H16358" s="5">
        <v>110.4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112</v>
      </c>
      <c r="D16359" s="5">
        <v>0.1</v>
      </c>
      <c r="E16359" s="5">
        <v>112.1</v>
      </c>
      <c r="F16359" s="5">
        <v>222.4</v>
      </c>
      <c r="G16359" s="5">
        <v>110.5</v>
      </c>
      <c r="H16359" s="5">
        <v>110.4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112</v>
      </c>
      <c r="D16360" s="5">
        <v>0.1</v>
      </c>
      <c r="E16360" s="5">
        <v>112.1</v>
      </c>
      <c r="F16360" s="5">
        <v>222.4</v>
      </c>
      <c r="G16360" s="5">
        <v>110.5</v>
      </c>
      <c r="H16360" s="5">
        <v>110.4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112</v>
      </c>
      <c r="D16361" s="5">
        <v>0.1</v>
      </c>
      <c r="E16361" s="5">
        <v>112.1</v>
      </c>
      <c r="F16361" s="5">
        <v>222.4</v>
      </c>
      <c r="G16361" s="5">
        <v>110.5</v>
      </c>
      <c r="H16361" s="5">
        <v>110.4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112</v>
      </c>
      <c r="D16362" s="5">
        <v>0.1</v>
      </c>
      <c r="E16362" s="5">
        <v>112.1</v>
      </c>
      <c r="F16362" s="5">
        <v>222.4</v>
      </c>
      <c r="G16362" s="5">
        <v>110.5</v>
      </c>
      <c r="H16362" s="5">
        <v>110.4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112</v>
      </c>
      <c r="D16363" s="5">
        <v>0.1</v>
      </c>
      <c r="E16363" s="5">
        <v>112.1</v>
      </c>
      <c r="F16363" s="5">
        <v>222.4</v>
      </c>
      <c r="G16363" s="5">
        <v>110.5</v>
      </c>
      <c r="H16363" s="5">
        <v>110.4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112</v>
      </c>
      <c r="D16364" s="5">
        <v>0.1</v>
      </c>
      <c r="E16364" s="5">
        <v>112.1</v>
      </c>
      <c r="F16364" s="5">
        <v>222.4</v>
      </c>
      <c r="G16364" s="5">
        <v>110.5</v>
      </c>
      <c r="H16364" s="5">
        <v>110.4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112</v>
      </c>
      <c r="D16365" s="5">
        <v>0.1</v>
      </c>
      <c r="E16365" s="5">
        <v>112.1</v>
      </c>
      <c r="F16365" s="5">
        <v>222.4</v>
      </c>
      <c r="G16365" s="5">
        <v>110.5</v>
      </c>
      <c r="H16365" s="5">
        <v>110.4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112</v>
      </c>
      <c r="D16366" s="5">
        <v>0.1</v>
      </c>
      <c r="E16366" s="5">
        <v>112.1</v>
      </c>
      <c r="F16366" s="5">
        <v>222.4</v>
      </c>
      <c r="G16366" s="5">
        <v>110.5</v>
      </c>
      <c r="H16366" s="5">
        <v>110.4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112</v>
      </c>
      <c r="D16367" s="5">
        <v>0.1</v>
      </c>
      <c r="E16367" s="5">
        <v>112.1</v>
      </c>
      <c r="F16367" s="5">
        <v>222.4</v>
      </c>
      <c r="G16367" s="5">
        <v>110.5</v>
      </c>
      <c r="H16367" s="5">
        <v>110.4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112</v>
      </c>
      <c r="D16368" s="5">
        <v>0.1</v>
      </c>
      <c r="E16368" s="5">
        <v>112.1</v>
      </c>
      <c r="F16368" s="5">
        <v>222.4</v>
      </c>
      <c r="G16368" s="5">
        <v>110.5</v>
      </c>
      <c r="H16368" s="5">
        <v>110.4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112</v>
      </c>
      <c r="D16369" s="5">
        <v>0.1</v>
      </c>
      <c r="E16369" s="5">
        <v>112.1</v>
      </c>
      <c r="F16369" s="5">
        <v>222.4</v>
      </c>
      <c r="G16369" s="5">
        <v>110.5</v>
      </c>
      <c r="H16369" s="5">
        <v>110.4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112</v>
      </c>
      <c r="D16370" s="5">
        <v>0.1</v>
      </c>
      <c r="E16370" s="5">
        <v>112.1</v>
      </c>
      <c r="F16370" s="5">
        <v>222.4</v>
      </c>
      <c r="G16370" s="5">
        <v>110.5</v>
      </c>
      <c r="H16370" s="5">
        <v>110.4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112</v>
      </c>
      <c r="D16371" s="5">
        <v>0.1</v>
      </c>
      <c r="E16371" s="5">
        <v>112.1</v>
      </c>
      <c r="F16371" s="5">
        <v>222.4</v>
      </c>
      <c r="G16371" s="5">
        <v>110.5</v>
      </c>
      <c r="H16371" s="5">
        <v>110.4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112</v>
      </c>
      <c r="D16372" s="5">
        <v>0.1</v>
      </c>
      <c r="E16372" s="5">
        <v>112.1</v>
      </c>
      <c r="F16372" s="5">
        <v>222.4</v>
      </c>
      <c r="G16372" s="5">
        <v>110.5</v>
      </c>
      <c r="H16372" s="5">
        <v>110.4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112</v>
      </c>
      <c r="D16373" s="5">
        <v>0.1</v>
      </c>
      <c r="E16373" s="5">
        <v>112.1</v>
      </c>
      <c r="F16373" s="5">
        <v>222.4</v>
      </c>
      <c r="G16373" s="5">
        <v>110.5</v>
      </c>
      <c r="H16373" s="5">
        <v>110.4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115.1</v>
      </c>
      <c r="D16374" s="5">
        <v>0.1</v>
      </c>
      <c r="E16374" s="5">
        <v>115.3</v>
      </c>
      <c r="F16374" s="5">
        <v>229.3</v>
      </c>
      <c r="G16374" s="5">
        <v>114</v>
      </c>
      <c r="H16374" s="5">
        <v>113.9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115.1</v>
      </c>
      <c r="D16375" s="5">
        <v>0.1</v>
      </c>
      <c r="E16375" s="5">
        <v>115.3</v>
      </c>
      <c r="F16375" s="5">
        <v>229.3</v>
      </c>
      <c r="G16375" s="5">
        <v>114</v>
      </c>
      <c r="H16375" s="5">
        <v>113.9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114.8</v>
      </c>
      <c r="D16376" s="5">
        <v>0.1</v>
      </c>
      <c r="E16376" s="5">
        <v>115</v>
      </c>
      <c r="F16376" s="5">
        <v>229.7</v>
      </c>
      <c r="G16376" s="5">
        <v>114.3</v>
      </c>
      <c r="H16376" s="5">
        <v>114.2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114.8</v>
      </c>
      <c r="D16377" s="5">
        <v>0.1</v>
      </c>
      <c r="E16377" s="5">
        <v>115</v>
      </c>
      <c r="F16377" s="5">
        <v>229.7</v>
      </c>
      <c r="G16377" s="5">
        <v>114.3</v>
      </c>
      <c r="H16377" s="5">
        <v>114.2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116.6</v>
      </c>
      <c r="D16378" s="5">
        <v>0.1</v>
      </c>
      <c r="E16378" s="5">
        <v>116.7</v>
      </c>
      <c r="F16378" s="5">
        <v>231.6</v>
      </c>
      <c r="G16378" s="5">
        <v>115.1</v>
      </c>
      <c r="H16378" s="5">
        <v>114.9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116.6</v>
      </c>
      <c r="D16379" s="5">
        <v>0.1</v>
      </c>
      <c r="E16379" s="5">
        <v>116.7</v>
      </c>
      <c r="F16379" s="5">
        <v>231.6</v>
      </c>
      <c r="G16379" s="5">
        <v>115.1</v>
      </c>
      <c r="H16379" s="5">
        <v>114.9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116.6</v>
      </c>
      <c r="D16380" s="5">
        <v>0.1</v>
      </c>
      <c r="E16380" s="5">
        <v>116.7</v>
      </c>
      <c r="F16380" s="5">
        <v>231.6</v>
      </c>
      <c r="G16380" s="5">
        <v>115.1</v>
      </c>
      <c r="H16380" s="5">
        <v>114.9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116.6</v>
      </c>
      <c r="D16381" s="5">
        <v>0.1</v>
      </c>
      <c r="E16381" s="5">
        <v>116.7</v>
      </c>
      <c r="F16381" s="5">
        <v>231.6</v>
      </c>
      <c r="G16381" s="5">
        <v>115.1</v>
      </c>
      <c r="H16381" s="5">
        <v>114.9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116.1</v>
      </c>
      <c r="D16382" s="5">
        <v>0.1</v>
      </c>
      <c r="E16382" s="5">
        <v>116.2</v>
      </c>
      <c r="F16382" s="5">
        <v>230.8</v>
      </c>
      <c r="G16382" s="5">
        <v>114.8</v>
      </c>
      <c r="H16382" s="5">
        <v>114.5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116.1</v>
      </c>
      <c r="D16383" s="5">
        <v>0.1</v>
      </c>
      <c r="E16383" s="5">
        <v>116.2</v>
      </c>
      <c r="F16383" s="5">
        <v>230.8</v>
      </c>
      <c r="G16383" s="5">
        <v>114.8</v>
      </c>
      <c r="H16383" s="5">
        <v>114.5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115.8</v>
      </c>
      <c r="D16384" s="5">
        <v>0.1</v>
      </c>
      <c r="E16384" s="5">
        <v>116</v>
      </c>
      <c r="F16384" s="5">
        <v>230.7</v>
      </c>
      <c r="G16384" s="5">
        <v>114.7</v>
      </c>
      <c r="H16384" s="5">
        <v>114.5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115.8</v>
      </c>
      <c r="D16385" s="5">
        <v>0.1</v>
      </c>
      <c r="E16385" s="5">
        <v>116</v>
      </c>
      <c r="F16385" s="5">
        <v>230.7</v>
      </c>
      <c r="G16385" s="5">
        <v>114.7</v>
      </c>
      <c r="H16385" s="5">
        <v>114.5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115.9</v>
      </c>
      <c r="D16386" s="5">
        <v>0.1</v>
      </c>
      <c r="E16386" s="5">
        <v>116.1</v>
      </c>
      <c r="F16386" s="5">
        <v>231.1</v>
      </c>
      <c r="G16386" s="5">
        <v>114.9</v>
      </c>
      <c r="H16386" s="5">
        <v>114.7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115.9</v>
      </c>
      <c r="D16387" s="5">
        <v>0.1</v>
      </c>
      <c r="E16387" s="5">
        <v>116.1</v>
      </c>
      <c r="F16387" s="5">
        <v>231.1</v>
      </c>
      <c r="G16387" s="5">
        <v>114.9</v>
      </c>
      <c r="H16387" s="5">
        <v>114.7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115.8</v>
      </c>
      <c r="D16388" s="5">
        <v>0.1</v>
      </c>
      <c r="E16388" s="5">
        <v>116</v>
      </c>
      <c r="F16388" s="5">
        <v>230.8</v>
      </c>
      <c r="G16388" s="5">
        <v>114.7</v>
      </c>
      <c r="H16388" s="5">
        <v>114.5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115.8</v>
      </c>
      <c r="D16389" s="5">
        <v>0.1</v>
      </c>
      <c r="E16389" s="5">
        <v>116</v>
      </c>
      <c r="F16389" s="5">
        <v>230.8</v>
      </c>
      <c r="G16389" s="5">
        <v>114.7</v>
      </c>
      <c r="H16389" s="5">
        <v>114.5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115.8</v>
      </c>
      <c r="D16390" s="5">
        <v>0.1</v>
      </c>
      <c r="E16390" s="5">
        <v>116</v>
      </c>
      <c r="F16390" s="5">
        <v>230.8</v>
      </c>
      <c r="G16390" s="5">
        <v>114.7</v>
      </c>
      <c r="H16390" s="5">
        <v>114.5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115.8</v>
      </c>
      <c r="D16391" s="5">
        <v>0.1</v>
      </c>
      <c r="E16391" s="5">
        <v>116</v>
      </c>
      <c r="F16391" s="5">
        <v>230.8</v>
      </c>
      <c r="G16391" s="5">
        <v>114.7</v>
      </c>
      <c r="H16391" s="5">
        <v>114.5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116.7</v>
      </c>
      <c r="D16392" s="5">
        <v>0.1</v>
      </c>
      <c r="E16392" s="5">
        <v>116.8</v>
      </c>
      <c r="F16392" s="5">
        <v>231.4</v>
      </c>
      <c r="G16392" s="5">
        <v>115.1</v>
      </c>
      <c r="H16392" s="5">
        <v>114.9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116.7</v>
      </c>
      <c r="D16393" s="5">
        <v>0.1</v>
      </c>
      <c r="E16393" s="5">
        <v>116.8</v>
      </c>
      <c r="F16393" s="5">
        <v>231.4</v>
      </c>
      <c r="G16393" s="5">
        <v>115.1</v>
      </c>
      <c r="H16393" s="5">
        <v>114.9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116.5</v>
      </c>
      <c r="D16394" s="5">
        <v>0.1</v>
      </c>
      <c r="E16394" s="5">
        <v>116.7</v>
      </c>
      <c r="F16394" s="5">
        <v>231.6</v>
      </c>
      <c r="G16394" s="5">
        <v>115.2</v>
      </c>
      <c r="H16394" s="5">
        <v>115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116.5</v>
      </c>
      <c r="D16395" s="5">
        <v>0.1</v>
      </c>
      <c r="E16395" s="5">
        <v>116.7</v>
      </c>
      <c r="F16395" s="5">
        <v>231.6</v>
      </c>
      <c r="G16395" s="5">
        <v>115.2</v>
      </c>
      <c r="H16395" s="5">
        <v>115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116.1</v>
      </c>
      <c r="D16396" s="5">
        <v>0.1</v>
      </c>
      <c r="E16396" s="5">
        <v>116.3</v>
      </c>
      <c r="F16396" s="5">
        <v>231.2</v>
      </c>
      <c r="G16396" s="5">
        <v>115</v>
      </c>
      <c r="H16396" s="5">
        <v>114.8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116.1</v>
      </c>
      <c r="D16397" s="5">
        <v>0.1</v>
      </c>
      <c r="E16397" s="5">
        <v>116.3</v>
      </c>
      <c r="F16397" s="5">
        <v>231.2</v>
      </c>
      <c r="G16397" s="5">
        <v>115</v>
      </c>
      <c r="H16397" s="5">
        <v>114.8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116.4</v>
      </c>
      <c r="D16398" s="5">
        <v>0.1</v>
      </c>
      <c r="E16398" s="5">
        <v>116.5</v>
      </c>
      <c r="F16398" s="5">
        <v>231.4</v>
      </c>
      <c r="G16398" s="5">
        <v>115</v>
      </c>
      <c r="H16398" s="5">
        <v>114.9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116.4</v>
      </c>
      <c r="D16399" s="5">
        <v>0.1</v>
      </c>
      <c r="E16399" s="5">
        <v>116.5</v>
      </c>
      <c r="F16399" s="5">
        <v>231.4</v>
      </c>
      <c r="G16399" s="5">
        <v>115</v>
      </c>
      <c r="H16399" s="5">
        <v>114.9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116.4</v>
      </c>
      <c r="D16400" s="5">
        <v>0.1</v>
      </c>
      <c r="E16400" s="5">
        <v>116.5</v>
      </c>
      <c r="F16400" s="5">
        <v>231.4</v>
      </c>
      <c r="G16400" s="5">
        <v>115</v>
      </c>
      <c r="H16400" s="5">
        <v>114.9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116.4</v>
      </c>
      <c r="D16401" s="5">
        <v>0.1</v>
      </c>
      <c r="E16401" s="5">
        <v>116.5</v>
      </c>
      <c r="F16401" s="5">
        <v>231.6</v>
      </c>
      <c r="G16401" s="5">
        <v>115.1</v>
      </c>
      <c r="H16401" s="5">
        <v>115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116.2</v>
      </c>
      <c r="D16402" s="5">
        <v>0.1</v>
      </c>
      <c r="E16402" s="5">
        <v>116.4</v>
      </c>
      <c r="F16402" s="5">
        <v>231.6</v>
      </c>
      <c r="G16402" s="5">
        <v>115.1</v>
      </c>
      <c r="H16402" s="5">
        <v>115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116.2</v>
      </c>
      <c r="D16403" s="5">
        <v>0.1</v>
      </c>
      <c r="E16403" s="5">
        <v>116.4</v>
      </c>
      <c r="F16403" s="5">
        <v>231.6</v>
      </c>
      <c r="G16403" s="5">
        <v>115.1</v>
      </c>
      <c r="H16403" s="5">
        <v>115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116.9</v>
      </c>
      <c r="D16404" s="5">
        <v>0.1</v>
      </c>
      <c r="E16404" s="5">
        <v>117.1</v>
      </c>
      <c r="F16404" s="5">
        <v>231.7</v>
      </c>
      <c r="G16404" s="5">
        <v>115.1</v>
      </c>
      <c r="H16404" s="5">
        <v>115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116.9</v>
      </c>
      <c r="D16405" s="5">
        <v>0.1</v>
      </c>
      <c r="E16405" s="5">
        <v>117.1</v>
      </c>
      <c r="F16405" s="5">
        <v>231.7</v>
      </c>
      <c r="G16405" s="5">
        <v>113.4</v>
      </c>
      <c r="H16405" s="5">
        <v>113.2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114.8</v>
      </c>
      <c r="D16406" s="5">
        <v>0.1</v>
      </c>
      <c r="E16406" s="5">
        <v>114.9</v>
      </c>
      <c r="F16406" s="5">
        <v>228.2</v>
      </c>
      <c r="G16406" s="5">
        <v>113.4</v>
      </c>
      <c r="H16406" s="5">
        <v>113.2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114.8</v>
      </c>
      <c r="D16407" s="5">
        <v>0.1</v>
      </c>
      <c r="E16407" s="5">
        <v>114.9</v>
      </c>
      <c r="F16407" s="5">
        <v>228.2</v>
      </c>
      <c r="G16407" s="5">
        <v>114</v>
      </c>
      <c r="H16407" s="5">
        <v>113.9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115.3</v>
      </c>
      <c r="D16408" s="5">
        <v>0.1</v>
      </c>
      <c r="E16408" s="5">
        <v>115.5</v>
      </c>
      <c r="F16408" s="5">
        <v>229.4</v>
      </c>
      <c r="G16408" s="5">
        <v>114</v>
      </c>
      <c r="H16408" s="5">
        <v>113.9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115.3</v>
      </c>
      <c r="D16409" s="5">
        <v>0.1</v>
      </c>
      <c r="E16409" s="5">
        <v>115.5</v>
      </c>
      <c r="F16409" s="5">
        <v>229.4</v>
      </c>
      <c r="G16409" s="5">
        <v>114</v>
      </c>
      <c r="H16409" s="5">
        <v>113.9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115.3</v>
      </c>
      <c r="D16410" s="5">
        <v>0.1</v>
      </c>
      <c r="E16410" s="5">
        <v>115.5</v>
      </c>
      <c r="F16410" s="5">
        <v>229.4</v>
      </c>
      <c r="G16410" s="5">
        <v>114</v>
      </c>
      <c r="H16410" s="5">
        <v>113.9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116.4</v>
      </c>
      <c r="D16411" s="5">
        <v>0.1</v>
      </c>
      <c r="E16411" s="5">
        <v>116.5</v>
      </c>
      <c r="F16411" s="5">
        <v>229.4</v>
      </c>
      <c r="G16411" s="5">
        <v>114</v>
      </c>
      <c r="H16411" s="5">
        <v>113.9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116.4</v>
      </c>
      <c r="D16412" s="5">
        <v>0.1</v>
      </c>
      <c r="E16412" s="5">
        <v>116.5</v>
      </c>
      <c r="F16412" s="5">
        <v>230.3</v>
      </c>
      <c r="G16412" s="5">
        <v>114.5</v>
      </c>
      <c r="H16412" s="5">
        <v>114.4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115.1</v>
      </c>
      <c r="D16413" s="5">
        <v>0.1</v>
      </c>
      <c r="E16413" s="5">
        <v>116.5</v>
      </c>
      <c r="F16413" s="5">
        <v>230.3</v>
      </c>
      <c r="G16413" s="5">
        <v>114.5</v>
      </c>
      <c r="H16413" s="5">
        <v>114.4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115.1</v>
      </c>
      <c r="D16414" s="5">
        <v>0.1</v>
      </c>
      <c r="E16414" s="5">
        <v>115.3</v>
      </c>
      <c r="F16414" s="5">
        <v>228.5</v>
      </c>
      <c r="G16414" s="5">
        <v>113.6</v>
      </c>
      <c r="H16414" s="5">
        <v>113.4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115.1</v>
      </c>
      <c r="D16415" s="5">
        <v>0.1</v>
      </c>
      <c r="E16415" s="5">
        <v>115.3</v>
      </c>
      <c r="F16415" s="5">
        <v>228.5</v>
      </c>
      <c r="G16415" s="5">
        <v>113.6</v>
      </c>
      <c r="H16415" s="5">
        <v>113.4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114.7</v>
      </c>
      <c r="D16416" s="5">
        <v>0.1</v>
      </c>
      <c r="E16416" s="5">
        <v>114.8</v>
      </c>
      <c r="F16416" s="5">
        <v>228.9</v>
      </c>
      <c r="G16416" s="5">
        <v>113.8</v>
      </c>
      <c r="H16416" s="5">
        <v>113.6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114.7</v>
      </c>
      <c r="D16417" s="5">
        <v>0.1</v>
      </c>
      <c r="E16417" s="5">
        <v>114.8</v>
      </c>
      <c r="F16417" s="5">
        <v>228.9</v>
      </c>
      <c r="G16417" s="5">
        <v>113.8</v>
      </c>
      <c r="H16417" s="5">
        <v>113.6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115.5</v>
      </c>
      <c r="D16418" s="5">
        <v>0.1</v>
      </c>
      <c r="E16418" s="5">
        <v>115.7</v>
      </c>
      <c r="F16418" s="5">
        <v>229.4</v>
      </c>
      <c r="G16418" s="5">
        <v>114</v>
      </c>
      <c r="H16418" s="5">
        <v>113.9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115.5</v>
      </c>
      <c r="D16419" s="5">
        <v>0.1</v>
      </c>
      <c r="E16419" s="5">
        <v>115.7</v>
      </c>
      <c r="F16419" s="5">
        <v>229.4</v>
      </c>
      <c r="G16419" s="5">
        <v>114</v>
      </c>
      <c r="H16419" s="5">
        <v>113.9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115.5</v>
      </c>
      <c r="D16420" s="5">
        <v>0.1</v>
      </c>
      <c r="E16420" s="5">
        <v>115.7</v>
      </c>
      <c r="F16420" s="5">
        <v>229.4</v>
      </c>
      <c r="G16420" s="5">
        <v>114</v>
      </c>
      <c r="H16420" s="5">
        <v>113.9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115.5</v>
      </c>
      <c r="D16421" s="5">
        <v>0.1</v>
      </c>
      <c r="E16421" s="5">
        <v>115.7</v>
      </c>
      <c r="F16421" s="5">
        <v>229.4</v>
      </c>
      <c r="G16421" s="5">
        <v>114</v>
      </c>
      <c r="H16421" s="5">
        <v>113.9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116.1</v>
      </c>
      <c r="D16422" s="5">
        <v>0.1</v>
      </c>
      <c r="E16422" s="5">
        <v>116.3</v>
      </c>
      <c r="F16422" s="5">
        <v>231.1</v>
      </c>
      <c r="G16422" s="5">
        <v>114.9</v>
      </c>
      <c r="H16422" s="5">
        <v>114.7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116.1</v>
      </c>
      <c r="D16423" s="5">
        <v>0.1</v>
      </c>
      <c r="E16423" s="5">
        <v>116.3</v>
      </c>
      <c r="F16423" s="5">
        <v>231.1</v>
      </c>
      <c r="G16423" s="5">
        <v>114.9</v>
      </c>
      <c r="H16423" s="5">
        <v>114.7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116</v>
      </c>
      <c r="D16424" s="5">
        <v>0.1</v>
      </c>
      <c r="E16424" s="5">
        <v>116.1</v>
      </c>
      <c r="F16424" s="5">
        <v>231</v>
      </c>
      <c r="G16424" s="5">
        <v>114.8</v>
      </c>
      <c r="H16424" s="5">
        <v>114.7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116</v>
      </c>
      <c r="D16425" s="5">
        <v>0.1</v>
      </c>
      <c r="E16425" s="5">
        <v>116.1</v>
      </c>
      <c r="F16425" s="5">
        <v>231</v>
      </c>
      <c r="G16425" s="5">
        <v>114.8</v>
      </c>
      <c r="H16425" s="5">
        <v>114.7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116.1</v>
      </c>
      <c r="D16426" s="5">
        <v>0.1</v>
      </c>
      <c r="E16426" s="5">
        <v>116.2</v>
      </c>
      <c r="F16426" s="5">
        <v>231.1</v>
      </c>
      <c r="G16426" s="5">
        <v>114.9</v>
      </c>
      <c r="H16426" s="5">
        <v>114.7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116.1</v>
      </c>
      <c r="D16427" s="5">
        <v>0.1</v>
      </c>
      <c r="E16427" s="5">
        <v>116.2</v>
      </c>
      <c r="F16427" s="5">
        <v>231.1</v>
      </c>
      <c r="G16427" s="5">
        <v>114.9</v>
      </c>
      <c r="H16427" s="5">
        <v>114.7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116.6</v>
      </c>
      <c r="D16428" s="5">
        <v>0.1</v>
      </c>
      <c r="E16428" s="5">
        <v>116.7</v>
      </c>
      <c r="F16428" s="5">
        <v>231.1</v>
      </c>
      <c r="G16428" s="5">
        <v>114.9</v>
      </c>
      <c r="H16428" s="5">
        <v>114.8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116.6</v>
      </c>
      <c r="D16429" s="5">
        <v>0.1</v>
      </c>
      <c r="E16429" s="5">
        <v>116.7</v>
      </c>
      <c r="F16429" s="5">
        <v>231.1</v>
      </c>
      <c r="G16429" s="5">
        <v>114.9</v>
      </c>
      <c r="H16429" s="5">
        <v>114.8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116.6</v>
      </c>
      <c r="D16430" s="5">
        <v>0.1</v>
      </c>
      <c r="E16430" s="5">
        <v>116.7</v>
      </c>
      <c r="F16430" s="5">
        <v>231.1</v>
      </c>
      <c r="G16430" s="5">
        <v>114.9</v>
      </c>
      <c r="H16430" s="5">
        <v>114.8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116.2</v>
      </c>
      <c r="D16431" s="5">
        <v>0.1</v>
      </c>
      <c r="E16431" s="5">
        <v>116.4</v>
      </c>
      <c r="F16431" s="5">
        <v>231.1</v>
      </c>
      <c r="G16431" s="5">
        <v>114.9</v>
      </c>
      <c r="H16431" s="5">
        <v>114.7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116.2</v>
      </c>
      <c r="D16432" s="5">
        <v>0.1</v>
      </c>
      <c r="E16432" s="5">
        <v>116.4</v>
      </c>
      <c r="F16432" s="5">
        <v>231.1</v>
      </c>
      <c r="G16432" s="5">
        <v>114.9</v>
      </c>
      <c r="H16432" s="5">
        <v>114.7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116.1</v>
      </c>
      <c r="D16433" s="5">
        <v>0.1</v>
      </c>
      <c r="E16433" s="5">
        <v>116.4</v>
      </c>
      <c r="F16433" s="5">
        <v>230.9</v>
      </c>
      <c r="G16433" s="5">
        <v>114.8</v>
      </c>
      <c r="H16433" s="5">
        <v>114.6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116.1</v>
      </c>
      <c r="D16434" s="5">
        <v>0.1</v>
      </c>
      <c r="E16434" s="5">
        <v>116.4</v>
      </c>
      <c r="F16434" s="5">
        <v>230.9</v>
      </c>
      <c r="G16434" s="5">
        <v>114.8</v>
      </c>
      <c r="H16434" s="5">
        <v>114.6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115.9</v>
      </c>
      <c r="D16435" s="5">
        <v>0.1</v>
      </c>
      <c r="E16435" s="5">
        <v>116.1</v>
      </c>
      <c r="F16435" s="5">
        <v>231</v>
      </c>
      <c r="G16435" s="5">
        <v>114.8</v>
      </c>
      <c r="H16435" s="5">
        <v>114.6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115.9</v>
      </c>
      <c r="D16436" s="5">
        <v>0.1</v>
      </c>
      <c r="E16436" s="5">
        <v>116.1</v>
      </c>
      <c r="F16436" s="5">
        <v>231</v>
      </c>
      <c r="G16436" s="5">
        <v>114.8</v>
      </c>
      <c r="H16436" s="5">
        <v>114.6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116</v>
      </c>
      <c r="D16437" s="5">
        <v>0.1</v>
      </c>
      <c r="E16437" s="5">
        <v>116.1</v>
      </c>
      <c r="F16437" s="5">
        <v>230.7</v>
      </c>
      <c r="G16437" s="5">
        <v>114.7</v>
      </c>
      <c r="H16437" s="5">
        <v>114.5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116</v>
      </c>
      <c r="D16438" s="5">
        <v>0.1</v>
      </c>
      <c r="E16438" s="5">
        <v>116.1</v>
      </c>
      <c r="F16438" s="5">
        <v>230.7</v>
      </c>
      <c r="G16438" s="5">
        <v>114.7</v>
      </c>
      <c r="H16438" s="5">
        <v>114.5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116</v>
      </c>
      <c r="D16439" s="5">
        <v>0.1</v>
      </c>
      <c r="E16439" s="5">
        <v>116.1</v>
      </c>
      <c r="F16439" s="5">
        <v>230.7</v>
      </c>
      <c r="G16439" s="5">
        <v>114.7</v>
      </c>
      <c r="H16439" s="5">
        <v>114.5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116</v>
      </c>
      <c r="D16440" s="5">
        <v>0.1</v>
      </c>
      <c r="E16440" s="5">
        <v>116.1</v>
      </c>
      <c r="F16440" s="5">
        <v>230.7</v>
      </c>
      <c r="G16440" s="5">
        <v>114.7</v>
      </c>
      <c r="H16440" s="5">
        <v>114.5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115.5</v>
      </c>
      <c r="D16441" s="5">
        <v>0.1</v>
      </c>
      <c r="E16441" s="5">
        <v>115.7</v>
      </c>
      <c r="F16441" s="5">
        <v>230.8</v>
      </c>
      <c r="G16441" s="5">
        <v>114.7</v>
      </c>
      <c r="H16441" s="5">
        <v>114.6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115.5</v>
      </c>
      <c r="D16442" s="5">
        <v>0.1</v>
      </c>
      <c r="E16442" s="5">
        <v>115.7</v>
      </c>
      <c r="F16442" s="5">
        <v>230.8</v>
      </c>
      <c r="G16442" s="5">
        <v>114.7</v>
      </c>
      <c r="H16442" s="5">
        <v>114.6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115.9</v>
      </c>
      <c r="D16443" s="5">
        <v>0.1</v>
      </c>
      <c r="E16443" s="5">
        <v>116.1</v>
      </c>
      <c r="F16443" s="5">
        <v>230.8</v>
      </c>
      <c r="G16443" s="5">
        <v>114.7</v>
      </c>
      <c r="H16443" s="5">
        <v>114.6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115.9</v>
      </c>
      <c r="D16444" s="5">
        <v>0.1</v>
      </c>
      <c r="E16444" s="5">
        <v>116.1</v>
      </c>
      <c r="F16444" s="5">
        <v>230.8</v>
      </c>
      <c r="G16444" s="5">
        <v>114.7</v>
      </c>
      <c r="H16444" s="5">
        <v>114.6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115.7</v>
      </c>
      <c r="D16445" s="5">
        <v>0.1</v>
      </c>
      <c r="E16445" s="5">
        <v>115.8</v>
      </c>
      <c r="F16445" s="5">
        <v>230.7</v>
      </c>
      <c r="G16445" s="5">
        <v>114.7</v>
      </c>
      <c r="H16445" s="5">
        <v>114.6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115.7</v>
      </c>
      <c r="D16446" s="5">
        <v>0.1</v>
      </c>
      <c r="E16446" s="5">
        <v>115.8</v>
      </c>
      <c r="F16446" s="5">
        <v>230.7</v>
      </c>
      <c r="G16446" s="5">
        <v>114.7</v>
      </c>
      <c r="H16446" s="5">
        <v>114.5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116</v>
      </c>
      <c r="D16447" s="5">
        <v>0.1</v>
      </c>
      <c r="E16447" s="5">
        <v>116.1</v>
      </c>
      <c r="F16447" s="5">
        <v>230.7</v>
      </c>
      <c r="G16447" s="5">
        <v>114.7</v>
      </c>
      <c r="H16447" s="5">
        <v>114.5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116</v>
      </c>
      <c r="D16448" s="5">
        <v>0.1</v>
      </c>
      <c r="E16448" s="5">
        <v>116.1</v>
      </c>
      <c r="F16448" s="5">
        <v>230.6</v>
      </c>
      <c r="G16448" s="5">
        <v>114.6</v>
      </c>
      <c r="H16448" s="5">
        <v>114.4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116</v>
      </c>
      <c r="D16449" s="5">
        <v>0.1</v>
      </c>
      <c r="E16449" s="5">
        <v>116.1</v>
      </c>
      <c r="F16449" s="5">
        <v>230.6</v>
      </c>
      <c r="G16449" s="5">
        <v>114.6</v>
      </c>
      <c r="H16449" s="5">
        <v>114.4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116</v>
      </c>
      <c r="D16450" s="5">
        <v>0.1</v>
      </c>
      <c r="E16450" s="5">
        <v>116.1</v>
      </c>
      <c r="F16450" s="5">
        <v>230.6</v>
      </c>
      <c r="G16450" s="5">
        <v>114.6</v>
      </c>
      <c r="H16450" s="5">
        <v>114.4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116.3</v>
      </c>
      <c r="D16451" s="5">
        <v>0.1</v>
      </c>
      <c r="E16451" s="5">
        <v>116.4</v>
      </c>
      <c r="F16451" s="5">
        <v>231.8</v>
      </c>
      <c r="G16451" s="5">
        <v>115.2</v>
      </c>
      <c r="H16451" s="5">
        <v>115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116.3</v>
      </c>
      <c r="D16452" s="5">
        <v>0.1</v>
      </c>
      <c r="E16452" s="5">
        <v>116.4</v>
      </c>
      <c r="F16452" s="5">
        <v>231.8</v>
      </c>
      <c r="G16452" s="5">
        <v>115.2</v>
      </c>
      <c r="H16452" s="5">
        <v>115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116.3</v>
      </c>
      <c r="D16453" s="5">
        <v>0.1</v>
      </c>
      <c r="E16453" s="5">
        <v>116.4</v>
      </c>
      <c r="F16453" s="5">
        <v>231.3</v>
      </c>
      <c r="G16453" s="5">
        <v>115</v>
      </c>
      <c r="H16453" s="5">
        <v>114.8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116.3</v>
      </c>
      <c r="D16454" s="5">
        <v>0.1</v>
      </c>
      <c r="E16454" s="5">
        <v>116.4</v>
      </c>
      <c r="F16454" s="5">
        <v>231.3</v>
      </c>
      <c r="G16454" s="5">
        <v>115</v>
      </c>
      <c r="H16454" s="5">
        <v>114.8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116.3</v>
      </c>
      <c r="D16455" s="5">
        <v>0.1</v>
      </c>
      <c r="E16455" s="5">
        <v>116.7</v>
      </c>
      <c r="F16455" s="5">
        <v>231.1</v>
      </c>
      <c r="G16455" s="5">
        <v>114.9</v>
      </c>
      <c r="H16455" s="5">
        <v>114.7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116.5</v>
      </c>
      <c r="D16456" s="5">
        <v>0.1</v>
      </c>
      <c r="E16456" s="5">
        <v>116.7</v>
      </c>
      <c r="F16456" s="5">
        <v>231.1</v>
      </c>
      <c r="G16456" s="5">
        <v>114.9</v>
      </c>
      <c r="H16456" s="5">
        <v>114.7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116.5</v>
      </c>
      <c r="D16457" s="5">
        <v>0.1</v>
      </c>
      <c r="E16457" s="5">
        <v>116.4</v>
      </c>
      <c r="F16457" s="5">
        <v>231.1</v>
      </c>
      <c r="G16457" s="5">
        <v>114.8</v>
      </c>
      <c r="H16457" s="5">
        <v>114.7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116.3</v>
      </c>
      <c r="D16458" s="5">
        <v>0.1</v>
      </c>
      <c r="E16458" s="5">
        <v>116.4</v>
      </c>
      <c r="F16458" s="5">
        <v>231.1</v>
      </c>
      <c r="G16458" s="5">
        <v>114.8</v>
      </c>
      <c r="H16458" s="5">
        <v>114.7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116.3</v>
      </c>
      <c r="D16459" s="5">
        <v>0.1</v>
      </c>
      <c r="E16459" s="5">
        <v>116.4</v>
      </c>
      <c r="F16459" s="5">
        <v>231.1</v>
      </c>
      <c r="G16459" s="5">
        <v>114.8</v>
      </c>
      <c r="H16459" s="5">
        <v>114.7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116.3</v>
      </c>
      <c r="D16460" s="5">
        <v>0.1</v>
      </c>
      <c r="E16460" s="5">
        <v>116.4</v>
      </c>
      <c r="F16460" s="5">
        <v>231.1</v>
      </c>
      <c r="G16460" s="5">
        <v>114.8</v>
      </c>
      <c r="H16460" s="5">
        <v>114.7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116.3</v>
      </c>
      <c r="D16461" s="5">
        <v>0.1</v>
      </c>
      <c r="E16461" s="5">
        <v>116.4</v>
      </c>
      <c r="F16461" s="5">
        <v>231.6</v>
      </c>
      <c r="G16461" s="5">
        <v>115.2</v>
      </c>
      <c r="H16461" s="5">
        <v>115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116.3</v>
      </c>
      <c r="D16462" s="5">
        <v>0.1</v>
      </c>
      <c r="E16462" s="5">
        <v>116.4</v>
      </c>
      <c r="F16462" s="5">
        <v>231.6</v>
      </c>
      <c r="G16462" s="5">
        <v>115.2</v>
      </c>
      <c r="H16462" s="5">
        <v>115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116.6</v>
      </c>
      <c r="D16463" s="5">
        <v>0.1</v>
      </c>
      <c r="E16463" s="5">
        <v>116.7</v>
      </c>
      <c r="F16463" s="5">
        <v>231.7</v>
      </c>
      <c r="G16463" s="5">
        <v>115.2</v>
      </c>
      <c r="H16463" s="5">
        <v>115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116.6</v>
      </c>
      <c r="D16464" s="5">
        <v>0.1</v>
      </c>
      <c r="E16464" s="5">
        <v>116.7</v>
      </c>
      <c r="F16464" s="5">
        <v>231.7</v>
      </c>
      <c r="G16464" s="5">
        <v>115.2</v>
      </c>
      <c r="H16464" s="5">
        <v>115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116.4</v>
      </c>
      <c r="D16465" s="5">
        <v>0.1</v>
      </c>
      <c r="E16465" s="5">
        <v>116.5</v>
      </c>
      <c r="F16465" s="5">
        <v>231.2</v>
      </c>
      <c r="G16465" s="5">
        <v>114.9</v>
      </c>
      <c r="H16465" s="5">
        <v>114.8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116.4</v>
      </c>
      <c r="D16466" s="5">
        <v>0.1</v>
      </c>
      <c r="E16466" s="5">
        <v>116.5</v>
      </c>
      <c r="F16466" s="5">
        <v>231.2</v>
      </c>
      <c r="G16466" s="5">
        <v>114.9</v>
      </c>
      <c r="H16466" s="5">
        <v>114.8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116</v>
      </c>
      <c r="D16467" s="5">
        <v>0.1</v>
      </c>
      <c r="E16467" s="5">
        <v>116.2</v>
      </c>
      <c r="F16467" s="5">
        <v>231.7</v>
      </c>
      <c r="G16467" s="5">
        <v>115.2</v>
      </c>
      <c r="H16467" s="5">
        <v>115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116</v>
      </c>
      <c r="D16468" s="5">
        <v>0.1</v>
      </c>
      <c r="E16468" s="5">
        <v>116.2</v>
      </c>
      <c r="F16468" s="5">
        <v>231.7</v>
      </c>
      <c r="G16468" s="5">
        <v>115.2</v>
      </c>
      <c r="H16468" s="5">
        <v>115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116</v>
      </c>
      <c r="D16469" s="5">
        <v>0.1</v>
      </c>
      <c r="E16469" s="5">
        <v>116.2</v>
      </c>
      <c r="F16469" s="5">
        <v>231.7</v>
      </c>
      <c r="G16469" s="5">
        <v>115.2</v>
      </c>
      <c r="H16469" s="5">
        <v>115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116</v>
      </c>
      <c r="D16470" s="5">
        <v>0.1</v>
      </c>
      <c r="E16470" s="5">
        <v>116.2</v>
      </c>
      <c r="F16470" s="5">
        <v>231.7</v>
      </c>
      <c r="G16470" s="5">
        <v>115.2</v>
      </c>
      <c r="H16470" s="5">
        <v>115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116.4</v>
      </c>
      <c r="D16471" s="5">
        <v>0.1</v>
      </c>
      <c r="E16471" s="5">
        <v>116.5</v>
      </c>
      <c r="F16471" s="5">
        <v>232.1</v>
      </c>
      <c r="G16471" s="5">
        <v>115.4</v>
      </c>
      <c r="H16471" s="5">
        <v>115.2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116.4</v>
      </c>
      <c r="D16472" s="5">
        <v>0.1</v>
      </c>
      <c r="E16472" s="5">
        <v>116.5</v>
      </c>
      <c r="F16472" s="5">
        <v>232.1</v>
      </c>
      <c r="G16472" s="5">
        <v>115.4</v>
      </c>
      <c r="H16472" s="5">
        <v>115.2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116.6</v>
      </c>
      <c r="D16473" s="5">
        <v>0.1</v>
      </c>
      <c r="E16473" s="5">
        <v>116.7</v>
      </c>
      <c r="F16473" s="5">
        <v>231.8</v>
      </c>
      <c r="G16473" s="5">
        <v>115.2</v>
      </c>
      <c r="H16473" s="5">
        <v>115.1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116.3</v>
      </c>
      <c r="D16474" s="5">
        <v>0.1</v>
      </c>
      <c r="E16474" s="5">
        <v>116.4</v>
      </c>
      <c r="F16474" s="5">
        <v>230.7</v>
      </c>
      <c r="G16474" s="5">
        <v>114.7</v>
      </c>
      <c r="H16474" s="5">
        <v>114.5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116.3</v>
      </c>
      <c r="D16475" s="5">
        <v>0.1</v>
      </c>
      <c r="E16475" s="5">
        <v>116.4</v>
      </c>
      <c r="F16475" s="5">
        <v>230.7</v>
      </c>
      <c r="G16475" s="5">
        <v>114.7</v>
      </c>
      <c r="H16475" s="5">
        <v>114.5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116.1</v>
      </c>
      <c r="D16476" s="5">
        <v>0.1</v>
      </c>
      <c r="E16476" s="5">
        <v>116.3</v>
      </c>
      <c r="F16476" s="5">
        <v>231.1</v>
      </c>
      <c r="G16476" s="5">
        <v>114.9</v>
      </c>
      <c r="H16476" s="5">
        <v>114.8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116.1</v>
      </c>
      <c r="D16477" s="5">
        <v>0.1</v>
      </c>
      <c r="E16477" s="5">
        <v>116.3</v>
      </c>
      <c r="F16477" s="5">
        <v>231.1</v>
      </c>
      <c r="G16477" s="5">
        <v>114.9</v>
      </c>
      <c r="H16477" s="5">
        <v>114.8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116.4</v>
      </c>
      <c r="D16478" s="5">
        <v>0.1</v>
      </c>
      <c r="E16478" s="5">
        <v>116.5</v>
      </c>
      <c r="F16478" s="5">
        <v>231.1</v>
      </c>
      <c r="G16478" s="5">
        <v>114.9</v>
      </c>
      <c r="H16478" s="5">
        <v>114.8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116.4</v>
      </c>
      <c r="D16479" s="5">
        <v>0.1</v>
      </c>
      <c r="E16479" s="5">
        <v>116.5</v>
      </c>
      <c r="F16479" s="5">
        <v>231.1</v>
      </c>
      <c r="G16479" s="5">
        <v>114.9</v>
      </c>
      <c r="H16479" s="5">
        <v>114.8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116.4</v>
      </c>
      <c r="D16480" s="5">
        <v>0.1</v>
      </c>
      <c r="E16480" s="5">
        <v>116.5</v>
      </c>
      <c r="F16480" s="5">
        <v>231.1</v>
      </c>
      <c r="G16480" s="5">
        <v>114.9</v>
      </c>
      <c r="H16480" s="5">
        <v>114.8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116.4</v>
      </c>
      <c r="D16481" s="5">
        <v>0.1</v>
      </c>
      <c r="E16481" s="5">
        <v>116.5</v>
      </c>
      <c r="F16481" s="5">
        <v>231.1</v>
      </c>
      <c r="G16481" s="5">
        <v>114.9</v>
      </c>
      <c r="H16481" s="5">
        <v>114.8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116.1</v>
      </c>
      <c r="D16482" s="5">
        <v>0.1</v>
      </c>
      <c r="E16482" s="5">
        <v>116.3</v>
      </c>
      <c r="F16482" s="5">
        <v>231.1</v>
      </c>
      <c r="G16482" s="5">
        <v>114.9</v>
      </c>
      <c r="H16482" s="5">
        <v>114.8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116.1</v>
      </c>
      <c r="D16483" s="5">
        <v>0.1</v>
      </c>
      <c r="E16483" s="5">
        <v>116.3</v>
      </c>
      <c r="F16483" s="5">
        <v>231.1</v>
      </c>
      <c r="G16483" s="5">
        <v>114.9</v>
      </c>
      <c r="H16483" s="5">
        <v>114.8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115.8</v>
      </c>
      <c r="D16484" s="5">
        <v>0.1</v>
      </c>
      <c r="E16484" s="5">
        <v>116</v>
      </c>
      <c r="F16484" s="5">
        <v>230.4</v>
      </c>
      <c r="G16484" s="5">
        <v>114.5</v>
      </c>
      <c r="H16484" s="5">
        <v>114.4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115.8</v>
      </c>
      <c r="D16485" s="5">
        <v>0.1</v>
      </c>
      <c r="E16485" s="5">
        <v>116</v>
      </c>
      <c r="F16485" s="5">
        <v>230.4</v>
      </c>
      <c r="G16485" s="5">
        <v>114.5</v>
      </c>
      <c r="H16485" s="5">
        <v>114.4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115.5</v>
      </c>
      <c r="D16486" s="5">
        <v>0.1</v>
      </c>
      <c r="E16486" s="5">
        <v>115.7</v>
      </c>
      <c r="F16486" s="5">
        <v>230.1</v>
      </c>
      <c r="G16486" s="5">
        <v>114.5</v>
      </c>
      <c r="H16486" s="5">
        <v>114.3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115.5</v>
      </c>
      <c r="D16487" s="5">
        <v>0.1</v>
      </c>
      <c r="E16487" s="5">
        <v>115.7</v>
      </c>
      <c r="F16487" s="5">
        <v>230.1</v>
      </c>
      <c r="G16487" s="5">
        <v>114.5</v>
      </c>
      <c r="H16487" s="5">
        <v>114.3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115.6</v>
      </c>
      <c r="D16488" s="5">
        <v>0.1</v>
      </c>
      <c r="E16488" s="5">
        <v>115.8</v>
      </c>
      <c r="F16488" s="5">
        <v>230.2</v>
      </c>
      <c r="G16488" s="5">
        <v>114.4</v>
      </c>
      <c r="H16488" s="5">
        <v>114.3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115.6</v>
      </c>
      <c r="D16489" s="5">
        <v>0.1</v>
      </c>
      <c r="E16489" s="5">
        <v>115.8</v>
      </c>
      <c r="F16489" s="5">
        <v>230.2</v>
      </c>
      <c r="G16489" s="5">
        <v>114.4</v>
      </c>
      <c r="H16489" s="5">
        <v>114.3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115.6</v>
      </c>
      <c r="D16490" s="5">
        <v>0.1</v>
      </c>
      <c r="E16490" s="5">
        <v>115.8</v>
      </c>
      <c r="F16490" s="5">
        <v>230.2</v>
      </c>
      <c r="G16490" s="5">
        <v>114.4</v>
      </c>
      <c r="H16490" s="5">
        <v>114.3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115.6</v>
      </c>
      <c r="D16491" s="5">
        <v>0.1</v>
      </c>
      <c r="E16491" s="5">
        <v>115.8</v>
      </c>
      <c r="F16491" s="5">
        <v>230.2</v>
      </c>
      <c r="G16491" s="5">
        <v>114.4</v>
      </c>
      <c r="H16491" s="5">
        <v>114.3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115.8</v>
      </c>
      <c r="D16492" s="5">
        <v>0.1</v>
      </c>
      <c r="E16492" s="5">
        <v>115.9</v>
      </c>
      <c r="F16492" s="5">
        <v>230.3</v>
      </c>
      <c r="G16492" s="5">
        <v>114.5</v>
      </c>
      <c r="H16492" s="5">
        <v>114.3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115.8</v>
      </c>
      <c r="D16493" s="5">
        <v>0.1</v>
      </c>
      <c r="E16493" s="5">
        <v>115.9</v>
      </c>
      <c r="F16493" s="5">
        <v>230.3</v>
      </c>
      <c r="G16493" s="5">
        <v>114.5</v>
      </c>
      <c r="H16493" s="5">
        <v>114.3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115.8</v>
      </c>
      <c r="D16494" s="5">
        <v>0.1</v>
      </c>
      <c r="E16494" s="5">
        <v>115.9</v>
      </c>
      <c r="F16494" s="5">
        <v>229.7</v>
      </c>
      <c r="G16494" s="5">
        <v>114.2</v>
      </c>
      <c r="H16494" s="5">
        <v>114.1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115.8</v>
      </c>
      <c r="D16495" s="5">
        <v>0.1</v>
      </c>
      <c r="E16495" s="5">
        <v>115.9</v>
      </c>
      <c r="F16495" s="5">
        <v>229.7</v>
      </c>
      <c r="G16495" s="5">
        <v>114.2</v>
      </c>
      <c r="H16495" s="5">
        <v>114.1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115.5</v>
      </c>
      <c r="D16496" s="5">
        <v>0.1</v>
      </c>
      <c r="E16496" s="5">
        <v>115.7</v>
      </c>
      <c r="F16496" s="5">
        <v>230</v>
      </c>
      <c r="G16496" s="5">
        <v>114.3</v>
      </c>
      <c r="H16496" s="5">
        <v>114.2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115.5</v>
      </c>
      <c r="D16497" s="5">
        <v>0.1</v>
      </c>
      <c r="E16497" s="5">
        <v>115.7</v>
      </c>
      <c r="F16497" s="5">
        <v>230</v>
      </c>
      <c r="G16497" s="5">
        <v>114.3</v>
      </c>
      <c r="H16497" s="5">
        <v>114.2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115.5</v>
      </c>
      <c r="D16498" s="5">
        <v>0.1</v>
      </c>
      <c r="E16498" s="5">
        <v>115.6</v>
      </c>
      <c r="F16498" s="5">
        <v>230</v>
      </c>
      <c r="G16498" s="5">
        <v>114.4</v>
      </c>
      <c r="H16498" s="5">
        <v>114.2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115.5</v>
      </c>
      <c r="D16499" s="5">
        <v>0.1</v>
      </c>
      <c r="E16499" s="5">
        <v>115.6</v>
      </c>
      <c r="F16499" s="5">
        <v>230</v>
      </c>
      <c r="G16499" s="5">
        <v>114.4</v>
      </c>
      <c r="H16499" s="5">
        <v>114.2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115.5</v>
      </c>
      <c r="D16500" s="5">
        <v>0.1</v>
      </c>
      <c r="E16500" s="5">
        <v>115.6</v>
      </c>
      <c r="F16500" s="5">
        <v>230</v>
      </c>
      <c r="G16500" s="5">
        <v>114.4</v>
      </c>
      <c r="H16500" s="5">
        <v>114.2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115.5</v>
      </c>
      <c r="D16501" s="5">
        <v>0.1</v>
      </c>
      <c r="E16501" s="5">
        <v>115.6</v>
      </c>
      <c r="F16501" s="5">
        <v>230</v>
      </c>
      <c r="G16501" s="5">
        <v>114.4</v>
      </c>
      <c r="H16501" s="5">
        <v>114.2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114.2</v>
      </c>
      <c r="D16502" s="5">
        <v>0.1</v>
      </c>
      <c r="E16502" s="5">
        <v>114.4</v>
      </c>
      <c r="F16502" s="5">
        <v>226.9</v>
      </c>
      <c r="G16502" s="5">
        <v>112.8</v>
      </c>
      <c r="H16502" s="5">
        <v>112.6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114.2</v>
      </c>
      <c r="D16503" s="5">
        <v>0.1</v>
      </c>
      <c r="E16503" s="5">
        <v>114.4</v>
      </c>
      <c r="F16503" s="5">
        <v>226.9</v>
      </c>
      <c r="G16503" s="5">
        <v>112.8</v>
      </c>
      <c r="H16503" s="5">
        <v>112.6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113.7</v>
      </c>
      <c r="D16504" s="5">
        <v>0.1</v>
      </c>
      <c r="E16504" s="5">
        <v>113.9</v>
      </c>
      <c r="F16504" s="5">
        <v>227.2</v>
      </c>
      <c r="G16504" s="5">
        <v>112.9</v>
      </c>
      <c r="H16504" s="5">
        <v>112.8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113.7</v>
      </c>
      <c r="D16505" s="5">
        <v>0.1</v>
      </c>
      <c r="E16505" s="5">
        <v>113.9</v>
      </c>
      <c r="F16505" s="5">
        <v>227.2</v>
      </c>
      <c r="G16505" s="5">
        <v>112.9</v>
      </c>
      <c r="H16505" s="5">
        <v>112.8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115.1</v>
      </c>
      <c r="D16506" s="5">
        <v>0.1</v>
      </c>
      <c r="E16506" s="5">
        <v>115.3</v>
      </c>
      <c r="F16506" s="5">
        <v>227.8</v>
      </c>
      <c r="G16506" s="5">
        <v>113.3</v>
      </c>
      <c r="H16506" s="5">
        <v>113.1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115.1</v>
      </c>
      <c r="D16507" s="5">
        <v>0.1</v>
      </c>
      <c r="E16507" s="5">
        <v>115.3</v>
      </c>
      <c r="F16507" s="5">
        <v>227.8</v>
      </c>
      <c r="G16507" s="5">
        <v>113.3</v>
      </c>
      <c r="H16507" s="5">
        <v>113.1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115</v>
      </c>
      <c r="D16508" s="5">
        <v>0.1</v>
      </c>
      <c r="E16508" s="5">
        <v>115.2</v>
      </c>
      <c r="F16508" s="5">
        <v>228.8</v>
      </c>
      <c r="G16508" s="5">
        <v>113.8</v>
      </c>
      <c r="H16508" s="5">
        <v>113.6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114.8</v>
      </c>
      <c r="D16509" s="5">
        <v>0.1</v>
      </c>
      <c r="E16509" s="5">
        <v>114.9</v>
      </c>
      <c r="F16509" s="5">
        <v>228.7</v>
      </c>
      <c r="G16509" s="5">
        <v>113.6</v>
      </c>
      <c r="H16509" s="5">
        <v>113.4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114.8</v>
      </c>
      <c r="D16510" s="5">
        <v>0.1</v>
      </c>
      <c r="E16510" s="5">
        <v>114.9</v>
      </c>
      <c r="F16510" s="5">
        <v>228.4</v>
      </c>
      <c r="G16510" s="5">
        <v>113.5</v>
      </c>
      <c r="H16510" s="5">
        <v>113.3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114.8</v>
      </c>
      <c r="D16511" s="5">
        <v>0.1</v>
      </c>
      <c r="E16511" s="5">
        <v>114.9</v>
      </c>
      <c r="F16511" s="5">
        <v>228.4</v>
      </c>
      <c r="G16511" s="5">
        <v>113.5</v>
      </c>
      <c r="H16511" s="5">
        <v>113.3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114.9</v>
      </c>
      <c r="D16512" s="5">
        <v>0.1</v>
      </c>
      <c r="E16512" s="5">
        <v>115.1</v>
      </c>
      <c r="F16512" s="5">
        <v>228.5</v>
      </c>
      <c r="G16512" s="5">
        <v>113.5</v>
      </c>
      <c r="H16512" s="5">
        <v>113.3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114.9</v>
      </c>
      <c r="D16513" s="5">
        <v>0.1</v>
      </c>
      <c r="E16513" s="5">
        <v>115.1</v>
      </c>
      <c r="F16513" s="5">
        <v>228.5</v>
      </c>
      <c r="G16513" s="5">
        <v>113.5</v>
      </c>
      <c r="H16513" s="5">
        <v>113.3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114.8</v>
      </c>
      <c r="D16514" s="5">
        <v>0.1</v>
      </c>
      <c r="E16514" s="5">
        <v>115</v>
      </c>
      <c r="F16514" s="5">
        <v>228.9</v>
      </c>
      <c r="G16514" s="5">
        <v>113.7</v>
      </c>
      <c r="H16514" s="5">
        <v>113.5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114.8</v>
      </c>
      <c r="D16515" s="5">
        <v>0.1</v>
      </c>
      <c r="E16515" s="5">
        <v>115</v>
      </c>
      <c r="F16515" s="5">
        <v>228.9</v>
      </c>
      <c r="G16515" s="5">
        <v>113.7</v>
      </c>
      <c r="H16515" s="5">
        <v>113.5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114.8</v>
      </c>
      <c r="D16516" s="5">
        <v>0.1</v>
      </c>
      <c r="E16516" s="5">
        <v>115</v>
      </c>
      <c r="F16516" s="5">
        <v>228.9</v>
      </c>
      <c r="G16516" s="5">
        <v>113.7</v>
      </c>
      <c r="H16516" s="5">
        <v>113.5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114.8</v>
      </c>
      <c r="D16517" s="5">
        <v>0.1</v>
      </c>
      <c r="E16517" s="5">
        <v>115</v>
      </c>
      <c r="F16517" s="5">
        <v>228.9</v>
      </c>
      <c r="G16517" s="5">
        <v>113.7</v>
      </c>
      <c r="H16517" s="5">
        <v>113.5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115</v>
      </c>
      <c r="D16518" s="5">
        <v>0.1</v>
      </c>
      <c r="E16518" s="5">
        <v>115.1</v>
      </c>
      <c r="F16518" s="5">
        <v>228.3</v>
      </c>
      <c r="G16518" s="5">
        <v>113.4</v>
      </c>
      <c r="H16518" s="5">
        <v>113.2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115</v>
      </c>
      <c r="D16519" s="5">
        <v>0.1</v>
      </c>
      <c r="E16519" s="5">
        <v>115.1</v>
      </c>
      <c r="F16519" s="5">
        <v>228.3</v>
      </c>
      <c r="G16519" s="5">
        <v>113.4</v>
      </c>
      <c r="H16519" s="5">
        <v>113.2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114.8</v>
      </c>
      <c r="D16520" s="5">
        <v>0.1</v>
      </c>
      <c r="E16520" s="5">
        <v>115</v>
      </c>
      <c r="F16520" s="5">
        <v>228.9</v>
      </c>
      <c r="G16520" s="5">
        <v>113.6</v>
      </c>
      <c r="H16520" s="5">
        <v>113.4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114.8</v>
      </c>
      <c r="D16521" s="5">
        <v>0.1</v>
      </c>
      <c r="E16521" s="5">
        <v>115</v>
      </c>
      <c r="F16521" s="5">
        <v>228.9</v>
      </c>
      <c r="G16521" s="5">
        <v>113.6</v>
      </c>
      <c r="H16521" s="5">
        <v>113.4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114.7</v>
      </c>
      <c r="D16522" s="5">
        <v>0.1</v>
      </c>
      <c r="E16522" s="5">
        <v>114.8</v>
      </c>
      <c r="F16522" s="5">
        <v>228</v>
      </c>
      <c r="G16522" s="5">
        <v>113.2</v>
      </c>
      <c r="H16522" s="5">
        <v>113.1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114.7</v>
      </c>
      <c r="D16523" s="5">
        <v>0.1</v>
      </c>
      <c r="E16523" s="5">
        <v>114.8</v>
      </c>
      <c r="F16523" s="5">
        <v>228</v>
      </c>
      <c r="G16523" s="5">
        <v>113.2</v>
      </c>
      <c r="H16523" s="5">
        <v>113.1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115.5</v>
      </c>
      <c r="D16524" s="5">
        <v>0.1</v>
      </c>
      <c r="E16524" s="5">
        <v>115.7</v>
      </c>
      <c r="F16524" s="5">
        <v>228.8</v>
      </c>
      <c r="G16524" s="5">
        <v>113.7</v>
      </c>
      <c r="H16524" s="5">
        <v>113.5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115.5</v>
      </c>
      <c r="D16525" s="5">
        <v>0.1</v>
      </c>
      <c r="E16525" s="5">
        <v>115.7</v>
      </c>
      <c r="F16525" s="5">
        <v>228.8</v>
      </c>
      <c r="G16525" s="5">
        <v>113.7</v>
      </c>
      <c r="H16525" s="5">
        <v>113.5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115.5</v>
      </c>
      <c r="D16526" s="5">
        <v>0.1</v>
      </c>
      <c r="E16526" s="5">
        <v>115.7</v>
      </c>
      <c r="F16526" s="5">
        <v>228.8</v>
      </c>
      <c r="G16526" s="5">
        <v>113.7</v>
      </c>
      <c r="H16526" s="5">
        <v>113.5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115.8</v>
      </c>
      <c r="D16527" s="5">
        <v>0.1</v>
      </c>
      <c r="E16527" s="5">
        <v>115.9</v>
      </c>
      <c r="F16527" s="5">
        <v>228.9</v>
      </c>
      <c r="G16527" s="5">
        <v>113.1</v>
      </c>
      <c r="H16527" s="5">
        <v>113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115.8</v>
      </c>
      <c r="D16528" s="5">
        <v>0.1</v>
      </c>
      <c r="E16528" s="5">
        <v>115.9</v>
      </c>
      <c r="F16528" s="5">
        <v>228.9</v>
      </c>
      <c r="G16528" s="5">
        <v>113.1</v>
      </c>
      <c r="H16528" s="5">
        <v>113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115.8</v>
      </c>
      <c r="D16529" s="5">
        <v>0.1</v>
      </c>
      <c r="E16529" s="5">
        <v>115.9</v>
      </c>
      <c r="F16529" s="5">
        <v>228.7</v>
      </c>
      <c r="G16529" s="5">
        <v>113</v>
      </c>
      <c r="H16529" s="5">
        <v>112.8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115.8</v>
      </c>
      <c r="D16530" s="5">
        <v>0.1</v>
      </c>
      <c r="E16530" s="5">
        <v>115.9</v>
      </c>
      <c r="F16530" s="5">
        <v>228.7</v>
      </c>
      <c r="G16530" s="5">
        <v>113</v>
      </c>
      <c r="H16530" s="5">
        <v>112.8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115.9</v>
      </c>
      <c r="D16531" s="5">
        <v>0.1</v>
      </c>
      <c r="E16531" s="5">
        <v>116.1</v>
      </c>
      <c r="F16531" s="5">
        <v>229.2</v>
      </c>
      <c r="G16531" s="5">
        <v>113.2</v>
      </c>
      <c r="H16531" s="5">
        <v>113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115.9</v>
      </c>
      <c r="D16532" s="5">
        <v>0.1</v>
      </c>
      <c r="E16532" s="5">
        <v>116.1</v>
      </c>
      <c r="F16532" s="5">
        <v>229.2</v>
      </c>
      <c r="G16532" s="5">
        <v>113.2</v>
      </c>
      <c r="H16532" s="5">
        <v>113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115.8</v>
      </c>
      <c r="D16533" s="5">
        <v>0.1</v>
      </c>
      <c r="E16533" s="5">
        <v>116</v>
      </c>
      <c r="F16533" s="5">
        <v>229</v>
      </c>
      <c r="G16533" s="5">
        <v>113.1</v>
      </c>
      <c r="H16533" s="5">
        <v>112.9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115.8</v>
      </c>
      <c r="D16534" s="5">
        <v>0.1</v>
      </c>
      <c r="E16534" s="5">
        <v>116</v>
      </c>
      <c r="F16534" s="5">
        <v>229</v>
      </c>
      <c r="G16534" s="5">
        <v>113.1</v>
      </c>
      <c r="H16534" s="5">
        <v>112.9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115.8</v>
      </c>
      <c r="D16535" s="5">
        <v>0.1</v>
      </c>
      <c r="E16535" s="5">
        <v>116</v>
      </c>
      <c r="F16535" s="5">
        <v>229</v>
      </c>
      <c r="G16535" s="5">
        <v>113.1</v>
      </c>
      <c r="H16535" s="5">
        <v>112.9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115.8</v>
      </c>
      <c r="D16536" s="5">
        <v>0.1</v>
      </c>
      <c r="E16536" s="5">
        <v>116</v>
      </c>
      <c r="F16536" s="5">
        <v>229</v>
      </c>
      <c r="G16536" s="5">
        <v>113.1</v>
      </c>
      <c r="H16536" s="5">
        <v>112.9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116</v>
      </c>
      <c r="D16537" s="5">
        <v>0.1</v>
      </c>
      <c r="E16537" s="5">
        <v>116.1</v>
      </c>
      <c r="F16537" s="5">
        <v>229.1</v>
      </c>
      <c r="G16537" s="5">
        <v>113.1</v>
      </c>
      <c r="H16537" s="5">
        <v>113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116</v>
      </c>
      <c r="D16538" s="5">
        <v>0.1</v>
      </c>
      <c r="E16538" s="5">
        <v>116.1</v>
      </c>
      <c r="F16538" s="5">
        <v>229.1</v>
      </c>
      <c r="G16538" s="5">
        <v>113.1</v>
      </c>
      <c r="H16538" s="5">
        <v>113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116.1</v>
      </c>
      <c r="D16539" s="5">
        <v>0.1</v>
      </c>
      <c r="E16539" s="5">
        <v>116.3</v>
      </c>
      <c r="F16539" s="5">
        <v>229.4</v>
      </c>
      <c r="G16539" s="5">
        <v>113.3</v>
      </c>
      <c r="H16539" s="5">
        <v>113.1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116.1</v>
      </c>
      <c r="D16540" s="5">
        <v>0.1</v>
      </c>
      <c r="E16540" s="5">
        <v>116.3</v>
      </c>
      <c r="F16540" s="5">
        <v>229.4</v>
      </c>
      <c r="G16540" s="5">
        <v>113.3</v>
      </c>
      <c r="H16540" s="5">
        <v>113.1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116.3</v>
      </c>
      <c r="D16541" s="5">
        <v>0.1</v>
      </c>
      <c r="E16541" s="5">
        <v>116.4</v>
      </c>
      <c r="F16541" s="5">
        <v>229.7</v>
      </c>
      <c r="G16541" s="5">
        <v>113.4</v>
      </c>
      <c r="H16541" s="5">
        <v>113.3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116.3</v>
      </c>
      <c r="D16542" s="5">
        <v>0.1</v>
      </c>
      <c r="E16542" s="5">
        <v>116.4</v>
      </c>
      <c r="F16542" s="5">
        <v>229.7</v>
      </c>
      <c r="G16542" s="5">
        <v>113.4</v>
      </c>
      <c r="H16542" s="5">
        <v>113.3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116.1</v>
      </c>
      <c r="D16543" s="5">
        <v>0.1</v>
      </c>
      <c r="E16543" s="5">
        <v>116.2</v>
      </c>
      <c r="F16543" s="5">
        <v>229.4</v>
      </c>
      <c r="G16543" s="5">
        <v>113.2</v>
      </c>
      <c r="H16543" s="5">
        <v>113.1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116.1</v>
      </c>
      <c r="D16544" s="5">
        <v>0.1</v>
      </c>
      <c r="E16544" s="5">
        <v>116.2</v>
      </c>
      <c r="F16544" s="5">
        <v>229.4</v>
      </c>
      <c r="G16544" s="5">
        <v>113.2</v>
      </c>
      <c r="H16544" s="5">
        <v>113.1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116.1</v>
      </c>
      <c r="D16545" s="5">
        <v>0.1</v>
      </c>
      <c r="E16545" s="5">
        <v>116.2</v>
      </c>
      <c r="F16545" s="5">
        <v>229.4</v>
      </c>
      <c r="G16545" s="5">
        <v>113.2</v>
      </c>
      <c r="H16545" s="5">
        <v>113.1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116.1</v>
      </c>
      <c r="D16546" s="5">
        <v>0.1</v>
      </c>
      <c r="E16546" s="5">
        <v>116.2</v>
      </c>
      <c r="F16546" s="5">
        <v>229.4</v>
      </c>
      <c r="G16546" s="5">
        <v>113.2</v>
      </c>
      <c r="H16546" s="5">
        <v>113.1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116.2</v>
      </c>
      <c r="D16547" s="5">
        <v>0.1</v>
      </c>
      <c r="E16547" s="5">
        <v>116.4</v>
      </c>
      <c r="F16547" s="5">
        <v>229.2</v>
      </c>
      <c r="G16547" s="5">
        <v>113.2</v>
      </c>
      <c r="H16547" s="5">
        <v>113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116.2</v>
      </c>
      <c r="D16548" s="5">
        <v>0.1</v>
      </c>
      <c r="E16548" s="5">
        <v>116.4</v>
      </c>
      <c r="F16548" s="5">
        <v>229.2</v>
      </c>
      <c r="G16548" s="5">
        <v>113.2</v>
      </c>
      <c r="H16548" s="5">
        <v>113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116.2</v>
      </c>
      <c r="D16549" s="5">
        <v>0.1</v>
      </c>
      <c r="E16549" s="5">
        <v>116.4</v>
      </c>
      <c r="F16549" s="5">
        <v>229.4</v>
      </c>
      <c r="G16549" s="5">
        <v>113.2</v>
      </c>
      <c r="H16549" s="5">
        <v>113.1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116.2</v>
      </c>
      <c r="D16550" s="5">
        <v>0.1</v>
      </c>
      <c r="E16550" s="5">
        <v>116.4</v>
      </c>
      <c r="F16550" s="5">
        <v>229.4</v>
      </c>
      <c r="G16550" s="5">
        <v>113.2</v>
      </c>
      <c r="H16550" s="5">
        <v>113.1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116</v>
      </c>
      <c r="D16551" s="5">
        <v>0.1</v>
      </c>
      <c r="E16551" s="5">
        <v>116.1</v>
      </c>
      <c r="F16551" s="5">
        <v>229</v>
      </c>
      <c r="G16551" s="5">
        <v>113</v>
      </c>
      <c r="H16551" s="5">
        <v>112.8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116</v>
      </c>
      <c r="D16552" s="5">
        <v>0.1</v>
      </c>
      <c r="E16552" s="5">
        <v>116.1</v>
      </c>
      <c r="F16552" s="5">
        <v>229</v>
      </c>
      <c r="G16552" s="5">
        <v>113</v>
      </c>
      <c r="H16552" s="5">
        <v>112.8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116</v>
      </c>
      <c r="D16553" s="5">
        <v>0.1</v>
      </c>
      <c r="E16553" s="5">
        <v>116.1</v>
      </c>
      <c r="F16553" s="5">
        <v>229.5</v>
      </c>
      <c r="G16553" s="5">
        <v>113.3</v>
      </c>
      <c r="H16553" s="5">
        <v>113.1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116.4</v>
      </c>
      <c r="D16554" s="5">
        <v>0.1</v>
      </c>
      <c r="E16554" s="5">
        <v>116.6</v>
      </c>
      <c r="F16554" s="5">
        <v>229.5</v>
      </c>
      <c r="G16554" s="5">
        <v>113.3</v>
      </c>
      <c r="H16554" s="5">
        <v>113.1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116.4</v>
      </c>
      <c r="D16555" s="5">
        <v>0.1</v>
      </c>
      <c r="E16555" s="5">
        <v>116.6</v>
      </c>
      <c r="F16555" s="5">
        <v>229.5</v>
      </c>
      <c r="G16555" s="5">
        <v>113.3</v>
      </c>
      <c r="H16555" s="5">
        <v>113.1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116.4</v>
      </c>
      <c r="D16556" s="5">
        <v>0.1</v>
      </c>
      <c r="E16556" s="5">
        <v>116.6</v>
      </c>
      <c r="F16556" s="5">
        <v>229.5</v>
      </c>
      <c r="G16556" s="5">
        <v>113.3</v>
      </c>
      <c r="H16556" s="5">
        <v>113.1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116.2</v>
      </c>
      <c r="D16557" s="5">
        <v>0.1</v>
      </c>
      <c r="E16557" s="5">
        <v>116.4</v>
      </c>
      <c r="F16557" s="5">
        <v>229.6</v>
      </c>
      <c r="G16557" s="5">
        <v>113.2</v>
      </c>
      <c r="H16557" s="5">
        <v>113.1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116.2</v>
      </c>
      <c r="D16558" s="5">
        <v>0.1</v>
      </c>
      <c r="E16558" s="5">
        <v>116.4</v>
      </c>
      <c r="F16558" s="5">
        <v>229.6</v>
      </c>
      <c r="G16558" s="5">
        <v>113.2</v>
      </c>
      <c r="H16558" s="5">
        <v>113.1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116.7</v>
      </c>
      <c r="D16559" s="5">
        <v>0.1</v>
      </c>
      <c r="E16559" s="5">
        <v>116.9</v>
      </c>
      <c r="F16559" s="5">
        <v>230.2</v>
      </c>
      <c r="G16559" s="5">
        <v>113.5</v>
      </c>
      <c r="H16559" s="5">
        <v>113.4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116.7</v>
      </c>
      <c r="D16560" s="5">
        <v>0.1</v>
      </c>
      <c r="E16560" s="5">
        <v>116.9</v>
      </c>
      <c r="F16560" s="5">
        <v>230.2</v>
      </c>
      <c r="G16560" s="5">
        <v>113.5</v>
      </c>
      <c r="H16560" s="5">
        <v>113.4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116.8</v>
      </c>
      <c r="D16561" s="5">
        <v>0.1</v>
      </c>
      <c r="E16561" s="5">
        <v>117</v>
      </c>
      <c r="F16561" s="5">
        <v>230</v>
      </c>
      <c r="G16561" s="5">
        <v>113.5</v>
      </c>
      <c r="H16561" s="5">
        <v>113.3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116.8</v>
      </c>
      <c r="D16562" s="5">
        <v>0.1</v>
      </c>
      <c r="E16562" s="5">
        <v>117</v>
      </c>
      <c r="F16562" s="5">
        <v>230</v>
      </c>
      <c r="G16562" s="5">
        <v>113.5</v>
      </c>
      <c r="H16562" s="5">
        <v>113.3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116.7</v>
      </c>
      <c r="D16563" s="5">
        <v>0.1</v>
      </c>
      <c r="E16563" s="5">
        <v>116.9</v>
      </c>
      <c r="F16563" s="5">
        <v>230.2</v>
      </c>
      <c r="G16563" s="5">
        <v>113.3</v>
      </c>
      <c r="H16563" s="5">
        <v>113.1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116.7</v>
      </c>
      <c r="D16564" s="5">
        <v>0.1</v>
      </c>
      <c r="E16564" s="5">
        <v>116.9</v>
      </c>
      <c r="F16564" s="5">
        <v>230.2</v>
      </c>
      <c r="G16564" s="5">
        <v>113.3</v>
      </c>
      <c r="H16564" s="5">
        <v>113.1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116.7</v>
      </c>
      <c r="D16565" s="5">
        <v>0.1</v>
      </c>
      <c r="E16565" s="5">
        <v>116.9</v>
      </c>
      <c r="F16565" s="5">
        <v>230.2</v>
      </c>
      <c r="G16565" s="5">
        <v>113.3</v>
      </c>
      <c r="H16565" s="5">
        <v>113.1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116.7</v>
      </c>
      <c r="D16566" s="5">
        <v>0.1</v>
      </c>
      <c r="E16566" s="5">
        <v>116.9</v>
      </c>
      <c r="F16566" s="5">
        <v>230.2</v>
      </c>
      <c r="G16566" s="5">
        <v>113.3</v>
      </c>
      <c r="H16566" s="5">
        <v>113.1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116.8</v>
      </c>
      <c r="D16567" s="5">
        <v>0.1</v>
      </c>
      <c r="E16567" s="5">
        <v>116.9</v>
      </c>
      <c r="F16567" s="5">
        <v>230.4</v>
      </c>
      <c r="G16567" s="5">
        <v>113.5</v>
      </c>
      <c r="H16567" s="5">
        <v>113.4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116.8</v>
      </c>
      <c r="D16568" s="5">
        <v>0.1</v>
      </c>
      <c r="E16568" s="5">
        <v>116.9</v>
      </c>
      <c r="F16568" s="5">
        <v>230.4</v>
      </c>
      <c r="G16568" s="5">
        <v>113.5</v>
      </c>
      <c r="H16568" s="5">
        <v>113.4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117.1</v>
      </c>
      <c r="D16569" s="5">
        <v>0.1</v>
      </c>
      <c r="E16569" s="5">
        <v>117.2</v>
      </c>
      <c r="F16569" s="5">
        <v>230.7</v>
      </c>
      <c r="G16569" s="5">
        <v>113.7</v>
      </c>
      <c r="H16569" s="5">
        <v>113.6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117.1</v>
      </c>
      <c r="D16570" s="5">
        <v>0.1</v>
      </c>
      <c r="E16570" s="5">
        <v>117.2</v>
      </c>
      <c r="F16570" s="5">
        <v>230.7</v>
      </c>
      <c r="G16570" s="5">
        <v>113.7</v>
      </c>
      <c r="H16570" s="5">
        <v>113.6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116.7</v>
      </c>
      <c r="D16571" s="5">
        <v>0.1</v>
      </c>
      <c r="E16571" s="5">
        <v>116.8</v>
      </c>
      <c r="F16571" s="5">
        <v>230.2</v>
      </c>
      <c r="G16571" s="5">
        <v>113.5</v>
      </c>
      <c r="H16571" s="5">
        <v>113.3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116.7</v>
      </c>
      <c r="D16572" s="5">
        <v>0.1</v>
      </c>
      <c r="E16572" s="5">
        <v>116.8</v>
      </c>
      <c r="F16572" s="5">
        <v>230.2</v>
      </c>
      <c r="G16572" s="5">
        <v>113.5</v>
      </c>
      <c r="H16572" s="5">
        <v>113.3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116.7</v>
      </c>
      <c r="D16573" s="5">
        <v>0.1</v>
      </c>
      <c r="E16573" s="5">
        <v>116.9</v>
      </c>
      <c r="F16573" s="5">
        <v>230.4</v>
      </c>
      <c r="G16573" s="5">
        <v>113.6</v>
      </c>
      <c r="H16573" s="5">
        <v>113.4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116.7</v>
      </c>
      <c r="D16574" s="5">
        <v>0.1</v>
      </c>
      <c r="E16574" s="5">
        <v>116.9</v>
      </c>
      <c r="F16574" s="5">
        <v>230.4</v>
      </c>
      <c r="G16574" s="5">
        <v>113.6</v>
      </c>
      <c r="H16574" s="5">
        <v>113.4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116.7</v>
      </c>
      <c r="D16575" s="5">
        <v>0.1</v>
      </c>
      <c r="E16575" s="5">
        <v>116.9</v>
      </c>
      <c r="F16575" s="5">
        <v>230.4</v>
      </c>
      <c r="G16575" s="5">
        <v>113.6</v>
      </c>
      <c r="H16575" s="5">
        <v>113.4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116.7</v>
      </c>
      <c r="D16576" s="5">
        <v>0.1</v>
      </c>
      <c r="E16576" s="5">
        <v>116.9</v>
      </c>
      <c r="F16576" s="5">
        <v>230.4</v>
      </c>
      <c r="G16576" s="5">
        <v>113.6</v>
      </c>
      <c r="H16576" s="5">
        <v>113.4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117.1</v>
      </c>
      <c r="D16577" s="5">
        <v>0.1</v>
      </c>
      <c r="E16577" s="5">
        <v>117.3</v>
      </c>
      <c r="F16577" s="5">
        <v>230.7</v>
      </c>
      <c r="G16577" s="5">
        <v>113.7</v>
      </c>
      <c r="H16577" s="5">
        <v>113.5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117.1</v>
      </c>
      <c r="D16578" s="5">
        <v>0.1</v>
      </c>
      <c r="E16578" s="5">
        <v>117.3</v>
      </c>
      <c r="F16578" s="5">
        <v>230.7</v>
      </c>
      <c r="G16578" s="5">
        <v>113.7</v>
      </c>
      <c r="H16578" s="5">
        <v>113.5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117.2</v>
      </c>
      <c r="D16579" s="5">
        <v>0.1</v>
      </c>
      <c r="E16579" s="5">
        <v>117.4</v>
      </c>
      <c r="F16579" s="5">
        <v>231</v>
      </c>
      <c r="G16579" s="5">
        <v>113.8</v>
      </c>
      <c r="H16579" s="5">
        <v>113.7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117.2</v>
      </c>
      <c r="D16580" s="5">
        <v>0.1</v>
      </c>
      <c r="E16580" s="5">
        <v>117.4</v>
      </c>
      <c r="F16580" s="5">
        <v>231</v>
      </c>
      <c r="G16580" s="5">
        <v>113.8</v>
      </c>
      <c r="H16580" s="5">
        <v>113.7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116.9</v>
      </c>
      <c r="D16581" s="5">
        <v>0.1</v>
      </c>
      <c r="E16581" s="5">
        <v>117.1</v>
      </c>
      <c r="F16581" s="5">
        <v>230.6</v>
      </c>
      <c r="G16581" s="5">
        <v>113.6</v>
      </c>
      <c r="H16581" s="5">
        <v>113.5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116.9</v>
      </c>
      <c r="D16582" s="5">
        <v>0.1</v>
      </c>
      <c r="E16582" s="5">
        <v>117.1</v>
      </c>
      <c r="F16582" s="5">
        <v>230.6</v>
      </c>
      <c r="G16582" s="5">
        <v>113.6</v>
      </c>
      <c r="H16582" s="5">
        <v>113.5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116.9</v>
      </c>
      <c r="D16583" s="5">
        <v>0.1</v>
      </c>
      <c r="E16583" s="5">
        <v>117.1</v>
      </c>
      <c r="F16583" s="5">
        <v>230.7</v>
      </c>
      <c r="G16583" s="5">
        <v>113.7</v>
      </c>
      <c r="H16583" s="5">
        <v>113.5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116.9</v>
      </c>
      <c r="D16584" s="5">
        <v>0.1</v>
      </c>
      <c r="E16584" s="5">
        <v>117.1</v>
      </c>
      <c r="F16584" s="5">
        <v>230.7</v>
      </c>
      <c r="G16584" s="5">
        <v>113.7</v>
      </c>
      <c r="H16584" s="5">
        <v>113.5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116.9</v>
      </c>
      <c r="D16585" s="5">
        <v>0.1</v>
      </c>
      <c r="E16585" s="5">
        <v>117.1</v>
      </c>
      <c r="F16585" s="5">
        <v>230.7</v>
      </c>
      <c r="G16585" s="5">
        <v>113.7</v>
      </c>
      <c r="H16585" s="5">
        <v>113.5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116.9</v>
      </c>
      <c r="D16586" s="5">
        <v>0.1</v>
      </c>
      <c r="E16586" s="5">
        <v>117.1</v>
      </c>
      <c r="F16586" s="5">
        <v>230.7</v>
      </c>
      <c r="G16586" s="5">
        <v>113.7</v>
      </c>
      <c r="H16586" s="5">
        <v>113.5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117</v>
      </c>
      <c r="D16587" s="5">
        <v>0.1</v>
      </c>
      <c r="E16587" s="5">
        <v>117.1</v>
      </c>
      <c r="F16587" s="5">
        <v>231.2</v>
      </c>
      <c r="G16587" s="5">
        <v>113.9</v>
      </c>
      <c r="H16587" s="5">
        <v>113.7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117</v>
      </c>
      <c r="D16588" s="5">
        <v>0.1</v>
      </c>
      <c r="E16588" s="5">
        <v>117.1</v>
      </c>
      <c r="F16588" s="5">
        <v>231.2</v>
      </c>
      <c r="G16588" s="5">
        <v>113.9</v>
      </c>
      <c r="H16588" s="5">
        <v>113.7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117.1</v>
      </c>
      <c r="D16589" s="5">
        <v>0.1</v>
      </c>
      <c r="E16589" s="5">
        <v>117.4</v>
      </c>
      <c r="F16589" s="5">
        <v>231.1</v>
      </c>
      <c r="G16589" s="5">
        <v>113.8</v>
      </c>
      <c r="H16589" s="5">
        <v>113.6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117.1</v>
      </c>
      <c r="D16590" s="5">
        <v>0.1</v>
      </c>
      <c r="E16590" s="5">
        <v>117.4</v>
      </c>
      <c r="F16590" s="5">
        <v>231.1</v>
      </c>
      <c r="G16590" s="5">
        <v>113.8</v>
      </c>
      <c r="H16590" s="5">
        <v>113.6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117.3</v>
      </c>
      <c r="D16591" s="5">
        <v>0.1</v>
      </c>
      <c r="E16591" s="5">
        <v>117.4</v>
      </c>
      <c r="F16591" s="5">
        <v>230.8</v>
      </c>
      <c r="G16591" s="5">
        <v>113.7</v>
      </c>
      <c r="H16591" s="5">
        <v>113.5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117.3</v>
      </c>
      <c r="D16592" s="5">
        <v>0.1</v>
      </c>
      <c r="E16592" s="5">
        <v>117.4</v>
      </c>
      <c r="F16592" s="5">
        <v>230.8</v>
      </c>
      <c r="G16592" s="5">
        <v>113.7</v>
      </c>
      <c r="H16592" s="5">
        <v>113.5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117.1</v>
      </c>
      <c r="D16593" s="5">
        <v>0.1</v>
      </c>
      <c r="E16593" s="5">
        <v>117.2</v>
      </c>
      <c r="F16593" s="5">
        <v>230.8</v>
      </c>
      <c r="G16593" s="5">
        <v>113.7</v>
      </c>
      <c r="H16593" s="5">
        <v>113.5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117.1</v>
      </c>
      <c r="D16594" s="5">
        <v>0.1</v>
      </c>
      <c r="E16594" s="5">
        <v>117.2</v>
      </c>
      <c r="F16594" s="5">
        <v>230.8</v>
      </c>
      <c r="G16594" s="5">
        <v>113.7</v>
      </c>
      <c r="H16594" s="5">
        <v>113.5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117.1</v>
      </c>
      <c r="D16595" s="5">
        <v>0.1</v>
      </c>
      <c r="E16595" s="5">
        <v>117.2</v>
      </c>
      <c r="F16595" s="5">
        <v>230.8</v>
      </c>
      <c r="G16595" s="5">
        <v>113.7</v>
      </c>
      <c r="H16595" s="5">
        <v>113.5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117.1</v>
      </c>
      <c r="D16596" s="5">
        <v>0.1</v>
      </c>
      <c r="E16596" s="5">
        <v>117.2</v>
      </c>
      <c r="F16596" s="5">
        <v>230.8</v>
      </c>
      <c r="G16596" s="5">
        <v>113.7</v>
      </c>
      <c r="H16596" s="5">
        <v>113.5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116.9</v>
      </c>
      <c r="D16597" s="5">
        <v>0.1</v>
      </c>
      <c r="E16597" s="5">
        <v>117.1</v>
      </c>
      <c r="F16597" s="5">
        <v>231.4</v>
      </c>
      <c r="G16597" s="5">
        <v>114</v>
      </c>
      <c r="H16597" s="5">
        <v>113.8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116.9</v>
      </c>
      <c r="D16598" s="5">
        <v>0.1</v>
      </c>
      <c r="E16598" s="5">
        <v>117.1</v>
      </c>
      <c r="F16598" s="5">
        <v>231.4</v>
      </c>
      <c r="G16598" s="5">
        <v>114</v>
      </c>
      <c r="H16598" s="5">
        <v>113.8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117.1</v>
      </c>
      <c r="D16599" s="5">
        <v>0.1</v>
      </c>
      <c r="E16599" s="5">
        <v>117.3</v>
      </c>
      <c r="F16599" s="5">
        <v>231.5</v>
      </c>
      <c r="G16599" s="5">
        <v>114</v>
      </c>
      <c r="H16599" s="5">
        <v>113.9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117.1</v>
      </c>
      <c r="D16600" s="5">
        <v>0.1</v>
      </c>
      <c r="E16600" s="5">
        <v>117.3</v>
      </c>
      <c r="F16600" s="5">
        <v>231.5</v>
      </c>
      <c r="G16600" s="5">
        <v>114</v>
      </c>
      <c r="H16600" s="5">
        <v>113.9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117.7</v>
      </c>
      <c r="D16601" s="5">
        <v>0.1</v>
      </c>
      <c r="E16601" s="5">
        <v>117.9</v>
      </c>
      <c r="F16601" s="5">
        <v>232</v>
      </c>
      <c r="G16601" s="5">
        <v>114.2</v>
      </c>
      <c r="H16601" s="5">
        <v>114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117.7</v>
      </c>
      <c r="D16602" s="5">
        <v>0.1</v>
      </c>
      <c r="E16602" s="5">
        <v>117.9</v>
      </c>
      <c r="F16602" s="5">
        <v>232</v>
      </c>
      <c r="G16602" s="5">
        <v>114.2</v>
      </c>
      <c r="H16602" s="5">
        <v>114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118</v>
      </c>
      <c r="D16603" s="5">
        <v>0.1</v>
      </c>
      <c r="E16603" s="5">
        <v>118.2</v>
      </c>
      <c r="F16603" s="5">
        <v>231.8</v>
      </c>
      <c r="G16603" s="5">
        <v>114.1</v>
      </c>
      <c r="H16603" s="5">
        <v>113.9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118</v>
      </c>
      <c r="D16604" s="5">
        <v>0.1</v>
      </c>
      <c r="E16604" s="5">
        <v>118.2</v>
      </c>
      <c r="F16604" s="5">
        <v>231.8</v>
      </c>
      <c r="G16604" s="5">
        <v>114.1</v>
      </c>
      <c r="H16604" s="5">
        <v>113.9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118</v>
      </c>
      <c r="D16605" s="5">
        <v>0.1</v>
      </c>
      <c r="E16605" s="5">
        <v>118.2</v>
      </c>
      <c r="F16605" s="5">
        <v>231.8</v>
      </c>
      <c r="G16605" s="5">
        <v>114.1</v>
      </c>
      <c r="H16605" s="5">
        <v>113.9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118</v>
      </c>
      <c r="D16606" s="5">
        <v>0.1</v>
      </c>
      <c r="E16606" s="5">
        <v>118.2</v>
      </c>
      <c r="F16606" s="5">
        <v>231.8</v>
      </c>
      <c r="G16606" s="5">
        <v>114.1</v>
      </c>
      <c r="H16606" s="5">
        <v>113.9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117.8</v>
      </c>
      <c r="D16607" s="5">
        <v>0.1</v>
      </c>
      <c r="E16607" s="5">
        <v>118</v>
      </c>
      <c r="F16607" s="5">
        <v>232.1</v>
      </c>
      <c r="G16607" s="5">
        <v>114.2</v>
      </c>
      <c r="H16607" s="5">
        <v>114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117.8</v>
      </c>
      <c r="D16608" s="5">
        <v>0.1</v>
      </c>
      <c r="E16608" s="5">
        <v>118</v>
      </c>
      <c r="F16608" s="5">
        <v>232.1</v>
      </c>
      <c r="G16608" s="5">
        <v>114.2</v>
      </c>
      <c r="H16608" s="5">
        <v>114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117.4</v>
      </c>
      <c r="D16609" s="5">
        <v>0.1</v>
      </c>
      <c r="E16609" s="5">
        <v>117.6</v>
      </c>
      <c r="F16609" s="5">
        <v>231.7</v>
      </c>
      <c r="G16609" s="5">
        <v>113.9</v>
      </c>
      <c r="H16609" s="5">
        <v>113.8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117.4</v>
      </c>
      <c r="D16610" s="5">
        <v>0.1</v>
      </c>
      <c r="E16610" s="5">
        <v>117.6</v>
      </c>
      <c r="F16610" s="5">
        <v>231.7</v>
      </c>
      <c r="G16610" s="5">
        <v>113.9</v>
      </c>
      <c r="H16610" s="5">
        <v>113.8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117.3</v>
      </c>
      <c r="D16611" s="5">
        <v>0.1</v>
      </c>
      <c r="E16611" s="5">
        <v>117.4</v>
      </c>
      <c r="F16611" s="5">
        <v>231.2</v>
      </c>
      <c r="G16611" s="5">
        <v>113.7</v>
      </c>
      <c r="H16611" s="5">
        <v>113.6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117.3</v>
      </c>
      <c r="D16612" s="5">
        <v>0.1</v>
      </c>
      <c r="E16612" s="5">
        <v>117.4</v>
      </c>
      <c r="F16612" s="5">
        <v>231.2</v>
      </c>
      <c r="G16612" s="5">
        <v>113.7</v>
      </c>
      <c r="H16612" s="5">
        <v>113.6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117.7</v>
      </c>
      <c r="D16613" s="5">
        <v>0.1</v>
      </c>
      <c r="E16613" s="5">
        <v>117.9</v>
      </c>
      <c r="F16613" s="5">
        <v>231.5</v>
      </c>
      <c r="G16613" s="5">
        <v>113.9</v>
      </c>
      <c r="H16613" s="5">
        <v>113.8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117.7</v>
      </c>
      <c r="D16614" s="5">
        <v>0.1</v>
      </c>
      <c r="E16614" s="5">
        <v>117.9</v>
      </c>
      <c r="F16614" s="5">
        <v>231.5</v>
      </c>
      <c r="G16614" s="5">
        <v>113.9</v>
      </c>
      <c r="H16614" s="5">
        <v>113.8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117.7</v>
      </c>
      <c r="D16615" s="5">
        <v>0.1</v>
      </c>
      <c r="E16615" s="5">
        <v>117.9</v>
      </c>
      <c r="F16615" s="5">
        <v>231.5</v>
      </c>
      <c r="G16615" s="5">
        <v>113.9</v>
      </c>
      <c r="H16615" s="5">
        <v>113.8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117.7</v>
      </c>
      <c r="D16616" s="5">
        <v>0.1</v>
      </c>
      <c r="E16616" s="5">
        <v>117.9</v>
      </c>
      <c r="F16616" s="5">
        <v>231.5</v>
      </c>
      <c r="G16616" s="5">
        <v>113.9</v>
      </c>
      <c r="H16616" s="5">
        <v>113.8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117.7</v>
      </c>
      <c r="D16617" s="5">
        <v>0.1</v>
      </c>
      <c r="E16617" s="5">
        <v>117.9</v>
      </c>
      <c r="F16617" s="5">
        <v>232.2</v>
      </c>
      <c r="G16617" s="5">
        <v>114.2</v>
      </c>
      <c r="H16617" s="5">
        <v>114.1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117.7</v>
      </c>
      <c r="D16618" s="5">
        <v>0.1</v>
      </c>
      <c r="E16618" s="5">
        <v>117.9</v>
      </c>
      <c r="F16618" s="5">
        <v>232.2</v>
      </c>
      <c r="G16618" s="5">
        <v>114.2</v>
      </c>
      <c r="H16618" s="5">
        <v>114.1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117.4</v>
      </c>
      <c r="D16619" s="5">
        <v>0.1</v>
      </c>
      <c r="E16619" s="5">
        <v>117.5</v>
      </c>
      <c r="F16619" s="5">
        <v>231.3</v>
      </c>
      <c r="G16619" s="5">
        <v>113.8</v>
      </c>
      <c r="H16619" s="5">
        <v>113.6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117.4</v>
      </c>
      <c r="D16620" s="5">
        <v>0.1</v>
      </c>
      <c r="E16620" s="5">
        <v>117.5</v>
      </c>
      <c r="F16620" s="5">
        <v>231.3</v>
      </c>
      <c r="G16620" s="5">
        <v>113.8</v>
      </c>
      <c r="H16620" s="5">
        <v>113.6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117.5</v>
      </c>
      <c r="D16621" s="5">
        <v>0.1</v>
      </c>
      <c r="E16621" s="5">
        <v>117.7</v>
      </c>
      <c r="F16621" s="5">
        <v>231.2</v>
      </c>
      <c r="G16621" s="5">
        <v>113.6</v>
      </c>
      <c r="H16621" s="5">
        <v>113.4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117.5</v>
      </c>
      <c r="D16622" s="5">
        <v>0.1</v>
      </c>
      <c r="E16622" s="5">
        <v>117.7</v>
      </c>
      <c r="F16622" s="5">
        <v>231.2</v>
      </c>
      <c r="G16622" s="5">
        <v>113.6</v>
      </c>
      <c r="H16622" s="5">
        <v>113.4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117.4</v>
      </c>
      <c r="D16623" s="5">
        <v>0.1</v>
      </c>
      <c r="E16623" s="5">
        <v>117.6</v>
      </c>
      <c r="F16623" s="5">
        <v>231.5</v>
      </c>
      <c r="G16623" s="5">
        <v>113.8</v>
      </c>
      <c r="H16623" s="5">
        <v>113.7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117.4</v>
      </c>
      <c r="D16624" s="5">
        <v>0.1</v>
      </c>
      <c r="E16624" s="5">
        <v>117.6</v>
      </c>
      <c r="F16624" s="5">
        <v>231.5</v>
      </c>
      <c r="G16624" s="5">
        <v>113.8</v>
      </c>
      <c r="H16624" s="5">
        <v>113.7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117.4</v>
      </c>
      <c r="D16625" s="5">
        <v>0.1</v>
      </c>
      <c r="E16625" s="5">
        <v>117.6</v>
      </c>
      <c r="F16625" s="5">
        <v>231.5</v>
      </c>
      <c r="G16625" s="5">
        <v>113.8</v>
      </c>
      <c r="H16625" s="5">
        <v>113.7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117.4</v>
      </c>
      <c r="D16626" s="5">
        <v>0.1</v>
      </c>
      <c r="E16626" s="5">
        <v>118</v>
      </c>
      <c r="F16626" s="5">
        <v>231.1</v>
      </c>
      <c r="G16626" s="5">
        <v>113.6</v>
      </c>
      <c r="H16626" s="5">
        <v>113.4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117.8</v>
      </c>
      <c r="D16627" s="5">
        <v>0.1</v>
      </c>
      <c r="E16627" s="5">
        <v>118</v>
      </c>
      <c r="F16627" s="5">
        <v>231.1</v>
      </c>
      <c r="G16627" s="5">
        <v>113.6</v>
      </c>
      <c r="H16627" s="5">
        <v>113.4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117.8</v>
      </c>
      <c r="D16628" s="5">
        <v>0.1</v>
      </c>
      <c r="E16628" s="5">
        <v>118</v>
      </c>
      <c r="F16628" s="5">
        <v>231.1</v>
      </c>
      <c r="G16628" s="5">
        <v>113.6</v>
      </c>
      <c r="H16628" s="5">
        <v>113.4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117.8</v>
      </c>
      <c r="D16629" s="5">
        <v>0.1</v>
      </c>
      <c r="E16629" s="5">
        <v>118</v>
      </c>
      <c r="F16629" s="5">
        <v>231.1</v>
      </c>
      <c r="G16629" s="5">
        <v>113.6</v>
      </c>
      <c r="H16629" s="5">
        <v>113.4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117.8</v>
      </c>
      <c r="D16630" s="5">
        <v>0.1</v>
      </c>
      <c r="E16630" s="5">
        <v>118</v>
      </c>
      <c r="F16630" s="5">
        <v>230.9</v>
      </c>
      <c r="G16630" s="5">
        <v>113.4</v>
      </c>
      <c r="H16630" s="5">
        <v>113.3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117.5</v>
      </c>
      <c r="D16631" s="5">
        <v>0.1</v>
      </c>
      <c r="E16631" s="5">
        <v>117.7</v>
      </c>
      <c r="F16631" s="5">
        <v>230.9</v>
      </c>
      <c r="G16631" s="5">
        <v>113.4</v>
      </c>
      <c r="H16631" s="5">
        <v>113.3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117.5</v>
      </c>
      <c r="D16632" s="5">
        <v>0.1</v>
      </c>
      <c r="E16632" s="5">
        <v>117.7</v>
      </c>
      <c r="F16632" s="5">
        <v>230.9</v>
      </c>
      <c r="G16632" s="5">
        <v>113.4</v>
      </c>
      <c r="H16632" s="5">
        <v>113.3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117.4</v>
      </c>
      <c r="D16633" s="5">
        <v>0.1</v>
      </c>
      <c r="E16633" s="5">
        <v>117.6</v>
      </c>
      <c r="F16633" s="5">
        <v>230.9</v>
      </c>
      <c r="G16633" s="5">
        <v>113.4</v>
      </c>
      <c r="H16633" s="5">
        <v>113.3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117.4</v>
      </c>
      <c r="D16634" s="5">
        <v>0.1</v>
      </c>
      <c r="E16634" s="5">
        <v>117.6</v>
      </c>
      <c r="F16634" s="5">
        <v>230.9</v>
      </c>
      <c r="G16634" s="5">
        <v>113.4</v>
      </c>
      <c r="H16634" s="5">
        <v>113.3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117.6</v>
      </c>
      <c r="D16635" s="5">
        <v>0.1</v>
      </c>
      <c r="E16635" s="5">
        <v>117.7</v>
      </c>
      <c r="F16635" s="5">
        <v>231</v>
      </c>
      <c r="G16635" s="5">
        <v>113.4</v>
      </c>
      <c r="H16635" s="5">
        <v>113.2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117.6</v>
      </c>
      <c r="D16636" s="5">
        <v>0.1</v>
      </c>
      <c r="E16636" s="5">
        <v>117.7</v>
      </c>
      <c r="F16636" s="5">
        <v>231</v>
      </c>
      <c r="G16636" s="5">
        <v>113.4</v>
      </c>
      <c r="H16636" s="5">
        <v>113.2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117.6</v>
      </c>
      <c r="D16637" s="5">
        <v>0.1</v>
      </c>
      <c r="E16637" s="5">
        <v>117.7</v>
      </c>
      <c r="F16637" s="5">
        <v>231</v>
      </c>
      <c r="G16637" s="5">
        <v>113.4</v>
      </c>
      <c r="H16637" s="5">
        <v>113.2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117.4</v>
      </c>
      <c r="D16638" s="5">
        <v>0.1</v>
      </c>
      <c r="E16638" s="5">
        <v>117.5</v>
      </c>
      <c r="F16638" s="5">
        <v>229.9</v>
      </c>
      <c r="G16638" s="5">
        <v>112.8</v>
      </c>
      <c r="H16638" s="5">
        <v>112.7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117.4</v>
      </c>
      <c r="D16639" s="5">
        <v>0.1</v>
      </c>
      <c r="E16639" s="5">
        <v>117.5</v>
      </c>
      <c r="F16639" s="5">
        <v>229.9</v>
      </c>
      <c r="G16639" s="5">
        <v>112.8</v>
      </c>
      <c r="H16639" s="5">
        <v>112.7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117.4</v>
      </c>
      <c r="D16640" s="5">
        <v>0.1</v>
      </c>
      <c r="E16640" s="5">
        <v>117.5</v>
      </c>
      <c r="F16640" s="5">
        <v>230.8</v>
      </c>
      <c r="G16640" s="5">
        <v>113.3</v>
      </c>
      <c r="H16640" s="5">
        <v>113.1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117.4</v>
      </c>
      <c r="D16641" s="5">
        <v>0.1</v>
      </c>
      <c r="E16641" s="5">
        <v>117.5</v>
      </c>
      <c r="F16641" s="5">
        <v>230.8</v>
      </c>
      <c r="G16641" s="5">
        <v>113.3</v>
      </c>
      <c r="H16641" s="5">
        <v>113.1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117.1</v>
      </c>
      <c r="D16642" s="5">
        <v>0.1</v>
      </c>
      <c r="E16642" s="5">
        <v>117.2</v>
      </c>
      <c r="F16642" s="5">
        <v>230</v>
      </c>
      <c r="G16642" s="5">
        <v>112.9</v>
      </c>
      <c r="H16642" s="5">
        <v>112.7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120</v>
      </c>
      <c r="D16643" s="5">
        <v>0.1</v>
      </c>
      <c r="E16643" s="5">
        <v>120.2</v>
      </c>
      <c r="F16643" s="5">
        <v>235.8</v>
      </c>
      <c r="G16643" s="5">
        <v>115.7</v>
      </c>
      <c r="H16643" s="5">
        <v>115.5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120.2</v>
      </c>
      <c r="D16644" s="5">
        <v>0.1</v>
      </c>
      <c r="E16644" s="5">
        <v>120.4</v>
      </c>
      <c r="F16644" s="5">
        <v>236</v>
      </c>
      <c r="G16644" s="5">
        <v>115.8</v>
      </c>
      <c r="H16644" s="5">
        <v>115.6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120.2</v>
      </c>
      <c r="D16645" s="5">
        <v>0.1</v>
      </c>
      <c r="E16645" s="5">
        <v>120.4</v>
      </c>
      <c r="F16645" s="5">
        <v>236</v>
      </c>
      <c r="G16645" s="5">
        <v>115.8</v>
      </c>
      <c r="H16645" s="5">
        <v>115.6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120.1</v>
      </c>
      <c r="D16646" s="5">
        <v>0.1</v>
      </c>
      <c r="E16646" s="5">
        <v>120.2</v>
      </c>
      <c r="F16646" s="5">
        <v>235.8</v>
      </c>
      <c r="G16646" s="5">
        <v>115.7</v>
      </c>
      <c r="H16646" s="5">
        <v>115.6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120.1</v>
      </c>
      <c r="D16647" s="5">
        <v>0.1</v>
      </c>
      <c r="E16647" s="5">
        <v>120.2</v>
      </c>
      <c r="F16647" s="5">
        <v>235.8</v>
      </c>
      <c r="G16647" s="5">
        <v>115.7</v>
      </c>
      <c r="H16647" s="5">
        <v>115.6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120.1</v>
      </c>
      <c r="D16648" s="5">
        <v>0.1</v>
      </c>
      <c r="E16648" s="5">
        <v>120.2</v>
      </c>
      <c r="F16648" s="5">
        <v>235.8</v>
      </c>
      <c r="G16648" s="5">
        <v>115.7</v>
      </c>
      <c r="H16648" s="5">
        <v>115.6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120.1</v>
      </c>
      <c r="D16649" s="5">
        <v>0.1</v>
      </c>
      <c r="E16649" s="5">
        <v>120.2</v>
      </c>
      <c r="F16649" s="5">
        <v>235.8</v>
      </c>
      <c r="G16649" s="5">
        <v>115.7</v>
      </c>
      <c r="H16649" s="5">
        <v>115.6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119.9</v>
      </c>
      <c r="D16650" s="5">
        <v>0.1</v>
      </c>
      <c r="E16650" s="5">
        <v>120.1</v>
      </c>
      <c r="F16650" s="5">
        <v>235.4</v>
      </c>
      <c r="G16650" s="5">
        <v>115.4</v>
      </c>
      <c r="H16650" s="5">
        <v>115.2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119.9</v>
      </c>
      <c r="D16651" s="5">
        <v>0.1</v>
      </c>
      <c r="E16651" s="5">
        <v>120.1</v>
      </c>
      <c r="F16651" s="5">
        <v>235.4</v>
      </c>
      <c r="G16651" s="5">
        <v>115.4</v>
      </c>
      <c r="H16651" s="5">
        <v>115.2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119.6</v>
      </c>
      <c r="D16652" s="5">
        <v>0.1</v>
      </c>
      <c r="E16652" s="5">
        <v>119.7</v>
      </c>
      <c r="F16652" s="5">
        <v>235.8</v>
      </c>
      <c r="G16652" s="5">
        <v>115.7</v>
      </c>
      <c r="H16652" s="5">
        <v>115.5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119.6</v>
      </c>
      <c r="D16653" s="5">
        <v>0.1</v>
      </c>
      <c r="E16653" s="5">
        <v>119.7</v>
      </c>
      <c r="F16653" s="5">
        <v>235.8</v>
      </c>
      <c r="G16653" s="5">
        <v>115.7</v>
      </c>
      <c r="H16653" s="5">
        <v>115.5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118.2</v>
      </c>
      <c r="D16654" s="5">
        <v>0.1</v>
      </c>
      <c r="E16654" s="5">
        <v>118.3</v>
      </c>
      <c r="F16654" s="5">
        <v>231.9</v>
      </c>
      <c r="G16654" s="5">
        <v>113.6</v>
      </c>
      <c r="H16654" s="5">
        <v>113.4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118.2</v>
      </c>
      <c r="D16655" s="5">
        <v>0.1</v>
      </c>
      <c r="E16655" s="5">
        <v>118.3</v>
      </c>
      <c r="F16655" s="5">
        <v>231.9</v>
      </c>
      <c r="G16655" s="5">
        <v>113.6</v>
      </c>
      <c r="H16655" s="5">
        <v>113.4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119.3</v>
      </c>
      <c r="D16656" s="5">
        <v>0.1</v>
      </c>
      <c r="E16656" s="5">
        <v>119.5</v>
      </c>
      <c r="F16656" s="5">
        <v>233.7</v>
      </c>
      <c r="G16656" s="5">
        <v>114.7</v>
      </c>
      <c r="H16656" s="5">
        <v>114.5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119.3</v>
      </c>
      <c r="D16657" s="5">
        <v>0.1</v>
      </c>
      <c r="E16657" s="5">
        <v>119.5</v>
      </c>
      <c r="F16657" s="5">
        <v>233.7</v>
      </c>
      <c r="G16657" s="5">
        <v>114.7</v>
      </c>
      <c r="H16657" s="5">
        <v>114.5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119.3</v>
      </c>
      <c r="D16658" s="5">
        <v>0.1</v>
      </c>
      <c r="E16658" s="5">
        <v>119.5</v>
      </c>
      <c r="F16658" s="5">
        <v>233.7</v>
      </c>
      <c r="G16658" s="5">
        <v>114.7</v>
      </c>
      <c r="H16658" s="5">
        <v>114.5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119.3</v>
      </c>
      <c r="D16659" s="5">
        <v>0.1</v>
      </c>
      <c r="E16659" s="5">
        <v>119.5</v>
      </c>
      <c r="F16659" s="5">
        <v>233.7</v>
      </c>
      <c r="G16659" s="5">
        <v>114.7</v>
      </c>
      <c r="H16659" s="5">
        <v>114.5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120.6</v>
      </c>
      <c r="D16660" s="5">
        <v>0.1</v>
      </c>
      <c r="E16660" s="5">
        <v>120.7</v>
      </c>
      <c r="F16660" s="5">
        <v>236.3</v>
      </c>
      <c r="G16660" s="5">
        <v>115.8</v>
      </c>
      <c r="H16660" s="5">
        <v>115.7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120.6</v>
      </c>
      <c r="D16661" s="5">
        <v>0.1</v>
      </c>
      <c r="E16661" s="5">
        <v>120.7</v>
      </c>
      <c r="F16661" s="5">
        <v>236.3</v>
      </c>
      <c r="G16661" s="5">
        <v>115.8</v>
      </c>
      <c r="H16661" s="5">
        <v>115.7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120.5</v>
      </c>
      <c r="D16662" s="5">
        <v>0.1</v>
      </c>
      <c r="E16662" s="5">
        <v>120.6</v>
      </c>
      <c r="F16662" s="5">
        <v>236.5</v>
      </c>
      <c r="G16662" s="5">
        <v>115.9</v>
      </c>
      <c r="H16662" s="5">
        <v>115.7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120.5</v>
      </c>
      <c r="D16663" s="5">
        <v>0.1</v>
      </c>
      <c r="E16663" s="5">
        <v>120.6</v>
      </c>
      <c r="F16663" s="5">
        <v>236.5</v>
      </c>
      <c r="G16663" s="5">
        <v>115.9</v>
      </c>
      <c r="H16663" s="5">
        <v>115.7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120.4</v>
      </c>
      <c r="D16664" s="5">
        <v>0.1</v>
      </c>
      <c r="E16664" s="5">
        <v>120.6</v>
      </c>
      <c r="F16664" s="5">
        <v>236.4</v>
      </c>
      <c r="G16664" s="5">
        <v>116</v>
      </c>
      <c r="H16664" s="5">
        <v>115.8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120.4</v>
      </c>
      <c r="D16665" s="5">
        <v>0.1</v>
      </c>
      <c r="E16665" s="5">
        <v>120.6</v>
      </c>
      <c r="F16665" s="5">
        <v>236.4</v>
      </c>
      <c r="G16665" s="5">
        <v>116</v>
      </c>
      <c r="H16665" s="5">
        <v>115.8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119.9</v>
      </c>
      <c r="D16666" s="5">
        <v>0.1</v>
      </c>
      <c r="E16666" s="5">
        <v>120.2</v>
      </c>
      <c r="F16666" s="5">
        <v>235.9</v>
      </c>
      <c r="G16666" s="5">
        <v>115.7</v>
      </c>
      <c r="H16666" s="5">
        <v>115.6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119.9</v>
      </c>
      <c r="D16667" s="5">
        <v>0.1</v>
      </c>
      <c r="E16667" s="5">
        <v>120.2</v>
      </c>
      <c r="F16667" s="5">
        <v>235.9</v>
      </c>
      <c r="G16667" s="5">
        <v>115.7</v>
      </c>
      <c r="H16667" s="5">
        <v>115.6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119.9</v>
      </c>
      <c r="D16668" s="5">
        <v>0.1</v>
      </c>
      <c r="E16668" s="5">
        <v>120.2</v>
      </c>
      <c r="F16668" s="5">
        <v>235.9</v>
      </c>
      <c r="G16668" s="5">
        <v>115.7</v>
      </c>
      <c r="H16668" s="5">
        <v>115.6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119.9</v>
      </c>
      <c r="D16669" s="5">
        <v>0.1</v>
      </c>
      <c r="E16669" s="5">
        <v>120.2</v>
      </c>
      <c r="F16669" s="5">
        <v>235.9</v>
      </c>
      <c r="G16669" s="5">
        <v>115.7</v>
      </c>
      <c r="H16669" s="5">
        <v>115.6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120.3</v>
      </c>
      <c r="D16670" s="5">
        <v>0.1</v>
      </c>
      <c r="E16670" s="5">
        <v>120.5</v>
      </c>
      <c r="F16670" s="5">
        <v>236.3</v>
      </c>
      <c r="G16670" s="5">
        <v>115.9</v>
      </c>
      <c r="H16670" s="5">
        <v>115.7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120.3</v>
      </c>
      <c r="D16671" s="5">
        <v>0.1</v>
      </c>
      <c r="E16671" s="5">
        <v>120.5</v>
      </c>
      <c r="F16671" s="5">
        <v>236.3</v>
      </c>
      <c r="G16671" s="5">
        <v>115.9</v>
      </c>
      <c r="H16671" s="5">
        <v>115.7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120.4</v>
      </c>
      <c r="D16672" s="5">
        <v>0.1</v>
      </c>
      <c r="E16672" s="5">
        <v>120.6</v>
      </c>
      <c r="F16672" s="5">
        <v>236.7</v>
      </c>
      <c r="G16672" s="5">
        <v>116.1</v>
      </c>
      <c r="H16672" s="5">
        <v>115.9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120.4</v>
      </c>
      <c r="D16673" s="5">
        <v>0.1</v>
      </c>
      <c r="E16673" s="5">
        <v>120.6</v>
      </c>
      <c r="F16673" s="5">
        <v>236.7</v>
      </c>
      <c r="G16673" s="5">
        <v>116.1</v>
      </c>
      <c r="H16673" s="5">
        <v>115.9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120.4</v>
      </c>
      <c r="D16674" s="5">
        <v>0.1</v>
      </c>
      <c r="E16674" s="5">
        <v>120.6</v>
      </c>
      <c r="F16674" s="5">
        <v>236.5</v>
      </c>
      <c r="G16674" s="5">
        <v>116</v>
      </c>
      <c r="H16674" s="5">
        <v>115.8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120.4</v>
      </c>
      <c r="D16675" s="5">
        <v>0.1</v>
      </c>
      <c r="E16675" s="5">
        <v>120.6</v>
      </c>
      <c r="F16675" s="5">
        <v>236.5</v>
      </c>
      <c r="G16675" s="5">
        <v>116</v>
      </c>
      <c r="H16675" s="5">
        <v>115.8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120.6</v>
      </c>
      <c r="D16676" s="5">
        <v>0.1</v>
      </c>
      <c r="E16676" s="5">
        <v>120.7</v>
      </c>
      <c r="F16676" s="5">
        <v>236.6</v>
      </c>
      <c r="G16676" s="5">
        <v>116</v>
      </c>
      <c r="H16676" s="5">
        <v>115.8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120.6</v>
      </c>
      <c r="D16677" s="5">
        <v>0.1</v>
      </c>
      <c r="E16677" s="5">
        <v>120.7</v>
      </c>
      <c r="F16677" s="5">
        <v>236.6</v>
      </c>
      <c r="G16677" s="5">
        <v>116</v>
      </c>
      <c r="H16677" s="5">
        <v>115.8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120.6</v>
      </c>
      <c r="D16678" s="5">
        <v>0.1</v>
      </c>
      <c r="E16678" s="5">
        <v>120.7</v>
      </c>
      <c r="F16678" s="5">
        <v>236.6</v>
      </c>
      <c r="G16678" s="5">
        <v>116</v>
      </c>
      <c r="H16678" s="5">
        <v>115.8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120.6</v>
      </c>
      <c r="D16679" s="5">
        <v>0.1</v>
      </c>
      <c r="E16679" s="5">
        <v>120.7</v>
      </c>
      <c r="F16679" s="5">
        <v>236.6</v>
      </c>
      <c r="G16679" s="5">
        <v>116</v>
      </c>
      <c r="H16679" s="5">
        <v>115.8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120.3</v>
      </c>
      <c r="D16680" s="5">
        <v>0.1</v>
      </c>
      <c r="E16680" s="5">
        <v>120.5</v>
      </c>
      <c r="F16680" s="5">
        <v>236.2</v>
      </c>
      <c r="G16680" s="5">
        <v>115.8</v>
      </c>
      <c r="H16680" s="5">
        <v>115.7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120.3</v>
      </c>
      <c r="D16681" s="5">
        <v>0.1</v>
      </c>
      <c r="E16681" s="5">
        <v>120.5</v>
      </c>
      <c r="F16681" s="5">
        <v>236.2</v>
      </c>
      <c r="G16681" s="5">
        <v>115.8</v>
      </c>
      <c r="H16681" s="5">
        <v>115.7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120.8</v>
      </c>
      <c r="D16682" s="5">
        <v>0.1</v>
      </c>
      <c r="E16682" s="5">
        <v>120.9</v>
      </c>
      <c r="F16682" s="5">
        <v>236.4</v>
      </c>
      <c r="G16682" s="5">
        <v>115.9</v>
      </c>
      <c r="H16682" s="5">
        <v>115.8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120.8</v>
      </c>
      <c r="D16683" s="5">
        <v>0.1</v>
      </c>
      <c r="E16683" s="5">
        <v>120.9</v>
      </c>
      <c r="F16683" s="5">
        <v>236.4</v>
      </c>
      <c r="G16683" s="5">
        <v>115.9</v>
      </c>
      <c r="H16683" s="5">
        <v>115.8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120.5</v>
      </c>
      <c r="D16684" s="5">
        <v>0.1</v>
      </c>
      <c r="E16684" s="5">
        <v>120.6</v>
      </c>
      <c r="F16684" s="5">
        <v>236.5</v>
      </c>
      <c r="G16684" s="5">
        <v>116</v>
      </c>
      <c r="H16684" s="5">
        <v>115.8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120.5</v>
      </c>
      <c r="D16685" s="5">
        <v>0.1</v>
      </c>
      <c r="E16685" s="5">
        <v>120.6</v>
      </c>
      <c r="F16685" s="5">
        <v>236.5</v>
      </c>
      <c r="G16685" s="5">
        <v>116</v>
      </c>
      <c r="H16685" s="5">
        <v>115.8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120.2</v>
      </c>
      <c r="D16686" s="5">
        <v>0.1</v>
      </c>
      <c r="E16686" s="5">
        <v>120.4</v>
      </c>
      <c r="F16686" s="5">
        <v>236.2</v>
      </c>
      <c r="G16686" s="5">
        <v>115.8</v>
      </c>
      <c r="H16686" s="5">
        <v>115.7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120.2</v>
      </c>
      <c r="D16687" s="5">
        <v>0.1</v>
      </c>
      <c r="E16687" s="5">
        <v>120.4</v>
      </c>
      <c r="F16687" s="5">
        <v>236.2</v>
      </c>
      <c r="G16687" s="5">
        <v>115.8</v>
      </c>
      <c r="H16687" s="5">
        <v>115.7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120.2</v>
      </c>
      <c r="D16688" s="5">
        <v>0.1</v>
      </c>
      <c r="E16688" s="5">
        <v>120.4</v>
      </c>
      <c r="F16688" s="5">
        <v>236.2</v>
      </c>
      <c r="G16688" s="5">
        <v>115.8</v>
      </c>
      <c r="H16688" s="5">
        <v>115.7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120.2</v>
      </c>
      <c r="D16689" s="5">
        <v>0.1</v>
      </c>
      <c r="E16689" s="5">
        <v>120.4</v>
      </c>
      <c r="F16689" s="5">
        <v>236.2</v>
      </c>
      <c r="G16689" s="5">
        <v>115.8</v>
      </c>
      <c r="H16689" s="5">
        <v>115.7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120.4</v>
      </c>
      <c r="D16690" s="5">
        <v>0.1</v>
      </c>
      <c r="E16690" s="5">
        <v>120.6</v>
      </c>
      <c r="F16690" s="5">
        <v>236.5</v>
      </c>
      <c r="G16690" s="5">
        <v>116</v>
      </c>
      <c r="H16690" s="5">
        <v>115.8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120.4</v>
      </c>
      <c r="D16691" s="5">
        <v>0.1</v>
      </c>
      <c r="E16691" s="5">
        <v>120.6</v>
      </c>
      <c r="F16691" s="5">
        <v>236.5</v>
      </c>
      <c r="G16691" s="5">
        <v>116</v>
      </c>
      <c r="H16691" s="5">
        <v>115.8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120.5</v>
      </c>
      <c r="D16692" s="5">
        <v>0.1</v>
      </c>
      <c r="E16692" s="5">
        <v>120.6</v>
      </c>
      <c r="F16692" s="5">
        <v>236</v>
      </c>
      <c r="G16692" s="5">
        <v>115.7</v>
      </c>
      <c r="H16692" s="5">
        <v>115.6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120.5</v>
      </c>
      <c r="D16693" s="5">
        <v>0.1</v>
      </c>
      <c r="E16693" s="5">
        <v>120.6</v>
      </c>
      <c r="F16693" s="5">
        <v>236</v>
      </c>
      <c r="G16693" s="5">
        <v>115.7</v>
      </c>
      <c r="H16693" s="5">
        <v>115.6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120.9</v>
      </c>
      <c r="D16694" s="5">
        <v>0.1</v>
      </c>
      <c r="E16694" s="5">
        <v>121</v>
      </c>
      <c r="F16694" s="5">
        <v>236.6</v>
      </c>
      <c r="G16694" s="5">
        <v>116</v>
      </c>
      <c r="H16694" s="5">
        <v>115.8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120.9</v>
      </c>
      <c r="D16695" s="5">
        <v>0.1</v>
      </c>
      <c r="E16695" s="5">
        <v>121</v>
      </c>
      <c r="F16695" s="5">
        <v>236.6</v>
      </c>
      <c r="G16695" s="5">
        <v>116</v>
      </c>
      <c r="H16695" s="5">
        <v>115.8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120.2</v>
      </c>
      <c r="D16696" s="5">
        <v>0.1</v>
      </c>
      <c r="E16696" s="5">
        <v>120.4</v>
      </c>
      <c r="F16696" s="5">
        <v>236.4</v>
      </c>
      <c r="G16696" s="5">
        <v>116.1</v>
      </c>
      <c r="H16696" s="5">
        <v>115.9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120.2</v>
      </c>
      <c r="D16697" s="5">
        <v>0.1</v>
      </c>
      <c r="E16697" s="5">
        <v>120.4</v>
      </c>
      <c r="F16697" s="5">
        <v>236.4</v>
      </c>
      <c r="G16697" s="5">
        <v>116.1</v>
      </c>
      <c r="H16697" s="5">
        <v>115.9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120.2</v>
      </c>
      <c r="D16698" s="5">
        <v>0.1</v>
      </c>
      <c r="E16698" s="5">
        <v>120.4</v>
      </c>
      <c r="F16698" s="5">
        <v>236.4</v>
      </c>
      <c r="G16698" s="5">
        <v>116.1</v>
      </c>
      <c r="H16698" s="5">
        <v>115.9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120.7</v>
      </c>
      <c r="D16699" s="5">
        <v>0.1</v>
      </c>
      <c r="E16699" s="5">
        <v>120.4</v>
      </c>
      <c r="F16699" s="5">
        <v>236.4</v>
      </c>
      <c r="G16699" s="5">
        <v>116.1</v>
      </c>
      <c r="H16699" s="5">
        <v>115.9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120.7</v>
      </c>
      <c r="D16700" s="5">
        <v>0.1</v>
      </c>
      <c r="E16700" s="5">
        <v>120.9</v>
      </c>
      <c r="F16700" s="5">
        <v>236.6</v>
      </c>
      <c r="G16700" s="5">
        <v>116</v>
      </c>
      <c r="H16700" s="5">
        <v>115.8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120.7</v>
      </c>
      <c r="D16701" s="5">
        <v>0.1</v>
      </c>
      <c r="E16701" s="5">
        <v>120.9</v>
      </c>
      <c r="F16701" s="5">
        <v>236.6</v>
      </c>
      <c r="G16701" s="5">
        <v>116</v>
      </c>
      <c r="H16701" s="5">
        <v>115.8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120.4</v>
      </c>
      <c r="D16702" s="5">
        <v>0.1</v>
      </c>
      <c r="E16702" s="5">
        <v>120.6</v>
      </c>
      <c r="F16702" s="5">
        <v>236.3</v>
      </c>
      <c r="G16702" s="5">
        <v>115.8</v>
      </c>
      <c r="H16702" s="5">
        <v>115.7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120.4</v>
      </c>
      <c r="D16703" s="5">
        <v>0.1</v>
      </c>
      <c r="E16703" s="5">
        <v>120.6</v>
      </c>
      <c r="F16703" s="5">
        <v>236.3</v>
      </c>
      <c r="G16703" s="5">
        <v>115.8</v>
      </c>
      <c r="H16703" s="5">
        <v>115.7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120.9</v>
      </c>
      <c r="D16704" s="5">
        <v>0.1</v>
      </c>
      <c r="E16704" s="5">
        <v>121</v>
      </c>
      <c r="F16704" s="5">
        <v>237.2</v>
      </c>
      <c r="G16704" s="5">
        <v>116.3</v>
      </c>
      <c r="H16704" s="5">
        <v>116.1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120.9</v>
      </c>
      <c r="D16705" s="5">
        <v>0.1</v>
      </c>
      <c r="E16705" s="5">
        <v>121</v>
      </c>
      <c r="F16705" s="5">
        <v>237.2</v>
      </c>
      <c r="G16705" s="5">
        <v>116.3</v>
      </c>
      <c r="H16705" s="5">
        <v>116.1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121.1</v>
      </c>
      <c r="D16706" s="5">
        <v>0.1</v>
      </c>
      <c r="E16706" s="5">
        <v>121.3</v>
      </c>
      <c r="F16706" s="5">
        <v>237.8</v>
      </c>
      <c r="G16706" s="5">
        <v>116.6</v>
      </c>
      <c r="H16706" s="5">
        <v>116.5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121.1</v>
      </c>
      <c r="D16707" s="5">
        <v>0.1</v>
      </c>
      <c r="E16707" s="5">
        <v>121.3</v>
      </c>
      <c r="F16707" s="5">
        <v>237.8</v>
      </c>
      <c r="G16707" s="5">
        <v>116.6</v>
      </c>
      <c r="H16707" s="5">
        <v>116.5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121.1</v>
      </c>
      <c r="D16708" s="5">
        <v>0.1</v>
      </c>
      <c r="E16708" s="5">
        <v>121.3</v>
      </c>
      <c r="F16708" s="5">
        <v>237.8</v>
      </c>
      <c r="G16708" s="5">
        <v>116.6</v>
      </c>
      <c r="H16708" s="5">
        <v>116.5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121.1</v>
      </c>
      <c r="D16709" s="5">
        <v>0.1</v>
      </c>
      <c r="E16709" s="5">
        <v>121.3</v>
      </c>
      <c r="F16709" s="5">
        <v>237.8</v>
      </c>
      <c r="G16709" s="5">
        <v>116.6</v>
      </c>
      <c r="H16709" s="5">
        <v>116.5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120.7</v>
      </c>
      <c r="D16710" s="5">
        <v>0.1</v>
      </c>
      <c r="E16710" s="5">
        <v>120.9</v>
      </c>
      <c r="F16710" s="5">
        <v>237</v>
      </c>
      <c r="G16710" s="5">
        <v>116.1</v>
      </c>
      <c r="H16710" s="5">
        <v>115.9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120.7</v>
      </c>
      <c r="D16711" s="5">
        <v>0.1</v>
      </c>
      <c r="E16711" s="5">
        <v>120.9</v>
      </c>
      <c r="F16711" s="5">
        <v>237</v>
      </c>
      <c r="G16711" s="5">
        <v>116.1</v>
      </c>
      <c r="H16711" s="5">
        <v>115.9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121.1</v>
      </c>
      <c r="D16712" s="5">
        <v>0.1</v>
      </c>
      <c r="E16712" s="5">
        <v>121.2</v>
      </c>
      <c r="F16712" s="5">
        <v>237.5</v>
      </c>
      <c r="G16712" s="5">
        <v>116.4</v>
      </c>
      <c r="H16712" s="5">
        <v>116.2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121.1</v>
      </c>
      <c r="D16713" s="5">
        <v>0.1</v>
      </c>
      <c r="E16713" s="5">
        <v>121.2</v>
      </c>
      <c r="F16713" s="5">
        <v>237.5</v>
      </c>
      <c r="G16713" s="5">
        <v>116.4</v>
      </c>
      <c r="H16713" s="5">
        <v>116.2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121.2</v>
      </c>
      <c r="D16714" s="5">
        <v>0.1</v>
      </c>
      <c r="E16714" s="5">
        <v>121.4</v>
      </c>
      <c r="F16714" s="5">
        <v>237.3</v>
      </c>
      <c r="G16714" s="5">
        <v>116.3</v>
      </c>
      <c r="H16714" s="5">
        <v>116.2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121.2</v>
      </c>
      <c r="D16715" s="5">
        <v>0.1</v>
      </c>
      <c r="E16715" s="5">
        <v>121.4</v>
      </c>
      <c r="F16715" s="5">
        <v>237.3</v>
      </c>
      <c r="G16715" s="5">
        <v>116.3</v>
      </c>
      <c r="H16715" s="5">
        <v>116.2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121.2</v>
      </c>
      <c r="D16716" s="5">
        <v>0.1</v>
      </c>
      <c r="E16716" s="5">
        <v>121.4</v>
      </c>
      <c r="F16716" s="5">
        <v>237.6</v>
      </c>
      <c r="G16716" s="5">
        <v>116.5</v>
      </c>
      <c r="H16716" s="5">
        <v>116.3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121.2</v>
      </c>
      <c r="D16717" s="5">
        <v>0.1</v>
      </c>
      <c r="E16717" s="5">
        <v>121.4</v>
      </c>
      <c r="F16717" s="5">
        <v>237.6</v>
      </c>
      <c r="G16717" s="5">
        <v>116.5</v>
      </c>
      <c r="H16717" s="5">
        <v>116.3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121.2</v>
      </c>
      <c r="D16718" s="5">
        <v>0.1</v>
      </c>
      <c r="E16718" s="5">
        <v>121.4</v>
      </c>
      <c r="F16718" s="5">
        <v>237.6</v>
      </c>
      <c r="G16718" s="5">
        <v>116.5</v>
      </c>
      <c r="H16718" s="5">
        <v>116.3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121.2</v>
      </c>
      <c r="D16719" s="5">
        <v>0.1</v>
      </c>
      <c r="E16719" s="5">
        <v>121.4</v>
      </c>
      <c r="F16719" s="5">
        <v>237.6</v>
      </c>
      <c r="G16719" s="5">
        <v>116.5</v>
      </c>
      <c r="H16719" s="5">
        <v>116.3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121.4</v>
      </c>
      <c r="D16720" s="5">
        <v>0.1</v>
      </c>
      <c r="E16720" s="5">
        <v>121.5</v>
      </c>
      <c r="F16720" s="5">
        <v>238.2</v>
      </c>
      <c r="G16720" s="5">
        <v>116.8</v>
      </c>
      <c r="H16720" s="5">
        <v>116.7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121.4</v>
      </c>
      <c r="D16721" s="5">
        <v>0.1</v>
      </c>
      <c r="E16721" s="5">
        <v>121.5</v>
      </c>
      <c r="F16721" s="5">
        <v>238.2</v>
      </c>
      <c r="G16721" s="5">
        <v>116.8</v>
      </c>
      <c r="H16721" s="5">
        <v>116.7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121.3</v>
      </c>
      <c r="D16722" s="5">
        <v>0.1</v>
      </c>
      <c r="E16722" s="5">
        <v>121.5</v>
      </c>
      <c r="F16722" s="5">
        <v>238</v>
      </c>
      <c r="G16722" s="5">
        <v>116.8</v>
      </c>
      <c r="H16722" s="5">
        <v>116.6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121.3</v>
      </c>
      <c r="D16723" s="5">
        <v>0.1</v>
      </c>
      <c r="E16723" s="5">
        <v>121.5</v>
      </c>
      <c r="F16723" s="5">
        <v>238</v>
      </c>
      <c r="G16723" s="5">
        <v>116.8</v>
      </c>
      <c r="H16723" s="5">
        <v>116.6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121.5</v>
      </c>
      <c r="D16724" s="5">
        <v>0.1</v>
      </c>
      <c r="E16724" s="5">
        <v>121.6</v>
      </c>
      <c r="F16724" s="5">
        <v>238</v>
      </c>
      <c r="G16724" s="5">
        <v>116.8</v>
      </c>
      <c r="H16724" s="5">
        <v>116.6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121.5</v>
      </c>
      <c r="D16725" s="5">
        <v>0.1</v>
      </c>
      <c r="E16725" s="5">
        <v>121.6</v>
      </c>
      <c r="F16725" s="5">
        <v>238</v>
      </c>
      <c r="G16725" s="5">
        <v>116.8</v>
      </c>
      <c r="H16725" s="5">
        <v>116.6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121.5</v>
      </c>
      <c r="D16726" s="5">
        <v>0.1</v>
      </c>
      <c r="E16726" s="5">
        <v>121.6</v>
      </c>
      <c r="F16726" s="5">
        <v>238.4</v>
      </c>
      <c r="G16726" s="5">
        <v>117</v>
      </c>
      <c r="H16726" s="5">
        <v>116.8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121.5</v>
      </c>
      <c r="D16727" s="5">
        <v>0.1</v>
      </c>
      <c r="E16727" s="5">
        <v>121.6</v>
      </c>
      <c r="F16727" s="5">
        <v>238.4</v>
      </c>
      <c r="G16727" s="5">
        <v>117</v>
      </c>
      <c r="H16727" s="5">
        <v>116.8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121.5</v>
      </c>
      <c r="D16728" s="5">
        <v>0.1</v>
      </c>
      <c r="E16728" s="5">
        <v>121.6</v>
      </c>
      <c r="F16728" s="5">
        <v>238.4</v>
      </c>
      <c r="G16728" s="5">
        <v>117</v>
      </c>
      <c r="H16728" s="5">
        <v>116.8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122.4</v>
      </c>
      <c r="D16729" s="5">
        <v>0.1</v>
      </c>
      <c r="E16729" s="5">
        <v>122.6</v>
      </c>
      <c r="F16729" s="5">
        <v>238.4</v>
      </c>
      <c r="G16729" s="5">
        <v>117</v>
      </c>
      <c r="H16729" s="5">
        <v>116.8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122.4</v>
      </c>
      <c r="D16730" s="5">
        <v>0.1</v>
      </c>
      <c r="E16730" s="5">
        <v>122.6</v>
      </c>
      <c r="F16730" s="5">
        <v>238.4</v>
      </c>
      <c r="G16730" s="5">
        <v>117</v>
      </c>
      <c r="H16730" s="5">
        <v>116.8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122.2</v>
      </c>
      <c r="D16731" s="5">
        <v>0.1</v>
      </c>
      <c r="E16731" s="5">
        <v>122.5</v>
      </c>
      <c r="F16731" s="5">
        <v>238.4</v>
      </c>
      <c r="G16731" s="5">
        <v>116.3</v>
      </c>
      <c r="H16731" s="5">
        <v>116.1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122.2</v>
      </c>
      <c r="D16732" s="5">
        <v>0.1</v>
      </c>
      <c r="E16732" s="5">
        <v>122.5</v>
      </c>
      <c r="F16732" s="5">
        <v>238.4</v>
      </c>
      <c r="G16732" s="5">
        <v>116.3</v>
      </c>
      <c r="H16732" s="5">
        <v>116.1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121.7</v>
      </c>
      <c r="D16733" s="5">
        <v>0.1</v>
      </c>
      <c r="E16733" s="5">
        <v>121.9</v>
      </c>
      <c r="F16733" s="5">
        <v>238.5</v>
      </c>
      <c r="G16733" s="5">
        <v>117</v>
      </c>
      <c r="H16733" s="5">
        <v>116.8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121.7</v>
      </c>
      <c r="D16734" s="5">
        <v>0.1</v>
      </c>
      <c r="E16734" s="5">
        <v>121.9</v>
      </c>
      <c r="F16734" s="5">
        <v>238.5</v>
      </c>
      <c r="G16734" s="5">
        <v>117</v>
      </c>
      <c r="H16734" s="5">
        <v>116.8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121.7</v>
      </c>
      <c r="D16735" s="5">
        <v>0.1</v>
      </c>
      <c r="E16735" s="5">
        <v>121.5</v>
      </c>
      <c r="F16735" s="5">
        <v>238.5</v>
      </c>
      <c r="G16735" s="5">
        <v>116.9</v>
      </c>
      <c r="H16735" s="5">
        <v>116.8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121.3</v>
      </c>
      <c r="D16736" s="5">
        <v>0.1</v>
      </c>
      <c r="E16736" s="5">
        <v>121.5</v>
      </c>
      <c r="F16736" s="5">
        <v>238.5</v>
      </c>
      <c r="G16736" s="5">
        <v>116.9</v>
      </c>
      <c r="H16736" s="5">
        <v>116.8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121.3</v>
      </c>
      <c r="D16737" s="5">
        <v>0.1</v>
      </c>
      <c r="E16737" s="5">
        <v>121.5</v>
      </c>
      <c r="F16737" s="5">
        <v>238.5</v>
      </c>
      <c r="G16737" s="5">
        <v>116.9</v>
      </c>
      <c r="H16737" s="5">
        <v>116.8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121.3</v>
      </c>
      <c r="D16738" s="5">
        <v>0.1</v>
      </c>
      <c r="E16738" s="5">
        <v>121.5</v>
      </c>
      <c r="F16738" s="5">
        <v>238.5</v>
      </c>
      <c r="G16738" s="5">
        <v>116.9</v>
      </c>
      <c r="H16738" s="5">
        <v>116.8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121.5</v>
      </c>
      <c r="D16739" s="5">
        <v>0.1</v>
      </c>
      <c r="E16739" s="5">
        <v>121.7</v>
      </c>
      <c r="F16739" s="5">
        <v>238.9</v>
      </c>
      <c r="G16739" s="5">
        <v>117.2</v>
      </c>
      <c r="H16739" s="5">
        <v>117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121.5</v>
      </c>
      <c r="D16740" s="5">
        <v>0.1</v>
      </c>
      <c r="E16740" s="5">
        <v>121.7</v>
      </c>
      <c r="F16740" s="5">
        <v>238.9</v>
      </c>
      <c r="G16740" s="5">
        <v>117.2</v>
      </c>
      <c r="H16740" s="5">
        <v>117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121.2</v>
      </c>
      <c r="D16741" s="5">
        <v>0.1</v>
      </c>
      <c r="E16741" s="5">
        <v>121.3</v>
      </c>
      <c r="F16741" s="5">
        <v>238.1</v>
      </c>
      <c r="G16741" s="5">
        <v>116.8</v>
      </c>
      <c r="H16741" s="5">
        <v>116.6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121.2</v>
      </c>
      <c r="D16742" s="5">
        <v>0.1</v>
      </c>
      <c r="E16742" s="5">
        <v>121.3</v>
      </c>
      <c r="F16742" s="5">
        <v>238.1</v>
      </c>
      <c r="G16742" s="5">
        <v>116.8</v>
      </c>
      <c r="H16742" s="5">
        <v>116.6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121</v>
      </c>
      <c r="D16743" s="5">
        <v>0.1</v>
      </c>
      <c r="E16743" s="5">
        <v>121.2</v>
      </c>
      <c r="F16743" s="5">
        <v>238.4</v>
      </c>
      <c r="G16743" s="5">
        <v>117</v>
      </c>
      <c r="H16743" s="5">
        <v>116.8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121</v>
      </c>
      <c r="D16744" s="5">
        <v>0.1</v>
      </c>
      <c r="E16744" s="5">
        <v>121.2</v>
      </c>
      <c r="F16744" s="5">
        <v>238.4</v>
      </c>
      <c r="G16744" s="5">
        <v>117</v>
      </c>
      <c r="H16744" s="5">
        <v>116.8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121.4</v>
      </c>
      <c r="D16745" s="5">
        <v>0.1</v>
      </c>
      <c r="E16745" s="5">
        <v>121.5</v>
      </c>
      <c r="F16745" s="5">
        <v>238.3</v>
      </c>
      <c r="G16745" s="5">
        <v>117</v>
      </c>
      <c r="H16745" s="5">
        <v>116.8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121.4</v>
      </c>
      <c r="D16746" s="5">
        <v>0.1</v>
      </c>
      <c r="E16746" s="5">
        <v>121.5</v>
      </c>
      <c r="F16746" s="5">
        <v>238.3</v>
      </c>
      <c r="G16746" s="5">
        <v>117</v>
      </c>
      <c r="H16746" s="5">
        <v>116.8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121.4</v>
      </c>
      <c r="D16747" s="5">
        <v>0.1</v>
      </c>
      <c r="E16747" s="5">
        <v>121.5</v>
      </c>
      <c r="F16747" s="5">
        <v>238.3</v>
      </c>
      <c r="G16747" s="5">
        <v>117</v>
      </c>
      <c r="H16747" s="5">
        <v>116.8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121.4</v>
      </c>
      <c r="D16748" s="5">
        <v>0.1</v>
      </c>
      <c r="E16748" s="5">
        <v>121.5</v>
      </c>
      <c r="F16748" s="5">
        <v>238.3</v>
      </c>
      <c r="G16748" s="5">
        <v>117</v>
      </c>
      <c r="H16748" s="5">
        <v>116.8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121.3</v>
      </c>
      <c r="D16749" s="5">
        <v>0.1</v>
      </c>
      <c r="E16749" s="5">
        <v>121.5</v>
      </c>
      <c r="F16749" s="5">
        <v>238.3</v>
      </c>
      <c r="G16749" s="5">
        <v>117</v>
      </c>
      <c r="H16749" s="5">
        <v>116.8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121.3</v>
      </c>
      <c r="D16750" s="5">
        <v>0.1</v>
      </c>
      <c r="E16750" s="5">
        <v>121.5</v>
      </c>
      <c r="F16750" s="5">
        <v>238.2</v>
      </c>
      <c r="G16750" s="5">
        <v>116.9</v>
      </c>
      <c r="H16750" s="5">
        <v>116.7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121.3</v>
      </c>
      <c r="D16751" s="5">
        <v>0.1</v>
      </c>
      <c r="E16751" s="5">
        <v>121.5</v>
      </c>
      <c r="F16751" s="5">
        <v>238.2</v>
      </c>
      <c r="G16751" s="5">
        <v>116.9</v>
      </c>
      <c r="H16751" s="5">
        <v>116.7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121.2</v>
      </c>
      <c r="D16752" s="5">
        <v>0.1</v>
      </c>
      <c r="E16752" s="5">
        <v>121.3</v>
      </c>
      <c r="F16752" s="5">
        <v>237.7</v>
      </c>
      <c r="G16752" s="5">
        <v>116.6</v>
      </c>
      <c r="H16752" s="5">
        <v>116.4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121.2</v>
      </c>
      <c r="D16753" s="5">
        <v>0.1</v>
      </c>
      <c r="E16753" s="5">
        <v>121.3</v>
      </c>
      <c r="F16753" s="5">
        <v>237.7</v>
      </c>
      <c r="G16753" s="5">
        <v>116.6</v>
      </c>
      <c r="H16753" s="5">
        <v>116.4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121.2</v>
      </c>
      <c r="D16754" s="5">
        <v>0.1</v>
      </c>
      <c r="E16754" s="5">
        <v>121.4</v>
      </c>
      <c r="F16754" s="5">
        <v>238.1</v>
      </c>
      <c r="G16754" s="5">
        <v>116.9</v>
      </c>
      <c r="H16754" s="5">
        <v>116.7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121.2</v>
      </c>
      <c r="D16755" s="5">
        <v>0.1</v>
      </c>
      <c r="E16755" s="5">
        <v>121.4</v>
      </c>
      <c r="F16755" s="5">
        <v>238.1</v>
      </c>
      <c r="G16755" s="5">
        <v>116.9</v>
      </c>
      <c r="H16755" s="5">
        <v>116.7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121.4</v>
      </c>
      <c r="D16756" s="5">
        <v>0.1</v>
      </c>
      <c r="E16756" s="5">
        <v>121.5</v>
      </c>
      <c r="F16756" s="5">
        <v>238.7</v>
      </c>
      <c r="G16756" s="5">
        <v>117.1</v>
      </c>
      <c r="H16756" s="5">
        <v>116.9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121.4</v>
      </c>
      <c r="D16757" s="5">
        <v>0.1</v>
      </c>
      <c r="E16757" s="5">
        <v>121.5</v>
      </c>
      <c r="F16757" s="5">
        <v>238.7</v>
      </c>
      <c r="G16757" s="5">
        <v>117.1</v>
      </c>
      <c r="H16757" s="5">
        <v>116.9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121.4</v>
      </c>
      <c r="D16758" s="5">
        <v>0.1</v>
      </c>
      <c r="E16758" s="5">
        <v>121.5</v>
      </c>
      <c r="F16758" s="5">
        <v>238.7</v>
      </c>
      <c r="G16758" s="5">
        <v>117.1</v>
      </c>
      <c r="H16758" s="5">
        <v>116.9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121.6</v>
      </c>
      <c r="D16759" s="5">
        <v>0.1</v>
      </c>
      <c r="E16759" s="5">
        <v>121.8</v>
      </c>
      <c r="F16759" s="5">
        <v>239.1</v>
      </c>
      <c r="G16759" s="5">
        <v>117.3</v>
      </c>
      <c r="H16759" s="5">
        <v>117.1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121.6</v>
      </c>
      <c r="D16760" s="5">
        <v>0.1</v>
      </c>
      <c r="E16760" s="5">
        <v>121.8</v>
      </c>
      <c r="F16760" s="5">
        <v>239.1</v>
      </c>
      <c r="G16760" s="5">
        <v>117.3</v>
      </c>
      <c r="H16760" s="5">
        <v>117.1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121.8</v>
      </c>
      <c r="D16761" s="5">
        <v>0.1</v>
      </c>
      <c r="E16761" s="5">
        <v>121.9</v>
      </c>
      <c r="F16761" s="5">
        <v>239.2</v>
      </c>
      <c r="G16761" s="5">
        <v>117.4</v>
      </c>
      <c r="H16761" s="5">
        <v>117.2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121.8</v>
      </c>
      <c r="D16762" s="5">
        <v>0.1</v>
      </c>
      <c r="E16762" s="5">
        <v>121.9</v>
      </c>
      <c r="F16762" s="5">
        <v>239.2</v>
      </c>
      <c r="G16762" s="5">
        <v>117.4</v>
      </c>
      <c r="H16762" s="5">
        <v>117.2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121.8</v>
      </c>
      <c r="D16763" s="5">
        <v>0.1</v>
      </c>
      <c r="E16763" s="5">
        <v>122.1</v>
      </c>
      <c r="F16763" s="5">
        <v>239.1</v>
      </c>
      <c r="G16763" s="5">
        <v>117.3</v>
      </c>
      <c r="H16763" s="5">
        <v>117.2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121.9</v>
      </c>
      <c r="D16764" s="5">
        <v>0.1</v>
      </c>
      <c r="E16764" s="5">
        <v>122.1</v>
      </c>
      <c r="F16764" s="5">
        <v>239.1</v>
      </c>
      <c r="G16764" s="5">
        <v>117.3</v>
      </c>
      <c r="H16764" s="5">
        <v>117.2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121.9</v>
      </c>
      <c r="D16765" s="5">
        <v>0.1</v>
      </c>
      <c r="E16765" s="5">
        <v>122.1</v>
      </c>
      <c r="F16765" s="5">
        <v>239.1</v>
      </c>
      <c r="G16765" s="5">
        <v>117.1</v>
      </c>
      <c r="H16765" s="5">
        <v>116.9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122.3</v>
      </c>
      <c r="D16766" s="5">
        <v>0.1</v>
      </c>
      <c r="E16766" s="5">
        <v>122.5</v>
      </c>
      <c r="F16766" s="5">
        <v>238.9</v>
      </c>
      <c r="G16766" s="5">
        <v>117.1</v>
      </c>
      <c r="H16766" s="5">
        <v>116.9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122.3</v>
      </c>
      <c r="D16767" s="5">
        <v>0.1</v>
      </c>
      <c r="E16767" s="5">
        <v>122.5</v>
      </c>
      <c r="F16767" s="5">
        <v>238.9</v>
      </c>
      <c r="G16767" s="5">
        <v>117.1</v>
      </c>
      <c r="H16767" s="5">
        <v>116.9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122.3</v>
      </c>
      <c r="D16768" s="5">
        <v>0.1</v>
      </c>
      <c r="E16768" s="5">
        <v>122.5</v>
      </c>
      <c r="F16768" s="5">
        <v>238.9</v>
      </c>
      <c r="G16768" s="5">
        <v>117.1</v>
      </c>
      <c r="H16768" s="5">
        <v>116.9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121.5</v>
      </c>
      <c r="D16769" s="5">
        <v>0.1</v>
      </c>
      <c r="E16769" s="5">
        <v>121.7</v>
      </c>
      <c r="F16769" s="5">
        <v>238.7</v>
      </c>
      <c r="G16769" s="5">
        <v>117.1</v>
      </c>
      <c r="H16769" s="5">
        <v>117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121.5</v>
      </c>
      <c r="D16770" s="5">
        <v>0.1</v>
      </c>
      <c r="E16770" s="5">
        <v>121.7</v>
      </c>
      <c r="F16770" s="5">
        <v>238.7</v>
      </c>
      <c r="G16770" s="5">
        <v>117.1</v>
      </c>
      <c r="H16770" s="5">
        <v>117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121.8</v>
      </c>
      <c r="D16771" s="5">
        <v>0.1</v>
      </c>
      <c r="E16771" s="5">
        <v>122</v>
      </c>
      <c r="F16771" s="5">
        <v>239.2</v>
      </c>
      <c r="G16771" s="5">
        <v>117.4</v>
      </c>
      <c r="H16771" s="5">
        <v>117.2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121.8</v>
      </c>
      <c r="D16772" s="5">
        <v>0.1</v>
      </c>
      <c r="E16772" s="5">
        <v>122</v>
      </c>
      <c r="F16772" s="5">
        <v>239.2</v>
      </c>
      <c r="G16772" s="5">
        <v>117.4</v>
      </c>
      <c r="H16772" s="5">
        <v>117.2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122.1</v>
      </c>
      <c r="D16773" s="5">
        <v>0.1</v>
      </c>
      <c r="E16773" s="5">
        <v>122.3</v>
      </c>
      <c r="F16773" s="5">
        <v>239.3</v>
      </c>
      <c r="G16773" s="5">
        <v>117.5</v>
      </c>
      <c r="H16773" s="5">
        <v>117.3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122.1</v>
      </c>
      <c r="D16774" s="5">
        <v>0.1</v>
      </c>
      <c r="E16774" s="5">
        <v>122.3</v>
      </c>
      <c r="F16774" s="5">
        <v>239.3</v>
      </c>
      <c r="G16774" s="5">
        <v>117.5</v>
      </c>
      <c r="H16774" s="5">
        <v>117.3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122</v>
      </c>
      <c r="D16775" s="5">
        <v>0.1</v>
      </c>
      <c r="E16775" s="5">
        <v>122.2</v>
      </c>
      <c r="F16775" s="5">
        <v>239.3</v>
      </c>
      <c r="G16775" s="5">
        <v>117.4</v>
      </c>
      <c r="H16775" s="5">
        <v>117.3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122</v>
      </c>
      <c r="D16776" s="5">
        <v>0.1</v>
      </c>
      <c r="E16776" s="5">
        <v>122.2</v>
      </c>
      <c r="F16776" s="5">
        <v>239.3</v>
      </c>
      <c r="G16776" s="5">
        <v>117.4</v>
      </c>
      <c r="H16776" s="5">
        <v>117.3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122</v>
      </c>
      <c r="D16777" s="5">
        <v>0.1</v>
      </c>
      <c r="E16777" s="5">
        <v>122.2</v>
      </c>
      <c r="F16777" s="5">
        <v>239.3</v>
      </c>
      <c r="G16777" s="5">
        <v>117.4</v>
      </c>
      <c r="H16777" s="5">
        <v>117.3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122</v>
      </c>
      <c r="D16778" s="5">
        <v>0.1</v>
      </c>
      <c r="E16778" s="5">
        <v>122.2</v>
      </c>
      <c r="F16778" s="5">
        <v>239.3</v>
      </c>
      <c r="G16778" s="5">
        <v>117.4</v>
      </c>
      <c r="H16778" s="5">
        <v>117.3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121.8</v>
      </c>
      <c r="D16779" s="5">
        <v>0.1</v>
      </c>
      <c r="E16779" s="5">
        <v>122</v>
      </c>
      <c r="F16779" s="5">
        <v>239.5</v>
      </c>
      <c r="G16779" s="5">
        <v>117.6</v>
      </c>
      <c r="H16779" s="5">
        <v>117.4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121.8</v>
      </c>
      <c r="D16780" s="5">
        <v>0.1</v>
      </c>
      <c r="E16780" s="5">
        <v>122</v>
      </c>
      <c r="F16780" s="5">
        <v>239.5</v>
      </c>
      <c r="G16780" s="5">
        <v>117.6</v>
      </c>
      <c r="H16780" s="5">
        <v>117.4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121.8</v>
      </c>
      <c r="D16781" s="5">
        <v>0.1</v>
      </c>
      <c r="E16781" s="5">
        <v>121.9</v>
      </c>
      <c r="F16781" s="5">
        <v>239.3</v>
      </c>
      <c r="G16781" s="5">
        <v>117.4</v>
      </c>
      <c r="H16781" s="5">
        <v>117.2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121.8</v>
      </c>
      <c r="D16782" s="5">
        <v>0.1</v>
      </c>
      <c r="E16782" s="5">
        <v>121.9</v>
      </c>
      <c r="F16782" s="5">
        <v>239.3</v>
      </c>
      <c r="G16782" s="5">
        <v>117.4</v>
      </c>
      <c r="H16782" s="5">
        <v>117.2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122.1</v>
      </c>
      <c r="D16783" s="5">
        <v>0.1</v>
      </c>
      <c r="E16783" s="5">
        <v>122.3</v>
      </c>
      <c r="F16783" s="5">
        <v>239.4</v>
      </c>
      <c r="G16783" s="5">
        <v>117.5</v>
      </c>
      <c r="H16783" s="5">
        <v>117.4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122.1</v>
      </c>
      <c r="D16784" s="5">
        <v>0.1</v>
      </c>
      <c r="E16784" s="5">
        <v>122.3</v>
      </c>
      <c r="F16784" s="5">
        <v>239.4</v>
      </c>
      <c r="G16784" s="5">
        <v>117.5</v>
      </c>
      <c r="H16784" s="5">
        <v>117.4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122</v>
      </c>
      <c r="D16785" s="5">
        <v>0.1</v>
      </c>
      <c r="E16785" s="5">
        <v>122.1</v>
      </c>
      <c r="F16785" s="5">
        <v>239.8</v>
      </c>
      <c r="G16785" s="5">
        <v>117.7</v>
      </c>
      <c r="H16785" s="5">
        <v>117.5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122</v>
      </c>
      <c r="D16786" s="5">
        <v>0.1</v>
      </c>
      <c r="E16786" s="5">
        <v>122.1</v>
      </c>
      <c r="F16786" s="5">
        <v>239.8</v>
      </c>
      <c r="G16786" s="5">
        <v>117.7</v>
      </c>
      <c r="H16786" s="5">
        <v>117.5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122</v>
      </c>
      <c r="D16787" s="5">
        <v>0.1</v>
      </c>
      <c r="E16787" s="5">
        <v>122.1</v>
      </c>
      <c r="F16787" s="5">
        <v>239.8</v>
      </c>
      <c r="G16787" s="5">
        <v>117.7</v>
      </c>
      <c r="H16787" s="5">
        <v>117.5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122</v>
      </c>
      <c r="D16788" s="5">
        <v>0.1</v>
      </c>
      <c r="E16788" s="5">
        <v>122.1</v>
      </c>
      <c r="F16788" s="5">
        <v>239.8</v>
      </c>
      <c r="G16788" s="5">
        <v>117.7</v>
      </c>
      <c r="H16788" s="5">
        <v>117.5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121.8</v>
      </c>
      <c r="D16789" s="5">
        <v>0.1</v>
      </c>
      <c r="E16789" s="5">
        <v>122</v>
      </c>
      <c r="F16789" s="5">
        <v>239.3</v>
      </c>
      <c r="G16789" s="5">
        <v>117.4</v>
      </c>
      <c r="H16789" s="5">
        <v>117.3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121.8</v>
      </c>
      <c r="D16790" s="5">
        <v>0.1</v>
      </c>
      <c r="E16790" s="5">
        <v>122</v>
      </c>
      <c r="F16790" s="5">
        <v>239.3</v>
      </c>
      <c r="G16790" s="5">
        <v>117.4</v>
      </c>
      <c r="H16790" s="5">
        <v>117.3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121.2</v>
      </c>
      <c r="D16791" s="5">
        <v>0.1</v>
      </c>
      <c r="E16791" s="5">
        <v>121.4</v>
      </c>
      <c r="F16791" s="5">
        <v>238.7</v>
      </c>
      <c r="G16791" s="5">
        <v>117.1</v>
      </c>
      <c r="H16791" s="5">
        <v>117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121.2</v>
      </c>
      <c r="D16792" s="5">
        <v>0.1</v>
      </c>
      <c r="E16792" s="5">
        <v>121.4</v>
      </c>
      <c r="F16792" s="5">
        <v>238.7</v>
      </c>
      <c r="G16792" s="5">
        <v>117.1</v>
      </c>
      <c r="H16792" s="5">
        <v>117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121.7</v>
      </c>
      <c r="D16793" s="5">
        <v>0.1</v>
      </c>
      <c r="E16793" s="5">
        <v>121.9</v>
      </c>
      <c r="F16793" s="5">
        <v>238.8</v>
      </c>
      <c r="G16793" s="5">
        <v>117.2</v>
      </c>
      <c r="H16793" s="5">
        <v>117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121.7</v>
      </c>
      <c r="D16794" s="5">
        <v>0.1</v>
      </c>
      <c r="E16794" s="5">
        <v>121.9</v>
      </c>
      <c r="F16794" s="5">
        <v>238.8</v>
      </c>
      <c r="G16794" s="5">
        <v>117.2</v>
      </c>
      <c r="H16794" s="5">
        <v>117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121.8</v>
      </c>
      <c r="D16795" s="5">
        <v>0.1</v>
      </c>
      <c r="E16795" s="5">
        <v>121.9</v>
      </c>
      <c r="F16795" s="5">
        <v>238.9</v>
      </c>
      <c r="G16795" s="5">
        <v>117.3</v>
      </c>
      <c r="H16795" s="5">
        <v>117.1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121.8</v>
      </c>
      <c r="D16796" s="5">
        <v>0.1</v>
      </c>
      <c r="E16796" s="5">
        <v>121.9</v>
      </c>
      <c r="F16796" s="5">
        <v>238.9</v>
      </c>
      <c r="G16796" s="5">
        <v>117.3</v>
      </c>
      <c r="H16796" s="5">
        <v>117.1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121.8</v>
      </c>
      <c r="D16797" s="5">
        <v>0.1</v>
      </c>
      <c r="E16797" s="5">
        <v>121.9</v>
      </c>
      <c r="F16797" s="5">
        <v>238.9</v>
      </c>
      <c r="G16797" s="5">
        <v>117.3</v>
      </c>
      <c r="H16797" s="5">
        <v>117.1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121.8</v>
      </c>
      <c r="D16798" s="5">
        <v>0.1</v>
      </c>
      <c r="E16798" s="5">
        <v>121.9</v>
      </c>
      <c r="F16798" s="5">
        <v>238.9</v>
      </c>
      <c r="G16798" s="5">
        <v>117.3</v>
      </c>
      <c r="H16798" s="5">
        <v>117.1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121.8</v>
      </c>
      <c r="D16799" s="5">
        <v>0.1</v>
      </c>
      <c r="E16799" s="5">
        <v>121.9</v>
      </c>
      <c r="F16799" s="5">
        <v>238.9</v>
      </c>
      <c r="G16799" s="5">
        <v>117.3</v>
      </c>
      <c r="H16799" s="5">
        <v>117.1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121.8</v>
      </c>
      <c r="D16800" s="5">
        <v>0.1</v>
      </c>
      <c r="E16800" s="5">
        <v>121.9</v>
      </c>
      <c r="F16800" s="5">
        <v>238.9</v>
      </c>
      <c r="G16800" s="5">
        <v>117.3</v>
      </c>
      <c r="H16800" s="5">
        <v>117.1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119.5</v>
      </c>
      <c r="D16801" s="5">
        <v>0.1</v>
      </c>
      <c r="E16801" s="5">
        <v>119.7</v>
      </c>
      <c r="F16801" s="5">
        <v>238.1</v>
      </c>
      <c r="G16801" s="5">
        <v>118.4</v>
      </c>
      <c r="H16801" s="5">
        <v>118.2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119.5</v>
      </c>
      <c r="D16802" s="5">
        <v>0.1</v>
      </c>
      <c r="E16802" s="5">
        <v>119.7</v>
      </c>
      <c r="F16802" s="5">
        <v>238.1</v>
      </c>
      <c r="G16802" s="5">
        <v>118.4</v>
      </c>
      <c r="H16802" s="5">
        <v>118.2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119.6</v>
      </c>
      <c r="D16803" s="5">
        <v>0.1</v>
      </c>
      <c r="E16803" s="5">
        <v>119.7</v>
      </c>
      <c r="F16803" s="5">
        <v>238.4</v>
      </c>
      <c r="G16803" s="5">
        <v>118.5</v>
      </c>
      <c r="H16803" s="5">
        <v>118.4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119.6</v>
      </c>
      <c r="D16804" s="5">
        <v>0.1</v>
      </c>
      <c r="E16804" s="5">
        <v>119.7</v>
      </c>
      <c r="F16804" s="5">
        <v>238.4</v>
      </c>
      <c r="G16804" s="5">
        <v>118.5</v>
      </c>
      <c r="H16804" s="5">
        <v>118.4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119.6</v>
      </c>
      <c r="D16805" s="5">
        <v>0.1</v>
      </c>
      <c r="E16805" s="5">
        <v>119.9</v>
      </c>
      <c r="F16805" s="5">
        <v>237.8</v>
      </c>
      <c r="G16805" s="5">
        <v>118.2</v>
      </c>
      <c r="H16805" s="5">
        <v>118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119.6</v>
      </c>
      <c r="D16806" s="5">
        <v>0.1</v>
      </c>
      <c r="E16806" s="5">
        <v>119.9</v>
      </c>
      <c r="F16806" s="5">
        <v>237.8</v>
      </c>
      <c r="G16806" s="5">
        <v>118.2</v>
      </c>
      <c r="H16806" s="5">
        <v>118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119.6</v>
      </c>
      <c r="D16807" s="5">
        <v>0.1</v>
      </c>
      <c r="E16807" s="5">
        <v>119.9</v>
      </c>
      <c r="F16807" s="5">
        <v>237.8</v>
      </c>
      <c r="G16807" s="5">
        <v>118.2</v>
      </c>
      <c r="H16807" s="5">
        <v>118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119.6</v>
      </c>
      <c r="D16808" s="5">
        <v>0.1</v>
      </c>
      <c r="E16808" s="5">
        <v>119.9</v>
      </c>
      <c r="F16808" s="5">
        <v>237.8</v>
      </c>
      <c r="G16808" s="5">
        <v>118.2</v>
      </c>
      <c r="H16808" s="5">
        <v>118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119.1</v>
      </c>
      <c r="D16809" s="5">
        <v>0.1</v>
      </c>
      <c r="E16809" s="5">
        <v>119.3</v>
      </c>
      <c r="F16809" s="5">
        <v>237.4</v>
      </c>
      <c r="G16809" s="5">
        <v>118</v>
      </c>
      <c r="H16809" s="5">
        <v>117.9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119.1</v>
      </c>
      <c r="D16810" s="5">
        <v>0.1</v>
      </c>
      <c r="E16810" s="5">
        <v>119.3</v>
      </c>
      <c r="F16810" s="5">
        <v>237.4</v>
      </c>
      <c r="G16810" s="5">
        <v>118</v>
      </c>
      <c r="H16810" s="5">
        <v>117.9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119.5</v>
      </c>
      <c r="D16811" s="5">
        <v>0.1</v>
      </c>
      <c r="E16811" s="5">
        <v>119.7</v>
      </c>
      <c r="F16811" s="5">
        <v>237.4</v>
      </c>
      <c r="G16811" s="5">
        <v>118</v>
      </c>
      <c r="H16811" s="5">
        <v>117.9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119.5</v>
      </c>
      <c r="D16812" s="5">
        <v>0.1</v>
      </c>
      <c r="E16812" s="5">
        <v>119.7</v>
      </c>
      <c r="F16812" s="5">
        <v>237.4</v>
      </c>
      <c r="G16812" s="5">
        <v>118</v>
      </c>
      <c r="H16812" s="5">
        <v>117.9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119</v>
      </c>
      <c r="D16813" s="5">
        <v>0.1</v>
      </c>
      <c r="E16813" s="5">
        <v>119.2</v>
      </c>
      <c r="F16813" s="5">
        <v>236.9</v>
      </c>
      <c r="G16813" s="5">
        <v>117.8</v>
      </c>
      <c r="H16813" s="5">
        <v>117.6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119</v>
      </c>
      <c r="D16814" s="5">
        <v>0.1</v>
      </c>
      <c r="E16814" s="5">
        <v>119.2</v>
      </c>
      <c r="F16814" s="5">
        <v>236.9</v>
      </c>
      <c r="G16814" s="5">
        <v>117.8</v>
      </c>
      <c r="H16814" s="5">
        <v>117.6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119.1</v>
      </c>
      <c r="D16815" s="5">
        <v>0.1</v>
      </c>
      <c r="E16815" s="5">
        <v>119.3</v>
      </c>
      <c r="F16815" s="5">
        <v>237</v>
      </c>
      <c r="G16815" s="5">
        <v>117.8</v>
      </c>
      <c r="H16815" s="5">
        <v>117.7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119.1</v>
      </c>
      <c r="D16816" s="5">
        <v>0.1</v>
      </c>
      <c r="E16816" s="5">
        <v>119.3</v>
      </c>
      <c r="F16816" s="5">
        <v>237</v>
      </c>
      <c r="G16816" s="5">
        <v>117.8</v>
      </c>
      <c r="H16816" s="5">
        <v>117.7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119.1</v>
      </c>
      <c r="D16817" s="5">
        <v>0.1</v>
      </c>
      <c r="E16817" s="5">
        <v>119.3</v>
      </c>
      <c r="F16817" s="5">
        <v>237</v>
      </c>
      <c r="G16817" s="5">
        <v>117.8</v>
      </c>
      <c r="H16817" s="5">
        <v>117.7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119.1</v>
      </c>
      <c r="D16818" s="5">
        <v>0.1</v>
      </c>
      <c r="E16818" s="5">
        <v>119.3</v>
      </c>
      <c r="F16818" s="5">
        <v>237</v>
      </c>
      <c r="G16818" s="5">
        <v>117.8</v>
      </c>
      <c r="H16818" s="5">
        <v>117.7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119.4</v>
      </c>
      <c r="D16819" s="5">
        <v>0.1</v>
      </c>
      <c r="E16819" s="5">
        <v>119.6</v>
      </c>
      <c r="F16819" s="5">
        <v>237.7</v>
      </c>
      <c r="G16819" s="5">
        <v>118.1</v>
      </c>
      <c r="H16819" s="5">
        <v>118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119.4</v>
      </c>
      <c r="D16820" s="5">
        <v>0.1</v>
      </c>
      <c r="E16820" s="5">
        <v>119.6</v>
      </c>
      <c r="F16820" s="5">
        <v>237.7</v>
      </c>
      <c r="G16820" s="5">
        <v>118.1</v>
      </c>
      <c r="H16820" s="5">
        <v>118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119.6</v>
      </c>
      <c r="D16821" s="5">
        <v>0.1</v>
      </c>
      <c r="E16821" s="5">
        <v>119.8</v>
      </c>
      <c r="F16821" s="5">
        <v>238.2</v>
      </c>
      <c r="G16821" s="5">
        <v>118.4</v>
      </c>
      <c r="H16821" s="5">
        <v>118.3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119.6</v>
      </c>
      <c r="D16822" s="5">
        <v>0.1</v>
      </c>
      <c r="E16822" s="5">
        <v>119.8</v>
      </c>
      <c r="F16822" s="5">
        <v>238.2</v>
      </c>
      <c r="G16822" s="5">
        <v>118.4</v>
      </c>
      <c r="H16822" s="5">
        <v>118.3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119.5</v>
      </c>
      <c r="D16823" s="5">
        <v>0.1</v>
      </c>
      <c r="E16823" s="5">
        <v>119.6</v>
      </c>
      <c r="F16823" s="5">
        <v>238.2</v>
      </c>
      <c r="G16823" s="5">
        <v>118.4</v>
      </c>
      <c r="H16823" s="5">
        <v>118.2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119.5</v>
      </c>
      <c r="D16824" s="5">
        <v>0.1</v>
      </c>
      <c r="E16824" s="5">
        <v>119.6</v>
      </c>
      <c r="F16824" s="5">
        <v>238.2</v>
      </c>
      <c r="G16824" s="5">
        <v>118.4</v>
      </c>
      <c r="H16824" s="5">
        <v>118.2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119.6</v>
      </c>
      <c r="D16825" s="5">
        <v>0.1</v>
      </c>
      <c r="E16825" s="5">
        <v>119.8</v>
      </c>
      <c r="F16825" s="5">
        <v>238</v>
      </c>
      <c r="G16825" s="5">
        <v>118.3</v>
      </c>
      <c r="H16825" s="5">
        <v>118.2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119.6</v>
      </c>
      <c r="D16826" s="5">
        <v>0.1</v>
      </c>
      <c r="E16826" s="5">
        <v>119.8</v>
      </c>
      <c r="F16826" s="5">
        <v>238</v>
      </c>
      <c r="G16826" s="5">
        <v>118.3</v>
      </c>
      <c r="H16826" s="5">
        <v>118.2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119.6</v>
      </c>
      <c r="D16827" s="5">
        <v>0.1</v>
      </c>
      <c r="E16827" s="5">
        <v>119.8</v>
      </c>
      <c r="F16827" s="5">
        <v>238</v>
      </c>
      <c r="G16827" s="5">
        <v>118.3</v>
      </c>
      <c r="H16827" s="5">
        <v>118.2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119.6</v>
      </c>
      <c r="D16828" s="5">
        <v>0.1</v>
      </c>
      <c r="E16828" s="5">
        <v>119.8</v>
      </c>
      <c r="F16828" s="5">
        <v>238</v>
      </c>
      <c r="G16828" s="5">
        <v>118.3</v>
      </c>
      <c r="H16828" s="5">
        <v>118.2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119.3</v>
      </c>
      <c r="D16829" s="5">
        <v>0.1</v>
      </c>
      <c r="E16829" s="5">
        <v>119.4</v>
      </c>
      <c r="F16829" s="5">
        <v>237.9</v>
      </c>
      <c r="G16829" s="5">
        <v>118.3</v>
      </c>
      <c r="H16829" s="5">
        <v>118.2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119.3</v>
      </c>
      <c r="D16830" s="5">
        <v>0.1</v>
      </c>
      <c r="E16830" s="5">
        <v>119.4</v>
      </c>
      <c r="F16830" s="5">
        <v>237.9</v>
      </c>
      <c r="G16830" s="5">
        <v>118.3</v>
      </c>
      <c r="H16830" s="5">
        <v>118.2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119.2</v>
      </c>
      <c r="D16831" s="5">
        <v>0.1</v>
      </c>
      <c r="E16831" s="5">
        <v>119.3</v>
      </c>
      <c r="F16831" s="5">
        <v>236.9</v>
      </c>
      <c r="G16831" s="5">
        <v>117.8</v>
      </c>
      <c r="H16831" s="5">
        <v>117.7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119.2</v>
      </c>
      <c r="D16832" s="5">
        <v>0.1</v>
      </c>
      <c r="E16832" s="5">
        <v>119.3</v>
      </c>
      <c r="F16832" s="5">
        <v>236.9</v>
      </c>
      <c r="G16832" s="5">
        <v>117.8</v>
      </c>
      <c r="H16832" s="5">
        <v>117.7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119.7</v>
      </c>
      <c r="D16833" s="5">
        <v>0.1</v>
      </c>
      <c r="E16833" s="5">
        <v>119.9</v>
      </c>
      <c r="F16833" s="5">
        <v>237.8</v>
      </c>
      <c r="G16833" s="5">
        <v>118.2</v>
      </c>
      <c r="H16833" s="5">
        <v>118.1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119.7</v>
      </c>
      <c r="D16834" s="5">
        <v>0.1</v>
      </c>
      <c r="E16834" s="5">
        <v>119.9</v>
      </c>
      <c r="F16834" s="5">
        <v>237.8</v>
      </c>
      <c r="G16834" s="5">
        <v>118.2</v>
      </c>
      <c r="H16834" s="5">
        <v>118.1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119.4</v>
      </c>
      <c r="D16835" s="5">
        <v>0.1</v>
      </c>
      <c r="E16835" s="5">
        <v>119.6</v>
      </c>
      <c r="F16835" s="5">
        <v>237.4</v>
      </c>
      <c r="G16835" s="5">
        <v>118.1</v>
      </c>
      <c r="H16835" s="5">
        <v>117.9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119.4</v>
      </c>
      <c r="D16836" s="5">
        <v>0.1</v>
      </c>
      <c r="E16836" s="5">
        <v>119.6</v>
      </c>
      <c r="F16836" s="5">
        <v>237.4</v>
      </c>
      <c r="G16836" s="5">
        <v>118.1</v>
      </c>
      <c r="H16836" s="5">
        <v>117.9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119.4</v>
      </c>
      <c r="D16837" s="5">
        <v>0.1</v>
      </c>
      <c r="E16837" s="5">
        <v>119.6</v>
      </c>
      <c r="F16837" s="5">
        <v>237.4</v>
      </c>
      <c r="G16837" s="5">
        <v>118.1</v>
      </c>
      <c r="H16837" s="5">
        <v>117.9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119.4</v>
      </c>
      <c r="D16838" s="5">
        <v>0.1</v>
      </c>
      <c r="E16838" s="5">
        <v>119.6</v>
      </c>
      <c r="F16838" s="5">
        <v>237.4</v>
      </c>
      <c r="G16838" s="5">
        <v>118.1</v>
      </c>
      <c r="H16838" s="5">
        <v>117.9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119.3</v>
      </c>
      <c r="D16839" s="5">
        <v>0.1</v>
      </c>
      <c r="E16839" s="5">
        <v>119.5</v>
      </c>
      <c r="F16839" s="5">
        <v>237.8</v>
      </c>
      <c r="G16839" s="5">
        <v>118.2</v>
      </c>
      <c r="H16839" s="5">
        <v>118.1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119.3</v>
      </c>
      <c r="D16840" s="5">
        <v>0.1</v>
      </c>
      <c r="E16840" s="5">
        <v>119.5</v>
      </c>
      <c r="F16840" s="5">
        <v>237.8</v>
      </c>
      <c r="G16840" s="5">
        <v>118.2</v>
      </c>
      <c r="H16840" s="5">
        <v>118.1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119.3</v>
      </c>
      <c r="D16841" s="5">
        <v>0.1</v>
      </c>
      <c r="E16841" s="5">
        <v>119.4</v>
      </c>
      <c r="F16841" s="5">
        <v>237.6</v>
      </c>
      <c r="G16841" s="5">
        <v>118.2</v>
      </c>
      <c r="H16841" s="5">
        <v>118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119.3</v>
      </c>
      <c r="D16842" s="5">
        <v>0.1</v>
      </c>
      <c r="E16842" s="5">
        <v>119.4</v>
      </c>
      <c r="F16842" s="5">
        <v>237.6</v>
      </c>
      <c r="G16842" s="5">
        <v>118.2</v>
      </c>
      <c r="H16842" s="5">
        <v>118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119.1</v>
      </c>
      <c r="D16843" s="5">
        <v>0.1</v>
      </c>
      <c r="E16843" s="5">
        <v>119.3</v>
      </c>
      <c r="F16843" s="5">
        <v>236.9</v>
      </c>
      <c r="G16843" s="5">
        <v>117.8</v>
      </c>
      <c r="H16843" s="5">
        <v>117.6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119.1</v>
      </c>
      <c r="D16844" s="5">
        <v>0.1</v>
      </c>
      <c r="E16844" s="5">
        <v>119.3</v>
      </c>
      <c r="F16844" s="5">
        <v>236.9</v>
      </c>
      <c r="G16844" s="5">
        <v>117.8</v>
      </c>
      <c r="H16844" s="5">
        <v>117.6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119.6</v>
      </c>
      <c r="D16845" s="5">
        <v>0.1</v>
      </c>
      <c r="E16845" s="5">
        <v>119.8</v>
      </c>
      <c r="F16845" s="5">
        <v>237.6</v>
      </c>
      <c r="G16845" s="5">
        <v>118.1</v>
      </c>
      <c r="H16845" s="5">
        <v>118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119.6</v>
      </c>
      <c r="D16846" s="5">
        <v>0.1</v>
      </c>
      <c r="E16846" s="5">
        <v>119.8</v>
      </c>
      <c r="F16846" s="5">
        <v>237.6</v>
      </c>
      <c r="G16846" s="5">
        <v>118.1</v>
      </c>
      <c r="H16846" s="5">
        <v>118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119.6</v>
      </c>
      <c r="D16847" s="5">
        <v>0.1</v>
      </c>
      <c r="E16847" s="5">
        <v>119.8</v>
      </c>
      <c r="F16847" s="5">
        <v>237.6</v>
      </c>
      <c r="G16847" s="5">
        <v>118.1</v>
      </c>
      <c r="H16847" s="5">
        <v>118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119.6</v>
      </c>
      <c r="D16848" s="5">
        <v>0.1</v>
      </c>
      <c r="E16848" s="5">
        <v>119.8</v>
      </c>
      <c r="F16848" s="5">
        <v>237.6</v>
      </c>
      <c r="G16848" s="5">
        <v>118.1</v>
      </c>
      <c r="H16848" s="5">
        <v>118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119.7</v>
      </c>
      <c r="D16849" s="5">
        <v>0.1</v>
      </c>
      <c r="E16849" s="5">
        <v>119.9</v>
      </c>
      <c r="F16849" s="5">
        <v>237.9</v>
      </c>
      <c r="G16849" s="5">
        <v>118.3</v>
      </c>
      <c r="H16849" s="5">
        <v>118.2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119.7</v>
      </c>
      <c r="D16850" s="5">
        <v>0.1</v>
      </c>
      <c r="E16850" s="5">
        <v>119.9</v>
      </c>
      <c r="F16850" s="5">
        <v>237.9</v>
      </c>
      <c r="G16850" s="5">
        <v>118.3</v>
      </c>
      <c r="H16850" s="5">
        <v>118.2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119.6</v>
      </c>
      <c r="D16851" s="5">
        <v>0.1</v>
      </c>
      <c r="E16851" s="5">
        <v>119.9</v>
      </c>
      <c r="F16851" s="5">
        <v>238.1</v>
      </c>
      <c r="G16851" s="5">
        <v>118.4</v>
      </c>
      <c r="H16851" s="5">
        <v>118.3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119.6</v>
      </c>
      <c r="D16852" s="5">
        <v>0.1</v>
      </c>
      <c r="E16852" s="5">
        <v>119.9</v>
      </c>
      <c r="F16852" s="5">
        <v>238.1</v>
      </c>
      <c r="G16852" s="5">
        <v>118.4</v>
      </c>
      <c r="H16852" s="5">
        <v>118.3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119.1</v>
      </c>
      <c r="D16853" s="5">
        <v>0.1</v>
      </c>
      <c r="E16853" s="5">
        <v>119.3</v>
      </c>
      <c r="F16853" s="5">
        <v>237.3</v>
      </c>
      <c r="G16853" s="5">
        <v>118</v>
      </c>
      <c r="H16853" s="5">
        <v>117.8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119.1</v>
      </c>
      <c r="D16854" s="5">
        <v>0.1</v>
      </c>
      <c r="E16854" s="5">
        <v>119.3</v>
      </c>
      <c r="F16854" s="5">
        <v>237.3</v>
      </c>
      <c r="G16854" s="5">
        <v>118</v>
      </c>
      <c r="H16854" s="5">
        <v>117.8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119.1</v>
      </c>
      <c r="D16855" s="5">
        <v>0.1</v>
      </c>
      <c r="E16855" s="5">
        <v>119.3</v>
      </c>
      <c r="F16855" s="5">
        <v>237.5</v>
      </c>
      <c r="G16855" s="5">
        <v>118.1</v>
      </c>
      <c r="H16855" s="5">
        <v>118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119.1</v>
      </c>
      <c r="D16856" s="5">
        <v>0.1</v>
      </c>
      <c r="E16856" s="5">
        <v>119.3</v>
      </c>
      <c r="F16856" s="5">
        <v>237.5</v>
      </c>
      <c r="G16856" s="5">
        <v>118.1</v>
      </c>
      <c r="H16856" s="5">
        <v>118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119.1</v>
      </c>
      <c r="D16857" s="5">
        <v>0.1</v>
      </c>
      <c r="E16857" s="5">
        <v>119.3</v>
      </c>
      <c r="F16857" s="5">
        <v>237.5</v>
      </c>
      <c r="G16857" s="5">
        <v>118.1</v>
      </c>
      <c r="H16857" s="5">
        <v>118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119.5</v>
      </c>
      <c r="D16858" s="5">
        <v>0.1</v>
      </c>
      <c r="E16858" s="5">
        <v>119.3</v>
      </c>
      <c r="F16858" s="5">
        <v>237.5</v>
      </c>
      <c r="G16858" s="5">
        <v>118.1</v>
      </c>
      <c r="H16858" s="5">
        <v>118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119.5</v>
      </c>
      <c r="D16859" s="5">
        <v>0.1</v>
      </c>
      <c r="E16859" s="5">
        <v>119.6</v>
      </c>
      <c r="F16859" s="5">
        <v>237.3</v>
      </c>
      <c r="G16859" s="5">
        <v>118</v>
      </c>
      <c r="H16859" s="5">
        <v>117.9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119.5</v>
      </c>
      <c r="D16860" s="5">
        <v>0.1</v>
      </c>
      <c r="E16860" s="5">
        <v>119.6</v>
      </c>
      <c r="F16860" s="5">
        <v>237.3</v>
      </c>
      <c r="G16860" s="5">
        <v>118</v>
      </c>
      <c r="H16860" s="5">
        <v>117.9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119.5</v>
      </c>
      <c r="D16861" s="5">
        <v>0.1</v>
      </c>
      <c r="E16861" s="5">
        <v>119.7</v>
      </c>
      <c r="F16861" s="5">
        <v>237.6</v>
      </c>
      <c r="G16861" s="5">
        <v>118.1</v>
      </c>
      <c r="H16861" s="5">
        <v>118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119.5</v>
      </c>
      <c r="D16862" s="5">
        <v>0.1</v>
      </c>
      <c r="E16862" s="5">
        <v>119.7</v>
      </c>
      <c r="F16862" s="5">
        <v>237.6</v>
      </c>
      <c r="G16862" s="5">
        <v>118.1</v>
      </c>
      <c r="H16862" s="5">
        <v>118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119.4</v>
      </c>
      <c r="D16863" s="5">
        <v>0.1</v>
      </c>
      <c r="E16863" s="5">
        <v>119.6</v>
      </c>
      <c r="F16863" s="5">
        <v>237.5</v>
      </c>
      <c r="G16863" s="5">
        <v>118</v>
      </c>
      <c r="H16863" s="5">
        <v>117.9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119.4</v>
      </c>
      <c r="D16864" s="5">
        <v>0.1</v>
      </c>
      <c r="E16864" s="5">
        <v>119.6</v>
      </c>
      <c r="F16864" s="5">
        <v>237.5</v>
      </c>
      <c r="G16864" s="5">
        <v>118</v>
      </c>
      <c r="H16864" s="5">
        <v>117.9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119.7</v>
      </c>
      <c r="D16865" s="5">
        <v>0.1</v>
      </c>
      <c r="E16865" s="5">
        <v>119.9</v>
      </c>
      <c r="F16865" s="5">
        <v>237.7</v>
      </c>
      <c r="G16865" s="5">
        <v>118.2</v>
      </c>
      <c r="H16865" s="5">
        <v>118.1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119.7</v>
      </c>
      <c r="D16866" s="5">
        <v>0.1</v>
      </c>
      <c r="E16866" s="5">
        <v>119.9</v>
      </c>
      <c r="F16866" s="5">
        <v>237.7</v>
      </c>
      <c r="G16866" s="5">
        <v>118.2</v>
      </c>
      <c r="H16866" s="5">
        <v>118.1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119.7</v>
      </c>
      <c r="D16867" s="5">
        <v>0.1</v>
      </c>
      <c r="E16867" s="5">
        <v>119.9</v>
      </c>
      <c r="F16867" s="5">
        <v>237.7</v>
      </c>
      <c r="G16867" s="5">
        <v>118.2</v>
      </c>
      <c r="H16867" s="5">
        <v>118.1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119.7</v>
      </c>
      <c r="D16868" s="5">
        <v>0.1</v>
      </c>
      <c r="E16868" s="5">
        <v>119.9</v>
      </c>
      <c r="F16868" s="5">
        <v>237.7</v>
      </c>
      <c r="G16868" s="5">
        <v>118.2</v>
      </c>
      <c r="H16868" s="5">
        <v>118.1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119.5</v>
      </c>
      <c r="D16869" s="5">
        <v>0.1</v>
      </c>
      <c r="E16869" s="5">
        <v>119.6</v>
      </c>
      <c r="F16869" s="5">
        <v>237.5</v>
      </c>
      <c r="G16869" s="5">
        <v>118.1</v>
      </c>
      <c r="H16869" s="5">
        <v>117.9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119.5</v>
      </c>
      <c r="D16870" s="5">
        <v>0.1</v>
      </c>
      <c r="E16870" s="5">
        <v>119.6</v>
      </c>
      <c r="F16870" s="5">
        <v>237.5</v>
      </c>
      <c r="G16870" s="5">
        <v>118.1</v>
      </c>
      <c r="H16870" s="5">
        <v>117.9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119.4</v>
      </c>
      <c r="D16871" s="5">
        <v>0.1</v>
      </c>
      <c r="E16871" s="5">
        <v>119.6</v>
      </c>
      <c r="F16871" s="5">
        <v>237.6</v>
      </c>
      <c r="G16871" s="5">
        <v>118.1</v>
      </c>
      <c r="H16871" s="5">
        <v>118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119.4</v>
      </c>
      <c r="D16872" s="5">
        <v>0.1</v>
      </c>
      <c r="E16872" s="5">
        <v>119.6</v>
      </c>
      <c r="F16872" s="5">
        <v>237.6</v>
      </c>
      <c r="G16872" s="5">
        <v>118.1</v>
      </c>
      <c r="H16872" s="5">
        <v>118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119.4</v>
      </c>
      <c r="D16873" s="5">
        <v>0.1</v>
      </c>
      <c r="E16873" s="5">
        <v>119.6</v>
      </c>
      <c r="F16873" s="5">
        <v>237.6</v>
      </c>
      <c r="G16873" s="5">
        <v>118.1</v>
      </c>
      <c r="H16873" s="5">
        <v>118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119.4</v>
      </c>
      <c r="D16874" s="5">
        <v>0.1</v>
      </c>
      <c r="E16874" s="5">
        <v>119.6</v>
      </c>
      <c r="F16874" s="5">
        <v>237.6</v>
      </c>
      <c r="G16874" s="5">
        <v>118.1</v>
      </c>
      <c r="H16874" s="5">
        <v>118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119.5</v>
      </c>
      <c r="D16875" s="5">
        <v>0.1</v>
      </c>
      <c r="E16875" s="5">
        <v>119.6</v>
      </c>
      <c r="F16875" s="5">
        <v>237.8</v>
      </c>
      <c r="G16875" s="5">
        <v>118.2</v>
      </c>
      <c r="H16875" s="5">
        <v>118.1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119.5</v>
      </c>
      <c r="D16876" s="5">
        <v>0.1</v>
      </c>
      <c r="E16876" s="5">
        <v>119.6</v>
      </c>
      <c r="F16876" s="5">
        <v>237.8</v>
      </c>
      <c r="G16876" s="5">
        <v>118.2</v>
      </c>
      <c r="H16876" s="5">
        <v>118.1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119.5</v>
      </c>
      <c r="D16877" s="5">
        <v>0.1</v>
      </c>
      <c r="E16877" s="5">
        <v>119.6</v>
      </c>
      <c r="F16877" s="5">
        <v>237.8</v>
      </c>
      <c r="G16877" s="5">
        <v>118.2</v>
      </c>
      <c r="H16877" s="5">
        <v>118.1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119.5</v>
      </c>
      <c r="D16878" s="5">
        <v>0.1</v>
      </c>
      <c r="E16878" s="5">
        <v>119.6</v>
      </c>
      <c r="F16878" s="5">
        <v>237.8</v>
      </c>
      <c r="G16878" s="5">
        <v>118.2</v>
      </c>
      <c r="H16878" s="5">
        <v>118.1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119.2</v>
      </c>
      <c r="D16879" s="5">
        <v>0.1</v>
      </c>
      <c r="E16879" s="5">
        <v>119.3</v>
      </c>
      <c r="F16879" s="5">
        <v>237.3</v>
      </c>
      <c r="G16879" s="5">
        <v>118</v>
      </c>
      <c r="H16879" s="5">
        <v>117.8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119.2</v>
      </c>
      <c r="D16880" s="5">
        <v>0.1</v>
      </c>
      <c r="E16880" s="5">
        <v>119.3</v>
      </c>
      <c r="F16880" s="5">
        <v>237.3</v>
      </c>
      <c r="G16880" s="5">
        <v>118</v>
      </c>
      <c r="H16880" s="5">
        <v>117.8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119.1</v>
      </c>
      <c r="D16881" s="5">
        <v>0.1</v>
      </c>
      <c r="E16881" s="5">
        <v>119.3</v>
      </c>
      <c r="F16881" s="5">
        <v>236.6</v>
      </c>
      <c r="G16881" s="5">
        <v>117.6</v>
      </c>
      <c r="H16881" s="5">
        <v>117.5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119.1</v>
      </c>
      <c r="D16882" s="5">
        <v>0.1</v>
      </c>
      <c r="E16882" s="5">
        <v>119.3</v>
      </c>
      <c r="F16882" s="5">
        <v>236.6</v>
      </c>
      <c r="G16882" s="5">
        <v>117.6</v>
      </c>
      <c r="H16882" s="5">
        <v>117.5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119.6</v>
      </c>
      <c r="D16883" s="5">
        <v>0.1</v>
      </c>
      <c r="E16883" s="5">
        <v>119.7</v>
      </c>
      <c r="F16883" s="5">
        <v>237.2</v>
      </c>
      <c r="G16883" s="5">
        <v>118</v>
      </c>
      <c r="H16883" s="5">
        <v>117.8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119.6</v>
      </c>
      <c r="D16884" s="5">
        <v>0.1</v>
      </c>
      <c r="E16884" s="5">
        <v>119.7</v>
      </c>
      <c r="F16884" s="5">
        <v>237.2</v>
      </c>
      <c r="G16884" s="5">
        <v>118</v>
      </c>
      <c r="H16884" s="5">
        <v>117.8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119.6</v>
      </c>
      <c r="D16885" s="5">
        <v>0.1</v>
      </c>
      <c r="E16885" s="5">
        <v>119.7</v>
      </c>
      <c r="F16885" s="5">
        <v>237.5</v>
      </c>
      <c r="G16885" s="5">
        <v>118.1</v>
      </c>
      <c r="H16885" s="5">
        <v>117.9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119.6</v>
      </c>
      <c r="D16886" s="5">
        <v>0.1</v>
      </c>
      <c r="E16886" s="5">
        <v>119.7</v>
      </c>
      <c r="F16886" s="5">
        <v>237.5</v>
      </c>
      <c r="G16886" s="5">
        <v>118.1</v>
      </c>
      <c r="H16886" s="5">
        <v>117.9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119.6</v>
      </c>
      <c r="D16887" s="5">
        <v>0.1</v>
      </c>
      <c r="E16887" s="5">
        <v>119.7</v>
      </c>
      <c r="F16887" s="5">
        <v>237.5</v>
      </c>
      <c r="G16887" s="5">
        <v>118.1</v>
      </c>
      <c r="H16887" s="5">
        <v>117.9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119.5</v>
      </c>
      <c r="D16888" s="5">
        <v>0.1</v>
      </c>
      <c r="E16888" s="5">
        <v>119.7</v>
      </c>
      <c r="F16888" s="5">
        <v>237.6</v>
      </c>
      <c r="G16888" s="5">
        <v>118.2</v>
      </c>
      <c r="H16888" s="5">
        <v>118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119.5</v>
      </c>
      <c r="D16889" s="5">
        <v>0.1</v>
      </c>
      <c r="E16889" s="5">
        <v>119.7</v>
      </c>
      <c r="F16889" s="5">
        <v>237.6</v>
      </c>
      <c r="G16889" s="5">
        <v>118.2</v>
      </c>
      <c r="H16889" s="5">
        <v>118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119.5</v>
      </c>
      <c r="D16890" s="5">
        <v>0.1</v>
      </c>
      <c r="E16890" s="5">
        <v>119.6</v>
      </c>
      <c r="F16890" s="5">
        <v>237.9</v>
      </c>
      <c r="G16890" s="5">
        <v>118.3</v>
      </c>
      <c r="H16890" s="5">
        <v>118.1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119.5</v>
      </c>
      <c r="D16891" s="5">
        <v>0.1</v>
      </c>
      <c r="E16891" s="5">
        <v>119.6</v>
      </c>
      <c r="F16891" s="5">
        <v>237.9</v>
      </c>
      <c r="G16891" s="5">
        <v>118.3</v>
      </c>
      <c r="H16891" s="5">
        <v>118.1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119.5</v>
      </c>
      <c r="D16892" s="5">
        <v>0.1</v>
      </c>
      <c r="E16892" s="5">
        <v>119.6</v>
      </c>
      <c r="F16892" s="5">
        <v>237.9</v>
      </c>
      <c r="G16892" s="5">
        <v>118.3</v>
      </c>
      <c r="H16892" s="5">
        <v>118.1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119.5</v>
      </c>
      <c r="D16893" s="5">
        <v>0.1</v>
      </c>
      <c r="E16893" s="5">
        <v>119.6</v>
      </c>
      <c r="F16893" s="5">
        <v>237.9</v>
      </c>
      <c r="G16893" s="5">
        <v>118.3</v>
      </c>
      <c r="H16893" s="5">
        <v>118.1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119.5</v>
      </c>
      <c r="D16894" s="5">
        <v>0.1</v>
      </c>
      <c r="E16894" s="5">
        <v>119.6</v>
      </c>
      <c r="F16894" s="5">
        <v>236.8</v>
      </c>
      <c r="G16894" s="5">
        <v>117.7</v>
      </c>
      <c r="H16894" s="5">
        <v>117.6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119</v>
      </c>
      <c r="D16895" s="5">
        <v>0.1</v>
      </c>
      <c r="E16895" s="5">
        <v>119.2</v>
      </c>
      <c r="F16895" s="5">
        <v>236.8</v>
      </c>
      <c r="G16895" s="5">
        <v>117.7</v>
      </c>
      <c r="H16895" s="5">
        <v>117.6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119</v>
      </c>
      <c r="D16896" s="5">
        <v>0.1</v>
      </c>
      <c r="E16896" s="5">
        <v>119.2</v>
      </c>
      <c r="F16896" s="5">
        <v>236.8</v>
      </c>
      <c r="G16896" s="5">
        <v>117.7</v>
      </c>
      <c r="H16896" s="5">
        <v>117.6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119</v>
      </c>
      <c r="D16897" s="5">
        <v>0.1</v>
      </c>
      <c r="E16897" s="5">
        <v>119.2</v>
      </c>
      <c r="F16897" s="5">
        <v>236.8</v>
      </c>
      <c r="G16897" s="5">
        <v>117.7</v>
      </c>
      <c r="H16897" s="5">
        <v>117.6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123.2</v>
      </c>
      <c r="D16898" s="5">
        <v>0.1</v>
      </c>
      <c r="E16898" s="5">
        <v>123.4</v>
      </c>
      <c r="F16898" s="5">
        <v>245.5</v>
      </c>
      <c r="G16898" s="5">
        <v>122.1</v>
      </c>
      <c r="H16898" s="5">
        <v>122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123.2</v>
      </c>
      <c r="D16899" s="5">
        <v>0.1</v>
      </c>
      <c r="E16899" s="5">
        <v>123.4</v>
      </c>
      <c r="F16899" s="5">
        <v>245.5</v>
      </c>
      <c r="G16899" s="5">
        <v>122.1</v>
      </c>
      <c r="H16899" s="5">
        <v>122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123.6</v>
      </c>
      <c r="D16900" s="5">
        <v>0.1</v>
      </c>
      <c r="E16900" s="5">
        <v>123.7</v>
      </c>
      <c r="F16900" s="5">
        <v>245.9</v>
      </c>
      <c r="G16900" s="5">
        <v>122.3</v>
      </c>
      <c r="H16900" s="5">
        <v>122.1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123.6</v>
      </c>
      <c r="D16901" s="5">
        <v>0.1</v>
      </c>
      <c r="E16901" s="5">
        <v>123.7</v>
      </c>
      <c r="F16901" s="5">
        <v>245.9</v>
      </c>
      <c r="G16901" s="5">
        <v>122.3</v>
      </c>
      <c r="H16901" s="5">
        <v>122.1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123.4</v>
      </c>
      <c r="D16902" s="5">
        <v>0.1</v>
      </c>
      <c r="E16902" s="5">
        <v>123.5</v>
      </c>
      <c r="F16902" s="5">
        <v>245.6</v>
      </c>
      <c r="G16902" s="5">
        <v>122.1</v>
      </c>
      <c r="H16902" s="5">
        <v>121.9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123.4</v>
      </c>
      <c r="D16903" s="5">
        <v>0.1</v>
      </c>
      <c r="E16903" s="5">
        <v>123.5</v>
      </c>
      <c r="F16903" s="5">
        <v>245.6</v>
      </c>
      <c r="G16903" s="5">
        <v>122.1</v>
      </c>
      <c r="H16903" s="5">
        <v>121.9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123.7</v>
      </c>
      <c r="D16904" s="5">
        <v>0.1</v>
      </c>
      <c r="E16904" s="5">
        <v>123.9</v>
      </c>
      <c r="F16904" s="5">
        <v>246</v>
      </c>
      <c r="G16904" s="5">
        <v>122.3</v>
      </c>
      <c r="H16904" s="5">
        <v>122.1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123.7</v>
      </c>
      <c r="D16905" s="5">
        <v>0.1</v>
      </c>
      <c r="E16905" s="5">
        <v>123.9</v>
      </c>
      <c r="F16905" s="5">
        <v>246</v>
      </c>
      <c r="G16905" s="5">
        <v>122.3</v>
      </c>
      <c r="H16905" s="5">
        <v>122.1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123.7</v>
      </c>
      <c r="D16906" s="5">
        <v>0.1</v>
      </c>
      <c r="E16906" s="5">
        <v>123.9</v>
      </c>
      <c r="F16906" s="5">
        <v>246</v>
      </c>
      <c r="G16906" s="5">
        <v>122.3</v>
      </c>
      <c r="H16906" s="5">
        <v>122.1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123.7</v>
      </c>
      <c r="D16907" s="5">
        <v>0.1</v>
      </c>
      <c r="E16907" s="5">
        <v>123.9</v>
      </c>
      <c r="F16907" s="5">
        <v>246</v>
      </c>
      <c r="G16907" s="5">
        <v>122.3</v>
      </c>
      <c r="H16907" s="5">
        <v>122.1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123.8</v>
      </c>
      <c r="D16908" s="5">
        <v>0.1</v>
      </c>
      <c r="E16908" s="5">
        <v>124</v>
      </c>
      <c r="F16908" s="5">
        <v>246.1</v>
      </c>
      <c r="G16908" s="5">
        <v>122.4</v>
      </c>
      <c r="H16908" s="5">
        <v>122.3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123.8</v>
      </c>
      <c r="D16909" s="5">
        <v>0.1</v>
      </c>
      <c r="E16909" s="5">
        <v>124</v>
      </c>
      <c r="F16909" s="5">
        <v>246.1</v>
      </c>
      <c r="G16909" s="5">
        <v>122.4</v>
      </c>
      <c r="H16909" s="5">
        <v>122.3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123.7</v>
      </c>
      <c r="D16910" s="5">
        <v>0.1</v>
      </c>
      <c r="E16910" s="5">
        <v>124</v>
      </c>
      <c r="F16910" s="5">
        <v>246.4</v>
      </c>
      <c r="G16910" s="5">
        <v>122.5</v>
      </c>
      <c r="H16910" s="5">
        <v>122.3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123.7</v>
      </c>
      <c r="D16911" s="5">
        <v>0.1</v>
      </c>
      <c r="E16911" s="5">
        <v>124</v>
      </c>
      <c r="F16911" s="5">
        <v>246.4</v>
      </c>
      <c r="G16911" s="5">
        <v>122.5</v>
      </c>
      <c r="H16911" s="5">
        <v>122.3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123.6</v>
      </c>
      <c r="D16912" s="5">
        <v>0.1</v>
      </c>
      <c r="E16912" s="5">
        <v>123.8</v>
      </c>
      <c r="F16912" s="5">
        <v>246.2</v>
      </c>
      <c r="G16912" s="5">
        <v>122.4</v>
      </c>
      <c r="H16912" s="5">
        <v>122.2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123.6</v>
      </c>
      <c r="D16913" s="5">
        <v>0.1</v>
      </c>
      <c r="E16913" s="5">
        <v>123.8</v>
      </c>
      <c r="F16913" s="5">
        <v>246.2</v>
      </c>
      <c r="G16913" s="5">
        <v>122.4</v>
      </c>
      <c r="H16913" s="5">
        <v>122.2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123.6</v>
      </c>
      <c r="D16914" s="5">
        <v>0.1</v>
      </c>
      <c r="E16914" s="5">
        <v>123.8</v>
      </c>
      <c r="F16914" s="5">
        <v>246.4</v>
      </c>
      <c r="G16914" s="5">
        <v>122.5</v>
      </c>
      <c r="H16914" s="5">
        <v>122.4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123.6</v>
      </c>
      <c r="D16915" s="5">
        <v>0.1</v>
      </c>
      <c r="E16915" s="5">
        <v>123.8</v>
      </c>
      <c r="F16915" s="5">
        <v>246.4</v>
      </c>
      <c r="G16915" s="5">
        <v>122.5</v>
      </c>
      <c r="H16915" s="5">
        <v>122.4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123.6</v>
      </c>
      <c r="D16916" s="5">
        <v>0.1</v>
      </c>
      <c r="E16916" s="5">
        <v>123.8</v>
      </c>
      <c r="F16916" s="5">
        <v>246.4</v>
      </c>
      <c r="G16916" s="5">
        <v>122.5</v>
      </c>
      <c r="H16916" s="5">
        <v>122.4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123.6</v>
      </c>
      <c r="D16917" s="5">
        <v>0.1</v>
      </c>
      <c r="E16917" s="5">
        <v>123.8</v>
      </c>
      <c r="F16917" s="5">
        <v>246.4</v>
      </c>
      <c r="G16917" s="5">
        <v>122.5</v>
      </c>
      <c r="H16917" s="5">
        <v>122.4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123.6</v>
      </c>
      <c r="D16918" s="5">
        <v>0.1</v>
      </c>
      <c r="E16918" s="5">
        <v>123.7</v>
      </c>
      <c r="F16918" s="5">
        <v>245.9</v>
      </c>
      <c r="G16918" s="5">
        <v>122.3</v>
      </c>
      <c r="H16918" s="5">
        <v>122.1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123.6</v>
      </c>
      <c r="D16919" s="5">
        <v>0.1</v>
      </c>
      <c r="E16919" s="5">
        <v>123.7</v>
      </c>
      <c r="F16919" s="5">
        <v>245.9</v>
      </c>
      <c r="G16919" s="5">
        <v>122.3</v>
      </c>
      <c r="H16919" s="5">
        <v>122.1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123.7</v>
      </c>
      <c r="D16920" s="5">
        <v>0.1</v>
      </c>
      <c r="E16920" s="5">
        <v>123.8</v>
      </c>
      <c r="F16920" s="5">
        <v>246.1</v>
      </c>
      <c r="G16920" s="5">
        <v>122.4</v>
      </c>
      <c r="H16920" s="5">
        <v>122.2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123.7</v>
      </c>
      <c r="D16921" s="5">
        <v>0.1</v>
      </c>
      <c r="E16921" s="5">
        <v>123.8</v>
      </c>
      <c r="F16921" s="5">
        <v>246.1</v>
      </c>
      <c r="G16921" s="5">
        <v>122.4</v>
      </c>
      <c r="H16921" s="5">
        <v>122.2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123.7</v>
      </c>
      <c r="D16922" s="5">
        <v>0.1</v>
      </c>
      <c r="E16922" s="5">
        <v>123.7</v>
      </c>
      <c r="F16922" s="5">
        <v>245.8</v>
      </c>
      <c r="G16922" s="5">
        <v>122.3</v>
      </c>
      <c r="H16922" s="5">
        <v>122.1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123.5</v>
      </c>
      <c r="D16923" s="5">
        <v>0.1</v>
      </c>
      <c r="E16923" s="5">
        <v>123.7</v>
      </c>
      <c r="F16923" s="5">
        <v>245.8</v>
      </c>
      <c r="G16923" s="5">
        <v>122.3</v>
      </c>
      <c r="H16923" s="5">
        <v>122.1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123.5</v>
      </c>
      <c r="D16924" s="5">
        <v>0.1</v>
      </c>
      <c r="E16924" s="5">
        <v>123.7</v>
      </c>
      <c r="F16924" s="5">
        <v>245.5</v>
      </c>
      <c r="G16924" s="5">
        <v>122.1</v>
      </c>
      <c r="H16924" s="5">
        <v>121.9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123.2</v>
      </c>
      <c r="D16925" s="5">
        <v>0.1</v>
      </c>
      <c r="E16925" s="5">
        <v>123.4</v>
      </c>
      <c r="F16925" s="5">
        <v>245.5</v>
      </c>
      <c r="G16925" s="5">
        <v>122.1</v>
      </c>
      <c r="H16925" s="5">
        <v>121.9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123.2</v>
      </c>
      <c r="D16926" s="5">
        <v>0.1</v>
      </c>
      <c r="E16926" s="5">
        <v>123.4</v>
      </c>
      <c r="F16926" s="5">
        <v>245.5</v>
      </c>
      <c r="G16926" s="5">
        <v>122.1</v>
      </c>
      <c r="H16926" s="5">
        <v>121.9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123.2</v>
      </c>
      <c r="D16927" s="5">
        <v>0.1</v>
      </c>
      <c r="E16927" s="5">
        <v>123.4</v>
      </c>
      <c r="F16927" s="5">
        <v>245.5</v>
      </c>
      <c r="G16927" s="5">
        <v>122.1</v>
      </c>
      <c r="H16927" s="5">
        <v>121.9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123.4</v>
      </c>
      <c r="D16928" s="5">
        <v>0.1</v>
      </c>
      <c r="E16928" s="5">
        <v>123.6</v>
      </c>
      <c r="F16928" s="5">
        <v>245.7</v>
      </c>
      <c r="G16928" s="5">
        <v>122.1</v>
      </c>
      <c r="H16928" s="5">
        <v>122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123.4</v>
      </c>
      <c r="D16929" s="5">
        <v>0.1</v>
      </c>
      <c r="E16929" s="5">
        <v>123.6</v>
      </c>
      <c r="F16929" s="5">
        <v>245.7</v>
      </c>
      <c r="G16929" s="5">
        <v>122.1</v>
      </c>
      <c r="H16929" s="5">
        <v>122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123.4</v>
      </c>
      <c r="D16930" s="5">
        <v>0.1</v>
      </c>
      <c r="E16930" s="5">
        <v>123.6</v>
      </c>
      <c r="F16930" s="5">
        <v>245.7</v>
      </c>
      <c r="G16930" s="5">
        <v>122.2</v>
      </c>
      <c r="H16930" s="5">
        <v>122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123.4</v>
      </c>
      <c r="D16931" s="5">
        <v>0.1</v>
      </c>
      <c r="E16931" s="5">
        <v>123.6</v>
      </c>
      <c r="F16931" s="5">
        <v>245.7</v>
      </c>
      <c r="G16931" s="5">
        <v>122.2</v>
      </c>
      <c r="H16931" s="5">
        <v>122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123.4</v>
      </c>
      <c r="D16932" s="5">
        <v>0.1</v>
      </c>
      <c r="E16932" s="5">
        <v>123.5</v>
      </c>
      <c r="F16932" s="5">
        <v>245.9</v>
      </c>
      <c r="G16932" s="5">
        <v>122.3</v>
      </c>
      <c r="H16932" s="5">
        <v>122.1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123.4</v>
      </c>
      <c r="D16933" s="5">
        <v>0.1</v>
      </c>
      <c r="E16933" s="5">
        <v>123.5</v>
      </c>
      <c r="F16933" s="5">
        <v>245.9</v>
      </c>
      <c r="G16933" s="5">
        <v>122.3</v>
      </c>
      <c r="H16933" s="5">
        <v>122.1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123.3</v>
      </c>
      <c r="D16934" s="5">
        <v>0.1</v>
      </c>
      <c r="E16934" s="5">
        <v>123.4</v>
      </c>
      <c r="F16934" s="5">
        <v>245.5</v>
      </c>
      <c r="G16934" s="5">
        <v>122.1</v>
      </c>
      <c r="H16934" s="5">
        <v>121.9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123.3</v>
      </c>
      <c r="D16935" s="5">
        <v>0.1</v>
      </c>
      <c r="E16935" s="5">
        <v>123.4</v>
      </c>
      <c r="F16935" s="5">
        <v>245.5</v>
      </c>
      <c r="G16935" s="5">
        <v>122.1</v>
      </c>
      <c r="H16935" s="5">
        <v>121.9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123.3</v>
      </c>
      <c r="D16936" s="5">
        <v>0.1</v>
      </c>
      <c r="E16936" s="5">
        <v>123.4</v>
      </c>
      <c r="F16936" s="5">
        <v>245.5</v>
      </c>
      <c r="G16936" s="5">
        <v>122.1</v>
      </c>
      <c r="H16936" s="5">
        <v>121.9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123.3</v>
      </c>
      <c r="D16937" s="5">
        <v>0.1</v>
      </c>
      <c r="E16937" s="5">
        <v>123.4</v>
      </c>
      <c r="F16937" s="5">
        <v>245.5</v>
      </c>
      <c r="G16937" s="5">
        <v>122.1</v>
      </c>
      <c r="H16937" s="5">
        <v>121.9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123.5</v>
      </c>
      <c r="D16938" s="5">
        <v>0.1</v>
      </c>
      <c r="E16938" s="5">
        <v>123.7</v>
      </c>
      <c r="F16938" s="5">
        <v>245.7</v>
      </c>
      <c r="G16938" s="5">
        <v>122.2</v>
      </c>
      <c r="H16938" s="5">
        <v>122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123.5</v>
      </c>
      <c r="D16939" s="5">
        <v>0.1</v>
      </c>
      <c r="E16939" s="5">
        <v>123.7</v>
      </c>
      <c r="F16939" s="5">
        <v>245.7</v>
      </c>
      <c r="G16939" s="5">
        <v>122.2</v>
      </c>
      <c r="H16939" s="5">
        <v>122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123.5</v>
      </c>
      <c r="D16940" s="5">
        <v>0.1</v>
      </c>
      <c r="E16940" s="5">
        <v>123.7</v>
      </c>
      <c r="F16940" s="5">
        <v>245.7</v>
      </c>
      <c r="G16940" s="5">
        <v>122.2</v>
      </c>
      <c r="H16940" s="5">
        <v>122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123.5</v>
      </c>
      <c r="D16941" s="5">
        <v>0.1</v>
      </c>
      <c r="E16941" s="5">
        <v>123.7</v>
      </c>
      <c r="F16941" s="5">
        <v>245.7</v>
      </c>
      <c r="G16941" s="5">
        <v>122.2</v>
      </c>
      <c r="H16941" s="5">
        <v>122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122.9</v>
      </c>
      <c r="D16942" s="5">
        <v>0.1</v>
      </c>
      <c r="E16942" s="5">
        <v>123.1</v>
      </c>
      <c r="F16942" s="5">
        <v>245</v>
      </c>
      <c r="G16942" s="5">
        <v>121.8</v>
      </c>
      <c r="H16942" s="5">
        <v>121.7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122.9</v>
      </c>
      <c r="D16943" s="5">
        <v>0.1</v>
      </c>
      <c r="E16943" s="5">
        <v>123.1</v>
      </c>
      <c r="F16943" s="5">
        <v>245</v>
      </c>
      <c r="G16943" s="5">
        <v>121.8</v>
      </c>
      <c r="H16943" s="5">
        <v>121.7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122.9</v>
      </c>
      <c r="D16944" s="5">
        <v>0.1</v>
      </c>
      <c r="E16944" s="5">
        <v>123.1</v>
      </c>
      <c r="F16944" s="5">
        <v>244.7</v>
      </c>
      <c r="G16944" s="5">
        <v>121.7</v>
      </c>
      <c r="H16944" s="5">
        <v>121.5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122.9</v>
      </c>
      <c r="D16945" s="5">
        <v>0.1</v>
      </c>
      <c r="E16945" s="5">
        <v>123.1</v>
      </c>
      <c r="F16945" s="5">
        <v>244.7</v>
      </c>
      <c r="G16945" s="5">
        <v>121.7</v>
      </c>
      <c r="H16945" s="5">
        <v>121.5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122.9</v>
      </c>
      <c r="D16946" s="5">
        <v>0.1</v>
      </c>
      <c r="E16946" s="5">
        <v>123.1</v>
      </c>
      <c r="F16946" s="5">
        <v>244.7</v>
      </c>
      <c r="G16946" s="5">
        <v>121.7</v>
      </c>
      <c r="H16946" s="5">
        <v>121.5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122.9</v>
      </c>
      <c r="D16947" s="5">
        <v>0.1</v>
      </c>
      <c r="E16947" s="5">
        <v>123.1</v>
      </c>
      <c r="F16947" s="5">
        <v>244.7</v>
      </c>
      <c r="G16947" s="5">
        <v>121.7</v>
      </c>
      <c r="H16947" s="5">
        <v>121.5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123.3</v>
      </c>
      <c r="D16948" s="5">
        <v>0.1</v>
      </c>
      <c r="E16948" s="5">
        <v>123.4</v>
      </c>
      <c r="F16948" s="5">
        <v>245</v>
      </c>
      <c r="G16948" s="5">
        <v>121.8</v>
      </c>
      <c r="H16948" s="5">
        <v>121.7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123.3</v>
      </c>
      <c r="D16949" s="5">
        <v>0.1</v>
      </c>
      <c r="E16949" s="5">
        <v>123.4</v>
      </c>
      <c r="F16949" s="5">
        <v>245</v>
      </c>
      <c r="G16949" s="5">
        <v>121.8</v>
      </c>
      <c r="H16949" s="5">
        <v>121.7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122.4</v>
      </c>
      <c r="D16950" s="5">
        <v>0.1</v>
      </c>
      <c r="E16950" s="5">
        <v>122.6</v>
      </c>
      <c r="F16950" s="5">
        <v>243.5</v>
      </c>
      <c r="G16950" s="5">
        <v>121</v>
      </c>
      <c r="H16950" s="5">
        <v>120.9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122.4</v>
      </c>
      <c r="D16951" s="5">
        <v>0.1</v>
      </c>
      <c r="E16951" s="5">
        <v>122.6</v>
      </c>
      <c r="F16951" s="5">
        <v>243.5</v>
      </c>
      <c r="G16951" s="5">
        <v>121</v>
      </c>
      <c r="H16951" s="5">
        <v>120.9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122.5</v>
      </c>
      <c r="D16952" s="5">
        <v>0.1</v>
      </c>
      <c r="E16952" s="5">
        <v>122.7</v>
      </c>
      <c r="F16952" s="5">
        <v>243.7</v>
      </c>
      <c r="G16952" s="5">
        <v>121.2</v>
      </c>
      <c r="H16952" s="5">
        <v>121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122.5</v>
      </c>
      <c r="D16953" s="5">
        <v>0.1</v>
      </c>
      <c r="E16953" s="5">
        <v>122.7</v>
      </c>
      <c r="F16953" s="5">
        <v>243.7</v>
      </c>
      <c r="G16953" s="5">
        <v>121.2</v>
      </c>
      <c r="H16953" s="5">
        <v>121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123</v>
      </c>
      <c r="D16954" s="5">
        <v>0.1</v>
      </c>
      <c r="E16954" s="5">
        <v>123.1</v>
      </c>
      <c r="F16954" s="5">
        <v>243.6</v>
      </c>
      <c r="G16954" s="5">
        <v>120.7</v>
      </c>
      <c r="H16954" s="5">
        <v>120.5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123</v>
      </c>
      <c r="D16955" s="5">
        <v>0.1</v>
      </c>
      <c r="E16955" s="5">
        <v>123.1</v>
      </c>
      <c r="F16955" s="5">
        <v>243.6</v>
      </c>
      <c r="G16955" s="5">
        <v>120.7</v>
      </c>
      <c r="H16955" s="5">
        <v>120.5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123</v>
      </c>
      <c r="D16956" s="5">
        <v>0.1</v>
      </c>
      <c r="E16956" s="5">
        <v>123.1</v>
      </c>
      <c r="F16956" s="5">
        <v>243.6</v>
      </c>
      <c r="G16956" s="5">
        <v>120.7</v>
      </c>
      <c r="H16956" s="5">
        <v>120.5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123</v>
      </c>
      <c r="D16957" s="5">
        <v>0.1</v>
      </c>
      <c r="E16957" s="5">
        <v>123.1</v>
      </c>
      <c r="F16957" s="5">
        <v>243.6</v>
      </c>
      <c r="G16957" s="5">
        <v>120.7</v>
      </c>
      <c r="H16957" s="5">
        <v>120.5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122.9</v>
      </c>
      <c r="D16958" s="5">
        <v>0.1</v>
      </c>
      <c r="E16958" s="5">
        <v>123.1</v>
      </c>
      <c r="F16958" s="5">
        <v>244.1</v>
      </c>
      <c r="G16958" s="5">
        <v>121</v>
      </c>
      <c r="H16958" s="5">
        <v>120.8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122.9</v>
      </c>
      <c r="D16959" s="5">
        <v>0.1</v>
      </c>
      <c r="E16959" s="5">
        <v>123.1</v>
      </c>
      <c r="F16959" s="5">
        <v>244.1</v>
      </c>
      <c r="G16959" s="5">
        <v>121</v>
      </c>
      <c r="H16959" s="5">
        <v>120.8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123</v>
      </c>
      <c r="D16960" s="5">
        <v>0.1</v>
      </c>
      <c r="E16960" s="5">
        <v>123.1</v>
      </c>
      <c r="F16960" s="5">
        <v>244</v>
      </c>
      <c r="G16960" s="5">
        <v>121</v>
      </c>
      <c r="H16960" s="5">
        <v>120.8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123</v>
      </c>
      <c r="D16961" s="5">
        <v>0.1</v>
      </c>
      <c r="E16961" s="5">
        <v>123.1</v>
      </c>
      <c r="F16961" s="5">
        <v>244</v>
      </c>
      <c r="G16961" s="5">
        <v>121</v>
      </c>
      <c r="H16961" s="5">
        <v>120.8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122.7</v>
      </c>
      <c r="D16962" s="5">
        <v>0.1</v>
      </c>
      <c r="E16962" s="5">
        <v>122.9</v>
      </c>
      <c r="F16962" s="5">
        <v>243.8</v>
      </c>
      <c r="G16962" s="5">
        <v>120.9</v>
      </c>
      <c r="H16962" s="5">
        <v>120.8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122.7</v>
      </c>
      <c r="D16963" s="5">
        <v>0.1</v>
      </c>
      <c r="E16963" s="5">
        <v>122.9</v>
      </c>
      <c r="F16963" s="5">
        <v>243.8</v>
      </c>
      <c r="G16963" s="5">
        <v>120.9</v>
      </c>
      <c r="H16963" s="5">
        <v>120.8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123.1</v>
      </c>
      <c r="D16964" s="5">
        <v>0.1</v>
      </c>
      <c r="E16964" s="5">
        <v>123.2</v>
      </c>
      <c r="F16964" s="5">
        <v>244.1</v>
      </c>
      <c r="G16964" s="5">
        <v>121.1</v>
      </c>
      <c r="H16964" s="5">
        <v>121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123.1</v>
      </c>
      <c r="D16965" s="5">
        <v>0.1</v>
      </c>
      <c r="E16965" s="5">
        <v>123.2</v>
      </c>
      <c r="F16965" s="5">
        <v>244.1</v>
      </c>
      <c r="G16965" s="5">
        <v>121.1</v>
      </c>
      <c r="H16965" s="5">
        <v>121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123.1</v>
      </c>
      <c r="D16966" s="5">
        <v>0.1</v>
      </c>
      <c r="E16966" s="5">
        <v>123.2</v>
      </c>
      <c r="F16966" s="5">
        <v>244.1</v>
      </c>
      <c r="G16966" s="5">
        <v>121.1</v>
      </c>
      <c r="H16966" s="5">
        <v>121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123.1</v>
      </c>
      <c r="D16967" s="5">
        <v>0.1</v>
      </c>
      <c r="E16967" s="5">
        <v>123.2</v>
      </c>
      <c r="F16967" s="5">
        <v>244.1</v>
      </c>
      <c r="G16967" s="5">
        <v>121.1</v>
      </c>
      <c r="H16967" s="5">
        <v>121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122.7</v>
      </c>
      <c r="D16968" s="5">
        <v>0.1</v>
      </c>
      <c r="E16968" s="5">
        <v>122.8</v>
      </c>
      <c r="F16968" s="5">
        <v>243.8</v>
      </c>
      <c r="G16968" s="5">
        <v>121</v>
      </c>
      <c r="H16968" s="5">
        <v>120.8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122.7</v>
      </c>
      <c r="D16969" s="5">
        <v>0.1</v>
      </c>
      <c r="E16969" s="5">
        <v>122.8</v>
      </c>
      <c r="F16969" s="5">
        <v>243.8</v>
      </c>
      <c r="G16969" s="5">
        <v>121</v>
      </c>
      <c r="H16969" s="5">
        <v>120.8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122.6</v>
      </c>
      <c r="D16970" s="5">
        <v>0.1</v>
      </c>
      <c r="E16970" s="5">
        <v>122.8</v>
      </c>
      <c r="F16970" s="5">
        <v>243.7</v>
      </c>
      <c r="G16970" s="5">
        <v>120.9</v>
      </c>
      <c r="H16970" s="5">
        <v>120.7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122.6</v>
      </c>
      <c r="D16971" s="5">
        <v>0.1</v>
      </c>
      <c r="E16971" s="5">
        <v>122.8</v>
      </c>
      <c r="F16971" s="5">
        <v>243.7</v>
      </c>
      <c r="G16971" s="5">
        <v>120.9</v>
      </c>
      <c r="H16971" s="5">
        <v>120.7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122.7</v>
      </c>
      <c r="D16972" s="5">
        <v>0.1</v>
      </c>
      <c r="E16972" s="5">
        <v>122.8</v>
      </c>
      <c r="F16972" s="5">
        <v>244</v>
      </c>
      <c r="G16972" s="5">
        <v>121.1</v>
      </c>
      <c r="H16972" s="5">
        <v>120.8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122.7</v>
      </c>
      <c r="D16973" s="5">
        <v>0.1</v>
      </c>
      <c r="E16973" s="5">
        <v>122.8</v>
      </c>
      <c r="F16973" s="5">
        <v>244</v>
      </c>
      <c r="G16973" s="5">
        <v>121.1</v>
      </c>
      <c r="H16973" s="5">
        <v>120.8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122.5</v>
      </c>
      <c r="D16974" s="5">
        <v>0.1</v>
      </c>
      <c r="E16974" s="5">
        <v>122.7</v>
      </c>
      <c r="F16974" s="5">
        <v>244.1</v>
      </c>
      <c r="G16974" s="5">
        <v>121.4</v>
      </c>
      <c r="H16974" s="5">
        <v>121.3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122.5</v>
      </c>
      <c r="D16975" s="5">
        <v>0.1</v>
      </c>
      <c r="E16975" s="5">
        <v>122.7</v>
      </c>
      <c r="F16975" s="5">
        <v>244.1</v>
      </c>
      <c r="G16975" s="5">
        <v>121.4</v>
      </c>
      <c r="H16975" s="5">
        <v>121.3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122.5</v>
      </c>
      <c r="D16976" s="5">
        <v>0.1</v>
      </c>
      <c r="E16976" s="5">
        <v>122.7</v>
      </c>
      <c r="F16976" s="5">
        <v>244.1</v>
      </c>
      <c r="G16976" s="5">
        <v>121.4</v>
      </c>
      <c r="H16976" s="5">
        <v>121.3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122.5</v>
      </c>
      <c r="D16977" s="5">
        <v>0.1</v>
      </c>
      <c r="E16977" s="5">
        <v>122.7</v>
      </c>
      <c r="F16977" s="5">
        <v>244.1</v>
      </c>
      <c r="G16977" s="5">
        <v>121.4</v>
      </c>
      <c r="H16977" s="5">
        <v>121.3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122.6</v>
      </c>
      <c r="D16978" s="5">
        <v>0.1</v>
      </c>
      <c r="E16978" s="5">
        <v>122.8</v>
      </c>
      <c r="F16978" s="5">
        <v>244.2</v>
      </c>
      <c r="G16978" s="5">
        <v>121.4</v>
      </c>
      <c r="H16978" s="5">
        <v>121.3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122.6</v>
      </c>
      <c r="D16979" s="5">
        <v>0.1</v>
      </c>
      <c r="E16979" s="5">
        <v>122.8</v>
      </c>
      <c r="F16979" s="5">
        <v>244.2</v>
      </c>
      <c r="G16979" s="5">
        <v>121.4</v>
      </c>
      <c r="H16979" s="5">
        <v>121.3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122.5</v>
      </c>
      <c r="D16980" s="5">
        <v>0.1</v>
      </c>
      <c r="E16980" s="5">
        <v>122.7</v>
      </c>
      <c r="F16980" s="5">
        <v>243.9</v>
      </c>
      <c r="G16980" s="5">
        <v>121.3</v>
      </c>
      <c r="H16980" s="5">
        <v>121.1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122.5</v>
      </c>
      <c r="D16981" s="5">
        <v>0.1</v>
      </c>
      <c r="E16981" s="5">
        <v>122.7</v>
      </c>
      <c r="F16981" s="5">
        <v>243.9</v>
      </c>
      <c r="G16981" s="5">
        <v>121.3</v>
      </c>
      <c r="H16981" s="5">
        <v>121.1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122.9</v>
      </c>
      <c r="D16982" s="5">
        <v>0.1</v>
      </c>
      <c r="E16982" s="5">
        <v>123.1</v>
      </c>
      <c r="F16982" s="5">
        <v>244.6</v>
      </c>
      <c r="G16982" s="5">
        <v>121.7</v>
      </c>
      <c r="H16982" s="5">
        <v>121.6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122.9</v>
      </c>
      <c r="D16983" s="5">
        <v>0.1</v>
      </c>
      <c r="E16983" s="5">
        <v>123.1</v>
      </c>
      <c r="F16983" s="5">
        <v>244.6</v>
      </c>
      <c r="G16983" s="5">
        <v>121.7</v>
      </c>
      <c r="H16983" s="5">
        <v>121.6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123.5</v>
      </c>
      <c r="D16984" s="5">
        <v>0.1</v>
      </c>
      <c r="E16984" s="5">
        <v>123.7</v>
      </c>
      <c r="F16984" s="5">
        <v>246</v>
      </c>
      <c r="G16984" s="5">
        <v>122.4</v>
      </c>
      <c r="H16984" s="5">
        <v>122.2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123.5</v>
      </c>
      <c r="D16985" s="5">
        <v>0.1</v>
      </c>
      <c r="E16985" s="5">
        <v>123.7</v>
      </c>
      <c r="F16985" s="5">
        <v>246</v>
      </c>
      <c r="G16985" s="5">
        <v>122.4</v>
      </c>
      <c r="H16985" s="5">
        <v>122.2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123.5</v>
      </c>
      <c r="D16986" s="5">
        <v>0.1</v>
      </c>
      <c r="E16986" s="5">
        <v>123.7</v>
      </c>
      <c r="F16986" s="5">
        <v>246</v>
      </c>
      <c r="G16986" s="5">
        <v>122.4</v>
      </c>
      <c r="H16986" s="5">
        <v>122.2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123.5</v>
      </c>
      <c r="D16987" s="5">
        <v>0.1</v>
      </c>
      <c r="E16987" s="5">
        <v>123.7</v>
      </c>
      <c r="F16987" s="5">
        <v>246</v>
      </c>
      <c r="G16987" s="5">
        <v>122.4</v>
      </c>
      <c r="H16987" s="5">
        <v>122.2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123.4</v>
      </c>
      <c r="D16988" s="5">
        <v>0.1</v>
      </c>
      <c r="E16988" s="5">
        <v>123.7</v>
      </c>
      <c r="F16988" s="5">
        <v>245.8</v>
      </c>
      <c r="G16988" s="5">
        <v>122.2</v>
      </c>
      <c r="H16988" s="5">
        <v>122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123.4</v>
      </c>
      <c r="D16989" s="5">
        <v>0.1</v>
      </c>
      <c r="E16989" s="5">
        <v>123.7</v>
      </c>
      <c r="F16989" s="5">
        <v>245.8</v>
      </c>
      <c r="G16989" s="5">
        <v>122.2</v>
      </c>
      <c r="H16989" s="5">
        <v>122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123.7</v>
      </c>
      <c r="D16990" s="5">
        <v>0.1</v>
      </c>
      <c r="E16990" s="5">
        <v>124</v>
      </c>
      <c r="F16990" s="5">
        <v>245.9</v>
      </c>
      <c r="G16990" s="5">
        <v>122.3</v>
      </c>
      <c r="H16990" s="5">
        <v>122.1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123.7</v>
      </c>
      <c r="D16991" s="5">
        <v>0.1</v>
      </c>
      <c r="E16991" s="5">
        <v>124</v>
      </c>
      <c r="F16991" s="5">
        <v>245.9</v>
      </c>
      <c r="G16991" s="5">
        <v>122.3</v>
      </c>
      <c r="H16991" s="5">
        <v>122.1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123</v>
      </c>
      <c r="D16992" s="5">
        <v>0.1</v>
      </c>
      <c r="E16992" s="5">
        <v>123.2</v>
      </c>
      <c r="F16992" s="5">
        <v>245.5</v>
      </c>
      <c r="G16992" s="5">
        <v>122.1</v>
      </c>
      <c r="H16992" s="5">
        <v>121.8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123</v>
      </c>
      <c r="D16993" s="5">
        <v>0.1</v>
      </c>
      <c r="E16993" s="5">
        <v>123.2</v>
      </c>
      <c r="F16993" s="5">
        <v>245.5</v>
      </c>
      <c r="G16993" s="5">
        <v>122.1</v>
      </c>
      <c r="H16993" s="5">
        <v>121.8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123.2</v>
      </c>
      <c r="D16994" s="5">
        <v>0.1</v>
      </c>
      <c r="E16994" s="5">
        <v>123.4</v>
      </c>
      <c r="F16994" s="5">
        <v>245.2</v>
      </c>
      <c r="G16994" s="5">
        <v>122</v>
      </c>
      <c r="H16994" s="5">
        <v>121.8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123.2</v>
      </c>
      <c r="D16995" s="5">
        <v>0.1</v>
      </c>
      <c r="E16995" s="5">
        <v>123.4</v>
      </c>
      <c r="F16995" s="5">
        <v>245.2</v>
      </c>
      <c r="G16995" s="5">
        <v>122</v>
      </c>
      <c r="H16995" s="5">
        <v>121.8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123.2</v>
      </c>
      <c r="D16996" s="5">
        <v>0.1</v>
      </c>
      <c r="E16996" s="5">
        <v>123.4</v>
      </c>
      <c r="F16996" s="5">
        <v>245.2</v>
      </c>
      <c r="G16996" s="5">
        <v>122</v>
      </c>
      <c r="H16996" s="5">
        <v>121.8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123.2</v>
      </c>
      <c r="D16997" s="5">
        <v>0.1</v>
      </c>
      <c r="E16997" s="5">
        <v>123.4</v>
      </c>
      <c r="F16997" s="5">
        <v>245.2</v>
      </c>
      <c r="G16997" s="5">
        <v>122</v>
      </c>
      <c r="H16997" s="5">
        <v>121.8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123.7</v>
      </c>
      <c r="D16998" s="5">
        <v>0.1</v>
      </c>
      <c r="E16998" s="5">
        <v>123.8</v>
      </c>
      <c r="F16998" s="5">
        <v>246</v>
      </c>
      <c r="G16998" s="5">
        <v>122.3</v>
      </c>
      <c r="H16998" s="5">
        <v>122.2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123.7</v>
      </c>
      <c r="D16999" s="5">
        <v>0.1</v>
      </c>
      <c r="E16999" s="5">
        <v>123.8</v>
      </c>
      <c r="F16999" s="5">
        <v>246</v>
      </c>
      <c r="G16999" s="5">
        <v>122.3</v>
      </c>
      <c r="H16999" s="5">
        <v>122.2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123.8</v>
      </c>
      <c r="D17000" s="5">
        <v>0.1</v>
      </c>
      <c r="E17000" s="5">
        <v>124</v>
      </c>
      <c r="F17000" s="5">
        <v>246.4</v>
      </c>
      <c r="G17000" s="5">
        <v>122.5</v>
      </c>
      <c r="H17000" s="5">
        <v>122.3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123.8</v>
      </c>
      <c r="D17001" s="5">
        <v>0.1</v>
      </c>
      <c r="E17001" s="5">
        <v>124</v>
      </c>
      <c r="F17001" s="5">
        <v>246.4</v>
      </c>
      <c r="G17001" s="5">
        <v>122.5</v>
      </c>
      <c r="H17001" s="5">
        <v>122.3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123.9</v>
      </c>
      <c r="D17002" s="5">
        <v>0.1</v>
      </c>
      <c r="E17002" s="5">
        <v>124.1</v>
      </c>
      <c r="F17002" s="5">
        <v>246.3</v>
      </c>
      <c r="G17002" s="5">
        <v>122.5</v>
      </c>
      <c r="H17002" s="5">
        <v>122.3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123.9</v>
      </c>
      <c r="D17003" s="5">
        <v>0.1</v>
      </c>
      <c r="E17003" s="5">
        <v>124.1</v>
      </c>
      <c r="F17003" s="5">
        <v>246.3</v>
      </c>
      <c r="G17003" s="5">
        <v>122.5</v>
      </c>
      <c r="H17003" s="5">
        <v>122.3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123.2</v>
      </c>
      <c r="D17004" s="5">
        <v>0.1</v>
      </c>
      <c r="E17004" s="5">
        <v>123.4</v>
      </c>
      <c r="F17004" s="5">
        <v>245.8</v>
      </c>
      <c r="G17004" s="5">
        <v>122.2</v>
      </c>
      <c r="H17004" s="5">
        <v>122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123.2</v>
      </c>
      <c r="D17005" s="5">
        <v>0.1</v>
      </c>
      <c r="E17005" s="5">
        <v>123.4</v>
      </c>
      <c r="F17005" s="5">
        <v>245.8</v>
      </c>
      <c r="G17005" s="5">
        <v>122.2</v>
      </c>
      <c r="H17005" s="5">
        <v>122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123.2</v>
      </c>
      <c r="D17006" s="5">
        <v>0.1</v>
      </c>
      <c r="E17006" s="5">
        <v>123.4</v>
      </c>
      <c r="F17006" s="5">
        <v>245.8</v>
      </c>
      <c r="G17006" s="5">
        <v>122.2</v>
      </c>
      <c r="H17006" s="5">
        <v>122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123.2</v>
      </c>
      <c r="D17007" s="5">
        <v>0.1</v>
      </c>
      <c r="E17007" s="5">
        <v>123.9</v>
      </c>
      <c r="F17007" s="5">
        <v>245.7</v>
      </c>
      <c r="G17007" s="5">
        <v>122.2</v>
      </c>
      <c r="H17007" s="5">
        <v>122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123.7</v>
      </c>
      <c r="D17008" s="5">
        <v>0.1</v>
      </c>
      <c r="E17008" s="5">
        <v>123.9</v>
      </c>
      <c r="F17008" s="5">
        <v>245.7</v>
      </c>
      <c r="G17008" s="5">
        <v>122.2</v>
      </c>
      <c r="H17008" s="5">
        <v>122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123.7</v>
      </c>
      <c r="D17009" s="5">
        <v>0.1</v>
      </c>
      <c r="E17009" s="5">
        <v>123.9</v>
      </c>
      <c r="F17009" s="5">
        <v>245.7</v>
      </c>
      <c r="G17009" s="5">
        <v>122.1</v>
      </c>
      <c r="H17009" s="5">
        <v>121.9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123.4</v>
      </c>
      <c r="D17010" s="5">
        <v>0.1</v>
      </c>
      <c r="E17010" s="5">
        <v>123.5</v>
      </c>
      <c r="F17010" s="5">
        <v>245.4</v>
      </c>
      <c r="G17010" s="5">
        <v>122.1</v>
      </c>
      <c r="H17010" s="5">
        <v>121.9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123.4</v>
      </c>
      <c r="D17011" s="5">
        <v>0.1</v>
      </c>
      <c r="E17011" s="5">
        <v>123.5</v>
      </c>
      <c r="F17011" s="5">
        <v>245.4</v>
      </c>
      <c r="G17011" s="5">
        <v>122.1</v>
      </c>
      <c r="H17011" s="5">
        <v>121.9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123.6</v>
      </c>
      <c r="D17012" s="5">
        <v>0.1</v>
      </c>
      <c r="E17012" s="5">
        <v>123.7</v>
      </c>
      <c r="F17012" s="5">
        <v>245.5</v>
      </c>
      <c r="G17012" s="5">
        <v>122</v>
      </c>
      <c r="H17012" s="5">
        <v>121.9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123.6</v>
      </c>
      <c r="D17013" s="5">
        <v>0.1</v>
      </c>
      <c r="E17013" s="5">
        <v>123.7</v>
      </c>
      <c r="F17013" s="5">
        <v>245.5</v>
      </c>
      <c r="G17013" s="5">
        <v>122</v>
      </c>
      <c r="H17013" s="5">
        <v>121.8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123.5</v>
      </c>
      <c r="D17014" s="5">
        <v>0.1</v>
      </c>
      <c r="E17014" s="5">
        <v>123.7</v>
      </c>
      <c r="F17014" s="5">
        <v>245.5</v>
      </c>
      <c r="G17014" s="5">
        <v>122</v>
      </c>
      <c r="H17014" s="5">
        <v>121.8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123.5</v>
      </c>
      <c r="D17015" s="5">
        <v>0.1</v>
      </c>
      <c r="E17015" s="5">
        <v>123.7</v>
      </c>
      <c r="F17015" s="5">
        <v>245.5</v>
      </c>
      <c r="G17015" s="5">
        <v>122</v>
      </c>
      <c r="H17015" s="5">
        <v>121.8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123.5</v>
      </c>
      <c r="D17016" s="5">
        <v>0.1</v>
      </c>
      <c r="E17016" s="5">
        <v>123.7</v>
      </c>
      <c r="F17016" s="5">
        <v>245.5</v>
      </c>
      <c r="G17016" s="5">
        <v>122</v>
      </c>
      <c r="H17016" s="5">
        <v>121.8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122.8</v>
      </c>
      <c r="D17017" s="5">
        <v>0.1</v>
      </c>
      <c r="E17017" s="5">
        <v>123</v>
      </c>
      <c r="F17017" s="5">
        <v>245</v>
      </c>
      <c r="G17017" s="5">
        <v>121.9</v>
      </c>
      <c r="H17017" s="5">
        <v>121.8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122.8</v>
      </c>
      <c r="D17018" s="5">
        <v>0.1</v>
      </c>
      <c r="E17018" s="5">
        <v>123</v>
      </c>
      <c r="F17018" s="5">
        <v>245</v>
      </c>
      <c r="G17018" s="5">
        <v>121.9</v>
      </c>
      <c r="H17018" s="5">
        <v>121.7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123.4</v>
      </c>
      <c r="D17019" s="5">
        <v>0.1</v>
      </c>
      <c r="E17019" s="5">
        <v>123.6</v>
      </c>
      <c r="F17019" s="5">
        <v>245</v>
      </c>
      <c r="G17019" s="5">
        <v>121.9</v>
      </c>
      <c r="H17019" s="5">
        <v>121.7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123.4</v>
      </c>
      <c r="D17020" s="5">
        <v>0.1</v>
      </c>
      <c r="E17020" s="5">
        <v>123.6</v>
      </c>
      <c r="F17020" s="5">
        <v>245.4</v>
      </c>
      <c r="G17020" s="5">
        <v>122</v>
      </c>
      <c r="H17020" s="5">
        <v>121.9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123.4</v>
      </c>
      <c r="D17021" s="5">
        <v>0.1</v>
      </c>
      <c r="E17021" s="5">
        <v>123.6</v>
      </c>
      <c r="F17021" s="5">
        <v>245.4</v>
      </c>
      <c r="G17021" s="5">
        <v>122</v>
      </c>
      <c r="H17021" s="5">
        <v>121.9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123.4</v>
      </c>
      <c r="D17022" s="5">
        <v>0.1</v>
      </c>
      <c r="E17022" s="5">
        <v>123.5</v>
      </c>
      <c r="F17022" s="5">
        <v>245</v>
      </c>
      <c r="G17022" s="5">
        <v>121.8</v>
      </c>
      <c r="H17022" s="5">
        <v>121.6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123.5</v>
      </c>
      <c r="D17023" s="5">
        <v>0.1</v>
      </c>
      <c r="E17023" s="5">
        <v>123.5</v>
      </c>
      <c r="F17023" s="5">
        <v>245</v>
      </c>
      <c r="G17023" s="5">
        <v>121.8</v>
      </c>
      <c r="H17023" s="5">
        <v>121.6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123.5</v>
      </c>
      <c r="D17024" s="5">
        <v>0.1</v>
      </c>
      <c r="E17024" s="5">
        <v>123.7</v>
      </c>
      <c r="F17024" s="5">
        <v>245.4</v>
      </c>
      <c r="G17024" s="5">
        <v>122</v>
      </c>
      <c r="H17024" s="5">
        <v>121.9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123.5</v>
      </c>
      <c r="D17025" s="5">
        <v>0.1</v>
      </c>
      <c r="E17025" s="5">
        <v>123.7</v>
      </c>
      <c r="F17025" s="5">
        <v>245.4</v>
      </c>
      <c r="G17025" s="5">
        <v>122</v>
      </c>
      <c r="H17025" s="5">
        <v>121.9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123.5</v>
      </c>
      <c r="D17026" s="5">
        <v>0.1</v>
      </c>
      <c r="E17026" s="5">
        <v>123.7</v>
      </c>
      <c r="F17026" s="5">
        <v>245.4</v>
      </c>
      <c r="G17026" s="5">
        <v>122</v>
      </c>
      <c r="H17026" s="5">
        <v>121.9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123.5</v>
      </c>
      <c r="D17027" s="5">
        <v>0.1</v>
      </c>
      <c r="E17027" s="5">
        <v>123.7</v>
      </c>
      <c r="F17027" s="5">
        <v>245.4</v>
      </c>
      <c r="G17027" s="5">
        <v>122</v>
      </c>
      <c r="H17027" s="5">
        <v>121.9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123.1</v>
      </c>
      <c r="D17028" s="5">
        <v>0.1</v>
      </c>
      <c r="E17028" s="5">
        <v>123.3</v>
      </c>
      <c r="F17028" s="5">
        <v>245.4</v>
      </c>
      <c r="G17028" s="5">
        <v>122</v>
      </c>
      <c r="H17028" s="5">
        <v>121.9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123.1</v>
      </c>
      <c r="D17029" s="5">
        <v>0.1</v>
      </c>
      <c r="E17029" s="5">
        <v>123.3</v>
      </c>
      <c r="F17029" s="5">
        <v>245.4</v>
      </c>
      <c r="G17029" s="5">
        <v>122</v>
      </c>
      <c r="H17029" s="5">
        <v>121.9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123.6</v>
      </c>
      <c r="D17030" s="5">
        <v>0.1</v>
      </c>
      <c r="E17030" s="5">
        <v>123.7</v>
      </c>
      <c r="F17030" s="5">
        <v>245.4</v>
      </c>
      <c r="G17030" s="5">
        <v>122</v>
      </c>
      <c r="H17030" s="5">
        <v>121.9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123.6</v>
      </c>
      <c r="D17031" s="5">
        <v>0.1</v>
      </c>
      <c r="E17031" s="5">
        <v>123.7</v>
      </c>
      <c r="F17031" s="5">
        <v>245.4</v>
      </c>
      <c r="G17031" s="5">
        <v>122</v>
      </c>
      <c r="H17031" s="5">
        <v>121.9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123.4</v>
      </c>
      <c r="D17032" s="5">
        <v>0.1</v>
      </c>
      <c r="E17032" s="5">
        <v>123.6</v>
      </c>
      <c r="F17032" s="5">
        <v>245.6</v>
      </c>
      <c r="G17032" s="5">
        <v>122.1</v>
      </c>
      <c r="H17032" s="5">
        <v>121.9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123.4</v>
      </c>
      <c r="D17033" s="5">
        <v>0.1</v>
      </c>
      <c r="E17033" s="5">
        <v>123.6</v>
      </c>
      <c r="F17033" s="5">
        <v>245.6</v>
      </c>
      <c r="G17033" s="5">
        <v>122.1</v>
      </c>
      <c r="H17033" s="5">
        <v>121.9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123.1</v>
      </c>
      <c r="D17034" s="5">
        <v>0.1</v>
      </c>
      <c r="E17034" s="5">
        <v>123.3</v>
      </c>
      <c r="F17034" s="5">
        <v>245.2</v>
      </c>
      <c r="G17034" s="5">
        <v>121.9</v>
      </c>
      <c r="H17034" s="5">
        <v>121.8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123.1</v>
      </c>
      <c r="D17035" s="5">
        <v>0.1</v>
      </c>
      <c r="E17035" s="5">
        <v>123.3</v>
      </c>
      <c r="F17035" s="5">
        <v>245.2</v>
      </c>
      <c r="G17035" s="5">
        <v>121.9</v>
      </c>
      <c r="H17035" s="5">
        <v>121.8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123.1</v>
      </c>
      <c r="D17036" s="5">
        <v>0.1</v>
      </c>
      <c r="E17036" s="5">
        <v>123.3</v>
      </c>
      <c r="F17036" s="5">
        <v>245.2</v>
      </c>
      <c r="G17036" s="5">
        <v>121.9</v>
      </c>
      <c r="H17036" s="5">
        <v>121.8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123.1</v>
      </c>
      <c r="D17037" s="5">
        <v>0.1</v>
      </c>
      <c r="E17037" s="5">
        <v>123.3</v>
      </c>
      <c r="F17037" s="5">
        <v>245.2</v>
      </c>
      <c r="G17037" s="5">
        <v>121.9</v>
      </c>
      <c r="H17037" s="5">
        <v>121.8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123.2</v>
      </c>
      <c r="D17038" s="5">
        <v>0.1</v>
      </c>
      <c r="E17038" s="5">
        <v>123.4</v>
      </c>
      <c r="F17038" s="5">
        <v>245.7</v>
      </c>
      <c r="G17038" s="5">
        <v>122.2</v>
      </c>
      <c r="H17038" s="5">
        <v>122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123.2</v>
      </c>
      <c r="D17039" s="5">
        <v>0.1</v>
      </c>
      <c r="E17039" s="5">
        <v>123.4</v>
      </c>
      <c r="F17039" s="5">
        <v>245.7</v>
      </c>
      <c r="G17039" s="5">
        <v>122.2</v>
      </c>
      <c r="H17039" s="5">
        <v>122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123.4</v>
      </c>
      <c r="D17040" s="5">
        <v>0.1</v>
      </c>
      <c r="E17040" s="5">
        <v>123.6</v>
      </c>
      <c r="F17040" s="5">
        <v>246.5</v>
      </c>
      <c r="G17040" s="5">
        <v>122.6</v>
      </c>
      <c r="H17040" s="5">
        <v>122.4</v>
      </c>
      <c r="I17040" s="5"/>
      <c r="J17040" s="5"/>
      <c r="K17040" s="5"/>
    </row>
    <row r="17041" spans="1:11" x14ac:dyDescent="0.25">
      <c r="A17041" s="5">
        <f>17034</f>
      </c>
      <c r="B17041" s="5" t="s">
        <v>17049</v>
      </c>
      <c r="C17041" s="5">
        <v>123.4</v>
      </c>
      <c r="D17041" s="5">
        <v>0.1</v>
      </c>
      <c r="E17041" s="5">
        <v>123.6</v>
      </c>
      <c r="F17041" s="5">
        <v>246.5</v>
      </c>
      <c r="G17041" s="5">
        <v>122.6</v>
      </c>
      <c r="H17041" s="5">
        <v>122.4</v>
      </c>
      <c r="I17041" s="5"/>
      <c r="J17041" s="5"/>
      <c r="K17041" s="5"/>
    </row>
    <row r="17042" spans="1:11" x14ac:dyDescent="0.25">
      <c r="A17042" s="5">
        <f>17035</f>
      </c>
      <c r="B17042" s="5" t="s">
        <v>17050</v>
      </c>
      <c r="C17042" s="5">
        <v>124</v>
      </c>
      <c r="D17042" s="5">
        <v>0.1</v>
      </c>
      <c r="E17042" s="5">
        <v>124.1</v>
      </c>
      <c r="F17042" s="5">
        <v>246.2</v>
      </c>
      <c r="G17042" s="5">
        <v>122.4</v>
      </c>
      <c r="H17042" s="5">
        <v>122.2</v>
      </c>
      <c r="I17042" s="5"/>
      <c r="J17042" s="5"/>
      <c r="K17042" s="5"/>
    </row>
    <row r="17043" spans="1:11" x14ac:dyDescent="0.25">
      <c r="A17043" s="5">
        <f>17036</f>
      </c>
      <c r="B17043" s="5" t="s">
        <v>17051</v>
      </c>
      <c r="C17043" s="5">
        <v>124</v>
      </c>
      <c r="D17043" s="5">
        <v>0.1</v>
      </c>
      <c r="E17043" s="5">
        <v>124.1</v>
      </c>
      <c r="F17043" s="5">
        <v>246.2</v>
      </c>
      <c r="G17043" s="5">
        <v>122.4</v>
      </c>
      <c r="H17043" s="5">
        <v>122.2</v>
      </c>
      <c r="I17043" s="5"/>
      <c r="J17043" s="5"/>
      <c r="K17043" s="5"/>
    </row>
    <row r="17044" spans="1:11" x14ac:dyDescent="0.25">
      <c r="A17044" s="5">
        <f>17037</f>
      </c>
      <c r="B17044" s="5" t="s">
        <v>17052</v>
      </c>
      <c r="C17044" s="5">
        <v>124</v>
      </c>
      <c r="D17044" s="5">
        <v>0.1</v>
      </c>
      <c r="E17044" s="5">
        <v>124.2</v>
      </c>
      <c r="F17044" s="5">
        <v>246.3</v>
      </c>
      <c r="G17044" s="5">
        <v>122.5</v>
      </c>
      <c r="H17044" s="5">
        <v>122.3</v>
      </c>
      <c r="I17044" s="5"/>
      <c r="J17044" s="5"/>
      <c r="K17044" s="5"/>
    </row>
    <row r="17045" spans="1:11" x14ac:dyDescent="0.25">
      <c r="A17045" s="5">
        <f>17038</f>
      </c>
      <c r="B17045" s="5" t="s">
        <v>17053</v>
      </c>
      <c r="C17045" s="5">
        <v>124</v>
      </c>
      <c r="D17045" s="5">
        <v>0.1</v>
      </c>
      <c r="E17045" s="5">
        <v>124.2</v>
      </c>
      <c r="F17045" s="5">
        <v>246.3</v>
      </c>
      <c r="G17045" s="5">
        <v>122.5</v>
      </c>
      <c r="H17045" s="5">
        <v>122.3</v>
      </c>
      <c r="I17045" s="5"/>
      <c r="J17045" s="5"/>
      <c r="K17045" s="5"/>
    </row>
    <row r="17046" spans="1:11" x14ac:dyDescent="0.25">
      <c r="A17046" s="5">
        <f>17039</f>
      </c>
      <c r="B17046" s="5" t="s">
        <v>17054</v>
      </c>
      <c r="C17046" s="5">
        <v>124</v>
      </c>
      <c r="D17046" s="5">
        <v>0.1</v>
      </c>
      <c r="E17046" s="5">
        <v>124.2</v>
      </c>
      <c r="F17046" s="5">
        <v>246.3</v>
      </c>
      <c r="G17046" s="5">
        <v>122.5</v>
      </c>
      <c r="H17046" s="5">
        <v>122.3</v>
      </c>
      <c r="I17046" s="5"/>
      <c r="J17046" s="5"/>
      <c r="K17046" s="5"/>
    </row>
    <row r="17047" spans="1:11" x14ac:dyDescent="0.25">
      <c r="A17047" s="5">
        <f>17040</f>
      </c>
      <c r="B17047" s="5" t="s">
        <v>17055</v>
      </c>
      <c r="C17047" s="5">
        <v>123.1</v>
      </c>
      <c r="D17047" s="5">
        <v>0.1</v>
      </c>
      <c r="E17047" s="5">
        <v>123.3</v>
      </c>
      <c r="F17047" s="5">
        <v>245.3</v>
      </c>
      <c r="G17047" s="5">
        <v>122</v>
      </c>
      <c r="H17047" s="5">
        <v>121.8</v>
      </c>
      <c r="I17047" s="5"/>
      <c r="J17047" s="5"/>
      <c r="K17047" s="5"/>
    </row>
    <row r="17048" spans="1:11" x14ac:dyDescent="0.25">
      <c r="A17048" s="5">
        <f>17041</f>
      </c>
      <c r="B17048" s="5" t="s">
        <v>17056</v>
      </c>
      <c r="C17048" s="5">
        <v>123.1</v>
      </c>
      <c r="D17048" s="5">
        <v>0.1</v>
      </c>
      <c r="E17048" s="5">
        <v>123.3</v>
      </c>
      <c r="F17048" s="5">
        <v>245.3</v>
      </c>
      <c r="G17048" s="5">
        <v>122</v>
      </c>
      <c r="H17048" s="5">
        <v>121.8</v>
      </c>
      <c r="I17048" s="5"/>
      <c r="J17048" s="5"/>
      <c r="K17048" s="5"/>
    </row>
    <row r="17049" spans="1:11" x14ac:dyDescent="0.25">
      <c r="A17049" s="5">
        <f>17042</f>
      </c>
      <c r="B17049" s="5" t="s">
        <v>17057</v>
      </c>
      <c r="C17049" s="5">
        <v>123.4</v>
      </c>
      <c r="D17049" s="5">
        <v>0.1</v>
      </c>
      <c r="E17049" s="5">
        <v>123.6</v>
      </c>
      <c r="F17049" s="5">
        <v>245.7</v>
      </c>
      <c r="G17049" s="5">
        <v>122.2</v>
      </c>
      <c r="H17049" s="5">
        <v>122</v>
      </c>
      <c r="I17049" s="5"/>
      <c r="J17049" s="5"/>
      <c r="K17049" s="5"/>
    </row>
    <row r="17050" spans="1:11" x14ac:dyDescent="0.25">
      <c r="A17050" s="5">
        <f>17043</f>
      </c>
      <c r="B17050" s="5" t="s">
        <v>17058</v>
      </c>
      <c r="C17050" s="5">
        <v>123.4</v>
      </c>
      <c r="D17050" s="5">
        <v>0.1</v>
      </c>
      <c r="E17050" s="5">
        <v>123.6</v>
      </c>
      <c r="F17050" s="5">
        <v>245.7</v>
      </c>
      <c r="G17050" s="5">
        <v>122.2</v>
      </c>
      <c r="H17050" s="5">
        <v>122</v>
      </c>
      <c r="I17050" s="5"/>
      <c r="J17050" s="5"/>
      <c r="K17050" s="5"/>
    </row>
    <row r="17051" spans="1:11" x14ac:dyDescent="0.25">
      <c r="A17051" s="5">
        <f>17044</f>
      </c>
      <c r="B17051" s="5" t="s">
        <v>17059</v>
      </c>
      <c r="C17051" s="5">
        <v>123.4</v>
      </c>
      <c r="D17051" s="5">
        <v>0.1</v>
      </c>
      <c r="E17051" s="5">
        <v>123.7</v>
      </c>
      <c r="F17051" s="5">
        <v>246</v>
      </c>
      <c r="G17051" s="5">
        <v>122.3</v>
      </c>
      <c r="H17051" s="5">
        <v>122.2</v>
      </c>
      <c r="I17051" s="5"/>
      <c r="J17051" s="5"/>
      <c r="K17051" s="5"/>
    </row>
    <row r="17052" spans="1:11" x14ac:dyDescent="0.25">
      <c r="A17052" s="5">
        <f>17045</f>
      </c>
      <c r="B17052" s="5" t="s">
        <v>17060</v>
      </c>
      <c r="C17052" s="5">
        <v>123.4</v>
      </c>
      <c r="D17052" s="5">
        <v>0.1</v>
      </c>
      <c r="E17052" s="5">
        <v>123.7</v>
      </c>
      <c r="F17052" s="5">
        <v>246</v>
      </c>
      <c r="G17052" s="5">
        <v>122.3</v>
      </c>
      <c r="H17052" s="5">
        <v>122.2</v>
      </c>
      <c r="I17052" s="5"/>
      <c r="J17052" s="5"/>
      <c r="K17052" s="5"/>
    </row>
    <row r="17053" spans="1:11" x14ac:dyDescent="0.25">
      <c r="A17053" s="5">
        <f>17046</f>
      </c>
      <c r="B17053" s="5" t="s">
        <v>17061</v>
      </c>
      <c r="C17053" s="5">
        <v>123.4</v>
      </c>
      <c r="D17053" s="5">
        <v>0.1</v>
      </c>
      <c r="E17053" s="5">
        <v>123.8</v>
      </c>
      <c r="F17053" s="5">
        <v>246.1</v>
      </c>
      <c r="G17053" s="5">
        <v>122.4</v>
      </c>
      <c r="H17053" s="5">
        <v>122.2</v>
      </c>
      <c r="I17053" s="5"/>
      <c r="J17053" s="5"/>
      <c r="K17053" s="5"/>
    </row>
    <row r="17054" spans="1:11" x14ac:dyDescent="0.25">
      <c r="A17054" s="5">
        <f>17047</f>
      </c>
      <c r="B17054" s="5" t="s">
        <v>17062</v>
      </c>
      <c r="C17054" s="5">
        <v>123.6</v>
      </c>
      <c r="D17054" s="5">
        <v>0.1</v>
      </c>
      <c r="E17054" s="5">
        <v>123.8</v>
      </c>
      <c r="F17054" s="5">
        <v>246.1</v>
      </c>
      <c r="G17054" s="5">
        <v>122.4</v>
      </c>
      <c r="H17054" s="5">
        <v>122.2</v>
      </c>
      <c r="I17054" s="5"/>
      <c r="J17054" s="5"/>
      <c r="K17054" s="5"/>
    </row>
    <row r="17055" spans="1:11" x14ac:dyDescent="0.25">
      <c r="A17055" s="5">
        <f>17048</f>
      </c>
      <c r="B17055" s="5" t="s">
        <v>17063</v>
      </c>
      <c r="C17055" s="5">
        <v>123.6</v>
      </c>
      <c r="D17055" s="5">
        <v>0.1</v>
      </c>
      <c r="E17055" s="5">
        <v>123.8</v>
      </c>
      <c r="F17055" s="5">
        <v>246.1</v>
      </c>
      <c r="G17055" s="5">
        <v>122.4</v>
      </c>
      <c r="H17055" s="5">
        <v>122.2</v>
      </c>
      <c r="I17055" s="5"/>
      <c r="J17055" s="5"/>
      <c r="K17055" s="5"/>
    </row>
    <row r="17056" spans="1:11" x14ac:dyDescent="0.25">
      <c r="A17056" s="5">
        <f>17049</f>
      </c>
      <c r="B17056" s="5" t="s">
        <v>17064</v>
      </c>
      <c r="C17056" s="5">
        <v>123.6</v>
      </c>
      <c r="D17056" s="5">
        <v>0.1</v>
      </c>
      <c r="E17056" s="5">
        <v>123.8</v>
      </c>
      <c r="F17056" s="5">
        <v>246.1</v>
      </c>
      <c r="G17056" s="5">
        <v>122.4</v>
      </c>
      <c r="H17056" s="5">
        <v>122.2</v>
      </c>
      <c r="I17056" s="5"/>
      <c r="J17056" s="5"/>
      <c r="K17056" s="5"/>
    </row>
    <row r="17057" spans="1:11" x14ac:dyDescent="0.25">
      <c r="A17057" s="5">
        <f>17050</f>
      </c>
      <c r="B17057" s="5" t="s">
        <v>17065</v>
      </c>
      <c r="C17057" s="5">
        <v>124.1</v>
      </c>
      <c r="D17057" s="5">
        <v>0.1</v>
      </c>
      <c r="E17057" s="5">
        <v>124.3</v>
      </c>
      <c r="F17057" s="5">
        <v>245.7</v>
      </c>
      <c r="G17057" s="5">
        <v>122.2</v>
      </c>
      <c r="H17057" s="5">
        <v>122.1</v>
      </c>
      <c r="I17057" s="5"/>
      <c r="J17057" s="5"/>
      <c r="K17057" s="5"/>
    </row>
    <row r="17058" spans="1:11" x14ac:dyDescent="0.25">
      <c r="A17058" s="5">
        <f>17051</f>
      </c>
      <c r="B17058" s="5" t="s">
        <v>17066</v>
      </c>
      <c r="C17058" s="5">
        <v>124.1</v>
      </c>
      <c r="D17058" s="5">
        <v>0.1</v>
      </c>
      <c r="E17058" s="5">
        <v>124.3</v>
      </c>
      <c r="F17058" s="5">
        <v>245.7</v>
      </c>
      <c r="G17058" s="5">
        <v>122.2</v>
      </c>
      <c r="H17058" s="5">
        <v>122.1</v>
      </c>
      <c r="I17058" s="5"/>
      <c r="J17058" s="5"/>
      <c r="K17058" s="5"/>
    </row>
    <row r="17059" spans="1:11" x14ac:dyDescent="0.25">
      <c r="A17059" s="5">
        <f>17052</f>
      </c>
      <c r="B17059" s="5" t="s">
        <v>17067</v>
      </c>
      <c r="C17059" s="5">
        <v>124</v>
      </c>
      <c r="D17059" s="5">
        <v>0.1</v>
      </c>
      <c r="E17059" s="5">
        <v>124.1</v>
      </c>
      <c r="F17059" s="5">
        <v>246</v>
      </c>
      <c r="G17059" s="5">
        <v>122.3</v>
      </c>
      <c r="H17059" s="5">
        <v>122.1</v>
      </c>
      <c r="I17059" s="5"/>
      <c r="J17059" s="5"/>
      <c r="K17059" s="5"/>
    </row>
    <row r="17060" spans="1:11" x14ac:dyDescent="0.25">
      <c r="A17060" s="5">
        <f>17053</f>
      </c>
      <c r="B17060" s="5" t="s">
        <v>17068</v>
      </c>
      <c r="C17060" s="5">
        <v>124</v>
      </c>
      <c r="D17060" s="5">
        <v>0.1</v>
      </c>
      <c r="E17060" s="5">
        <v>124.1</v>
      </c>
      <c r="F17060" s="5">
        <v>246</v>
      </c>
      <c r="G17060" s="5">
        <v>122.3</v>
      </c>
      <c r="H17060" s="5">
        <v>122.1</v>
      </c>
      <c r="I17060" s="5"/>
      <c r="J17060" s="5"/>
      <c r="K17060" s="5"/>
    </row>
    <row r="17061" spans="1:11" x14ac:dyDescent="0.25">
      <c r="A17061" s="5">
        <f>17054</f>
      </c>
      <c r="B17061" s="5" t="s">
        <v>17069</v>
      </c>
      <c r="C17061" s="5">
        <v>123.6</v>
      </c>
      <c r="D17061" s="5">
        <v>0.1</v>
      </c>
      <c r="E17061" s="5">
        <v>123.7</v>
      </c>
      <c r="F17061" s="5">
        <v>245.9</v>
      </c>
      <c r="G17061" s="5">
        <v>122.3</v>
      </c>
      <c r="H17061" s="5">
        <v>122.1</v>
      </c>
      <c r="I17061" s="5"/>
      <c r="J17061" s="5"/>
      <c r="K17061" s="5"/>
    </row>
    <row r="17062" spans="1:11" x14ac:dyDescent="0.25">
      <c r="A17062" s="5">
        <f>17055</f>
      </c>
      <c r="B17062" s="5" t="s">
        <v>17070</v>
      </c>
      <c r="C17062" s="5">
        <v>123.6</v>
      </c>
      <c r="D17062" s="5">
        <v>0.1</v>
      </c>
      <c r="E17062" s="5">
        <v>123.7</v>
      </c>
      <c r="F17062" s="5">
        <v>245.9</v>
      </c>
      <c r="G17062" s="5">
        <v>122.3</v>
      </c>
      <c r="H17062" s="5">
        <v>122.1</v>
      </c>
      <c r="I17062" s="5"/>
      <c r="J17062" s="5"/>
      <c r="K17062" s="5"/>
    </row>
    <row r="17063" spans="1:11" x14ac:dyDescent="0.25">
      <c r="A17063" s="5">
        <f>17056</f>
      </c>
      <c r="B17063" s="5" t="s">
        <v>17071</v>
      </c>
      <c r="C17063" s="5">
        <v>123.4</v>
      </c>
      <c r="D17063" s="5">
        <v>0.1</v>
      </c>
      <c r="E17063" s="5">
        <v>123.6</v>
      </c>
      <c r="F17063" s="5">
        <v>246</v>
      </c>
      <c r="G17063" s="5">
        <v>122.3</v>
      </c>
      <c r="H17063" s="5">
        <v>122.1</v>
      </c>
      <c r="I17063" s="5"/>
      <c r="J17063" s="5"/>
      <c r="K17063" s="5"/>
    </row>
    <row r="17064" spans="1:11" x14ac:dyDescent="0.25">
      <c r="A17064" s="5">
        <f>17057</f>
      </c>
      <c r="B17064" s="5" t="s">
        <v>17072</v>
      </c>
      <c r="C17064" s="5">
        <v>123.4</v>
      </c>
      <c r="D17064" s="5">
        <v>0.1</v>
      </c>
      <c r="E17064" s="5">
        <v>123.6</v>
      </c>
      <c r="F17064" s="5">
        <v>246</v>
      </c>
      <c r="G17064" s="5">
        <v>122.3</v>
      </c>
      <c r="H17064" s="5">
        <v>122.1</v>
      </c>
      <c r="I17064" s="5"/>
      <c r="J17064" s="5"/>
      <c r="K17064" s="5"/>
    </row>
    <row r="17065" spans="1:11" x14ac:dyDescent="0.25">
      <c r="A17065" s="5">
        <f>17058</f>
      </c>
      <c r="B17065" s="5" t="s">
        <v>17073</v>
      </c>
      <c r="C17065" s="5">
        <v>123.4</v>
      </c>
      <c r="D17065" s="5">
        <v>0.1</v>
      </c>
      <c r="E17065" s="5">
        <v>123.6</v>
      </c>
      <c r="F17065" s="5">
        <v>246</v>
      </c>
      <c r="G17065" s="5">
        <v>122.3</v>
      </c>
      <c r="H17065" s="5">
        <v>122.1</v>
      </c>
      <c r="I17065" s="5"/>
      <c r="J17065" s="5"/>
      <c r="K17065" s="5"/>
    </row>
    <row r="17066" spans="1:11" x14ac:dyDescent="0.25">
      <c r="A17066" s="5">
        <f>17059</f>
      </c>
      <c r="B17066" s="5" t="s">
        <v>17074</v>
      </c>
      <c r="C17066" s="5">
        <v>123.4</v>
      </c>
      <c r="D17066" s="5">
        <v>0.1</v>
      </c>
      <c r="E17066" s="5">
        <v>123.6</v>
      </c>
      <c r="F17066" s="5">
        <v>246</v>
      </c>
      <c r="G17066" s="5">
        <v>122.3</v>
      </c>
      <c r="H17066" s="5">
        <v>122.1</v>
      </c>
      <c r="I17066" s="5"/>
      <c r="J17066" s="5"/>
      <c r="K17066" s="5"/>
    </row>
    <row r="17067" spans="1:11" x14ac:dyDescent="0.25">
      <c r="A17067" s="5">
        <f>17060</f>
      </c>
      <c r="B17067" s="5" t="s">
        <v>17075</v>
      </c>
      <c r="C17067" s="5">
        <v>105.9</v>
      </c>
      <c r="D17067" s="5">
        <v>0.1</v>
      </c>
      <c r="E17067" s="5">
        <v>106</v>
      </c>
      <c r="F17067" s="5">
        <v>212.9</v>
      </c>
      <c r="G17067" s="5">
        <v>106.2</v>
      </c>
      <c r="H17067" s="5">
        <v>106.6</v>
      </c>
      <c r="I17067" s="5"/>
      <c r="J17067" s="5"/>
      <c r="K17067" s="5"/>
    </row>
    <row r="17068" spans="1:11" x14ac:dyDescent="0.25">
      <c r="A17068" s="5">
        <f>17061</f>
      </c>
      <c r="B17068" s="5" t="s">
        <v>17076</v>
      </c>
      <c r="C17068" s="5">
        <v>105.9</v>
      </c>
      <c r="D17068" s="5">
        <v>0.1</v>
      </c>
      <c r="E17068" s="5">
        <v>106</v>
      </c>
      <c r="F17068" s="5">
        <v>212.9</v>
      </c>
      <c r="G17068" s="5">
        <v>106.2</v>
      </c>
      <c r="H17068" s="5">
        <v>106.6</v>
      </c>
      <c r="I17068" s="5"/>
      <c r="J17068" s="5"/>
      <c r="K17068" s="5"/>
    </row>
    <row r="17069" spans="1:11" x14ac:dyDescent="0.25">
      <c r="A17069" s="5">
        <f>17062</f>
      </c>
      <c r="B17069" s="5" t="s">
        <v>17077</v>
      </c>
      <c r="C17069" s="5">
        <v>119.5</v>
      </c>
      <c r="D17069" s="5">
        <v>0.1</v>
      </c>
      <c r="E17069" s="5">
        <v>119.7</v>
      </c>
      <c r="F17069" s="5">
        <v>237.8</v>
      </c>
      <c r="G17069" s="5">
        <v>118.2</v>
      </c>
      <c r="H17069" s="5">
        <v>118.1</v>
      </c>
      <c r="I17069" s="5"/>
      <c r="J17069" s="5"/>
      <c r="K17069" s="5"/>
    </row>
    <row r="17070" spans="1:11" x14ac:dyDescent="0.25">
      <c r="A17070" s="5">
        <f>17063</f>
      </c>
      <c r="B17070" s="5" t="s">
        <v>17078</v>
      </c>
      <c r="C17070" s="5">
        <v>119.5</v>
      </c>
      <c r="D17070" s="5">
        <v>0.1</v>
      </c>
      <c r="E17070" s="5">
        <v>119.7</v>
      </c>
      <c r="F17070" s="5">
        <v>237.8</v>
      </c>
      <c r="G17070" s="5">
        <v>118.2</v>
      </c>
      <c r="H17070" s="5">
        <v>118.1</v>
      </c>
      <c r="I17070" s="5"/>
      <c r="J17070" s="5"/>
      <c r="K17070" s="5"/>
    </row>
    <row r="17071" spans="1:11" x14ac:dyDescent="0.25">
      <c r="A17071" s="5">
        <f>17064</f>
      </c>
      <c r="B17071" s="5" t="s">
        <v>17079</v>
      </c>
      <c r="C17071" s="5">
        <v>119.5</v>
      </c>
      <c r="D17071" s="5">
        <v>0.1</v>
      </c>
      <c r="E17071" s="5">
        <v>119.6</v>
      </c>
      <c r="F17071" s="5">
        <v>237.5</v>
      </c>
      <c r="G17071" s="5">
        <v>118.1</v>
      </c>
      <c r="H17071" s="5">
        <v>118</v>
      </c>
      <c r="I17071" s="5"/>
      <c r="J17071" s="5"/>
      <c r="K17071" s="5"/>
    </row>
    <row r="17072" spans="1:11" x14ac:dyDescent="0.25">
      <c r="A17072" s="5">
        <f>17065</f>
      </c>
      <c r="B17072" s="5" t="s">
        <v>17080</v>
      </c>
      <c r="C17072" s="5">
        <v>119.5</v>
      </c>
      <c r="D17072" s="5">
        <v>0.1</v>
      </c>
      <c r="E17072" s="5">
        <v>119.6</v>
      </c>
      <c r="F17072" s="5">
        <v>237.5</v>
      </c>
      <c r="G17072" s="5">
        <v>118.1</v>
      </c>
      <c r="H17072" s="5">
        <v>118</v>
      </c>
      <c r="I17072" s="5"/>
      <c r="J17072" s="5"/>
      <c r="K17072" s="5"/>
    </row>
    <row r="17073" spans="1:11" x14ac:dyDescent="0.25">
      <c r="A17073" s="5">
        <f>17066</f>
      </c>
      <c r="B17073" s="5" t="s">
        <v>17081</v>
      </c>
      <c r="C17073" s="5">
        <v>118.6</v>
      </c>
      <c r="D17073" s="5">
        <v>0.1</v>
      </c>
      <c r="E17073" s="5">
        <v>118.8</v>
      </c>
      <c r="F17073" s="5">
        <v>236</v>
      </c>
      <c r="G17073" s="5">
        <v>117.3</v>
      </c>
      <c r="H17073" s="5">
        <v>117.2</v>
      </c>
      <c r="I17073" s="5"/>
      <c r="J17073" s="5"/>
      <c r="K17073" s="5"/>
    </row>
    <row r="17074" spans="1:11" x14ac:dyDescent="0.25">
      <c r="A17074" s="5">
        <f>17067</f>
      </c>
      <c r="B17074" s="5" t="s">
        <v>17082</v>
      </c>
      <c r="C17074" s="5">
        <v>118.6</v>
      </c>
      <c r="D17074" s="5">
        <v>0.1</v>
      </c>
      <c r="E17074" s="5">
        <v>118.8</v>
      </c>
      <c r="F17074" s="5">
        <v>236</v>
      </c>
      <c r="G17074" s="5">
        <v>117.3</v>
      </c>
      <c r="H17074" s="5">
        <v>117.2</v>
      </c>
      <c r="I17074" s="5"/>
      <c r="J17074" s="5"/>
      <c r="K17074" s="5"/>
    </row>
    <row r="17075" spans="1:11" x14ac:dyDescent="0.25">
      <c r="A17075" s="5">
        <f>17068</f>
      </c>
      <c r="B17075" s="5" t="s">
        <v>17083</v>
      </c>
      <c r="C17075" s="5">
        <v>118.6</v>
      </c>
      <c r="D17075" s="5">
        <v>0.1</v>
      </c>
      <c r="E17075" s="5">
        <v>118.8</v>
      </c>
      <c r="F17075" s="5">
        <v>236</v>
      </c>
      <c r="G17075" s="5">
        <v>117.3</v>
      </c>
      <c r="H17075" s="5">
        <v>117.2</v>
      </c>
      <c r="I17075" s="5"/>
      <c r="J17075" s="5"/>
      <c r="K17075" s="5"/>
    </row>
    <row r="17076" spans="1:11" x14ac:dyDescent="0.25">
      <c r="A17076" s="5">
        <f>17069</f>
      </c>
      <c r="B17076" s="5" t="s">
        <v>17084</v>
      </c>
      <c r="C17076" s="5">
        <v>118.6</v>
      </c>
      <c r="D17076" s="5">
        <v>0.1</v>
      </c>
      <c r="E17076" s="5">
        <v>118.8</v>
      </c>
      <c r="F17076" s="5">
        <v>236</v>
      </c>
      <c r="G17076" s="5">
        <v>117.3</v>
      </c>
      <c r="H17076" s="5">
        <v>117.2</v>
      </c>
      <c r="I17076" s="5"/>
      <c r="J17076" s="5"/>
      <c r="K17076" s="5"/>
    </row>
    <row r="17077" spans="1:11" x14ac:dyDescent="0.25">
      <c r="A17077" s="5">
        <f>17070</f>
      </c>
      <c r="B17077" s="5" t="s">
        <v>17085</v>
      </c>
      <c r="C17077" s="5">
        <v>118.4</v>
      </c>
      <c r="D17077" s="5">
        <v>0.1</v>
      </c>
      <c r="E17077" s="5">
        <v>118.6</v>
      </c>
      <c r="F17077" s="5">
        <v>235.7</v>
      </c>
      <c r="G17077" s="5">
        <v>117.2</v>
      </c>
      <c r="H17077" s="5">
        <v>117</v>
      </c>
      <c r="I17077" s="5"/>
      <c r="J17077" s="5"/>
      <c r="K17077" s="5"/>
    </row>
    <row r="17078" spans="1:11" x14ac:dyDescent="0.25">
      <c r="A17078" s="5">
        <f>17071</f>
      </c>
      <c r="B17078" s="5" t="s">
        <v>17086</v>
      </c>
      <c r="C17078" s="5">
        <v>118.4</v>
      </c>
      <c r="D17078" s="5">
        <v>0.1</v>
      </c>
      <c r="E17078" s="5">
        <v>118.6</v>
      </c>
      <c r="F17078" s="5">
        <v>235.7</v>
      </c>
      <c r="G17078" s="5">
        <v>117.2</v>
      </c>
      <c r="H17078" s="5">
        <v>117</v>
      </c>
      <c r="I17078" s="5"/>
      <c r="J17078" s="5"/>
      <c r="K17078" s="5"/>
    </row>
    <row r="17079" spans="1:11" x14ac:dyDescent="0.25">
      <c r="A17079" s="5">
        <f>17072</f>
      </c>
      <c r="B17079" s="5" t="s">
        <v>17087</v>
      </c>
      <c r="C17079" s="5">
        <v>118.5</v>
      </c>
      <c r="D17079" s="5">
        <v>0.1</v>
      </c>
      <c r="E17079" s="5">
        <v>118.6</v>
      </c>
      <c r="F17079" s="5">
        <v>235.9</v>
      </c>
      <c r="G17079" s="5">
        <v>117.3</v>
      </c>
      <c r="H17079" s="5">
        <v>117.1</v>
      </c>
      <c r="I17079" s="5"/>
      <c r="J17079" s="5"/>
      <c r="K17079" s="5"/>
    </row>
    <row r="17080" spans="1:11" x14ac:dyDescent="0.25">
      <c r="A17080" s="5">
        <f>17073</f>
      </c>
      <c r="B17080" s="5" t="s">
        <v>17088</v>
      </c>
      <c r="C17080" s="5">
        <v>118.5</v>
      </c>
      <c r="D17080" s="5">
        <v>0.1</v>
      </c>
      <c r="E17080" s="5">
        <v>118.6</v>
      </c>
      <c r="F17080" s="5">
        <v>235.9</v>
      </c>
      <c r="G17080" s="5">
        <v>117.3</v>
      </c>
      <c r="H17080" s="5">
        <v>117.1</v>
      </c>
      <c r="I17080" s="5"/>
      <c r="J17080" s="5"/>
      <c r="K17080" s="5"/>
    </row>
    <row r="17081" spans="1:11" x14ac:dyDescent="0.25">
      <c r="A17081" s="5">
        <f>17074</f>
      </c>
      <c r="B17081" s="5" t="s">
        <v>17089</v>
      </c>
      <c r="C17081" s="5">
        <v>118.6</v>
      </c>
      <c r="D17081" s="5">
        <v>0.1</v>
      </c>
      <c r="E17081" s="5">
        <v>118.8</v>
      </c>
      <c r="F17081" s="5">
        <v>236.3</v>
      </c>
      <c r="G17081" s="5">
        <v>117.5</v>
      </c>
      <c r="H17081" s="5">
        <v>117.3</v>
      </c>
      <c r="I17081" s="5"/>
      <c r="J17081" s="5"/>
      <c r="K17081" s="5"/>
    </row>
    <row r="17082" spans="1:11" x14ac:dyDescent="0.25">
      <c r="A17082" s="5">
        <f>17075</f>
      </c>
      <c r="B17082" s="5" t="s">
        <v>17090</v>
      </c>
      <c r="C17082" s="5">
        <v>118.6</v>
      </c>
      <c r="D17082" s="5">
        <v>0.1</v>
      </c>
      <c r="E17082" s="5">
        <v>118.8</v>
      </c>
      <c r="F17082" s="5">
        <v>236.3</v>
      </c>
      <c r="G17082" s="5">
        <v>117.5</v>
      </c>
      <c r="H17082" s="5">
        <v>117.3</v>
      </c>
      <c r="I17082" s="5"/>
      <c r="J17082" s="5"/>
      <c r="K17082" s="5"/>
    </row>
    <row r="17083" spans="1:11" x14ac:dyDescent="0.25">
      <c r="A17083" s="5">
        <f>17076</f>
      </c>
      <c r="B17083" s="5" t="s">
        <v>17091</v>
      </c>
      <c r="C17083" s="5">
        <v>118.8</v>
      </c>
      <c r="D17083" s="5">
        <v>0.1</v>
      </c>
      <c r="E17083" s="5">
        <v>119</v>
      </c>
      <c r="F17083" s="5">
        <v>236.1</v>
      </c>
      <c r="G17083" s="5">
        <v>117.4</v>
      </c>
      <c r="H17083" s="5">
        <v>117.3</v>
      </c>
      <c r="I17083" s="5"/>
      <c r="J17083" s="5"/>
      <c r="K17083" s="5"/>
    </row>
    <row r="17084" spans="1:11" x14ac:dyDescent="0.25">
      <c r="A17084" s="5">
        <f>17077</f>
      </c>
      <c r="B17084" s="5" t="s">
        <v>17092</v>
      </c>
      <c r="C17084" s="5">
        <v>118.8</v>
      </c>
      <c r="D17084" s="5">
        <v>0.1</v>
      </c>
      <c r="E17084" s="5">
        <v>119</v>
      </c>
      <c r="F17084" s="5">
        <v>236.1</v>
      </c>
      <c r="G17084" s="5">
        <v>117.4</v>
      </c>
      <c r="H17084" s="5">
        <v>117.3</v>
      </c>
      <c r="I17084" s="5"/>
      <c r="J17084" s="5"/>
      <c r="K17084" s="5"/>
    </row>
    <row r="17085" spans="1:11" x14ac:dyDescent="0.25">
      <c r="A17085" s="5">
        <f>17078</f>
      </c>
      <c r="B17085" s="5" t="s">
        <v>17093</v>
      </c>
      <c r="C17085" s="5">
        <v>118.8</v>
      </c>
      <c r="D17085" s="5">
        <v>0.1</v>
      </c>
      <c r="E17085" s="5">
        <v>119</v>
      </c>
      <c r="F17085" s="5">
        <v>236.1</v>
      </c>
      <c r="G17085" s="5">
        <v>117.4</v>
      </c>
      <c r="H17085" s="5">
        <v>117.3</v>
      </c>
      <c r="I17085" s="5"/>
      <c r="J17085" s="5"/>
      <c r="K17085" s="5"/>
    </row>
    <row r="17086" spans="1:11" x14ac:dyDescent="0.25">
      <c r="A17086" s="5">
        <f>17079</f>
      </c>
      <c r="B17086" s="5" t="s">
        <v>17094</v>
      </c>
      <c r="C17086" s="5">
        <v>118.8</v>
      </c>
      <c r="D17086" s="5">
        <v>0.1</v>
      </c>
      <c r="E17086" s="5">
        <v>119</v>
      </c>
      <c r="F17086" s="5">
        <v>236.1</v>
      </c>
      <c r="G17086" s="5">
        <v>117.4</v>
      </c>
      <c r="H17086" s="5">
        <v>117.3</v>
      </c>
      <c r="I17086" s="5"/>
      <c r="J17086" s="5"/>
      <c r="K17086" s="5"/>
    </row>
    <row r="17087" spans="1:11" x14ac:dyDescent="0.25">
      <c r="A17087" s="5">
        <f>17080</f>
      </c>
      <c r="B17087" s="5" t="s">
        <v>17095</v>
      </c>
      <c r="C17087" s="5">
        <v>118.9</v>
      </c>
      <c r="D17087" s="5">
        <v>0.1</v>
      </c>
      <c r="E17087" s="5">
        <v>119</v>
      </c>
      <c r="F17087" s="5">
        <v>236.5</v>
      </c>
      <c r="G17087" s="5">
        <v>117.6</v>
      </c>
      <c r="H17087" s="5">
        <v>117.4</v>
      </c>
      <c r="I17087" s="5"/>
      <c r="J17087" s="5"/>
      <c r="K17087" s="5"/>
    </row>
    <row r="17088" spans="1:11" x14ac:dyDescent="0.25">
      <c r="A17088" s="5">
        <f>17081</f>
      </c>
      <c r="B17088" s="5" t="s">
        <v>17096</v>
      </c>
      <c r="C17088" s="5">
        <v>118.9</v>
      </c>
      <c r="D17088" s="5">
        <v>0.1</v>
      </c>
      <c r="E17088" s="5">
        <v>119</v>
      </c>
      <c r="F17088" s="5">
        <v>236.5</v>
      </c>
      <c r="G17088" s="5">
        <v>117.6</v>
      </c>
      <c r="H17088" s="5">
        <v>117.4</v>
      </c>
      <c r="I17088" s="5"/>
      <c r="J17088" s="5"/>
      <c r="K17088" s="5"/>
    </row>
    <row r="17089" spans="1:11" x14ac:dyDescent="0.25">
      <c r="A17089" s="5">
        <f>17082</f>
      </c>
      <c r="B17089" s="5" t="s">
        <v>17097</v>
      </c>
      <c r="C17089" s="5">
        <v>118.7</v>
      </c>
      <c r="D17089" s="5">
        <v>0.1</v>
      </c>
      <c r="E17089" s="5">
        <v>118.9</v>
      </c>
      <c r="F17089" s="5">
        <v>236.3</v>
      </c>
      <c r="G17089" s="5">
        <v>117.5</v>
      </c>
      <c r="H17089" s="5">
        <v>117.3</v>
      </c>
      <c r="I17089" s="5"/>
      <c r="J17089" s="5"/>
      <c r="K17089" s="5"/>
    </row>
    <row r="17090" spans="1:11" x14ac:dyDescent="0.25">
      <c r="A17090" s="5">
        <f>17083</f>
      </c>
      <c r="B17090" s="5" t="s">
        <v>17098</v>
      </c>
      <c r="C17090" s="5">
        <v>118.7</v>
      </c>
      <c r="D17090" s="5">
        <v>0.1</v>
      </c>
      <c r="E17090" s="5">
        <v>118.9</v>
      </c>
      <c r="F17090" s="5">
        <v>236.3</v>
      </c>
      <c r="G17090" s="5">
        <v>117.5</v>
      </c>
      <c r="H17090" s="5">
        <v>117.3</v>
      </c>
      <c r="I17090" s="5"/>
      <c r="J17090" s="5"/>
      <c r="K17090" s="5"/>
    </row>
    <row r="17091" spans="1:11" x14ac:dyDescent="0.25">
      <c r="A17091" s="5">
        <f>17084</f>
      </c>
      <c r="B17091" s="5" t="s">
        <v>17099</v>
      </c>
      <c r="C17091" s="5">
        <v>118.8</v>
      </c>
      <c r="D17091" s="5">
        <v>0.1</v>
      </c>
      <c r="E17091" s="5">
        <v>119</v>
      </c>
      <c r="F17091" s="5">
        <v>236.1</v>
      </c>
      <c r="G17091" s="5">
        <v>117.4</v>
      </c>
      <c r="H17091" s="5">
        <v>117.2</v>
      </c>
      <c r="I17091" s="5"/>
      <c r="J17091" s="5"/>
      <c r="K17091" s="5"/>
    </row>
    <row r="17092" spans="1:11" x14ac:dyDescent="0.25">
      <c r="A17092" s="5">
        <f>17085</f>
      </c>
      <c r="B17092" s="5" t="s">
        <v>17100</v>
      </c>
      <c r="C17092" s="5">
        <v>118.8</v>
      </c>
      <c r="D17092" s="5">
        <v>0.1</v>
      </c>
      <c r="E17092" s="5">
        <v>119</v>
      </c>
      <c r="F17092" s="5">
        <v>236.1</v>
      </c>
      <c r="G17092" s="5">
        <v>117.4</v>
      </c>
      <c r="H17092" s="5">
        <v>117.2</v>
      </c>
      <c r="I17092" s="5"/>
      <c r="J17092" s="5"/>
      <c r="K17092" s="5"/>
    </row>
    <row r="17093" spans="1:11" x14ac:dyDescent="0.25">
      <c r="A17093" s="5">
        <f>17086</f>
      </c>
      <c r="B17093" s="5" t="s">
        <v>17101</v>
      </c>
      <c r="C17093" s="5">
        <v>118.6</v>
      </c>
      <c r="D17093" s="5">
        <v>0.1</v>
      </c>
      <c r="E17093" s="5">
        <v>118.8</v>
      </c>
      <c r="F17093" s="5">
        <v>236</v>
      </c>
      <c r="G17093" s="5">
        <v>117.4</v>
      </c>
      <c r="H17093" s="5">
        <v>117.2</v>
      </c>
      <c r="I17093" s="5"/>
      <c r="J17093" s="5"/>
      <c r="K17093" s="5"/>
    </row>
    <row r="17094" spans="1:11" x14ac:dyDescent="0.25">
      <c r="A17094" s="5">
        <f>17087</f>
      </c>
      <c r="B17094" s="5" t="s">
        <v>17102</v>
      </c>
      <c r="C17094" s="5">
        <v>118.6</v>
      </c>
      <c r="D17094" s="5">
        <v>0.1</v>
      </c>
      <c r="E17094" s="5">
        <v>118.8</v>
      </c>
      <c r="F17094" s="5">
        <v>236</v>
      </c>
      <c r="G17094" s="5">
        <v>117.4</v>
      </c>
      <c r="H17094" s="5">
        <v>117.2</v>
      </c>
      <c r="I17094" s="5"/>
      <c r="J17094" s="5"/>
      <c r="K17094" s="5"/>
    </row>
    <row r="17095" spans="1:11" x14ac:dyDescent="0.25">
      <c r="A17095" s="5">
        <f>17088</f>
      </c>
      <c r="B17095" s="5" t="s">
        <v>17103</v>
      </c>
      <c r="C17095" s="5">
        <v>118.6</v>
      </c>
      <c r="D17095" s="5">
        <v>0.1</v>
      </c>
      <c r="E17095" s="5">
        <v>118.8</v>
      </c>
      <c r="F17095" s="5">
        <v>236</v>
      </c>
      <c r="G17095" s="5">
        <v>117.4</v>
      </c>
      <c r="H17095" s="5">
        <v>117.2</v>
      </c>
      <c r="I17095" s="5"/>
      <c r="J17095" s="5"/>
      <c r="K17095" s="5"/>
    </row>
    <row r="17096" spans="1:11" x14ac:dyDescent="0.25">
      <c r="A17096" s="5">
        <f>17089</f>
      </c>
      <c r="B17096" s="5" t="s">
        <v>17104</v>
      </c>
      <c r="C17096" s="5">
        <v>118.6</v>
      </c>
      <c r="D17096" s="5">
        <v>0.1</v>
      </c>
      <c r="E17096" s="5">
        <v>118.8</v>
      </c>
      <c r="F17096" s="5">
        <v>236</v>
      </c>
      <c r="G17096" s="5">
        <v>117.4</v>
      </c>
      <c r="H17096" s="5">
        <v>117.2</v>
      </c>
      <c r="I17096" s="5"/>
      <c r="J17096" s="5"/>
      <c r="K17096" s="5"/>
    </row>
    <row r="17097" spans="1:11" x14ac:dyDescent="0.25">
      <c r="A17097" s="5">
        <f>17090</f>
      </c>
      <c r="B17097" s="5" t="s">
        <v>17105</v>
      </c>
      <c r="C17097" s="5">
        <v>119</v>
      </c>
      <c r="D17097" s="5">
        <v>0.1</v>
      </c>
      <c r="E17097" s="5">
        <v>119.2</v>
      </c>
      <c r="F17097" s="5">
        <v>236.1</v>
      </c>
      <c r="G17097" s="5">
        <v>117.4</v>
      </c>
      <c r="H17097" s="5">
        <v>117.3</v>
      </c>
      <c r="I17097" s="5"/>
      <c r="J17097" s="5"/>
      <c r="K17097" s="5"/>
    </row>
    <row r="17098" spans="1:11" x14ac:dyDescent="0.25">
      <c r="A17098" s="5">
        <f>17091</f>
      </c>
      <c r="B17098" s="5" t="s">
        <v>17106</v>
      </c>
      <c r="C17098" s="5">
        <v>119</v>
      </c>
      <c r="D17098" s="5">
        <v>0.1</v>
      </c>
      <c r="E17098" s="5">
        <v>119.2</v>
      </c>
      <c r="F17098" s="5">
        <v>236.1</v>
      </c>
      <c r="G17098" s="5">
        <v>117.4</v>
      </c>
      <c r="H17098" s="5">
        <v>117.3</v>
      </c>
      <c r="I17098" s="5"/>
      <c r="J17098" s="5"/>
      <c r="K17098" s="5"/>
    </row>
    <row r="17099" spans="1:11" x14ac:dyDescent="0.25">
      <c r="A17099" s="5">
        <f>17092</f>
      </c>
      <c r="B17099" s="5" t="s">
        <v>17107</v>
      </c>
      <c r="C17099" s="5">
        <v>119</v>
      </c>
      <c r="D17099" s="5">
        <v>0.1</v>
      </c>
      <c r="E17099" s="5">
        <v>119.1</v>
      </c>
      <c r="F17099" s="5">
        <v>236.5</v>
      </c>
      <c r="G17099" s="5">
        <v>117.6</v>
      </c>
      <c r="H17099" s="5">
        <v>117.4</v>
      </c>
      <c r="I17099" s="5"/>
      <c r="J17099" s="5"/>
      <c r="K17099" s="5"/>
    </row>
    <row r="17100" spans="1:11" x14ac:dyDescent="0.25">
      <c r="A17100" s="5">
        <f>17093</f>
      </c>
      <c r="B17100" s="5" t="s">
        <v>17108</v>
      </c>
      <c r="C17100" s="5">
        <v>119</v>
      </c>
      <c r="D17100" s="5">
        <v>0.1</v>
      </c>
      <c r="E17100" s="5">
        <v>119.1</v>
      </c>
      <c r="F17100" s="5">
        <v>236.5</v>
      </c>
      <c r="G17100" s="5">
        <v>117.6</v>
      </c>
      <c r="H17100" s="5">
        <v>117.4</v>
      </c>
      <c r="I17100" s="5"/>
      <c r="J17100" s="5"/>
      <c r="K17100" s="5"/>
    </row>
    <row r="17101" spans="1:11" x14ac:dyDescent="0.25">
      <c r="A17101" s="5">
        <f>17094</f>
      </c>
      <c r="B17101" s="5" t="s">
        <v>17109</v>
      </c>
      <c r="C17101" s="5">
        <v>118.9</v>
      </c>
      <c r="D17101" s="5">
        <v>0.1</v>
      </c>
      <c r="E17101" s="5">
        <v>119</v>
      </c>
      <c r="F17101" s="5">
        <v>236.5</v>
      </c>
      <c r="G17101" s="5">
        <v>117.6</v>
      </c>
      <c r="H17101" s="5">
        <v>117.5</v>
      </c>
      <c r="I17101" s="5"/>
      <c r="J17101" s="5"/>
      <c r="K17101" s="5"/>
    </row>
    <row r="17102" spans="1:11" x14ac:dyDescent="0.25">
      <c r="A17102" s="5">
        <f>17095</f>
      </c>
      <c r="B17102" s="5" t="s">
        <v>17110</v>
      </c>
      <c r="C17102" s="5">
        <v>118.9</v>
      </c>
      <c r="D17102" s="5">
        <v>0.1</v>
      </c>
      <c r="E17102" s="5">
        <v>119</v>
      </c>
      <c r="F17102" s="5">
        <v>236.5</v>
      </c>
      <c r="G17102" s="5">
        <v>117.6</v>
      </c>
      <c r="H17102" s="5">
        <v>117.5</v>
      </c>
      <c r="I17102" s="5"/>
      <c r="J17102" s="5"/>
      <c r="K17102" s="5"/>
    </row>
    <row r="17103" spans="1:11" x14ac:dyDescent="0.25">
      <c r="A17103" s="5">
        <f>17096</f>
      </c>
      <c r="B17103" s="5" t="s">
        <v>17111</v>
      </c>
      <c r="C17103" s="5">
        <v>119.2</v>
      </c>
      <c r="D17103" s="5">
        <v>0.1</v>
      </c>
      <c r="E17103" s="5">
        <v>119.3</v>
      </c>
      <c r="F17103" s="5">
        <v>237</v>
      </c>
      <c r="G17103" s="5">
        <v>117.8</v>
      </c>
      <c r="H17103" s="5">
        <v>117.6</v>
      </c>
      <c r="I17103" s="5"/>
      <c r="J17103" s="5"/>
      <c r="K17103" s="5"/>
    </row>
    <row r="17104" spans="1:11" x14ac:dyDescent="0.25">
      <c r="A17104" s="5">
        <f>17097</f>
      </c>
      <c r="B17104" s="5" t="s">
        <v>17112</v>
      </c>
      <c r="C17104" s="5">
        <v>119.2</v>
      </c>
      <c r="D17104" s="5">
        <v>0.1</v>
      </c>
      <c r="E17104" s="5">
        <v>119.3</v>
      </c>
      <c r="F17104" s="5">
        <v>237</v>
      </c>
      <c r="G17104" s="5">
        <v>117.8</v>
      </c>
      <c r="H17104" s="5">
        <v>117.6</v>
      </c>
      <c r="I17104" s="5"/>
      <c r="J17104" s="5"/>
      <c r="K17104" s="5"/>
    </row>
    <row r="17105" spans="1:11" x14ac:dyDescent="0.25">
      <c r="A17105" s="5">
        <f>17098</f>
      </c>
      <c r="B17105" s="5" t="s">
        <v>17113</v>
      </c>
      <c r="C17105" s="5">
        <v>119.2</v>
      </c>
      <c r="D17105" s="5">
        <v>0.1</v>
      </c>
      <c r="E17105" s="5">
        <v>119.3</v>
      </c>
      <c r="F17105" s="5">
        <v>237</v>
      </c>
      <c r="G17105" s="5">
        <v>117.8</v>
      </c>
      <c r="H17105" s="5">
        <v>117.6</v>
      </c>
      <c r="I17105" s="5"/>
      <c r="J17105" s="5"/>
      <c r="K17105" s="5"/>
    </row>
    <row r="17106" spans="1:11" x14ac:dyDescent="0.25">
      <c r="A17106" s="5">
        <f>17099</f>
      </c>
      <c r="B17106" s="5" t="s">
        <v>17114</v>
      </c>
      <c r="C17106" s="5">
        <v>119.2</v>
      </c>
      <c r="D17106" s="5">
        <v>0.1</v>
      </c>
      <c r="E17106" s="5">
        <v>119.3</v>
      </c>
      <c r="F17106" s="5">
        <v>237</v>
      </c>
      <c r="G17106" s="5">
        <v>117.8</v>
      </c>
      <c r="H17106" s="5">
        <v>117.6</v>
      </c>
      <c r="I17106" s="5"/>
      <c r="J17106" s="5"/>
      <c r="K17106" s="5"/>
    </row>
    <row r="17107" spans="1:11" x14ac:dyDescent="0.25">
      <c r="A17107" s="5">
        <f>17100</f>
      </c>
      <c r="B17107" s="5" t="s">
        <v>17115</v>
      </c>
      <c r="C17107" s="5">
        <v>119.3</v>
      </c>
      <c r="D17107" s="5">
        <v>0.1</v>
      </c>
      <c r="E17107" s="5">
        <v>119.5</v>
      </c>
      <c r="F17107" s="5">
        <v>237.4</v>
      </c>
      <c r="G17107" s="5">
        <v>118.1</v>
      </c>
      <c r="H17107" s="5">
        <v>117.9</v>
      </c>
      <c r="I17107" s="5"/>
      <c r="J17107" s="5"/>
      <c r="K17107" s="5"/>
    </row>
    <row r="17108" spans="1:11" x14ac:dyDescent="0.25">
      <c r="A17108" s="5">
        <f>17101</f>
      </c>
      <c r="B17108" s="5" t="s">
        <v>17116</v>
      </c>
      <c r="C17108" s="5">
        <v>119.3</v>
      </c>
      <c r="D17108" s="5">
        <v>0.1</v>
      </c>
      <c r="E17108" s="5">
        <v>119.5</v>
      </c>
      <c r="F17108" s="5">
        <v>237.4</v>
      </c>
      <c r="G17108" s="5">
        <v>118.1</v>
      </c>
      <c r="H17108" s="5">
        <v>117.9</v>
      </c>
      <c r="I17108" s="5"/>
      <c r="J17108" s="5"/>
      <c r="K17108" s="5"/>
    </row>
    <row r="17109" spans="1:11" x14ac:dyDescent="0.25">
      <c r="A17109" s="5">
        <f>17102</f>
      </c>
      <c r="B17109" s="5" t="s">
        <v>17117</v>
      </c>
      <c r="C17109" s="5">
        <v>119.3</v>
      </c>
      <c r="D17109" s="5">
        <v>0.1</v>
      </c>
      <c r="E17109" s="5">
        <v>119.4</v>
      </c>
      <c r="F17109" s="5">
        <v>237.4</v>
      </c>
      <c r="G17109" s="5">
        <v>118.1</v>
      </c>
      <c r="H17109" s="5">
        <v>117.9</v>
      </c>
      <c r="I17109" s="5"/>
      <c r="J17109" s="5"/>
      <c r="K17109" s="5"/>
    </row>
    <row r="17110" spans="1:11" x14ac:dyDescent="0.25">
      <c r="A17110" s="5">
        <f>17103</f>
      </c>
      <c r="B17110" s="5" t="s">
        <v>17118</v>
      </c>
      <c r="C17110" s="5">
        <v>119.3</v>
      </c>
      <c r="D17110" s="5">
        <v>0.1</v>
      </c>
      <c r="E17110" s="5">
        <v>119.4</v>
      </c>
      <c r="F17110" s="5">
        <v>237.4</v>
      </c>
      <c r="G17110" s="5">
        <v>118.1</v>
      </c>
      <c r="H17110" s="5">
        <v>117.9</v>
      </c>
      <c r="I17110" s="5"/>
      <c r="J17110" s="5"/>
      <c r="K17110" s="5"/>
    </row>
    <row r="17111" spans="1:11" x14ac:dyDescent="0.25">
      <c r="A17111" s="5">
        <f>17104</f>
      </c>
      <c r="B17111" s="5" t="s">
        <v>17119</v>
      </c>
      <c r="C17111" s="5">
        <v>119.3</v>
      </c>
      <c r="D17111" s="5">
        <v>0.1</v>
      </c>
      <c r="E17111" s="5">
        <v>119.5</v>
      </c>
      <c r="F17111" s="5">
        <v>237.7</v>
      </c>
      <c r="G17111" s="5">
        <v>118.2</v>
      </c>
      <c r="H17111" s="5">
        <v>118</v>
      </c>
      <c r="I17111" s="5"/>
      <c r="J17111" s="5"/>
      <c r="K17111" s="5"/>
    </row>
    <row r="17112" spans="1:11" x14ac:dyDescent="0.25">
      <c r="A17112" s="5">
        <f>17105</f>
      </c>
      <c r="B17112" s="5" t="s">
        <v>17120</v>
      </c>
      <c r="C17112" s="5">
        <v>119.3</v>
      </c>
      <c r="D17112" s="5">
        <v>0.1</v>
      </c>
      <c r="E17112" s="5">
        <v>119.5</v>
      </c>
      <c r="F17112" s="5">
        <v>237.7</v>
      </c>
      <c r="G17112" s="5">
        <v>118.2</v>
      </c>
      <c r="H17112" s="5">
        <v>118</v>
      </c>
      <c r="I17112" s="5"/>
      <c r="J17112" s="5"/>
      <c r="K17112" s="5"/>
    </row>
    <row r="17113" spans="1:11" x14ac:dyDescent="0.25">
      <c r="A17113" s="5">
        <f>17106</f>
      </c>
      <c r="B17113" s="5" t="s">
        <v>17121</v>
      </c>
      <c r="C17113" s="5">
        <v>119.3</v>
      </c>
      <c r="D17113" s="5">
        <v>0.1</v>
      </c>
      <c r="E17113" s="5">
        <v>119.4</v>
      </c>
      <c r="F17113" s="5">
        <v>237.3</v>
      </c>
      <c r="G17113" s="5">
        <v>118</v>
      </c>
      <c r="H17113" s="5">
        <v>117.8</v>
      </c>
      <c r="I17113" s="5"/>
      <c r="J17113" s="5"/>
      <c r="K17113" s="5"/>
    </row>
    <row r="17114" spans="1:11" x14ac:dyDescent="0.25">
      <c r="A17114" s="5">
        <f>17107</f>
      </c>
      <c r="B17114" s="5" t="s">
        <v>17122</v>
      </c>
      <c r="C17114" s="5">
        <v>119.3</v>
      </c>
      <c r="D17114" s="5">
        <v>0.1</v>
      </c>
      <c r="E17114" s="5">
        <v>119.4</v>
      </c>
      <c r="F17114" s="5">
        <v>237.3</v>
      </c>
      <c r="G17114" s="5">
        <v>118</v>
      </c>
      <c r="H17114" s="5">
        <v>117.8</v>
      </c>
      <c r="I17114" s="5"/>
      <c r="J17114" s="5"/>
      <c r="K17114" s="5"/>
    </row>
    <row r="17115" spans="1:11" x14ac:dyDescent="0.25">
      <c r="A17115" s="5">
        <f>17108</f>
      </c>
      <c r="B17115" s="5" t="s">
        <v>17123</v>
      </c>
      <c r="C17115" s="5">
        <v>119.3</v>
      </c>
      <c r="D17115" s="5">
        <v>0.1</v>
      </c>
      <c r="E17115" s="5">
        <v>119.4</v>
      </c>
      <c r="F17115" s="5">
        <v>237.3</v>
      </c>
      <c r="G17115" s="5">
        <v>118</v>
      </c>
      <c r="H17115" s="5">
        <v>117.8</v>
      </c>
      <c r="I17115" s="5"/>
      <c r="J17115" s="5"/>
      <c r="K17115" s="5"/>
    </row>
    <row r="17116" spans="1:11" x14ac:dyDescent="0.25">
      <c r="A17116" s="5">
        <f>17109</f>
      </c>
      <c r="B17116" s="5" t="s">
        <v>17124</v>
      </c>
      <c r="C17116" s="5">
        <v>119.3</v>
      </c>
      <c r="D17116" s="5">
        <v>0.1</v>
      </c>
      <c r="E17116" s="5">
        <v>119.4</v>
      </c>
      <c r="F17116" s="5">
        <v>237.3</v>
      </c>
      <c r="G17116" s="5">
        <v>118</v>
      </c>
      <c r="H17116" s="5">
        <v>117.8</v>
      </c>
      <c r="I17116" s="5"/>
      <c r="J17116" s="5"/>
      <c r="K17116" s="5"/>
    </row>
    <row r="17117" spans="1:11" x14ac:dyDescent="0.25">
      <c r="A17117" s="5">
        <f>17110</f>
      </c>
      <c r="B17117" s="5" t="s">
        <v>17125</v>
      </c>
      <c r="C17117" s="5">
        <v>119.1</v>
      </c>
      <c r="D17117" s="5">
        <v>0.1</v>
      </c>
      <c r="E17117" s="5">
        <v>119.3</v>
      </c>
      <c r="F17117" s="5">
        <v>237.1</v>
      </c>
      <c r="G17117" s="5">
        <v>117.9</v>
      </c>
      <c r="H17117" s="5">
        <v>117.7</v>
      </c>
      <c r="I17117" s="5"/>
      <c r="J17117" s="5"/>
      <c r="K17117" s="5"/>
    </row>
    <row r="17118" spans="1:11" x14ac:dyDescent="0.25">
      <c r="A17118" s="5">
        <f>17111</f>
      </c>
      <c r="B17118" s="5" t="s">
        <v>17126</v>
      </c>
      <c r="C17118" s="5">
        <v>119.1</v>
      </c>
      <c r="D17118" s="5">
        <v>0.1</v>
      </c>
      <c r="E17118" s="5">
        <v>119.3</v>
      </c>
      <c r="F17118" s="5">
        <v>237.1</v>
      </c>
      <c r="G17118" s="5">
        <v>117.9</v>
      </c>
      <c r="H17118" s="5">
        <v>117.7</v>
      </c>
      <c r="I17118" s="5"/>
      <c r="J17118" s="5"/>
      <c r="K17118" s="5"/>
    </row>
    <row r="17119" spans="1:11" x14ac:dyDescent="0.25">
      <c r="A17119" s="5">
        <f>17112</f>
      </c>
      <c r="B17119" s="5" t="s">
        <v>17127</v>
      </c>
      <c r="C17119" s="5">
        <v>119.7</v>
      </c>
      <c r="D17119" s="5">
        <v>0.1</v>
      </c>
      <c r="E17119" s="5">
        <v>119.9</v>
      </c>
      <c r="F17119" s="5">
        <v>238.3</v>
      </c>
      <c r="G17119" s="5">
        <v>118.4</v>
      </c>
      <c r="H17119" s="5">
        <v>118.3</v>
      </c>
      <c r="I17119" s="5"/>
      <c r="J17119" s="5"/>
      <c r="K17119" s="5"/>
    </row>
    <row r="17120" spans="1:11" x14ac:dyDescent="0.25">
      <c r="A17120" s="5">
        <f>17113</f>
      </c>
      <c r="B17120" s="5" t="s">
        <v>17128</v>
      </c>
      <c r="C17120" s="5">
        <v>119.7</v>
      </c>
      <c r="D17120" s="5">
        <v>0.1</v>
      </c>
      <c r="E17120" s="5">
        <v>119.9</v>
      </c>
      <c r="F17120" s="5">
        <v>238.3</v>
      </c>
      <c r="G17120" s="5">
        <v>118.4</v>
      </c>
      <c r="H17120" s="5">
        <v>118.3</v>
      </c>
      <c r="I17120" s="5"/>
      <c r="J17120" s="5"/>
      <c r="K17120" s="5"/>
    </row>
    <row r="17121" spans="1:11" x14ac:dyDescent="0.25">
      <c r="A17121" s="5">
        <f>17114</f>
      </c>
      <c r="B17121" s="5" t="s">
        <v>17129</v>
      </c>
      <c r="C17121" s="5">
        <v>119.6</v>
      </c>
      <c r="D17121" s="5">
        <v>0.1</v>
      </c>
      <c r="E17121" s="5">
        <v>119.8</v>
      </c>
      <c r="F17121" s="5">
        <v>237.7</v>
      </c>
      <c r="G17121" s="5">
        <v>118.2</v>
      </c>
      <c r="H17121" s="5">
        <v>118</v>
      </c>
      <c r="I17121" s="5"/>
      <c r="J17121" s="5"/>
      <c r="K17121" s="5"/>
    </row>
    <row r="17122" spans="1:11" x14ac:dyDescent="0.25">
      <c r="A17122" s="5">
        <f>17115</f>
      </c>
      <c r="B17122" s="5" t="s">
        <v>17130</v>
      </c>
      <c r="C17122" s="5">
        <v>119.6</v>
      </c>
      <c r="D17122" s="5">
        <v>0.1</v>
      </c>
      <c r="E17122" s="5">
        <v>119.8</v>
      </c>
      <c r="F17122" s="5">
        <v>237.7</v>
      </c>
      <c r="G17122" s="5">
        <v>118.2</v>
      </c>
      <c r="H17122" s="5">
        <v>118</v>
      </c>
      <c r="I17122" s="5"/>
      <c r="J17122" s="5"/>
      <c r="K17122" s="5"/>
    </row>
    <row r="17123" spans="1:11" x14ac:dyDescent="0.25">
      <c r="A17123" s="5">
        <f>17116</f>
      </c>
      <c r="B17123" s="5" t="s">
        <v>17131</v>
      </c>
      <c r="C17123" s="5">
        <v>119.3</v>
      </c>
      <c r="D17123" s="5">
        <v>0.1</v>
      </c>
      <c r="E17123" s="5">
        <v>119.4</v>
      </c>
      <c r="F17123" s="5">
        <v>237.5</v>
      </c>
      <c r="G17123" s="5">
        <v>118.1</v>
      </c>
      <c r="H17123" s="5">
        <v>117.9</v>
      </c>
      <c r="I17123" s="5"/>
      <c r="J17123" s="5"/>
      <c r="K17123" s="5"/>
    </row>
    <row r="17124" spans="1:11" x14ac:dyDescent="0.25">
      <c r="A17124" s="5">
        <f>17117</f>
      </c>
      <c r="B17124" s="5" t="s">
        <v>17132</v>
      </c>
      <c r="C17124" s="5">
        <v>119.3</v>
      </c>
      <c r="D17124" s="5">
        <v>0.1</v>
      </c>
      <c r="E17124" s="5">
        <v>119.4</v>
      </c>
      <c r="F17124" s="5">
        <v>237.5</v>
      </c>
      <c r="G17124" s="5">
        <v>118.1</v>
      </c>
      <c r="H17124" s="5">
        <v>117.9</v>
      </c>
      <c r="I17124" s="5"/>
      <c r="J17124" s="5"/>
      <c r="K17124" s="5"/>
    </row>
    <row r="17125" spans="1:11" x14ac:dyDescent="0.25">
      <c r="A17125" s="5">
        <f>17118</f>
      </c>
      <c r="B17125" s="5" t="s">
        <v>17133</v>
      </c>
      <c r="C17125" s="5">
        <v>119.3</v>
      </c>
      <c r="D17125" s="5">
        <v>0.1</v>
      </c>
      <c r="E17125" s="5">
        <v>119.4</v>
      </c>
      <c r="F17125" s="5">
        <v>237.5</v>
      </c>
      <c r="G17125" s="5">
        <v>118.1</v>
      </c>
      <c r="H17125" s="5">
        <v>117.9</v>
      </c>
      <c r="I17125" s="5"/>
      <c r="J17125" s="5"/>
      <c r="K17125" s="5"/>
    </row>
    <row r="17126" spans="1:11" x14ac:dyDescent="0.25">
      <c r="A17126" s="5">
        <f>17119</f>
      </c>
      <c r="B17126" s="5" t="s">
        <v>17134</v>
      </c>
      <c r="C17126" s="5">
        <v>119.3</v>
      </c>
      <c r="D17126" s="5">
        <v>0.1</v>
      </c>
      <c r="E17126" s="5">
        <v>119.4</v>
      </c>
      <c r="F17126" s="5">
        <v>237.5</v>
      </c>
      <c r="G17126" s="5">
        <v>118.1</v>
      </c>
      <c r="H17126" s="5">
        <v>117.9</v>
      </c>
      <c r="I17126" s="5"/>
      <c r="J17126" s="5"/>
      <c r="K17126" s="5"/>
    </row>
    <row r="17127" spans="1:11" x14ac:dyDescent="0.25">
      <c r="A17127" s="5">
        <f>17120</f>
      </c>
      <c r="B17127" s="5" t="s">
        <v>17135</v>
      </c>
      <c r="C17127" s="5">
        <v>119.6</v>
      </c>
      <c r="D17127" s="5">
        <v>0.1</v>
      </c>
      <c r="E17127" s="5">
        <v>119.7</v>
      </c>
      <c r="F17127" s="5">
        <v>237.6</v>
      </c>
      <c r="G17127" s="5">
        <v>118.2</v>
      </c>
      <c r="H17127" s="5">
        <v>118</v>
      </c>
      <c r="I17127" s="5"/>
      <c r="J17127" s="5"/>
      <c r="K17127" s="5"/>
    </row>
    <row r="17128" spans="1:11" x14ac:dyDescent="0.25">
      <c r="A17128" s="5">
        <f>17121</f>
      </c>
      <c r="B17128" s="5" t="s">
        <v>17136</v>
      </c>
      <c r="C17128" s="5">
        <v>119.6</v>
      </c>
      <c r="D17128" s="5">
        <v>0.1</v>
      </c>
      <c r="E17128" s="5">
        <v>119.7</v>
      </c>
      <c r="F17128" s="5">
        <v>237.6</v>
      </c>
      <c r="G17128" s="5">
        <v>118.2</v>
      </c>
      <c r="H17128" s="5">
        <v>118</v>
      </c>
      <c r="I17128" s="5"/>
      <c r="J17128" s="5"/>
      <c r="K17128" s="5"/>
    </row>
    <row r="17129" spans="1:11" x14ac:dyDescent="0.25">
      <c r="A17129" s="5">
        <f>17122</f>
      </c>
      <c r="B17129" s="5" t="s">
        <v>17137</v>
      </c>
      <c r="C17129" s="5">
        <v>119.4</v>
      </c>
      <c r="D17129" s="5">
        <v>0.1</v>
      </c>
      <c r="E17129" s="5">
        <v>119.6</v>
      </c>
      <c r="F17129" s="5">
        <v>237.5</v>
      </c>
      <c r="G17129" s="5">
        <v>118.1</v>
      </c>
      <c r="H17129" s="5">
        <v>117.9</v>
      </c>
      <c r="I17129" s="5"/>
      <c r="J17129" s="5"/>
      <c r="K17129" s="5"/>
    </row>
    <row r="17130" spans="1:11" x14ac:dyDescent="0.25">
      <c r="A17130" s="5">
        <f>17123</f>
      </c>
      <c r="B17130" s="5" t="s">
        <v>17138</v>
      </c>
      <c r="C17130" s="5">
        <v>119.4</v>
      </c>
      <c r="D17130" s="5">
        <v>0.1</v>
      </c>
      <c r="E17130" s="5">
        <v>119.6</v>
      </c>
      <c r="F17130" s="5">
        <v>237.5</v>
      </c>
      <c r="G17130" s="5">
        <v>118.1</v>
      </c>
      <c r="H17130" s="5">
        <v>117.9</v>
      </c>
      <c r="I17130" s="5"/>
      <c r="J17130" s="5"/>
      <c r="K17130" s="5"/>
    </row>
    <row r="17131" spans="1:11" x14ac:dyDescent="0.25">
      <c r="A17131" s="5">
        <f>17124</f>
      </c>
      <c r="B17131" s="5" t="s">
        <v>17139</v>
      </c>
      <c r="C17131" s="5">
        <v>119.8</v>
      </c>
      <c r="D17131" s="5">
        <v>0.1</v>
      </c>
      <c r="E17131" s="5">
        <v>120</v>
      </c>
      <c r="F17131" s="5">
        <v>238</v>
      </c>
      <c r="G17131" s="5">
        <v>118.4</v>
      </c>
      <c r="H17131" s="5">
        <v>118.2</v>
      </c>
      <c r="I17131" s="5"/>
      <c r="J17131" s="5"/>
      <c r="K17131" s="5"/>
    </row>
    <row r="17132" spans="1:11" x14ac:dyDescent="0.25">
      <c r="A17132" s="5">
        <f>17125</f>
      </c>
      <c r="B17132" s="5" t="s">
        <v>17140</v>
      </c>
      <c r="C17132" s="5">
        <v>119.8</v>
      </c>
      <c r="D17132" s="5">
        <v>0.1</v>
      </c>
      <c r="E17132" s="5">
        <v>120</v>
      </c>
      <c r="F17132" s="5">
        <v>238</v>
      </c>
      <c r="G17132" s="5">
        <v>118.4</v>
      </c>
      <c r="H17132" s="5">
        <v>118.2</v>
      </c>
      <c r="I17132" s="5"/>
      <c r="J17132" s="5"/>
      <c r="K17132" s="5"/>
    </row>
    <row r="17133" spans="1:11" x14ac:dyDescent="0.25">
      <c r="A17133" s="5">
        <f>17126</f>
      </c>
      <c r="B17133" s="5" t="s">
        <v>17141</v>
      </c>
      <c r="C17133" s="5">
        <v>119.9</v>
      </c>
      <c r="D17133" s="5">
        <v>0.1</v>
      </c>
      <c r="E17133" s="5">
        <v>120</v>
      </c>
      <c r="F17133" s="5">
        <v>237.7</v>
      </c>
      <c r="G17133" s="5">
        <v>118.2</v>
      </c>
      <c r="H17133" s="5">
        <v>118.1</v>
      </c>
      <c r="I17133" s="5"/>
      <c r="J17133" s="5"/>
      <c r="K17133" s="5"/>
    </row>
    <row r="17134" spans="1:11" x14ac:dyDescent="0.25">
      <c r="A17134" s="5">
        <f>17127</f>
      </c>
      <c r="B17134" s="5" t="s">
        <v>17142</v>
      </c>
      <c r="C17134" s="5">
        <v>119.9</v>
      </c>
      <c r="D17134" s="5">
        <v>0.1</v>
      </c>
      <c r="E17134" s="5">
        <v>120</v>
      </c>
      <c r="F17134" s="5">
        <v>237.7</v>
      </c>
      <c r="G17134" s="5">
        <v>118.2</v>
      </c>
      <c r="H17134" s="5">
        <v>118.1</v>
      </c>
      <c r="I17134" s="5"/>
      <c r="J17134" s="5"/>
      <c r="K17134" s="5"/>
    </row>
    <row r="17135" spans="1:11" x14ac:dyDescent="0.25">
      <c r="A17135" s="5">
        <f>17128</f>
      </c>
      <c r="B17135" s="5" t="s">
        <v>17143</v>
      </c>
      <c r="C17135" s="5">
        <v>119.9</v>
      </c>
      <c r="D17135" s="5">
        <v>0.1</v>
      </c>
      <c r="E17135" s="5">
        <v>120</v>
      </c>
      <c r="F17135" s="5">
        <v>237.7</v>
      </c>
      <c r="G17135" s="5">
        <v>118.2</v>
      </c>
      <c r="H17135" s="5">
        <v>118.1</v>
      </c>
      <c r="I17135" s="5"/>
      <c r="J17135" s="5"/>
      <c r="K17135" s="5"/>
    </row>
    <row r="17136" spans="1:11" x14ac:dyDescent="0.25">
      <c r="A17136" s="5">
        <f>17129</f>
      </c>
      <c r="B17136" s="5" t="s">
        <v>17144</v>
      </c>
      <c r="C17136" s="5">
        <v>119.9</v>
      </c>
      <c r="D17136" s="5">
        <v>0.1</v>
      </c>
      <c r="E17136" s="5">
        <v>120</v>
      </c>
      <c r="F17136" s="5">
        <v>237.7</v>
      </c>
      <c r="G17136" s="5">
        <v>118.2</v>
      </c>
      <c r="H17136" s="5">
        <v>118.1</v>
      </c>
      <c r="I17136" s="5"/>
      <c r="J17136" s="5"/>
      <c r="K17136" s="5"/>
    </row>
    <row r="17137" spans="1:11" x14ac:dyDescent="0.25">
      <c r="A17137" s="5">
        <f>17130</f>
      </c>
      <c r="B17137" s="5" t="s">
        <v>17145</v>
      </c>
      <c r="C17137" s="5">
        <v>119</v>
      </c>
      <c r="D17137" s="5">
        <v>0.1</v>
      </c>
      <c r="E17137" s="5">
        <v>119.1</v>
      </c>
      <c r="F17137" s="5">
        <v>237.4</v>
      </c>
      <c r="G17137" s="5">
        <v>118</v>
      </c>
      <c r="H17137" s="5">
        <v>117.9</v>
      </c>
      <c r="I17137" s="5"/>
      <c r="J17137" s="5"/>
      <c r="K17137" s="5"/>
    </row>
    <row r="17138" spans="1:11" x14ac:dyDescent="0.25">
      <c r="A17138" s="5">
        <f>17131</f>
      </c>
      <c r="B17138" s="5" t="s">
        <v>17146</v>
      </c>
      <c r="C17138" s="5">
        <v>119</v>
      </c>
      <c r="D17138" s="5">
        <v>0.1</v>
      </c>
      <c r="E17138" s="5">
        <v>119.1</v>
      </c>
      <c r="F17138" s="5">
        <v>237.4</v>
      </c>
      <c r="G17138" s="5">
        <v>118</v>
      </c>
      <c r="H17138" s="5">
        <v>117.9</v>
      </c>
      <c r="I17138" s="5"/>
      <c r="J17138" s="5"/>
      <c r="K17138" s="5"/>
    </row>
    <row r="17139" spans="1:11" x14ac:dyDescent="0.25">
      <c r="A17139" s="5">
        <f>17132</f>
      </c>
      <c r="B17139" s="5" t="s">
        <v>17147</v>
      </c>
      <c r="C17139" s="5">
        <v>119.1</v>
      </c>
      <c r="D17139" s="5">
        <v>0.1</v>
      </c>
      <c r="E17139" s="5">
        <v>119.3</v>
      </c>
      <c r="F17139" s="5">
        <v>236.9</v>
      </c>
      <c r="G17139" s="5">
        <v>117.8</v>
      </c>
      <c r="H17139" s="5">
        <v>117.7</v>
      </c>
      <c r="I17139" s="5"/>
      <c r="J17139" s="5"/>
      <c r="K17139" s="5"/>
    </row>
    <row r="17140" spans="1:11" x14ac:dyDescent="0.25">
      <c r="A17140" s="5">
        <f>17133</f>
      </c>
      <c r="B17140" s="5" t="s">
        <v>17148</v>
      </c>
      <c r="C17140" s="5">
        <v>119.1</v>
      </c>
      <c r="D17140" s="5">
        <v>0.1</v>
      </c>
      <c r="E17140" s="5">
        <v>119.3</v>
      </c>
      <c r="F17140" s="5">
        <v>236.9</v>
      </c>
      <c r="G17140" s="5">
        <v>117.8</v>
      </c>
      <c r="H17140" s="5">
        <v>117.7</v>
      </c>
      <c r="I17140" s="5"/>
      <c r="J17140" s="5"/>
      <c r="K17140" s="5"/>
    </row>
    <row r="17141" spans="1:11" x14ac:dyDescent="0.25">
      <c r="A17141" s="5">
        <f>17134</f>
      </c>
      <c r="B17141" s="5" t="s">
        <v>17149</v>
      </c>
      <c r="C17141" s="5">
        <v>119.2</v>
      </c>
      <c r="D17141" s="5">
        <v>0.1</v>
      </c>
      <c r="E17141" s="5">
        <v>119.4</v>
      </c>
      <c r="F17141" s="5">
        <v>236.6</v>
      </c>
      <c r="G17141" s="5">
        <v>117.7</v>
      </c>
      <c r="H17141" s="5">
        <v>117.5</v>
      </c>
      <c r="I17141" s="5"/>
      <c r="J17141" s="5"/>
      <c r="K17141" s="5"/>
    </row>
    <row r="17142" spans="1:11" x14ac:dyDescent="0.25">
      <c r="A17142" s="5">
        <f>17135</f>
      </c>
      <c r="B17142" s="5" t="s">
        <v>17150</v>
      </c>
      <c r="C17142" s="5">
        <v>119.2</v>
      </c>
      <c r="D17142" s="5">
        <v>0.1</v>
      </c>
      <c r="E17142" s="5">
        <v>119.4</v>
      </c>
      <c r="F17142" s="5">
        <v>236.6</v>
      </c>
      <c r="G17142" s="5">
        <v>117.7</v>
      </c>
      <c r="H17142" s="5">
        <v>117.5</v>
      </c>
      <c r="I17142" s="5"/>
      <c r="J17142" s="5"/>
      <c r="K17142" s="5"/>
    </row>
    <row r="17143" spans="1:11" x14ac:dyDescent="0.25">
      <c r="A17143" s="5">
        <f>17136</f>
      </c>
      <c r="B17143" s="5" t="s">
        <v>17151</v>
      </c>
      <c r="C17143" s="5">
        <v>119.4</v>
      </c>
      <c r="D17143" s="5">
        <v>0.1</v>
      </c>
      <c r="E17143" s="5">
        <v>119.6</v>
      </c>
      <c r="F17143" s="5">
        <v>237.2</v>
      </c>
      <c r="G17143" s="5">
        <v>117.9</v>
      </c>
      <c r="H17143" s="5">
        <v>117.8</v>
      </c>
      <c r="I17143" s="5"/>
      <c r="J17143" s="5"/>
      <c r="K17143" s="5"/>
    </row>
    <row r="17144" spans="1:11" x14ac:dyDescent="0.25">
      <c r="A17144" s="5">
        <f>17137</f>
      </c>
      <c r="B17144" s="5" t="s">
        <v>17152</v>
      </c>
      <c r="C17144" s="5">
        <v>119.4</v>
      </c>
      <c r="D17144" s="5">
        <v>0.1</v>
      </c>
      <c r="E17144" s="5">
        <v>119.6</v>
      </c>
      <c r="F17144" s="5">
        <v>237.2</v>
      </c>
      <c r="G17144" s="5">
        <v>117.9</v>
      </c>
      <c r="H17144" s="5">
        <v>117.8</v>
      </c>
      <c r="I17144" s="5"/>
      <c r="J17144" s="5"/>
      <c r="K17144" s="5"/>
    </row>
    <row r="17145" spans="1:11" x14ac:dyDescent="0.25">
      <c r="A17145" s="5">
        <f>17138</f>
      </c>
      <c r="B17145" s="5" t="s">
        <v>17153</v>
      </c>
      <c r="C17145" s="5">
        <v>119.4</v>
      </c>
      <c r="D17145" s="5">
        <v>0.1</v>
      </c>
      <c r="E17145" s="5">
        <v>119.6</v>
      </c>
      <c r="F17145" s="5">
        <v>237.2</v>
      </c>
      <c r="G17145" s="5">
        <v>117.9</v>
      </c>
      <c r="H17145" s="5">
        <v>117.8</v>
      </c>
      <c r="I17145" s="5"/>
      <c r="J17145" s="5"/>
      <c r="K17145" s="5"/>
    </row>
    <row r="17146" spans="1:11" x14ac:dyDescent="0.25">
      <c r="A17146" s="5">
        <f>17139</f>
      </c>
      <c r="B17146" s="5" t="s">
        <v>17154</v>
      </c>
      <c r="C17146" s="5">
        <v>119.4</v>
      </c>
      <c r="D17146" s="5">
        <v>0.1</v>
      </c>
      <c r="E17146" s="5">
        <v>119.6</v>
      </c>
      <c r="F17146" s="5">
        <v>237.2</v>
      </c>
      <c r="G17146" s="5">
        <v>117.9</v>
      </c>
      <c r="H17146" s="5">
        <v>117.8</v>
      </c>
      <c r="I17146" s="5"/>
      <c r="J17146" s="5"/>
      <c r="K17146" s="5"/>
    </row>
    <row r="17147" spans="1:11" x14ac:dyDescent="0.25">
      <c r="A17147" s="5">
        <f>17140</f>
      </c>
      <c r="B17147" s="5" t="s">
        <v>17155</v>
      </c>
      <c r="C17147" s="5">
        <v>119.3</v>
      </c>
      <c r="D17147" s="5">
        <v>0.1</v>
      </c>
      <c r="E17147" s="5">
        <v>119.4</v>
      </c>
      <c r="F17147" s="5">
        <v>237</v>
      </c>
      <c r="G17147" s="5">
        <v>117.9</v>
      </c>
      <c r="H17147" s="5">
        <v>117.7</v>
      </c>
      <c r="I17147" s="5"/>
      <c r="J17147" s="5"/>
      <c r="K17147" s="5"/>
    </row>
    <row r="17148" spans="1:11" x14ac:dyDescent="0.25">
      <c r="A17148" s="5">
        <f>17141</f>
      </c>
      <c r="B17148" s="5" t="s">
        <v>17156</v>
      </c>
      <c r="C17148" s="5">
        <v>119.3</v>
      </c>
      <c r="D17148" s="5">
        <v>0.1</v>
      </c>
      <c r="E17148" s="5">
        <v>119.4</v>
      </c>
      <c r="F17148" s="5">
        <v>237</v>
      </c>
      <c r="G17148" s="5">
        <v>117.9</v>
      </c>
      <c r="H17148" s="5">
        <v>117.7</v>
      </c>
      <c r="I17148" s="5"/>
      <c r="J17148" s="5"/>
      <c r="K17148" s="5"/>
    </row>
    <row r="17149" spans="1:11" x14ac:dyDescent="0.25">
      <c r="A17149" s="5">
        <f>17142</f>
      </c>
      <c r="B17149" s="5" t="s">
        <v>17157</v>
      </c>
      <c r="C17149" s="5">
        <v>119.1</v>
      </c>
      <c r="D17149" s="5">
        <v>0.1</v>
      </c>
      <c r="E17149" s="5">
        <v>119.3</v>
      </c>
      <c r="F17149" s="5">
        <v>237.3</v>
      </c>
      <c r="G17149" s="5">
        <v>117.9</v>
      </c>
      <c r="H17149" s="5">
        <v>117.8</v>
      </c>
      <c r="I17149" s="5"/>
      <c r="J17149" s="5"/>
      <c r="K17149" s="5"/>
    </row>
    <row r="17150" spans="1:11" x14ac:dyDescent="0.25">
      <c r="A17150" s="5">
        <f>17143</f>
      </c>
      <c r="B17150" s="5" t="s">
        <v>17158</v>
      </c>
      <c r="C17150" s="5">
        <v>119.1</v>
      </c>
      <c r="D17150" s="5">
        <v>0.1</v>
      </c>
      <c r="E17150" s="5">
        <v>119.3</v>
      </c>
      <c r="F17150" s="5">
        <v>237.3</v>
      </c>
      <c r="G17150" s="5">
        <v>117.9</v>
      </c>
      <c r="H17150" s="5">
        <v>117.8</v>
      </c>
      <c r="I17150" s="5"/>
      <c r="J17150" s="5"/>
      <c r="K17150" s="5"/>
    </row>
    <row r="17151" spans="1:11" x14ac:dyDescent="0.25">
      <c r="A17151" s="5">
        <f>17144</f>
      </c>
      <c r="B17151" s="5" t="s">
        <v>17159</v>
      </c>
      <c r="C17151" s="5">
        <v>119.6</v>
      </c>
      <c r="D17151" s="5">
        <v>0.1</v>
      </c>
      <c r="E17151" s="5">
        <v>119.8</v>
      </c>
      <c r="F17151" s="5">
        <v>237.4</v>
      </c>
      <c r="G17151" s="5">
        <v>118</v>
      </c>
      <c r="H17151" s="5">
        <v>117.8</v>
      </c>
      <c r="I17151" s="5"/>
      <c r="J17151" s="5"/>
      <c r="K17151" s="5"/>
    </row>
    <row r="17152" spans="1:11" x14ac:dyDescent="0.25">
      <c r="A17152" s="5">
        <f>17145</f>
      </c>
      <c r="B17152" s="5" t="s">
        <v>17160</v>
      </c>
      <c r="C17152" s="5">
        <v>119.6</v>
      </c>
      <c r="D17152" s="5">
        <v>0.1</v>
      </c>
      <c r="E17152" s="5">
        <v>119.8</v>
      </c>
      <c r="F17152" s="5">
        <v>237.4</v>
      </c>
      <c r="G17152" s="5">
        <v>118</v>
      </c>
      <c r="H17152" s="5">
        <v>117.8</v>
      </c>
      <c r="I17152" s="5"/>
      <c r="J17152" s="5"/>
      <c r="K17152" s="5"/>
    </row>
    <row r="17153" spans="1:11" x14ac:dyDescent="0.25">
      <c r="A17153" s="5">
        <f>17146</f>
      </c>
      <c r="B17153" s="5" t="s">
        <v>17161</v>
      </c>
      <c r="C17153" s="5">
        <v>119.4</v>
      </c>
      <c r="D17153" s="5">
        <v>0.1</v>
      </c>
      <c r="E17153" s="5">
        <v>119.6</v>
      </c>
      <c r="F17153" s="5">
        <v>237.6</v>
      </c>
      <c r="G17153" s="5">
        <v>118.1</v>
      </c>
      <c r="H17153" s="5">
        <v>118</v>
      </c>
      <c r="I17153" s="5"/>
      <c r="J17153" s="5"/>
      <c r="K17153" s="5"/>
    </row>
    <row r="17154" spans="1:11" x14ac:dyDescent="0.25">
      <c r="A17154" s="5">
        <f>17147</f>
      </c>
      <c r="B17154" s="5" t="s">
        <v>17162</v>
      </c>
      <c r="C17154" s="5">
        <v>119.4</v>
      </c>
      <c r="D17154" s="5">
        <v>0.1</v>
      </c>
      <c r="E17154" s="5">
        <v>119.6</v>
      </c>
      <c r="F17154" s="5">
        <v>237.6</v>
      </c>
      <c r="G17154" s="5">
        <v>118.1</v>
      </c>
      <c r="H17154" s="5">
        <v>118</v>
      </c>
      <c r="I17154" s="5"/>
      <c r="J17154" s="5"/>
      <c r="K17154" s="5"/>
    </row>
    <row r="17155" spans="1:11" x14ac:dyDescent="0.25">
      <c r="A17155" s="5">
        <f>17148</f>
      </c>
      <c r="B17155" s="5" t="s">
        <v>17163</v>
      </c>
      <c r="C17155" s="5">
        <v>119.4</v>
      </c>
      <c r="D17155" s="5">
        <v>0.1</v>
      </c>
      <c r="E17155" s="5">
        <v>119.6</v>
      </c>
      <c r="F17155" s="5">
        <v>237.6</v>
      </c>
      <c r="G17155" s="5">
        <v>118.1</v>
      </c>
      <c r="H17155" s="5">
        <v>118</v>
      </c>
      <c r="I17155" s="5"/>
      <c r="J17155" s="5"/>
      <c r="K17155" s="5"/>
    </row>
    <row r="17156" spans="1:11" x14ac:dyDescent="0.25">
      <c r="A17156" s="5">
        <f>17149</f>
      </c>
      <c r="B17156" s="5" t="s">
        <v>17164</v>
      </c>
      <c r="C17156" s="5">
        <v>119.4</v>
      </c>
      <c r="D17156" s="5">
        <v>0.1</v>
      </c>
      <c r="E17156" s="5">
        <v>119.6</v>
      </c>
      <c r="F17156" s="5">
        <v>237.6</v>
      </c>
      <c r="G17156" s="5">
        <v>118.1</v>
      </c>
      <c r="H17156" s="5">
        <v>118</v>
      </c>
      <c r="I17156" s="5"/>
      <c r="J17156" s="5"/>
      <c r="K17156" s="5"/>
    </row>
    <row r="17157" spans="1:11" x14ac:dyDescent="0.25">
      <c r="A17157" s="5">
        <f>17150</f>
      </c>
      <c r="B17157" s="5" t="s">
        <v>17165</v>
      </c>
      <c r="C17157" s="5">
        <v>119.4</v>
      </c>
      <c r="D17157" s="5">
        <v>0.1</v>
      </c>
      <c r="E17157" s="5">
        <v>119.6</v>
      </c>
      <c r="F17157" s="5">
        <v>237.1</v>
      </c>
      <c r="G17157" s="5">
        <v>117.9</v>
      </c>
      <c r="H17157" s="5">
        <v>117.7</v>
      </c>
      <c r="I17157" s="5"/>
      <c r="J17157" s="5"/>
      <c r="K17157" s="5"/>
    </row>
    <row r="17158" spans="1:11" x14ac:dyDescent="0.25">
      <c r="A17158" s="5">
        <f>17151</f>
      </c>
      <c r="B17158" s="5" t="s">
        <v>17166</v>
      </c>
      <c r="C17158" s="5">
        <v>119.4</v>
      </c>
      <c r="D17158" s="5">
        <v>0.1</v>
      </c>
      <c r="E17158" s="5">
        <v>119.6</v>
      </c>
      <c r="F17158" s="5">
        <v>237.1</v>
      </c>
      <c r="G17158" s="5">
        <v>117.9</v>
      </c>
      <c r="H17158" s="5">
        <v>117.7</v>
      </c>
      <c r="I17158" s="5"/>
      <c r="J17158" s="5"/>
      <c r="K17158" s="5"/>
    </row>
    <row r="17159" spans="1:11" x14ac:dyDescent="0.25">
      <c r="A17159" s="5">
        <f>17152</f>
      </c>
      <c r="B17159" s="5" t="s">
        <v>17167</v>
      </c>
      <c r="C17159" s="5">
        <v>118.8</v>
      </c>
      <c r="D17159" s="5">
        <v>0.1</v>
      </c>
      <c r="E17159" s="5">
        <v>119</v>
      </c>
      <c r="F17159" s="5">
        <v>236.6</v>
      </c>
      <c r="G17159" s="5">
        <v>117.6</v>
      </c>
      <c r="H17159" s="5">
        <v>117.5</v>
      </c>
      <c r="I17159" s="5"/>
      <c r="J17159" s="5"/>
      <c r="K17159" s="5"/>
    </row>
    <row r="17160" spans="1:11" x14ac:dyDescent="0.25">
      <c r="A17160" s="5">
        <f>17153</f>
      </c>
      <c r="B17160" s="5" t="s">
        <v>17168</v>
      </c>
      <c r="C17160" s="5">
        <v>118.8</v>
      </c>
      <c r="D17160" s="5">
        <v>0.1</v>
      </c>
      <c r="E17160" s="5">
        <v>119</v>
      </c>
      <c r="F17160" s="5">
        <v>236.6</v>
      </c>
      <c r="G17160" s="5">
        <v>117.6</v>
      </c>
      <c r="H17160" s="5">
        <v>117.5</v>
      </c>
      <c r="I17160" s="5"/>
      <c r="J17160" s="5"/>
      <c r="K17160" s="5"/>
    </row>
    <row r="17161" spans="1:11" x14ac:dyDescent="0.25">
      <c r="A17161" s="5">
        <f>17154</f>
      </c>
      <c r="B17161" s="5" t="s">
        <v>17169</v>
      </c>
      <c r="C17161" s="5">
        <v>118.7</v>
      </c>
      <c r="D17161" s="5">
        <v>0.1</v>
      </c>
      <c r="E17161" s="5">
        <v>118.9</v>
      </c>
      <c r="F17161" s="5">
        <v>236.6</v>
      </c>
      <c r="G17161" s="5">
        <v>117.7</v>
      </c>
      <c r="H17161" s="5">
        <v>117.5</v>
      </c>
      <c r="I17161" s="5"/>
      <c r="J17161" s="5"/>
      <c r="K17161" s="5"/>
    </row>
    <row r="17162" spans="1:11" x14ac:dyDescent="0.25">
      <c r="A17162" s="5">
        <f>17155</f>
      </c>
      <c r="B17162" s="5" t="s">
        <v>17170</v>
      </c>
      <c r="C17162" s="5">
        <v>118.7</v>
      </c>
      <c r="D17162" s="5">
        <v>0.1</v>
      </c>
      <c r="E17162" s="5">
        <v>118.9</v>
      </c>
      <c r="F17162" s="5">
        <v>236.6</v>
      </c>
      <c r="G17162" s="5">
        <v>117.7</v>
      </c>
      <c r="H17162" s="5">
        <v>117.5</v>
      </c>
      <c r="I17162" s="5"/>
      <c r="J17162" s="5"/>
      <c r="K17162" s="5"/>
    </row>
    <row r="17163" spans="1:11" x14ac:dyDescent="0.25">
      <c r="A17163" s="5">
        <f>17156</f>
      </c>
      <c r="B17163" s="5" t="s">
        <v>17171</v>
      </c>
      <c r="C17163" s="5">
        <v>118.7</v>
      </c>
      <c r="D17163" s="5">
        <v>0.1</v>
      </c>
      <c r="E17163" s="5">
        <v>118.9</v>
      </c>
      <c r="F17163" s="5">
        <v>236.7</v>
      </c>
      <c r="G17163" s="5">
        <v>117.7</v>
      </c>
      <c r="H17163" s="5">
        <v>117.5</v>
      </c>
      <c r="I17163" s="5"/>
      <c r="J17163" s="5"/>
      <c r="K17163" s="5"/>
    </row>
    <row r="17164" spans="1:11" x14ac:dyDescent="0.25">
      <c r="A17164" s="5">
        <f>17157</f>
      </c>
      <c r="B17164" s="5" t="s">
        <v>17172</v>
      </c>
      <c r="C17164" s="5">
        <v>118.7</v>
      </c>
      <c r="D17164" s="5">
        <v>0.1</v>
      </c>
      <c r="E17164" s="5">
        <v>118.9</v>
      </c>
      <c r="F17164" s="5">
        <v>236.7</v>
      </c>
      <c r="G17164" s="5">
        <v>117.7</v>
      </c>
      <c r="H17164" s="5">
        <v>117.5</v>
      </c>
      <c r="I17164" s="5"/>
      <c r="J17164" s="5"/>
      <c r="K17164" s="5"/>
    </row>
    <row r="17165" spans="1:11" x14ac:dyDescent="0.25">
      <c r="A17165" s="5">
        <f>17158</f>
      </c>
      <c r="B17165" s="5" t="s">
        <v>17173</v>
      </c>
      <c r="C17165" s="5">
        <v>118.7</v>
      </c>
      <c r="D17165" s="5">
        <v>0.1</v>
      </c>
      <c r="E17165" s="5">
        <v>118.9</v>
      </c>
      <c r="F17165" s="5">
        <v>236.7</v>
      </c>
      <c r="G17165" s="5">
        <v>117.7</v>
      </c>
      <c r="H17165" s="5">
        <v>117.5</v>
      </c>
      <c r="I17165" s="5"/>
      <c r="J17165" s="5"/>
      <c r="K17165" s="5"/>
    </row>
    <row r="17166" spans="1:11" x14ac:dyDescent="0.25">
      <c r="A17166" s="5">
        <f>17159</f>
      </c>
      <c r="B17166" s="5" t="s">
        <v>17174</v>
      </c>
      <c r="C17166" s="5">
        <v>119.2</v>
      </c>
      <c r="D17166" s="5">
        <v>0.1</v>
      </c>
      <c r="E17166" s="5">
        <v>119.3</v>
      </c>
      <c r="F17166" s="5">
        <v>236.9</v>
      </c>
      <c r="G17166" s="5">
        <v>117.8</v>
      </c>
      <c r="H17166" s="5">
        <v>117.5</v>
      </c>
      <c r="I17166" s="5"/>
      <c r="J17166" s="5"/>
      <c r="K17166" s="5"/>
    </row>
    <row r="17167" spans="1:11" x14ac:dyDescent="0.25">
      <c r="A17167" s="5">
        <f>17160</f>
      </c>
      <c r="B17167" s="5" t="s">
        <v>17175</v>
      </c>
      <c r="C17167" s="5">
        <v>119.2</v>
      </c>
      <c r="D17167" s="5">
        <v>0.1</v>
      </c>
      <c r="E17167" s="5">
        <v>119.3</v>
      </c>
      <c r="F17167" s="5">
        <v>236.9</v>
      </c>
      <c r="G17167" s="5">
        <v>117.8</v>
      </c>
      <c r="H17167" s="5">
        <v>117.6</v>
      </c>
      <c r="I17167" s="5"/>
      <c r="J17167" s="5"/>
      <c r="K17167" s="5"/>
    </row>
    <row r="17168" spans="1:11" x14ac:dyDescent="0.25">
      <c r="A17168" s="5">
        <f>17161</f>
      </c>
      <c r="B17168" s="5" t="s">
        <v>17176</v>
      </c>
      <c r="C17168" s="5">
        <v>119.3</v>
      </c>
      <c r="D17168" s="5">
        <v>0.1</v>
      </c>
      <c r="E17168" s="5">
        <v>119.4</v>
      </c>
      <c r="F17168" s="5">
        <v>237.4</v>
      </c>
      <c r="G17168" s="5">
        <v>118</v>
      </c>
      <c r="H17168" s="5">
        <v>117.6</v>
      </c>
      <c r="I17168" s="5"/>
      <c r="J17168" s="5"/>
      <c r="K17168" s="5"/>
    </row>
    <row r="17169" spans="1:11" x14ac:dyDescent="0.25">
      <c r="A17169" s="5">
        <f>17162</f>
      </c>
      <c r="B17169" s="5" t="s">
        <v>17177</v>
      </c>
      <c r="C17169" s="5">
        <v>119.3</v>
      </c>
      <c r="D17169" s="5">
        <v>0.1</v>
      </c>
      <c r="E17169" s="5">
        <v>119.4</v>
      </c>
      <c r="F17169" s="5">
        <v>237.4</v>
      </c>
      <c r="G17169" s="5">
        <v>118</v>
      </c>
      <c r="H17169" s="5">
        <v>117.9</v>
      </c>
      <c r="I17169" s="5"/>
      <c r="J17169" s="5"/>
      <c r="K17169" s="5"/>
    </row>
    <row r="17170" spans="1:11" x14ac:dyDescent="0.25">
      <c r="A17170" s="5">
        <f>17163</f>
      </c>
      <c r="B17170" s="5" t="s">
        <v>17178</v>
      </c>
      <c r="C17170" s="5">
        <v>119</v>
      </c>
      <c r="D17170" s="5">
        <v>0.1</v>
      </c>
      <c r="E17170" s="5">
        <v>119.2</v>
      </c>
      <c r="F17170" s="5">
        <v>237.4</v>
      </c>
      <c r="G17170" s="5">
        <v>118</v>
      </c>
      <c r="H17170" s="5">
        <v>117.9</v>
      </c>
      <c r="I17170" s="5"/>
      <c r="J17170" s="5"/>
      <c r="K17170" s="5"/>
    </row>
    <row r="17171" spans="1:11" x14ac:dyDescent="0.25">
      <c r="A17171" s="5">
        <f>17164</f>
      </c>
      <c r="B17171" s="5" t="s">
        <v>17179</v>
      </c>
      <c r="C17171" s="5">
        <v>119</v>
      </c>
      <c r="D17171" s="5">
        <v>0.1</v>
      </c>
      <c r="E17171" s="5">
        <v>119.2</v>
      </c>
      <c r="F17171" s="5">
        <v>237.1</v>
      </c>
      <c r="G17171" s="5">
        <v>117.9</v>
      </c>
      <c r="H17171" s="5">
        <v>117.7</v>
      </c>
      <c r="I17171" s="5"/>
      <c r="J17171" s="5"/>
      <c r="K17171" s="5"/>
    </row>
    <row r="17172" spans="1:11" x14ac:dyDescent="0.25">
      <c r="A17172" s="5">
        <f>17165</f>
      </c>
      <c r="B17172" s="5" t="s">
        <v>17180</v>
      </c>
      <c r="C17172" s="5">
        <v>119</v>
      </c>
      <c r="D17172" s="5">
        <v>0.1</v>
      </c>
      <c r="E17172" s="5">
        <v>119.2</v>
      </c>
      <c r="F17172" s="5">
        <v>237.1</v>
      </c>
      <c r="G17172" s="5">
        <v>117.9</v>
      </c>
      <c r="H17172" s="5">
        <v>117.7</v>
      </c>
      <c r="I17172" s="5"/>
      <c r="J17172" s="5"/>
      <c r="K17172" s="5"/>
    </row>
    <row r="17173" spans="1:11" x14ac:dyDescent="0.25">
      <c r="A17173" s="5">
        <f>17166</f>
      </c>
      <c r="B17173" s="5" t="s">
        <v>17181</v>
      </c>
      <c r="C17173" s="5">
        <v>118.9</v>
      </c>
      <c r="D17173" s="5">
        <v>0.1</v>
      </c>
      <c r="E17173" s="5">
        <v>119</v>
      </c>
      <c r="F17173" s="5">
        <v>237.2</v>
      </c>
      <c r="G17173" s="5">
        <v>118</v>
      </c>
      <c r="H17173" s="5">
        <v>117.8</v>
      </c>
      <c r="I17173" s="5"/>
      <c r="J17173" s="5"/>
      <c r="K17173" s="5"/>
    </row>
    <row r="17174" spans="1:11" x14ac:dyDescent="0.25">
      <c r="A17174" s="5">
        <f>17167</f>
      </c>
      <c r="B17174" s="5" t="s">
        <v>17182</v>
      </c>
      <c r="C17174" s="5">
        <v>118.9</v>
      </c>
      <c r="D17174" s="5">
        <v>0.1</v>
      </c>
      <c r="E17174" s="5">
        <v>119</v>
      </c>
      <c r="F17174" s="5">
        <v>237.2</v>
      </c>
      <c r="G17174" s="5">
        <v>118</v>
      </c>
      <c r="H17174" s="5">
        <v>117.8</v>
      </c>
      <c r="I17174" s="5"/>
      <c r="J17174" s="5"/>
      <c r="K17174" s="5"/>
    </row>
    <row r="17175" spans="1:11" x14ac:dyDescent="0.25">
      <c r="A17175" s="5">
        <f>17168</f>
      </c>
      <c r="B17175" s="5" t="s">
        <v>17183</v>
      </c>
      <c r="C17175" s="5">
        <v>118.9</v>
      </c>
      <c r="D17175" s="5">
        <v>0.1</v>
      </c>
      <c r="E17175" s="5">
        <v>119</v>
      </c>
      <c r="F17175" s="5">
        <v>237.2</v>
      </c>
      <c r="G17175" s="5">
        <v>118</v>
      </c>
      <c r="H17175" s="5">
        <v>117.8</v>
      </c>
      <c r="I17175" s="5"/>
      <c r="J17175" s="5"/>
      <c r="K17175" s="5"/>
    </row>
    <row r="17176" spans="1:11" x14ac:dyDescent="0.25">
      <c r="A17176" s="5">
        <f>17169</f>
      </c>
      <c r="B17176" s="5" t="s">
        <v>17184</v>
      </c>
      <c r="C17176" s="5">
        <v>118.9</v>
      </c>
      <c r="D17176" s="5">
        <v>0.1</v>
      </c>
      <c r="E17176" s="5">
        <v>119</v>
      </c>
      <c r="F17176" s="5">
        <v>237.2</v>
      </c>
      <c r="G17176" s="5">
        <v>118</v>
      </c>
      <c r="H17176" s="5">
        <v>117.8</v>
      </c>
      <c r="I17176" s="5"/>
      <c r="J17176" s="5"/>
      <c r="K17176" s="5"/>
    </row>
    <row r="17177" spans="1:11" x14ac:dyDescent="0.25">
      <c r="A17177" s="5">
        <f>17170</f>
      </c>
      <c r="B17177" s="5" t="s">
        <v>17185</v>
      </c>
      <c r="C17177" s="5">
        <v>119.3</v>
      </c>
      <c r="D17177" s="5">
        <v>0.1</v>
      </c>
      <c r="E17177" s="5">
        <v>119.5</v>
      </c>
      <c r="F17177" s="5">
        <v>237.7</v>
      </c>
      <c r="G17177" s="5">
        <v>118.2</v>
      </c>
      <c r="H17177" s="5">
        <v>118</v>
      </c>
      <c r="I17177" s="5"/>
      <c r="J17177" s="5"/>
      <c r="K17177" s="5"/>
    </row>
    <row r="17178" spans="1:11" x14ac:dyDescent="0.25">
      <c r="A17178" s="5">
        <f>17171</f>
      </c>
      <c r="B17178" s="5" t="s">
        <v>17186</v>
      </c>
      <c r="C17178" s="5">
        <v>119.3</v>
      </c>
      <c r="D17178" s="5">
        <v>0.1</v>
      </c>
      <c r="E17178" s="5">
        <v>119.5</v>
      </c>
      <c r="F17178" s="5">
        <v>237.7</v>
      </c>
      <c r="G17178" s="5">
        <v>118.2</v>
      </c>
      <c r="H17178" s="5">
        <v>118</v>
      </c>
      <c r="I17178" s="5"/>
      <c r="J17178" s="5"/>
      <c r="K17178" s="5"/>
    </row>
    <row r="17179" spans="1:11" x14ac:dyDescent="0.25">
      <c r="A17179" s="5">
        <f>17172</f>
      </c>
      <c r="B17179" s="5" t="s">
        <v>17187</v>
      </c>
      <c r="C17179" s="5">
        <v>119.1</v>
      </c>
      <c r="D17179" s="5">
        <v>0.1</v>
      </c>
      <c r="E17179" s="5">
        <v>119.3</v>
      </c>
      <c r="F17179" s="5">
        <v>237.9</v>
      </c>
      <c r="G17179" s="5">
        <v>118.3</v>
      </c>
      <c r="H17179" s="5">
        <v>118.1</v>
      </c>
      <c r="I17179" s="5"/>
      <c r="J17179" s="5"/>
      <c r="K17179" s="5"/>
    </row>
    <row r="17180" spans="1:11" x14ac:dyDescent="0.25">
      <c r="A17180" s="5">
        <f>17173</f>
      </c>
      <c r="B17180" s="5" t="s">
        <v>17188</v>
      </c>
      <c r="C17180" s="5">
        <v>119.1</v>
      </c>
      <c r="D17180" s="5">
        <v>0.1</v>
      </c>
      <c r="E17180" s="5">
        <v>119.3</v>
      </c>
      <c r="F17180" s="5">
        <v>237.9</v>
      </c>
      <c r="G17180" s="5">
        <v>118.3</v>
      </c>
      <c r="H17180" s="5">
        <v>118.1</v>
      </c>
      <c r="I17180" s="5"/>
      <c r="J17180" s="5"/>
      <c r="K17180" s="5"/>
    </row>
    <row r="17181" spans="1:11" x14ac:dyDescent="0.25">
      <c r="A17181" s="5">
        <f>17174</f>
      </c>
      <c r="B17181" s="5" t="s">
        <v>17189</v>
      </c>
      <c r="C17181" s="5">
        <v>119.2</v>
      </c>
      <c r="D17181" s="5">
        <v>0.1</v>
      </c>
      <c r="E17181" s="5">
        <v>119.3</v>
      </c>
      <c r="F17181" s="5">
        <v>237.7</v>
      </c>
      <c r="G17181" s="5">
        <v>118.2</v>
      </c>
      <c r="H17181" s="5">
        <v>118</v>
      </c>
      <c r="I17181" s="5"/>
      <c r="J17181" s="5"/>
      <c r="K17181" s="5"/>
    </row>
    <row r="17182" spans="1:11" x14ac:dyDescent="0.25">
      <c r="A17182" s="5">
        <f>17175</f>
      </c>
      <c r="B17182" s="5" t="s">
        <v>17190</v>
      </c>
      <c r="C17182" s="5">
        <v>119.2</v>
      </c>
      <c r="D17182" s="5">
        <v>0.1</v>
      </c>
      <c r="E17182" s="5">
        <v>119.3</v>
      </c>
      <c r="F17182" s="5">
        <v>237.7</v>
      </c>
      <c r="G17182" s="5">
        <v>118.2</v>
      </c>
      <c r="H17182" s="5">
        <v>118</v>
      </c>
      <c r="I17182" s="5"/>
      <c r="J17182" s="5"/>
      <c r="K17182" s="5"/>
    </row>
    <row r="17183" spans="1:11" x14ac:dyDescent="0.25">
      <c r="A17183" s="5">
        <f>17176</f>
      </c>
      <c r="B17183" s="5" t="s">
        <v>17191</v>
      </c>
      <c r="C17183" s="5">
        <v>118.8</v>
      </c>
      <c r="D17183" s="5">
        <v>0.1</v>
      </c>
      <c r="E17183" s="5">
        <v>119</v>
      </c>
      <c r="F17183" s="5">
        <v>237</v>
      </c>
      <c r="G17183" s="5">
        <v>117.9</v>
      </c>
      <c r="H17183" s="5">
        <v>117.7</v>
      </c>
      <c r="I17183" s="5"/>
      <c r="J17183" s="5"/>
      <c r="K17183" s="5"/>
    </row>
    <row r="17184" spans="1:11" x14ac:dyDescent="0.25">
      <c r="A17184" s="5">
        <f>17177</f>
      </c>
      <c r="B17184" s="5" t="s">
        <v>17192</v>
      </c>
      <c r="C17184" s="5">
        <v>118.8</v>
      </c>
      <c r="D17184" s="5">
        <v>0.1</v>
      </c>
      <c r="E17184" s="5">
        <v>119</v>
      </c>
      <c r="F17184" s="5">
        <v>237</v>
      </c>
      <c r="G17184" s="5">
        <v>117.9</v>
      </c>
      <c r="H17184" s="5">
        <v>117.7</v>
      </c>
      <c r="I17184" s="5"/>
      <c r="J17184" s="5"/>
      <c r="K17184" s="5"/>
    </row>
    <row r="17185" spans="1:11" x14ac:dyDescent="0.25">
      <c r="A17185" s="5">
        <f>17178</f>
      </c>
      <c r="B17185" s="5" t="s">
        <v>17193</v>
      </c>
      <c r="C17185" s="5">
        <v>118.8</v>
      </c>
      <c r="D17185" s="5">
        <v>0.1</v>
      </c>
      <c r="E17185" s="5">
        <v>119</v>
      </c>
      <c r="F17185" s="5">
        <v>237</v>
      </c>
      <c r="G17185" s="5">
        <v>117.9</v>
      </c>
      <c r="H17185" s="5">
        <v>117.7</v>
      </c>
      <c r="I17185" s="5"/>
      <c r="J17185" s="5"/>
      <c r="K17185" s="5"/>
    </row>
    <row r="17186" spans="1:11" x14ac:dyDescent="0.25">
      <c r="A17186" s="5">
        <f>17179</f>
      </c>
      <c r="B17186" s="5" t="s">
        <v>17194</v>
      </c>
      <c r="C17186" s="5">
        <v>118.8</v>
      </c>
      <c r="D17186" s="5">
        <v>0.1</v>
      </c>
      <c r="E17186" s="5">
        <v>119</v>
      </c>
      <c r="F17186" s="5">
        <v>237</v>
      </c>
      <c r="G17186" s="5">
        <v>117.9</v>
      </c>
      <c r="H17186" s="5">
        <v>117.7</v>
      </c>
      <c r="I17186" s="5"/>
      <c r="J17186" s="5"/>
      <c r="K17186" s="5"/>
    </row>
    <row r="17187" spans="1:11" x14ac:dyDescent="0.25">
      <c r="A17187" s="5">
        <f>17180</f>
      </c>
      <c r="B17187" s="5" t="s">
        <v>17195</v>
      </c>
      <c r="C17187" s="5">
        <v>119.5</v>
      </c>
      <c r="D17187" s="5">
        <v>0.1</v>
      </c>
      <c r="E17187" s="5">
        <v>119.6</v>
      </c>
      <c r="F17187" s="5">
        <v>237.6</v>
      </c>
      <c r="G17187" s="5">
        <v>118.1</v>
      </c>
      <c r="H17187" s="5">
        <v>117.9</v>
      </c>
      <c r="I17187" s="5"/>
      <c r="J17187" s="5"/>
      <c r="K17187" s="5"/>
    </row>
    <row r="17188" spans="1:11" x14ac:dyDescent="0.25">
      <c r="A17188" s="5">
        <f>17181</f>
      </c>
      <c r="B17188" s="5" t="s">
        <v>17196</v>
      </c>
      <c r="C17188" s="5">
        <v>119.5</v>
      </c>
      <c r="D17188" s="5">
        <v>0.1</v>
      </c>
      <c r="E17188" s="5">
        <v>119.6</v>
      </c>
      <c r="F17188" s="5">
        <v>237.6</v>
      </c>
      <c r="G17188" s="5">
        <v>118.1</v>
      </c>
      <c r="H17188" s="5">
        <v>117.9</v>
      </c>
      <c r="I17188" s="5"/>
      <c r="J17188" s="5"/>
      <c r="K17188" s="5"/>
    </row>
    <row r="17189" spans="1:11" x14ac:dyDescent="0.25">
      <c r="A17189" s="5">
        <f>17182</f>
      </c>
      <c r="B17189" s="5" t="s">
        <v>17197</v>
      </c>
      <c r="C17189" s="5">
        <v>119.6</v>
      </c>
      <c r="D17189" s="5">
        <v>0.1</v>
      </c>
      <c r="E17189" s="5">
        <v>119.8</v>
      </c>
      <c r="F17189" s="5">
        <v>237.5</v>
      </c>
      <c r="G17189" s="5">
        <v>118.1</v>
      </c>
      <c r="H17189" s="5">
        <v>118</v>
      </c>
      <c r="I17189" s="5"/>
      <c r="J17189" s="5"/>
      <c r="K17189" s="5"/>
    </row>
    <row r="17190" spans="1:11" x14ac:dyDescent="0.25">
      <c r="A17190" s="5">
        <f>17183</f>
      </c>
      <c r="B17190" s="5" t="s">
        <v>17198</v>
      </c>
      <c r="C17190" s="5">
        <v>119.6</v>
      </c>
      <c r="D17190" s="5">
        <v>0.1</v>
      </c>
      <c r="E17190" s="5">
        <v>119.8</v>
      </c>
      <c r="F17190" s="5">
        <v>237.5</v>
      </c>
      <c r="G17190" s="5">
        <v>118.1</v>
      </c>
      <c r="H17190" s="5">
        <v>118</v>
      </c>
      <c r="I17190" s="5"/>
      <c r="J17190" s="5"/>
      <c r="K17190" s="5"/>
    </row>
    <row r="17191" spans="1:11" x14ac:dyDescent="0.25">
      <c r="A17191" s="5">
        <f>17184</f>
      </c>
      <c r="B17191" s="5" t="s">
        <v>17199</v>
      </c>
      <c r="C17191" s="5">
        <v>119.6</v>
      </c>
      <c r="D17191" s="5">
        <v>0.1</v>
      </c>
      <c r="E17191" s="5">
        <v>119.7</v>
      </c>
      <c r="F17191" s="5">
        <v>237.6</v>
      </c>
      <c r="G17191" s="5">
        <v>118.1</v>
      </c>
      <c r="H17191" s="5">
        <v>118</v>
      </c>
      <c r="I17191" s="5"/>
      <c r="J17191" s="5"/>
      <c r="K17191" s="5"/>
    </row>
    <row r="17192" spans="1:11" x14ac:dyDescent="0.25">
      <c r="A17192" s="5">
        <f>17185</f>
      </c>
      <c r="B17192" s="5" t="s">
        <v>17200</v>
      </c>
      <c r="C17192" s="5">
        <v>119.6</v>
      </c>
      <c r="D17192" s="5">
        <v>0.1</v>
      </c>
      <c r="E17192" s="5">
        <v>119.7</v>
      </c>
      <c r="F17192" s="5">
        <v>237.6</v>
      </c>
      <c r="G17192" s="5">
        <v>118.1</v>
      </c>
      <c r="H17192" s="5">
        <v>118</v>
      </c>
      <c r="I17192" s="5"/>
      <c r="J17192" s="5"/>
      <c r="K17192" s="5"/>
    </row>
    <row r="17193" spans="1:11" x14ac:dyDescent="0.25">
      <c r="A17193" s="5">
        <f>17186</f>
      </c>
      <c r="B17193" s="5" t="s">
        <v>17201</v>
      </c>
      <c r="C17193" s="5">
        <v>119.3</v>
      </c>
      <c r="D17193" s="5">
        <v>0.1</v>
      </c>
      <c r="E17193" s="5">
        <v>119.4</v>
      </c>
      <c r="F17193" s="5">
        <v>237.5</v>
      </c>
      <c r="G17193" s="5">
        <v>118.1</v>
      </c>
      <c r="H17193" s="5">
        <v>118</v>
      </c>
      <c r="I17193" s="5"/>
      <c r="J17193" s="5"/>
      <c r="K17193" s="5"/>
    </row>
    <row r="17194" spans="1:11" x14ac:dyDescent="0.25">
      <c r="A17194" s="5">
        <f>17187</f>
      </c>
      <c r="B17194" s="5" t="s">
        <v>17202</v>
      </c>
      <c r="C17194" s="5">
        <v>119.3</v>
      </c>
      <c r="D17194" s="5">
        <v>0.1</v>
      </c>
      <c r="E17194" s="5">
        <v>119.4</v>
      </c>
      <c r="F17194" s="5">
        <v>237.5</v>
      </c>
      <c r="G17194" s="5">
        <v>118.1</v>
      </c>
      <c r="H17194" s="5">
        <v>118</v>
      </c>
      <c r="I17194" s="5"/>
      <c r="J17194" s="5"/>
      <c r="K17194" s="5"/>
    </row>
    <row r="17195" spans="1:11" x14ac:dyDescent="0.25">
      <c r="A17195" s="5">
        <f>17188</f>
      </c>
      <c r="B17195" s="5" t="s">
        <v>17203</v>
      </c>
      <c r="C17195" s="5">
        <v>119.3</v>
      </c>
      <c r="D17195" s="5">
        <v>0.1</v>
      </c>
      <c r="E17195" s="5">
        <v>119.4</v>
      </c>
      <c r="F17195" s="5">
        <v>237.5</v>
      </c>
      <c r="G17195" s="5">
        <v>118.1</v>
      </c>
      <c r="H17195" s="5">
        <v>118</v>
      </c>
      <c r="I17195" s="5"/>
      <c r="J17195" s="5"/>
      <c r="K17195" s="5"/>
    </row>
    <row r="17196" spans="1:11" x14ac:dyDescent="0.25">
      <c r="A17196" s="5">
        <f>17189</f>
      </c>
      <c r="B17196" s="5" t="s">
        <v>17204</v>
      </c>
      <c r="C17196" s="5">
        <v>119.1</v>
      </c>
      <c r="D17196" s="5">
        <v>0.1</v>
      </c>
      <c r="E17196" s="5">
        <v>119.3</v>
      </c>
      <c r="F17196" s="5">
        <v>237.2</v>
      </c>
      <c r="G17196" s="5">
        <v>118</v>
      </c>
      <c r="H17196" s="5">
        <v>117.8</v>
      </c>
      <c r="I17196" s="5"/>
      <c r="J17196" s="5"/>
      <c r="K17196" s="5"/>
    </row>
    <row r="17197" spans="1:11" x14ac:dyDescent="0.25">
      <c r="A17197" s="5">
        <f>17190</f>
      </c>
      <c r="B17197" s="5" t="s">
        <v>17205</v>
      </c>
      <c r="C17197" s="5">
        <v>119.1</v>
      </c>
      <c r="D17197" s="5">
        <v>0.1</v>
      </c>
      <c r="E17197" s="5">
        <v>119.3</v>
      </c>
      <c r="F17197" s="5">
        <v>237.2</v>
      </c>
      <c r="G17197" s="5">
        <v>118</v>
      </c>
      <c r="H17197" s="5">
        <v>117.8</v>
      </c>
      <c r="I17197" s="5"/>
      <c r="J17197" s="5"/>
      <c r="K17197" s="5"/>
    </row>
    <row r="17198" spans="1:11" x14ac:dyDescent="0.25">
      <c r="A17198" s="5">
        <f>17191</f>
      </c>
      <c r="B17198" s="5" t="s">
        <v>17206</v>
      </c>
      <c r="C17198" s="5">
        <v>119.4</v>
      </c>
      <c r="D17198" s="5">
        <v>0.1</v>
      </c>
      <c r="E17198" s="5">
        <v>119.6</v>
      </c>
      <c r="F17198" s="5">
        <v>237.5</v>
      </c>
      <c r="G17198" s="5">
        <v>118.1</v>
      </c>
      <c r="H17198" s="5">
        <v>117.9</v>
      </c>
      <c r="I17198" s="5"/>
      <c r="J17198" s="5"/>
      <c r="K17198" s="5"/>
    </row>
    <row r="17199" spans="1:11" x14ac:dyDescent="0.25">
      <c r="A17199" s="5">
        <f>17192</f>
      </c>
      <c r="B17199" s="5" t="s">
        <v>17207</v>
      </c>
      <c r="C17199" s="5">
        <v>119.4</v>
      </c>
      <c r="D17199" s="5">
        <v>0.1</v>
      </c>
      <c r="E17199" s="5">
        <v>119.6</v>
      </c>
      <c r="F17199" s="5">
        <v>237.5</v>
      </c>
      <c r="G17199" s="5">
        <v>118.1</v>
      </c>
      <c r="H17199" s="5">
        <v>117.9</v>
      </c>
      <c r="I17199" s="5"/>
      <c r="J17199" s="5"/>
      <c r="K17199" s="5"/>
    </row>
    <row r="17200" spans="1:11" x14ac:dyDescent="0.25">
      <c r="A17200" s="5">
        <f>17193</f>
      </c>
      <c r="B17200" s="5" t="s">
        <v>17208</v>
      </c>
      <c r="C17200" s="5">
        <v>119.4</v>
      </c>
      <c r="D17200" s="5">
        <v>0.1</v>
      </c>
      <c r="E17200" s="5">
        <v>118.9</v>
      </c>
      <c r="F17200" s="5">
        <v>236.6</v>
      </c>
      <c r="G17200" s="5">
        <v>117.7</v>
      </c>
      <c r="H17200" s="5">
        <v>117.5</v>
      </c>
      <c r="I17200" s="5"/>
      <c r="J17200" s="5"/>
      <c r="K17200" s="5"/>
    </row>
    <row r="17201" spans="1:11" x14ac:dyDescent="0.25">
      <c r="A17201" s="5">
        <f>17194</f>
      </c>
      <c r="B17201" s="5" t="s">
        <v>17209</v>
      </c>
      <c r="C17201" s="5">
        <v>118.7</v>
      </c>
      <c r="D17201" s="5">
        <v>0.1</v>
      </c>
      <c r="E17201" s="5">
        <v>118.9</v>
      </c>
      <c r="F17201" s="5">
        <v>236.6</v>
      </c>
      <c r="G17201" s="5">
        <v>117.7</v>
      </c>
      <c r="H17201" s="5">
        <v>117.5</v>
      </c>
      <c r="I17201" s="5"/>
      <c r="J17201" s="5"/>
      <c r="K17201" s="5"/>
    </row>
    <row r="17202" spans="1:11" x14ac:dyDescent="0.25">
      <c r="A17202" s="5">
        <f>17195</f>
      </c>
      <c r="B17202" s="5" t="s">
        <v>17210</v>
      </c>
      <c r="C17202" s="5">
        <v>118.7</v>
      </c>
      <c r="D17202" s="5">
        <v>0.1</v>
      </c>
      <c r="E17202" s="5">
        <v>119</v>
      </c>
      <c r="F17202" s="5">
        <v>236.8</v>
      </c>
      <c r="G17202" s="5">
        <v>117.8</v>
      </c>
      <c r="H17202" s="5">
        <v>117.6</v>
      </c>
      <c r="I17202" s="5"/>
      <c r="J17202" s="5"/>
      <c r="K17202" s="5"/>
    </row>
    <row r="17203" spans="1:11" x14ac:dyDescent="0.25">
      <c r="A17203" s="5">
        <f>17196</f>
      </c>
      <c r="B17203" s="5" t="s">
        <v>17211</v>
      </c>
      <c r="C17203" s="5">
        <v>118.8</v>
      </c>
      <c r="D17203" s="5">
        <v>0.1</v>
      </c>
      <c r="E17203" s="5">
        <v>119</v>
      </c>
      <c r="F17203" s="5">
        <v>236.8</v>
      </c>
      <c r="G17203" s="5">
        <v>117.8</v>
      </c>
      <c r="H17203" s="5">
        <v>117.6</v>
      </c>
      <c r="I17203" s="5"/>
      <c r="J17203" s="5"/>
      <c r="K17203" s="5"/>
    </row>
    <row r="17204" spans="1:11" x14ac:dyDescent="0.25">
      <c r="A17204" s="5">
        <f>17197</f>
      </c>
      <c r="B17204" s="5" t="s">
        <v>17212</v>
      </c>
      <c r="C17204" s="5">
        <v>118.8</v>
      </c>
      <c r="D17204" s="5">
        <v>0.1</v>
      </c>
      <c r="E17204" s="5">
        <v>119</v>
      </c>
      <c r="F17204" s="5">
        <v>236.8</v>
      </c>
      <c r="G17204" s="5">
        <v>117.8</v>
      </c>
      <c r="H17204" s="5">
        <v>117.6</v>
      </c>
      <c r="I17204" s="5"/>
      <c r="J17204" s="5"/>
      <c r="K17204" s="5"/>
    </row>
    <row r="17205" spans="1:11" x14ac:dyDescent="0.25">
      <c r="A17205" s="5">
        <f>17198</f>
      </c>
      <c r="B17205" s="5" t="s">
        <v>17213</v>
      </c>
      <c r="C17205" s="5">
        <v>118.8</v>
      </c>
      <c r="D17205" s="5">
        <v>0.1</v>
      </c>
      <c r="E17205" s="5">
        <v>119</v>
      </c>
      <c r="F17205" s="5">
        <v>236.8</v>
      </c>
      <c r="G17205" s="5">
        <v>117.8</v>
      </c>
      <c r="H17205" s="5">
        <v>117.6</v>
      </c>
      <c r="I17205" s="5"/>
      <c r="J17205" s="5"/>
      <c r="K17205" s="5"/>
    </row>
    <row r="17206" spans="1:11" x14ac:dyDescent="0.25">
      <c r="A17206" s="5">
        <f>17199</f>
      </c>
      <c r="B17206" s="5" t="s">
        <v>17214</v>
      </c>
      <c r="C17206" s="5">
        <v>119.3</v>
      </c>
      <c r="D17206" s="5">
        <v>0.1</v>
      </c>
      <c r="E17206" s="5">
        <v>119.4</v>
      </c>
      <c r="F17206" s="5">
        <v>237.4</v>
      </c>
      <c r="G17206" s="5">
        <v>118</v>
      </c>
      <c r="H17206" s="5">
        <v>117.8</v>
      </c>
      <c r="I17206" s="5"/>
      <c r="J17206" s="5"/>
      <c r="K17206" s="5"/>
    </row>
    <row r="17207" spans="1:11" x14ac:dyDescent="0.25">
      <c r="A17207" s="5">
        <f>17200</f>
      </c>
      <c r="B17207" s="5" t="s">
        <v>17215</v>
      </c>
      <c r="C17207" s="5">
        <v>119.3</v>
      </c>
      <c r="D17207" s="5">
        <v>0.1</v>
      </c>
      <c r="E17207" s="5">
        <v>119.4</v>
      </c>
      <c r="F17207" s="5">
        <v>237.4</v>
      </c>
      <c r="G17207" s="5">
        <v>118</v>
      </c>
      <c r="H17207" s="5">
        <v>117.8</v>
      </c>
      <c r="I17207" s="5"/>
      <c r="J17207" s="5"/>
      <c r="K17207" s="5"/>
    </row>
    <row r="17208" spans="1:11" x14ac:dyDescent="0.25">
      <c r="A17208" s="5">
        <f>17201</f>
      </c>
      <c r="B17208" s="5" t="s">
        <v>17216</v>
      </c>
      <c r="C17208" s="5">
        <v>119.3</v>
      </c>
      <c r="D17208" s="5">
        <v>0.1</v>
      </c>
      <c r="E17208" s="5">
        <v>119.5</v>
      </c>
      <c r="F17208" s="5">
        <v>237.1</v>
      </c>
      <c r="G17208" s="5">
        <v>117.9</v>
      </c>
      <c r="H17208" s="5">
        <v>117.7</v>
      </c>
      <c r="I17208" s="5"/>
      <c r="J17208" s="5"/>
      <c r="K17208" s="5"/>
    </row>
    <row r="17209" spans="1:11" x14ac:dyDescent="0.25">
      <c r="A17209" s="5">
        <f>17202</f>
      </c>
      <c r="B17209" s="5" t="s">
        <v>17217</v>
      </c>
      <c r="C17209" s="5">
        <v>119.3</v>
      </c>
      <c r="D17209" s="5">
        <v>0.1</v>
      </c>
      <c r="E17209" s="5">
        <v>119.5</v>
      </c>
      <c r="F17209" s="5">
        <v>237.1</v>
      </c>
      <c r="G17209" s="5">
        <v>117.9</v>
      </c>
      <c r="H17209" s="5">
        <v>117.7</v>
      </c>
      <c r="I17209" s="5"/>
      <c r="J17209" s="5"/>
      <c r="K17209" s="5"/>
    </row>
    <row r="17210" spans="1:11" x14ac:dyDescent="0.25">
      <c r="A17210" s="5">
        <f>17203</f>
      </c>
      <c r="B17210" s="5" t="s">
        <v>17218</v>
      </c>
      <c r="C17210" s="5">
        <v>119.4</v>
      </c>
      <c r="D17210" s="5">
        <v>0.1</v>
      </c>
      <c r="E17210" s="5">
        <v>119.6</v>
      </c>
      <c r="F17210" s="5">
        <v>238</v>
      </c>
      <c r="G17210" s="5">
        <v>118.4</v>
      </c>
      <c r="H17210" s="5">
        <v>118.2</v>
      </c>
      <c r="I17210" s="5"/>
      <c r="J17210" s="5"/>
      <c r="K17210" s="5"/>
    </row>
    <row r="17211" spans="1:11" x14ac:dyDescent="0.25">
      <c r="A17211" s="5">
        <f>17204</f>
      </c>
      <c r="B17211" s="5" t="s">
        <v>17219</v>
      </c>
      <c r="C17211" s="5">
        <v>119.4</v>
      </c>
      <c r="D17211" s="5">
        <v>0.1</v>
      </c>
      <c r="E17211" s="5">
        <v>119.6</v>
      </c>
      <c r="F17211" s="5">
        <v>238</v>
      </c>
      <c r="G17211" s="5">
        <v>118.4</v>
      </c>
      <c r="H17211" s="5">
        <v>118.2</v>
      </c>
      <c r="I17211" s="5"/>
      <c r="J17211" s="5"/>
      <c r="K17211" s="5"/>
    </row>
    <row r="17212" spans="1:11" x14ac:dyDescent="0.25">
      <c r="A17212" s="5">
        <f>17205</f>
      </c>
      <c r="B17212" s="5" t="s">
        <v>17220</v>
      </c>
      <c r="C17212" s="5">
        <v>119.4</v>
      </c>
      <c r="D17212" s="5">
        <v>0.1</v>
      </c>
      <c r="E17212" s="5">
        <v>119.6</v>
      </c>
      <c r="F17212" s="5">
        <v>238</v>
      </c>
      <c r="G17212" s="5">
        <v>118.3</v>
      </c>
      <c r="H17212" s="5">
        <v>118.2</v>
      </c>
      <c r="I17212" s="5"/>
      <c r="J17212" s="5"/>
      <c r="K17212" s="5"/>
    </row>
    <row r="17213" spans="1:11" x14ac:dyDescent="0.25">
      <c r="A17213" s="5">
        <f>17206</f>
      </c>
      <c r="B17213" s="5" t="s">
        <v>17221</v>
      </c>
      <c r="C17213" s="5">
        <v>119.4</v>
      </c>
      <c r="D17213" s="5">
        <v>0.1</v>
      </c>
      <c r="E17213" s="5">
        <v>119.6</v>
      </c>
      <c r="F17213" s="5">
        <v>238</v>
      </c>
      <c r="G17213" s="5">
        <v>118.3</v>
      </c>
      <c r="H17213" s="5">
        <v>118.2</v>
      </c>
      <c r="I17213" s="5"/>
      <c r="J17213" s="5"/>
      <c r="K17213" s="5"/>
    </row>
    <row r="17214" spans="1:11" x14ac:dyDescent="0.25">
      <c r="A17214" s="5">
        <f>17207</f>
      </c>
      <c r="B17214" s="5" t="s">
        <v>17222</v>
      </c>
      <c r="C17214" s="5">
        <v>119.4</v>
      </c>
      <c r="D17214" s="5">
        <v>0.1</v>
      </c>
      <c r="E17214" s="5">
        <v>119.6</v>
      </c>
      <c r="F17214" s="5">
        <v>238</v>
      </c>
      <c r="G17214" s="5">
        <v>118.3</v>
      </c>
      <c r="H17214" s="5">
        <v>118.2</v>
      </c>
      <c r="I17214" s="5"/>
      <c r="J17214" s="5"/>
      <c r="K17214" s="5"/>
    </row>
    <row r="17215" spans="1:11" x14ac:dyDescent="0.25">
      <c r="A17215" s="5">
        <f>17208</f>
      </c>
      <c r="B17215" s="5" t="s">
        <v>17223</v>
      </c>
      <c r="C17215" s="5">
        <v>119.4</v>
      </c>
      <c r="D17215" s="5">
        <v>0.1</v>
      </c>
      <c r="E17215" s="5">
        <v>119.6</v>
      </c>
      <c r="F17215" s="5">
        <v>238</v>
      </c>
      <c r="G17215" s="5">
        <v>118.3</v>
      </c>
      <c r="H17215" s="5">
        <v>118.2</v>
      </c>
      <c r="I17215" s="5"/>
      <c r="J17215" s="5"/>
      <c r="K17215" s="5"/>
    </row>
    <row r="17216" spans="1:11" x14ac:dyDescent="0.25">
      <c r="A17216" s="5">
        <f>17209</f>
      </c>
      <c r="B17216" s="5" t="s">
        <v>17224</v>
      </c>
      <c r="C17216" s="5">
        <v>118.5</v>
      </c>
      <c r="D17216" s="5">
        <v>0.1</v>
      </c>
      <c r="E17216" s="5">
        <v>118.7</v>
      </c>
      <c r="F17216" s="5">
        <v>236.1</v>
      </c>
      <c r="G17216" s="5">
        <v>117.4</v>
      </c>
      <c r="H17216" s="5">
        <v>117.2</v>
      </c>
      <c r="I17216" s="5"/>
      <c r="J17216" s="5"/>
      <c r="K17216" s="5"/>
    </row>
    <row r="17217" spans="1:11" x14ac:dyDescent="0.25">
      <c r="A17217" s="5">
        <f>17210</f>
      </c>
      <c r="B17217" s="5" t="s">
        <v>17225</v>
      </c>
      <c r="C17217" s="5">
        <v>118.5</v>
      </c>
      <c r="D17217" s="5">
        <v>0.1</v>
      </c>
      <c r="E17217" s="5">
        <v>118.7</v>
      </c>
      <c r="F17217" s="5">
        <v>236.1</v>
      </c>
      <c r="G17217" s="5">
        <v>117.4</v>
      </c>
      <c r="H17217" s="5">
        <v>117.2</v>
      </c>
      <c r="I17217" s="5"/>
      <c r="J17217" s="5"/>
      <c r="K17217" s="5"/>
    </row>
    <row r="17218" spans="1:11" x14ac:dyDescent="0.25">
      <c r="A17218" s="5">
        <f>17211</f>
      </c>
      <c r="B17218" s="5" t="s">
        <v>17226</v>
      </c>
      <c r="C17218" s="5">
        <v>118.8</v>
      </c>
      <c r="D17218" s="5">
        <v>0.1</v>
      </c>
      <c r="E17218" s="5">
        <v>119</v>
      </c>
      <c r="F17218" s="5">
        <v>236.6</v>
      </c>
      <c r="G17218" s="5">
        <v>117.7</v>
      </c>
      <c r="H17218" s="5">
        <v>117.5</v>
      </c>
      <c r="I17218" s="5"/>
      <c r="J17218" s="5"/>
      <c r="K17218" s="5"/>
    </row>
    <row r="17219" spans="1:11" x14ac:dyDescent="0.25">
      <c r="A17219" s="5">
        <f>17212</f>
      </c>
      <c r="B17219" s="5" t="s">
        <v>17227</v>
      </c>
      <c r="C17219" s="5">
        <v>118.8</v>
      </c>
      <c r="D17219" s="5">
        <v>0.1</v>
      </c>
      <c r="E17219" s="5">
        <v>119</v>
      </c>
      <c r="F17219" s="5">
        <v>236.6</v>
      </c>
      <c r="G17219" s="5">
        <v>117.7</v>
      </c>
      <c r="H17219" s="5">
        <v>117.5</v>
      </c>
      <c r="I17219" s="5"/>
      <c r="J17219" s="5"/>
      <c r="K17219" s="5"/>
    </row>
    <row r="17220" spans="1:11" x14ac:dyDescent="0.25">
      <c r="A17220" s="5">
        <f>17213</f>
      </c>
      <c r="B17220" s="5" t="s">
        <v>17228</v>
      </c>
      <c r="C17220" s="5">
        <v>118.4</v>
      </c>
      <c r="D17220" s="5">
        <v>0.1</v>
      </c>
      <c r="E17220" s="5">
        <v>118.6</v>
      </c>
      <c r="F17220" s="5">
        <v>235.8</v>
      </c>
      <c r="G17220" s="5">
        <v>117.3</v>
      </c>
      <c r="H17220" s="5">
        <v>117.1</v>
      </c>
      <c r="I17220" s="5"/>
      <c r="J17220" s="5"/>
      <c r="K17220" s="5"/>
    </row>
    <row r="17221" spans="1:11" x14ac:dyDescent="0.25">
      <c r="A17221" s="5">
        <f>17214</f>
      </c>
      <c r="B17221" s="5" t="s">
        <v>17229</v>
      </c>
      <c r="C17221" s="5">
        <v>118.4</v>
      </c>
      <c r="D17221" s="5">
        <v>0.1</v>
      </c>
      <c r="E17221" s="5">
        <v>118.6</v>
      </c>
      <c r="F17221" s="5">
        <v>235.8</v>
      </c>
      <c r="G17221" s="5">
        <v>117.3</v>
      </c>
      <c r="H17221" s="5">
        <v>117.1</v>
      </c>
      <c r="I17221" s="5"/>
      <c r="J17221" s="5"/>
      <c r="K17221" s="5"/>
    </row>
    <row r="17222" spans="1:11" x14ac:dyDescent="0.25">
      <c r="A17222" s="5">
        <f>17215</f>
      </c>
      <c r="B17222" s="5" t="s">
        <v>17230</v>
      </c>
      <c r="C17222" s="5">
        <v>118.5</v>
      </c>
      <c r="D17222" s="5">
        <v>0.1</v>
      </c>
      <c r="E17222" s="5">
        <v>118.6</v>
      </c>
      <c r="F17222" s="5">
        <v>236.1</v>
      </c>
      <c r="G17222" s="5">
        <v>117.3</v>
      </c>
      <c r="H17222" s="5">
        <v>117.1</v>
      </c>
      <c r="I17222" s="5"/>
      <c r="J17222" s="5"/>
      <c r="K17222" s="5"/>
    </row>
    <row r="17223" spans="1:11" x14ac:dyDescent="0.25">
      <c r="A17223" s="5">
        <f>17216</f>
      </c>
      <c r="B17223" s="5" t="s">
        <v>17231</v>
      </c>
      <c r="C17223" s="5">
        <v>118.5</v>
      </c>
      <c r="D17223" s="5">
        <v>0.1</v>
      </c>
      <c r="E17223" s="5">
        <v>118.6</v>
      </c>
      <c r="F17223" s="5">
        <v>236.1</v>
      </c>
      <c r="G17223" s="5">
        <v>117.4</v>
      </c>
      <c r="H17223" s="5">
        <v>117.3</v>
      </c>
      <c r="I17223" s="5"/>
      <c r="J17223" s="5"/>
      <c r="K17223" s="5"/>
    </row>
    <row r="17224" spans="1:11" x14ac:dyDescent="0.25">
      <c r="A17224" s="5">
        <f>17217</f>
      </c>
      <c r="B17224" s="5" t="s">
        <v>17232</v>
      </c>
      <c r="C17224" s="5">
        <v>118.5</v>
      </c>
      <c r="D17224" s="5">
        <v>0.1</v>
      </c>
      <c r="E17224" s="5">
        <v>118.6</v>
      </c>
      <c r="F17224" s="5">
        <v>236.1</v>
      </c>
      <c r="G17224" s="5">
        <v>117.4</v>
      </c>
      <c r="H17224" s="5">
        <v>117.3</v>
      </c>
      <c r="I17224" s="5"/>
      <c r="J17224" s="5"/>
      <c r="K17224" s="5"/>
    </row>
    <row r="17225" spans="1:11" x14ac:dyDescent="0.25">
      <c r="A17225" s="5">
        <f>17218</f>
      </c>
      <c r="B17225" s="5" t="s">
        <v>17233</v>
      </c>
      <c r="C17225" s="5">
        <v>118.5</v>
      </c>
      <c r="D17225" s="5">
        <v>0.1</v>
      </c>
      <c r="E17225" s="5">
        <v>118.6</v>
      </c>
      <c r="F17225" s="5">
        <v>236.1</v>
      </c>
      <c r="G17225" s="5">
        <v>117.4</v>
      </c>
      <c r="H17225" s="5">
        <v>117.3</v>
      </c>
      <c r="I17225" s="5"/>
      <c r="J17225" s="5"/>
      <c r="K17225" s="5"/>
    </row>
    <row r="17226" spans="1:11" x14ac:dyDescent="0.25">
      <c r="A17226" s="5">
        <f>17219</f>
      </c>
      <c r="B17226" s="5" t="s">
        <v>17234</v>
      </c>
      <c r="C17226" s="5">
        <v>118.7</v>
      </c>
      <c r="D17226" s="5">
        <v>0.1</v>
      </c>
      <c r="E17226" s="5">
        <v>119</v>
      </c>
      <c r="F17226" s="5">
        <v>236.4</v>
      </c>
      <c r="G17226" s="5">
        <v>117.6</v>
      </c>
      <c r="H17226" s="5">
        <v>117.3</v>
      </c>
      <c r="I17226" s="5"/>
      <c r="J17226" s="5"/>
      <c r="K17226" s="5"/>
    </row>
    <row r="17227" spans="1:11" x14ac:dyDescent="0.25">
      <c r="A17227" s="5">
        <f>17220</f>
      </c>
      <c r="B17227" s="5" t="s">
        <v>17235</v>
      </c>
      <c r="C17227" s="5">
        <v>118.7</v>
      </c>
      <c r="D17227" s="5">
        <v>0.1</v>
      </c>
      <c r="E17227" s="5">
        <v>119</v>
      </c>
      <c r="F17227" s="5">
        <v>236.4</v>
      </c>
      <c r="G17227" s="5">
        <v>117.6</v>
      </c>
      <c r="H17227" s="5">
        <v>117.3</v>
      </c>
      <c r="I17227" s="5"/>
      <c r="J17227" s="5"/>
      <c r="K17227" s="5"/>
    </row>
    <row r="17228" spans="1:11" x14ac:dyDescent="0.25">
      <c r="A17228" s="5">
        <f>17221</f>
      </c>
      <c r="B17228" s="5" t="s">
        <v>17236</v>
      </c>
      <c r="C17228" s="5">
        <v>118.3</v>
      </c>
      <c r="D17228" s="5">
        <v>0.1</v>
      </c>
      <c r="E17228" s="5">
        <v>119</v>
      </c>
      <c r="F17228" s="5">
        <v>236.4</v>
      </c>
      <c r="G17228" s="5">
        <v>117.2</v>
      </c>
      <c r="H17228" s="5">
        <v>117</v>
      </c>
      <c r="I17228" s="5"/>
      <c r="J17228" s="5"/>
      <c r="K17228" s="5"/>
    </row>
    <row r="17229" spans="1:11" x14ac:dyDescent="0.25">
      <c r="A17229" s="5">
        <f>17222</f>
      </c>
      <c r="B17229" s="5" t="s">
        <v>17237</v>
      </c>
      <c r="C17229" s="5">
        <v>118.3</v>
      </c>
      <c r="D17229" s="5">
        <v>0.1</v>
      </c>
      <c r="E17229" s="5">
        <v>118.5</v>
      </c>
      <c r="F17229" s="5">
        <v>235.7</v>
      </c>
      <c r="G17229" s="5">
        <v>117.2</v>
      </c>
      <c r="H17229" s="5">
        <v>117</v>
      </c>
      <c r="I17229" s="5"/>
      <c r="J17229" s="5"/>
      <c r="K17229" s="5"/>
    </row>
    <row r="17230" spans="1:11" x14ac:dyDescent="0.25">
      <c r="A17230" s="5">
        <f>17223</f>
      </c>
      <c r="B17230" s="5" t="s">
        <v>17238</v>
      </c>
      <c r="C17230" s="5">
        <v>118.3</v>
      </c>
      <c r="D17230" s="5">
        <v>0.1</v>
      </c>
      <c r="E17230" s="5">
        <v>118.5</v>
      </c>
      <c r="F17230" s="5">
        <v>235.7</v>
      </c>
      <c r="G17230" s="5">
        <v>117.5</v>
      </c>
      <c r="H17230" s="5">
        <v>117.4</v>
      </c>
      <c r="I17230" s="5"/>
      <c r="J17230" s="5"/>
      <c r="K17230" s="5"/>
    </row>
    <row r="17231" spans="1:11" x14ac:dyDescent="0.25">
      <c r="A17231" s="5">
        <f>17224</f>
      </c>
      <c r="B17231" s="5" t="s">
        <v>17239</v>
      </c>
      <c r="C17231" s="5">
        <v>118.7</v>
      </c>
      <c r="D17231" s="5">
        <v>0.1</v>
      </c>
      <c r="E17231" s="5">
        <v>118.9</v>
      </c>
      <c r="F17231" s="5">
        <v>236.5</v>
      </c>
      <c r="G17231" s="5">
        <v>117.5</v>
      </c>
      <c r="H17231" s="5">
        <v>117.4</v>
      </c>
      <c r="I17231" s="5"/>
      <c r="J17231" s="5"/>
      <c r="K17231" s="5"/>
    </row>
    <row r="17232" spans="1:11" x14ac:dyDescent="0.25">
      <c r="A17232" s="5">
        <f>17225</f>
      </c>
      <c r="B17232" s="5" t="s">
        <v>17240</v>
      </c>
      <c r="C17232" s="5">
        <v>118.7</v>
      </c>
      <c r="D17232" s="5">
        <v>0.1</v>
      </c>
      <c r="E17232" s="5">
        <v>118.9</v>
      </c>
      <c r="F17232" s="5">
        <v>236.5</v>
      </c>
      <c r="G17232" s="5">
        <v>117.5</v>
      </c>
      <c r="H17232" s="5">
        <v>117.2</v>
      </c>
      <c r="I17232" s="5"/>
      <c r="J17232" s="5"/>
      <c r="K17232" s="5"/>
    </row>
    <row r="17233" spans="1:11" x14ac:dyDescent="0.25">
      <c r="A17233" s="5">
        <f>17226</f>
      </c>
      <c r="B17233" s="5" t="s">
        <v>17241</v>
      </c>
      <c r="C17233" s="5">
        <v>118.6</v>
      </c>
      <c r="D17233" s="5">
        <v>0.1</v>
      </c>
      <c r="E17233" s="5">
        <v>118.8</v>
      </c>
      <c r="F17233" s="5">
        <v>236.1</v>
      </c>
      <c r="G17233" s="5">
        <v>117.4</v>
      </c>
      <c r="H17233" s="5">
        <v>117.2</v>
      </c>
      <c r="I17233" s="5"/>
      <c r="J17233" s="5"/>
      <c r="K17233" s="5"/>
    </row>
    <row r="17234" spans="1:11" x14ac:dyDescent="0.25">
      <c r="A17234" s="5">
        <f>17227</f>
      </c>
      <c r="B17234" s="5" t="s">
        <v>17242</v>
      </c>
      <c r="C17234" s="5">
        <v>118.6</v>
      </c>
      <c r="D17234" s="5">
        <v>0.1</v>
      </c>
      <c r="E17234" s="5">
        <v>118.8</v>
      </c>
      <c r="F17234" s="5">
        <v>236.1</v>
      </c>
      <c r="G17234" s="5">
        <v>117.4</v>
      </c>
      <c r="H17234" s="5">
        <v>117.2</v>
      </c>
      <c r="I17234" s="5"/>
      <c r="J17234" s="5"/>
      <c r="K17234" s="5"/>
    </row>
    <row r="17235" spans="1:11" x14ac:dyDescent="0.25">
      <c r="A17235" s="5">
        <f>17228</f>
      </c>
      <c r="B17235" s="5" t="s">
        <v>17243</v>
      </c>
      <c r="C17235" s="5">
        <v>118.6</v>
      </c>
      <c r="D17235" s="5">
        <v>0.1</v>
      </c>
      <c r="E17235" s="5">
        <v>118.8</v>
      </c>
      <c r="F17235" s="5">
        <v>236.1</v>
      </c>
      <c r="G17235" s="5">
        <v>117.4</v>
      </c>
      <c r="H17235" s="5">
        <v>117.2</v>
      </c>
      <c r="I17235" s="5"/>
      <c r="J17235" s="5"/>
      <c r="K17235" s="5"/>
    </row>
    <row r="17236" spans="1:11" x14ac:dyDescent="0.25">
      <c r="A17236" s="5">
        <f>17229</f>
      </c>
      <c r="B17236" s="5" t="s">
        <v>17244</v>
      </c>
      <c r="C17236" s="5">
        <v>118.7</v>
      </c>
      <c r="D17236" s="5">
        <v>0.1</v>
      </c>
      <c r="E17236" s="5">
        <v>118.9</v>
      </c>
      <c r="F17236" s="5">
        <v>236.3</v>
      </c>
      <c r="G17236" s="5">
        <v>117.5</v>
      </c>
      <c r="H17236" s="5">
        <v>117.3</v>
      </c>
      <c r="I17236" s="5"/>
      <c r="J17236" s="5"/>
      <c r="K17236" s="5"/>
    </row>
    <row r="17237" spans="1:11" x14ac:dyDescent="0.25">
      <c r="A17237" s="5">
        <f>17230</f>
      </c>
      <c r="B17237" s="5" t="s">
        <v>17245</v>
      </c>
      <c r="C17237" s="5">
        <v>118.7</v>
      </c>
      <c r="D17237" s="5">
        <v>0.1</v>
      </c>
      <c r="E17237" s="5">
        <v>118.9</v>
      </c>
      <c r="F17237" s="5">
        <v>236.3</v>
      </c>
      <c r="G17237" s="5">
        <v>117.5</v>
      </c>
      <c r="H17237" s="5">
        <v>117.3</v>
      </c>
      <c r="I17237" s="5"/>
      <c r="J17237" s="5"/>
      <c r="K17237" s="5"/>
    </row>
    <row r="17238" spans="1:11" x14ac:dyDescent="0.25">
      <c r="A17238" s="5">
        <f>17231</f>
      </c>
      <c r="B17238" s="5" t="s">
        <v>17246</v>
      </c>
      <c r="C17238" s="5">
        <v>118.8</v>
      </c>
      <c r="D17238" s="5">
        <v>0.1</v>
      </c>
      <c r="E17238" s="5">
        <v>119</v>
      </c>
      <c r="F17238" s="5">
        <v>236.6</v>
      </c>
      <c r="G17238" s="5">
        <v>117.6</v>
      </c>
      <c r="H17238" s="5">
        <v>117.4</v>
      </c>
      <c r="I17238" s="5"/>
      <c r="J17238" s="5"/>
      <c r="K17238" s="5"/>
    </row>
    <row r="17239" spans="1:11" x14ac:dyDescent="0.25">
      <c r="A17239" s="5">
        <f>17232</f>
      </c>
      <c r="B17239" s="5" t="s">
        <v>17247</v>
      </c>
      <c r="C17239" s="5">
        <v>118.8</v>
      </c>
      <c r="D17239" s="5">
        <v>0.1</v>
      </c>
      <c r="E17239" s="5">
        <v>119</v>
      </c>
      <c r="F17239" s="5">
        <v>236.6</v>
      </c>
      <c r="G17239" s="5">
        <v>117.6</v>
      </c>
      <c r="H17239" s="5">
        <v>117.4</v>
      </c>
      <c r="I17239" s="5"/>
      <c r="J17239" s="5"/>
      <c r="K17239" s="5"/>
    </row>
    <row r="17240" spans="1:11" x14ac:dyDescent="0.25">
      <c r="A17240" s="5">
        <f>17233</f>
      </c>
      <c r="B17240" s="5" t="s">
        <v>17248</v>
      </c>
      <c r="C17240" s="5">
        <v>118.6</v>
      </c>
      <c r="D17240" s="5">
        <v>0.1</v>
      </c>
      <c r="E17240" s="5">
        <v>118.9</v>
      </c>
      <c r="F17240" s="5">
        <v>236.3</v>
      </c>
      <c r="G17240" s="5">
        <v>117.5</v>
      </c>
      <c r="H17240" s="5">
        <v>117.4</v>
      </c>
      <c r="I17240" s="5"/>
      <c r="J17240" s="5"/>
      <c r="K17240" s="5"/>
    </row>
    <row r="17241" spans="1:11" x14ac:dyDescent="0.25">
      <c r="A17241" s="5">
        <f>17234</f>
      </c>
      <c r="B17241" s="5" t="s">
        <v>17249</v>
      </c>
      <c r="C17241" s="5">
        <v>118.6</v>
      </c>
      <c r="D17241" s="5">
        <v>0.1</v>
      </c>
      <c r="E17241" s="5">
        <v>118.9</v>
      </c>
      <c r="F17241" s="5">
        <v>236.3</v>
      </c>
      <c r="G17241" s="5">
        <v>117.5</v>
      </c>
      <c r="H17241" s="5">
        <v>117.4</v>
      </c>
      <c r="I17241" s="5"/>
      <c r="J17241" s="5"/>
      <c r="K17241" s="5"/>
    </row>
    <row r="17242" spans="1:11" x14ac:dyDescent="0.25">
      <c r="A17242" s="5">
        <f>17235</f>
      </c>
      <c r="B17242" s="5" t="s">
        <v>17250</v>
      </c>
      <c r="C17242" s="5">
        <v>118.6</v>
      </c>
      <c r="D17242" s="5">
        <v>0.1</v>
      </c>
      <c r="E17242" s="5">
        <v>118.7</v>
      </c>
      <c r="F17242" s="5">
        <v>236.2</v>
      </c>
      <c r="G17242" s="5">
        <v>117.4</v>
      </c>
      <c r="H17242" s="5">
        <v>117.3</v>
      </c>
      <c r="I17242" s="5"/>
      <c r="J17242" s="5"/>
      <c r="K17242" s="5"/>
    </row>
    <row r="17243" spans="1:11" x14ac:dyDescent="0.25">
      <c r="A17243" s="5">
        <f>17236</f>
      </c>
      <c r="B17243" s="5" t="s">
        <v>17251</v>
      </c>
      <c r="C17243" s="5">
        <v>118.6</v>
      </c>
      <c r="D17243" s="5">
        <v>0.1</v>
      </c>
      <c r="E17243" s="5">
        <v>118.7</v>
      </c>
      <c r="F17243" s="5">
        <v>236.2</v>
      </c>
      <c r="G17243" s="5">
        <v>117.4</v>
      </c>
      <c r="H17243" s="5">
        <v>117.3</v>
      </c>
      <c r="I17243" s="5"/>
      <c r="J17243" s="5"/>
      <c r="K17243" s="5"/>
    </row>
    <row r="17244" spans="1:11" x14ac:dyDescent="0.25">
      <c r="A17244" s="5">
        <f>17237</f>
      </c>
      <c r="B17244" s="5" t="s">
        <v>17252</v>
      </c>
      <c r="C17244" s="5">
        <v>118.6</v>
      </c>
      <c r="D17244" s="5">
        <v>0.1</v>
      </c>
      <c r="E17244" s="5">
        <v>118.7</v>
      </c>
      <c r="F17244" s="5">
        <v>236.2</v>
      </c>
      <c r="G17244" s="5">
        <v>117.4</v>
      </c>
      <c r="H17244" s="5">
        <v>117.3</v>
      </c>
      <c r="I17244" s="5"/>
      <c r="J17244" s="5"/>
      <c r="K17244" s="5"/>
    </row>
    <row r="17245" spans="1:11" x14ac:dyDescent="0.25">
      <c r="A17245" s="5">
        <f>17238</f>
      </c>
      <c r="B17245" s="5" t="s">
        <v>17253</v>
      </c>
      <c r="C17245" s="5">
        <v>118.6</v>
      </c>
      <c r="D17245" s="5">
        <v>0.1</v>
      </c>
      <c r="E17245" s="5">
        <v>118.7</v>
      </c>
      <c r="F17245" s="5">
        <v>236.2</v>
      </c>
      <c r="G17245" s="5">
        <v>117.4</v>
      </c>
      <c r="H17245" s="5">
        <v>117.3</v>
      </c>
      <c r="I17245" s="5"/>
      <c r="J17245" s="5"/>
      <c r="K17245" s="5"/>
    </row>
    <row r="17246" spans="1:11" x14ac:dyDescent="0.25">
      <c r="A17246" s="5">
        <f>17239</f>
      </c>
      <c r="B17246" s="5" t="s">
        <v>17254</v>
      </c>
      <c r="C17246" s="5">
        <v>118.7</v>
      </c>
      <c r="D17246" s="5">
        <v>0.1</v>
      </c>
      <c r="E17246" s="5">
        <v>118.9</v>
      </c>
      <c r="F17246" s="5">
        <v>236</v>
      </c>
      <c r="G17246" s="5">
        <v>117.4</v>
      </c>
      <c r="H17246" s="5">
        <v>117.3</v>
      </c>
      <c r="I17246" s="5"/>
      <c r="J17246" s="5"/>
      <c r="K17246" s="5"/>
    </row>
    <row r="17247" spans="1:11" x14ac:dyDescent="0.25">
      <c r="A17247" s="5">
        <f>17240</f>
      </c>
      <c r="B17247" s="5" t="s">
        <v>17255</v>
      </c>
      <c r="C17247" s="5">
        <v>118.7</v>
      </c>
      <c r="D17247" s="5">
        <v>0.1</v>
      </c>
      <c r="E17247" s="5">
        <v>118.9</v>
      </c>
      <c r="F17247" s="5">
        <v>236</v>
      </c>
      <c r="G17247" s="5">
        <v>117.4</v>
      </c>
      <c r="H17247" s="5">
        <v>117.3</v>
      </c>
      <c r="I17247" s="5"/>
      <c r="J17247" s="5"/>
      <c r="K17247" s="5"/>
    </row>
    <row r="17248" spans="1:11" x14ac:dyDescent="0.25">
      <c r="A17248" s="5">
        <f>17241</f>
      </c>
      <c r="B17248" s="5" t="s">
        <v>17256</v>
      </c>
      <c r="C17248" s="5">
        <v>118.6</v>
      </c>
      <c r="D17248" s="5">
        <v>0.1</v>
      </c>
      <c r="E17248" s="5">
        <v>118.8</v>
      </c>
      <c r="F17248" s="5">
        <v>236.2</v>
      </c>
      <c r="G17248" s="5">
        <v>117.4</v>
      </c>
      <c r="H17248" s="5">
        <v>117.3</v>
      </c>
      <c r="I17248" s="5"/>
      <c r="J17248" s="5"/>
      <c r="K17248" s="5"/>
    </row>
    <row r="17249" spans="1:11" x14ac:dyDescent="0.25">
      <c r="A17249" s="5">
        <f>17242</f>
      </c>
      <c r="B17249" s="5" t="s">
        <v>17257</v>
      </c>
      <c r="C17249" s="5">
        <v>118.6</v>
      </c>
      <c r="D17249" s="5">
        <v>0.1</v>
      </c>
      <c r="E17249" s="5">
        <v>118.8</v>
      </c>
      <c r="F17249" s="5">
        <v>236.2</v>
      </c>
      <c r="G17249" s="5">
        <v>117.4</v>
      </c>
      <c r="H17249" s="5">
        <v>117.3</v>
      </c>
      <c r="I17249" s="5"/>
      <c r="J17249" s="5"/>
      <c r="K17249" s="5"/>
    </row>
    <row r="17250" spans="1:11" x14ac:dyDescent="0.25">
      <c r="A17250" s="5">
        <f>17243</f>
      </c>
      <c r="B17250" s="5" t="s">
        <v>17258</v>
      </c>
      <c r="C17250" s="5">
        <v>118.9</v>
      </c>
      <c r="D17250" s="5">
        <v>0.1</v>
      </c>
      <c r="E17250" s="5">
        <v>119</v>
      </c>
      <c r="F17250" s="5">
        <v>236.3</v>
      </c>
      <c r="G17250" s="5">
        <v>117.5</v>
      </c>
      <c r="H17250" s="5">
        <v>117.3</v>
      </c>
      <c r="I17250" s="5"/>
      <c r="J17250" s="5"/>
      <c r="K17250" s="5"/>
    </row>
    <row r="17251" spans="1:11" x14ac:dyDescent="0.25">
      <c r="A17251" s="5">
        <f>17244</f>
      </c>
      <c r="B17251" s="5" t="s">
        <v>17259</v>
      </c>
      <c r="C17251" s="5">
        <v>118.9</v>
      </c>
      <c r="D17251" s="5">
        <v>0.1</v>
      </c>
      <c r="E17251" s="5">
        <v>119</v>
      </c>
      <c r="F17251" s="5">
        <v>236.3</v>
      </c>
      <c r="G17251" s="5">
        <v>117.5</v>
      </c>
      <c r="H17251" s="5">
        <v>117.3</v>
      </c>
      <c r="I17251" s="5"/>
      <c r="J17251" s="5"/>
      <c r="K17251" s="5"/>
    </row>
    <row r="17252" spans="1:11" x14ac:dyDescent="0.25">
      <c r="A17252" s="5">
        <f>17245</f>
      </c>
      <c r="B17252" s="5" t="s">
        <v>17260</v>
      </c>
      <c r="C17252" s="5">
        <v>119.3</v>
      </c>
      <c r="D17252" s="5">
        <v>0.1</v>
      </c>
      <c r="E17252" s="5">
        <v>119.4</v>
      </c>
      <c r="F17252" s="5">
        <v>236.4</v>
      </c>
      <c r="G17252" s="5">
        <v>117.6</v>
      </c>
      <c r="H17252" s="5">
        <v>117.4</v>
      </c>
      <c r="I17252" s="5"/>
      <c r="J17252" s="5"/>
      <c r="K17252" s="5"/>
    </row>
    <row r="17253" spans="1:11" x14ac:dyDescent="0.25">
      <c r="A17253" s="5">
        <f>17246</f>
      </c>
      <c r="B17253" s="5" t="s">
        <v>17261</v>
      </c>
      <c r="C17253" s="5">
        <v>119.3</v>
      </c>
      <c r="D17253" s="5">
        <v>0.1</v>
      </c>
      <c r="E17253" s="5">
        <v>119.4</v>
      </c>
      <c r="F17253" s="5">
        <v>236.4</v>
      </c>
      <c r="G17253" s="5">
        <v>117.6</v>
      </c>
      <c r="H17253" s="5">
        <v>117.4</v>
      </c>
      <c r="I17253" s="5"/>
      <c r="J17253" s="5"/>
      <c r="K17253" s="5"/>
    </row>
    <row r="17254" spans="1:11" x14ac:dyDescent="0.25">
      <c r="A17254" s="5">
        <f>17247</f>
      </c>
      <c r="B17254" s="5" t="s">
        <v>17262</v>
      </c>
      <c r="C17254" s="5">
        <v>119.3</v>
      </c>
      <c r="D17254" s="5">
        <v>0.1</v>
      </c>
      <c r="E17254" s="5">
        <v>119.4</v>
      </c>
      <c r="F17254" s="5">
        <v>236.4</v>
      </c>
      <c r="G17254" s="5">
        <v>117.6</v>
      </c>
      <c r="H17254" s="5">
        <v>117.4</v>
      </c>
      <c r="I17254" s="5"/>
      <c r="J17254" s="5"/>
      <c r="K17254" s="5"/>
    </row>
    <row r="17255" spans="1:11" x14ac:dyDescent="0.25">
      <c r="A17255" s="5">
        <f>17248</f>
      </c>
      <c r="B17255" s="5" t="s">
        <v>17263</v>
      </c>
      <c r="C17255" s="5">
        <v>119.3</v>
      </c>
      <c r="D17255" s="5">
        <v>0.1</v>
      </c>
      <c r="E17255" s="5">
        <v>119.4</v>
      </c>
      <c r="F17255" s="5">
        <v>236.4</v>
      </c>
      <c r="G17255" s="5">
        <v>117.6</v>
      </c>
      <c r="H17255" s="5">
        <v>117.4</v>
      </c>
      <c r="I17255" s="5"/>
      <c r="J17255" s="5"/>
      <c r="K17255" s="5"/>
    </row>
    <row r="17256" spans="1:11" x14ac:dyDescent="0.25">
      <c r="A17256" s="5">
        <f>17249</f>
      </c>
      <c r="B17256" s="5" t="s">
        <v>17264</v>
      </c>
      <c r="C17256" s="5">
        <v>119</v>
      </c>
      <c r="D17256" s="5">
        <v>0.1</v>
      </c>
      <c r="E17256" s="5">
        <v>119.1</v>
      </c>
      <c r="F17256" s="5">
        <v>236.5</v>
      </c>
      <c r="G17256" s="5">
        <v>117.6</v>
      </c>
      <c r="H17256" s="5">
        <v>117.5</v>
      </c>
      <c r="I17256" s="5"/>
      <c r="J17256" s="5"/>
      <c r="K17256" s="5"/>
    </row>
    <row r="17257" spans="1:11" x14ac:dyDescent="0.25">
      <c r="A17257" s="5">
        <f>17250</f>
      </c>
      <c r="B17257" s="5" t="s">
        <v>17265</v>
      </c>
      <c r="C17257" s="5">
        <v>119</v>
      </c>
      <c r="D17257" s="5">
        <v>0.1</v>
      </c>
      <c r="E17257" s="5">
        <v>119.1</v>
      </c>
      <c r="F17257" s="5">
        <v>236.5</v>
      </c>
      <c r="G17257" s="5">
        <v>117.6</v>
      </c>
      <c r="H17257" s="5">
        <v>117.5</v>
      </c>
      <c r="I17257" s="5"/>
      <c r="J17257" s="5"/>
      <c r="K17257" s="5"/>
    </row>
    <row r="17258" spans="1:11" x14ac:dyDescent="0.25">
      <c r="A17258" s="5">
        <f>17251</f>
      </c>
      <c r="B17258" s="5" t="s">
        <v>17266</v>
      </c>
      <c r="C17258" s="5">
        <v>119.1</v>
      </c>
      <c r="D17258" s="5">
        <v>0.1</v>
      </c>
      <c r="E17258" s="5">
        <v>119.3</v>
      </c>
      <c r="F17258" s="5">
        <v>237.2</v>
      </c>
      <c r="G17258" s="5">
        <v>117.9</v>
      </c>
      <c r="H17258" s="5">
        <v>117.7</v>
      </c>
      <c r="I17258" s="5"/>
      <c r="J17258" s="5"/>
      <c r="K17258" s="5"/>
    </row>
    <row r="17259" spans="1:11" x14ac:dyDescent="0.25">
      <c r="A17259" s="5">
        <f>17252</f>
      </c>
      <c r="B17259" s="5" t="s">
        <v>17267</v>
      </c>
      <c r="C17259" s="5">
        <v>119.1</v>
      </c>
      <c r="D17259" s="5">
        <v>0.1</v>
      </c>
      <c r="E17259" s="5">
        <v>119.3</v>
      </c>
      <c r="F17259" s="5">
        <v>237.2</v>
      </c>
      <c r="G17259" s="5">
        <v>117.9</v>
      </c>
      <c r="H17259" s="5">
        <v>117.7</v>
      </c>
      <c r="I17259" s="5"/>
      <c r="J17259" s="5"/>
      <c r="K17259" s="5"/>
    </row>
    <row r="17260" spans="1:11" x14ac:dyDescent="0.25">
      <c r="A17260" s="5">
        <f>17253</f>
      </c>
      <c r="B17260" s="5" t="s">
        <v>17268</v>
      </c>
      <c r="C17260" s="5">
        <v>118.7</v>
      </c>
      <c r="D17260" s="5">
        <v>0.1</v>
      </c>
      <c r="E17260" s="5">
        <v>118.9</v>
      </c>
      <c r="F17260" s="5">
        <v>236.8</v>
      </c>
      <c r="G17260" s="5">
        <v>117.7</v>
      </c>
      <c r="H17260" s="5">
        <v>117.6</v>
      </c>
      <c r="I17260" s="5"/>
      <c r="J17260" s="5"/>
      <c r="K17260" s="5"/>
    </row>
    <row r="17261" spans="1:11" x14ac:dyDescent="0.25">
      <c r="A17261" s="5">
        <f>17254</f>
      </c>
      <c r="B17261" s="5" t="s">
        <v>17269</v>
      </c>
      <c r="C17261" s="5">
        <v>118.7</v>
      </c>
      <c r="D17261" s="5">
        <v>0.1</v>
      </c>
      <c r="E17261" s="5">
        <v>118.9</v>
      </c>
      <c r="F17261" s="5">
        <v>236.8</v>
      </c>
      <c r="G17261" s="5">
        <v>117.7</v>
      </c>
      <c r="H17261" s="5">
        <v>117.6</v>
      </c>
      <c r="I17261" s="5"/>
      <c r="J17261" s="5"/>
      <c r="K17261" s="5"/>
    </row>
    <row r="17262" spans="1:11" x14ac:dyDescent="0.25">
      <c r="A17262" s="5">
        <f>17255</f>
      </c>
      <c r="B17262" s="5" t="s">
        <v>17270</v>
      </c>
      <c r="C17262" s="5">
        <v>118.7</v>
      </c>
      <c r="D17262" s="5">
        <v>0.1</v>
      </c>
      <c r="E17262" s="5">
        <v>119</v>
      </c>
      <c r="F17262" s="5">
        <v>236.8</v>
      </c>
      <c r="G17262" s="5">
        <v>117.7</v>
      </c>
      <c r="H17262" s="5">
        <v>117.5</v>
      </c>
      <c r="I17262" s="5"/>
      <c r="J17262" s="5"/>
      <c r="K17262" s="5"/>
    </row>
    <row r="17263" spans="1:11" x14ac:dyDescent="0.25">
      <c r="A17263" s="5">
        <f>17256</f>
      </c>
      <c r="B17263" s="5" t="s">
        <v>17271</v>
      </c>
      <c r="C17263" s="5">
        <v>118.7</v>
      </c>
      <c r="D17263" s="5">
        <v>0.1</v>
      </c>
      <c r="E17263" s="5">
        <v>119</v>
      </c>
      <c r="F17263" s="5">
        <v>236.8</v>
      </c>
      <c r="G17263" s="5">
        <v>117.7</v>
      </c>
      <c r="H17263" s="5">
        <v>117.5</v>
      </c>
      <c r="I17263" s="5"/>
      <c r="J17263" s="5"/>
      <c r="K17263" s="5"/>
    </row>
    <row r="17264" spans="1:11" x14ac:dyDescent="0.25">
      <c r="A17264" s="5">
        <f>17257</f>
      </c>
      <c r="B17264" s="5" t="s">
        <v>17272</v>
      </c>
      <c r="C17264" s="5">
        <v>118.7</v>
      </c>
      <c r="D17264" s="5">
        <v>0.1</v>
      </c>
      <c r="E17264" s="5">
        <v>119</v>
      </c>
      <c r="F17264" s="5">
        <v>236.8</v>
      </c>
      <c r="G17264" s="5">
        <v>117.7</v>
      </c>
      <c r="H17264" s="5">
        <v>117.5</v>
      </c>
      <c r="I17264" s="5"/>
      <c r="J17264" s="5"/>
      <c r="K17264" s="5"/>
    </row>
    <row r="17265" spans="1:11" x14ac:dyDescent="0.25">
      <c r="A17265" s="5">
        <f>17258</f>
      </c>
      <c r="B17265" s="5" t="s">
        <v>17273</v>
      </c>
      <c r="C17265" s="5">
        <v>118.7</v>
      </c>
      <c r="D17265" s="5">
        <v>0.1</v>
      </c>
      <c r="E17265" s="5">
        <v>119</v>
      </c>
      <c r="F17265" s="5">
        <v>236.8</v>
      </c>
      <c r="G17265" s="5">
        <v>117.7</v>
      </c>
      <c r="H17265" s="5">
        <v>117.5</v>
      </c>
      <c r="I17265" s="5"/>
      <c r="J17265" s="5"/>
      <c r="K17265" s="5"/>
    </row>
    <row r="17266" spans="1:11" x14ac:dyDescent="0.25">
      <c r="A17266" s="5">
        <f>17259</f>
      </c>
      <c r="B17266" s="5" t="s">
        <v>17274</v>
      </c>
      <c r="C17266" s="5">
        <v>119.3</v>
      </c>
      <c r="D17266" s="5">
        <v>0.1</v>
      </c>
      <c r="E17266" s="5">
        <v>119.4</v>
      </c>
      <c r="F17266" s="5">
        <v>236.9</v>
      </c>
      <c r="G17266" s="5">
        <v>117.7</v>
      </c>
      <c r="H17266" s="5">
        <v>117.5</v>
      </c>
      <c r="I17266" s="5"/>
      <c r="J17266" s="5"/>
      <c r="K17266" s="5"/>
    </row>
    <row r="17267" spans="1:11" x14ac:dyDescent="0.25">
      <c r="A17267" s="5">
        <f>17260</f>
      </c>
      <c r="B17267" s="5" t="s">
        <v>17275</v>
      </c>
      <c r="C17267" s="5">
        <v>119.3</v>
      </c>
      <c r="D17267" s="5">
        <v>0.1</v>
      </c>
      <c r="E17267" s="5">
        <v>119.4</v>
      </c>
      <c r="F17267" s="5">
        <v>236.9</v>
      </c>
      <c r="G17267" s="5">
        <v>117.7</v>
      </c>
      <c r="H17267" s="5">
        <v>117.5</v>
      </c>
      <c r="I17267" s="5"/>
      <c r="J17267" s="5"/>
      <c r="K17267" s="5"/>
    </row>
    <row r="17268" spans="1:11" x14ac:dyDescent="0.25">
      <c r="A17268" s="5">
        <f>17261</f>
      </c>
      <c r="B17268" s="5" t="s">
        <v>17276</v>
      </c>
      <c r="C17268" s="5">
        <v>119.4</v>
      </c>
      <c r="D17268" s="5">
        <v>0.1</v>
      </c>
      <c r="E17268" s="5">
        <v>119.6</v>
      </c>
      <c r="F17268" s="5">
        <v>236.7</v>
      </c>
      <c r="G17268" s="5">
        <v>117.9</v>
      </c>
      <c r="H17268" s="5">
        <v>117.7</v>
      </c>
      <c r="I17268" s="5"/>
      <c r="J17268" s="5"/>
      <c r="K17268" s="5"/>
    </row>
    <row r="17269" spans="1:11" x14ac:dyDescent="0.25">
      <c r="A17269" s="5">
        <f>17262</f>
      </c>
      <c r="B17269" s="5" t="s">
        <v>17277</v>
      </c>
      <c r="C17269" s="5">
        <v>119.4</v>
      </c>
      <c r="D17269" s="5">
        <v>0.1</v>
      </c>
      <c r="E17269" s="5">
        <v>119.6</v>
      </c>
      <c r="F17269" s="5">
        <v>236.7</v>
      </c>
      <c r="G17269" s="5">
        <v>117.9</v>
      </c>
      <c r="H17269" s="5">
        <v>117.7</v>
      </c>
      <c r="I17269" s="5"/>
      <c r="J17269" s="5"/>
      <c r="K17269" s="5"/>
    </row>
    <row r="17270" spans="1:11" x14ac:dyDescent="0.25">
      <c r="A17270" s="5">
        <f>17263</f>
      </c>
      <c r="B17270" s="5" t="s">
        <v>17278</v>
      </c>
      <c r="C17270" s="5">
        <v>119.2</v>
      </c>
      <c r="D17270" s="5">
        <v>0.1</v>
      </c>
      <c r="E17270" s="5">
        <v>119.3</v>
      </c>
      <c r="F17270" s="5">
        <v>236.6</v>
      </c>
      <c r="G17270" s="5">
        <v>117.7</v>
      </c>
      <c r="H17270" s="5">
        <v>117.5</v>
      </c>
      <c r="I17270" s="5"/>
      <c r="J17270" s="5"/>
      <c r="K17270" s="5"/>
    </row>
    <row r="17271" spans="1:11" x14ac:dyDescent="0.25">
      <c r="A17271" s="5">
        <f>17264</f>
      </c>
      <c r="B17271" s="5" t="s">
        <v>17279</v>
      </c>
      <c r="C17271" s="5">
        <v>119.2</v>
      </c>
      <c r="D17271" s="5">
        <v>0.1</v>
      </c>
      <c r="E17271" s="5">
        <v>119.3</v>
      </c>
      <c r="F17271" s="5">
        <v>236.6</v>
      </c>
      <c r="G17271" s="5">
        <v>117.7</v>
      </c>
      <c r="H17271" s="5">
        <v>117.5</v>
      </c>
      <c r="I17271" s="5"/>
      <c r="J17271" s="5"/>
      <c r="K17271" s="5"/>
    </row>
    <row r="17272" spans="1:11" x14ac:dyDescent="0.25">
      <c r="A17272" s="5">
        <f>17265</f>
      </c>
      <c r="B17272" s="5" t="s">
        <v>17280</v>
      </c>
      <c r="C17272" s="5">
        <v>118.8</v>
      </c>
      <c r="D17272" s="5">
        <v>0.1</v>
      </c>
      <c r="E17272" s="5">
        <v>119</v>
      </c>
      <c r="F17272" s="5">
        <v>236.7</v>
      </c>
      <c r="G17272" s="5">
        <v>117.7</v>
      </c>
      <c r="H17272" s="5">
        <v>117.5</v>
      </c>
      <c r="I17272" s="5"/>
      <c r="J17272" s="5"/>
      <c r="K17272" s="5"/>
    </row>
    <row r="17273" spans="1:11" x14ac:dyDescent="0.25">
      <c r="A17273" s="5">
        <f>17266</f>
      </c>
      <c r="B17273" s="5" t="s">
        <v>17281</v>
      </c>
      <c r="C17273" s="5">
        <v>118.8</v>
      </c>
      <c r="D17273" s="5">
        <v>0.1</v>
      </c>
      <c r="E17273" s="5">
        <v>119</v>
      </c>
      <c r="F17273" s="5">
        <v>236.7</v>
      </c>
      <c r="G17273" s="5">
        <v>117.7</v>
      </c>
      <c r="H17273" s="5">
        <v>117.5</v>
      </c>
      <c r="I17273" s="5"/>
      <c r="J17273" s="5"/>
      <c r="K17273" s="5"/>
    </row>
    <row r="17274" spans="1:11" x14ac:dyDescent="0.25">
      <c r="A17274" s="5">
        <f>17267</f>
      </c>
      <c r="B17274" s="5" t="s">
        <v>17282</v>
      </c>
      <c r="C17274" s="5">
        <v>118.8</v>
      </c>
      <c r="D17274" s="5">
        <v>0.1</v>
      </c>
      <c r="E17274" s="5">
        <v>119</v>
      </c>
      <c r="F17274" s="5">
        <v>236.7</v>
      </c>
      <c r="G17274" s="5">
        <v>117.7</v>
      </c>
      <c r="H17274" s="5">
        <v>117.5</v>
      </c>
      <c r="I17274" s="5"/>
      <c r="J17274" s="5"/>
      <c r="K17274" s="5"/>
    </row>
    <row r="17275" spans="1:11" x14ac:dyDescent="0.25">
      <c r="A17275" s="5">
        <f>17268</f>
      </c>
      <c r="B17275" s="5" t="s">
        <v>17283</v>
      </c>
      <c r="C17275" s="5">
        <v>118.8</v>
      </c>
      <c r="D17275" s="5">
        <v>0.1</v>
      </c>
      <c r="E17275" s="5">
        <v>119</v>
      </c>
      <c r="F17275" s="5">
        <v>236.7</v>
      </c>
      <c r="G17275" s="5">
        <v>117.7</v>
      </c>
      <c r="H17275" s="5">
        <v>117.5</v>
      </c>
      <c r="I17275" s="5"/>
      <c r="J17275" s="5"/>
      <c r="K17275" s="5"/>
    </row>
    <row r="17276" spans="1:11" x14ac:dyDescent="0.25">
      <c r="A17276" s="5">
        <f>17269</f>
      </c>
      <c r="B17276" s="5" t="s">
        <v>17284</v>
      </c>
      <c r="C17276" s="5">
        <v>119.5</v>
      </c>
      <c r="D17276" s="5">
        <v>0.1</v>
      </c>
      <c r="E17276" s="5">
        <v>119.6</v>
      </c>
      <c r="F17276" s="5">
        <v>237.3</v>
      </c>
      <c r="G17276" s="5">
        <v>118</v>
      </c>
      <c r="H17276" s="5">
        <v>117.8</v>
      </c>
      <c r="I17276" s="5"/>
      <c r="J17276" s="5"/>
      <c r="K17276" s="5"/>
    </row>
    <row r="17277" spans="1:11" x14ac:dyDescent="0.25">
      <c r="A17277" s="5">
        <f>17270</f>
      </c>
      <c r="B17277" s="5" t="s">
        <v>17285</v>
      </c>
      <c r="C17277" s="5">
        <v>119.5</v>
      </c>
      <c r="D17277" s="5">
        <v>0.1</v>
      </c>
      <c r="E17277" s="5">
        <v>119.6</v>
      </c>
      <c r="F17277" s="5">
        <v>237.3</v>
      </c>
      <c r="G17277" s="5">
        <v>118</v>
      </c>
      <c r="H17277" s="5">
        <v>117.8</v>
      </c>
      <c r="I17277" s="5"/>
      <c r="J17277" s="5"/>
      <c r="K17277" s="5"/>
    </row>
    <row r="17278" spans="1:11" x14ac:dyDescent="0.25">
      <c r="A17278" s="5">
        <f>17271</f>
      </c>
      <c r="B17278" s="5" t="s">
        <v>17286</v>
      </c>
      <c r="C17278" s="5">
        <v>119.4</v>
      </c>
      <c r="D17278" s="5">
        <v>0.1</v>
      </c>
      <c r="E17278" s="5">
        <v>119.6</v>
      </c>
      <c r="F17278" s="5">
        <v>237.2</v>
      </c>
      <c r="G17278" s="5">
        <v>117.9</v>
      </c>
      <c r="H17278" s="5">
        <v>117.7</v>
      </c>
      <c r="I17278" s="5"/>
      <c r="J17278" s="5"/>
      <c r="K17278" s="5"/>
    </row>
    <row r="17279" spans="1:11" x14ac:dyDescent="0.25">
      <c r="A17279" s="5">
        <f>17272</f>
      </c>
      <c r="B17279" s="5" t="s">
        <v>17287</v>
      </c>
      <c r="C17279" s="5">
        <v>119.4</v>
      </c>
      <c r="D17279" s="5">
        <v>0.1</v>
      </c>
      <c r="E17279" s="5">
        <v>119.6</v>
      </c>
      <c r="F17279" s="5">
        <v>237.2</v>
      </c>
      <c r="G17279" s="5">
        <v>117.9</v>
      </c>
      <c r="H17279" s="5">
        <v>117.7</v>
      </c>
      <c r="I17279" s="5"/>
      <c r="J17279" s="5"/>
      <c r="K17279" s="5"/>
    </row>
    <row r="17280" spans="1:11" x14ac:dyDescent="0.25">
      <c r="A17280" s="5">
        <f>17273</f>
      </c>
      <c r="B17280" s="5" t="s">
        <v>17288</v>
      </c>
      <c r="C17280" s="5">
        <v>118.8</v>
      </c>
      <c r="D17280" s="5">
        <v>0.1</v>
      </c>
      <c r="E17280" s="5">
        <v>119</v>
      </c>
      <c r="F17280" s="5">
        <v>236.9</v>
      </c>
      <c r="G17280" s="5">
        <v>117.8</v>
      </c>
      <c r="H17280" s="5">
        <v>117.6</v>
      </c>
      <c r="I17280" s="5"/>
      <c r="J17280" s="5"/>
      <c r="K17280" s="5"/>
    </row>
    <row r="17281" spans="1:11" x14ac:dyDescent="0.25">
      <c r="A17281" s="5">
        <f>17274</f>
      </c>
      <c r="B17281" s="5" t="s">
        <v>17289</v>
      </c>
      <c r="C17281" s="5">
        <v>118.8</v>
      </c>
      <c r="D17281" s="5">
        <v>0.1</v>
      </c>
      <c r="E17281" s="5">
        <v>119</v>
      </c>
      <c r="F17281" s="5">
        <v>236.9</v>
      </c>
      <c r="G17281" s="5">
        <v>117.8</v>
      </c>
      <c r="H17281" s="5">
        <v>117.6</v>
      </c>
      <c r="I17281" s="5"/>
      <c r="J17281" s="5"/>
      <c r="K17281" s="5"/>
    </row>
    <row r="17282" spans="1:11" x14ac:dyDescent="0.25">
      <c r="A17282" s="5">
        <f>17275</f>
      </c>
      <c r="B17282" s="5" t="s">
        <v>17290</v>
      </c>
      <c r="C17282" s="5">
        <v>119</v>
      </c>
      <c r="D17282" s="5">
        <v>0.1</v>
      </c>
      <c r="E17282" s="5">
        <v>119.3</v>
      </c>
      <c r="F17282" s="5">
        <v>236.7</v>
      </c>
      <c r="G17282" s="5">
        <v>117.7</v>
      </c>
      <c r="H17282" s="5">
        <v>117.6</v>
      </c>
      <c r="I17282" s="5"/>
      <c r="J17282" s="5"/>
      <c r="K17282" s="5"/>
    </row>
    <row r="17283" spans="1:11" x14ac:dyDescent="0.25">
      <c r="A17283" s="5">
        <f>17276</f>
      </c>
      <c r="B17283" s="5" t="s">
        <v>17291</v>
      </c>
      <c r="C17283" s="5">
        <v>119</v>
      </c>
      <c r="D17283" s="5">
        <v>0.1</v>
      </c>
      <c r="E17283" s="5">
        <v>119.3</v>
      </c>
      <c r="F17283" s="5">
        <v>236.7</v>
      </c>
      <c r="G17283" s="5">
        <v>117.7</v>
      </c>
      <c r="H17283" s="5">
        <v>117.6</v>
      </c>
      <c r="I17283" s="5"/>
      <c r="J17283" s="5"/>
      <c r="K17283" s="5"/>
    </row>
    <row r="17284" spans="1:11" x14ac:dyDescent="0.25">
      <c r="A17284" s="5">
        <f>17277</f>
      </c>
      <c r="B17284" s="5" t="s">
        <v>17292</v>
      </c>
      <c r="C17284" s="5">
        <v>119</v>
      </c>
      <c r="D17284" s="5">
        <v>0.1</v>
      </c>
      <c r="E17284" s="5">
        <v>119.3</v>
      </c>
      <c r="F17284" s="5">
        <v>236.7</v>
      </c>
      <c r="G17284" s="5">
        <v>117.7</v>
      </c>
      <c r="H17284" s="5">
        <v>117.6</v>
      </c>
      <c r="I17284" s="5"/>
      <c r="J17284" s="5"/>
      <c r="K17284" s="5"/>
    </row>
    <row r="17285" spans="1:11" x14ac:dyDescent="0.25">
      <c r="A17285" s="5">
        <f>17278</f>
      </c>
      <c r="B17285" s="5" t="s">
        <v>17293</v>
      </c>
      <c r="C17285" s="5">
        <v>119</v>
      </c>
      <c r="D17285" s="5">
        <v>0.1</v>
      </c>
      <c r="E17285" s="5">
        <v>119.3</v>
      </c>
      <c r="F17285" s="5">
        <v>236.7</v>
      </c>
      <c r="G17285" s="5">
        <v>117.7</v>
      </c>
      <c r="H17285" s="5">
        <v>117.6</v>
      </c>
      <c r="I17285" s="5"/>
      <c r="J17285" s="5"/>
      <c r="K17285" s="5"/>
    </row>
    <row r="17286" spans="1:11" x14ac:dyDescent="0.25">
      <c r="A17286" s="5">
        <f>17279</f>
      </c>
      <c r="B17286" s="5" t="s">
        <v>17294</v>
      </c>
      <c r="C17286" s="5">
        <v>118.7</v>
      </c>
      <c r="D17286" s="5">
        <v>0.1</v>
      </c>
      <c r="E17286" s="5">
        <v>118.9</v>
      </c>
      <c r="F17286" s="5">
        <v>236.6</v>
      </c>
      <c r="G17286" s="5">
        <v>117.6</v>
      </c>
      <c r="H17286" s="5">
        <v>117.5</v>
      </c>
      <c r="I17286" s="5"/>
      <c r="J17286" s="5"/>
      <c r="K17286" s="5"/>
    </row>
    <row r="17287" spans="1:11" x14ac:dyDescent="0.25">
      <c r="A17287" s="5">
        <f>17280</f>
      </c>
      <c r="B17287" s="5" t="s">
        <v>17295</v>
      </c>
      <c r="C17287" s="5">
        <v>118.7</v>
      </c>
      <c r="D17287" s="5">
        <v>0.1</v>
      </c>
      <c r="E17287" s="5">
        <v>118.9</v>
      </c>
      <c r="F17287" s="5">
        <v>236.6</v>
      </c>
      <c r="G17287" s="5">
        <v>117.6</v>
      </c>
      <c r="H17287" s="5">
        <v>117.5</v>
      </c>
      <c r="I17287" s="5"/>
      <c r="J17287" s="5"/>
      <c r="K17287" s="5"/>
    </row>
    <row r="17288" spans="1:11" x14ac:dyDescent="0.25">
      <c r="A17288" s="5">
        <f>17281</f>
      </c>
      <c r="B17288" s="5" t="s">
        <v>17296</v>
      </c>
      <c r="C17288" s="5">
        <v>119.1</v>
      </c>
      <c r="D17288" s="5">
        <v>0.1</v>
      </c>
      <c r="E17288" s="5">
        <v>119.3</v>
      </c>
      <c r="F17288" s="5">
        <v>236.8</v>
      </c>
      <c r="G17288" s="5">
        <v>117.7</v>
      </c>
      <c r="H17288" s="5">
        <v>117.6</v>
      </c>
      <c r="I17288" s="5"/>
      <c r="J17288" s="5"/>
      <c r="K17288" s="5"/>
    </row>
    <row r="17289" spans="1:11" x14ac:dyDescent="0.25">
      <c r="A17289" s="5">
        <f>17282</f>
      </c>
      <c r="B17289" s="5" t="s">
        <v>17297</v>
      </c>
      <c r="C17289" s="5">
        <v>119.1</v>
      </c>
      <c r="D17289" s="5">
        <v>0.1</v>
      </c>
      <c r="E17289" s="5">
        <v>119.3</v>
      </c>
      <c r="F17289" s="5">
        <v>236.8</v>
      </c>
      <c r="G17289" s="5">
        <v>117.7</v>
      </c>
      <c r="H17289" s="5">
        <v>117.6</v>
      </c>
      <c r="I17289" s="5"/>
      <c r="J17289" s="5"/>
      <c r="K17289" s="5"/>
    </row>
    <row r="17290" spans="1:11" x14ac:dyDescent="0.25">
      <c r="A17290" s="5">
        <f>17283</f>
      </c>
      <c r="B17290" s="5" t="s">
        <v>17298</v>
      </c>
      <c r="C17290" s="5">
        <v>119</v>
      </c>
      <c r="D17290" s="5">
        <v>0.1</v>
      </c>
      <c r="E17290" s="5">
        <v>119.2</v>
      </c>
      <c r="F17290" s="5">
        <v>236.7</v>
      </c>
      <c r="G17290" s="5">
        <v>117.7</v>
      </c>
      <c r="H17290" s="5">
        <v>117.5</v>
      </c>
      <c r="I17290" s="5"/>
      <c r="J17290" s="5"/>
      <c r="K17290" s="5"/>
    </row>
    <row r="17291" spans="1:11" x14ac:dyDescent="0.25">
      <c r="A17291" s="5">
        <f>17284</f>
      </c>
      <c r="B17291" s="5" t="s">
        <v>17299</v>
      </c>
      <c r="C17291" s="5">
        <v>119</v>
      </c>
      <c r="D17291" s="5">
        <v>0.1</v>
      </c>
      <c r="E17291" s="5">
        <v>119.2</v>
      </c>
      <c r="F17291" s="5">
        <v>236.7</v>
      </c>
      <c r="G17291" s="5">
        <v>117.7</v>
      </c>
      <c r="H17291" s="5">
        <v>117.5</v>
      </c>
      <c r="I17291" s="5"/>
      <c r="J17291" s="5"/>
      <c r="K17291" s="5"/>
    </row>
    <row r="17292" spans="1:11" x14ac:dyDescent="0.25">
      <c r="A17292" s="5">
        <f>17285</f>
      </c>
      <c r="B17292" s="5" t="s">
        <v>17300</v>
      </c>
      <c r="C17292" s="5">
        <v>119</v>
      </c>
      <c r="D17292" s="5">
        <v>0.1</v>
      </c>
      <c r="E17292" s="5">
        <v>119.1</v>
      </c>
      <c r="F17292" s="5">
        <v>236.6</v>
      </c>
      <c r="G17292" s="5">
        <v>117.7</v>
      </c>
      <c r="H17292" s="5">
        <v>117.5</v>
      </c>
      <c r="I17292" s="5"/>
      <c r="J17292" s="5"/>
      <c r="K17292" s="5"/>
    </row>
    <row r="17293" spans="1:11" x14ac:dyDescent="0.25">
      <c r="A17293" s="5">
        <f>17286</f>
      </c>
      <c r="B17293" s="5" t="s">
        <v>17301</v>
      </c>
      <c r="C17293" s="5">
        <v>119</v>
      </c>
      <c r="D17293" s="5">
        <v>0.1</v>
      </c>
      <c r="E17293" s="5">
        <v>119.1</v>
      </c>
      <c r="F17293" s="5">
        <v>236.6</v>
      </c>
      <c r="G17293" s="5">
        <v>117.7</v>
      </c>
      <c r="H17293" s="5">
        <v>117.5</v>
      </c>
      <c r="I17293" s="5"/>
      <c r="J17293" s="5"/>
      <c r="K17293" s="5"/>
    </row>
    <row r="17294" spans="1:11" x14ac:dyDescent="0.25">
      <c r="A17294" s="5">
        <f>17287</f>
      </c>
      <c r="B17294" s="5" t="s">
        <v>17302</v>
      </c>
      <c r="C17294" s="5">
        <v>119</v>
      </c>
      <c r="D17294" s="5">
        <v>0.1</v>
      </c>
      <c r="E17294" s="5">
        <v>119.1</v>
      </c>
      <c r="F17294" s="5">
        <v>236.6</v>
      </c>
      <c r="G17294" s="5">
        <v>117.7</v>
      </c>
      <c r="H17294" s="5">
        <v>117.5</v>
      </c>
      <c r="I17294" s="5"/>
      <c r="J17294" s="5"/>
      <c r="K17294" s="5"/>
    </row>
    <row r="17295" spans="1:11" x14ac:dyDescent="0.25">
      <c r="A17295" s="5">
        <f>17288</f>
      </c>
      <c r="B17295" s="5" t="s">
        <v>17303</v>
      </c>
      <c r="C17295" s="5">
        <v>119</v>
      </c>
      <c r="D17295" s="5">
        <v>0.1</v>
      </c>
      <c r="E17295" s="5">
        <v>119.1</v>
      </c>
      <c r="F17295" s="5">
        <v>236.6</v>
      </c>
      <c r="G17295" s="5">
        <v>117.7</v>
      </c>
      <c r="H17295" s="5">
        <v>117.5</v>
      </c>
      <c r="I17295" s="5"/>
      <c r="J17295" s="5"/>
      <c r="K17295" s="5"/>
    </row>
    <row r="17296" spans="1:11" x14ac:dyDescent="0.25">
      <c r="A17296" s="5">
        <f>17289</f>
      </c>
      <c r="B17296" s="5" t="s">
        <v>17304</v>
      </c>
      <c r="C17296" s="5">
        <v>118.8</v>
      </c>
      <c r="D17296" s="5">
        <v>0.1</v>
      </c>
      <c r="E17296" s="5">
        <v>119</v>
      </c>
      <c r="F17296" s="5">
        <v>236.4</v>
      </c>
      <c r="G17296" s="5">
        <v>117.5</v>
      </c>
      <c r="H17296" s="5">
        <v>117.4</v>
      </c>
      <c r="I17296" s="5"/>
      <c r="J17296" s="5"/>
      <c r="K17296" s="5"/>
    </row>
    <row r="17297" spans="1:11" x14ac:dyDescent="0.25">
      <c r="A17297" s="5">
        <f>17290</f>
      </c>
      <c r="B17297" s="5" t="s">
        <v>17305</v>
      </c>
      <c r="C17297" s="5">
        <v>118.8</v>
      </c>
      <c r="D17297" s="5">
        <v>0.1</v>
      </c>
      <c r="E17297" s="5">
        <v>119</v>
      </c>
      <c r="F17297" s="5">
        <v>236.4</v>
      </c>
      <c r="G17297" s="5">
        <v>117.5</v>
      </c>
      <c r="H17297" s="5">
        <v>117.4</v>
      </c>
      <c r="I17297" s="5"/>
      <c r="J17297" s="5"/>
      <c r="K17297" s="5"/>
    </row>
    <row r="17298" spans="1:11" x14ac:dyDescent="0.25">
      <c r="A17298" s="5">
        <f>17291</f>
      </c>
      <c r="B17298" s="5" t="s">
        <v>17306</v>
      </c>
      <c r="C17298" s="5">
        <v>118.7</v>
      </c>
      <c r="D17298" s="5">
        <v>0.1</v>
      </c>
      <c r="E17298" s="5">
        <v>118.9</v>
      </c>
      <c r="F17298" s="5">
        <v>236.2</v>
      </c>
      <c r="G17298" s="5">
        <v>117.4</v>
      </c>
      <c r="H17298" s="5">
        <v>117.3</v>
      </c>
      <c r="I17298" s="5"/>
      <c r="J17298" s="5"/>
      <c r="K17298" s="5"/>
    </row>
    <row r="17299" spans="1:11" x14ac:dyDescent="0.25">
      <c r="A17299" s="5">
        <f>17292</f>
      </c>
      <c r="B17299" s="5" t="s">
        <v>17307</v>
      </c>
      <c r="C17299" s="5">
        <v>118.7</v>
      </c>
      <c r="D17299" s="5">
        <v>0.1</v>
      </c>
      <c r="E17299" s="5">
        <v>118.9</v>
      </c>
      <c r="F17299" s="5">
        <v>236.2</v>
      </c>
      <c r="G17299" s="5">
        <v>117.4</v>
      </c>
      <c r="H17299" s="5">
        <v>117.3</v>
      </c>
      <c r="I17299" s="5"/>
      <c r="J17299" s="5"/>
      <c r="K17299" s="5"/>
    </row>
    <row r="17300" spans="1:11" x14ac:dyDescent="0.25">
      <c r="A17300" s="5">
        <f>17293</f>
      </c>
      <c r="B17300" s="5" t="s">
        <v>17308</v>
      </c>
      <c r="C17300" s="5">
        <v>118.4</v>
      </c>
      <c r="D17300" s="5">
        <v>0.1</v>
      </c>
      <c r="E17300" s="5">
        <v>118.6</v>
      </c>
      <c r="F17300" s="5">
        <v>236.1</v>
      </c>
      <c r="G17300" s="5">
        <v>117.3</v>
      </c>
      <c r="H17300" s="5">
        <v>117.2</v>
      </c>
      <c r="I17300" s="5"/>
      <c r="J17300" s="5"/>
      <c r="K17300" s="5"/>
    </row>
    <row r="17301" spans="1:11" x14ac:dyDescent="0.25">
      <c r="A17301" s="5">
        <f>17294</f>
      </c>
      <c r="B17301" s="5" t="s">
        <v>17309</v>
      </c>
      <c r="C17301" s="5">
        <v>118.4</v>
      </c>
      <c r="D17301" s="5">
        <v>0.1</v>
      </c>
      <c r="E17301" s="5">
        <v>118.6</v>
      </c>
      <c r="F17301" s="5">
        <v>236.1</v>
      </c>
      <c r="G17301" s="5">
        <v>117.3</v>
      </c>
      <c r="H17301" s="5">
        <v>117.2</v>
      </c>
      <c r="I17301" s="5"/>
      <c r="J17301" s="5"/>
      <c r="K17301" s="5"/>
    </row>
    <row r="17302" spans="1:11" x14ac:dyDescent="0.25">
      <c r="A17302" s="5">
        <f>17295</f>
      </c>
      <c r="B17302" s="5" t="s">
        <v>17310</v>
      </c>
      <c r="C17302" s="5">
        <v>119</v>
      </c>
      <c r="D17302" s="5">
        <v>0.1</v>
      </c>
      <c r="E17302" s="5">
        <v>119.2</v>
      </c>
      <c r="F17302" s="5">
        <v>235.8</v>
      </c>
      <c r="G17302" s="5">
        <v>117.3</v>
      </c>
      <c r="H17302" s="5">
        <v>117.2</v>
      </c>
      <c r="I17302" s="5"/>
      <c r="J17302" s="5"/>
      <c r="K17302" s="5"/>
    </row>
    <row r="17303" spans="1:11" x14ac:dyDescent="0.25">
      <c r="A17303" s="5">
        <f>17296</f>
      </c>
      <c r="B17303" s="5" t="s">
        <v>17311</v>
      </c>
      <c r="C17303" s="5">
        <v>119</v>
      </c>
      <c r="D17303" s="5">
        <v>0.1</v>
      </c>
      <c r="E17303" s="5">
        <v>119.2</v>
      </c>
      <c r="F17303" s="5">
        <v>235.8</v>
      </c>
      <c r="G17303" s="5">
        <v>117.3</v>
      </c>
      <c r="H17303" s="5">
        <v>117.2</v>
      </c>
      <c r="I17303" s="5"/>
      <c r="J17303" s="5"/>
      <c r="K17303" s="5"/>
    </row>
    <row r="17304" spans="1:11" x14ac:dyDescent="0.25">
      <c r="A17304" s="5">
        <f>17297</f>
      </c>
      <c r="B17304" s="5" t="s">
        <v>17312</v>
      </c>
      <c r="C17304" s="5">
        <v>119</v>
      </c>
      <c r="D17304" s="5">
        <v>0.1</v>
      </c>
      <c r="E17304" s="5">
        <v>119.2</v>
      </c>
      <c r="F17304" s="5">
        <v>235.8</v>
      </c>
      <c r="G17304" s="5">
        <v>117.3</v>
      </c>
      <c r="H17304" s="5">
        <v>117.2</v>
      </c>
      <c r="I17304" s="5"/>
      <c r="J17304" s="5"/>
      <c r="K17304" s="5"/>
    </row>
    <row r="17305" spans="1:11" x14ac:dyDescent="0.25">
      <c r="A17305" s="5">
        <f>17298</f>
      </c>
      <c r="B17305" s="5" t="s">
        <v>17313</v>
      </c>
      <c r="C17305" s="5">
        <v>119</v>
      </c>
      <c r="D17305" s="5">
        <v>0.1</v>
      </c>
      <c r="E17305" s="5">
        <v>119.2</v>
      </c>
      <c r="F17305" s="5">
        <v>235.8</v>
      </c>
      <c r="G17305" s="5">
        <v>117.3</v>
      </c>
      <c r="H17305" s="5">
        <v>117.2</v>
      </c>
      <c r="I17305" s="5"/>
      <c r="J17305" s="5"/>
      <c r="K17305" s="5"/>
    </row>
    <row r="17306" spans="1:11" x14ac:dyDescent="0.25">
      <c r="A17306" s="5">
        <f>17299</f>
      </c>
      <c r="B17306" s="5" t="s">
        <v>17314</v>
      </c>
      <c r="C17306" s="5">
        <v>118.6</v>
      </c>
      <c r="D17306" s="5">
        <v>0.1</v>
      </c>
      <c r="E17306" s="5">
        <v>118.8</v>
      </c>
      <c r="F17306" s="5">
        <v>236.1</v>
      </c>
      <c r="G17306" s="5">
        <v>117.4</v>
      </c>
      <c r="H17306" s="5">
        <v>117.3</v>
      </c>
      <c r="I17306" s="5"/>
      <c r="J17306" s="5"/>
      <c r="K17306" s="5"/>
    </row>
    <row r="17307" spans="1:11" x14ac:dyDescent="0.25">
      <c r="A17307" s="5">
        <f>17300</f>
      </c>
      <c r="B17307" s="5" t="s">
        <v>17315</v>
      </c>
      <c r="C17307" s="5">
        <v>118.6</v>
      </c>
      <c r="D17307" s="5">
        <v>0.1</v>
      </c>
      <c r="E17307" s="5">
        <v>118.8</v>
      </c>
      <c r="F17307" s="5">
        <v>236.1</v>
      </c>
      <c r="G17307" s="5">
        <v>117.4</v>
      </c>
      <c r="H17307" s="5">
        <v>117.3</v>
      </c>
      <c r="I17307" s="5"/>
      <c r="J17307" s="5"/>
      <c r="K17307" s="5"/>
    </row>
    <row r="17308" spans="1:11" x14ac:dyDescent="0.25">
      <c r="A17308" s="5">
        <f>17301</f>
      </c>
      <c r="B17308" s="5" t="s">
        <v>17316</v>
      </c>
      <c r="C17308" s="5">
        <v>118.8</v>
      </c>
      <c r="D17308" s="5">
        <v>0.1</v>
      </c>
      <c r="E17308" s="5">
        <v>119</v>
      </c>
      <c r="F17308" s="5">
        <v>236.2</v>
      </c>
      <c r="G17308" s="5">
        <v>117.5</v>
      </c>
      <c r="H17308" s="5">
        <v>117.3</v>
      </c>
      <c r="I17308" s="5"/>
      <c r="J17308" s="5"/>
      <c r="K17308" s="5"/>
    </row>
    <row r="17309" spans="1:11" x14ac:dyDescent="0.25">
      <c r="A17309" s="5">
        <f>17302</f>
      </c>
      <c r="B17309" s="5" t="s">
        <v>17317</v>
      </c>
      <c r="C17309" s="5">
        <v>118.8</v>
      </c>
      <c r="D17309" s="5">
        <v>0.1</v>
      </c>
      <c r="E17309" s="5">
        <v>119</v>
      </c>
      <c r="F17309" s="5">
        <v>236.2</v>
      </c>
      <c r="G17309" s="5">
        <v>117.5</v>
      </c>
      <c r="H17309" s="5">
        <v>117.3</v>
      </c>
      <c r="I17309" s="5"/>
      <c r="J17309" s="5"/>
      <c r="K17309" s="5"/>
    </row>
    <row r="17310" spans="1:11" x14ac:dyDescent="0.25">
      <c r="A17310" s="5">
        <f>17303</f>
      </c>
      <c r="B17310" s="5" t="s">
        <v>17318</v>
      </c>
      <c r="C17310" s="5">
        <v>118.5</v>
      </c>
      <c r="D17310" s="5">
        <v>0.1</v>
      </c>
      <c r="E17310" s="5">
        <v>118.6</v>
      </c>
      <c r="F17310" s="5">
        <v>235.9</v>
      </c>
      <c r="G17310" s="5">
        <v>117.3</v>
      </c>
      <c r="H17310" s="5">
        <v>117.2</v>
      </c>
      <c r="I17310" s="5"/>
      <c r="J17310" s="5"/>
      <c r="K17310" s="5"/>
    </row>
    <row r="17311" spans="1:11" x14ac:dyDescent="0.25">
      <c r="A17311" s="5">
        <f>17304</f>
      </c>
      <c r="B17311" s="5" t="s">
        <v>17319</v>
      </c>
      <c r="C17311" s="5">
        <v>118.5</v>
      </c>
      <c r="D17311" s="5">
        <v>0.1</v>
      </c>
      <c r="E17311" s="5">
        <v>118.6</v>
      </c>
      <c r="F17311" s="5">
        <v>235.9</v>
      </c>
      <c r="G17311" s="5">
        <v>117.3</v>
      </c>
      <c r="H17311" s="5">
        <v>117.2</v>
      </c>
      <c r="I17311" s="5"/>
      <c r="J17311" s="5"/>
      <c r="K17311" s="5"/>
    </row>
    <row r="17312" spans="1:11" x14ac:dyDescent="0.25">
      <c r="A17312" s="5">
        <f>17305</f>
      </c>
      <c r="B17312" s="5" t="s">
        <v>17320</v>
      </c>
      <c r="C17312" s="5">
        <v>118.6</v>
      </c>
      <c r="D17312" s="5">
        <v>0.1</v>
      </c>
      <c r="E17312" s="5">
        <v>118.7</v>
      </c>
      <c r="F17312" s="5">
        <v>236</v>
      </c>
      <c r="G17312" s="5">
        <v>117.3</v>
      </c>
      <c r="H17312" s="5">
        <v>117.1</v>
      </c>
      <c r="I17312" s="5"/>
      <c r="J17312" s="5"/>
      <c r="K17312" s="5"/>
    </row>
    <row r="17313" spans="1:11" x14ac:dyDescent="0.25">
      <c r="A17313" s="5">
        <f>17306</f>
      </c>
      <c r="B17313" s="5" t="s">
        <v>17321</v>
      </c>
      <c r="C17313" s="5">
        <v>118.6</v>
      </c>
      <c r="D17313" s="5">
        <v>0.1</v>
      </c>
      <c r="E17313" s="5">
        <v>118.7</v>
      </c>
      <c r="F17313" s="5">
        <v>236</v>
      </c>
      <c r="G17313" s="5">
        <v>117.3</v>
      </c>
      <c r="H17313" s="5">
        <v>117.1</v>
      </c>
      <c r="I17313" s="5"/>
      <c r="J17313" s="5"/>
      <c r="K17313" s="5"/>
    </row>
    <row r="17314" spans="1:11" x14ac:dyDescent="0.25">
      <c r="A17314" s="5">
        <f>17307</f>
      </c>
      <c r="B17314" s="5" t="s">
        <v>17322</v>
      </c>
      <c r="C17314" s="5">
        <v>118.6</v>
      </c>
      <c r="D17314" s="5">
        <v>0.1</v>
      </c>
      <c r="E17314" s="5">
        <v>118.7</v>
      </c>
      <c r="F17314" s="5">
        <v>236</v>
      </c>
      <c r="G17314" s="5">
        <v>117.3</v>
      </c>
      <c r="H17314" s="5">
        <v>117.1</v>
      </c>
      <c r="I17314" s="5"/>
      <c r="J17314" s="5"/>
      <c r="K17314" s="5"/>
    </row>
    <row r="17315" spans="1:11" x14ac:dyDescent="0.25">
      <c r="A17315" s="5">
        <f>17308</f>
      </c>
      <c r="B17315" s="5" t="s">
        <v>17323</v>
      </c>
      <c r="C17315" s="5">
        <v>118.6</v>
      </c>
      <c r="D17315" s="5">
        <v>0.1</v>
      </c>
      <c r="E17315" s="5">
        <v>118.7</v>
      </c>
      <c r="F17315" s="5">
        <v>236</v>
      </c>
      <c r="G17315" s="5">
        <v>117.3</v>
      </c>
      <c r="H17315" s="5">
        <v>117.1</v>
      </c>
      <c r="I17315" s="5"/>
      <c r="J17315" s="5"/>
      <c r="K17315" s="5"/>
    </row>
    <row r="17316" spans="1:11" x14ac:dyDescent="0.25">
      <c r="A17316" s="5">
        <f>17309</f>
      </c>
      <c r="B17316" s="5" t="s">
        <v>17324</v>
      </c>
      <c r="C17316" s="5">
        <v>118.6</v>
      </c>
      <c r="D17316" s="5">
        <v>0.1</v>
      </c>
      <c r="E17316" s="5">
        <v>118.8</v>
      </c>
      <c r="F17316" s="5">
        <v>235.9</v>
      </c>
      <c r="G17316" s="5">
        <v>117.3</v>
      </c>
      <c r="H17316" s="5">
        <v>117.1</v>
      </c>
      <c r="I17316" s="5"/>
      <c r="J17316" s="5"/>
      <c r="K17316" s="5"/>
    </row>
    <row r="17317" spans="1:11" x14ac:dyDescent="0.25">
      <c r="A17317" s="5">
        <f>17310</f>
      </c>
      <c r="B17317" s="5" t="s">
        <v>17325</v>
      </c>
      <c r="C17317" s="5">
        <v>118.6</v>
      </c>
      <c r="D17317" s="5">
        <v>0.1</v>
      </c>
      <c r="E17317" s="5">
        <v>118.8</v>
      </c>
      <c r="F17317" s="5">
        <v>235.9</v>
      </c>
      <c r="G17317" s="5">
        <v>117.3</v>
      </c>
      <c r="H17317" s="5">
        <v>117.1</v>
      </c>
      <c r="I17317" s="5"/>
      <c r="J17317" s="5"/>
      <c r="K17317" s="5"/>
    </row>
    <row r="17318" spans="1:11" x14ac:dyDescent="0.25">
      <c r="A17318" s="5">
        <f>17311</f>
      </c>
      <c r="B17318" s="5" t="s">
        <v>17326</v>
      </c>
      <c r="C17318" s="5">
        <v>118.6</v>
      </c>
      <c r="D17318" s="5">
        <v>0.1</v>
      </c>
      <c r="E17318" s="5">
        <v>118.8</v>
      </c>
      <c r="F17318" s="5">
        <v>235.9</v>
      </c>
      <c r="G17318" s="5">
        <v>117.3</v>
      </c>
      <c r="H17318" s="5">
        <v>117.1</v>
      </c>
      <c r="I17318" s="5"/>
      <c r="J17318" s="5"/>
      <c r="K17318" s="5"/>
    </row>
    <row r="17319" spans="1:11" x14ac:dyDescent="0.25">
      <c r="A17319" s="5">
        <f>17312</f>
      </c>
      <c r="B17319" s="5" t="s">
        <v>17327</v>
      </c>
      <c r="C17319" s="5">
        <v>118.6</v>
      </c>
      <c r="D17319" s="5">
        <v>0.1</v>
      </c>
      <c r="E17319" s="5">
        <v>118.8</v>
      </c>
      <c r="F17319" s="5">
        <v>235.9</v>
      </c>
      <c r="G17319" s="5">
        <v>117.3</v>
      </c>
      <c r="H17319" s="5">
        <v>117.1</v>
      </c>
      <c r="I17319" s="5"/>
      <c r="J17319" s="5"/>
      <c r="K17319" s="5"/>
    </row>
    <row r="17320" spans="1:11" x14ac:dyDescent="0.25">
      <c r="A17320" s="5">
        <f>17313</f>
      </c>
      <c r="B17320" s="5" t="s">
        <v>17328</v>
      </c>
      <c r="C17320" s="5">
        <v>118.8</v>
      </c>
      <c r="D17320" s="5">
        <v>0.1</v>
      </c>
      <c r="E17320" s="5">
        <v>119</v>
      </c>
      <c r="F17320" s="5">
        <v>236.3</v>
      </c>
      <c r="G17320" s="5">
        <v>117.5</v>
      </c>
      <c r="H17320" s="5">
        <v>117.4</v>
      </c>
      <c r="I17320" s="5"/>
      <c r="J17320" s="5"/>
      <c r="K17320" s="5"/>
    </row>
    <row r="17321" spans="1:11" x14ac:dyDescent="0.25">
      <c r="A17321" s="5">
        <f>17314</f>
      </c>
      <c r="B17321" s="5" t="s">
        <v>17329</v>
      </c>
      <c r="C17321" s="5">
        <v>118.8</v>
      </c>
      <c r="D17321" s="5">
        <v>0.1</v>
      </c>
      <c r="E17321" s="5">
        <v>119</v>
      </c>
      <c r="F17321" s="5">
        <v>236.3</v>
      </c>
      <c r="G17321" s="5">
        <v>117.5</v>
      </c>
      <c r="H17321" s="5">
        <v>117.4</v>
      </c>
      <c r="I17321" s="5"/>
      <c r="J17321" s="5"/>
      <c r="K17321" s="5"/>
    </row>
    <row r="17322" spans="1:11" x14ac:dyDescent="0.25">
      <c r="A17322" s="5">
        <f>17315</f>
      </c>
      <c r="B17322" s="5" t="s">
        <v>17330</v>
      </c>
      <c r="C17322" s="5">
        <v>118.9</v>
      </c>
      <c r="D17322" s="5">
        <v>0.1</v>
      </c>
      <c r="E17322" s="5">
        <v>119</v>
      </c>
      <c r="F17322" s="5">
        <v>236.8</v>
      </c>
      <c r="G17322" s="5">
        <v>117.8</v>
      </c>
      <c r="H17322" s="5">
        <v>117.6</v>
      </c>
      <c r="I17322" s="5"/>
      <c r="J17322" s="5"/>
      <c r="K17322" s="5"/>
    </row>
    <row r="17323" spans="1:11" x14ac:dyDescent="0.25">
      <c r="A17323" s="5">
        <f>17316</f>
      </c>
      <c r="B17323" s="5" t="s">
        <v>17331</v>
      </c>
      <c r="C17323" s="5">
        <v>118.9</v>
      </c>
      <c r="D17323" s="5">
        <v>0.1</v>
      </c>
      <c r="E17323" s="5">
        <v>119</v>
      </c>
      <c r="F17323" s="5">
        <v>236.8</v>
      </c>
      <c r="G17323" s="5">
        <v>117.8</v>
      </c>
      <c r="H17323" s="5">
        <v>117.6</v>
      </c>
      <c r="I17323" s="5"/>
      <c r="J17323" s="5"/>
      <c r="K17323" s="5"/>
    </row>
    <row r="17324" spans="1:11" x14ac:dyDescent="0.25">
      <c r="A17324" s="5">
        <f>17317</f>
      </c>
      <c r="B17324" s="5" t="s">
        <v>17332</v>
      </c>
      <c r="C17324" s="5">
        <v>118.9</v>
      </c>
      <c r="D17324" s="5">
        <v>0.1</v>
      </c>
      <c r="E17324" s="5">
        <v>119</v>
      </c>
      <c r="F17324" s="5">
        <v>236.8</v>
      </c>
      <c r="G17324" s="5">
        <v>117.8</v>
      </c>
      <c r="H17324" s="5">
        <v>117.6</v>
      </c>
      <c r="I17324" s="5"/>
      <c r="J17324" s="5"/>
      <c r="K17324" s="5"/>
    </row>
    <row r="17325" spans="1:11" x14ac:dyDescent="0.25">
      <c r="A17325" s="5">
        <f>17318</f>
      </c>
      <c r="B17325" s="5" t="s">
        <v>17333</v>
      </c>
      <c r="C17325" s="5">
        <v>118.7</v>
      </c>
      <c r="D17325" s="5">
        <v>0.1</v>
      </c>
      <c r="E17325" s="5">
        <v>118.9</v>
      </c>
      <c r="F17325" s="5">
        <v>236.8</v>
      </c>
      <c r="G17325" s="5">
        <v>117.8</v>
      </c>
      <c r="H17325" s="5">
        <v>117.6</v>
      </c>
      <c r="I17325" s="5"/>
      <c r="J17325" s="5"/>
      <c r="K17325" s="5"/>
    </row>
    <row r="17326" spans="1:11" x14ac:dyDescent="0.25">
      <c r="A17326" s="5">
        <f>17319</f>
      </c>
      <c r="B17326" s="5" t="s">
        <v>17334</v>
      </c>
      <c r="C17326" s="5">
        <v>118.7</v>
      </c>
      <c r="D17326" s="5">
        <v>0.1</v>
      </c>
      <c r="E17326" s="5">
        <v>118.9</v>
      </c>
      <c r="F17326" s="5">
        <v>236.8</v>
      </c>
      <c r="G17326" s="5">
        <v>117.8</v>
      </c>
      <c r="H17326" s="5">
        <v>117.6</v>
      </c>
      <c r="I17326" s="5"/>
      <c r="J17326" s="5"/>
      <c r="K17326" s="5"/>
    </row>
    <row r="17327" spans="1:11" x14ac:dyDescent="0.25">
      <c r="A17327" s="5">
        <f>17320</f>
      </c>
      <c r="B17327" s="5" t="s">
        <v>17335</v>
      </c>
      <c r="C17327" s="5">
        <v>119</v>
      </c>
      <c r="D17327" s="5">
        <v>0.1</v>
      </c>
      <c r="E17327" s="5">
        <v>119.1</v>
      </c>
      <c r="F17327" s="5">
        <v>237.2</v>
      </c>
      <c r="G17327" s="5">
        <v>117.9</v>
      </c>
      <c r="H17327" s="5">
        <v>117.8</v>
      </c>
      <c r="I17327" s="5"/>
      <c r="J17327" s="5"/>
      <c r="K17327" s="5"/>
    </row>
    <row r="17328" spans="1:11" x14ac:dyDescent="0.25">
      <c r="A17328" s="5">
        <f>17321</f>
      </c>
      <c r="B17328" s="5" t="s">
        <v>17336</v>
      </c>
      <c r="C17328" s="5">
        <v>119</v>
      </c>
      <c r="D17328" s="5">
        <v>0.1</v>
      </c>
      <c r="E17328" s="5">
        <v>119.1</v>
      </c>
      <c r="F17328" s="5">
        <v>237.2</v>
      </c>
      <c r="G17328" s="5">
        <v>117.9</v>
      </c>
      <c r="H17328" s="5">
        <v>117.8</v>
      </c>
      <c r="I17328" s="5"/>
      <c r="J17328" s="5"/>
      <c r="K17328" s="5"/>
    </row>
    <row r="17329" spans="1:11" x14ac:dyDescent="0.25">
      <c r="A17329" s="5">
        <f>17322</f>
      </c>
      <c r="B17329" s="5" t="s">
        <v>17337</v>
      </c>
      <c r="C17329" s="5">
        <v>119</v>
      </c>
      <c r="D17329" s="5">
        <v>0.1</v>
      </c>
      <c r="E17329" s="5">
        <v>119.3</v>
      </c>
      <c r="F17329" s="5">
        <v>237.1</v>
      </c>
      <c r="G17329" s="5">
        <v>117.9</v>
      </c>
      <c r="H17329" s="5">
        <v>117.7</v>
      </c>
      <c r="I17329" s="5"/>
      <c r="J17329" s="5"/>
      <c r="K17329" s="5"/>
    </row>
    <row r="17330" spans="1:11" x14ac:dyDescent="0.25">
      <c r="A17330" s="5">
        <f>17323</f>
      </c>
      <c r="B17330" s="5" t="s">
        <v>17338</v>
      </c>
      <c r="C17330" s="5">
        <v>119.1</v>
      </c>
      <c r="D17330" s="5">
        <v>0.1</v>
      </c>
      <c r="E17330" s="5">
        <v>119.3</v>
      </c>
      <c r="F17330" s="5">
        <v>237.1</v>
      </c>
      <c r="G17330" s="5">
        <v>117.9</v>
      </c>
      <c r="H17330" s="5">
        <v>117.7</v>
      </c>
      <c r="I17330" s="5"/>
      <c r="J17330" s="5"/>
      <c r="K17330" s="5"/>
    </row>
    <row r="17331" spans="1:11" x14ac:dyDescent="0.25">
      <c r="A17331" s="5">
        <f>17324</f>
      </c>
      <c r="B17331" s="5" t="s">
        <v>17339</v>
      </c>
      <c r="C17331" s="5">
        <v>119.1</v>
      </c>
      <c r="D17331" s="5">
        <v>0.1</v>
      </c>
      <c r="E17331" s="5">
        <v>119.3</v>
      </c>
      <c r="F17331" s="5">
        <v>237.2</v>
      </c>
      <c r="G17331" s="5">
        <v>117.9</v>
      </c>
      <c r="H17331" s="5">
        <v>117.8</v>
      </c>
      <c r="I17331" s="5"/>
      <c r="J17331" s="5"/>
      <c r="K17331" s="5"/>
    </row>
    <row r="17332" spans="1:11" x14ac:dyDescent="0.25">
      <c r="A17332" s="5">
        <f>17325</f>
      </c>
      <c r="B17332" s="5" t="s">
        <v>17340</v>
      </c>
      <c r="C17332" s="5">
        <v>119.1</v>
      </c>
      <c r="D17332" s="5">
        <v>0.1</v>
      </c>
      <c r="E17332" s="5">
        <v>119.3</v>
      </c>
      <c r="F17332" s="5">
        <v>237.2</v>
      </c>
      <c r="G17332" s="5">
        <v>117.9</v>
      </c>
      <c r="H17332" s="5">
        <v>117.8</v>
      </c>
      <c r="I17332" s="5"/>
      <c r="J17332" s="5"/>
      <c r="K17332" s="5"/>
    </row>
    <row r="17333" spans="1:11" x14ac:dyDescent="0.25">
      <c r="A17333" s="5">
        <f>17326</f>
      </c>
      <c r="B17333" s="5" t="s">
        <v>17341</v>
      </c>
      <c r="C17333" s="5">
        <v>119.1</v>
      </c>
      <c r="D17333" s="5">
        <v>0.1</v>
      </c>
      <c r="E17333" s="5">
        <v>119.3</v>
      </c>
      <c r="F17333" s="5">
        <v>237.2</v>
      </c>
      <c r="G17333" s="5">
        <v>117.9</v>
      </c>
      <c r="H17333" s="5">
        <v>117.8</v>
      </c>
      <c r="I17333" s="5"/>
      <c r="J17333" s="5"/>
      <c r="K17333" s="5"/>
    </row>
    <row r="17334" spans="1:11" x14ac:dyDescent="0.25">
      <c r="A17334" s="5">
        <f>17327</f>
      </c>
      <c r="B17334" s="5" t="s">
        <v>17342</v>
      </c>
      <c r="C17334" s="5">
        <v>119.1</v>
      </c>
      <c r="D17334" s="5">
        <v>0.1</v>
      </c>
      <c r="E17334" s="5">
        <v>119.3</v>
      </c>
      <c r="F17334" s="5">
        <v>237.2</v>
      </c>
      <c r="G17334" s="5">
        <v>117.9</v>
      </c>
      <c r="H17334" s="5">
        <v>117.8</v>
      </c>
      <c r="I17334" s="5"/>
      <c r="J17334" s="5"/>
      <c r="K17334" s="5"/>
    </row>
    <row r="17335" spans="1:11" x14ac:dyDescent="0.25">
      <c r="A17335" s="5">
        <f>17328</f>
      </c>
      <c r="B17335" s="5" t="s">
        <v>17343</v>
      </c>
      <c r="C17335" s="5">
        <v>119.6</v>
      </c>
      <c r="D17335" s="5">
        <v>0.1</v>
      </c>
      <c r="E17335" s="5">
        <v>119.8</v>
      </c>
      <c r="F17335" s="5">
        <v>238</v>
      </c>
      <c r="G17335" s="5">
        <v>118.4</v>
      </c>
      <c r="H17335" s="5">
        <v>118.2</v>
      </c>
      <c r="I17335" s="5"/>
      <c r="J17335" s="5"/>
      <c r="K17335" s="5"/>
    </row>
    <row r="17336" spans="1:11" x14ac:dyDescent="0.25">
      <c r="A17336" s="5">
        <f>17329</f>
      </c>
      <c r="B17336" s="5" t="s">
        <v>17344</v>
      </c>
      <c r="C17336" s="5">
        <v>119.6</v>
      </c>
      <c r="D17336" s="5">
        <v>0.1</v>
      </c>
      <c r="E17336" s="5">
        <v>119.8</v>
      </c>
      <c r="F17336" s="5">
        <v>238</v>
      </c>
      <c r="G17336" s="5">
        <v>118.4</v>
      </c>
      <c r="H17336" s="5">
        <v>118.2</v>
      </c>
      <c r="I17336" s="5"/>
      <c r="J17336" s="5"/>
      <c r="K17336" s="5"/>
    </row>
    <row r="17337" spans="1:11" x14ac:dyDescent="0.25">
      <c r="A17337" s="5">
        <f>17330</f>
      </c>
      <c r="B17337" s="5" t="s">
        <v>17345</v>
      </c>
      <c r="C17337" s="5">
        <v>119.7</v>
      </c>
      <c r="D17337" s="5">
        <v>0.1</v>
      </c>
      <c r="E17337" s="5">
        <v>119.9</v>
      </c>
      <c r="F17337" s="5">
        <v>238.1</v>
      </c>
      <c r="G17337" s="5">
        <v>118.4</v>
      </c>
      <c r="H17337" s="5">
        <v>118.2</v>
      </c>
      <c r="I17337" s="5"/>
      <c r="J17337" s="5"/>
      <c r="K17337" s="5"/>
    </row>
    <row r="17338" spans="1:11" x14ac:dyDescent="0.25">
      <c r="A17338" s="5">
        <f>17331</f>
      </c>
      <c r="B17338" s="5" t="s">
        <v>17346</v>
      </c>
      <c r="C17338" s="5">
        <v>119.7</v>
      </c>
      <c r="D17338" s="5">
        <v>0.1</v>
      </c>
      <c r="E17338" s="5">
        <v>119.9</v>
      </c>
      <c r="F17338" s="5">
        <v>238.1</v>
      </c>
      <c r="G17338" s="5">
        <v>118.4</v>
      </c>
      <c r="H17338" s="5">
        <v>118.2</v>
      </c>
      <c r="I17338" s="5"/>
      <c r="J17338" s="5"/>
      <c r="K17338" s="5"/>
    </row>
    <row r="17339" spans="1:11" x14ac:dyDescent="0.25">
      <c r="A17339" s="5">
        <f>17332</f>
      </c>
      <c r="B17339" s="5" t="s">
        <v>17347</v>
      </c>
      <c r="C17339" s="5">
        <v>119.7</v>
      </c>
      <c r="D17339" s="5">
        <v>0.1</v>
      </c>
      <c r="E17339" s="5">
        <v>119.9</v>
      </c>
      <c r="F17339" s="5">
        <v>238.2</v>
      </c>
      <c r="G17339" s="5">
        <v>118.5</v>
      </c>
      <c r="H17339" s="5">
        <v>118.3</v>
      </c>
      <c r="I17339" s="5"/>
      <c r="J17339" s="5"/>
      <c r="K17339" s="5"/>
    </row>
    <row r="17340" spans="1:11" x14ac:dyDescent="0.25">
      <c r="A17340" s="5">
        <f>17333</f>
      </c>
      <c r="B17340" s="5" t="s">
        <v>17348</v>
      </c>
      <c r="C17340" s="5">
        <v>119.7</v>
      </c>
      <c r="D17340" s="5">
        <v>0.1</v>
      </c>
      <c r="E17340" s="5">
        <v>119.9</v>
      </c>
      <c r="F17340" s="5">
        <v>238.2</v>
      </c>
      <c r="G17340" s="5">
        <v>118.5</v>
      </c>
      <c r="H17340" s="5">
        <v>118.3</v>
      </c>
      <c r="I17340" s="5"/>
      <c r="J17340" s="5"/>
      <c r="K17340" s="5"/>
    </row>
    <row r="17341" spans="1:11" x14ac:dyDescent="0.25">
      <c r="A17341" s="5">
        <f>17334</f>
      </c>
      <c r="B17341" s="5" t="s">
        <v>17349</v>
      </c>
      <c r="C17341" s="5">
        <v>120.2</v>
      </c>
      <c r="D17341" s="5">
        <v>0.1</v>
      </c>
      <c r="E17341" s="5">
        <v>120.3</v>
      </c>
      <c r="F17341" s="5">
        <v>238.8</v>
      </c>
      <c r="G17341" s="5">
        <v>118.7</v>
      </c>
      <c r="H17341" s="5">
        <v>118.5</v>
      </c>
      <c r="I17341" s="5"/>
      <c r="J17341" s="5"/>
      <c r="K17341" s="5"/>
    </row>
    <row r="17342" spans="1:11" x14ac:dyDescent="0.25">
      <c r="A17342" s="5">
        <f>17335</f>
      </c>
      <c r="B17342" s="5" t="s">
        <v>17350</v>
      </c>
      <c r="C17342" s="5">
        <v>120.2</v>
      </c>
      <c r="D17342" s="5">
        <v>0.1</v>
      </c>
      <c r="E17342" s="5">
        <v>120.3</v>
      </c>
      <c r="F17342" s="5">
        <v>238.8</v>
      </c>
      <c r="G17342" s="5">
        <v>118.7</v>
      </c>
      <c r="H17342" s="5">
        <v>118.5</v>
      </c>
      <c r="I17342" s="5"/>
      <c r="J17342" s="5"/>
      <c r="K17342" s="5"/>
    </row>
    <row r="17343" spans="1:11" x14ac:dyDescent="0.25">
      <c r="A17343" s="5">
        <f>17336</f>
      </c>
      <c r="B17343" s="5" t="s">
        <v>17351</v>
      </c>
      <c r="C17343" s="5">
        <v>120.2</v>
      </c>
      <c r="D17343" s="5">
        <v>0.1</v>
      </c>
      <c r="E17343" s="5">
        <v>120.3</v>
      </c>
      <c r="F17343" s="5">
        <v>238.8</v>
      </c>
      <c r="G17343" s="5">
        <v>118.7</v>
      </c>
      <c r="H17343" s="5">
        <v>118.5</v>
      </c>
      <c r="I17343" s="5"/>
      <c r="J17343" s="5"/>
      <c r="K17343" s="5"/>
    </row>
    <row r="17344" spans="1:11" x14ac:dyDescent="0.25">
      <c r="A17344" s="5">
        <f>17337</f>
      </c>
      <c r="B17344" s="5" t="s">
        <v>17352</v>
      </c>
      <c r="C17344" s="5">
        <v>120.2</v>
      </c>
      <c r="D17344" s="5">
        <v>0.1</v>
      </c>
      <c r="E17344" s="5">
        <v>120.3</v>
      </c>
      <c r="F17344" s="5">
        <v>238.8</v>
      </c>
      <c r="G17344" s="5">
        <v>118.7</v>
      </c>
      <c r="H17344" s="5">
        <v>118.5</v>
      </c>
      <c r="I17344" s="5"/>
      <c r="J17344" s="5"/>
      <c r="K17344" s="5"/>
    </row>
    <row r="17345" spans="1:11" x14ac:dyDescent="0.25">
      <c r="A17345" s="5">
        <f>17338</f>
      </c>
      <c r="B17345" s="5" t="s">
        <v>17353</v>
      </c>
      <c r="C17345" s="5">
        <v>119.6</v>
      </c>
      <c r="D17345" s="5">
        <v>0.1</v>
      </c>
      <c r="E17345" s="5">
        <v>119.7</v>
      </c>
      <c r="F17345" s="5">
        <v>238</v>
      </c>
      <c r="G17345" s="5">
        <v>118.7</v>
      </c>
      <c r="H17345" s="5">
        <v>118.5</v>
      </c>
      <c r="I17345" s="5"/>
      <c r="J17345" s="5"/>
      <c r="K17345" s="5"/>
    </row>
    <row r="17346" spans="1:11" x14ac:dyDescent="0.25">
      <c r="A17346" s="5">
        <f>17339</f>
      </c>
      <c r="B17346" s="5" t="s">
        <v>17354</v>
      </c>
      <c r="C17346" s="5">
        <v>119.6</v>
      </c>
      <c r="D17346" s="5">
        <v>0.1</v>
      </c>
      <c r="E17346" s="5">
        <v>119.7</v>
      </c>
      <c r="F17346" s="5">
        <v>238</v>
      </c>
      <c r="G17346" s="5">
        <v>118.4</v>
      </c>
      <c r="H17346" s="5">
        <v>118.1</v>
      </c>
      <c r="I17346" s="5"/>
      <c r="J17346" s="5"/>
      <c r="K17346" s="5"/>
    </row>
    <row r="17347" spans="1:11" x14ac:dyDescent="0.25">
      <c r="A17347" s="5">
        <f>17340</f>
      </c>
      <c r="B17347" s="5" t="s">
        <v>17355</v>
      </c>
      <c r="C17347" s="5">
        <v>119.9</v>
      </c>
      <c r="D17347" s="5">
        <v>0.1</v>
      </c>
      <c r="E17347" s="5">
        <v>119.7</v>
      </c>
      <c r="F17347" s="5">
        <v>238</v>
      </c>
      <c r="G17347" s="5">
        <v>118.4</v>
      </c>
      <c r="H17347" s="5">
        <v>118.1</v>
      </c>
      <c r="I17347" s="5"/>
      <c r="J17347" s="5"/>
      <c r="K17347" s="5"/>
    </row>
    <row r="17348" spans="1:11" x14ac:dyDescent="0.25">
      <c r="A17348" s="5">
        <f>17341</f>
      </c>
      <c r="B17348" s="5" t="s">
        <v>17356</v>
      </c>
      <c r="C17348" s="5">
        <v>119.9</v>
      </c>
      <c r="D17348" s="5">
        <v>0.1</v>
      </c>
      <c r="E17348" s="5">
        <v>120</v>
      </c>
      <c r="F17348" s="5">
        <v>238.2</v>
      </c>
      <c r="G17348" s="5">
        <v>118.4</v>
      </c>
      <c r="H17348" s="5">
        <v>118.2</v>
      </c>
      <c r="I17348" s="5"/>
      <c r="J17348" s="5"/>
      <c r="K17348" s="5"/>
    </row>
    <row r="17349" spans="1:11" x14ac:dyDescent="0.25">
      <c r="A17349" s="5">
        <f>17342</f>
      </c>
      <c r="B17349" s="5" t="s">
        <v>17357</v>
      </c>
      <c r="C17349" s="5">
        <v>119.6</v>
      </c>
      <c r="D17349" s="5">
        <v>0.1</v>
      </c>
      <c r="E17349" s="5">
        <v>120</v>
      </c>
      <c r="F17349" s="5">
        <v>238.2</v>
      </c>
      <c r="G17349" s="5">
        <v>118.4</v>
      </c>
      <c r="H17349" s="5">
        <v>118.2</v>
      </c>
      <c r="I17349" s="5"/>
      <c r="J17349" s="5"/>
      <c r="K17349" s="5"/>
    </row>
    <row r="17350" spans="1:11" x14ac:dyDescent="0.25">
      <c r="A17350" s="5">
        <f>17343</f>
      </c>
      <c r="B17350" s="5" t="s">
        <v>17358</v>
      </c>
      <c r="C17350" s="5">
        <v>119.6</v>
      </c>
      <c r="D17350" s="5">
        <v>0.1</v>
      </c>
      <c r="E17350" s="5">
        <v>119.7</v>
      </c>
      <c r="F17350" s="5">
        <v>237.8</v>
      </c>
      <c r="G17350" s="5">
        <v>118.3</v>
      </c>
      <c r="H17350" s="5">
        <v>118.1</v>
      </c>
      <c r="I17350" s="5"/>
      <c r="J17350" s="5"/>
      <c r="K17350" s="5"/>
    </row>
    <row r="17351" spans="1:11" x14ac:dyDescent="0.25">
      <c r="A17351" s="5">
        <f>17344</f>
      </c>
      <c r="B17351" s="5" t="s">
        <v>17359</v>
      </c>
      <c r="C17351" s="5">
        <v>119.6</v>
      </c>
      <c r="D17351" s="5">
        <v>0.1</v>
      </c>
      <c r="E17351" s="5">
        <v>119.7</v>
      </c>
      <c r="F17351" s="5">
        <v>237.8</v>
      </c>
      <c r="G17351" s="5">
        <v>118.3</v>
      </c>
      <c r="H17351" s="5">
        <v>118.1</v>
      </c>
      <c r="I17351" s="5"/>
      <c r="J17351" s="5"/>
      <c r="K17351" s="5"/>
    </row>
    <row r="17352" spans="1:11" x14ac:dyDescent="0.25">
      <c r="A17352" s="5">
        <f>17345</f>
      </c>
      <c r="B17352" s="5" t="s">
        <v>17360</v>
      </c>
      <c r="C17352" s="5">
        <v>119.8</v>
      </c>
      <c r="D17352" s="5">
        <v>0.1</v>
      </c>
      <c r="E17352" s="5">
        <v>119.9</v>
      </c>
      <c r="F17352" s="5">
        <v>238.5</v>
      </c>
      <c r="G17352" s="5">
        <v>118.6</v>
      </c>
      <c r="H17352" s="5">
        <v>118.5</v>
      </c>
      <c r="I17352" s="5"/>
      <c r="J17352" s="5"/>
      <c r="K17352" s="5"/>
    </row>
    <row r="17353" spans="1:11" x14ac:dyDescent="0.25">
      <c r="A17353" s="5">
        <f>17346</f>
      </c>
      <c r="B17353" s="5" t="s">
        <v>17361</v>
      </c>
      <c r="C17353" s="5">
        <v>119.8</v>
      </c>
      <c r="D17353" s="5">
        <v>0.1</v>
      </c>
      <c r="E17353" s="5">
        <v>119.9</v>
      </c>
      <c r="F17353" s="5">
        <v>238.5</v>
      </c>
      <c r="G17353" s="5">
        <v>118.6</v>
      </c>
      <c r="H17353" s="5">
        <v>118.5</v>
      </c>
      <c r="I17353" s="5"/>
      <c r="J17353" s="5"/>
      <c r="K17353" s="5"/>
    </row>
    <row r="17354" spans="1:11" x14ac:dyDescent="0.25">
      <c r="A17354" s="5">
        <f>17347</f>
      </c>
      <c r="B17354" s="5" t="s">
        <v>17362</v>
      </c>
      <c r="C17354" s="5">
        <v>119.8</v>
      </c>
      <c r="D17354" s="5">
        <v>0.1</v>
      </c>
      <c r="E17354" s="5">
        <v>119.9</v>
      </c>
      <c r="F17354" s="5">
        <v>238.5</v>
      </c>
      <c r="G17354" s="5">
        <v>118.6</v>
      </c>
      <c r="H17354" s="5">
        <v>118.5</v>
      </c>
      <c r="I17354" s="5"/>
      <c r="J17354" s="5"/>
      <c r="K17354" s="5"/>
    </row>
    <row r="17355" spans="1:11" x14ac:dyDescent="0.25">
      <c r="A17355" s="5">
        <f>17348</f>
      </c>
      <c r="B17355" s="5" t="s">
        <v>17363</v>
      </c>
      <c r="C17355" s="5">
        <v>119.9</v>
      </c>
      <c r="D17355" s="5">
        <v>0.1</v>
      </c>
      <c r="E17355" s="5">
        <v>120</v>
      </c>
      <c r="F17355" s="5">
        <v>238.5</v>
      </c>
      <c r="G17355" s="5">
        <v>118.6</v>
      </c>
      <c r="H17355" s="5">
        <v>118.4</v>
      </c>
      <c r="I17355" s="5"/>
      <c r="J17355" s="5"/>
      <c r="K17355" s="5"/>
    </row>
    <row r="17356" spans="1:11" x14ac:dyDescent="0.25">
      <c r="A17356" s="5">
        <f>17349</f>
      </c>
      <c r="B17356" s="5" t="s">
        <v>17364</v>
      </c>
      <c r="C17356" s="5">
        <v>119.9</v>
      </c>
      <c r="D17356" s="5">
        <v>0.1</v>
      </c>
      <c r="E17356" s="5">
        <v>120</v>
      </c>
      <c r="F17356" s="5">
        <v>238.5</v>
      </c>
      <c r="G17356" s="5">
        <v>118.6</v>
      </c>
      <c r="H17356" s="5">
        <v>118.4</v>
      </c>
      <c r="I17356" s="5"/>
      <c r="J17356" s="5"/>
      <c r="K17356" s="5"/>
    </row>
    <row r="17357" spans="1:11" x14ac:dyDescent="0.25">
      <c r="A17357" s="5">
        <f>17350</f>
      </c>
      <c r="B17357" s="5" t="s">
        <v>17365</v>
      </c>
      <c r="C17357" s="5">
        <v>119.9</v>
      </c>
      <c r="D17357" s="5">
        <v>0.1</v>
      </c>
      <c r="E17357" s="5">
        <v>120.1</v>
      </c>
      <c r="F17357" s="5">
        <v>239</v>
      </c>
      <c r="G17357" s="5">
        <v>118.8</v>
      </c>
      <c r="H17357" s="5">
        <v>118.7</v>
      </c>
      <c r="I17357" s="5"/>
      <c r="J17357" s="5"/>
      <c r="K17357" s="5"/>
    </row>
    <row r="17358" spans="1:11" x14ac:dyDescent="0.25">
      <c r="A17358" s="5">
        <f>17351</f>
      </c>
      <c r="B17358" s="5" t="s">
        <v>17366</v>
      </c>
      <c r="C17358" s="5">
        <v>119.9</v>
      </c>
      <c r="D17358" s="5">
        <v>0.1</v>
      </c>
      <c r="E17358" s="5">
        <v>120.1</v>
      </c>
      <c r="F17358" s="5">
        <v>239</v>
      </c>
      <c r="G17358" s="5">
        <v>118.8</v>
      </c>
      <c r="H17358" s="5">
        <v>118.7</v>
      </c>
      <c r="I17358" s="5"/>
      <c r="J17358" s="5"/>
      <c r="K17358" s="5"/>
    </row>
    <row r="17359" spans="1:11" x14ac:dyDescent="0.25">
      <c r="A17359" s="5">
        <f>17352</f>
      </c>
      <c r="B17359" s="5" t="s">
        <v>17367</v>
      </c>
      <c r="C17359" s="5">
        <v>119.9</v>
      </c>
      <c r="D17359" s="5">
        <v>0.1</v>
      </c>
      <c r="E17359" s="5">
        <v>120.1</v>
      </c>
      <c r="F17359" s="5">
        <v>239.5</v>
      </c>
      <c r="G17359" s="5">
        <v>119.1</v>
      </c>
      <c r="H17359" s="5">
        <v>119</v>
      </c>
      <c r="I17359" s="5"/>
      <c r="J17359" s="5"/>
      <c r="K17359" s="5"/>
    </row>
    <row r="17360" spans="1:11" x14ac:dyDescent="0.25">
      <c r="A17360" s="5">
        <f>17353</f>
      </c>
      <c r="B17360" s="5" t="s">
        <v>17368</v>
      </c>
      <c r="C17360" s="5">
        <v>120.4</v>
      </c>
      <c r="D17360" s="5">
        <v>0.1</v>
      </c>
      <c r="E17360" s="5">
        <v>120.6</v>
      </c>
      <c r="F17360" s="5">
        <v>239.5</v>
      </c>
      <c r="G17360" s="5">
        <v>119.1</v>
      </c>
      <c r="H17360" s="5">
        <v>119</v>
      </c>
      <c r="I17360" s="5"/>
      <c r="J17360" s="5"/>
      <c r="K17360" s="5"/>
    </row>
    <row r="17361" spans="1:11" x14ac:dyDescent="0.25">
      <c r="A17361" s="5">
        <f>17354</f>
      </c>
      <c r="B17361" s="5" t="s">
        <v>17369</v>
      </c>
      <c r="C17361" s="5">
        <v>120.4</v>
      </c>
      <c r="D17361" s="5">
        <v>0.1</v>
      </c>
      <c r="E17361" s="5">
        <v>120.6</v>
      </c>
      <c r="F17361" s="5">
        <v>239.5</v>
      </c>
      <c r="G17361" s="5">
        <v>118.9</v>
      </c>
      <c r="H17361" s="5">
        <v>118.7</v>
      </c>
      <c r="I17361" s="5"/>
      <c r="J17361" s="5"/>
      <c r="K17361" s="5"/>
    </row>
    <row r="17362" spans="1:11" x14ac:dyDescent="0.25">
      <c r="A17362" s="5">
        <f>17355</f>
      </c>
      <c r="B17362" s="5" t="s">
        <v>17370</v>
      </c>
      <c r="C17362" s="5">
        <v>120.2</v>
      </c>
      <c r="D17362" s="5">
        <v>0.1</v>
      </c>
      <c r="E17362" s="5">
        <v>120.3</v>
      </c>
      <c r="F17362" s="5">
        <v>239</v>
      </c>
      <c r="G17362" s="5">
        <v>118.9</v>
      </c>
      <c r="H17362" s="5">
        <v>118.7</v>
      </c>
      <c r="I17362" s="5"/>
      <c r="J17362" s="5"/>
      <c r="K17362" s="5"/>
    </row>
    <row r="17363" spans="1:11" x14ac:dyDescent="0.25">
      <c r="A17363" s="5">
        <f>17356</f>
      </c>
      <c r="B17363" s="5" t="s">
        <v>17371</v>
      </c>
      <c r="C17363" s="5">
        <v>120.2</v>
      </c>
      <c r="D17363" s="5">
        <v>0.1</v>
      </c>
      <c r="E17363" s="5">
        <v>120.3</v>
      </c>
      <c r="F17363" s="5">
        <v>239</v>
      </c>
      <c r="G17363" s="5">
        <v>118.9</v>
      </c>
      <c r="H17363" s="5">
        <v>118.7</v>
      </c>
      <c r="I17363" s="5"/>
      <c r="J17363" s="5"/>
      <c r="K17363" s="5"/>
    </row>
    <row r="17364" spans="1:11" x14ac:dyDescent="0.25">
      <c r="A17364" s="5">
        <f>17357</f>
      </c>
      <c r="B17364" s="5" t="s">
        <v>17372</v>
      </c>
      <c r="C17364" s="5">
        <v>120.2</v>
      </c>
      <c r="D17364" s="5">
        <v>0.1</v>
      </c>
      <c r="E17364" s="5">
        <v>120.3</v>
      </c>
      <c r="F17364" s="5">
        <v>239</v>
      </c>
      <c r="G17364" s="5">
        <v>118.9</v>
      </c>
      <c r="H17364" s="5">
        <v>118.7</v>
      </c>
      <c r="I17364" s="5"/>
      <c r="J17364" s="5"/>
      <c r="K17364" s="5"/>
    </row>
    <row r="17365" spans="1:11" x14ac:dyDescent="0.25">
      <c r="A17365" s="5">
        <f>17358</f>
      </c>
      <c r="B17365" s="5" t="s">
        <v>17373</v>
      </c>
      <c r="C17365" s="5">
        <v>120.2</v>
      </c>
      <c r="D17365" s="5">
        <v>0.1</v>
      </c>
      <c r="E17365" s="5">
        <v>120.4</v>
      </c>
      <c r="F17365" s="5">
        <v>239</v>
      </c>
      <c r="G17365" s="5">
        <v>118.9</v>
      </c>
      <c r="H17365" s="5">
        <v>118.8</v>
      </c>
      <c r="I17365" s="5"/>
      <c r="J17365" s="5"/>
      <c r="K17365" s="5"/>
    </row>
    <row r="17366" spans="1:11" x14ac:dyDescent="0.25">
      <c r="A17366" s="5">
        <f>17359</f>
      </c>
      <c r="B17366" s="5" t="s">
        <v>17374</v>
      </c>
      <c r="C17366" s="5">
        <v>120.2</v>
      </c>
      <c r="D17366" s="5">
        <v>0.1</v>
      </c>
      <c r="E17366" s="5">
        <v>120.4</v>
      </c>
      <c r="F17366" s="5">
        <v>239</v>
      </c>
      <c r="G17366" s="5">
        <v>118.9</v>
      </c>
      <c r="H17366" s="5">
        <v>118.8</v>
      </c>
      <c r="I17366" s="5"/>
      <c r="J17366" s="5"/>
      <c r="K17366" s="5"/>
    </row>
    <row r="17367" spans="1:11" x14ac:dyDescent="0.25">
      <c r="A17367" s="5">
        <f>17360</f>
      </c>
      <c r="B17367" s="5" t="s">
        <v>17375</v>
      </c>
      <c r="C17367" s="5">
        <v>120.5</v>
      </c>
      <c r="D17367" s="5">
        <v>0.1</v>
      </c>
      <c r="E17367" s="5">
        <v>120.6</v>
      </c>
      <c r="F17367" s="5">
        <v>239.3</v>
      </c>
      <c r="G17367" s="5">
        <v>118.9</v>
      </c>
      <c r="H17367" s="5">
        <v>118.7</v>
      </c>
      <c r="I17367" s="5"/>
      <c r="J17367" s="5"/>
      <c r="K17367" s="5"/>
    </row>
    <row r="17368" spans="1:11" x14ac:dyDescent="0.25">
      <c r="A17368" s="5">
        <f>17361</f>
      </c>
      <c r="B17368" s="5" t="s">
        <v>17376</v>
      </c>
      <c r="C17368" s="5">
        <v>120.5</v>
      </c>
      <c r="D17368" s="5">
        <v>0.1</v>
      </c>
      <c r="E17368" s="5">
        <v>120.6</v>
      </c>
      <c r="F17368" s="5">
        <v>239.3</v>
      </c>
      <c r="G17368" s="5">
        <v>118.9</v>
      </c>
      <c r="H17368" s="5">
        <v>118.7</v>
      </c>
      <c r="I17368" s="5"/>
      <c r="J17368" s="5"/>
      <c r="K17368" s="5"/>
    </row>
    <row r="17369" spans="1:11" x14ac:dyDescent="0.25">
      <c r="A17369" s="5">
        <f>17362</f>
      </c>
      <c r="B17369" s="5" t="s">
        <v>17377</v>
      </c>
      <c r="C17369" s="5">
        <v>119.9</v>
      </c>
      <c r="D17369" s="5">
        <v>0.1</v>
      </c>
      <c r="E17369" s="5">
        <v>120</v>
      </c>
      <c r="F17369" s="5">
        <v>238.8</v>
      </c>
      <c r="G17369" s="5">
        <v>118.8</v>
      </c>
      <c r="H17369" s="5">
        <v>118.6</v>
      </c>
      <c r="I17369" s="5"/>
      <c r="J17369" s="5"/>
      <c r="K17369" s="5"/>
    </row>
    <row r="17370" spans="1:11" x14ac:dyDescent="0.25">
      <c r="A17370" s="5">
        <f>17363</f>
      </c>
      <c r="B17370" s="5" t="s">
        <v>17378</v>
      </c>
      <c r="C17370" s="5">
        <v>119.9</v>
      </c>
      <c r="D17370" s="5">
        <v>0.1</v>
      </c>
      <c r="E17370" s="5">
        <v>120</v>
      </c>
      <c r="F17370" s="5">
        <v>238.8</v>
      </c>
      <c r="G17370" s="5">
        <v>118.8</v>
      </c>
      <c r="H17370" s="5">
        <v>118.6</v>
      </c>
      <c r="I17370" s="5"/>
      <c r="J17370" s="5"/>
      <c r="K17370" s="5"/>
    </row>
    <row r="17371" spans="1:11" x14ac:dyDescent="0.25">
      <c r="A17371" s="5">
        <f>17364</f>
      </c>
      <c r="B17371" s="5" t="s">
        <v>17379</v>
      </c>
      <c r="C17371" s="5">
        <v>120</v>
      </c>
      <c r="D17371" s="5">
        <v>0.1</v>
      </c>
      <c r="E17371" s="5">
        <v>120.2</v>
      </c>
      <c r="F17371" s="5">
        <v>239</v>
      </c>
      <c r="G17371" s="5">
        <v>118.8</v>
      </c>
      <c r="H17371" s="5">
        <v>118.7</v>
      </c>
      <c r="I17371" s="5"/>
      <c r="J17371" s="5"/>
      <c r="K17371" s="5"/>
    </row>
    <row r="17372" spans="1:11" x14ac:dyDescent="0.25">
      <c r="A17372" s="5">
        <f>17365</f>
      </c>
      <c r="B17372" s="5" t="s">
        <v>17380</v>
      </c>
      <c r="C17372" s="5">
        <v>120</v>
      </c>
      <c r="D17372" s="5">
        <v>0.1</v>
      </c>
      <c r="E17372" s="5">
        <v>120.2</v>
      </c>
      <c r="F17372" s="5">
        <v>239</v>
      </c>
      <c r="G17372" s="5">
        <v>118.8</v>
      </c>
      <c r="H17372" s="5">
        <v>118.7</v>
      </c>
      <c r="I17372" s="5"/>
      <c r="J17372" s="5"/>
      <c r="K17372" s="5"/>
    </row>
    <row r="17373" spans="1:11" x14ac:dyDescent="0.25">
      <c r="A17373" s="5">
        <f>17366</f>
      </c>
      <c r="B17373" s="5" t="s">
        <v>17381</v>
      </c>
      <c r="C17373" s="5">
        <v>120</v>
      </c>
      <c r="D17373" s="5">
        <v>0.1</v>
      </c>
      <c r="E17373" s="5">
        <v>120.2</v>
      </c>
      <c r="F17373" s="5">
        <v>239</v>
      </c>
      <c r="G17373" s="5">
        <v>118.8</v>
      </c>
      <c r="H17373" s="5">
        <v>118.7</v>
      </c>
      <c r="I17373" s="5"/>
      <c r="J17373" s="5"/>
      <c r="K17373" s="5"/>
    </row>
    <row r="17374" spans="1:11" x14ac:dyDescent="0.25">
      <c r="A17374" s="5">
        <f>17367</f>
      </c>
      <c r="B17374" s="5" t="s">
        <v>17382</v>
      </c>
      <c r="C17374" s="5">
        <v>120</v>
      </c>
      <c r="D17374" s="5">
        <v>0.1</v>
      </c>
      <c r="E17374" s="5">
        <v>120.2</v>
      </c>
      <c r="F17374" s="5">
        <v>239</v>
      </c>
      <c r="G17374" s="5">
        <v>118.8</v>
      </c>
      <c r="H17374" s="5">
        <v>118.7</v>
      </c>
      <c r="I17374" s="5"/>
      <c r="J17374" s="5"/>
      <c r="K17374" s="5"/>
    </row>
    <row r="17375" spans="1:11" x14ac:dyDescent="0.25">
      <c r="A17375" s="5">
        <f>17368</f>
      </c>
      <c r="B17375" s="5" t="s">
        <v>17383</v>
      </c>
      <c r="C17375" s="5">
        <v>119.8</v>
      </c>
      <c r="D17375" s="5">
        <v>0.1</v>
      </c>
      <c r="E17375" s="5">
        <v>119.9</v>
      </c>
      <c r="F17375" s="5">
        <v>238.7</v>
      </c>
      <c r="G17375" s="5">
        <v>118.7</v>
      </c>
      <c r="H17375" s="5">
        <v>118.5</v>
      </c>
      <c r="I17375" s="5"/>
      <c r="J17375" s="5"/>
      <c r="K17375" s="5"/>
    </row>
    <row r="17376" spans="1:11" x14ac:dyDescent="0.25">
      <c r="A17376" s="5">
        <f>17369</f>
      </c>
      <c r="B17376" s="5" t="s">
        <v>17384</v>
      </c>
      <c r="C17376" s="5">
        <v>119.8</v>
      </c>
      <c r="D17376" s="5">
        <v>0.1</v>
      </c>
      <c r="E17376" s="5">
        <v>119.9</v>
      </c>
      <c r="F17376" s="5">
        <v>238.7</v>
      </c>
      <c r="G17376" s="5">
        <v>118.7</v>
      </c>
      <c r="H17376" s="5">
        <v>118.5</v>
      </c>
      <c r="I17376" s="5"/>
      <c r="J17376" s="5"/>
      <c r="K17376" s="5"/>
    </row>
    <row r="17377" spans="1:11" x14ac:dyDescent="0.25">
      <c r="A17377" s="5">
        <f>17370</f>
      </c>
      <c r="B17377" s="5" t="s">
        <v>17385</v>
      </c>
      <c r="C17377" s="5">
        <v>120.2</v>
      </c>
      <c r="D17377" s="5">
        <v>0.1</v>
      </c>
      <c r="E17377" s="5">
        <v>120.3</v>
      </c>
      <c r="F17377" s="5">
        <v>238.7</v>
      </c>
      <c r="G17377" s="5">
        <v>118.7</v>
      </c>
      <c r="H17377" s="5">
        <v>118.5</v>
      </c>
      <c r="I17377" s="5"/>
      <c r="J17377" s="5"/>
      <c r="K17377" s="5"/>
    </row>
    <row r="17378" spans="1:11" x14ac:dyDescent="0.25">
      <c r="A17378" s="5">
        <f>17371</f>
      </c>
      <c r="B17378" s="5" t="s">
        <v>17386</v>
      </c>
      <c r="C17378" s="5">
        <v>120.2</v>
      </c>
      <c r="D17378" s="5">
        <v>0.1</v>
      </c>
      <c r="E17378" s="5">
        <v>120.3</v>
      </c>
      <c r="F17378" s="5">
        <v>238.7</v>
      </c>
      <c r="G17378" s="5">
        <v>118.7</v>
      </c>
      <c r="H17378" s="5">
        <v>118.5</v>
      </c>
      <c r="I17378" s="5"/>
      <c r="J17378" s="5"/>
      <c r="K17378" s="5"/>
    </row>
    <row r="17379" spans="1:11" x14ac:dyDescent="0.25">
      <c r="A17379" s="5">
        <f>17372</f>
      </c>
      <c r="B17379" s="5" t="s">
        <v>17387</v>
      </c>
      <c r="C17379" s="5">
        <v>120.2</v>
      </c>
      <c r="D17379" s="5">
        <v>0.1</v>
      </c>
      <c r="E17379" s="5">
        <v>120.4</v>
      </c>
      <c r="F17379" s="5">
        <v>238.6</v>
      </c>
      <c r="G17379" s="5">
        <v>118.7</v>
      </c>
      <c r="H17379" s="5">
        <v>118.5</v>
      </c>
      <c r="I17379" s="5"/>
      <c r="J17379" s="5"/>
      <c r="K17379" s="5"/>
    </row>
    <row r="17380" spans="1:11" x14ac:dyDescent="0.25">
      <c r="A17380" s="5">
        <f>17373</f>
      </c>
      <c r="B17380" s="5" t="s">
        <v>17388</v>
      </c>
      <c r="C17380" s="5">
        <v>120.2</v>
      </c>
      <c r="D17380" s="5">
        <v>0.1</v>
      </c>
      <c r="E17380" s="5">
        <v>120.4</v>
      </c>
      <c r="F17380" s="5">
        <v>238.6</v>
      </c>
      <c r="G17380" s="5">
        <v>118.7</v>
      </c>
      <c r="H17380" s="5">
        <v>118.5</v>
      </c>
      <c r="I17380" s="5"/>
      <c r="J17380" s="5"/>
      <c r="K17380" s="5"/>
    </row>
    <row r="17381" spans="1:11" x14ac:dyDescent="0.25">
      <c r="A17381" s="5">
        <f>17374</f>
      </c>
      <c r="B17381" s="5" t="s">
        <v>17389</v>
      </c>
      <c r="C17381" s="5">
        <v>120.2</v>
      </c>
      <c r="D17381" s="5">
        <v>0.1</v>
      </c>
      <c r="E17381" s="5">
        <v>120.5</v>
      </c>
      <c r="F17381" s="5">
        <v>238.8</v>
      </c>
      <c r="G17381" s="5">
        <v>118.8</v>
      </c>
      <c r="H17381" s="5">
        <v>118.6</v>
      </c>
      <c r="I17381" s="5"/>
      <c r="J17381" s="5"/>
      <c r="K17381" s="5"/>
    </row>
    <row r="17382" spans="1:11" x14ac:dyDescent="0.25">
      <c r="A17382" s="5">
        <f>17375</f>
      </c>
      <c r="B17382" s="5" t="s">
        <v>17390</v>
      </c>
      <c r="C17382" s="5">
        <v>120.2</v>
      </c>
      <c r="D17382" s="5">
        <v>0.1</v>
      </c>
      <c r="E17382" s="5">
        <v>120.5</v>
      </c>
      <c r="F17382" s="5">
        <v>238.8</v>
      </c>
      <c r="G17382" s="5">
        <v>118.8</v>
      </c>
      <c r="H17382" s="5">
        <v>118.6</v>
      </c>
      <c r="I17382" s="5"/>
      <c r="J17382" s="5"/>
      <c r="K17382" s="5"/>
    </row>
    <row r="17383" spans="1:11" x14ac:dyDescent="0.25">
      <c r="A17383" s="5">
        <f>17376</f>
      </c>
      <c r="B17383" s="5" t="s">
        <v>17391</v>
      </c>
      <c r="C17383" s="5">
        <v>120.2</v>
      </c>
      <c r="D17383" s="5">
        <v>0.1</v>
      </c>
      <c r="E17383" s="5">
        <v>120.5</v>
      </c>
      <c r="F17383" s="5">
        <v>238.8</v>
      </c>
      <c r="G17383" s="5">
        <v>118.8</v>
      </c>
      <c r="H17383" s="5">
        <v>118.6</v>
      </c>
      <c r="I17383" s="5"/>
      <c r="J17383" s="5"/>
      <c r="K17383" s="5"/>
    </row>
    <row r="17384" spans="1:11" x14ac:dyDescent="0.25">
      <c r="A17384" s="5">
        <f>17377</f>
      </c>
      <c r="B17384" s="5" t="s">
        <v>17392</v>
      </c>
      <c r="C17384" s="5">
        <v>120.2</v>
      </c>
      <c r="D17384" s="5">
        <v>0.1</v>
      </c>
      <c r="E17384" s="5">
        <v>120.5</v>
      </c>
      <c r="F17384" s="5">
        <v>238.8</v>
      </c>
      <c r="G17384" s="5">
        <v>118.8</v>
      </c>
      <c r="H17384" s="5">
        <v>118.6</v>
      </c>
      <c r="I17384" s="5"/>
      <c r="J17384" s="5"/>
      <c r="K17384" s="5"/>
    </row>
    <row r="17385" spans="1:11" x14ac:dyDescent="0.25">
      <c r="A17385" s="5">
        <f>17378</f>
      </c>
      <c r="B17385" s="5" t="s">
        <v>17393</v>
      </c>
      <c r="C17385" s="5">
        <v>119.5</v>
      </c>
      <c r="D17385" s="5">
        <v>0.1</v>
      </c>
      <c r="E17385" s="5">
        <v>119.6</v>
      </c>
      <c r="F17385" s="5">
        <v>238</v>
      </c>
      <c r="G17385" s="5">
        <v>118.4</v>
      </c>
      <c r="H17385" s="5">
        <v>118.2</v>
      </c>
      <c r="I17385" s="5"/>
      <c r="J17385" s="5"/>
      <c r="K17385" s="5"/>
    </row>
    <row r="17386" spans="1:11" x14ac:dyDescent="0.25">
      <c r="A17386" s="5">
        <f>17379</f>
      </c>
      <c r="B17386" s="5" t="s">
        <v>17394</v>
      </c>
      <c r="C17386" s="5">
        <v>119.5</v>
      </c>
      <c r="D17386" s="5">
        <v>0.1</v>
      </c>
      <c r="E17386" s="5">
        <v>119.6</v>
      </c>
      <c r="F17386" s="5">
        <v>238</v>
      </c>
      <c r="G17386" s="5">
        <v>118.4</v>
      </c>
      <c r="H17386" s="5">
        <v>118.2</v>
      </c>
      <c r="I17386" s="5"/>
      <c r="J17386" s="5"/>
      <c r="K17386" s="5"/>
    </row>
    <row r="17387" spans="1:11" x14ac:dyDescent="0.25">
      <c r="A17387" s="5">
        <f>17380</f>
      </c>
      <c r="B17387" s="5" t="s">
        <v>17395</v>
      </c>
      <c r="C17387" s="5">
        <v>119.7</v>
      </c>
      <c r="D17387" s="5">
        <v>0.1</v>
      </c>
      <c r="E17387" s="5">
        <v>119.9</v>
      </c>
      <c r="F17387" s="5">
        <v>238.4</v>
      </c>
      <c r="G17387" s="5">
        <v>118.5</v>
      </c>
      <c r="H17387" s="5">
        <v>118.4</v>
      </c>
      <c r="I17387" s="5"/>
      <c r="J17387" s="5"/>
      <c r="K17387" s="5"/>
    </row>
    <row r="17388" spans="1:11" x14ac:dyDescent="0.25">
      <c r="A17388" s="5">
        <f>17381</f>
      </c>
      <c r="B17388" s="5" t="s">
        <v>17396</v>
      </c>
      <c r="C17388" s="5">
        <v>119.7</v>
      </c>
      <c r="D17388" s="5">
        <v>0.1</v>
      </c>
      <c r="E17388" s="5">
        <v>119.9</v>
      </c>
      <c r="F17388" s="5">
        <v>238.4</v>
      </c>
      <c r="G17388" s="5">
        <v>118.5</v>
      </c>
      <c r="H17388" s="5">
        <v>118.4</v>
      </c>
      <c r="I17388" s="5"/>
      <c r="J17388" s="5"/>
      <c r="K17388" s="5"/>
    </row>
    <row r="17389" spans="1:11" x14ac:dyDescent="0.25">
      <c r="A17389" s="5">
        <f>17382</f>
      </c>
      <c r="B17389" s="5" t="s">
        <v>17397</v>
      </c>
      <c r="C17389" s="5">
        <v>119.6</v>
      </c>
      <c r="D17389" s="5">
        <v>0.1</v>
      </c>
      <c r="E17389" s="5">
        <v>119.8</v>
      </c>
      <c r="F17389" s="5">
        <v>238</v>
      </c>
      <c r="G17389" s="5">
        <v>118.3</v>
      </c>
      <c r="H17389" s="5">
        <v>118.2</v>
      </c>
      <c r="I17389" s="5"/>
      <c r="J17389" s="5"/>
      <c r="K17389" s="5"/>
    </row>
    <row r="17390" spans="1:11" x14ac:dyDescent="0.25">
      <c r="A17390" s="5">
        <f>17383</f>
      </c>
      <c r="B17390" s="5" t="s">
        <v>17398</v>
      </c>
      <c r="C17390" s="5">
        <v>119.6</v>
      </c>
      <c r="D17390" s="5">
        <v>0.1</v>
      </c>
      <c r="E17390" s="5">
        <v>119.8</v>
      </c>
      <c r="F17390" s="5">
        <v>238</v>
      </c>
      <c r="G17390" s="5">
        <v>118.3</v>
      </c>
      <c r="H17390" s="5">
        <v>118.2</v>
      </c>
      <c r="I17390" s="5"/>
      <c r="J17390" s="5"/>
      <c r="K17390" s="5"/>
    </row>
    <row r="17391" spans="1:11" x14ac:dyDescent="0.25">
      <c r="A17391" s="5">
        <f>17384</f>
      </c>
      <c r="B17391" s="5" t="s">
        <v>17399</v>
      </c>
      <c r="C17391" s="5">
        <v>120</v>
      </c>
      <c r="D17391" s="5">
        <v>0.1</v>
      </c>
      <c r="E17391" s="5">
        <v>120.2</v>
      </c>
      <c r="F17391" s="5">
        <v>238.4</v>
      </c>
      <c r="G17391" s="5">
        <v>118.6</v>
      </c>
      <c r="H17391" s="5">
        <v>118.4</v>
      </c>
      <c r="I17391" s="5"/>
      <c r="J17391" s="5"/>
      <c r="K17391" s="5"/>
    </row>
    <row r="17392" spans="1:11" x14ac:dyDescent="0.25">
      <c r="A17392" s="5">
        <f>17385</f>
      </c>
      <c r="B17392" s="5" t="s">
        <v>17400</v>
      </c>
      <c r="C17392" s="5">
        <v>120</v>
      </c>
      <c r="D17392" s="5">
        <v>0.1</v>
      </c>
      <c r="E17392" s="5">
        <v>120.2</v>
      </c>
      <c r="F17392" s="5">
        <v>238.4</v>
      </c>
      <c r="G17392" s="5">
        <v>118.6</v>
      </c>
      <c r="H17392" s="5">
        <v>118.4</v>
      </c>
      <c r="I17392" s="5"/>
      <c r="J17392" s="5"/>
      <c r="K17392" s="5"/>
    </row>
    <row r="17393" spans="1:11" x14ac:dyDescent="0.25">
      <c r="A17393" s="5">
        <f>17386</f>
      </c>
      <c r="B17393" s="5" t="s">
        <v>17401</v>
      </c>
      <c r="C17393" s="5">
        <v>120</v>
      </c>
      <c r="D17393" s="5">
        <v>0.1</v>
      </c>
      <c r="E17393" s="5">
        <v>120.2</v>
      </c>
      <c r="F17393" s="5">
        <v>238.4</v>
      </c>
      <c r="G17393" s="5">
        <v>118.6</v>
      </c>
      <c r="H17393" s="5">
        <v>118.4</v>
      </c>
      <c r="I17393" s="5"/>
      <c r="J17393" s="5"/>
      <c r="K17393" s="5"/>
    </row>
    <row r="17394" spans="1:11" x14ac:dyDescent="0.25">
      <c r="A17394" s="5">
        <f>17387</f>
      </c>
      <c r="B17394" s="5" t="s">
        <v>17402</v>
      </c>
      <c r="C17394" s="5">
        <v>120</v>
      </c>
      <c r="D17394" s="5">
        <v>0.1</v>
      </c>
      <c r="E17394" s="5">
        <v>120.2</v>
      </c>
      <c r="F17394" s="5">
        <v>238.4</v>
      </c>
      <c r="G17394" s="5">
        <v>118.6</v>
      </c>
      <c r="H17394" s="5">
        <v>118.4</v>
      </c>
      <c r="I17394" s="5"/>
      <c r="J17394" s="5"/>
      <c r="K17394" s="5"/>
    </row>
    <row r="17395" spans="1:11" x14ac:dyDescent="0.25">
      <c r="A17395" s="5">
        <f>17388</f>
      </c>
      <c r="B17395" s="5" t="s">
        <v>17403</v>
      </c>
      <c r="C17395" s="5">
        <v>119.9</v>
      </c>
      <c r="D17395" s="5">
        <v>0.1</v>
      </c>
      <c r="E17395" s="5">
        <v>120.1</v>
      </c>
      <c r="F17395" s="5">
        <v>238.7</v>
      </c>
      <c r="G17395" s="5">
        <v>118.7</v>
      </c>
      <c r="H17395" s="5">
        <v>118.6</v>
      </c>
      <c r="I17395" s="5"/>
      <c r="J17395" s="5"/>
      <c r="K17395" s="5"/>
    </row>
    <row r="17396" spans="1:11" x14ac:dyDescent="0.25">
      <c r="A17396" s="5">
        <f>17389</f>
      </c>
      <c r="B17396" s="5" t="s">
        <v>17404</v>
      </c>
      <c r="C17396" s="5">
        <v>119.9</v>
      </c>
      <c r="D17396" s="5">
        <v>0.1</v>
      </c>
      <c r="E17396" s="5">
        <v>120.1</v>
      </c>
      <c r="F17396" s="5">
        <v>238.7</v>
      </c>
      <c r="G17396" s="5">
        <v>118.7</v>
      </c>
      <c r="H17396" s="5">
        <v>118.6</v>
      </c>
      <c r="I17396" s="5"/>
      <c r="J17396" s="5"/>
      <c r="K17396" s="5"/>
    </row>
    <row r="17397" spans="1:11" x14ac:dyDescent="0.25">
      <c r="A17397" s="5">
        <f>17390</f>
      </c>
      <c r="B17397" s="5" t="s">
        <v>17405</v>
      </c>
      <c r="C17397" s="5">
        <v>120</v>
      </c>
      <c r="D17397" s="5">
        <v>0.1</v>
      </c>
      <c r="E17397" s="5">
        <v>120.2</v>
      </c>
      <c r="F17397" s="5">
        <v>239</v>
      </c>
      <c r="G17397" s="5">
        <v>118.8</v>
      </c>
      <c r="H17397" s="5">
        <v>118.6</v>
      </c>
      <c r="I17397" s="5"/>
      <c r="J17397" s="5"/>
      <c r="K17397" s="5"/>
    </row>
    <row r="17398" spans="1:11" x14ac:dyDescent="0.25">
      <c r="A17398" s="5">
        <f>17391</f>
      </c>
      <c r="B17398" s="5" t="s">
        <v>17406</v>
      </c>
      <c r="C17398" s="5">
        <v>120</v>
      </c>
      <c r="D17398" s="5">
        <v>0.1</v>
      </c>
      <c r="E17398" s="5">
        <v>120.2</v>
      </c>
      <c r="F17398" s="5">
        <v>239</v>
      </c>
      <c r="G17398" s="5">
        <v>118.8</v>
      </c>
      <c r="H17398" s="5">
        <v>118.6</v>
      </c>
      <c r="I17398" s="5"/>
      <c r="J17398" s="5"/>
      <c r="K17398" s="5"/>
    </row>
    <row r="17399" spans="1:11" x14ac:dyDescent="0.25">
      <c r="A17399" s="5">
        <f>17392</f>
      </c>
      <c r="B17399" s="5" t="s">
        <v>17407</v>
      </c>
      <c r="C17399" s="5">
        <v>119.8</v>
      </c>
      <c r="D17399" s="5">
        <v>0.1</v>
      </c>
      <c r="E17399" s="5">
        <v>119.9</v>
      </c>
      <c r="F17399" s="5">
        <v>238.6</v>
      </c>
      <c r="G17399" s="5">
        <v>118.5</v>
      </c>
      <c r="H17399" s="5">
        <v>118.3</v>
      </c>
      <c r="I17399" s="5"/>
      <c r="J17399" s="5"/>
      <c r="K17399" s="5"/>
    </row>
    <row r="17400" spans="1:11" x14ac:dyDescent="0.25">
      <c r="A17400" s="5">
        <f>17393</f>
      </c>
      <c r="B17400" s="5" t="s">
        <v>17408</v>
      </c>
      <c r="C17400" s="5">
        <v>119.8</v>
      </c>
      <c r="D17400" s="5">
        <v>0.1</v>
      </c>
      <c r="E17400" s="5">
        <v>119.9</v>
      </c>
      <c r="F17400" s="5">
        <v>238.6</v>
      </c>
      <c r="G17400" s="5">
        <v>118.5</v>
      </c>
      <c r="H17400" s="5">
        <v>118.3</v>
      </c>
      <c r="I17400" s="5"/>
      <c r="J17400" s="5"/>
      <c r="K17400" s="5"/>
    </row>
    <row r="17401" spans="1:11" x14ac:dyDescent="0.25">
      <c r="A17401" s="5">
        <f>17394</f>
      </c>
      <c r="B17401" s="5" t="s">
        <v>17409</v>
      </c>
      <c r="C17401" s="5">
        <v>119.9</v>
      </c>
      <c r="D17401" s="5">
        <v>0.1</v>
      </c>
      <c r="E17401" s="5">
        <v>120</v>
      </c>
      <c r="F17401" s="5">
        <v>238.6</v>
      </c>
      <c r="G17401" s="5">
        <v>118.6</v>
      </c>
      <c r="H17401" s="5">
        <v>118.4</v>
      </c>
      <c r="I17401" s="5"/>
      <c r="J17401" s="5"/>
      <c r="K17401" s="5"/>
    </row>
    <row r="17402" spans="1:11" x14ac:dyDescent="0.25">
      <c r="A17402" s="5">
        <f>17395</f>
      </c>
      <c r="B17402" s="5" t="s">
        <v>17410</v>
      </c>
      <c r="C17402" s="5">
        <v>119.9</v>
      </c>
      <c r="D17402" s="5">
        <v>0.1</v>
      </c>
      <c r="E17402" s="5">
        <v>120</v>
      </c>
      <c r="F17402" s="5">
        <v>238.6</v>
      </c>
      <c r="G17402" s="5">
        <v>118.6</v>
      </c>
      <c r="H17402" s="5">
        <v>118.4</v>
      </c>
      <c r="I17402" s="5"/>
      <c r="J17402" s="5"/>
      <c r="K17402" s="5"/>
    </row>
    <row r="17403" spans="1:11" x14ac:dyDescent="0.25">
      <c r="A17403" s="5">
        <f>17396</f>
      </c>
      <c r="B17403" s="5" t="s">
        <v>17411</v>
      </c>
      <c r="C17403" s="5">
        <v>119.9</v>
      </c>
      <c r="D17403" s="5">
        <v>0.1</v>
      </c>
      <c r="E17403" s="5">
        <v>120</v>
      </c>
      <c r="F17403" s="5">
        <v>238.6</v>
      </c>
      <c r="G17403" s="5">
        <v>118.6</v>
      </c>
      <c r="H17403" s="5">
        <v>118.4</v>
      </c>
      <c r="I17403" s="5"/>
      <c r="J17403" s="5"/>
      <c r="K17403" s="5"/>
    </row>
    <row r="17404" spans="1:11" x14ac:dyDescent="0.25">
      <c r="A17404" s="5">
        <f>17397</f>
      </c>
      <c r="B17404" s="5" t="s">
        <v>17412</v>
      </c>
      <c r="C17404" s="5">
        <v>119.9</v>
      </c>
      <c r="D17404" s="5">
        <v>0.1</v>
      </c>
      <c r="E17404" s="5">
        <v>120</v>
      </c>
      <c r="F17404" s="5">
        <v>238.6</v>
      </c>
      <c r="G17404" s="5">
        <v>118.6</v>
      </c>
      <c r="H17404" s="5">
        <v>118.4</v>
      </c>
      <c r="I17404" s="5"/>
      <c r="J17404" s="5"/>
      <c r="K17404" s="5"/>
    </row>
    <row r="17405" spans="1:11" x14ac:dyDescent="0.25">
      <c r="A17405" s="5">
        <f>17398</f>
      </c>
      <c r="B17405" s="5" t="s">
        <v>17413</v>
      </c>
      <c r="C17405" s="5">
        <v>120.5</v>
      </c>
      <c r="D17405" s="5">
        <v>0.1</v>
      </c>
      <c r="E17405" s="5">
        <v>120.6</v>
      </c>
      <c r="F17405" s="5">
        <v>238.8</v>
      </c>
      <c r="G17405" s="5">
        <v>118.6</v>
      </c>
      <c r="H17405" s="5">
        <v>118.6</v>
      </c>
      <c r="I17405" s="5"/>
      <c r="J17405" s="5"/>
      <c r="K17405" s="5"/>
    </row>
    <row r="17406" spans="1:11" x14ac:dyDescent="0.25">
      <c r="A17406" s="5">
        <f>17399</f>
      </c>
      <c r="B17406" s="5" t="s">
        <v>17414</v>
      </c>
      <c r="C17406" s="5">
        <v>120.5</v>
      </c>
      <c r="D17406" s="5">
        <v>0.1</v>
      </c>
      <c r="E17406" s="5">
        <v>120.6</v>
      </c>
      <c r="F17406" s="5">
        <v>238.8</v>
      </c>
      <c r="G17406" s="5">
        <v>118.6</v>
      </c>
      <c r="H17406" s="5">
        <v>118.6</v>
      </c>
      <c r="I17406" s="5"/>
      <c r="J17406" s="5"/>
      <c r="K17406" s="5"/>
    </row>
    <row r="17407" spans="1:11" x14ac:dyDescent="0.25">
      <c r="A17407" s="5">
        <f>17400</f>
      </c>
      <c r="B17407" s="5" t="s">
        <v>17415</v>
      </c>
      <c r="C17407" s="5">
        <v>119.8</v>
      </c>
      <c r="D17407" s="5">
        <v>0.1</v>
      </c>
      <c r="E17407" s="5">
        <v>120.7</v>
      </c>
      <c r="F17407" s="5">
        <v>239</v>
      </c>
      <c r="G17407" s="5">
        <v>118.7</v>
      </c>
      <c r="H17407" s="5">
        <v>118.5</v>
      </c>
      <c r="I17407" s="5"/>
      <c r="J17407" s="5"/>
      <c r="K17407" s="5"/>
    </row>
    <row r="17408" spans="1:11" x14ac:dyDescent="0.25">
      <c r="A17408" s="5">
        <f>17401</f>
      </c>
      <c r="B17408" s="5" t="s">
        <v>17416</v>
      </c>
      <c r="C17408" s="5">
        <v>119.8</v>
      </c>
      <c r="D17408" s="5">
        <v>0.1</v>
      </c>
      <c r="E17408" s="5">
        <v>120.7</v>
      </c>
      <c r="F17408" s="5">
        <v>239</v>
      </c>
      <c r="G17408" s="5">
        <v>118.7</v>
      </c>
      <c r="H17408" s="5">
        <v>118.5</v>
      </c>
      <c r="I17408" s="5"/>
      <c r="J17408" s="5"/>
      <c r="K17408" s="5"/>
    </row>
    <row r="17409" spans="1:11" x14ac:dyDescent="0.25">
      <c r="A17409" s="5">
        <f>17402</f>
      </c>
      <c r="B17409" s="5" t="s">
        <v>17417</v>
      </c>
      <c r="C17409" s="5">
        <v>119.9</v>
      </c>
      <c r="D17409" s="5">
        <v>0.1</v>
      </c>
      <c r="E17409" s="5">
        <v>120.1</v>
      </c>
      <c r="F17409" s="5">
        <v>238.7</v>
      </c>
      <c r="G17409" s="5">
        <v>118.6</v>
      </c>
      <c r="H17409" s="5">
        <v>118.4</v>
      </c>
      <c r="I17409" s="5"/>
      <c r="J17409" s="5"/>
      <c r="K17409" s="5"/>
    </row>
    <row r="17410" spans="1:11" x14ac:dyDescent="0.25">
      <c r="A17410" s="5">
        <f>17403</f>
      </c>
      <c r="B17410" s="5" t="s">
        <v>17418</v>
      </c>
      <c r="C17410" s="5">
        <v>119.9</v>
      </c>
      <c r="D17410" s="5">
        <v>0.1</v>
      </c>
      <c r="E17410" s="5">
        <v>120.1</v>
      </c>
      <c r="F17410" s="5">
        <v>238.7</v>
      </c>
      <c r="G17410" s="5">
        <v>118.6</v>
      </c>
      <c r="H17410" s="5">
        <v>118.4</v>
      </c>
      <c r="I17410" s="5"/>
      <c r="J17410" s="5"/>
      <c r="K17410" s="5"/>
    </row>
    <row r="17411" spans="1:11" x14ac:dyDescent="0.25">
      <c r="A17411" s="5">
        <f>17404</f>
      </c>
      <c r="B17411" s="5" t="s">
        <v>17419</v>
      </c>
      <c r="C17411" s="5">
        <v>120.2</v>
      </c>
      <c r="D17411" s="5">
        <v>0.1</v>
      </c>
      <c r="E17411" s="5">
        <v>120.3</v>
      </c>
      <c r="F17411" s="5">
        <v>239</v>
      </c>
      <c r="G17411" s="5">
        <v>118.7</v>
      </c>
      <c r="H17411" s="5">
        <v>118.6</v>
      </c>
      <c r="I17411" s="5"/>
      <c r="J17411" s="5"/>
      <c r="K17411" s="5"/>
    </row>
    <row r="17412" spans="1:11" x14ac:dyDescent="0.25">
      <c r="A17412" s="5">
        <f>17405</f>
      </c>
      <c r="B17412" s="5" t="s">
        <v>17420</v>
      </c>
      <c r="C17412" s="5">
        <v>120.2</v>
      </c>
      <c r="D17412" s="5">
        <v>0.1</v>
      </c>
      <c r="E17412" s="5">
        <v>120.3</v>
      </c>
      <c r="F17412" s="5">
        <v>239</v>
      </c>
      <c r="G17412" s="5">
        <v>118.7</v>
      </c>
      <c r="H17412" s="5">
        <v>118.6</v>
      </c>
      <c r="I17412" s="5"/>
      <c r="J17412" s="5"/>
      <c r="K17412" s="5"/>
    </row>
    <row r="17413" spans="1:11" x14ac:dyDescent="0.25">
      <c r="A17413" s="5">
        <f>17406</f>
      </c>
      <c r="B17413" s="5" t="s">
        <v>17421</v>
      </c>
      <c r="C17413" s="5">
        <v>120.2</v>
      </c>
      <c r="D17413" s="5">
        <v>0.1</v>
      </c>
      <c r="E17413" s="5">
        <v>120.3</v>
      </c>
      <c r="F17413" s="5">
        <v>239</v>
      </c>
      <c r="G17413" s="5">
        <v>118.7</v>
      </c>
      <c r="H17413" s="5">
        <v>118.6</v>
      </c>
      <c r="I17413" s="5"/>
      <c r="J17413" s="5"/>
      <c r="K17413" s="5"/>
    </row>
    <row r="17414" spans="1:11" x14ac:dyDescent="0.25">
      <c r="A17414" s="5">
        <f>17407</f>
      </c>
      <c r="B17414" s="5" t="s">
        <v>17422</v>
      </c>
      <c r="C17414" s="5">
        <v>120.2</v>
      </c>
      <c r="D17414" s="5">
        <v>0.1</v>
      </c>
      <c r="E17414" s="5">
        <v>120.3</v>
      </c>
      <c r="F17414" s="5">
        <v>239</v>
      </c>
      <c r="G17414" s="5">
        <v>118.7</v>
      </c>
      <c r="H17414" s="5">
        <v>118.6</v>
      </c>
      <c r="I17414" s="5"/>
      <c r="J17414" s="5"/>
      <c r="K17414" s="5"/>
    </row>
    <row r="17415" spans="1:11" x14ac:dyDescent="0.25">
      <c r="A17415" s="5">
        <f>17408</f>
      </c>
      <c r="B17415" s="5" t="s">
        <v>17423</v>
      </c>
      <c r="C17415" s="5">
        <v>119.9</v>
      </c>
      <c r="D17415" s="5">
        <v>0.1</v>
      </c>
      <c r="E17415" s="5">
        <v>120</v>
      </c>
      <c r="F17415" s="5">
        <v>237.9</v>
      </c>
      <c r="G17415" s="5">
        <v>118.2</v>
      </c>
      <c r="H17415" s="5">
        <v>117.9</v>
      </c>
      <c r="I17415" s="5"/>
      <c r="J17415" s="5"/>
      <c r="K17415" s="5"/>
    </row>
    <row r="17416" spans="1:11" x14ac:dyDescent="0.25">
      <c r="A17416" s="5">
        <f>17409</f>
      </c>
      <c r="B17416" s="5" t="s">
        <v>17424</v>
      </c>
      <c r="C17416" s="5">
        <v>119.9</v>
      </c>
      <c r="D17416" s="5">
        <v>0.1</v>
      </c>
      <c r="E17416" s="5">
        <v>120</v>
      </c>
      <c r="F17416" s="5">
        <v>237.9</v>
      </c>
      <c r="G17416" s="5">
        <v>118.2</v>
      </c>
      <c r="H17416" s="5">
        <v>117.9</v>
      </c>
      <c r="I17416" s="5"/>
      <c r="J17416" s="5"/>
      <c r="K17416" s="5"/>
    </row>
    <row r="17417" spans="1:11" x14ac:dyDescent="0.25">
      <c r="A17417" s="5">
        <f>17410</f>
      </c>
      <c r="B17417" s="5" t="s">
        <v>17425</v>
      </c>
      <c r="C17417" s="5">
        <v>119.6</v>
      </c>
      <c r="D17417" s="5">
        <v>0.1</v>
      </c>
      <c r="E17417" s="5">
        <v>119.7</v>
      </c>
      <c r="F17417" s="5">
        <v>237.7</v>
      </c>
      <c r="G17417" s="5">
        <v>118.1</v>
      </c>
      <c r="H17417" s="5">
        <v>117.9</v>
      </c>
      <c r="I17417" s="5"/>
      <c r="J17417" s="5"/>
      <c r="K17417" s="5"/>
    </row>
    <row r="17418" spans="1:11" x14ac:dyDescent="0.25">
      <c r="A17418" s="5">
        <f>17411</f>
      </c>
      <c r="B17418" s="5" t="s">
        <v>17426</v>
      </c>
      <c r="C17418" s="5">
        <v>119.6</v>
      </c>
      <c r="D17418" s="5">
        <v>0.1</v>
      </c>
      <c r="E17418" s="5">
        <v>119.7</v>
      </c>
      <c r="F17418" s="5">
        <v>237.7</v>
      </c>
      <c r="G17418" s="5">
        <v>118.1</v>
      </c>
      <c r="H17418" s="5">
        <v>117.9</v>
      </c>
      <c r="I17418" s="5"/>
      <c r="J17418" s="5"/>
      <c r="K17418" s="5"/>
    </row>
    <row r="17419" spans="1:11" x14ac:dyDescent="0.25">
      <c r="A17419" s="5">
        <f>17412</f>
      </c>
      <c r="B17419" s="5" t="s">
        <v>17427</v>
      </c>
      <c r="C17419" s="5">
        <v>119.7</v>
      </c>
      <c r="D17419" s="5">
        <v>0.1</v>
      </c>
      <c r="E17419" s="5">
        <v>119.9</v>
      </c>
      <c r="F17419" s="5">
        <v>238.4</v>
      </c>
      <c r="G17419" s="5">
        <v>118.5</v>
      </c>
      <c r="H17419" s="5">
        <v>118.3</v>
      </c>
      <c r="I17419" s="5"/>
      <c r="J17419" s="5"/>
      <c r="K17419" s="5"/>
    </row>
    <row r="17420" spans="1:11" x14ac:dyDescent="0.25">
      <c r="A17420" s="5">
        <f>17413</f>
      </c>
      <c r="B17420" s="5" t="s">
        <v>17428</v>
      </c>
      <c r="C17420" s="5">
        <v>119.7</v>
      </c>
      <c r="D17420" s="5">
        <v>0.1</v>
      </c>
      <c r="E17420" s="5">
        <v>119.9</v>
      </c>
      <c r="F17420" s="5">
        <v>238.4</v>
      </c>
      <c r="G17420" s="5">
        <v>118.5</v>
      </c>
      <c r="H17420" s="5">
        <v>118.3</v>
      </c>
      <c r="I17420" s="5"/>
      <c r="J17420" s="5"/>
      <c r="K17420" s="5"/>
    </row>
    <row r="17421" spans="1:11" x14ac:dyDescent="0.25">
      <c r="A17421" s="5">
        <f>17414</f>
      </c>
      <c r="B17421" s="5" t="s">
        <v>17429</v>
      </c>
      <c r="C17421" s="5">
        <v>119.6</v>
      </c>
      <c r="D17421" s="5">
        <v>0.1</v>
      </c>
      <c r="E17421" s="5">
        <v>119.8</v>
      </c>
      <c r="F17421" s="5">
        <v>238.3</v>
      </c>
      <c r="G17421" s="5">
        <v>118.4</v>
      </c>
      <c r="H17421" s="5">
        <v>118.2</v>
      </c>
      <c r="I17421" s="5"/>
      <c r="J17421" s="5"/>
      <c r="K17421" s="5"/>
    </row>
    <row r="17422" spans="1:11" x14ac:dyDescent="0.25">
      <c r="A17422" s="5">
        <f>17415</f>
      </c>
      <c r="B17422" s="5" t="s">
        <v>17430</v>
      </c>
      <c r="C17422" s="5">
        <v>119.6</v>
      </c>
      <c r="D17422" s="5">
        <v>0.1</v>
      </c>
      <c r="E17422" s="5">
        <v>119.8</v>
      </c>
      <c r="F17422" s="5">
        <v>238.3</v>
      </c>
      <c r="G17422" s="5">
        <v>118.4</v>
      </c>
      <c r="H17422" s="5">
        <v>118.2</v>
      </c>
      <c r="I17422" s="5"/>
      <c r="J17422" s="5"/>
      <c r="K17422" s="5"/>
    </row>
    <row r="17423" spans="1:11" x14ac:dyDescent="0.25">
      <c r="A17423" s="5">
        <f>17416</f>
      </c>
      <c r="B17423" s="5" t="s">
        <v>17431</v>
      </c>
      <c r="C17423" s="5">
        <v>119.6</v>
      </c>
      <c r="D17423" s="5">
        <v>0.1</v>
      </c>
      <c r="E17423" s="5">
        <v>119.8</v>
      </c>
      <c r="F17423" s="5">
        <v>238.3</v>
      </c>
      <c r="G17423" s="5">
        <v>118.4</v>
      </c>
      <c r="H17423" s="5">
        <v>118.2</v>
      </c>
      <c r="I17423" s="5"/>
      <c r="J17423" s="5"/>
      <c r="K17423" s="5"/>
    </row>
    <row r="17424" spans="1:11" x14ac:dyDescent="0.25">
      <c r="A17424" s="5">
        <f>17417</f>
      </c>
      <c r="B17424" s="5" t="s">
        <v>17432</v>
      </c>
      <c r="C17424" s="5">
        <v>119.6</v>
      </c>
      <c r="D17424" s="5">
        <v>0.1</v>
      </c>
      <c r="E17424" s="5">
        <v>119.8</v>
      </c>
      <c r="F17424" s="5">
        <v>238.3</v>
      </c>
      <c r="G17424" s="5">
        <v>118.4</v>
      </c>
      <c r="H17424" s="5">
        <v>118.2</v>
      </c>
      <c r="I17424" s="5"/>
      <c r="J17424" s="5"/>
      <c r="K17424" s="5"/>
    </row>
    <row r="17425" spans="1:11" x14ac:dyDescent="0.25">
      <c r="A17425" s="5">
        <f>17418</f>
      </c>
      <c r="B17425" s="5" t="s">
        <v>17433</v>
      </c>
      <c r="C17425" s="5">
        <v>119.9</v>
      </c>
      <c r="D17425" s="5">
        <v>0.1</v>
      </c>
      <c r="E17425" s="5">
        <v>120</v>
      </c>
      <c r="F17425" s="5">
        <v>238</v>
      </c>
      <c r="G17425" s="5">
        <v>118.2</v>
      </c>
      <c r="H17425" s="5">
        <v>118</v>
      </c>
      <c r="I17425" s="5"/>
      <c r="J17425" s="5"/>
      <c r="K17425" s="5"/>
    </row>
    <row r="17426" spans="1:11" x14ac:dyDescent="0.25">
      <c r="A17426" s="5">
        <f>17419</f>
      </c>
      <c r="B17426" s="5" t="s">
        <v>17434</v>
      </c>
      <c r="C17426" s="5">
        <v>119.9</v>
      </c>
      <c r="D17426" s="5">
        <v>0.1</v>
      </c>
      <c r="E17426" s="5">
        <v>120</v>
      </c>
      <c r="F17426" s="5">
        <v>238</v>
      </c>
      <c r="G17426" s="5">
        <v>118.2</v>
      </c>
      <c r="H17426" s="5">
        <v>118</v>
      </c>
      <c r="I17426" s="5"/>
      <c r="J17426" s="5"/>
      <c r="K17426" s="5"/>
    </row>
    <row r="17427" spans="1:11" x14ac:dyDescent="0.25">
      <c r="A17427" s="5">
        <f>17420</f>
      </c>
      <c r="B17427" s="5" t="s">
        <v>17435</v>
      </c>
      <c r="C17427" s="5">
        <v>120.4</v>
      </c>
      <c r="D17427" s="5">
        <v>0.1</v>
      </c>
      <c r="E17427" s="5">
        <v>120.6</v>
      </c>
      <c r="F17427" s="5">
        <v>238.2</v>
      </c>
      <c r="G17427" s="5">
        <v>118.3</v>
      </c>
      <c r="H17427" s="5">
        <v>118.2</v>
      </c>
      <c r="I17427" s="5"/>
      <c r="J17427" s="5"/>
      <c r="K17427" s="5"/>
    </row>
    <row r="17428" spans="1:11" x14ac:dyDescent="0.25">
      <c r="A17428" s="5">
        <f>17421</f>
      </c>
      <c r="B17428" s="5" t="s">
        <v>17436</v>
      </c>
      <c r="C17428" s="5">
        <v>120.4</v>
      </c>
      <c r="D17428" s="5">
        <v>0.1</v>
      </c>
      <c r="E17428" s="5">
        <v>120.6</v>
      </c>
      <c r="F17428" s="5">
        <v>238.2</v>
      </c>
      <c r="G17428" s="5">
        <v>118.3</v>
      </c>
      <c r="H17428" s="5">
        <v>118.2</v>
      </c>
      <c r="I17428" s="5"/>
      <c r="J17428" s="5"/>
      <c r="K17428" s="5"/>
    </row>
    <row r="17429" spans="1:11" x14ac:dyDescent="0.25">
      <c r="A17429" s="5">
        <f>17422</f>
      </c>
      <c r="B17429" s="5" t="s">
        <v>17437</v>
      </c>
      <c r="C17429" s="5">
        <v>119.9</v>
      </c>
      <c r="D17429" s="5">
        <v>0.1</v>
      </c>
      <c r="E17429" s="5">
        <v>120.1</v>
      </c>
      <c r="F17429" s="5">
        <v>237.8</v>
      </c>
      <c r="G17429" s="5">
        <v>118.1</v>
      </c>
      <c r="H17429" s="5">
        <v>117.9</v>
      </c>
      <c r="I17429" s="5"/>
      <c r="J17429" s="5"/>
      <c r="K17429" s="5"/>
    </row>
    <row r="17430" spans="1:11" x14ac:dyDescent="0.25">
      <c r="A17430" s="5">
        <f>17423</f>
      </c>
      <c r="B17430" s="5" t="s">
        <v>17438</v>
      </c>
      <c r="C17430" s="5">
        <v>119.9</v>
      </c>
      <c r="D17430" s="5">
        <v>0.1</v>
      </c>
      <c r="E17430" s="5">
        <v>120.1</v>
      </c>
      <c r="F17430" s="5">
        <v>237.8</v>
      </c>
      <c r="G17430" s="5">
        <v>118.1</v>
      </c>
      <c r="H17430" s="5">
        <v>117.9</v>
      </c>
      <c r="I17430" s="5"/>
      <c r="J17430" s="5"/>
      <c r="K17430" s="5"/>
    </row>
    <row r="17431" spans="1:11" x14ac:dyDescent="0.25">
      <c r="A17431" s="5">
        <f>17424</f>
      </c>
      <c r="B17431" s="5" t="s">
        <v>17439</v>
      </c>
      <c r="C17431" s="5">
        <v>119.5</v>
      </c>
      <c r="D17431" s="5">
        <v>0.1</v>
      </c>
      <c r="E17431" s="5">
        <v>119.7</v>
      </c>
      <c r="F17431" s="5">
        <v>237.6</v>
      </c>
      <c r="G17431" s="5">
        <v>118</v>
      </c>
      <c r="H17431" s="5">
        <v>117.8</v>
      </c>
      <c r="I17431" s="5"/>
      <c r="J17431" s="5"/>
      <c r="K17431" s="5"/>
    </row>
    <row r="17432" spans="1:11" x14ac:dyDescent="0.25">
      <c r="A17432" s="5">
        <f>17425</f>
      </c>
      <c r="B17432" s="5" t="s">
        <v>17440</v>
      </c>
      <c r="C17432" s="5">
        <v>119.5</v>
      </c>
      <c r="D17432" s="5">
        <v>0.1</v>
      </c>
      <c r="E17432" s="5">
        <v>119.7</v>
      </c>
      <c r="F17432" s="5">
        <v>237.6</v>
      </c>
      <c r="G17432" s="5">
        <v>118</v>
      </c>
      <c r="H17432" s="5">
        <v>117.8</v>
      </c>
      <c r="I17432" s="5"/>
      <c r="J17432" s="5"/>
      <c r="K17432" s="5"/>
    </row>
    <row r="17433" spans="1:11" x14ac:dyDescent="0.25">
      <c r="A17433" s="5">
        <f>17426</f>
      </c>
      <c r="B17433" s="5" t="s">
        <v>17441</v>
      </c>
      <c r="C17433" s="5">
        <v>119.5</v>
      </c>
      <c r="D17433" s="5">
        <v>0.1</v>
      </c>
      <c r="E17433" s="5">
        <v>119.7</v>
      </c>
      <c r="F17433" s="5">
        <v>237.6</v>
      </c>
      <c r="G17433" s="5">
        <v>118</v>
      </c>
      <c r="H17433" s="5">
        <v>117.8</v>
      </c>
      <c r="I17433" s="5"/>
      <c r="J17433" s="5"/>
      <c r="K17433" s="5"/>
    </row>
    <row r="17434" spans="1:11" x14ac:dyDescent="0.25">
      <c r="A17434" s="5">
        <f>17427</f>
      </c>
      <c r="B17434" s="5" t="s">
        <v>17442</v>
      </c>
      <c r="C17434" s="5">
        <v>119.5</v>
      </c>
      <c r="D17434" s="5">
        <v>0.1</v>
      </c>
      <c r="E17434" s="5">
        <v>119.7</v>
      </c>
      <c r="F17434" s="5">
        <v>237.6</v>
      </c>
      <c r="G17434" s="5">
        <v>118</v>
      </c>
      <c r="H17434" s="5">
        <v>117.8</v>
      </c>
      <c r="I17434" s="5"/>
      <c r="J17434" s="5"/>
      <c r="K17434" s="5"/>
    </row>
    <row r="17435" spans="1:11" x14ac:dyDescent="0.25">
      <c r="A17435" s="5">
        <f>17428</f>
      </c>
      <c r="B17435" s="5" t="s">
        <v>17443</v>
      </c>
      <c r="C17435" s="5">
        <v>119.1</v>
      </c>
      <c r="D17435" s="5">
        <v>0.1</v>
      </c>
      <c r="E17435" s="5">
        <v>119.3</v>
      </c>
      <c r="F17435" s="5">
        <v>237.1</v>
      </c>
      <c r="G17435" s="5">
        <v>117.8</v>
      </c>
      <c r="H17435" s="5">
        <v>117.6</v>
      </c>
      <c r="I17435" s="5"/>
      <c r="J17435" s="5"/>
      <c r="K17435" s="5"/>
    </row>
    <row r="17436" spans="1:11" x14ac:dyDescent="0.25">
      <c r="A17436" s="5">
        <f>17429</f>
      </c>
      <c r="B17436" s="5" t="s">
        <v>17444</v>
      </c>
      <c r="C17436" s="5">
        <v>119.1</v>
      </c>
      <c r="D17436" s="5">
        <v>0.1</v>
      </c>
      <c r="E17436" s="5">
        <v>119.3</v>
      </c>
      <c r="F17436" s="5">
        <v>237.1</v>
      </c>
      <c r="G17436" s="5">
        <v>117.8</v>
      </c>
      <c r="H17436" s="5">
        <v>117.6</v>
      </c>
      <c r="I17436" s="5"/>
      <c r="J17436" s="5"/>
      <c r="K17436" s="5"/>
    </row>
    <row r="17437" spans="1:11" x14ac:dyDescent="0.25">
      <c r="A17437" s="5">
        <f>17430</f>
      </c>
      <c r="B17437" s="5" t="s">
        <v>17445</v>
      </c>
      <c r="C17437" s="5">
        <v>119.1</v>
      </c>
      <c r="D17437" s="5">
        <v>0.1</v>
      </c>
      <c r="E17437" s="5">
        <v>119.3</v>
      </c>
      <c r="F17437" s="5">
        <v>236.8</v>
      </c>
      <c r="G17437" s="5">
        <v>117.6</v>
      </c>
      <c r="H17437" s="5">
        <v>117.4</v>
      </c>
      <c r="I17437" s="5"/>
      <c r="J17437" s="5"/>
      <c r="K17437" s="5"/>
    </row>
    <row r="17438" spans="1:11" x14ac:dyDescent="0.25">
      <c r="A17438" s="5">
        <f>17431</f>
      </c>
      <c r="B17438" s="5" t="s">
        <v>17446</v>
      </c>
      <c r="C17438" s="5">
        <v>119.1</v>
      </c>
      <c r="D17438" s="5">
        <v>0.1</v>
      </c>
      <c r="E17438" s="5">
        <v>119.3</v>
      </c>
      <c r="F17438" s="5">
        <v>236.8</v>
      </c>
      <c r="G17438" s="5">
        <v>117.6</v>
      </c>
      <c r="H17438" s="5">
        <v>117.4</v>
      </c>
      <c r="I17438" s="5"/>
      <c r="J17438" s="5"/>
      <c r="K17438" s="5"/>
    </row>
    <row r="17439" spans="1:11" x14ac:dyDescent="0.25">
      <c r="A17439" s="5">
        <f>17432</f>
      </c>
      <c r="B17439" s="5" t="s">
        <v>17447</v>
      </c>
      <c r="C17439" s="5">
        <v>119.2</v>
      </c>
      <c r="D17439" s="5">
        <v>0.1</v>
      </c>
      <c r="E17439" s="5">
        <v>119.3</v>
      </c>
      <c r="F17439" s="5">
        <v>237</v>
      </c>
      <c r="G17439" s="5">
        <v>117.8</v>
      </c>
      <c r="H17439" s="5">
        <v>117.6</v>
      </c>
      <c r="I17439" s="5"/>
      <c r="J17439" s="5"/>
      <c r="K17439" s="5"/>
    </row>
    <row r="17440" spans="1:11" x14ac:dyDescent="0.25">
      <c r="A17440" s="5">
        <f>17433</f>
      </c>
      <c r="B17440" s="5" t="s">
        <v>17448</v>
      </c>
      <c r="C17440" s="5">
        <v>119.2</v>
      </c>
      <c r="D17440" s="5">
        <v>0.1</v>
      </c>
      <c r="E17440" s="5">
        <v>119.3</v>
      </c>
      <c r="F17440" s="5">
        <v>237</v>
      </c>
      <c r="G17440" s="5">
        <v>117.8</v>
      </c>
      <c r="H17440" s="5">
        <v>117.6</v>
      </c>
      <c r="I17440" s="5"/>
      <c r="J17440" s="5"/>
      <c r="K17440" s="5"/>
    </row>
    <row r="17441" spans="1:11" x14ac:dyDescent="0.25">
      <c r="A17441" s="5">
        <f>17434</f>
      </c>
      <c r="B17441" s="5" t="s">
        <v>17449</v>
      </c>
      <c r="C17441" s="5">
        <v>119.2</v>
      </c>
      <c r="D17441" s="5">
        <v>0.1</v>
      </c>
      <c r="E17441" s="5">
        <v>119.3</v>
      </c>
      <c r="F17441" s="5">
        <v>237.2</v>
      </c>
      <c r="G17441" s="5">
        <v>118</v>
      </c>
      <c r="H17441" s="5">
        <v>117.8</v>
      </c>
      <c r="I17441" s="5"/>
      <c r="J17441" s="5"/>
      <c r="K17441" s="5"/>
    </row>
    <row r="17442" spans="1:11" x14ac:dyDescent="0.25">
      <c r="A17442" s="5">
        <f>17435</f>
      </c>
      <c r="B17442" s="5" t="s">
        <v>17450</v>
      </c>
      <c r="C17442" s="5">
        <v>119.2</v>
      </c>
      <c r="D17442" s="5">
        <v>0.1</v>
      </c>
      <c r="E17442" s="5">
        <v>119.3</v>
      </c>
      <c r="F17442" s="5">
        <v>237.2</v>
      </c>
      <c r="G17442" s="5">
        <v>118</v>
      </c>
      <c r="H17442" s="5">
        <v>117.8</v>
      </c>
      <c r="I17442" s="5"/>
      <c r="J17442" s="5"/>
      <c r="K17442" s="5"/>
    </row>
    <row r="17443" spans="1:11" x14ac:dyDescent="0.25">
      <c r="A17443" s="5">
        <f>17436</f>
      </c>
      <c r="B17443" s="5" t="s">
        <v>17451</v>
      </c>
      <c r="C17443" s="5">
        <v>119.2</v>
      </c>
      <c r="D17443" s="5">
        <v>0.1</v>
      </c>
      <c r="E17443" s="5">
        <v>119.3</v>
      </c>
      <c r="F17443" s="5">
        <v>237.2</v>
      </c>
      <c r="G17443" s="5">
        <v>118</v>
      </c>
      <c r="H17443" s="5">
        <v>117.8</v>
      </c>
      <c r="I17443" s="5"/>
      <c r="J17443" s="5"/>
      <c r="K17443" s="5"/>
    </row>
    <row r="17444" spans="1:11" x14ac:dyDescent="0.25">
      <c r="A17444" s="5">
        <f>17437</f>
      </c>
      <c r="B17444" s="5" t="s">
        <v>17452</v>
      </c>
      <c r="C17444" s="5">
        <v>119.2</v>
      </c>
      <c r="D17444" s="5">
        <v>0.1</v>
      </c>
      <c r="E17444" s="5">
        <v>119.3</v>
      </c>
      <c r="F17444" s="5">
        <v>237.2</v>
      </c>
      <c r="G17444" s="5">
        <v>118</v>
      </c>
      <c r="H17444" s="5">
        <v>117.8</v>
      </c>
      <c r="I17444" s="5"/>
      <c r="J17444" s="5"/>
      <c r="K17444" s="5"/>
    </row>
    <row r="17445" spans="1:11" x14ac:dyDescent="0.25">
      <c r="A17445" s="5">
        <f>17438</f>
      </c>
      <c r="B17445" s="5" t="s">
        <v>17453</v>
      </c>
      <c r="C17445" s="5">
        <v>119.1</v>
      </c>
      <c r="D17445" s="5">
        <v>0.1</v>
      </c>
      <c r="E17445" s="5">
        <v>119.3</v>
      </c>
      <c r="F17445" s="5">
        <v>237.2</v>
      </c>
      <c r="G17445" s="5">
        <v>117.9</v>
      </c>
      <c r="H17445" s="5">
        <v>117.7</v>
      </c>
      <c r="I17445" s="5"/>
      <c r="J17445" s="5"/>
      <c r="K17445" s="5"/>
    </row>
    <row r="17446" spans="1:11" x14ac:dyDescent="0.25">
      <c r="A17446" s="5">
        <f>17439</f>
      </c>
      <c r="B17446" s="5" t="s">
        <v>17454</v>
      </c>
      <c r="C17446" s="5">
        <v>119.1</v>
      </c>
      <c r="D17446" s="5">
        <v>0.1</v>
      </c>
      <c r="E17446" s="5">
        <v>119.3</v>
      </c>
      <c r="F17446" s="5">
        <v>237.2</v>
      </c>
      <c r="G17446" s="5">
        <v>117.9</v>
      </c>
      <c r="H17446" s="5">
        <v>117.7</v>
      </c>
      <c r="I17446" s="5"/>
      <c r="J17446" s="5"/>
      <c r="K17446" s="5"/>
    </row>
    <row r="17447" spans="1:11" x14ac:dyDescent="0.25">
      <c r="A17447" s="5">
        <f>17440</f>
      </c>
      <c r="B17447" s="5" t="s">
        <v>17455</v>
      </c>
      <c r="C17447" s="5">
        <v>119.6</v>
      </c>
      <c r="D17447" s="5">
        <v>0.1</v>
      </c>
      <c r="E17447" s="5">
        <v>119.7</v>
      </c>
      <c r="F17447" s="5">
        <v>236.9</v>
      </c>
      <c r="G17447" s="5">
        <v>117.8</v>
      </c>
      <c r="H17447" s="5">
        <v>117.7</v>
      </c>
      <c r="I17447" s="5"/>
      <c r="J17447" s="5"/>
      <c r="K17447" s="5"/>
    </row>
    <row r="17448" spans="1:11" x14ac:dyDescent="0.25">
      <c r="A17448" s="5">
        <f>17441</f>
      </c>
      <c r="B17448" s="5" t="s">
        <v>17456</v>
      </c>
      <c r="C17448" s="5">
        <v>119.6</v>
      </c>
      <c r="D17448" s="5">
        <v>0.1</v>
      </c>
      <c r="E17448" s="5">
        <v>119.7</v>
      </c>
      <c r="F17448" s="5">
        <v>236.9</v>
      </c>
      <c r="G17448" s="5">
        <v>117.8</v>
      </c>
      <c r="H17448" s="5">
        <v>117.7</v>
      </c>
      <c r="I17448" s="5"/>
      <c r="J17448" s="5"/>
      <c r="K17448" s="5"/>
    </row>
    <row r="17449" spans="1:11" x14ac:dyDescent="0.25">
      <c r="A17449" s="5">
        <f>17442</f>
      </c>
      <c r="B17449" s="5" t="s">
        <v>17457</v>
      </c>
      <c r="C17449" s="5">
        <v>119.5</v>
      </c>
      <c r="D17449" s="5">
        <v>0.1</v>
      </c>
      <c r="E17449" s="5">
        <v>119.7</v>
      </c>
      <c r="F17449" s="5">
        <v>237.2</v>
      </c>
      <c r="G17449" s="5">
        <v>117.9</v>
      </c>
      <c r="H17449" s="5">
        <v>117.8</v>
      </c>
      <c r="I17449" s="5"/>
      <c r="J17449" s="5"/>
      <c r="K17449" s="5"/>
    </row>
    <row r="17450" spans="1:11" x14ac:dyDescent="0.25">
      <c r="A17450" s="5">
        <f>17443</f>
      </c>
      <c r="B17450" s="5" t="s">
        <v>17458</v>
      </c>
      <c r="C17450" s="5">
        <v>119.5</v>
      </c>
      <c r="D17450" s="5">
        <v>0.1</v>
      </c>
      <c r="E17450" s="5">
        <v>119.7</v>
      </c>
      <c r="F17450" s="5">
        <v>237.2</v>
      </c>
      <c r="G17450" s="5">
        <v>117.9</v>
      </c>
      <c r="H17450" s="5">
        <v>117.8</v>
      </c>
      <c r="I17450" s="5"/>
      <c r="J17450" s="5"/>
      <c r="K17450" s="5"/>
    </row>
    <row r="17451" spans="1:11" x14ac:dyDescent="0.25">
      <c r="A17451" s="5">
        <f>17444</f>
      </c>
      <c r="B17451" s="5" t="s">
        <v>17459</v>
      </c>
      <c r="C17451" s="5">
        <v>118.8</v>
      </c>
      <c r="D17451" s="5">
        <v>0.1</v>
      </c>
      <c r="E17451" s="5">
        <v>119</v>
      </c>
      <c r="F17451" s="5">
        <v>237.1</v>
      </c>
      <c r="G17451" s="5">
        <v>117.9</v>
      </c>
      <c r="H17451" s="5">
        <v>117.6</v>
      </c>
      <c r="I17451" s="5"/>
      <c r="J17451" s="5"/>
      <c r="K17451" s="5"/>
    </row>
    <row r="17452" spans="1:11" x14ac:dyDescent="0.25">
      <c r="A17452" s="5">
        <f>17445</f>
      </c>
      <c r="B17452" s="5" t="s">
        <v>17460</v>
      </c>
      <c r="C17452" s="5">
        <v>118.8</v>
      </c>
      <c r="D17452" s="5">
        <v>0.1</v>
      </c>
      <c r="E17452" s="5">
        <v>119</v>
      </c>
      <c r="F17452" s="5">
        <v>237.1</v>
      </c>
      <c r="G17452" s="5">
        <v>117.9</v>
      </c>
      <c r="H17452" s="5">
        <v>117.6</v>
      </c>
      <c r="I17452" s="5"/>
      <c r="J17452" s="5"/>
      <c r="K17452" s="5"/>
    </row>
    <row r="17453" spans="1:11" x14ac:dyDescent="0.25">
      <c r="A17453" s="5">
        <f>17446</f>
      </c>
      <c r="B17453" s="5" t="s">
        <v>17461</v>
      </c>
      <c r="C17453" s="5">
        <v>118.8</v>
      </c>
      <c r="D17453" s="5">
        <v>0.1</v>
      </c>
      <c r="E17453" s="5">
        <v>119</v>
      </c>
      <c r="F17453" s="5">
        <v>237.1</v>
      </c>
      <c r="G17453" s="5">
        <v>117.9</v>
      </c>
      <c r="H17453" s="5">
        <v>117.6</v>
      </c>
      <c r="I17453" s="5"/>
      <c r="J17453" s="5"/>
      <c r="K17453" s="5"/>
    </row>
    <row r="17454" spans="1:11" x14ac:dyDescent="0.25">
      <c r="A17454" s="5">
        <f>17447</f>
      </c>
      <c r="B17454" s="5" t="s">
        <v>17462</v>
      </c>
      <c r="C17454" s="5">
        <v>118.8</v>
      </c>
      <c r="D17454" s="5">
        <v>0.1</v>
      </c>
      <c r="E17454" s="5">
        <v>119.1</v>
      </c>
      <c r="F17454" s="5">
        <v>236.7</v>
      </c>
      <c r="G17454" s="5">
        <v>117.7</v>
      </c>
      <c r="H17454" s="5">
        <v>117.6</v>
      </c>
      <c r="I17454" s="5"/>
      <c r="J17454" s="5"/>
      <c r="K17454" s="5"/>
    </row>
    <row r="17455" spans="1:11" x14ac:dyDescent="0.25">
      <c r="A17455" s="5">
        <f>17448</f>
      </c>
      <c r="B17455" s="5" t="s">
        <v>17463</v>
      </c>
      <c r="C17455" s="5">
        <v>119</v>
      </c>
      <c r="D17455" s="5">
        <v>0.1</v>
      </c>
      <c r="E17455" s="5">
        <v>119.1</v>
      </c>
      <c r="F17455" s="5">
        <v>236.7</v>
      </c>
      <c r="G17455" s="5">
        <v>117.7</v>
      </c>
      <c r="H17455" s="5">
        <v>117.6</v>
      </c>
      <c r="I17455" s="5"/>
      <c r="J17455" s="5"/>
      <c r="K17455" s="5"/>
    </row>
    <row r="17456" spans="1:11" x14ac:dyDescent="0.25">
      <c r="A17456" s="5">
        <f>17449</f>
      </c>
      <c r="B17456" s="5" t="s">
        <v>17464</v>
      </c>
      <c r="C17456" s="5">
        <v>119</v>
      </c>
      <c r="D17456" s="5">
        <v>0.1</v>
      </c>
      <c r="E17456" s="5">
        <v>119</v>
      </c>
      <c r="F17456" s="5">
        <v>236.6</v>
      </c>
      <c r="G17456" s="5">
        <v>117.6</v>
      </c>
      <c r="H17456" s="5">
        <v>117.4</v>
      </c>
      <c r="I17456" s="5"/>
      <c r="J17456" s="5"/>
      <c r="K17456" s="5"/>
    </row>
    <row r="17457" spans="1:11" x14ac:dyDescent="0.25">
      <c r="A17457" s="5">
        <f>17450</f>
      </c>
      <c r="B17457" s="5" t="s">
        <v>17465</v>
      </c>
      <c r="C17457" s="5">
        <v>118.8</v>
      </c>
      <c r="D17457" s="5">
        <v>0.1</v>
      </c>
      <c r="E17457" s="5">
        <v>119</v>
      </c>
      <c r="F17457" s="5">
        <v>236.6</v>
      </c>
      <c r="G17457" s="5">
        <v>117.6</v>
      </c>
      <c r="H17457" s="5">
        <v>117.4</v>
      </c>
      <c r="I17457" s="5"/>
      <c r="J17457" s="5"/>
      <c r="K17457" s="5"/>
    </row>
    <row r="17458" spans="1:11" x14ac:dyDescent="0.25">
      <c r="A17458" s="5">
        <f>17451</f>
      </c>
      <c r="B17458" s="5" t="s">
        <v>17466</v>
      </c>
      <c r="C17458" s="5">
        <v>118.8</v>
      </c>
      <c r="D17458" s="5">
        <v>0.1</v>
      </c>
      <c r="E17458" s="5">
        <v>119.3</v>
      </c>
      <c r="F17458" s="5">
        <v>237</v>
      </c>
      <c r="G17458" s="5">
        <v>117.8</v>
      </c>
      <c r="H17458" s="5">
        <v>117.6</v>
      </c>
      <c r="I17458" s="5"/>
      <c r="J17458" s="5"/>
      <c r="K17458" s="5"/>
    </row>
    <row r="17459" spans="1:11" x14ac:dyDescent="0.25">
      <c r="A17459" s="5">
        <f>17452</f>
      </c>
      <c r="B17459" s="5" t="s">
        <v>17467</v>
      </c>
      <c r="C17459" s="5">
        <v>119.1</v>
      </c>
      <c r="D17459" s="5">
        <v>0.1</v>
      </c>
      <c r="E17459" s="5">
        <v>119.3</v>
      </c>
      <c r="F17459" s="5">
        <v>237</v>
      </c>
      <c r="G17459" s="5">
        <v>117.8</v>
      </c>
      <c r="H17459" s="5">
        <v>117.6</v>
      </c>
      <c r="I17459" s="5"/>
      <c r="J17459" s="5"/>
      <c r="K17459" s="5"/>
    </row>
    <row r="17460" spans="1:11" x14ac:dyDescent="0.25">
      <c r="A17460" s="5">
        <f>17453</f>
      </c>
      <c r="B17460" s="5" t="s">
        <v>17468</v>
      </c>
      <c r="C17460" s="5">
        <v>119.1</v>
      </c>
      <c r="D17460" s="5">
        <v>0.1</v>
      </c>
      <c r="E17460" s="5">
        <v>119.3</v>
      </c>
      <c r="F17460" s="5">
        <v>236.1</v>
      </c>
      <c r="G17460" s="5">
        <v>117.4</v>
      </c>
      <c r="H17460" s="5">
        <v>117.2</v>
      </c>
      <c r="I17460" s="5"/>
      <c r="J17460" s="5"/>
      <c r="K17460" s="5"/>
    </row>
    <row r="17461" spans="1:11" x14ac:dyDescent="0.25">
      <c r="A17461" s="5">
        <f>17454</f>
      </c>
      <c r="B17461" s="5" t="s">
        <v>17469</v>
      </c>
      <c r="C17461" s="5">
        <v>118.6</v>
      </c>
      <c r="D17461" s="5">
        <v>0.1</v>
      </c>
      <c r="E17461" s="5">
        <v>118.8</v>
      </c>
      <c r="F17461" s="5">
        <v>236.1</v>
      </c>
      <c r="G17461" s="5">
        <v>117.4</v>
      </c>
      <c r="H17461" s="5">
        <v>117.2</v>
      </c>
      <c r="I17461" s="5"/>
      <c r="J17461" s="5"/>
      <c r="K17461" s="5"/>
    </row>
    <row r="17462" spans="1:11" x14ac:dyDescent="0.25">
      <c r="A17462" s="5">
        <f>17455</f>
      </c>
      <c r="B17462" s="5" t="s">
        <v>17470</v>
      </c>
      <c r="C17462" s="5">
        <v>118.6</v>
      </c>
      <c r="D17462" s="5">
        <v>0.1</v>
      </c>
      <c r="E17462" s="5">
        <v>118.8</v>
      </c>
      <c r="F17462" s="5">
        <v>236.1</v>
      </c>
      <c r="G17462" s="5">
        <v>117.4</v>
      </c>
      <c r="H17462" s="5">
        <v>117.2</v>
      </c>
      <c r="I17462" s="5"/>
      <c r="J17462" s="5"/>
      <c r="K17462" s="5"/>
    </row>
    <row r="17463" spans="1:11" x14ac:dyDescent="0.25">
      <c r="A17463" s="5">
        <f>17456</f>
      </c>
      <c r="B17463" s="5" t="s">
        <v>17471</v>
      </c>
      <c r="C17463" s="5">
        <v>118.6</v>
      </c>
      <c r="D17463" s="5">
        <v>0.1</v>
      </c>
      <c r="E17463" s="5">
        <v>118.8</v>
      </c>
      <c r="F17463" s="5">
        <v>236.1</v>
      </c>
      <c r="G17463" s="5">
        <v>117.4</v>
      </c>
      <c r="H17463" s="5">
        <v>117.2</v>
      </c>
      <c r="I17463" s="5"/>
      <c r="J17463" s="5"/>
      <c r="K17463" s="5"/>
    </row>
    <row r="17464" spans="1:11" x14ac:dyDescent="0.25">
      <c r="A17464" s="5">
        <f>17457</f>
      </c>
      <c r="B17464" s="5" t="s">
        <v>17472</v>
      </c>
      <c r="C17464" s="5">
        <v>118.7</v>
      </c>
      <c r="D17464" s="5">
        <v>0.1</v>
      </c>
      <c r="E17464" s="5">
        <v>118.9</v>
      </c>
      <c r="F17464" s="5">
        <v>236.1</v>
      </c>
      <c r="G17464" s="5">
        <v>117.4</v>
      </c>
      <c r="H17464" s="5">
        <v>117.2</v>
      </c>
      <c r="I17464" s="5"/>
      <c r="J17464" s="5"/>
      <c r="K17464" s="5"/>
    </row>
    <row r="17465" spans="1:11" x14ac:dyDescent="0.25">
      <c r="A17465" s="5">
        <f>17458</f>
      </c>
      <c r="B17465" s="5" t="s">
        <v>17473</v>
      </c>
      <c r="C17465" s="5">
        <v>118.7</v>
      </c>
      <c r="D17465" s="5">
        <v>0.1</v>
      </c>
      <c r="E17465" s="5">
        <v>118.9</v>
      </c>
      <c r="F17465" s="5">
        <v>236</v>
      </c>
      <c r="G17465" s="5">
        <v>117.2</v>
      </c>
      <c r="H17465" s="5">
        <v>117</v>
      </c>
      <c r="I17465" s="5"/>
      <c r="J17465" s="5"/>
      <c r="K17465" s="5"/>
    </row>
    <row r="17466" spans="1:11" x14ac:dyDescent="0.25">
      <c r="A17466" s="5">
        <f>17459</f>
      </c>
      <c r="B17466" s="5" t="s">
        <v>17474</v>
      </c>
      <c r="C17466" s="5">
        <v>119.2</v>
      </c>
      <c r="D17466" s="5">
        <v>0.1</v>
      </c>
      <c r="E17466" s="5">
        <v>118.9</v>
      </c>
      <c r="F17466" s="5">
        <v>236</v>
      </c>
      <c r="G17466" s="5">
        <v>117.2</v>
      </c>
      <c r="H17466" s="5">
        <v>117</v>
      </c>
      <c r="I17466" s="5"/>
      <c r="J17466" s="5"/>
      <c r="K17466" s="5"/>
    </row>
    <row r="17467" spans="1:11" x14ac:dyDescent="0.25">
      <c r="A17467" s="5">
        <f>17460</f>
      </c>
      <c r="B17467" s="5" t="s">
        <v>17475</v>
      </c>
      <c r="C17467" s="5">
        <v>119.2</v>
      </c>
      <c r="D17467" s="5">
        <v>0.1</v>
      </c>
      <c r="E17467" s="5">
        <v>119.3</v>
      </c>
      <c r="F17467" s="5">
        <v>236.3</v>
      </c>
      <c r="G17467" s="5">
        <v>117.3</v>
      </c>
      <c r="H17467" s="5">
        <v>117.1</v>
      </c>
      <c r="I17467" s="5"/>
      <c r="J17467" s="5"/>
      <c r="K17467" s="5"/>
    </row>
    <row r="17468" spans="1:11" x14ac:dyDescent="0.25">
      <c r="A17468" s="5">
        <f>17461</f>
      </c>
      <c r="B17468" s="5" t="s">
        <v>17476</v>
      </c>
      <c r="C17468" s="5">
        <v>118.7</v>
      </c>
      <c r="D17468" s="5">
        <v>0.1</v>
      </c>
      <c r="E17468" s="5">
        <v>119.3</v>
      </c>
      <c r="F17468" s="5">
        <v>236.3</v>
      </c>
      <c r="G17468" s="5">
        <v>117.3</v>
      </c>
      <c r="H17468" s="5">
        <v>117.1</v>
      </c>
      <c r="I17468" s="5"/>
      <c r="J17468" s="5"/>
      <c r="K17468" s="5"/>
    </row>
    <row r="17469" spans="1:11" x14ac:dyDescent="0.25">
      <c r="A17469" s="5">
        <f>17462</f>
      </c>
      <c r="B17469" s="5" t="s">
        <v>17477</v>
      </c>
      <c r="C17469" s="5">
        <v>118.7</v>
      </c>
      <c r="D17469" s="5">
        <v>0.1</v>
      </c>
      <c r="E17469" s="5">
        <v>119</v>
      </c>
      <c r="F17469" s="5">
        <v>235.9</v>
      </c>
      <c r="G17469" s="5">
        <v>117</v>
      </c>
      <c r="H17469" s="5">
        <v>116.9</v>
      </c>
      <c r="I17469" s="5"/>
      <c r="J17469" s="5"/>
      <c r="K17469" s="5"/>
    </row>
    <row r="17470" spans="1:11" x14ac:dyDescent="0.25">
      <c r="A17470" s="5">
        <f>17463</f>
      </c>
      <c r="B17470" s="5" t="s">
        <v>17478</v>
      </c>
      <c r="C17470" s="5">
        <v>118.7</v>
      </c>
      <c r="D17470" s="5">
        <v>0.1</v>
      </c>
      <c r="E17470" s="5">
        <v>119</v>
      </c>
      <c r="F17470" s="5">
        <v>235.9</v>
      </c>
      <c r="G17470" s="5">
        <v>117</v>
      </c>
      <c r="H17470" s="5">
        <v>116.9</v>
      </c>
      <c r="I17470" s="5"/>
      <c r="J17470" s="5"/>
      <c r="K17470" s="5"/>
    </row>
    <row r="17471" spans="1:11" x14ac:dyDescent="0.25">
      <c r="A17471" s="5">
        <f>17464</f>
      </c>
      <c r="B17471" s="5" t="s">
        <v>17479</v>
      </c>
      <c r="C17471" s="5">
        <v>119</v>
      </c>
      <c r="D17471" s="5">
        <v>0.1</v>
      </c>
      <c r="E17471" s="5">
        <v>119.2</v>
      </c>
      <c r="F17471" s="5">
        <v>236.1</v>
      </c>
      <c r="G17471" s="5">
        <v>117.1</v>
      </c>
      <c r="H17471" s="5">
        <v>117</v>
      </c>
      <c r="I17471" s="5"/>
      <c r="J17471" s="5"/>
      <c r="K17471" s="5"/>
    </row>
    <row r="17472" spans="1:11" x14ac:dyDescent="0.25">
      <c r="A17472" s="5">
        <f>17465</f>
      </c>
      <c r="B17472" s="5" t="s">
        <v>17480</v>
      </c>
      <c r="C17472" s="5">
        <v>119</v>
      </c>
      <c r="D17472" s="5">
        <v>0.1</v>
      </c>
      <c r="E17472" s="5">
        <v>119.2</v>
      </c>
      <c r="F17472" s="5">
        <v>236.1</v>
      </c>
      <c r="G17472" s="5">
        <v>117.1</v>
      </c>
      <c r="H17472" s="5">
        <v>117</v>
      </c>
      <c r="I17472" s="5"/>
      <c r="J17472" s="5"/>
      <c r="K17472" s="5"/>
    </row>
    <row r="17473" spans="1:11" x14ac:dyDescent="0.25">
      <c r="A17473" s="5">
        <f>17466</f>
      </c>
      <c r="B17473" s="5" t="s">
        <v>17481</v>
      </c>
      <c r="C17473" s="5">
        <v>119</v>
      </c>
      <c r="D17473" s="5">
        <v>0.1</v>
      </c>
      <c r="E17473" s="5">
        <v>119.2</v>
      </c>
      <c r="F17473" s="5">
        <v>236.1</v>
      </c>
      <c r="G17473" s="5">
        <v>117.1</v>
      </c>
      <c r="H17473" s="5">
        <v>117</v>
      </c>
      <c r="I17473" s="5"/>
      <c r="J17473" s="5"/>
      <c r="K17473" s="5"/>
    </row>
    <row r="17474" spans="1:11" x14ac:dyDescent="0.25">
      <c r="A17474" s="5">
        <f>17467</f>
      </c>
      <c r="B17474" s="5" t="s">
        <v>17482</v>
      </c>
      <c r="C17474" s="5">
        <v>119</v>
      </c>
      <c r="D17474" s="5">
        <v>0.1</v>
      </c>
      <c r="E17474" s="5">
        <v>119.2</v>
      </c>
      <c r="F17474" s="5">
        <v>236.1</v>
      </c>
      <c r="G17474" s="5">
        <v>117.1</v>
      </c>
      <c r="H17474" s="5">
        <v>117</v>
      </c>
      <c r="I17474" s="5"/>
      <c r="J17474" s="5"/>
      <c r="K17474" s="5"/>
    </row>
    <row r="17475" spans="1:11" x14ac:dyDescent="0.25">
      <c r="A17475" s="5">
        <f>17468</f>
      </c>
      <c r="B17475" s="5" t="s">
        <v>17483</v>
      </c>
      <c r="C17475" s="5">
        <v>119.4</v>
      </c>
      <c r="D17475" s="5">
        <v>0.1</v>
      </c>
      <c r="E17475" s="5">
        <v>119.6</v>
      </c>
      <c r="F17475" s="5">
        <v>236.9</v>
      </c>
      <c r="G17475" s="5">
        <v>117.5</v>
      </c>
      <c r="H17475" s="5">
        <v>117.3</v>
      </c>
      <c r="I17475" s="5"/>
      <c r="J17475" s="5"/>
      <c r="K17475" s="5"/>
    </row>
    <row r="17476" spans="1:11" x14ac:dyDescent="0.25">
      <c r="A17476" s="5">
        <f>17469</f>
      </c>
      <c r="B17476" s="5" t="s">
        <v>17484</v>
      </c>
      <c r="C17476" s="5">
        <v>119.4</v>
      </c>
      <c r="D17476" s="5">
        <v>0.1</v>
      </c>
      <c r="E17476" s="5">
        <v>119.6</v>
      </c>
      <c r="F17476" s="5">
        <v>236.9</v>
      </c>
      <c r="G17476" s="5">
        <v>117.5</v>
      </c>
      <c r="H17476" s="5">
        <v>117.3</v>
      </c>
      <c r="I17476" s="5"/>
      <c r="J17476" s="5"/>
      <c r="K17476" s="5"/>
    </row>
    <row r="17477" spans="1:11" x14ac:dyDescent="0.25">
      <c r="A17477" s="5">
        <f>17470</f>
      </c>
      <c r="B17477" s="5" t="s">
        <v>17485</v>
      </c>
      <c r="C17477" s="5">
        <v>119.1</v>
      </c>
      <c r="D17477" s="5">
        <v>0.1</v>
      </c>
      <c r="E17477" s="5">
        <v>119.3</v>
      </c>
      <c r="F17477" s="5">
        <v>236.5</v>
      </c>
      <c r="G17477" s="5">
        <v>117.4</v>
      </c>
      <c r="H17477" s="5">
        <v>117.2</v>
      </c>
      <c r="I17477" s="5"/>
      <c r="J17477" s="5"/>
      <c r="K17477" s="5"/>
    </row>
    <row r="17478" spans="1:11" x14ac:dyDescent="0.25">
      <c r="A17478" s="5">
        <f>17471</f>
      </c>
      <c r="B17478" s="5" t="s">
        <v>17486</v>
      </c>
      <c r="C17478" s="5">
        <v>119.1</v>
      </c>
      <c r="D17478" s="5">
        <v>0.1</v>
      </c>
      <c r="E17478" s="5">
        <v>119.3</v>
      </c>
      <c r="F17478" s="5">
        <v>236.5</v>
      </c>
      <c r="G17478" s="5">
        <v>117.4</v>
      </c>
      <c r="H17478" s="5">
        <v>117.2</v>
      </c>
      <c r="I17478" s="5"/>
      <c r="J17478" s="5"/>
      <c r="K17478" s="5"/>
    </row>
    <row r="17479" spans="1:11" x14ac:dyDescent="0.25">
      <c r="A17479" s="5">
        <f>17472</f>
      </c>
      <c r="B17479" s="5" t="s">
        <v>17487</v>
      </c>
      <c r="C17479" s="5">
        <v>119.3</v>
      </c>
      <c r="D17479" s="5">
        <v>0.1</v>
      </c>
      <c r="E17479" s="5">
        <v>119.5</v>
      </c>
      <c r="F17479" s="5">
        <v>236.9</v>
      </c>
      <c r="G17479" s="5">
        <v>117.5</v>
      </c>
      <c r="H17479" s="5">
        <v>117.4</v>
      </c>
      <c r="I17479" s="5"/>
      <c r="J17479" s="5"/>
      <c r="K17479" s="5"/>
    </row>
    <row r="17480" spans="1:11" x14ac:dyDescent="0.25">
      <c r="A17480" s="5">
        <f>17473</f>
      </c>
      <c r="B17480" s="5" t="s">
        <v>17488</v>
      </c>
      <c r="C17480" s="5">
        <v>119.3</v>
      </c>
      <c r="D17480" s="5">
        <v>0.1</v>
      </c>
      <c r="E17480" s="5">
        <v>119.5</v>
      </c>
      <c r="F17480" s="5">
        <v>236.9</v>
      </c>
      <c r="G17480" s="5">
        <v>117.5</v>
      </c>
      <c r="H17480" s="5">
        <v>117.4</v>
      </c>
      <c r="I17480" s="5"/>
      <c r="J17480" s="5"/>
      <c r="K17480" s="5"/>
    </row>
    <row r="17481" spans="1:11" x14ac:dyDescent="0.25">
      <c r="A17481" s="5">
        <f>17474</f>
      </c>
      <c r="B17481" s="5" t="s">
        <v>17489</v>
      </c>
      <c r="C17481" s="5">
        <v>119.3</v>
      </c>
      <c r="D17481" s="5">
        <v>0.1</v>
      </c>
      <c r="E17481" s="5">
        <v>119.5</v>
      </c>
      <c r="F17481" s="5">
        <v>236.9</v>
      </c>
      <c r="G17481" s="5">
        <v>117.6</v>
      </c>
      <c r="H17481" s="5">
        <v>117.3</v>
      </c>
      <c r="I17481" s="5"/>
      <c r="J17481" s="5"/>
      <c r="K17481" s="5"/>
    </row>
    <row r="17482" spans="1:11" x14ac:dyDescent="0.25">
      <c r="A17482" s="5">
        <f>17475</f>
      </c>
      <c r="B17482" s="5" t="s">
        <v>17490</v>
      </c>
      <c r="C17482" s="5">
        <v>119.3</v>
      </c>
      <c r="D17482" s="5">
        <v>0.1</v>
      </c>
      <c r="E17482" s="5">
        <v>119.5</v>
      </c>
      <c r="F17482" s="5">
        <v>236.9</v>
      </c>
      <c r="G17482" s="5">
        <v>117.6</v>
      </c>
      <c r="H17482" s="5">
        <v>117.3</v>
      </c>
      <c r="I17482" s="5"/>
      <c r="J17482" s="5"/>
      <c r="K17482" s="5"/>
    </row>
    <row r="17483" spans="1:11" x14ac:dyDescent="0.25">
      <c r="A17483" s="5">
        <f>17476</f>
      </c>
      <c r="B17483" s="5" t="s">
        <v>17491</v>
      </c>
      <c r="C17483" s="5">
        <v>119.3</v>
      </c>
      <c r="D17483" s="5">
        <v>0.1</v>
      </c>
      <c r="E17483" s="5">
        <v>119.5</v>
      </c>
      <c r="F17483" s="5">
        <v>236.9</v>
      </c>
      <c r="G17483" s="5">
        <v>117.6</v>
      </c>
      <c r="H17483" s="5">
        <v>117.3</v>
      </c>
      <c r="I17483" s="5"/>
      <c r="J17483" s="5"/>
      <c r="K17483" s="5"/>
    </row>
    <row r="17484" spans="1:11" x14ac:dyDescent="0.25">
      <c r="A17484" s="5">
        <f>17477</f>
      </c>
      <c r="B17484" s="5" t="s">
        <v>17492</v>
      </c>
      <c r="C17484" s="5">
        <v>119.3</v>
      </c>
      <c r="D17484" s="5">
        <v>0.1</v>
      </c>
      <c r="E17484" s="5">
        <v>119.7</v>
      </c>
      <c r="F17484" s="5">
        <v>236.8</v>
      </c>
      <c r="G17484" s="5">
        <v>117.5</v>
      </c>
      <c r="H17484" s="5">
        <v>117.3</v>
      </c>
      <c r="I17484" s="5"/>
      <c r="J17484" s="5"/>
      <c r="K17484" s="5"/>
    </row>
    <row r="17485" spans="1:11" x14ac:dyDescent="0.25">
      <c r="A17485" s="5">
        <f>17478</f>
      </c>
      <c r="B17485" s="5" t="s">
        <v>17493</v>
      </c>
      <c r="C17485" s="5">
        <v>119.6</v>
      </c>
      <c r="D17485" s="5">
        <v>0.1</v>
      </c>
      <c r="E17485" s="5">
        <v>119.7</v>
      </c>
      <c r="F17485" s="5">
        <v>236.8</v>
      </c>
      <c r="G17485" s="5">
        <v>117.5</v>
      </c>
      <c r="H17485" s="5">
        <v>117.3</v>
      </c>
      <c r="I17485" s="5"/>
      <c r="J17485" s="5"/>
      <c r="K17485" s="5"/>
    </row>
    <row r="17486" spans="1:11" x14ac:dyDescent="0.25">
      <c r="A17486" s="5">
        <f>17479</f>
      </c>
      <c r="B17486" s="5" t="s">
        <v>17494</v>
      </c>
      <c r="C17486" s="5">
        <v>119.6</v>
      </c>
      <c r="D17486" s="5">
        <v>0.1</v>
      </c>
      <c r="E17486" s="5">
        <v>119.7</v>
      </c>
      <c r="F17486" s="5">
        <v>236.2</v>
      </c>
      <c r="G17486" s="5">
        <v>117.2</v>
      </c>
      <c r="H17486" s="5">
        <v>117.1</v>
      </c>
      <c r="I17486" s="5"/>
      <c r="J17486" s="5"/>
      <c r="K17486" s="5"/>
    </row>
    <row r="17487" spans="1:11" x14ac:dyDescent="0.25">
      <c r="A17487" s="5">
        <f>17480</f>
      </c>
      <c r="B17487" s="5" t="s">
        <v>17495</v>
      </c>
      <c r="C17487" s="5">
        <v>119.1</v>
      </c>
      <c r="D17487" s="5">
        <v>0.1</v>
      </c>
      <c r="E17487" s="5">
        <v>119.3</v>
      </c>
      <c r="F17487" s="5">
        <v>236.2</v>
      </c>
      <c r="G17487" s="5">
        <v>117.2</v>
      </c>
      <c r="H17487" s="5">
        <v>117.1</v>
      </c>
      <c r="I17487" s="5"/>
      <c r="J17487" s="5"/>
      <c r="K17487" s="5"/>
    </row>
    <row r="17488" spans="1:11" x14ac:dyDescent="0.25">
      <c r="A17488" s="5">
        <f>17481</f>
      </c>
      <c r="B17488" s="5" t="s">
        <v>17496</v>
      </c>
      <c r="C17488" s="5">
        <v>119.1</v>
      </c>
      <c r="D17488" s="5">
        <v>0.1</v>
      </c>
      <c r="E17488" s="5">
        <v>119.3</v>
      </c>
      <c r="F17488" s="5">
        <v>236.2</v>
      </c>
      <c r="G17488" s="5">
        <v>117.2</v>
      </c>
      <c r="H17488" s="5">
        <v>117.3</v>
      </c>
      <c r="I17488" s="5"/>
      <c r="J17488" s="5"/>
      <c r="K17488" s="5"/>
    </row>
    <row r="17489" spans="1:11" x14ac:dyDescent="0.25">
      <c r="A17489" s="5">
        <f>17482</f>
      </c>
      <c r="B17489" s="5" t="s">
        <v>17497</v>
      </c>
      <c r="C17489" s="5">
        <v>119.3</v>
      </c>
      <c r="D17489" s="5">
        <v>0.1</v>
      </c>
      <c r="E17489" s="5">
        <v>119.5</v>
      </c>
      <c r="F17489" s="5">
        <v>237</v>
      </c>
      <c r="G17489" s="5">
        <v>117.5</v>
      </c>
      <c r="H17489" s="5">
        <v>117.3</v>
      </c>
      <c r="I17489" s="5"/>
      <c r="J17489" s="5"/>
      <c r="K17489" s="5"/>
    </row>
    <row r="17490" spans="1:11" x14ac:dyDescent="0.25">
      <c r="A17490" s="5">
        <f>17483</f>
      </c>
      <c r="B17490" s="5" t="s">
        <v>17498</v>
      </c>
      <c r="C17490" s="5">
        <v>119.3</v>
      </c>
      <c r="D17490" s="5">
        <v>0.1</v>
      </c>
      <c r="E17490" s="5">
        <v>119.5</v>
      </c>
      <c r="F17490" s="5">
        <v>237</v>
      </c>
      <c r="G17490" s="5">
        <v>117.5</v>
      </c>
      <c r="H17490" s="5">
        <v>117.3</v>
      </c>
      <c r="I17490" s="5"/>
      <c r="J17490" s="5"/>
      <c r="K17490" s="5"/>
    </row>
    <row r="17491" spans="1:11" x14ac:dyDescent="0.25">
      <c r="A17491" s="5">
        <f>17484</f>
      </c>
      <c r="B17491" s="5" t="s">
        <v>17499</v>
      </c>
      <c r="C17491" s="5">
        <v>119</v>
      </c>
      <c r="D17491" s="5">
        <v>0.1</v>
      </c>
      <c r="E17491" s="5">
        <v>119.1</v>
      </c>
      <c r="F17491" s="5">
        <v>236.1</v>
      </c>
      <c r="G17491" s="5">
        <v>117</v>
      </c>
      <c r="H17491" s="5">
        <v>116.9</v>
      </c>
      <c r="I17491" s="5"/>
      <c r="J17491" s="5"/>
      <c r="K17491" s="5"/>
    </row>
    <row r="17492" spans="1:11" x14ac:dyDescent="0.25">
      <c r="A17492" s="5">
        <f>17485</f>
      </c>
      <c r="B17492" s="5" t="s">
        <v>17500</v>
      </c>
      <c r="C17492" s="5">
        <v>119</v>
      </c>
      <c r="D17492" s="5">
        <v>0.1</v>
      </c>
      <c r="E17492" s="5">
        <v>119.1</v>
      </c>
      <c r="F17492" s="5">
        <v>236.1</v>
      </c>
      <c r="G17492" s="5">
        <v>117</v>
      </c>
      <c r="H17492" s="5">
        <v>116.9</v>
      </c>
      <c r="I17492" s="5"/>
      <c r="J17492" s="5"/>
      <c r="K17492" s="5"/>
    </row>
    <row r="17493" spans="1:11" x14ac:dyDescent="0.25">
      <c r="A17493" s="5">
        <f>17486</f>
      </c>
      <c r="B17493" s="5" t="s">
        <v>17501</v>
      </c>
      <c r="C17493" s="5">
        <v>119</v>
      </c>
      <c r="D17493" s="5">
        <v>0.1</v>
      </c>
      <c r="E17493" s="5">
        <v>119.1</v>
      </c>
      <c r="F17493" s="5">
        <v>236.1</v>
      </c>
      <c r="G17493" s="5">
        <v>117</v>
      </c>
      <c r="H17493" s="5">
        <v>116.9</v>
      </c>
      <c r="I17493" s="5"/>
      <c r="J17493" s="5"/>
      <c r="K17493" s="5"/>
    </row>
    <row r="17494" spans="1:11" x14ac:dyDescent="0.25">
      <c r="A17494" s="5">
        <f>17487</f>
      </c>
      <c r="B17494" s="5" t="s">
        <v>17502</v>
      </c>
      <c r="C17494" s="5">
        <v>119.7</v>
      </c>
      <c r="D17494" s="5">
        <v>0.1</v>
      </c>
      <c r="E17494" s="5">
        <v>119.9</v>
      </c>
      <c r="F17494" s="5">
        <v>236.9</v>
      </c>
      <c r="G17494" s="5">
        <v>117.3</v>
      </c>
      <c r="H17494" s="5">
        <v>117.2</v>
      </c>
      <c r="I17494" s="5"/>
      <c r="J17494" s="5"/>
      <c r="K17494" s="5"/>
    </row>
    <row r="17495" spans="1:11" x14ac:dyDescent="0.25">
      <c r="A17495" s="5">
        <f>17488</f>
      </c>
      <c r="B17495" s="5" t="s">
        <v>17503</v>
      </c>
      <c r="C17495" s="5">
        <v>119.7</v>
      </c>
      <c r="D17495" s="5">
        <v>0.1</v>
      </c>
      <c r="E17495" s="5">
        <v>119.9</v>
      </c>
      <c r="F17495" s="5">
        <v>236.9</v>
      </c>
      <c r="G17495" s="5">
        <v>117.3</v>
      </c>
      <c r="H17495" s="5">
        <v>117.2</v>
      </c>
      <c r="I17495" s="5"/>
      <c r="J17495" s="5"/>
      <c r="K17495" s="5"/>
    </row>
    <row r="17496" spans="1:11" x14ac:dyDescent="0.25">
      <c r="A17496" s="5">
        <f>17489</f>
      </c>
      <c r="B17496" s="5" t="s">
        <v>17504</v>
      </c>
      <c r="C17496" s="5">
        <v>119.8</v>
      </c>
      <c r="D17496" s="5">
        <v>0.1</v>
      </c>
      <c r="E17496" s="5">
        <v>119.9</v>
      </c>
      <c r="F17496" s="5">
        <v>237.3</v>
      </c>
      <c r="G17496" s="5">
        <v>117.5</v>
      </c>
      <c r="H17496" s="5">
        <v>117.4</v>
      </c>
      <c r="I17496" s="5"/>
      <c r="J17496" s="5"/>
      <c r="K17496" s="5"/>
    </row>
    <row r="17497" spans="1:11" x14ac:dyDescent="0.25">
      <c r="A17497" s="5">
        <f>17490</f>
      </c>
      <c r="B17497" s="5" t="s">
        <v>17505</v>
      </c>
      <c r="C17497" s="5">
        <v>119.8</v>
      </c>
      <c r="D17497" s="5">
        <v>0.1</v>
      </c>
      <c r="E17497" s="5">
        <v>119.9</v>
      </c>
      <c r="F17497" s="5">
        <v>237.3</v>
      </c>
      <c r="G17497" s="5">
        <v>117.5</v>
      </c>
      <c r="H17497" s="5">
        <v>117.4</v>
      </c>
      <c r="I17497" s="5"/>
      <c r="J17497" s="5"/>
      <c r="K17497" s="5"/>
    </row>
    <row r="17498" spans="1:11" x14ac:dyDescent="0.25">
      <c r="A17498" s="5">
        <f>17491</f>
      </c>
      <c r="B17498" s="5" t="s">
        <v>17506</v>
      </c>
      <c r="C17498" s="5">
        <v>120.1</v>
      </c>
      <c r="D17498" s="5">
        <v>0.1</v>
      </c>
      <c r="E17498" s="5">
        <v>120.2</v>
      </c>
      <c r="F17498" s="5">
        <v>237.5</v>
      </c>
      <c r="G17498" s="5">
        <v>117.6</v>
      </c>
      <c r="H17498" s="5">
        <v>117.4</v>
      </c>
      <c r="I17498" s="5"/>
      <c r="J17498" s="5"/>
      <c r="K17498" s="5"/>
    </row>
    <row r="17499" spans="1:11" x14ac:dyDescent="0.25">
      <c r="A17499" s="5">
        <f>17492</f>
      </c>
      <c r="B17499" s="5" t="s">
        <v>17507</v>
      </c>
      <c r="C17499" s="5">
        <v>120.1</v>
      </c>
      <c r="D17499" s="5">
        <v>0.1</v>
      </c>
      <c r="E17499" s="5">
        <v>120.2</v>
      </c>
      <c r="F17499" s="5">
        <v>237.5</v>
      </c>
      <c r="G17499" s="5">
        <v>117.6</v>
      </c>
      <c r="H17499" s="5">
        <v>117.4</v>
      </c>
      <c r="I17499" s="5"/>
      <c r="J17499" s="5"/>
      <c r="K17499" s="5"/>
    </row>
    <row r="17500" spans="1:11" x14ac:dyDescent="0.25">
      <c r="A17500" s="5">
        <f>17493</f>
      </c>
      <c r="B17500" s="5" t="s">
        <v>17508</v>
      </c>
      <c r="C17500" s="5">
        <v>119.6</v>
      </c>
      <c r="D17500" s="5">
        <v>0.1</v>
      </c>
      <c r="E17500" s="5">
        <v>119.9</v>
      </c>
      <c r="F17500" s="5">
        <v>237.3</v>
      </c>
      <c r="G17500" s="5">
        <v>117.5</v>
      </c>
      <c r="H17500" s="5">
        <v>117.3</v>
      </c>
      <c r="I17500" s="5"/>
      <c r="J17500" s="5"/>
      <c r="K17500" s="5"/>
    </row>
    <row r="17501" spans="1:11" x14ac:dyDescent="0.25">
      <c r="A17501" s="5">
        <f>17494</f>
      </c>
      <c r="B17501" s="5" t="s">
        <v>17509</v>
      </c>
      <c r="C17501" s="5">
        <v>119.6</v>
      </c>
      <c r="D17501" s="5">
        <v>0.1</v>
      </c>
      <c r="E17501" s="5">
        <v>119.9</v>
      </c>
      <c r="F17501" s="5">
        <v>237.3</v>
      </c>
      <c r="G17501" s="5">
        <v>117.5</v>
      </c>
      <c r="H17501" s="5">
        <v>117.3</v>
      </c>
      <c r="I17501" s="5"/>
      <c r="J17501" s="5"/>
      <c r="K17501" s="5"/>
    </row>
    <row r="17502" spans="1:11" x14ac:dyDescent="0.25">
      <c r="A17502" s="5">
        <f>17495</f>
      </c>
      <c r="B17502" s="5" t="s">
        <v>17510</v>
      </c>
      <c r="C17502" s="5">
        <v>119.6</v>
      </c>
      <c r="D17502" s="5">
        <v>0.1</v>
      </c>
      <c r="E17502" s="5">
        <v>119.9</v>
      </c>
      <c r="F17502" s="5">
        <v>237.3</v>
      </c>
      <c r="G17502" s="5">
        <v>117.5</v>
      </c>
      <c r="H17502" s="5">
        <v>117.3</v>
      </c>
      <c r="I17502" s="5"/>
      <c r="J17502" s="5"/>
      <c r="K17502" s="5"/>
    </row>
    <row r="17503" spans="1:11" x14ac:dyDescent="0.25">
      <c r="A17503" s="5">
        <f>17496</f>
      </c>
      <c r="B17503" s="5" t="s">
        <v>17511</v>
      </c>
      <c r="C17503" s="5">
        <v>119.6</v>
      </c>
      <c r="D17503" s="5">
        <v>0.1</v>
      </c>
      <c r="E17503" s="5">
        <v>119.9</v>
      </c>
      <c r="F17503" s="5">
        <v>237.3</v>
      </c>
      <c r="G17503" s="5">
        <v>117.5</v>
      </c>
      <c r="H17503" s="5">
        <v>117.3</v>
      </c>
      <c r="I17503" s="5"/>
      <c r="J17503" s="5"/>
      <c r="K17503" s="5"/>
    </row>
    <row r="17504" spans="1:11" x14ac:dyDescent="0.25">
      <c r="A17504" s="5">
        <f>17497</f>
      </c>
      <c r="B17504" s="5" t="s">
        <v>17512</v>
      </c>
      <c r="C17504" s="5">
        <v>120.1</v>
      </c>
      <c r="D17504" s="5">
        <v>0.1</v>
      </c>
      <c r="E17504" s="5">
        <v>120.2</v>
      </c>
      <c r="F17504" s="5">
        <v>237.8</v>
      </c>
      <c r="G17504" s="5">
        <v>117.7</v>
      </c>
      <c r="H17504" s="5">
        <v>117.6</v>
      </c>
      <c r="I17504" s="5"/>
      <c r="J17504" s="5"/>
      <c r="K17504" s="5"/>
    </row>
    <row r="17505" spans="1:11" x14ac:dyDescent="0.25">
      <c r="A17505" s="5">
        <f>17498</f>
      </c>
      <c r="B17505" s="5" t="s">
        <v>17513</v>
      </c>
      <c r="C17505" s="5">
        <v>120.1</v>
      </c>
      <c r="D17505" s="5">
        <v>0.1</v>
      </c>
      <c r="E17505" s="5">
        <v>120.2</v>
      </c>
      <c r="F17505" s="5">
        <v>237.8</v>
      </c>
      <c r="G17505" s="5">
        <v>117.7</v>
      </c>
      <c r="H17505" s="5">
        <v>117.6</v>
      </c>
      <c r="I17505" s="5"/>
      <c r="J17505" s="5"/>
      <c r="K17505" s="5"/>
    </row>
    <row r="17506" spans="1:11" x14ac:dyDescent="0.25">
      <c r="A17506" s="5">
        <f>17499</f>
      </c>
      <c r="B17506" s="5" t="s">
        <v>17514</v>
      </c>
      <c r="C17506" s="5">
        <v>119.9</v>
      </c>
      <c r="D17506" s="5">
        <v>0.1</v>
      </c>
      <c r="E17506" s="5">
        <v>120.2</v>
      </c>
      <c r="F17506" s="5">
        <v>237.9</v>
      </c>
      <c r="G17506" s="5">
        <v>117.8</v>
      </c>
      <c r="H17506" s="5">
        <v>117.7</v>
      </c>
      <c r="I17506" s="5"/>
      <c r="J17506" s="5"/>
      <c r="K17506" s="5"/>
    </row>
    <row r="17507" spans="1:11" x14ac:dyDescent="0.25">
      <c r="A17507" s="5">
        <f>17500</f>
      </c>
      <c r="B17507" s="5" t="s">
        <v>17515</v>
      </c>
      <c r="C17507" s="5">
        <v>119.9</v>
      </c>
      <c r="D17507" s="5">
        <v>0.1</v>
      </c>
      <c r="E17507" s="5">
        <v>120.2</v>
      </c>
      <c r="F17507" s="5">
        <v>237.9</v>
      </c>
      <c r="G17507" s="5">
        <v>117.8</v>
      </c>
      <c r="H17507" s="5">
        <v>117.7</v>
      </c>
      <c r="I17507" s="5"/>
      <c r="J17507" s="5"/>
      <c r="K17507" s="5"/>
    </row>
    <row r="17508" spans="1:11" x14ac:dyDescent="0.25">
      <c r="A17508" s="5">
        <f>17501</f>
      </c>
      <c r="B17508" s="5" t="s">
        <v>17516</v>
      </c>
      <c r="C17508" s="5">
        <v>119.9</v>
      </c>
      <c r="D17508" s="5">
        <v>0.1</v>
      </c>
      <c r="E17508" s="5">
        <v>120.2</v>
      </c>
      <c r="F17508" s="5">
        <v>237.7</v>
      </c>
      <c r="G17508" s="5">
        <v>117.7</v>
      </c>
      <c r="H17508" s="5">
        <v>117.5</v>
      </c>
      <c r="I17508" s="5"/>
      <c r="J17508" s="5"/>
      <c r="K17508" s="5"/>
    </row>
    <row r="17509" spans="1:11" x14ac:dyDescent="0.25">
      <c r="A17509" s="5">
        <f>17502</f>
      </c>
      <c r="B17509" s="5" t="s">
        <v>17517</v>
      </c>
      <c r="C17509" s="5">
        <v>119.9</v>
      </c>
      <c r="D17509" s="5">
        <v>0.1</v>
      </c>
      <c r="E17509" s="5">
        <v>120.2</v>
      </c>
      <c r="F17509" s="5">
        <v>237.7</v>
      </c>
      <c r="G17509" s="5">
        <v>117.7</v>
      </c>
      <c r="H17509" s="5">
        <v>117.5</v>
      </c>
      <c r="I17509" s="5"/>
      <c r="J17509" s="5"/>
      <c r="K17509" s="5"/>
    </row>
    <row r="17510" spans="1:11" x14ac:dyDescent="0.25">
      <c r="A17510" s="5">
        <f>17503</f>
      </c>
      <c r="B17510" s="5" t="s">
        <v>17518</v>
      </c>
      <c r="C17510" s="5">
        <v>120.2</v>
      </c>
      <c r="D17510" s="5">
        <v>0.1</v>
      </c>
      <c r="E17510" s="5">
        <v>120.4</v>
      </c>
      <c r="F17510" s="5">
        <v>238.2</v>
      </c>
      <c r="G17510" s="5">
        <v>117.9</v>
      </c>
      <c r="H17510" s="5">
        <v>117.8</v>
      </c>
      <c r="I17510" s="5"/>
      <c r="J17510" s="5"/>
      <c r="K17510" s="5"/>
    </row>
    <row r="17511" spans="1:11" x14ac:dyDescent="0.25">
      <c r="A17511" s="5">
        <f>17504</f>
      </c>
      <c r="B17511" s="5" t="s">
        <v>17519</v>
      </c>
      <c r="C17511" s="5">
        <v>120.2</v>
      </c>
      <c r="D17511" s="5">
        <v>0.1</v>
      </c>
      <c r="E17511" s="5">
        <v>120.4</v>
      </c>
      <c r="F17511" s="5">
        <v>238.2</v>
      </c>
      <c r="G17511" s="5">
        <v>117.9</v>
      </c>
      <c r="H17511" s="5">
        <v>117.8</v>
      </c>
      <c r="I17511" s="5"/>
      <c r="J17511" s="5"/>
      <c r="K17511" s="5"/>
    </row>
    <row r="17512" spans="1:11" x14ac:dyDescent="0.25">
      <c r="A17512" s="5">
        <f>17505</f>
      </c>
      <c r="B17512" s="5" t="s">
        <v>17520</v>
      </c>
      <c r="C17512" s="5">
        <v>120.2</v>
      </c>
      <c r="D17512" s="5">
        <v>0.1</v>
      </c>
      <c r="E17512" s="5">
        <v>120.4</v>
      </c>
      <c r="F17512" s="5">
        <v>238.2</v>
      </c>
      <c r="G17512" s="5">
        <v>117.9</v>
      </c>
      <c r="H17512" s="5">
        <v>117.8</v>
      </c>
      <c r="I17512" s="5"/>
      <c r="J17512" s="5"/>
      <c r="K17512" s="5"/>
    </row>
    <row r="17513" spans="1:11" x14ac:dyDescent="0.25">
      <c r="A17513" s="5">
        <f>17506</f>
      </c>
      <c r="B17513" s="5" t="s">
        <v>17521</v>
      </c>
      <c r="C17513" s="5">
        <v>120.2</v>
      </c>
      <c r="D17513" s="5">
        <v>0.1</v>
      </c>
      <c r="E17513" s="5">
        <v>120.4</v>
      </c>
      <c r="F17513" s="5">
        <v>238.2</v>
      </c>
      <c r="G17513" s="5">
        <v>117.9</v>
      </c>
      <c r="H17513" s="5">
        <v>117.8</v>
      </c>
      <c r="I17513" s="5"/>
      <c r="J17513" s="5"/>
      <c r="K17513" s="5"/>
    </row>
    <row r="17514" spans="1:11" x14ac:dyDescent="0.25">
      <c r="A17514" s="5">
        <f>17507</f>
      </c>
      <c r="B17514" s="5" t="s">
        <v>17522</v>
      </c>
      <c r="C17514" s="5">
        <v>120</v>
      </c>
      <c r="D17514" s="5">
        <v>0.1</v>
      </c>
      <c r="E17514" s="5">
        <v>120.2</v>
      </c>
      <c r="F17514" s="5">
        <v>237.5</v>
      </c>
      <c r="G17514" s="5">
        <v>117.7</v>
      </c>
      <c r="H17514" s="5">
        <v>117.6</v>
      </c>
      <c r="I17514" s="5"/>
      <c r="J17514" s="5"/>
      <c r="K17514" s="5"/>
    </row>
    <row r="17515" spans="1:11" x14ac:dyDescent="0.25">
      <c r="A17515" s="5">
        <f>17508</f>
      </c>
      <c r="B17515" s="5" t="s">
        <v>17523</v>
      </c>
      <c r="C17515" s="5">
        <v>120</v>
      </c>
      <c r="D17515" s="5">
        <v>0.1</v>
      </c>
      <c r="E17515" s="5">
        <v>120.2</v>
      </c>
      <c r="F17515" s="5">
        <v>237.5</v>
      </c>
      <c r="G17515" s="5">
        <v>117.7</v>
      </c>
      <c r="H17515" s="5">
        <v>117.6</v>
      </c>
      <c r="I17515" s="5"/>
      <c r="J17515" s="5"/>
      <c r="K17515" s="5"/>
    </row>
    <row r="17516" spans="1:11" x14ac:dyDescent="0.25">
      <c r="A17516" s="5">
        <f>17509</f>
      </c>
      <c r="B17516" s="5" t="s">
        <v>17524</v>
      </c>
      <c r="C17516" s="5">
        <v>119.6</v>
      </c>
      <c r="D17516" s="5">
        <v>0.1</v>
      </c>
      <c r="E17516" s="5">
        <v>119.8</v>
      </c>
      <c r="F17516" s="5">
        <v>237.2</v>
      </c>
      <c r="G17516" s="5">
        <v>117.4</v>
      </c>
      <c r="H17516" s="5">
        <v>117.6</v>
      </c>
      <c r="I17516" s="5"/>
      <c r="J17516" s="5"/>
      <c r="K17516" s="5"/>
    </row>
    <row r="17517" spans="1:11" x14ac:dyDescent="0.25">
      <c r="A17517" s="5">
        <f>17510</f>
      </c>
      <c r="B17517" s="5" t="s">
        <v>17525</v>
      </c>
      <c r="C17517" s="5">
        <v>119.6</v>
      </c>
      <c r="D17517" s="5">
        <v>0.1</v>
      </c>
      <c r="E17517" s="5">
        <v>119.8</v>
      </c>
      <c r="F17517" s="5">
        <v>237.2</v>
      </c>
      <c r="G17517" s="5">
        <v>117.4</v>
      </c>
      <c r="H17517" s="5">
        <v>117.2</v>
      </c>
      <c r="I17517" s="5"/>
      <c r="J17517" s="5"/>
      <c r="K17517" s="5"/>
    </row>
    <row r="17518" spans="1:11" x14ac:dyDescent="0.25">
      <c r="A17518" s="5">
        <f>17511</f>
      </c>
      <c r="B17518" s="5" t="s">
        <v>17526</v>
      </c>
      <c r="C17518" s="5">
        <v>119.5</v>
      </c>
      <c r="D17518" s="5">
        <v>0.1</v>
      </c>
      <c r="E17518" s="5">
        <v>119.6</v>
      </c>
      <c r="F17518" s="5">
        <v>237</v>
      </c>
      <c r="G17518" s="5">
        <v>117.3</v>
      </c>
      <c r="H17518" s="5">
        <v>117.2</v>
      </c>
      <c r="I17518" s="5"/>
      <c r="J17518" s="5"/>
      <c r="K17518" s="5"/>
    </row>
    <row r="17519" spans="1:11" x14ac:dyDescent="0.25">
      <c r="A17519" s="5">
        <f>17512</f>
      </c>
      <c r="B17519" s="5" t="s">
        <v>17527</v>
      </c>
      <c r="C17519" s="5">
        <v>119.5</v>
      </c>
      <c r="D17519" s="5">
        <v>0.1</v>
      </c>
      <c r="E17519" s="5">
        <v>119.6</v>
      </c>
      <c r="F17519" s="5">
        <v>237</v>
      </c>
      <c r="G17519" s="5">
        <v>117.3</v>
      </c>
      <c r="H17519" s="5">
        <v>117.2</v>
      </c>
      <c r="I17519" s="5"/>
      <c r="J17519" s="5"/>
      <c r="K17519" s="5"/>
    </row>
    <row r="17520" spans="1:11" x14ac:dyDescent="0.25">
      <c r="A17520" s="5">
        <f>17513</f>
      </c>
      <c r="B17520" s="5" t="s">
        <v>17528</v>
      </c>
      <c r="C17520" s="5">
        <v>119.9</v>
      </c>
      <c r="D17520" s="5">
        <v>0.1</v>
      </c>
      <c r="E17520" s="5">
        <v>119.6</v>
      </c>
      <c r="F17520" s="5">
        <v>237</v>
      </c>
      <c r="G17520" s="5">
        <v>117.3</v>
      </c>
      <c r="H17520" s="5">
        <v>117.2</v>
      </c>
      <c r="I17520" s="5"/>
      <c r="J17520" s="5"/>
      <c r="K17520" s="5"/>
    </row>
    <row r="17521" spans="1:11" x14ac:dyDescent="0.25">
      <c r="A17521" s="5">
        <f>17514</f>
      </c>
      <c r="B17521" s="5" t="s">
        <v>17529</v>
      </c>
      <c r="C17521" s="5">
        <v>119.9</v>
      </c>
      <c r="D17521" s="5">
        <v>0.1</v>
      </c>
      <c r="E17521" s="5">
        <v>120.1</v>
      </c>
      <c r="F17521" s="5">
        <v>237.7</v>
      </c>
      <c r="G17521" s="5">
        <v>117.6</v>
      </c>
      <c r="H17521" s="5">
        <v>117.5</v>
      </c>
      <c r="I17521" s="5"/>
      <c r="J17521" s="5"/>
      <c r="K17521" s="5"/>
    </row>
    <row r="17522" spans="1:11" x14ac:dyDescent="0.25">
      <c r="A17522" s="5">
        <f>17515</f>
      </c>
      <c r="B17522" s="5" t="s">
        <v>17530</v>
      </c>
      <c r="C17522" s="5">
        <v>119.9</v>
      </c>
      <c r="D17522" s="5">
        <v>0.1</v>
      </c>
      <c r="E17522" s="5">
        <v>120.1</v>
      </c>
      <c r="F17522" s="5">
        <v>237.7</v>
      </c>
      <c r="G17522" s="5">
        <v>117.6</v>
      </c>
      <c r="H17522" s="5">
        <v>117.5</v>
      </c>
      <c r="I17522" s="5"/>
      <c r="J17522" s="5"/>
      <c r="K17522" s="5"/>
    </row>
    <row r="17523" spans="1:11" x14ac:dyDescent="0.25">
      <c r="A17523" s="5">
        <f>17516</f>
      </c>
      <c r="B17523" s="5" t="s">
        <v>17531</v>
      </c>
      <c r="C17523" s="5">
        <v>119.9</v>
      </c>
      <c r="D17523" s="5">
        <v>0.1</v>
      </c>
      <c r="E17523" s="5">
        <v>120.1</v>
      </c>
      <c r="F17523" s="5">
        <v>237.7</v>
      </c>
      <c r="G17523" s="5">
        <v>117.6</v>
      </c>
      <c r="H17523" s="5">
        <v>117.5</v>
      </c>
      <c r="I17523" s="5"/>
      <c r="J17523" s="5"/>
      <c r="K17523" s="5"/>
    </row>
    <row r="17524" spans="1:11" x14ac:dyDescent="0.25">
      <c r="A17524" s="5">
        <f>17517</f>
      </c>
      <c r="B17524" s="5" t="s">
        <v>17532</v>
      </c>
      <c r="C17524" s="5">
        <v>119.9</v>
      </c>
      <c r="D17524" s="5">
        <v>0.1</v>
      </c>
      <c r="E17524" s="5">
        <v>120.1</v>
      </c>
      <c r="F17524" s="5">
        <v>238</v>
      </c>
      <c r="G17524" s="5">
        <v>117.8</v>
      </c>
      <c r="H17524" s="5">
        <v>117.7</v>
      </c>
      <c r="I17524" s="5"/>
      <c r="J17524" s="5"/>
      <c r="K17524" s="5"/>
    </row>
    <row r="17525" spans="1:11" x14ac:dyDescent="0.25">
      <c r="A17525" s="5">
        <f>17518</f>
      </c>
      <c r="B17525" s="5" t="s">
        <v>17533</v>
      </c>
      <c r="C17525" s="5">
        <v>119.9</v>
      </c>
      <c r="D17525" s="5">
        <v>0.1</v>
      </c>
      <c r="E17525" s="5">
        <v>120.1</v>
      </c>
      <c r="F17525" s="5">
        <v>238</v>
      </c>
      <c r="G17525" s="5">
        <v>117.8</v>
      </c>
      <c r="H17525" s="5">
        <v>117.7</v>
      </c>
      <c r="I17525" s="5"/>
      <c r="J17525" s="5"/>
      <c r="K17525" s="5"/>
    </row>
    <row r="17526" spans="1:11" x14ac:dyDescent="0.25">
      <c r="A17526" s="5">
        <f>17519</f>
      </c>
      <c r="B17526" s="5" t="s">
        <v>17534</v>
      </c>
      <c r="C17526" s="5">
        <v>120</v>
      </c>
      <c r="D17526" s="5">
        <v>0.1</v>
      </c>
      <c r="E17526" s="5">
        <v>120.2</v>
      </c>
      <c r="F17526" s="5">
        <v>237.9</v>
      </c>
      <c r="G17526" s="5">
        <v>117.9</v>
      </c>
      <c r="H17526" s="5">
        <v>117.8</v>
      </c>
      <c r="I17526" s="5"/>
      <c r="J17526" s="5"/>
      <c r="K17526" s="5"/>
    </row>
    <row r="17527" spans="1:11" x14ac:dyDescent="0.25">
      <c r="A17527" s="5">
        <f>17520</f>
      </c>
      <c r="B17527" s="5" t="s">
        <v>17535</v>
      </c>
      <c r="C17527" s="5">
        <v>120</v>
      </c>
      <c r="D17527" s="5">
        <v>0.1</v>
      </c>
      <c r="E17527" s="5">
        <v>120.2</v>
      </c>
      <c r="F17527" s="5">
        <v>237.9</v>
      </c>
      <c r="G17527" s="5">
        <v>117.9</v>
      </c>
      <c r="H17527" s="5">
        <v>117.8</v>
      </c>
      <c r="I17527" s="5"/>
      <c r="J17527" s="5"/>
      <c r="K17527" s="5"/>
    </row>
    <row r="17528" spans="1:11" x14ac:dyDescent="0.25">
      <c r="A17528" s="5">
        <f>17521</f>
      </c>
      <c r="B17528" s="5" t="s">
        <v>17536</v>
      </c>
      <c r="C17528" s="5">
        <v>120</v>
      </c>
      <c r="D17528" s="5">
        <v>0.1</v>
      </c>
      <c r="E17528" s="5">
        <v>120.2</v>
      </c>
      <c r="F17528" s="5">
        <v>238</v>
      </c>
      <c r="G17528" s="5">
        <v>117.8</v>
      </c>
      <c r="H17528" s="5">
        <v>117.6</v>
      </c>
      <c r="I17528" s="5"/>
      <c r="J17528" s="5"/>
      <c r="K17528" s="5"/>
    </row>
    <row r="17529" spans="1:11" x14ac:dyDescent="0.25">
      <c r="A17529" s="5">
        <f>17522</f>
      </c>
      <c r="B17529" s="5" t="s">
        <v>17537</v>
      </c>
      <c r="C17529" s="5">
        <v>120</v>
      </c>
      <c r="D17529" s="5">
        <v>0.1</v>
      </c>
      <c r="E17529" s="5">
        <v>120.2</v>
      </c>
      <c r="F17529" s="5">
        <v>238</v>
      </c>
      <c r="G17529" s="5">
        <v>117.8</v>
      </c>
      <c r="H17529" s="5">
        <v>117.6</v>
      </c>
      <c r="I17529" s="5"/>
      <c r="J17529" s="5"/>
      <c r="K17529" s="5"/>
    </row>
    <row r="17530" spans="1:11" x14ac:dyDescent="0.25">
      <c r="A17530" s="5">
        <f>17523</f>
      </c>
      <c r="B17530" s="5" t="s">
        <v>17538</v>
      </c>
      <c r="C17530" s="5">
        <v>120.1</v>
      </c>
      <c r="D17530" s="5">
        <v>0.1</v>
      </c>
      <c r="E17530" s="5">
        <v>120.2</v>
      </c>
      <c r="F17530" s="5">
        <v>237.8</v>
      </c>
      <c r="G17530" s="5">
        <v>117.7</v>
      </c>
      <c r="H17530" s="5">
        <v>117.6</v>
      </c>
      <c r="I17530" s="5"/>
      <c r="J17530" s="5"/>
      <c r="K17530" s="5"/>
    </row>
    <row r="17531" spans="1:11" x14ac:dyDescent="0.25">
      <c r="A17531" s="5">
        <f>17524</f>
      </c>
      <c r="B17531" s="5" t="s">
        <v>17539</v>
      </c>
      <c r="C17531" s="5">
        <v>120.1</v>
      </c>
      <c r="D17531" s="5">
        <v>0.1</v>
      </c>
      <c r="E17531" s="5">
        <v>120.2</v>
      </c>
      <c r="F17531" s="5">
        <v>237.8</v>
      </c>
      <c r="G17531" s="5">
        <v>117.7</v>
      </c>
      <c r="H17531" s="5">
        <v>117.6</v>
      </c>
      <c r="I17531" s="5"/>
      <c r="J17531" s="5"/>
      <c r="K17531" s="5"/>
    </row>
    <row r="17532" spans="1:11" x14ac:dyDescent="0.25">
      <c r="A17532" s="5">
        <f>17525</f>
      </c>
      <c r="B17532" s="5" t="s">
        <v>17540</v>
      </c>
      <c r="C17532" s="5">
        <v>120.1</v>
      </c>
      <c r="D17532" s="5">
        <v>0.1</v>
      </c>
      <c r="E17532" s="5">
        <v>120.2</v>
      </c>
      <c r="F17532" s="5">
        <v>237.8</v>
      </c>
      <c r="G17532" s="5">
        <v>117.7</v>
      </c>
      <c r="H17532" s="5">
        <v>117.6</v>
      </c>
      <c r="I17532" s="5"/>
      <c r="J17532" s="5"/>
      <c r="K17532" s="5"/>
    </row>
    <row r="17533" spans="1:11" x14ac:dyDescent="0.25">
      <c r="A17533" s="5">
        <f>17526</f>
      </c>
      <c r="B17533" s="5" t="s">
        <v>17541</v>
      </c>
      <c r="C17533" s="5">
        <v>120.1</v>
      </c>
      <c r="D17533" s="5">
        <v>0.1</v>
      </c>
      <c r="E17533" s="5">
        <v>120.2</v>
      </c>
      <c r="F17533" s="5">
        <v>237.8</v>
      </c>
      <c r="G17533" s="5">
        <v>117.7</v>
      </c>
      <c r="H17533" s="5">
        <v>117.6</v>
      </c>
      <c r="I17533" s="5"/>
      <c r="J17533" s="5"/>
      <c r="K17533" s="5"/>
    </row>
    <row r="17534" spans="1:11" x14ac:dyDescent="0.25">
      <c r="A17534" s="5">
        <f>17527</f>
      </c>
      <c r="B17534" s="5" t="s">
        <v>17542</v>
      </c>
      <c r="C17534" s="5">
        <v>119.8</v>
      </c>
      <c r="D17534" s="5">
        <v>0.1</v>
      </c>
      <c r="E17534" s="5">
        <v>120</v>
      </c>
      <c r="F17534" s="5">
        <v>237.7</v>
      </c>
      <c r="G17534" s="5">
        <v>117.7</v>
      </c>
      <c r="H17534" s="5">
        <v>117.5</v>
      </c>
      <c r="I17534" s="5"/>
      <c r="J17534" s="5"/>
      <c r="K17534" s="5"/>
    </row>
    <row r="17535" spans="1:11" x14ac:dyDescent="0.25">
      <c r="A17535" s="5">
        <f>17528</f>
      </c>
      <c r="B17535" s="5" t="s">
        <v>17543</v>
      </c>
      <c r="C17535" s="5">
        <v>119.8</v>
      </c>
      <c r="D17535" s="5">
        <v>0.1</v>
      </c>
      <c r="E17535" s="5">
        <v>120</v>
      </c>
      <c r="F17535" s="5">
        <v>237.7</v>
      </c>
      <c r="G17535" s="5">
        <v>117.7</v>
      </c>
      <c r="H17535" s="5">
        <v>117.5</v>
      </c>
      <c r="I17535" s="5"/>
      <c r="J17535" s="5"/>
      <c r="K17535" s="5"/>
    </row>
    <row r="17536" spans="1:11" x14ac:dyDescent="0.25">
      <c r="A17536" s="5">
        <f>17529</f>
      </c>
      <c r="B17536" s="5" t="s">
        <v>17544</v>
      </c>
      <c r="C17536" s="5">
        <v>119.9</v>
      </c>
      <c r="D17536" s="5">
        <v>0.1</v>
      </c>
      <c r="E17536" s="5">
        <v>120</v>
      </c>
      <c r="F17536" s="5">
        <v>237.9</v>
      </c>
      <c r="G17536" s="5">
        <v>117.8</v>
      </c>
      <c r="H17536" s="5">
        <v>117.6</v>
      </c>
      <c r="I17536" s="5"/>
      <c r="J17536" s="5"/>
      <c r="K17536" s="5"/>
    </row>
    <row r="17537" spans="1:11" x14ac:dyDescent="0.25">
      <c r="A17537" s="5">
        <f>17530</f>
      </c>
      <c r="B17537" s="5" t="s">
        <v>17545</v>
      </c>
      <c r="C17537" s="5">
        <v>119.9</v>
      </c>
      <c r="D17537" s="5">
        <v>0.1</v>
      </c>
      <c r="E17537" s="5">
        <v>120</v>
      </c>
      <c r="F17537" s="5">
        <v>237.9</v>
      </c>
      <c r="G17537" s="5">
        <v>117.8</v>
      </c>
      <c r="H17537" s="5">
        <v>117.6</v>
      </c>
      <c r="I17537" s="5"/>
      <c r="J17537" s="5"/>
      <c r="K17537" s="5"/>
    </row>
    <row r="17538" spans="1:11" x14ac:dyDescent="0.25">
      <c r="A17538" s="5">
        <f>17531</f>
      </c>
      <c r="B17538" s="5" t="s">
        <v>17546</v>
      </c>
      <c r="C17538" s="5">
        <v>119.9</v>
      </c>
      <c r="D17538" s="5">
        <v>0.1</v>
      </c>
      <c r="E17538" s="5">
        <v>120.1</v>
      </c>
      <c r="F17538" s="5">
        <v>237.6</v>
      </c>
      <c r="G17538" s="5">
        <v>117.6</v>
      </c>
      <c r="H17538" s="5">
        <v>117.4</v>
      </c>
      <c r="I17538" s="5"/>
      <c r="J17538" s="5"/>
      <c r="K17538" s="5"/>
    </row>
    <row r="17539" spans="1:11" x14ac:dyDescent="0.25">
      <c r="A17539" s="5">
        <f>17532</f>
      </c>
      <c r="B17539" s="5" t="s">
        <v>17547</v>
      </c>
      <c r="C17539" s="5">
        <v>119.9</v>
      </c>
      <c r="D17539" s="5">
        <v>0.1</v>
      </c>
      <c r="E17539" s="5">
        <v>120.1</v>
      </c>
      <c r="F17539" s="5">
        <v>237.6</v>
      </c>
      <c r="G17539" s="5">
        <v>117.6</v>
      </c>
      <c r="H17539" s="5">
        <v>117.4</v>
      </c>
      <c r="I17539" s="5"/>
      <c r="J17539" s="5"/>
      <c r="K17539" s="5"/>
    </row>
    <row r="17540" spans="1:11" x14ac:dyDescent="0.25">
      <c r="A17540" s="5">
        <f>17533</f>
      </c>
      <c r="B17540" s="5" t="s">
        <v>17548</v>
      </c>
      <c r="C17540" s="5">
        <v>120.2</v>
      </c>
      <c r="D17540" s="5">
        <v>0.1</v>
      </c>
      <c r="E17540" s="5">
        <v>120.4</v>
      </c>
      <c r="F17540" s="5">
        <v>237.8</v>
      </c>
      <c r="G17540" s="5">
        <v>117.7</v>
      </c>
      <c r="H17540" s="5">
        <v>117.5</v>
      </c>
      <c r="I17540" s="5"/>
      <c r="J17540" s="5"/>
      <c r="K17540" s="5"/>
    </row>
    <row r="17541" spans="1:11" x14ac:dyDescent="0.25">
      <c r="A17541" s="5">
        <f>17534</f>
      </c>
      <c r="B17541" s="5" t="s">
        <v>17549</v>
      </c>
      <c r="C17541" s="5">
        <v>120.2</v>
      </c>
      <c r="D17541" s="5">
        <v>0.1</v>
      </c>
      <c r="E17541" s="5">
        <v>120.4</v>
      </c>
      <c r="F17541" s="5">
        <v>237.8</v>
      </c>
      <c r="G17541" s="5">
        <v>117.7</v>
      </c>
      <c r="H17541" s="5">
        <v>117.5</v>
      </c>
      <c r="I17541" s="5"/>
      <c r="J17541" s="5"/>
      <c r="K17541" s="5"/>
    </row>
    <row r="17542" spans="1:11" x14ac:dyDescent="0.25">
      <c r="A17542" s="5">
        <f>17535</f>
      </c>
      <c r="B17542" s="5" t="s">
        <v>17550</v>
      </c>
      <c r="C17542" s="5">
        <v>120.2</v>
      </c>
      <c r="D17542" s="5">
        <v>0.1</v>
      </c>
      <c r="E17542" s="5">
        <v>120.4</v>
      </c>
      <c r="F17542" s="5">
        <v>237.8</v>
      </c>
      <c r="G17542" s="5">
        <v>117.7</v>
      </c>
      <c r="H17542" s="5">
        <v>117.5</v>
      </c>
      <c r="I17542" s="5"/>
      <c r="J17542" s="5"/>
      <c r="K17542" s="5"/>
    </row>
    <row r="17543" spans="1:11" x14ac:dyDescent="0.25">
      <c r="A17543" s="5">
        <f>17536</f>
      </c>
      <c r="B17543" s="5" t="s">
        <v>17551</v>
      </c>
      <c r="C17543" s="5">
        <v>120.2</v>
      </c>
      <c r="D17543" s="5">
        <v>0.1</v>
      </c>
      <c r="E17543" s="5">
        <v>120.4</v>
      </c>
      <c r="F17543" s="5">
        <v>237.8</v>
      </c>
      <c r="G17543" s="5">
        <v>117.7</v>
      </c>
      <c r="H17543" s="5">
        <v>117.5</v>
      </c>
      <c r="I17543" s="5"/>
      <c r="J17543" s="5"/>
      <c r="K17543" s="5"/>
    </row>
    <row r="17544" spans="1:11" x14ac:dyDescent="0.25">
      <c r="A17544" s="5">
        <f>17537</f>
      </c>
      <c r="B17544" s="5" t="s">
        <v>17552</v>
      </c>
      <c r="C17544" s="5">
        <v>124.7</v>
      </c>
      <c r="D17544" s="5">
        <v>0.1</v>
      </c>
      <c r="E17544" s="5">
        <v>124.8</v>
      </c>
      <c r="F17544" s="5">
        <v>246.7</v>
      </c>
      <c r="G17544" s="5">
        <v>122.1</v>
      </c>
      <c r="H17544" s="5">
        <v>122</v>
      </c>
      <c r="I17544" s="5"/>
      <c r="J17544" s="5"/>
      <c r="K17544" s="5"/>
    </row>
    <row r="17545" spans="1:11" x14ac:dyDescent="0.25">
      <c r="A17545" s="5">
        <f>17538</f>
      </c>
      <c r="B17545" s="5" t="s">
        <v>17553</v>
      </c>
      <c r="C17545" s="5">
        <v>124.7</v>
      </c>
      <c r="D17545" s="5">
        <v>0.1</v>
      </c>
      <c r="E17545" s="5">
        <v>124.8</v>
      </c>
      <c r="F17545" s="5">
        <v>246.7</v>
      </c>
      <c r="G17545" s="5">
        <v>122.1</v>
      </c>
      <c r="H17545" s="5">
        <v>122</v>
      </c>
      <c r="I17545" s="5"/>
      <c r="J17545" s="5"/>
      <c r="K17545" s="5"/>
    </row>
    <row r="17546" spans="1:11" x14ac:dyDescent="0.25">
      <c r="A17546" s="5">
        <f>17539</f>
      </c>
      <c r="B17546" s="5" t="s">
        <v>17554</v>
      </c>
      <c r="C17546" s="5">
        <v>124.2</v>
      </c>
      <c r="D17546" s="5">
        <v>0.1</v>
      </c>
      <c r="E17546" s="5">
        <v>124.4</v>
      </c>
      <c r="F17546" s="5">
        <v>246.1</v>
      </c>
      <c r="G17546" s="5">
        <v>121.8</v>
      </c>
      <c r="H17546" s="5">
        <v>121.6</v>
      </c>
      <c r="I17546" s="5"/>
      <c r="J17546" s="5"/>
      <c r="K17546" s="5"/>
    </row>
    <row r="17547" spans="1:11" x14ac:dyDescent="0.25">
      <c r="A17547" s="5">
        <f>17540</f>
      </c>
      <c r="B17547" s="5" t="s">
        <v>17555</v>
      </c>
      <c r="C17547" s="5">
        <v>124.2</v>
      </c>
      <c r="D17547" s="5">
        <v>0.1</v>
      </c>
      <c r="E17547" s="5">
        <v>124.4</v>
      </c>
      <c r="F17547" s="5">
        <v>246.1</v>
      </c>
      <c r="G17547" s="5">
        <v>121.8</v>
      </c>
      <c r="H17547" s="5">
        <v>121.6</v>
      </c>
      <c r="I17547" s="5"/>
      <c r="J17547" s="5"/>
      <c r="K17547" s="5"/>
    </row>
    <row r="17548" spans="1:11" x14ac:dyDescent="0.25">
      <c r="A17548" s="5">
        <f>17541</f>
      </c>
      <c r="B17548" s="5" t="s">
        <v>17556</v>
      </c>
      <c r="C17548" s="5">
        <v>124.1</v>
      </c>
      <c r="D17548" s="5">
        <v>0.1</v>
      </c>
      <c r="E17548" s="5">
        <v>124.3</v>
      </c>
      <c r="F17548" s="5">
        <v>246.4</v>
      </c>
      <c r="G17548" s="5">
        <v>122</v>
      </c>
      <c r="H17548" s="5">
        <v>121.9</v>
      </c>
      <c r="I17548" s="5"/>
      <c r="J17548" s="5"/>
      <c r="K17548" s="5"/>
    </row>
    <row r="17549" spans="1:11" x14ac:dyDescent="0.25">
      <c r="A17549" s="5">
        <f>17542</f>
      </c>
      <c r="B17549" s="5" t="s">
        <v>17557</v>
      </c>
      <c r="C17549" s="5">
        <v>124.1</v>
      </c>
      <c r="D17549" s="5">
        <v>0.1</v>
      </c>
      <c r="E17549" s="5">
        <v>124.3</v>
      </c>
      <c r="F17549" s="5">
        <v>246.4</v>
      </c>
      <c r="G17549" s="5">
        <v>122</v>
      </c>
      <c r="H17549" s="5">
        <v>121.9</v>
      </c>
      <c r="I17549" s="5"/>
      <c r="J17549" s="5"/>
      <c r="K17549" s="5"/>
    </row>
    <row r="17550" spans="1:11" x14ac:dyDescent="0.25">
      <c r="A17550" s="5">
        <f>17543</f>
      </c>
      <c r="B17550" s="5" t="s">
        <v>17558</v>
      </c>
      <c r="C17550" s="5">
        <v>124.7</v>
      </c>
      <c r="D17550" s="5">
        <v>0.1</v>
      </c>
      <c r="E17550" s="5">
        <v>124.8</v>
      </c>
      <c r="F17550" s="5">
        <v>246.7</v>
      </c>
      <c r="G17550" s="5">
        <v>122.1</v>
      </c>
      <c r="H17550" s="5">
        <v>122</v>
      </c>
      <c r="I17550" s="5"/>
      <c r="J17550" s="5"/>
      <c r="K17550" s="5"/>
    </row>
    <row r="17551" spans="1:11" x14ac:dyDescent="0.25">
      <c r="A17551" s="5">
        <f>17544</f>
      </c>
      <c r="B17551" s="5" t="s">
        <v>17559</v>
      </c>
      <c r="C17551" s="5">
        <v>124.7</v>
      </c>
      <c r="D17551" s="5">
        <v>0.1</v>
      </c>
      <c r="E17551" s="5">
        <v>124.8</v>
      </c>
      <c r="F17551" s="5">
        <v>246.7</v>
      </c>
      <c r="G17551" s="5">
        <v>122.1</v>
      </c>
      <c r="H17551" s="5">
        <v>122</v>
      </c>
      <c r="I17551" s="5"/>
      <c r="J17551" s="5"/>
      <c r="K17551" s="5"/>
    </row>
    <row r="17552" spans="1:11" x14ac:dyDescent="0.25">
      <c r="A17552" s="5">
        <f>17545</f>
      </c>
      <c r="B17552" s="5" t="s">
        <v>17560</v>
      </c>
      <c r="C17552" s="5">
        <v>124.7</v>
      </c>
      <c r="D17552" s="5">
        <v>0.1</v>
      </c>
      <c r="E17552" s="5">
        <v>124.8</v>
      </c>
      <c r="F17552" s="5">
        <v>246.7</v>
      </c>
      <c r="G17552" s="5">
        <v>122.1</v>
      </c>
      <c r="H17552" s="5">
        <v>122</v>
      </c>
      <c r="I17552" s="5"/>
      <c r="J17552" s="5"/>
      <c r="K17552" s="5"/>
    </row>
    <row r="17553" spans="1:11" x14ac:dyDescent="0.25">
      <c r="A17553" s="5">
        <f>17546</f>
      </c>
      <c r="B17553" s="5" t="s">
        <v>17561</v>
      </c>
      <c r="C17553" s="5">
        <v>124.7</v>
      </c>
      <c r="D17553" s="5">
        <v>0.1</v>
      </c>
      <c r="E17553" s="5">
        <v>124.8</v>
      </c>
      <c r="F17553" s="5">
        <v>246.7</v>
      </c>
      <c r="G17553" s="5">
        <v>122.1</v>
      </c>
      <c r="H17553" s="5">
        <v>122</v>
      </c>
      <c r="I17553" s="5"/>
      <c r="J17553" s="5"/>
      <c r="K17553" s="5"/>
    </row>
    <row r="17554" spans="1:11" x14ac:dyDescent="0.25">
      <c r="A17554" s="5">
        <f>17547</f>
      </c>
      <c r="B17554" s="5" t="s">
        <v>17562</v>
      </c>
      <c r="C17554" s="5">
        <v>124.4</v>
      </c>
      <c r="D17554" s="5">
        <v>0.1</v>
      </c>
      <c r="E17554" s="5">
        <v>124.6</v>
      </c>
      <c r="F17554" s="5">
        <v>246.6</v>
      </c>
      <c r="G17554" s="5">
        <v>122.1</v>
      </c>
      <c r="H17554" s="5">
        <v>121.9</v>
      </c>
      <c r="I17554" s="5"/>
      <c r="J17554" s="5"/>
      <c r="K17554" s="5"/>
    </row>
    <row r="17555" spans="1:11" x14ac:dyDescent="0.25">
      <c r="A17555" s="5">
        <f>17548</f>
      </c>
      <c r="B17555" s="5" t="s">
        <v>17563</v>
      </c>
      <c r="C17555" s="5">
        <v>124.4</v>
      </c>
      <c r="D17555" s="5">
        <v>0.1</v>
      </c>
      <c r="E17555" s="5">
        <v>124.6</v>
      </c>
      <c r="F17555" s="5">
        <v>246.6</v>
      </c>
      <c r="G17555" s="5">
        <v>122.1</v>
      </c>
      <c r="H17555" s="5">
        <v>121.9</v>
      </c>
      <c r="I17555" s="5"/>
      <c r="J17555" s="5"/>
      <c r="K17555" s="5"/>
    </row>
    <row r="17556" spans="1:11" x14ac:dyDescent="0.25">
      <c r="A17556" s="5">
        <f>17549</f>
      </c>
      <c r="B17556" s="5" t="s">
        <v>17564</v>
      </c>
      <c r="C17556" s="5">
        <v>124.7</v>
      </c>
      <c r="D17556" s="5">
        <v>0.1</v>
      </c>
      <c r="E17556" s="5">
        <v>124.8</v>
      </c>
      <c r="F17556" s="5">
        <v>247.1</v>
      </c>
      <c r="G17556" s="5">
        <v>122.3</v>
      </c>
      <c r="H17556" s="5">
        <v>122.1</v>
      </c>
      <c r="I17556" s="5"/>
      <c r="J17556" s="5"/>
      <c r="K17556" s="5"/>
    </row>
    <row r="17557" spans="1:11" x14ac:dyDescent="0.25">
      <c r="A17557" s="5">
        <f>17550</f>
      </c>
      <c r="B17557" s="5" t="s">
        <v>17565</v>
      </c>
      <c r="C17557" s="5">
        <v>124.7</v>
      </c>
      <c r="D17557" s="5">
        <v>0.1</v>
      </c>
      <c r="E17557" s="5">
        <v>124.8</v>
      </c>
      <c r="F17557" s="5">
        <v>247.1</v>
      </c>
      <c r="G17557" s="5">
        <v>122.3</v>
      </c>
      <c r="H17557" s="5">
        <v>122.1</v>
      </c>
      <c r="I17557" s="5"/>
      <c r="J17557" s="5"/>
      <c r="K17557" s="5"/>
    </row>
    <row r="17558" spans="1:11" x14ac:dyDescent="0.25">
      <c r="A17558" s="5">
        <f>17551</f>
      </c>
      <c r="B17558" s="5" t="s">
        <v>17566</v>
      </c>
      <c r="C17558" s="5">
        <v>124.8</v>
      </c>
      <c r="D17558" s="5">
        <v>0.1</v>
      </c>
      <c r="E17558" s="5">
        <v>125</v>
      </c>
      <c r="F17558" s="5">
        <v>246.5</v>
      </c>
      <c r="G17558" s="5">
        <v>122</v>
      </c>
      <c r="H17558" s="5">
        <v>121.8</v>
      </c>
      <c r="I17558" s="5"/>
      <c r="J17558" s="5"/>
      <c r="K17558" s="5"/>
    </row>
    <row r="17559" spans="1:11" x14ac:dyDescent="0.25">
      <c r="A17559" s="5">
        <f>17552</f>
      </c>
      <c r="B17559" s="5" t="s">
        <v>17567</v>
      </c>
      <c r="C17559" s="5">
        <v>124.8</v>
      </c>
      <c r="D17559" s="5">
        <v>0.1</v>
      </c>
      <c r="E17559" s="5">
        <v>125</v>
      </c>
      <c r="F17559" s="5">
        <v>246.5</v>
      </c>
      <c r="G17559" s="5">
        <v>122</v>
      </c>
      <c r="H17559" s="5">
        <v>121.8</v>
      </c>
      <c r="I17559" s="5"/>
      <c r="J17559" s="5"/>
      <c r="K17559" s="5"/>
    </row>
    <row r="17560" spans="1:11" x14ac:dyDescent="0.25">
      <c r="A17560" s="5">
        <f>17553</f>
      </c>
      <c r="B17560" s="5" t="s">
        <v>17568</v>
      </c>
      <c r="C17560" s="5">
        <v>124.8</v>
      </c>
      <c r="D17560" s="5">
        <v>0.1</v>
      </c>
      <c r="E17560" s="5">
        <v>125</v>
      </c>
      <c r="F17560" s="5">
        <v>247</v>
      </c>
      <c r="G17560" s="5">
        <v>122.2</v>
      </c>
      <c r="H17560" s="5">
        <v>122</v>
      </c>
      <c r="I17560" s="5"/>
      <c r="J17560" s="5"/>
      <c r="K17560" s="5"/>
    </row>
    <row r="17561" spans="1:11" x14ac:dyDescent="0.25">
      <c r="A17561" s="5">
        <f>17554</f>
      </c>
      <c r="B17561" s="5" t="s">
        <v>17569</v>
      </c>
      <c r="C17561" s="5">
        <v>124.8</v>
      </c>
      <c r="D17561" s="5">
        <v>0.1</v>
      </c>
      <c r="E17561" s="5">
        <v>125</v>
      </c>
      <c r="F17561" s="5">
        <v>247</v>
      </c>
      <c r="G17561" s="5">
        <v>122.2</v>
      </c>
      <c r="H17561" s="5">
        <v>122</v>
      </c>
      <c r="I17561" s="5"/>
      <c r="J17561" s="5"/>
      <c r="K17561" s="5"/>
    </row>
    <row r="17562" spans="1:11" x14ac:dyDescent="0.25">
      <c r="A17562" s="5">
        <f>17555</f>
      </c>
      <c r="B17562" s="5" t="s">
        <v>17570</v>
      </c>
      <c r="C17562" s="5">
        <v>124.8</v>
      </c>
      <c r="D17562" s="5">
        <v>0.1</v>
      </c>
      <c r="E17562" s="5">
        <v>125</v>
      </c>
      <c r="F17562" s="5">
        <v>247</v>
      </c>
      <c r="G17562" s="5">
        <v>122.2</v>
      </c>
      <c r="H17562" s="5">
        <v>122</v>
      </c>
      <c r="I17562" s="5"/>
      <c r="J17562" s="5"/>
      <c r="K17562" s="5"/>
    </row>
    <row r="17563" spans="1:11" x14ac:dyDescent="0.25">
      <c r="A17563" s="5">
        <f>17556</f>
      </c>
      <c r="B17563" s="5" t="s">
        <v>17571</v>
      </c>
      <c r="C17563" s="5">
        <v>124.8</v>
      </c>
      <c r="D17563" s="5">
        <v>0.1</v>
      </c>
      <c r="E17563" s="5">
        <v>125</v>
      </c>
      <c r="F17563" s="5">
        <v>247</v>
      </c>
      <c r="G17563" s="5">
        <v>122.2</v>
      </c>
      <c r="H17563" s="5">
        <v>122</v>
      </c>
      <c r="I17563" s="5"/>
      <c r="J17563" s="5"/>
      <c r="K17563" s="5"/>
    </row>
    <row r="17564" spans="1:11" x14ac:dyDescent="0.25">
      <c r="A17564" s="5">
        <f>17557</f>
      </c>
      <c r="B17564" s="5" t="s">
        <v>17572</v>
      </c>
      <c r="C17564" s="5">
        <v>123.7</v>
      </c>
      <c r="D17564" s="5">
        <v>0.1</v>
      </c>
      <c r="E17564" s="5">
        <v>123.8</v>
      </c>
      <c r="F17564" s="5">
        <v>244.9</v>
      </c>
      <c r="G17564" s="5">
        <v>121.2</v>
      </c>
      <c r="H17564" s="5">
        <v>121</v>
      </c>
      <c r="I17564" s="5"/>
      <c r="J17564" s="5"/>
      <c r="K17564" s="5"/>
    </row>
    <row r="17565" spans="1:11" x14ac:dyDescent="0.25">
      <c r="A17565" s="5">
        <f>17558</f>
      </c>
      <c r="B17565" s="5" t="s">
        <v>17573</v>
      </c>
      <c r="C17565" s="5">
        <v>123.7</v>
      </c>
      <c r="D17565" s="5">
        <v>0.1</v>
      </c>
      <c r="E17565" s="5">
        <v>123.8</v>
      </c>
      <c r="F17565" s="5">
        <v>244.9</v>
      </c>
      <c r="G17565" s="5">
        <v>121.2</v>
      </c>
      <c r="H17565" s="5">
        <v>121</v>
      </c>
      <c r="I17565" s="5"/>
      <c r="J17565" s="5"/>
      <c r="K17565" s="5"/>
    </row>
    <row r="17566" spans="1:11" x14ac:dyDescent="0.25">
      <c r="A17566" s="5">
        <f>17559</f>
      </c>
      <c r="B17566" s="5" t="s">
        <v>17574</v>
      </c>
      <c r="C17566" s="5">
        <v>123.7</v>
      </c>
      <c r="D17566" s="5">
        <v>0.1</v>
      </c>
      <c r="E17566" s="5">
        <v>123.8</v>
      </c>
      <c r="F17566" s="5">
        <v>244.9</v>
      </c>
      <c r="G17566" s="5">
        <v>121.2</v>
      </c>
      <c r="H17566" s="5">
        <v>121</v>
      </c>
      <c r="I17566" s="5"/>
      <c r="J17566" s="5"/>
      <c r="K17566" s="5"/>
    </row>
    <row r="17567" spans="1:11" x14ac:dyDescent="0.25">
      <c r="A17567" s="5">
        <f>17560</f>
      </c>
      <c r="B17567" s="5" t="s">
        <v>17575</v>
      </c>
      <c r="C17567" s="5">
        <v>123.7</v>
      </c>
      <c r="D17567" s="5">
        <v>0.1</v>
      </c>
      <c r="E17567" s="5">
        <v>123.8</v>
      </c>
      <c r="F17567" s="5">
        <v>244.9</v>
      </c>
      <c r="G17567" s="5">
        <v>121.2</v>
      </c>
      <c r="H17567" s="5">
        <v>121</v>
      </c>
      <c r="I17567" s="5"/>
      <c r="J17567" s="5"/>
      <c r="K17567" s="5"/>
    </row>
    <row r="17568" spans="1:11" x14ac:dyDescent="0.25">
      <c r="A17568" s="5">
        <f>17561</f>
      </c>
      <c r="B17568" s="5" t="s">
        <v>17576</v>
      </c>
      <c r="C17568" s="5">
        <v>123.7</v>
      </c>
      <c r="D17568" s="5">
        <v>0.1</v>
      </c>
      <c r="E17568" s="5">
        <v>123.8</v>
      </c>
      <c r="F17568" s="5">
        <v>244.9</v>
      </c>
      <c r="G17568" s="5">
        <v>121.2</v>
      </c>
      <c r="H17568" s="5">
        <v>121</v>
      </c>
      <c r="I17568" s="5"/>
      <c r="J17568" s="5"/>
      <c r="K17568" s="5"/>
    </row>
    <row r="17569" spans="1:11" x14ac:dyDescent="0.25">
      <c r="A17569" s="5">
        <f>17562</f>
      </c>
      <c r="B17569" s="5" t="s">
        <v>17577</v>
      </c>
      <c r="C17569" s="5">
        <v>123.7</v>
      </c>
      <c r="D17569" s="5">
        <v>0.1</v>
      </c>
      <c r="E17569" s="5">
        <v>123.8</v>
      </c>
      <c r="F17569" s="5">
        <v>244.9</v>
      </c>
      <c r="G17569" s="5">
        <v>121.2</v>
      </c>
      <c r="H17569" s="5">
        <v>121</v>
      </c>
      <c r="I17569" s="5"/>
      <c r="J17569" s="5"/>
      <c r="K17569" s="5"/>
    </row>
    <row r="17570" spans="1:11" x14ac:dyDescent="0.25">
      <c r="A17570" s="5">
        <f>17563</f>
      </c>
      <c r="B17570" s="5" t="s">
        <v>17578</v>
      </c>
      <c r="C17570" s="5">
        <v>123.5</v>
      </c>
      <c r="D17570" s="5">
        <v>0.1</v>
      </c>
      <c r="E17570" s="5">
        <v>123.7</v>
      </c>
      <c r="F17570" s="5">
        <v>244.7</v>
      </c>
      <c r="G17570" s="5">
        <v>121</v>
      </c>
      <c r="H17570" s="5">
        <v>120.8</v>
      </c>
      <c r="I17570" s="5"/>
      <c r="J17570" s="5"/>
      <c r="K17570" s="5"/>
    </row>
    <row r="17571" spans="1:11" x14ac:dyDescent="0.25">
      <c r="A17571" s="5">
        <f>17564</f>
      </c>
      <c r="B17571" s="5" t="s">
        <v>17579</v>
      </c>
      <c r="C17571" s="5">
        <v>123.5</v>
      </c>
      <c r="D17571" s="5">
        <v>0.1</v>
      </c>
      <c r="E17571" s="5">
        <v>123.7</v>
      </c>
      <c r="F17571" s="5">
        <v>244.7</v>
      </c>
      <c r="G17571" s="5">
        <v>121</v>
      </c>
      <c r="H17571" s="5">
        <v>120.8</v>
      </c>
      <c r="I17571" s="5"/>
      <c r="J17571" s="5"/>
      <c r="K17571" s="5"/>
    </row>
    <row r="17572" spans="1:11" x14ac:dyDescent="0.25">
      <c r="A17572" s="5">
        <f>17565</f>
      </c>
      <c r="B17572" s="5" t="s">
        <v>17580</v>
      </c>
      <c r="C17572" s="5">
        <v>123.5</v>
      </c>
      <c r="D17572" s="5">
        <v>0.1</v>
      </c>
      <c r="E17572" s="5">
        <v>123.7</v>
      </c>
      <c r="F17572" s="5">
        <v>244.7</v>
      </c>
      <c r="G17572" s="5">
        <v>121</v>
      </c>
      <c r="H17572" s="5">
        <v>120.8</v>
      </c>
      <c r="I17572" s="5"/>
      <c r="J17572" s="5"/>
      <c r="K17572" s="5"/>
    </row>
    <row r="17573" spans="1:11" x14ac:dyDescent="0.25">
      <c r="A17573" s="5">
        <f>17566</f>
      </c>
      <c r="B17573" s="5" t="s">
        <v>17581</v>
      </c>
      <c r="C17573" s="5">
        <v>123.5</v>
      </c>
      <c r="D17573" s="5">
        <v>0.1</v>
      </c>
      <c r="E17573" s="5">
        <v>123.7</v>
      </c>
      <c r="F17573" s="5">
        <v>244.7</v>
      </c>
      <c r="G17573" s="5">
        <v>121</v>
      </c>
      <c r="H17573" s="5">
        <v>120.8</v>
      </c>
      <c r="I17573" s="5"/>
      <c r="J17573" s="5"/>
      <c r="K17573" s="5"/>
    </row>
    <row r="17574" spans="1:11" x14ac:dyDescent="0.25">
      <c r="A17574" s="5">
        <f>17567</f>
      </c>
      <c r="B17574" s="5" t="s">
        <v>17582</v>
      </c>
      <c r="C17574" s="5">
        <v>123.4</v>
      </c>
      <c r="D17574" s="5">
        <v>0.1</v>
      </c>
      <c r="E17574" s="5">
        <v>123.5</v>
      </c>
      <c r="F17574" s="5">
        <v>244.2</v>
      </c>
      <c r="G17574" s="5">
        <v>120.8</v>
      </c>
      <c r="H17574" s="5">
        <v>120.6</v>
      </c>
      <c r="I17574" s="5"/>
      <c r="J17574" s="5"/>
      <c r="K17574" s="5"/>
    </row>
    <row r="17575" spans="1:11" x14ac:dyDescent="0.25">
      <c r="A17575" s="5">
        <f>17568</f>
      </c>
      <c r="B17575" s="5" t="s">
        <v>17583</v>
      </c>
      <c r="C17575" s="5">
        <v>123.4</v>
      </c>
      <c r="D17575" s="5">
        <v>0.1</v>
      </c>
      <c r="E17575" s="5">
        <v>123.5</v>
      </c>
      <c r="F17575" s="5">
        <v>244.2</v>
      </c>
      <c r="G17575" s="5">
        <v>120.8</v>
      </c>
      <c r="H17575" s="5">
        <v>120.6</v>
      </c>
      <c r="I17575" s="5"/>
      <c r="J17575" s="5"/>
      <c r="K17575" s="5"/>
    </row>
    <row r="17576" spans="1:11" x14ac:dyDescent="0.25">
      <c r="A17576" s="5">
        <f>17569</f>
      </c>
      <c r="B17576" s="5" t="s">
        <v>17584</v>
      </c>
      <c r="C17576" s="5">
        <v>123.7</v>
      </c>
      <c r="D17576" s="5">
        <v>0.1</v>
      </c>
      <c r="E17576" s="5">
        <v>123.9</v>
      </c>
      <c r="F17576" s="5">
        <v>244.7</v>
      </c>
      <c r="G17576" s="5">
        <v>121</v>
      </c>
      <c r="H17576" s="5">
        <v>120.8</v>
      </c>
      <c r="I17576" s="5"/>
      <c r="J17576" s="5"/>
      <c r="K17576" s="5"/>
    </row>
    <row r="17577" spans="1:11" x14ac:dyDescent="0.25">
      <c r="A17577" s="5">
        <f>17570</f>
      </c>
      <c r="B17577" s="5" t="s">
        <v>17585</v>
      </c>
      <c r="C17577" s="5">
        <v>123.7</v>
      </c>
      <c r="D17577" s="5">
        <v>0.1</v>
      </c>
      <c r="E17577" s="5">
        <v>123.9</v>
      </c>
      <c r="F17577" s="5">
        <v>244.7</v>
      </c>
      <c r="G17577" s="5">
        <v>121</v>
      </c>
      <c r="H17577" s="5">
        <v>120.8</v>
      </c>
      <c r="I17577" s="5"/>
      <c r="J17577" s="5"/>
      <c r="K17577" s="5"/>
    </row>
    <row r="17578" spans="1:11" x14ac:dyDescent="0.25">
      <c r="A17578" s="5">
        <f>17571</f>
      </c>
      <c r="B17578" s="5" t="s">
        <v>17586</v>
      </c>
      <c r="C17578" s="5">
        <v>123.5</v>
      </c>
      <c r="D17578" s="5">
        <v>0.1</v>
      </c>
      <c r="E17578" s="5">
        <v>123.7</v>
      </c>
      <c r="F17578" s="5">
        <v>244</v>
      </c>
      <c r="G17578" s="5">
        <v>120.7</v>
      </c>
      <c r="H17578" s="5">
        <v>120.6</v>
      </c>
      <c r="I17578" s="5"/>
      <c r="J17578" s="5"/>
      <c r="K17578" s="5"/>
    </row>
    <row r="17579" spans="1:11" x14ac:dyDescent="0.25">
      <c r="A17579" s="5">
        <f>17572</f>
      </c>
      <c r="B17579" s="5" t="s">
        <v>17587</v>
      </c>
      <c r="C17579" s="5">
        <v>123.5</v>
      </c>
      <c r="D17579" s="5">
        <v>0.1</v>
      </c>
      <c r="E17579" s="5">
        <v>123.7</v>
      </c>
      <c r="F17579" s="5">
        <v>244</v>
      </c>
      <c r="G17579" s="5">
        <v>120.7</v>
      </c>
      <c r="H17579" s="5">
        <v>120.6</v>
      </c>
      <c r="I17579" s="5"/>
      <c r="J17579" s="5"/>
      <c r="K17579" s="5"/>
    </row>
    <row r="17580" spans="1:11" x14ac:dyDescent="0.25">
      <c r="A17580" s="5">
        <f>17573</f>
      </c>
      <c r="B17580" s="5" t="s">
        <v>17588</v>
      </c>
      <c r="C17580" s="5">
        <v>123.1</v>
      </c>
      <c r="D17580" s="5">
        <v>0.1</v>
      </c>
      <c r="E17580" s="5">
        <v>123.3</v>
      </c>
      <c r="F17580" s="5">
        <v>243.5</v>
      </c>
      <c r="G17580" s="5">
        <v>120.4</v>
      </c>
      <c r="H17580" s="5">
        <v>120.2</v>
      </c>
      <c r="I17580" s="5"/>
      <c r="J17580" s="5"/>
      <c r="K17580" s="5"/>
    </row>
    <row r="17581" spans="1:11" x14ac:dyDescent="0.25">
      <c r="A17581" s="5">
        <f>17574</f>
      </c>
      <c r="B17581" s="5" t="s">
        <v>17589</v>
      </c>
      <c r="C17581" s="5">
        <v>123.1</v>
      </c>
      <c r="D17581" s="5">
        <v>0.1</v>
      </c>
      <c r="E17581" s="5">
        <v>123.3</v>
      </c>
      <c r="F17581" s="5">
        <v>243.5</v>
      </c>
      <c r="G17581" s="5">
        <v>120.4</v>
      </c>
      <c r="H17581" s="5">
        <v>120.2</v>
      </c>
      <c r="I17581" s="5"/>
      <c r="J17581" s="5"/>
      <c r="K17581" s="5"/>
    </row>
    <row r="17582" spans="1:11" x14ac:dyDescent="0.25">
      <c r="A17582" s="5">
        <f>17575</f>
      </c>
      <c r="B17582" s="5" t="s">
        <v>17590</v>
      </c>
      <c r="C17582" s="5">
        <v>123.1</v>
      </c>
      <c r="D17582" s="5">
        <v>0.1</v>
      </c>
      <c r="E17582" s="5">
        <v>123.3</v>
      </c>
      <c r="F17582" s="5">
        <v>243.5</v>
      </c>
      <c r="G17582" s="5">
        <v>120.4</v>
      </c>
      <c r="H17582" s="5">
        <v>120.2</v>
      </c>
      <c r="I17582" s="5"/>
      <c r="J17582" s="5"/>
      <c r="K17582" s="5"/>
    </row>
    <row r="17583" spans="1:11" x14ac:dyDescent="0.25">
      <c r="A17583" s="5">
        <f>17576</f>
      </c>
      <c r="B17583" s="5" t="s">
        <v>17591</v>
      </c>
      <c r="C17583" s="5">
        <v>123.1</v>
      </c>
      <c r="D17583" s="5">
        <v>0.1</v>
      </c>
      <c r="E17583" s="5">
        <v>123.3</v>
      </c>
      <c r="F17583" s="5">
        <v>243.5</v>
      </c>
      <c r="G17583" s="5">
        <v>120.4</v>
      </c>
      <c r="H17583" s="5">
        <v>120.2</v>
      </c>
      <c r="I17583" s="5"/>
      <c r="J17583" s="5"/>
      <c r="K17583" s="5"/>
    </row>
    <row r="17584" spans="1:11" x14ac:dyDescent="0.25">
      <c r="A17584" s="5">
        <f>17577</f>
      </c>
      <c r="B17584" s="5" t="s">
        <v>17592</v>
      </c>
      <c r="C17584" s="5">
        <v>123.1</v>
      </c>
      <c r="D17584" s="5">
        <v>0.1</v>
      </c>
      <c r="E17584" s="5">
        <v>123.3</v>
      </c>
      <c r="F17584" s="5">
        <v>244.2</v>
      </c>
      <c r="G17584" s="5">
        <v>120.7</v>
      </c>
      <c r="H17584" s="5">
        <v>120.5</v>
      </c>
      <c r="I17584" s="5"/>
      <c r="J17584" s="5"/>
      <c r="K17584" s="5"/>
    </row>
    <row r="17585" spans="1:11" x14ac:dyDescent="0.25">
      <c r="A17585" s="5">
        <f>17578</f>
      </c>
      <c r="B17585" s="5" t="s">
        <v>17593</v>
      </c>
      <c r="C17585" s="5">
        <v>123.1</v>
      </c>
      <c r="D17585" s="5">
        <v>0.1</v>
      </c>
      <c r="E17585" s="5">
        <v>123.3</v>
      </c>
      <c r="F17585" s="5">
        <v>244.2</v>
      </c>
      <c r="G17585" s="5">
        <v>120.7</v>
      </c>
      <c r="H17585" s="5">
        <v>120.5</v>
      </c>
      <c r="I17585" s="5"/>
      <c r="J17585" s="5"/>
      <c r="K17585" s="5"/>
    </row>
    <row r="17586" spans="1:11" x14ac:dyDescent="0.25">
      <c r="A17586" s="5">
        <f>17579</f>
      </c>
      <c r="B17586" s="5" t="s">
        <v>17594</v>
      </c>
      <c r="C17586" s="5">
        <v>123.2</v>
      </c>
      <c r="D17586" s="5">
        <v>0.1</v>
      </c>
      <c r="E17586" s="5">
        <v>123.4</v>
      </c>
      <c r="F17586" s="5">
        <v>243.9</v>
      </c>
      <c r="G17586" s="5">
        <v>120.6</v>
      </c>
      <c r="H17586" s="5">
        <v>120.5</v>
      </c>
      <c r="I17586" s="5"/>
      <c r="J17586" s="5"/>
      <c r="K17586" s="5"/>
    </row>
    <row r="17587" spans="1:11" x14ac:dyDescent="0.25">
      <c r="A17587" s="5">
        <f>17580</f>
      </c>
      <c r="B17587" s="5" t="s">
        <v>17595</v>
      </c>
      <c r="C17587" s="5">
        <v>123.2</v>
      </c>
      <c r="D17587" s="5">
        <v>0.1</v>
      </c>
      <c r="E17587" s="5">
        <v>123.4</v>
      </c>
      <c r="F17587" s="5">
        <v>243.9</v>
      </c>
      <c r="G17587" s="5">
        <v>120.6</v>
      </c>
      <c r="H17587" s="5">
        <v>120.5</v>
      </c>
      <c r="I17587" s="5"/>
      <c r="J17587" s="5"/>
      <c r="K17587" s="5"/>
    </row>
    <row r="17588" spans="1:11" x14ac:dyDescent="0.25">
      <c r="A17588" s="5">
        <f>17581</f>
      </c>
      <c r="B17588" s="5" t="s">
        <v>17596</v>
      </c>
      <c r="C17588" s="5">
        <v>123.7</v>
      </c>
      <c r="D17588" s="5">
        <v>0.1</v>
      </c>
      <c r="E17588" s="5">
        <v>123.8</v>
      </c>
      <c r="F17588" s="5">
        <v>243.9</v>
      </c>
      <c r="G17588" s="5">
        <v>120.6</v>
      </c>
      <c r="H17588" s="5">
        <v>120.4</v>
      </c>
      <c r="I17588" s="5"/>
      <c r="J17588" s="5"/>
      <c r="K17588" s="5"/>
    </row>
    <row r="17589" spans="1:11" x14ac:dyDescent="0.25">
      <c r="A17589" s="5">
        <f>17582</f>
      </c>
      <c r="B17589" s="5" t="s">
        <v>17597</v>
      </c>
      <c r="C17589" s="5">
        <v>123.7</v>
      </c>
      <c r="D17589" s="5">
        <v>0.1</v>
      </c>
      <c r="E17589" s="5">
        <v>123.8</v>
      </c>
      <c r="F17589" s="5">
        <v>243.9</v>
      </c>
      <c r="G17589" s="5">
        <v>120.6</v>
      </c>
      <c r="H17589" s="5">
        <v>120.4</v>
      </c>
      <c r="I17589" s="5"/>
      <c r="J17589" s="5"/>
      <c r="K17589" s="5"/>
    </row>
    <row r="17590" spans="1:11" x14ac:dyDescent="0.25">
      <c r="A17590" s="5">
        <f>17583</f>
      </c>
      <c r="B17590" s="5" t="s">
        <v>17598</v>
      </c>
      <c r="C17590" s="5">
        <v>123.2</v>
      </c>
      <c r="D17590" s="5">
        <v>0.1</v>
      </c>
      <c r="E17590" s="5">
        <v>123.4</v>
      </c>
      <c r="F17590" s="5">
        <v>243.2</v>
      </c>
      <c r="G17590" s="5">
        <v>120.5</v>
      </c>
      <c r="H17590" s="5">
        <v>120.6</v>
      </c>
      <c r="I17590" s="5"/>
      <c r="J17590" s="5"/>
      <c r="K17590" s="5"/>
    </row>
    <row r="17591" spans="1:11" x14ac:dyDescent="0.25">
      <c r="A17591" s="5">
        <f>17584</f>
      </c>
      <c r="B17591" s="5" t="s">
        <v>17599</v>
      </c>
      <c r="C17591" s="5">
        <v>123.2</v>
      </c>
      <c r="D17591" s="5">
        <v>0.1</v>
      </c>
      <c r="E17591" s="5">
        <v>123.4</v>
      </c>
      <c r="F17591" s="5">
        <v>243.2</v>
      </c>
      <c r="G17591" s="5">
        <v>120.5</v>
      </c>
      <c r="H17591" s="5">
        <v>120.6</v>
      </c>
      <c r="I17591" s="5"/>
      <c r="J17591" s="5"/>
      <c r="K17591" s="5"/>
    </row>
    <row r="17592" spans="1:11" x14ac:dyDescent="0.25">
      <c r="A17592" s="5">
        <f>17585</f>
      </c>
      <c r="B17592" s="5" t="s">
        <v>17600</v>
      </c>
      <c r="C17592" s="5">
        <v>123.2</v>
      </c>
      <c r="D17592" s="5">
        <v>0.1</v>
      </c>
      <c r="E17592" s="5">
        <v>123.4</v>
      </c>
      <c r="F17592" s="5">
        <v>243.2</v>
      </c>
      <c r="G17592" s="5">
        <v>120.5</v>
      </c>
      <c r="H17592" s="5">
        <v>120.6</v>
      </c>
      <c r="I17592" s="5"/>
      <c r="J17592" s="5"/>
      <c r="K17592" s="5"/>
    </row>
    <row r="17593" spans="1:11" x14ac:dyDescent="0.25">
      <c r="A17593" s="5">
        <f>17586</f>
      </c>
      <c r="B17593" s="5" t="s">
        <v>17601</v>
      </c>
      <c r="C17593" s="5">
        <v>123.2</v>
      </c>
      <c r="D17593" s="5">
        <v>0.1</v>
      </c>
      <c r="E17593" s="5">
        <v>123.4</v>
      </c>
      <c r="F17593" s="5">
        <v>243.2</v>
      </c>
      <c r="G17593" s="5">
        <v>120.5</v>
      </c>
      <c r="H17593" s="5">
        <v>120.6</v>
      </c>
      <c r="I17593" s="5"/>
      <c r="J17593" s="5"/>
      <c r="K17593" s="5"/>
    </row>
    <row r="17594" spans="1:11" x14ac:dyDescent="0.25">
      <c r="A17594" s="5">
        <f>17587</f>
      </c>
      <c r="B17594" s="5" t="s">
        <v>17602</v>
      </c>
      <c r="C17594" s="5">
        <v>122.1</v>
      </c>
      <c r="D17594" s="5">
        <v>0.1</v>
      </c>
      <c r="E17594" s="5">
        <v>122.2</v>
      </c>
      <c r="F17594" s="5">
        <v>241.8</v>
      </c>
      <c r="G17594" s="5">
        <v>119.6</v>
      </c>
      <c r="H17594" s="5">
        <v>119.5</v>
      </c>
      <c r="I17594" s="5"/>
      <c r="J17594" s="5"/>
      <c r="K17594" s="5"/>
    </row>
    <row r="17595" spans="1:11" x14ac:dyDescent="0.25">
      <c r="A17595" s="5">
        <f>17588</f>
      </c>
      <c r="B17595" s="5" t="s">
        <v>17603</v>
      </c>
      <c r="C17595" s="5">
        <v>122.1</v>
      </c>
      <c r="D17595" s="5">
        <v>0.1</v>
      </c>
      <c r="E17595" s="5">
        <v>122.2</v>
      </c>
      <c r="F17595" s="5">
        <v>241.8</v>
      </c>
      <c r="G17595" s="5">
        <v>119.6</v>
      </c>
      <c r="H17595" s="5">
        <v>119.5</v>
      </c>
      <c r="I17595" s="5"/>
      <c r="J17595" s="5"/>
      <c r="K17595" s="5"/>
    </row>
    <row r="17596" spans="1:11" x14ac:dyDescent="0.25">
      <c r="A17596" s="5">
        <f>17589</f>
      </c>
      <c r="B17596" s="5" t="s">
        <v>17604</v>
      </c>
      <c r="C17596" s="5">
        <v>122</v>
      </c>
      <c r="D17596" s="5">
        <v>0.1</v>
      </c>
      <c r="E17596" s="5">
        <v>122.1</v>
      </c>
      <c r="F17596" s="5">
        <v>241.5</v>
      </c>
      <c r="G17596" s="5">
        <v>119.4</v>
      </c>
      <c r="H17596" s="5">
        <v>119.2</v>
      </c>
      <c r="I17596" s="5"/>
      <c r="J17596" s="5"/>
      <c r="K17596" s="5"/>
    </row>
    <row r="17597" spans="1:11" x14ac:dyDescent="0.25">
      <c r="A17597" s="5">
        <f>17590</f>
      </c>
      <c r="B17597" s="5" t="s">
        <v>17605</v>
      </c>
      <c r="C17597" s="5">
        <v>122</v>
      </c>
      <c r="D17597" s="5">
        <v>0.1</v>
      </c>
      <c r="E17597" s="5">
        <v>122.1</v>
      </c>
      <c r="F17597" s="5">
        <v>241.5</v>
      </c>
      <c r="G17597" s="5">
        <v>119.4</v>
      </c>
      <c r="H17597" s="5">
        <v>119.2</v>
      </c>
      <c r="I17597" s="5"/>
      <c r="J17597" s="5"/>
      <c r="K17597" s="5"/>
    </row>
    <row r="17598" spans="1:11" x14ac:dyDescent="0.25">
      <c r="A17598" s="5">
        <f>17591</f>
      </c>
      <c r="B17598" s="5" t="s">
        <v>17606</v>
      </c>
      <c r="C17598" s="5">
        <v>121.9</v>
      </c>
      <c r="D17598" s="5">
        <v>0.1</v>
      </c>
      <c r="E17598" s="5">
        <v>122.1</v>
      </c>
      <c r="F17598" s="5">
        <v>241.2</v>
      </c>
      <c r="G17598" s="5">
        <v>119.3</v>
      </c>
      <c r="H17598" s="5">
        <v>119.1</v>
      </c>
      <c r="I17598" s="5"/>
      <c r="J17598" s="5"/>
      <c r="K17598" s="5"/>
    </row>
    <row r="17599" spans="1:11" x14ac:dyDescent="0.25">
      <c r="A17599" s="5">
        <f>17592</f>
      </c>
      <c r="B17599" s="5" t="s">
        <v>17607</v>
      </c>
      <c r="C17599" s="5">
        <v>121.9</v>
      </c>
      <c r="D17599" s="5">
        <v>0.1</v>
      </c>
      <c r="E17599" s="5">
        <v>122.1</v>
      </c>
      <c r="F17599" s="5">
        <v>241.2</v>
      </c>
      <c r="G17599" s="5">
        <v>119.3</v>
      </c>
      <c r="H17599" s="5">
        <v>119.1</v>
      </c>
      <c r="I17599" s="5"/>
      <c r="J17599" s="5"/>
      <c r="K17599" s="5"/>
    </row>
    <row r="17600" spans="1:11" x14ac:dyDescent="0.25">
      <c r="A17600" s="5">
        <f>17593</f>
      </c>
      <c r="B17600" s="5" t="s">
        <v>17608</v>
      </c>
      <c r="C17600" s="5">
        <v>122.2</v>
      </c>
      <c r="D17600" s="5">
        <v>0.1</v>
      </c>
      <c r="E17600" s="5">
        <v>122.4</v>
      </c>
      <c r="F17600" s="5">
        <v>241.7</v>
      </c>
      <c r="G17600" s="5">
        <v>119.5</v>
      </c>
      <c r="H17600" s="5">
        <v>119.4</v>
      </c>
      <c r="I17600" s="5"/>
      <c r="J17600" s="5"/>
      <c r="K17600" s="5"/>
    </row>
    <row r="17601" spans="1:11" x14ac:dyDescent="0.25">
      <c r="A17601" s="5">
        <f>17594</f>
      </c>
      <c r="B17601" s="5" t="s">
        <v>17609</v>
      </c>
      <c r="C17601" s="5">
        <v>122.2</v>
      </c>
      <c r="D17601" s="5">
        <v>0.1</v>
      </c>
      <c r="E17601" s="5">
        <v>122.4</v>
      </c>
      <c r="F17601" s="5">
        <v>241.7</v>
      </c>
      <c r="G17601" s="5">
        <v>119.5</v>
      </c>
      <c r="H17601" s="5">
        <v>119.4</v>
      </c>
      <c r="I17601" s="5"/>
      <c r="J17601" s="5"/>
      <c r="K17601" s="5"/>
    </row>
    <row r="17602" spans="1:11" x14ac:dyDescent="0.25">
      <c r="A17602" s="5">
        <f>17595</f>
      </c>
      <c r="B17602" s="5" t="s">
        <v>17610</v>
      </c>
      <c r="C17602" s="5">
        <v>122.2</v>
      </c>
      <c r="D17602" s="5">
        <v>0.1</v>
      </c>
      <c r="E17602" s="5">
        <v>122.4</v>
      </c>
      <c r="F17602" s="5">
        <v>241.7</v>
      </c>
      <c r="G17602" s="5">
        <v>119.5</v>
      </c>
      <c r="H17602" s="5">
        <v>119.4</v>
      </c>
      <c r="I17602" s="5"/>
      <c r="J17602" s="5"/>
      <c r="K17602" s="5"/>
    </row>
    <row r="17603" spans="1:11" x14ac:dyDescent="0.25">
      <c r="A17603" s="5">
        <f>17596</f>
      </c>
      <c r="B17603" s="5" t="s">
        <v>17611</v>
      </c>
      <c r="C17603" s="5">
        <v>122.2</v>
      </c>
      <c r="D17603" s="5">
        <v>0.1</v>
      </c>
      <c r="E17603" s="5">
        <v>122.4</v>
      </c>
      <c r="F17603" s="5">
        <v>241.7</v>
      </c>
      <c r="G17603" s="5">
        <v>119.5</v>
      </c>
      <c r="H17603" s="5">
        <v>119.4</v>
      </c>
      <c r="I17603" s="5"/>
      <c r="J17603" s="5"/>
      <c r="K17603" s="5"/>
    </row>
    <row r="17604" spans="1:11" x14ac:dyDescent="0.25">
      <c r="A17604" s="5">
        <f>17597</f>
      </c>
      <c r="B17604" s="5" t="s">
        <v>17612</v>
      </c>
      <c r="C17604" s="5">
        <v>122.1</v>
      </c>
      <c r="D17604" s="5">
        <v>0.1</v>
      </c>
      <c r="E17604" s="5">
        <v>122.4</v>
      </c>
      <c r="F17604" s="5">
        <v>241.9</v>
      </c>
      <c r="G17604" s="5">
        <v>119.6</v>
      </c>
      <c r="H17604" s="5">
        <v>119.4</v>
      </c>
      <c r="I17604" s="5"/>
      <c r="J17604" s="5"/>
      <c r="K17604" s="5"/>
    </row>
    <row r="17605" spans="1:11" x14ac:dyDescent="0.25">
      <c r="A17605" s="5">
        <f>17598</f>
      </c>
      <c r="B17605" s="5" t="s">
        <v>17613</v>
      </c>
      <c r="C17605" s="5">
        <v>122.1</v>
      </c>
      <c r="D17605" s="5">
        <v>0.1</v>
      </c>
      <c r="E17605" s="5">
        <v>122.4</v>
      </c>
      <c r="F17605" s="5">
        <v>241.9</v>
      </c>
      <c r="G17605" s="5">
        <v>119.6</v>
      </c>
      <c r="H17605" s="5">
        <v>119.4</v>
      </c>
      <c r="I17605" s="5"/>
      <c r="J17605" s="5"/>
      <c r="K17605" s="5"/>
    </row>
    <row r="17606" spans="1:11" x14ac:dyDescent="0.25">
      <c r="A17606" s="5">
        <f>17599</f>
      </c>
      <c r="B17606" s="5" t="s">
        <v>17614</v>
      </c>
      <c r="C17606" s="5">
        <v>122.1</v>
      </c>
      <c r="D17606" s="5">
        <v>0.1</v>
      </c>
      <c r="E17606" s="5">
        <v>122.3</v>
      </c>
      <c r="F17606" s="5">
        <v>241.6</v>
      </c>
      <c r="G17606" s="5">
        <v>119.5</v>
      </c>
      <c r="H17606" s="5">
        <v>119.3</v>
      </c>
      <c r="I17606" s="5"/>
      <c r="J17606" s="5"/>
      <c r="K17606" s="5"/>
    </row>
    <row r="17607" spans="1:11" x14ac:dyDescent="0.25">
      <c r="A17607" s="5">
        <f>17600</f>
      </c>
      <c r="B17607" s="5" t="s">
        <v>17615</v>
      </c>
      <c r="C17607" s="5">
        <v>122.1</v>
      </c>
      <c r="D17607" s="5">
        <v>0.1</v>
      </c>
      <c r="E17607" s="5">
        <v>122.3</v>
      </c>
      <c r="F17607" s="5">
        <v>241.6</v>
      </c>
      <c r="G17607" s="5">
        <v>119.5</v>
      </c>
      <c r="H17607" s="5">
        <v>119.3</v>
      </c>
      <c r="I17607" s="5"/>
      <c r="J17607" s="5"/>
      <c r="K17607" s="5"/>
    </row>
    <row r="17608" spans="1:11" x14ac:dyDescent="0.25">
      <c r="A17608" s="5">
        <f>17601</f>
      </c>
      <c r="B17608" s="5" t="s">
        <v>17616</v>
      </c>
      <c r="C17608" s="5">
        <v>123.6</v>
      </c>
      <c r="D17608" s="5">
        <v>0.1</v>
      </c>
      <c r="E17608" s="5">
        <v>123.7</v>
      </c>
      <c r="F17608" s="5">
        <v>244.2</v>
      </c>
      <c r="G17608" s="5">
        <v>120.7</v>
      </c>
      <c r="H17608" s="5">
        <v>120.5</v>
      </c>
      <c r="I17608" s="5"/>
      <c r="J17608" s="5"/>
      <c r="K17608" s="5"/>
    </row>
    <row r="17609" spans="1:11" x14ac:dyDescent="0.25">
      <c r="A17609" s="5">
        <f>17602</f>
      </c>
      <c r="B17609" s="5" t="s">
        <v>17617</v>
      </c>
      <c r="C17609" s="5">
        <v>123.6</v>
      </c>
      <c r="D17609" s="5">
        <v>0.1</v>
      </c>
      <c r="E17609" s="5">
        <v>123.7</v>
      </c>
      <c r="F17609" s="5">
        <v>244.2</v>
      </c>
      <c r="G17609" s="5">
        <v>120.7</v>
      </c>
      <c r="H17609" s="5">
        <v>120.5</v>
      </c>
      <c r="I17609" s="5"/>
      <c r="J17609" s="5"/>
      <c r="K17609" s="5"/>
    </row>
    <row r="17610" spans="1:11" x14ac:dyDescent="0.25">
      <c r="A17610" s="5">
        <f>17603</f>
      </c>
      <c r="B17610" s="5" t="s">
        <v>17618</v>
      </c>
      <c r="C17610" s="5">
        <v>123.6</v>
      </c>
      <c r="D17610" s="5">
        <v>0.1</v>
      </c>
      <c r="E17610" s="5">
        <v>123.8</v>
      </c>
      <c r="F17610" s="5">
        <v>244.4</v>
      </c>
      <c r="G17610" s="5">
        <v>120.8</v>
      </c>
      <c r="H17610" s="5">
        <v>120.6</v>
      </c>
      <c r="I17610" s="5"/>
      <c r="J17610" s="5"/>
      <c r="K17610" s="5"/>
    </row>
    <row r="17611" spans="1:11" x14ac:dyDescent="0.25">
      <c r="A17611" s="5">
        <f>17604</f>
      </c>
      <c r="B17611" s="5" t="s">
        <v>17619</v>
      </c>
      <c r="C17611" s="5">
        <v>123.6</v>
      </c>
      <c r="D17611" s="5">
        <v>0.1</v>
      </c>
      <c r="E17611" s="5">
        <v>123.8</v>
      </c>
      <c r="F17611" s="5">
        <v>244.4</v>
      </c>
      <c r="G17611" s="5">
        <v>120.8</v>
      </c>
      <c r="H17611" s="5">
        <v>120.6</v>
      </c>
      <c r="I17611" s="5"/>
      <c r="J17611" s="5"/>
      <c r="K17611" s="5"/>
    </row>
    <row r="17612" spans="1:11" x14ac:dyDescent="0.25">
      <c r="A17612" s="5">
        <f>17605</f>
      </c>
      <c r="B17612" s="5" t="s">
        <v>17620</v>
      </c>
      <c r="C17612" s="5">
        <v>123.6</v>
      </c>
      <c r="D17612" s="5">
        <v>0.1</v>
      </c>
      <c r="E17612" s="5">
        <v>123.8</v>
      </c>
      <c r="F17612" s="5">
        <v>244.4</v>
      </c>
      <c r="G17612" s="5">
        <v>120.8</v>
      </c>
      <c r="H17612" s="5">
        <v>120.6</v>
      </c>
      <c r="I17612" s="5"/>
      <c r="J17612" s="5"/>
      <c r="K17612" s="5"/>
    </row>
    <row r="17613" spans="1:11" x14ac:dyDescent="0.25">
      <c r="A17613" s="5">
        <f>17606</f>
      </c>
      <c r="B17613" s="5" t="s">
        <v>17621</v>
      </c>
      <c r="C17613" s="5">
        <v>123.3</v>
      </c>
      <c r="D17613" s="5">
        <v>0.1</v>
      </c>
      <c r="E17613" s="5">
        <v>123.4</v>
      </c>
      <c r="F17613" s="5">
        <v>243.6</v>
      </c>
      <c r="G17613" s="5">
        <v>120.4</v>
      </c>
      <c r="H17613" s="5">
        <v>120.3</v>
      </c>
      <c r="I17613" s="5"/>
      <c r="J17613" s="5"/>
      <c r="K17613" s="5"/>
    </row>
    <row r="17614" spans="1:11" x14ac:dyDescent="0.25">
      <c r="A17614" s="5">
        <f>17607</f>
      </c>
      <c r="B17614" s="5" t="s">
        <v>17622</v>
      </c>
      <c r="C17614" s="5">
        <v>123.3</v>
      </c>
      <c r="D17614" s="5">
        <v>0.1</v>
      </c>
      <c r="E17614" s="5">
        <v>123.4</v>
      </c>
      <c r="F17614" s="5">
        <v>243.6</v>
      </c>
      <c r="G17614" s="5">
        <v>120.4</v>
      </c>
      <c r="H17614" s="5">
        <v>120.3</v>
      </c>
      <c r="I17614" s="5"/>
      <c r="J17614" s="5"/>
      <c r="K17614" s="5"/>
    </row>
    <row r="17615" spans="1:11" x14ac:dyDescent="0.25">
      <c r="A17615" s="5">
        <f>17608</f>
      </c>
      <c r="B17615" s="5" t="s">
        <v>17623</v>
      </c>
      <c r="C17615" s="5">
        <v>123.4</v>
      </c>
      <c r="D17615" s="5">
        <v>0.1</v>
      </c>
      <c r="E17615" s="5">
        <v>123.5</v>
      </c>
      <c r="F17615" s="5">
        <v>243.9</v>
      </c>
      <c r="G17615" s="5">
        <v>120.6</v>
      </c>
      <c r="H17615" s="5">
        <v>120.4</v>
      </c>
      <c r="I17615" s="5"/>
      <c r="J17615" s="5"/>
      <c r="K17615" s="5"/>
    </row>
    <row r="17616" spans="1:11" x14ac:dyDescent="0.25">
      <c r="A17616" s="5">
        <f>17609</f>
      </c>
      <c r="B17616" s="5" t="s">
        <v>17624</v>
      </c>
      <c r="C17616" s="5">
        <v>123.4</v>
      </c>
      <c r="D17616" s="5">
        <v>0.1</v>
      </c>
      <c r="E17616" s="5">
        <v>123.5</v>
      </c>
      <c r="F17616" s="5">
        <v>243.9</v>
      </c>
      <c r="G17616" s="5">
        <v>120.6</v>
      </c>
      <c r="H17616" s="5">
        <v>120.4</v>
      </c>
      <c r="I17616" s="5"/>
      <c r="J17616" s="5"/>
      <c r="K17616" s="5"/>
    </row>
    <row r="17617" spans="1:11" x14ac:dyDescent="0.25">
      <c r="A17617" s="5">
        <f>17610</f>
      </c>
      <c r="B17617" s="5" t="s">
        <v>17625</v>
      </c>
      <c r="C17617" s="5">
        <v>123.4</v>
      </c>
      <c r="D17617" s="5">
        <v>0.1</v>
      </c>
      <c r="E17617" s="5">
        <v>123.5</v>
      </c>
      <c r="F17617" s="5">
        <v>244.3</v>
      </c>
      <c r="G17617" s="5">
        <v>120.8</v>
      </c>
      <c r="H17617" s="5">
        <v>120.6</v>
      </c>
      <c r="I17617" s="5"/>
      <c r="J17617" s="5"/>
      <c r="K17617" s="5"/>
    </row>
    <row r="17618" spans="1:11" x14ac:dyDescent="0.25">
      <c r="A17618" s="5">
        <f>17611</f>
      </c>
      <c r="B17618" s="5" t="s">
        <v>17626</v>
      </c>
      <c r="C17618" s="5">
        <v>123.4</v>
      </c>
      <c r="D17618" s="5">
        <v>0.1</v>
      </c>
      <c r="E17618" s="5">
        <v>123.5</v>
      </c>
      <c r="F17618" s="5">
        <v>244.3</v>
      </c>
      <c r="G17618" s="5">
        <v>120.8</v>
      </c>
      <c r="H17618" s="5">
        <v>120.6</v>
      </c>
      <c r="I17618" s="5"/>
      <c r="J17618" s="5"/>
      <c r="K17618" s="5"/>
    </row>
    <row r="17619" spans="1:11" x14ac:dyDescent="0.25">
      <c r="A17619" s="5">
        <f>17612</f>
      </c>
      <c r="B17619" s="5" t="s">
        <v>17627</v>
      </c>
      <c r="C17619" s="5">
        <v>123.4</v>
      </c>
      <c r="D17619" s="5">
        <v>0.1</v>
      </c>
      <c r="E17619" s="5">
        <v>123.3</v>
      </c>
      <c r="F17619" s="5">
        <v>243.4</v>
      </c>
      <c r="G17619" s="5">
        <v>120.3</v>
      </c>
      <c r="H17619" s="5">
        <v>120.2</v>
      </c>
      <c r="I17619" s="5"/>
      <c r="J17619" s="5"/>
      <c r="K17619" s="5"/>
    </row>
    <row r="17620" spans="1:11" x14ac:dyDescent="0.25">
      <c r="A17620" s="5">
        <f>17613</f>
      </c>
      <c r="B17620" s="5" t="s">
        <v>17628</v>
      </c>
      <c r="C17620" s="5">
        <v>123.1</v>
      </c>
      <c r="D17620" s="5">
        <v>0.1</v>
      </c>
      <c r="E17620" s="5">
        <v>123.3</v>
      </c>
      <c r="F17620" s="5">
        <v>243.4</v>
      </c>
      <c r="G17620" s="5">
        <v>120.3</v>
      </c>
      <c r="H17620" s="5">
        <v>120.2</v>
      </c>
      <c r="I17620" s="5"/>
      <c r="J17620" s="5"/>
      <c r="K17620" s="5"/>
    </row>
    <row r="17621" spans="1:11" x14ac:dyDescent="0.25">
      <c r="A17621" s="5">
        <f>17614</f>
      </c>
      <c r="B17621" s="5" t="s">
        <v>17629</v>
      </c>
      <c r="C17621" s="5">
        <v>123.1</v>
      </c>
      <c r="D17621" s="5">
        <v>0.1</v>
      </c>
      <c r="E17621" s="5">
        <v>123.3</v>
      </c>
      <c r="F17621" s="5">
        <v>243.4</v>
      </c>
      <c r="G17621" s="5">
        <v>120.3</v>
      </c>
      <c r="H17621" s="5">
        <v>120.2</v>
      </c>
      <c r="I17621" s="5"/>
      <c r="J17621" s="5"/>
      <c r="K17621" s="5"/>
    </row>
    <row r="17622" spans="1:11" x14ac:dyDescent="0.25">
      <c r="A17622" s="5">
        <f>17615</f>
      </c>
      <c r="B17622" s="5" t="s">
        <v>17630</v>
      </c>
      <c r="C17622" s="5">
        <v>123.1</v>
      </c>
      <c r="D17622" s="5">
        <v>0.1</v>
      </c>
      <c r="E17622" s="5">
        <v>123.3</v>
      </c>
      <c r="F17622" s="5">
        <v>243.4</v>
      </c>
      <c r="G17622" s="5">
        <v>120.3</v>
      </c>
      <c r="H17622" s="5">
        <v>120.2</v>
      </c>
      <c r="I17622" s="5"/>
      <c r="J17622" s="5"/>
      <c r="K17622" s="5"/>
    </row>
    <row r="17623" spans="1:11" x14ac:dyDescent="0.25">
      <c r="A17623" s="5">
        <f>17616</f>
      </c>
      <c r="B17623" s="5" t="s">
        <v>17631</v>
      </c>
      <c r="C17623" s="5">
        <v>123.5</v>
      </c>
      <c r="D17623" s="5">
        <v>0.1</v>
      </c>
      <c r="E17623" s="5">
        <v>123.7</v>
      </c>
      <c r="F17623" s="5">
        <v>244.2</v>
      </c>
      <c r="G17623" s="5">
        <v>120.7</v>
      </c>
      <c r="H17623" s="5">
        <v>120.6</v>
      </c>
      <c r="I17623" s="5"/>
      <c r="J17623" s="5"/>
      <c r="K17623" s="5"/>
    </row>
    <row r="17624" spans="1:11" x14ac:dyDescent="0.25">
      <c r="A17624" s="5">
        <f>17617</f>
      </c>
      <c r="B17624" s="5" t="s">
        <v>17632</v>
      </c>
      <c r="C17624" s="5">
        <v>123.5</v>
      </c>
      <c r="D17624" s="5">
        <v>0.1</v>
      </c>
      <c r="E17624" s="5">
        <v>123.7</v>
      </c>
      <c r="F17624" s="5">
        <v>244.2</v>
      </c>
      <c r="G17624" s="5">
        <v>120.7</v>
      </c>
      <c r="H17624" s="5">
        <v>120.6</v>
      </c>
      <c r="I17624" s="5"/>
      <c r="J17624" s="5"/>
      <c r="K17624" s="5"/>
    </row>
    <row r="17625" spans="1:11" x14ac:dyDescent="0.25">
      <c r="A17625" s="5">
        <f>17618</f>
      </c>
      <c r="B17625" s="5" t="s">
        <v>17633</v>
      </c>
      <c r="C17625" s="5">
        <v>123.1</v>
      </c>
      <c r="D17625" s="5">
        <v>0.1</v>
      </c>
      <c r="E17625" s="5">
        <v>123.2</v>
      </c>
      <c r="F17625" s="5">
        <v>244.2</v>
      </c>
      <c r="G17625" s="5">
        <v>120.7</v>
      </c>
      <c r="H17625" s="5">
        <v>120.6</v>
      </c>
      <c r="I17625" s="5"/>
      <c r="J17625" s="5"/>
      <c r="K17625" s="5"/>
    </row>
    <row r="17626" spans="1:11" x14ac:dyDescent="0.25">
      <c r="A17626" s="5">
        <f>17619</f>
      </c>
      <c r="B17626" s="5" t="s">
        <v>17634</v>
      </c>
      <c r="C17626" s="5">
        <v>123.1</v>
      </c>
      <c r="D17626" s="5">
        <v>0.1</v>
      </c>
      <c r="E17626" s="5">
        <v>123.2</v>
      </c>
      <c r="F17626" s="5">
        <v>244.2</v>
      </c>
      <c r="G17626" s="5">
        <v>120.7</v>
      </c>
      <c r="H17626" s="5">
        <v>120.6</v>
      </c>
      <c r="I17626" s="5"/>
      <c r="J17626" s="5"/>
      <c r="K17626" s="5"/>
    </row>
    <row r="17627" spans="1:11" x14ac:dyDescent="0.25">
      <c r="A17627" s="5">
        <f>17620</f>
      </c>
      <c r="B17627" s="5" t="s">
        <v>17635</v>
      </c>
      <c r="C17627" s="5">
        <v>123.4</v>
      </c>
      <c r="D17627" s="5">
        <v>0.1</v>
      </c>
      <c r="E17627" s="5">
        <v>123.5</v>
      </c>
      <c r="F17627" s="5">
        <v>244</v>
      </c>
      <c r="G17627" s="5">
        <v>120.7</v>
      </c>
      <c r="H17627" s="5">
        <v>120.5</v>
      </c>
      <c r="I17627" s="5"/>
      <c r="J17627" s="5"/>
      <c r="K17627" s="5"/>
    </row>
    <row r="17628" spans="1:11" x14ac:dyDescent="0.25">
      <c r="A17628" s="5">
        <f>17621</f>
      </c>
      <c r="B17628" s="5" t="s">
        <v>17636</v>
      </c>
      <c r="C17628" s="5">
        <v>123.4</v>
      </c>
      <c r="D17628" s="5">
        <v>0.1</v>
      </c>
      <c r="E17628" s="5">
        <v>123.5</v>
      </c>
      <c r="F17628" s="5">
        <v>244</v>
      </c>
      <c r="G17628" s="5">
        <v>120.7</v>
      </c>
      <c r="H17628" s="5">
        <v>120.5</v>
      </c>
      <c r="I17628" s="5"/>
      <c r="J17628" s="5"/>
      <c r="K17628" s="5"/>
    </row>
    <row r="17629" spans="1:11" x14ac:dyDescent="0.25">
      <c r="A17629" s="5">
        <f>17622</f>
      </c>
      <c r="B17629" s="5" t="s">
        <v>17637</v>
      </c>
      <c r="C17629" s="5">
        <v>123.3</v>
      </c>
      <c r="D17629" s="5">
        <v>0.1</v>
      </c>
      <c r="E17629" s="5">
        <v>123.5</v>
      </c>
      <c r="F17629" s="5">
        <v>243.7</v>
      </c>
      <c r="G17629" s="5">
        <v>120.7</v>
      </c>
      <c r="H17629" s="5">
        <v>120.5</v>
      </c>
      <c r="I17629" s="5"/>
      <c r="J17629" s="5"/>
      <c r="K17629" s="5"/>
    </row>
    <row r="17630" spans="1:11" x14ac:dyDescent="0.25">
      <c r="A17630" s="5">
        <f>17623</f>
      </c>
      <c r="B17630" s="5" t="s">
        <v>17638</v>
      </c>
      <c r="C17630" s="5">
        <v>123.3</v>
      </c>
      <c r="D17630" s="5">
        <v>0.1</v>
      </c>
      <c r="E17630" s="5">
        <v>123.5</v>
      </c>
      <c r="F17630" s="5">
        <v>243.7</v>
      </c>
      <c r="G17630" s="5">
        <v>120.5</v>
      </c>
      <c r="H17630" s="5">
        <v>120.3</v>
      </c>
      <c r="I17630" s="5"/>
      <c r="J17630" s="5"/>
      <c r="K17630" s="5"/>
    </row>
    <row r="17631" spans="1:11" x14ac:dyDescent="0.25">
      <c r="A17631" s="5">
        <f>17624</f>
      </c>
      <c r="B17631" s="5" t="s">
        <v>17639</v>
      </c>
      <c r="C17631" s="5">
        <v>123.3</v>
      </c>
      <c r="D17631" s="5">
        <v>0.1</v>
      </c>
      <c r="E17631" s="5">
        <v>123.5</v>
      </c>
      <c r="F17631" s="5">
        <v>243.7</v>
      </c>
      <c r="G17631" s="5">
        <v>120.5</v>
      </c>
      <c r="H17631" s="5">
        <v>120.3</v>
      </c>
      <c r="I17631" s="5"/>
      <c r="J17631" s="5"/>
      <c r="K17631" s="5"/>
    </row>
    <row r="17632" spans="1:11" x14ac:dyDescent="0.25">
      <c r="A17632" s="5">
        <f>17625</f>
      </c>
      <c r="B17632" s="5" t="s">
        <v>17640</v>
      </c>
      <c r="C17632" s="5">
        <v>123.3</v>
      </c>
      <c r="D17632" s="5">
        <v>0.1</v>
      </c>
      <c r="E17632" s="5">
        <v>123.5</v>
      </c>
      <c r="F17632" s="5">
        <v>243.7</v>
      </c>
      <c r="G17632" s="5">
        <v>120.5</v>
      </c>
      <c r="H17632" s="5">
        <v>120.3</v>
      </c>
      <c r="I17632" s="5"/>
      <c r="J17632" s="5"/>
      <c r="K17632" s="5"/>
    </row>
    <row r="17633" spans="1:11" x14ac:dyDescent="0.25">
      <c r="A17633" s="5">
        <f>17626</f>
      </c>
      <c r="B17633" s="5" t="s">
        <v>17641</v>
      </c>
      <c r="C17633" s="5">
        <v>123.7</v>
      </c>
      <c r="D17633" s="5">
        <v>0.1</v>
      </c>
      <c r="E17633" s="5">
        <v>123.5</v>
      </c>
      <c r="F17633" s="5">
        <v>243.7</v>
      </c>
      <c r="G17633" s="5">
        <v>120.5</v>
      </c>
      <c r="H17633" s="5">
        <v>120.3</v>
      </c>
      <c r="I17633" s="5"/>
      <c r="J17633" s="5"/>
      <c r="K17633" s="5"/>
    </row>
    <row r="17634" spans="1:11" x14ac:dyDescent="0.25">
      <c r="A17634" s="5">
        <f>17627</f>
      </c>
      <c r="B17634" s="5" t="s">
        <v>17642</v>
      </c>
      <c r="C17634" s="5">
        <v>123.7</v>
      </c>
      <c r="D17634" s="5">
        <v>0.1</v>
      </c>
      <c r="E17634" s="5">
        <v>123.9</v>
      </c>
      <c r="F17634" s="5">
        <v>244.8</v>
      </c>
      <c r="G17634" s="5">
        <v>121</v>
      </c>
      <c r="H17634" s="5">
        <v>120.9</v>
      </c>
      <c r="I17634" s="5"/>
      <c r="J17634" s="5"/>
      <c r="K17634" s="5"/>
    </row>
    <row r="17635" spans="1:11" x14ac:dyDescent="0.25">
      <c r="A17635" s="5">
        <f>17628</f>
      </c>
      <c r="B17635" s="5" t="s">
        <v>17643</v>
      </c>
      <c r="C17635" s="5">
        <v>123.7</v>
      </c>
      <c r="D17635" s="5">
        <v>0.1</v>
      </c>
      <c r="E17635" s="5">
        <v>123.9</v>
      </c>
      <c r="F17635" s="5">
        <v>244.8</v>
      </c>
      <c r="G17635" s="5">
        <v>121</v>
      </c>
      <c r="H17635" s="5">
        <v>120.9</v>
      </c>
      <c r="I17635" s="5"/>
      <c r="J17635" s="5"/>
      <c r="K17635" s="5"/>
    </row>
    <row r="17636" spans="1:11" x14ac:dyDescent="0.25">
      <c r="A17636" s="5">
        <f>17629</f>
      </c>
      <c r="B17636" s="5" t="s">
        <v>17644</v>
      </c>
      <c r="C17636" s="5">
        <v>123.7</v>
      </c>
      <c r="D17636" s="5">
        <v>0.1</v>
      </c>
      <c r="E17636" s="5">
        <v>123.9</v>
      </c>
      <c r="F17636" s="5">
        <v>244.9</v>
      </c>
      <c r="G17636" s="5">
        <v>121.1</v>
      </c>
      <c r="H17636" s="5">
        <v>120.9</v>
      </c>
      <c r="I17636" s="5"/>
      <c r="J17636" s="5"/>
      <c r="K17636" s="5"/>
    </row>
    <row r="17637" spans="1:11" x14ac:dyDescent="0.25">
      <c r="A17637" s="5">
        <f>17630</f>
      </c>
      <c r="B17637" s="5" t="s">
        <v>17645</v>
      </c>
      <c r="C17637" s="5">
        <v>123.7</v>
      </c>
      <c r="D17637" s="5">
        <v>0.1</v>
      </c>
      <c r="E17637" s="5">
        <v>123.9</v>
      </c>
      <c r="F17637" s="5">
        <v>244.9</v>
      </c>
      <c r="G17637" s="5">
        <v>121.1</v>
      </c>
      <c r="H17637" s="5">
        <v>120.9</v>
      </c>
      <c r="I17637" s="5"/>
      <c r="J17637" s="5"/>
      <c r="K17637" s="5"/>
    </row>
    <row r="17638" spans="1:11" x14ac:dyDescent="0.25">
      <c r="A17638" s="5">
        <f>17631</f>
      </c>
      <c r="B17638" s="5" t="s">
        <v>17646</v>
      </c>
      <c r="C17638" s="5">
        <v>123.7</v>
      </c>
      <c r="D17638" s="5">
        <v>0.1</v>
      </c>
      <c r="E17638" s="5">
        <v>123.8</v>
      </c>
      <c r="F17638" s="5">
        <v>244.6</v>
      </c>
      <c r="G17638" s="5">
        <v>120.9</v>
      </c>
      <c r="H17638" s="5">
        <v>120.7</v>
      </c>
      <c r="I17638" s="5"/>
      <c r="J17638" s="5"/>
      <c r="K17638" s="5"/>
    </row>
    <row r="17639" spans="1:11" x14ac:dyDescent="0.25">
      <c r="A17639" s="5">
        <f>17632</f>
      </c>
      <c r="B17639" s="5" t="s">
        <v>17647</v>
      </c>
      <c r="C17639" s="5">
        <v>123.7</v>
      </c>
      <c r="D17639" s="5">
        <v>0.1</v>
      </c>
      <c r="E17639" s="5">
        <v>123.8</v>
      </c>
      <c r="F17639" s="5">
        <v>244.6</v>
      </c>
      <c r="G17639" s="5">
        <v>120.9</v>
      </c>
      <c r="H17639" s="5">
        <v>120.7</v>
      </c>
      <c r="I17639" s="5"/>
      <c r="J17639" s="5"/>
      <c r="K17639" s="5"/>
    </row>
    <row r="17640" spans="1:11" x14ac:dyDescent="0.25">
      <c r="A17640" s="5">
        <f>17633</f>
      </c>
      <c r="B17640" s="5" t="s">
        <v>17648</v>
      </c>
      <c r="C17640" s="5">
        <v>123.7</v>
      </c>
      <c r="D17640" s="5">
        <v>0.1</v>
      </c>
      <c r="E17640" s="5">
        <v>123.9</v>
      </c>
      <c r="F17640" s="5">
        <v>245</v>
      </c>
      <c r="G17640" s="5">
        <v>121.2</v>
      </c>
      <c r="H17640" s="5">
        <v>121</v>
      </c>
      <c r="I17640" s="5"/>
      <c r="J17640" s="5"/>
      <c r="K17640" s="5"/>
    </row>
    <row r="17641" spans="1:11" x14ac:dyDescent="0.25">
      <c r="A17641" s="5">
        <f>17634</f>
      </c>
      <c r="B17641" s="5" t="s">
        <v>17649</v>
      </c>
      <c r="C17641" s="5">
        <v>123.7</v>
      </c>
      <c r="D17641" s="5">
        <v>0.1</v>
      </c>
      <c r="E17641" s="5">
        <v>123.9</v>
      </c>
      <c r="F17641" s="5">
        <v>245</v>
      </c>
      <c r="G17641" s="5">
        <v>121.2</v>
      </c>
      <c r="H17641" s="5">
        <v>121</v>
      </c>
      <c r="I17641" s="5"/>
      <c r="J17641" s="5"/>
      <c r="K17641" s="5"/>
    </row>
    <row r="17642" spans="1:11" x14ac:dyDescent="0.25">
      <c r="A17642" s="5">
        <f>17635</f>
      </c>
      <c r="B17642" s="5" t="s">
        <v>17650</v>
      </c>
      <c r="C17642" s="5">
        <v>123.7</v>
      </c>
      <c r="D17642" s="5">
        <v>0.1</v>
      </c>
      <c r="E17642" s="5">
        <v>123.9</v>
      </c>
      <c r="F17642" s="5">
        <v>245</v>
      </c>
      <c r="G17642" s="5">
        <v>121.2</v>
      </c>
      <c r="H17642" s="5">
        <v>121</v>
      </c>
      <c r="I17642" s="5"/>
      <c r="J17642" s="5"/>
      <c r="K17642" s="5"/>
    </row>
    <row r="17643" spans="1:11" x14ac:dyDescent="0.25">
      <c r="A17643" s="5">
        <f>17636</f>
      </c>
      <c r="B17643" s="5" t="s">
        <v>17651</v>
      </c>
      <c r="C17643" s="5">
        <v>124.1</v>
      </c>
      <c r="D17643" s="5">
        <v>0.1</v>
      </c>
      <c r="E17643" s="5">
        <v>124.2</v>
      </c>
      <c r="F17643" s="5">
        <v>245.6</v>
      </c>
      <c r="G17643" s="5">
        <v>121.5</v>
      </c>
      <c r="H17643" s="5">
        <v>121.3</v>
      </c>
      <c r="I17643" s="5"/>
      <c r="J17643" s="5"/>
      <c r="K17643" s="5"/>
    </row>
    <row r="17644" spans="1:11" x14ac:dyDescent="0.25">
      <c r="A17644" s="5">
        <f>17637</f>
      </c>
      <c r="B17644" s="5" t="s">
        <v>17652</v>
      </c>
      <c r="C17644" s="5">
        <v>124.1</v>
      </c>
      <c r="D17644" s="5">
        <v>0.1</v>
      </c>
      <c r="E17644" s="5">
        <v>124.2</v>
      </c>
      <c r="F17644" s="5">
        <v>245.6</v>
      </c>
      <c r="G17644" s="5">
        <v>121.5</v>
      </c>
      <c r="H17644" s="5">
        <v>121.3</v>
      </c>
      <c r="I17644" s="5"/>
      <c r="J17644" s="5"/>
      <c r="K17644" s="5"/>
    </row>
    <row r="17645" spans="1:11" x14ac:dyDescent="0.25">
      <c r="A17645" s="5">
        <f>17638</f>
      </c>
      <c r="B17645" s="5" t="s">
        <v>17653</v>
      </c>
      <c r="C17645" s="5">
        <v>124.1</v>
      </c>
      <c r="D17645" s="5">
        <v>0.1</v>
      </c>
      <c r="E17645" s="5">
        <v>124.1</v>
      </c>
      <c r="F17645" s="5">
        <v>245.2</v>
      </c>
      <c r="G17645" s="5">
        <v>121.2</v>
      </c>
      <c r="H17645" s="5">
        <v>121</v>
      </c>
      <c r="I17645" s="5"/>
      <c r="J17645" s="5"/>
      <c r="K17645" s="5"/>
    </row>
    <row r="17646" spans="1:11" x14ac:dyDescent="0.25">
      <c r="A17646" s="5">
        <f>17639</f>
      </c>
      <c r="B17646" s="5" t="s">
        <v>17654</v>
      </c>
      <c r="C17646" s="5">
        <v>123.9</v>
      </c>
      <c r="D17646" s="5">
        <v>0.1</v>
      </c>
      <c r="E17646" s="5">
        <v>124.1</v>
      </c>
      <c r="F17646" s="5">
        <v>245.2</v>
      </c>
      <c r="G17646" s="5">
        <v>121.2</v>
      </c>
      <c r="H17646" s="5">
        <v>121</v>
      </c>
      <c r="I17646" s="5"/>
      <c r="J17646" s="5"/>
      <c r="K17646" s="5"/>
    </row>
    <row r="17647" spans="1:11" x14ac:dyDescent="0.25">
      <c r="A17647" s="5">
        <f>17640</f>
      </c>
      <c r="B17647" s="5" t="s">
        <v>17655</v>
      </c>
      <c r="C17647" s="5">
        <v>123.9</v>
      </c>
      <c r="D17647" s="5">
        <v>0.1</v>
      </c>
      <c r="E17647" s="5">
        <v>124.1</v>
      </c>
      <c r="F17647" s="5">
        <v>244.8</v>
      </c>
      <c r="G17647" s="5">
        <v>121</v>
      </c>
      <c r="H17647" s="5">
        <v>120.9</v>
      </c>
      <c r="I17647" s="5"/>
      <c r="J17647" s="5"/>
      <c r="K17647" s="5"/>
    </row>
    <row r="17648" spans="1:11" x14ac:dyDescent="0.25">
      <c r="A17648" s="5">
        <f>17641</f>
      </c>
      <c r="B17648" s="5" t="s">
        <v>17656</v>
      </c>
      <c r="C17648" s="5">
        <v>123.6</v>
      </c>
      <c r="D17648" s="5">
        <v>0.1</v>
      </c>
      <c r="E17648" s="5">
        <v>123.7</v>
      </c>
      <c r="F17648" s="5">
        <v>244.8</v>
      </c>
      <c r="G17648" s="5">
        <v>121</v>
      </c>
      <c r="H17648" s="5">
        <v>120.9</v>
      </c>
      <c r="I17648" s="5"/>
      <c r="J17648" s="5"/>
      <c r="K17648" s="5"/>
    </row>
    <row r="17649" spans="1:11" x14ac:dyDescent="0.25">
      <c r="A17649" s="5">
        <f>17642</f>
      </c>
      <c r="B17649" s="5" t="s">
        <v>17657</v>
      </c>
      <c r="C17649" s="5">
        <v>123.6</v>
      </c>
      <c r="D17649" s="5">
        <v>0.1</v>
      </c>
      <c r="E17649" s="5">
        <v>123.7</v>
      </c>
      <c r="F17649" s="5">
        <v>244.9</v>
      </c>
      <c r="G17649" s="5">
        <v>121</v>
      </c>
      <c r="H17649" s="5">
        <v>120.8</v>
      </c>
      <c r="I17649" s="5"/>
      <c r="J17649" s="5"/>
      <c r="K17649" s="5"/>
    </row>
    <row r="17650" spans="1:11" x14ac:dyDescent="0.25">
      <c r="A17650" s="5">
        <f>17643</f>
      </c>
      <c r="B17650" s="5" t="s">
        <v>17658</v>
      </c>
      <c r="C17650" s="5">
        <v>123.6</v>
      </c>
      <c r="D17650" s="5">
        <v>0.1</v>
      </c>
      <c r="E17650" s="5">
        <v>123.7</v>
      </c>
      <c r="F17650" s="5">
        <v>244.9</v>
      </c>
      <c r="G17650" s="5">
        <v>121</v>
      </c>
      <c r="H17650" s="5">
        <v>120.8</v>
      </c>
      <c r="I17650" s="5"/>
      <c r="J17650" s="5"/>
      <c r="K17650" s="5"/>
    </row>
    <row r="17651" spans="1:11" x14ac:dyDescent="0.25">
      <c r="A17651" s="5">
        <f>17644</f>
      </c>
      <c r="B17651" s="5" t="s">
        <v>17659</v>
      </c>
      <c r="C17651" s="5">
        <v>123.6</v>
      </c>
      <c r="D17651" s="5">
        <v>0.1</v>
      </c>
      <c r="E17651" s="5">
        <v>123.7</v>
      </c>
      <c r="F17651" s="5">
        <v>244.9</v>
      </c>
      <c r="G17651" s="5">
        <v>121</v>
      </c>
      <c r="H17651" s="5">
        <v>120.8</v>
      </c>
      <c r="I17651" s="5"/>
      <c r="J17651" s="5"/>
      <c r="K17651" s="5"/>
    </row>
    <row r="17652" spans="1:11" x14ac:dyDescent="0.25">
      <c r="A17652" s="5">
        <f>17645</f>
      </c>
      <c r="B17652" s="5" t="s">
        <v>17660</v>
      </c>
      <c r="C17652" s="5">
        <v>123.6</v>
      </c>
      <c r="D17652" s="5">
        <v>0.1</v>
      </c>
      <c r="E17652" s="5">
        <v>123.7</v>
      </c>
      <c r="F17652" s="5">
        <v>244.9</v>
      </c>
      <c r="G17652" s="5">
        <v>121</v>
      </c>
      <c r="H17652" s="5">
        <v>120.8</v>
      </c>
      <c r="I17652" s="5"/>
      <c r="J17652" s="5"/>
      <c r="K17652" s="5"/>
    </row>
    <row r="17653" spans="1:11" x14ac:dyDescent="0.25">
      <c r="A17653" s="5">
        <f>17646</f>
      </c>
      <c r="B17653" s="5" t="s">
        <v>17661</v>
      </c>
      <c r="C17653" s="5">
        <v>124</v>
      </c>
      <c r="D17653" s="5">
        <v>0.1</v>
      </c>
      <c r="E17653" s="5">
        <v>124.1</v>
      </c>
      <c r="F17653" s="5">
        <v>244.7</v>
      </c>
      <c r="G17653" s="5">
        <v>120.9</v>
      </c>
      <c r="H17653" s="5">
        <v>120.8</v>
      </c>
      <c r="I17653" s="5"/>
      <c r="J17653" s="5"/>
      <c r="K17653" s="5"/>
    </row>
    <row r="17654" spans="1:11" x14ac:dyDescent="0.25">
      <c r="A17654" s="5">
        <f>17647</f>
      </c>
      <c r="B17654" s="5" t="s">
        <v>17662</v>
      </c>
      <c r="C17654" s="5">
        <v>124</v>
      </c>
      <c r="D17654" s="5">
        <v>0.1</v>
      </c>
      <c r="E17654" s="5">
        <v>124.1</v>
      </c>
      <c r="F17654" s="5">
        <v>244.7</v>
      </c>
      <c r="G17654" s="5">
        <v>120.9</v>
      </c>
      <c r="H17654" s="5">
        <v>120.8</v>
      </c>
      <c r="I17654" s="5"/>
      <c r="J17654" s="5"/>
      <c r="K17654" s="5"/>
    </row>
    <row r="17655" spans="1:11" x14ac:dyDescent="0.25">
      <c r="A17655" s="5">
        <f>17648</f>
      </c>
      <c r="B17655" s="5" t="s">
        <v>17663</v>
      </c>
      <c r="C17655" s="5">
        <v>124.1</v>
      </c>
      <c r="D17655" s="5">
        <v>0.1</v>
      </c>
      <c r="E17655" s="5">
        <v>124.3</v>
      </c>
      <c r="F17655" s="5">
        <v>245.6</v>
      </c>
      <c r="G17655" s="5">
        <v>121.3</v>
      </c>
      <c r="H17655" s="5">
        <v>121.1</v>
      </c>
      <c r="I17655" s="5"/>
      <c r="J17655" s="5"/>
      <c r="K17655" s="5"/>
    </row>
    <row r="17656" spans="1:11" x14ac:dyDescent="0.25">
      <c r="A17656" s="5">
        <f>17649</f>
      </c>
      <c r="B17656" s="5" t="s">
        <v>17664</v>
      </c>
      <c r="C17656" s="5">
        <v>124.1</v>
      </c>
      <c r="D17656" s="5">
        <v>0.1</v>
      </c>
      <c r="E17656" s="5">
        <v>124.3</v>
      </c>
      <c r="F17656" s="5">
        <v>245.6</v>
      </c>
      <c r="G17656" s="5">
        <v>121.3</v>
      </c>
      <c r="H17656" s="5">
        <v>121.1</v>
      </c>
      <c r="I17656" s="5"/>
      <c r="J17656" s="5"/>
      <c r="K17656" s="5"/>
    </row>
    <row r="17657" spans="1:11" x14ac:dyDescent="0.25">
      <c r="A17657" s="5">
        <f>17650</f>
      </c>
      <c r="B17657" s="5" t="s">
        <v>17665</v>
      </c>
      <c r="C17657" s="5">
        <v>123.7</v>
      </c>
      <c r="D17657" s="5">
        <v>0.1</v>
      </c>
      <c r="E17657" s="5">
        <v>123.9</v>
      </c>
      <c r="F17657" s="5">
        <v>244.7</v>
      </c>
      <c r="G17657" s="5">
        <v>120.9</v>
      </c>
      <c r="H17657" s="5">
        <v>120.7</v>
      </c>
      <c r="I17657" s="5"/>
      <c r="J17657" s="5"/>
      <c r="K17657" s="5"/>
    </row>
    <row r="17658" spans="1:11" x14ac:dyDescent="0.25">
      <c r="A17658" s="5">
        <f>17651</f>
      </c>
      <c r="B17658" s="5" t="s">
        <v>17666</v>
      </c>
      <c r="C17658" s="5">
        <v>123.7</v>
      </c>
      <c r="D17658" s="5">
        <v>0.1</v>
      </c>
      <c r="E17658" s="5">
        <v>123.9</v>
      </c>
      <c r="F17658" s="5">
        <v>244.7</v>
      </c>
      <c r="G17658" s="5">
        <v>120.9</v>
      </c>
      <c r="H17658" s="5">
        <v>120.7</v>
      </c>
      <c r="I17658" s="5"/>
      <c r="J17658" s="5"/>
      <c r="K17658" s="5"/>
    </row>
    <row r="17659" spans="1:11" x14ac:dyDescent="0.25">
      <c r="A17659" s="5">
        <f>17652</f>
      </c>
      <c r="B17659" s="5" t="s">
        <v>17667</v>
      </c>
      <c r="C17659" s="5">
        <v>123.7</v>
      </c>
      <c r="D17659" s="5">
        <v>0.1</v>
      </c>
      <c r="E17659" s="5">
        <v>123.8</v>
      </c>
      <c r="F17659" s="5">
        <v>244.6</v>
      </c>
      <c r="G17659" s="5">
        <v>120.8</v>
      </c>
      <c r="H17659" s="5">
        <v>120.7</v>
      </c>
      <c r="I17659" s="5"/>
      <c r="J17659" s="5"/>
      <c r="K17659" s="5"/>
    </row>
    <row r="17660" spans="1:11" x14ac:dyDescent="0.25">
      <c r="A17660" s="5">
        <f>17653</f>
      </c>
      <c r="B17660" s="5" t="s">
        <v>17668</v>
      </c>
      <c r="C17660" s="5">
        <v>123.7</v>
      </c>
      <c r="D17660" s="5">
        <v>0.1</v>
      </c>
      <c r="E17660" s="5">
        <v>123.8</v>
      </c>
      <c r="F17660" s="5">
        <v>244.6</v>
      </c>
      <c r="G17660" s="5">
        <v>120.8</v>
      </c>
      <c r="H17660" s="5">
        <v>120.7</v>
      </c>
      <c r="I17660" s="5"/>
      <c r="J17660" s="5"/>
      <c r="K17660" s="5"/>
    </row>
    <row r="17661" spans="1:11" x14ac:dyDescent="0.25">
      <c r="A17661" s="5">
        <f>17654</f>
      </c>
      <c r="B17661" s="5" t="s">
        <v>17669</v>
      </c>
      <c r="C17661" s="5">
        <v>123.7</v>
      </c>
      <c r="D17661" s="5">
        <v>0.1</v>
      </c>
      <c r="E17661" s="5">
        <v>123.8</v>
      </c>
      <c r="F17661" s="5">
        <v>244.6</v>
      </c>
      <c r="G17661" s="5">
        <v>120.8</v>
      </c>
      <c r="H17661" s="5">
        <v>120.7</v>
      </c>
      <c r="I17661" s="5"/>
      <c r="J17661" s="5"/>
      <c r="K17661" s="5"/>
    </row>
    <row r="17662" spans="1:11" x14ac:dyDescent="0.25">
      <c r="A17662" s="5">
        <f>17655</f>
      </c>
      <c r="B17662" s="5" t="s">
        <v>17670</v>
      </c>
      <c r="C17662" s="5">
        <v>123.7</v>
      </c>
      <c r="D17662" s="5">
        <v>0.1</v>
      </c>
      <c r="E17662" s="5">
        <v>123.8</v>
      </c>
      <c r="F17662" s="5">
        <v>244.6</v>
      </c>
      <c r="G17662" s="5">
        <v>120.8</v>
      </c>
      <c r="H17662" s="5">
        <v>120.7</v>
      </c>
      <c r="I17662" s="5"/>
      <c r="J17662" s="5"/>
      <c r="K17662" s="5"/>
    </row>
    <row r="17663" spans="1:11" x14ac:dyDescent="0.25">
      <c r="A17663" s="5">
        <f>17656</f>
      </c>
      <c r="B17663" s="5" t="s">
        <v>17671</v>
      </c>
      <c r="C17663" s="5">
        <v>124</v>
      </c>
      <c r="D17663" s="5">
        <v>0.1</v>
      </c>
      <c r="E17663" s="5">
        <v>124.2</v>
      </c>
      <c r="F17663" s="5">
        <v>245.1</v>
      </c>
      <c r="G17663" s="5">
        <v>121</v>
      </c>
      <c r="H17663" s="5">
        <v>120.8</v>
      </c>
      <c r="I17663" s="5"/>
      <c r="J17663" s="5"/>
      <c r="K17663" s="5"/>
    </row>
    <row r="17664" spans="1:11" x14ac:dyDescent="0.25">
      <c r="A17664" s="5">
        <f>17657</f>
      </c>
      <c r="B17664" s="5" t="s">
        <v>17672</v>
      </c>
      <c r="C17664" s="5">
        <v>124</v>
      </c>
      <c r="D17664" s="5">
        <v>0.1</v>
      </c>
      <c r="E17664" s="5">
        <v>124.2</v>
      </c>
      <c r="F17664" s="5">
        <v>245.1</v>
      </c>
      <c r="G17664" s="5">
        <v>121</v>
      </c>
      <c r="H17664" s="5">
        <v>120.8</v>
      </c>
      <c r="I17664" s="5"/>
      <c r="J17664" s="5"/>
      <c r="K17664" s="5"/>
    </row>
    <row r="17665" spans="1:11" x14ac:dyDescent="0.25">
      <c r="A17665" s="5">
        <f>17658</f>
      </c>
      <c r="B17665" s="5" t="s">
        <v>17673</v>
      </c>
      <c r="C17665" s="5">
        <v>124</v>
      </c>
      <c r="D17665" s="5">
        <v>0.1</v>
      </c>
      <c r="E17665" s="5">
        <v>124.2</v>
      </c>
      <c r="F17665" s="5">
        <v>245.1</v>
      </c>
      <c r="G17665" s="5">
        <v>121</v>
      </c>
      <c r="H17665" s="5">
        <v>120.8</v>
      </c>
      <c r="I17665" s="5"/>
      <c r="J17665" s="5"/>
      <c r="K17665" s="5"/>
    </row>
    <row r="17666" spans="1:11" x14ac:dyDescent="0.25">
      <c r="A17666" s="5">
        <f>17659</f>
      </c>
      <c r="B17666" s="5" t="s">
        <v>17674</v>
      </c>
      <c r="C17666" s="5">
        <v>124</v>
      </c>
      <c r="D17666" s="5">
        <v>0.1</v>
      </c>
      <c r="E17666" s="5">
        <v>124.2</v>
      </c>
      <c r="F17666" s="5">
        <v>245.1</v>
      </c>
      <c r="G17666" s="5">
        <v>121</v>
      </c>
      <c r="H17666" s="5">
        <v>120.8</v>
      </c>
      <c r="I17666" s="5"/>
      <c r="J17666" s="5"/>
      <c r="K17666" s="5"/>
    </row>
    <row r="17667" spans="1:11" x14ac:dyDescent="0.25">
      <c r="A17667" s="5">
        <f>17660</f>
      </c>
      <c r="B17667" s="5" t="s">
        <v>17675</v>
      </c>
      <c r="C17667" s="5">
        <v>124.1</v>
      </c>
      <c r="D17667" s="5">
        <v>0.1</v>
      </c>
      <c r="E17667" s="5">
        <v>124.3</v>
      </c>
      <c r="F17667" s="5">
        <v>244.5</v>
      </c>
      <c r="G17667" s="5">
        <v>120.7</v>
      </c>
      <c r="H17667" s="5">
        <v>120.6</v>
      </c>
      <c r="I17667" s="5"/>
      <c r="J17667" s="5"/>
      <c r="K17667" s="5"/>
    </row>
    <row r="17668" spans="1:11" x14ac:dyDescent="0.25">
      <c r="A17668" s="5">
        <f>17661</f>
      </c>
      <c r="B17668" s="5" t="s">
        <v>17676</v>
      </c>
      <c r="C17668" s="5">
        <v>124.1</v>
      </c>
      <c r="D17668" s="5">
        <v>0.1</v>
      </c>
      <c r="E17668" s="5">
        <v>124.3</v>
      </c>
      <c r="F17668" s="5">
        <v>244.5</v>
      </c>
      <c r="G17668" s="5">
        <v>120.7</v>
      </c>
      <c r="H17668" s="5">
        <v>120.6</v>
      </c>
      <c r="I17668" s="5"/>
      <c r="J17668" s="5"/>
      <c r="K17668" s="5"/>
    </row>
    <row r="17669" spans="1:11" x14ac:dyDescent="0.25">
      <c r="A17669" s="5">
        <f>17662</f>
      </c>
      <c r="B17669" s="5" t="s">
        <v>17677</v>
      </c>
      <c r="C17669" s="5">
        <v>124.1</v>
      </c>
      <c r="D17669" s="5">
        <v>0.1</v>
      </c>
      <c r="E17669" s="5">
        <v>124.3</v>
      </c>
      <c r="F17669" s="5">
        <v>244.9</v>
      </c>
      <c r="G17669" s="5">
        <v>120.9</v>
      </c>
      <c r="H17669" s="5">
        <v>120.7</v>
      </c>
      <c r="I17669" s="5"/>
      <c r="J17669" s="5"/>
      <c r="K17669" s="5"/>
    </row>
    <row r="17670" spans="1:11" x14ac:dyDescent="0.25">
      <c r="A17670" s="5">
        <f>17663</f>
      </c>
      <c r="B17670" s="5" t="s">
        <v>17678</v>
      </c>
      <c r="C17670" s="5">
        <v>124.1</v>
      </c>
      <c r="D17670" s="5">
        <v>0.1</v>
      </c>
      <c r="E17670" s="5">
        <v>124.3</v>
      </c>
      <c r="F17670" s="5">
        <v>244.9</v>
      </c>
      <c r="G17670" s="5">
        <v>120.9</v>
      </c>
      <c r="H17670" s="5">
        <v>120.7</v>
      </c>
      <c r="I17670" s="5"/>
      <c r="J17670" s="5"/>
      <c r="K17670" s="5"/>
    </row>
    <row r="17671" spans="1:11" x14ac:dyDescent="0.25">
      <c r="A17671" s="5">
        <f>17664</f>
      </c>
      <c r="B17671" s="5" t="s">
        <v>17679</v>
      </c>
      <c r="C17671" s="5">
        <v>124.1</v>
      </c>
      <c r="D17671" s="5">
        <v>0.1</v>
      </c>
      <c r="E17671" s="5">
        <v>124.3</v>
      </c>
      <c r="F17671" s="5">
        <v>244.9</v>
      </c>
      <c r="G17671" s="5">
        <v>120.9</v>
      </c>
      <c r="H17671" s="5">
        <v>120.7</v>
      </c>
      <c r="I17671" s="5"/>
      <c r="J17671" s="5"/>
      <c r="K17671" s="5"/>
    </row>
    <row r="17672" spans="1:11" x14ac:dyDescent="0.25">
      <c r="A17672" s="5">
        <f>17665</f>
      </c>
      <c r="B17672" s="5" t="s">
        <v>17680</v>
      </c>
      <c r="C17672" s="5">
        <v>124.1</v>
      </c>
      <c r="D17672" s="5">
        <v>0.1</v>
      </c>
      <c r="E17672" s="5">
        <v>124.3</v>
      </c>
      <c r="F17672" s="5">
        <v>244.9</v>
      </c>
      <c r="G17672" s="5">
        <v>120.9</v>
      </c>
      <c r="H17672" s="5">
        <v>120.7</v>
      </c>
      <c r="I17672" s="5"/>
      <c r="J17672" s="5"/>
      <c r="K17672" s="5"/>
    </row>
    <row r="17673" spans="1:11" x14ac:dyDescent="0.25">
      <c r="A17673" s="5">
        <f>17666</f>
      </c>
      <c r="B17673" s="5" t="s">
        <v>17681</v>
      </c>
      <c r="C17673" s="5">
        <v>123.7</v>
      </c>
      <c r="D17673" s="5">
        <v>0.1</v>
      </c>
      <c r="E17673" s="5">
        <v>123.9</v>
      </c>
      <c r="F17673" s="5">
        <v>243.9</v>
      </c>
      <c r="G17673" s="5">
        <v>120.4</v>
      </c>
      <c r="H17673" s="5">
        <v>120.2</v>
      </c>
      <c r="I17673" s="5"/>
      <c r="J17673" s="5"/>
      <c r="K17673" s="5"/>
    </row>
    <row r="17674" spans="1:11" x14ac:dyDescent="0.25">
      <c r="A17674" s="5">
        <f>17667</f>
      </c>
      <c r="B17674" s="5" t="s">
        <v>17682</v>
      </c>
      <c r="C17674" s="5">
        <v>123.7</v>
      </c>
      <c r="D17674" s="5">
        <v>0.1</v>
      </c>
      <c r="E17674" s="5">
        <v>123.9</v>
      </c>
      <c r="F17674" s="5">
        <v>243.9</v>
      </c>
      <c r="G17674" s="5">
        <v>120.4</v>
      </c>
      <c r="H17674" s="5">
        <v>120.2</v>
      </c>
      <c r="I17674" s="5"/>
      <c r="J17674" s="5"/>
      <c r="K17674" s="5"/>
    </row>
    <row r="17675" spans="1:11" x14ac:dyDescent="0.25">
      <c r="A17675" s="5">
        <f>17668</f>
      </c>
      <c r="B17675" s="5" t="s">
        <v>17683</v>
      </c>
      <c r="C17675" s="5">
        <v>123.5</v>
      </c>
      <c r="D17675" s="5">
        <v>0.1</v>
      </c>
      <c r="E17675" s="5">
        <v>123.7</v>
      </c>
      <c r="F17675" s="5">
        <v>244.1</v>
      </c>
      <c r="G17675" s="5">
        <v>121.3</v>
      </c>
      <c r="H17675" s="5">
        <v>121.1</v>
      </c>
      <c r="I17675" s="5"/>
      <c r="J17675" s="5"/>
      <c r="K17675" s="5"/>
    </row>
    <row r="17676" spans="1:11" x14ac:dyDescent="0.25">
      <c r="A17676" s="5">
        <f>17669</f>
      </c>
      <c r="B17676" s="5" t="s">
        <v>17684</v>
      </c>
      <c r="C17676" s="5">
        <v>123.5</v>
      </c>
      <c r="D17676" s="5">
        <v>0.1</v>
      </c>
      <c r="E17676" s="5">
        <v>123.7</v>
      </c>
      <c r="F17676" s="5">
        <v>244.1</v>
      </c>
      <c r="G17676" s="5">
        <v>121.3</v>
      </c>
      <c r="H17676" s="5">
        <v>121.1</v>
      </c>
      <c r="I17676" s="5"/>
      <c r="J17676" s="5"/>
      <c r="K17676" s="5"/>
    </row>
    <row r="17677" spans="1:11" x14ac:dyDescent="0.25">
      <c r="A17677" s="5">
        <f>17670</f>
      </c>
      <c r="B17677" s="5" t="s">
        <v>17685</v>
      </c>
      <c r="C17677" s="5">
        <v>123.9</v>
      </c>
      <c r="D17677" s="5">
        <v>0.1</v>
      </c>
      <c r="E17677" s="5">
        <v>124.1</v>
      </c>
      <c r="F17677" s="5">
        <v>244.9</v>
      </c>
      <c r="G17677" s="5">
        <v>120.8</v>
      </c>
      <c r="H17677" s="5">
        <v>120.7</v>
      </c>
      <c r="I17677" s="5"/>
      <c r="J17677" s="5"/>
      <c r="K17677" s="5"/>
    </row>
    <row r="17678" spans="1:11" x14ac:dyDescent="0.25">
      <c r="A17678" s="5">
        <f>17671</f>
      </c>
      <c r="B17678" s="5" t="s">
        <v>17686</v>
      </c>
      <c r="C17678" s="5">
        <v>123.9</v>
      </c>
      <c r="D17678" s="5">
        <v>0.1</v>
      </c>
      <c r="E17678" s="5">
        <v>124.1</v>
      </c>
      <c r="F17678" s="5">
        <v>244.9</v>
      </c>
      <c r="G17678" s="5">
        <v>120.8</v>
      </c>
      <c r="H17678" s="5">
        <v>120.7</v>
      </c>
      <c r="I17678" s="5"/>
      <c r="J17678" s="5"/>
      <c r="K17678" s="5"/>
    </row>
    <row r="17679" spans="1:11" x14ac:dyDescent="0.25">
      <c r="A17679" s="5">
        <f>17672</f>
      </c>
      <c r="B17679" s="5" t="s">
        <v>17687</v>
      </c>
      <c r="C17679" s="5">
        <v>123.7</v>
      </c>
      <c r="D17679" s="5">
        <v>0.1</v>
      </c>
      <c r="E17679" s="5">
        <v>123.9</v>
      </c>
      <c r="F17679" s="5">
        <v>244.2</v>
      </c>
      <c r="G17679" s="5">
        <v>120.3</v>
      </c>
      <c r="H17679" s="5">
        <v>120.2</v>
      </c>
      <c r="I17679" s="5"/>
      <c r="J17679" s="5"/>
      <c r="K17679" s="5"/>
    </row>
    <row r="17680" spans="1:11" x14ac:dyDescent="0.25">
      <c r="A17680" s="5">
        <f>17673</f>
      </c>
      <c r="B17680" s="5" t="s">
        <v>17688</v>
      </c>
      <c r="C17680" s="5">
        <v>123.7</v>
      </c>
      <c r="D17680" s="5">
        <v>0.1</v>
      </c>
      <c r="E17680" s="5">
        <v>123.9</v>
      </c>
      <c r="F17680" s="5">
        <v>244.2</v>
      </c>
      <c r="G17680" s="5">
        <v>120.3</v>
      </c>
      <c r="H17680" s="5">
        <v>120.2</v>
      </c>
      <c r="I17680" s="5"/>
      <c r="J17680" s="5"/>
      <c r="K17680" s="5"/>
    </row>
    <row r="17681" spans="1:11" x14ac:dyDescent="0.25">
      <c r="A17681" s="5">
        <f>17674</f>
      </c>
      <c r="B17681" s="5" t="s">
        <v>17689</v>
      </c>
      <c r="C17681" s="5">
        <v>123.7</v>
      </c>
      <c r="D17681" s="5">
        <v>0.1</v>
      </c>
      <c r="E17681" s="5">
        <v>123.9</v>
      </c>
      <c r="F17681" s="5">
        <v>244.2</v>
      </c>
      <c r="G17681" s="5">
        <v>120.3</v>
      </c>
      <c r="H17681" s="5">
        <v>120.2</v>
      </c>
      <c r="I17681" s="5"/>
      <c r="J17681" s="5"/>
      <c r="K17681" s="5"/>
    </row>
    <row r="17682" spans="1:11" x14ac:dyDescent="0.25">
      <c r="A17682" s="5">
        <f>17675</f>
      </c>
      <c r="B17682" s="5" t="s">
        <v>17690</v>
      </c>
      <c r="C17682" s="5">
        <v>123.7</v>
      </c>
      <c r="D17682" s="5">
        <v>0.1</v>
      </c>
      <c r="E17682" s="5">
        <v>123.9</v>
      </c>
      <c r="F17682" s="5">
        <v>244.2</v>
      </c>
      <c r="G17682" s="5">
        <v>120.3</v>
      </c>
      <c r="H17682" s="5">
        <v>120.2</v>
      </c>
      <c r="I17682" s="5"/>
      <c r="J17682" s="5"/>
      <c r="K17682" s="5"/>
    </row>
    <row r="17683" spans="1:11" x14ac:dyDescent="0.25">
      <c r="A17683" s="5">
        <f>17676</f>
      </c>
      <c r="B17683" s="5" t="s">
        <v>17691</v>
      </c>
      <c r="C17683" s="5">
        <v>124.4</v>
      </c>
      <c r="D17683" s="5">
        <v>0.1</v>
      </c>
      <c r="E17683" s="5">
        <v>124.5</v>
      </c>
      <c r="F17683" s="5">
        <v>244.4</v>
      </c>
      <c r="G17683" s="5">
        <v>120.4</v>
      </c>
      <c r="H17683" s="5">
        <v>120.2</v>
      </c>
      <c r="I17683" s="5"/>
      <c r="J17683" s="5"/>
      <c r="K17683" s="5"/>
    </row>
    <row r="17684" spans="1:11" x14ac:dyDescent="0.25">
      <c r="A17684" s="5">
        <f>17677</f>
      </c>
      <c r="B17684" s="5" t="s">
        <v>17692</v>
      </c>
      <c r="C17684" s="5">
        <v>124.4</v>
      </c>
      <c r="D17684" s="5">
        <v>0.1</v>
      </c>
      <c r="E17684" s="5">
        <v>124.5</v>
      </c>
      <c r="F17684" s="5">
        <v>244.4</v>
      </c>
      <c r="G17684" s="5">
        <v>120.4</v>
      </c>
      <c r="H17684" s="5">
        <v>120.2</v>
      </c>
      <c r="I17684" s="5"/>
      <c r="J17684" s="5"/>
      <c r="K17684" s="5"/>
    </row>
    <row r="17685" spans="1:11" x14ac:dyDescent="0.25">
      <c r="A17685" s="5">
        <f>17678</f>
      </c>
      <c r="B17685" s="5" t="s">
        <v>17693</v>
      </c>
      <c r="C17685" s="5">
        <v>124.2</v>
      </c>
      <c r="D17685" s="5">
        <v>0.1</v>
      </c>
      <c r="E17685" s="5">
        <v>124.4</v>
      </c>
      <c r="F17685" s="5">
        <v>244.4</v>
      </c>
      <c r="G17685" s="5">
        <v>120.4</v>
      </c>
      <c r="H17685" s="5">
        <v>120.3</v>
      </c>
      <c r="I17685" s="5"/>
      <c r="J17685" s="5"/>
      <c r="K17685" s="5"/>
    </row>
    <row r="17686" spans="1:11" x14ac:dyDescent="0.25">
      <c r="A17686" s="5">
        <f>17679</f>
      </c>
      <c r="B17686" s="5" t="s">
        <v>17694</v>
      </c>
      <c r="C17686" s="5">
        <v>124.2</v>
      </c>
      <c r="D17686" s="5">
        <v>0.1</v>
      </c>
      <c r="E17686" s="5">
        <v>124.4</v>
      </c>
      <c r="F17686" s="5">
        <v>244.4</v>
      </c>
      <c r="G17686" s="5">
        <v>120.4</v>
      </c>
      <c r="H17686" s="5">
        <v>120.3</v>
      </c>
      <c r="I17686" s="5"/>
      <c r="J17686" s="5"/>
      <c r="K17686" s="5"/>
    </row>
    <row r="17687" spans="1:11" x14ac:dyDescent="0.25">
      <c r="A17687" s="5">
        <f>17680</f>
      </c>
      <c r="B17687" s="5" t="s">
        <v>17695</v>
      </c>
      <c r="C17687" s="5">
        <v>124.3</v>
      </c>
      <c r="D17687" s="5">
        <v>0.1</v>
      </c>
      <c r="E17687" s="5">
        <v>124.4</v>
      </c>
      <c r="F17687" s="5">
        <v>244.2</v>
      </c>
      <c r="G17687" s="5">
        <v>120.4</v>
      </c>
      <c r="H17687" s="5">
        <v>120.2</v>
      </c>
      <c r="I17687" s="5"/>
      <c r="J17687" s="5"/>
      <c r="K17687" s="5"/>
    </row>
    <row r="17688" spans="1:11" x14ac:dyDescent="0.25">
      <c r="A17688" s="5">
        <f>17681</f>
      </c>
      <c r="B17688" s="5" t="s">
        <v>17696</v>
      </c>
      <c r="C17688" s="5">
        <v>124.3</v>
      </c>
      <c r="D17688" s="5">
        <v>0.1</v>
      </c>
      <c r="E17688" s="5">
        <v>124.4</v>
      </c>
      <c r="F17688" s="5">
        <v>244.2</v>
      </c>
      <c r="G17688" s="5">
        <v>120.4</v>
      </c>
      <c r="H17688" s="5">
        <v>120.2</v>
      </c>
      <c r="I17688" s="5"/>
      <c r="J17688" s="5"/>
      <c r="K17688" s="5"/>
    </row>
    <row r="17689" spans="1:11" x14ac:dyDescent="0.25">
      <c r="A17689" s="5">
        <f>17682</f>
      </c>
      <c r="B17689" s="5" t="s">
        <v>17697</v>
      </c>
      <c r="C17689" s="5">
        <v>123.6</v>
      </c>
      <c r="D17689" s="5">
        <v>0.1</v>
      </c>
      <c r="E17689" s="5">
        <v>123.7</v>
      </c>
      <c r="F17689" s="5">
        <v>243.9</v>
      </c>
      <c r="G17689" s="5">
        <v>120.2</v>
      </c>
      <c r="H17689" s="5">
        <v>120</v>
      </c>
      <c r="I17689" s="5"/>
      <c r="J17689" s="5"/>
      <c r="K17689" s="5"/>
    </row>
    <row r="17690" spans="1:11" x14ac:dyDescent="0.25">
      <c r="A17690" s="5">
        <f>17683</f>
      </c>
      <c r="B17690" s="5" t="s">
        <v>17698</v>
      </c>
      <c r="C17690" s="5">
        <v>123.6</v>
      </c>
      <c r="D17690" s="5">
        <v>0.1</v>
      </c>
      <c r="E17690" s="5">
        <v>123.7</v>
      </c>
      <c r="F17690" s="5">
        <v>243.9</v>
      </c>
      <c r="G17690" s="5">
        <v>120.2</v>
      </c>
      <c r="H17690" s="5">
        <v>120</v>
      </c>
      <c r="I17690" s="5"/>
      <c r="J17690" s="5"/>
      <c r="K17690" s="5"/>
    </row>
    <row r="17691" spans="1:11" x14ac:dyDescent="0.25">
      <c r="A17691" s="5">
        <f>17684</f>
      </c>
      <c r="B17691" s="5" t="s">
        <v>17699</v>
      </c>
      <c r="C17691" s="5">
        <v>123.6</v>
      </c>
      <c r="D17691" s="5">
        <v>0.1</v>
      </c>
      <c r="E17691" s="5">
        <v>123.7</v>
      </c>
      <c r="F17691" s="5">
        <v>243.9</v>
      </c>
      <c r="G17691" s="5">
        <v>120.2</v>
      </c>
      <c r="H17691" s="5">
        <v>120</v>
      </c>
      <c r="I17691" s="5"/>
      <c r="J17691" s="5"/>
      <c r="K17691" s="5"/>
    </row>
    <row r="17692" spans="1:11" x14ac:dyDescent="0.25">
      <c r="A17692" s="5">
        <f>17685</f>
      </c>
      <c r="B17692" s="5" t="s">
        <v>17700</v>
      </c>
      <c r="C17692" s="5">
        <v>123.6</v>
      </c>
      <c r="D17692" s="5">
        <v>0.1</v>
      </c>
      <c r="E17692" s="5">
        <v>123.7</v>
      </c>
      <c r="F17692" s="5">
        <v>243.9</v>
      </c>
      <c r="G17692" s="5">
        <v>120.2</v>
      </c>
      <c r="H17692" s="5">
        <v>120</v>
      </c>
      <c r="I17692" s="5"/>
      <c r="J17692" s="5"/>
      <c r="K17692" s="5"/>
    </row>
    <row r="17693" spans="1:11" x14ac:dyDescent="0.25">
      <c r="A17693" s="5">
        <f>17686</f>
      </c>
      <c r="B17693" s="5" t="s">
        <v>17701</v>
      </c>
      <c r="C17693" s="5">
        <v>123.6</v>
      </c>
      <c r="D17693" s="5">
        <v>0.1</v>
      </c>
      <c r="E17693" s="5">
        <v>123.7</v>
      </c>
      <c r="F17693" s="5">
        <v>243.9</v>
      </c>
      <c r="G17693" s="5">
        <v>120.2</v>
      </c>
      <c r="H17693" s="5">
        <v>120</v>
      </c>
      <c r="I17693" s="5"/>
      <c r="J17693" s="5"/>
      <c r="K17693" s="5"/>
    </row>
    <row r="17694" spans="1:11" x14ac:dyDescent="0.25">
      <c r="A17694" s="5">
        <f>17687</f>
      </c>
      <c r="B17694" s="5" t="s">
        <v>17702</v>
      </c>
      <c r="C17694" s="5">
        <v>123.6</v>
      </c>
      <c r="D17694" s="5">
        <v>0.1</v>
      </c>
      <c r="E17694" s="5">
        <v>123.7</v>
      </c>
      <c r="F17694" s="5">
        <v>243.9</v>
      </c>
      <c r="G17694" s="5">
        <v>120.2</v>
      </c>
      <c r="H17694" s="5">
        <v>120</v>
      </c>
      <c r="I17694" s="5"/>
      <c r="J17694" s="5"/>
      <c r="K17694" s="5"/>
    </row>
    <row r="17695" spans="1:11" x14ac:dyDescent="0.25">
      <c r="A17695" s="5">
        <f>17688</f>
      </c>
      <c r="B17695" s="5" t="s">
        <v>17703</v>
      </c>
      <c r="C17695" s="5">
        <v>123.8</v>
      </c>
      <c r="D17695" s="5">
        <v>0.1</v>
      </c>
      <c r="E17695" s="5">
        <v>124</v>
      </c>
      <c r="F17695" s="5">
        <v>244</v>
      </c>
      <c r="G17695" s="5">
        <v>120.2</v>
      </c>
      <c r="H17695" s="5">
        <v>120.1</v>
      </c>
      <c r="I17695" s="5"/>
      <c r="J17695" s="5"/>
      <c r="K17695" s="5"/>
    </row>
    <row r="17696" spans="1:11" x14ac:dyDescent="0.25">
      <c r="A17696" s="5">
        <f>17689</f>
      </c>
      <c r="B17696" s="5" t="s">
        <v>17704</v>
      </c>
      <c r="C17696" s="5">
        <v>123.8</v>
      </c>
      <c r="D17696" s="5">
        <v>0.1</v>
      </c>
      <c r="E17696" s="5">
        <v>124</v>
      </c>
      <c r="F17696" s="5">
        <v>244</v>
      </c>
      <c r="G17696" s="5">
        <v>120.2</v>
      </c>
      <c r="H17696" s="5">
        <v>120.1</v>
      </c>
      <c r="I17696" s="5"/>
      <c r="J17696" s="5"/>
      <c r="K17696" s="5"/>
    </row>
    <row r="17697" spans="1:11" x14ac:dyDescent="0.25">
      <c r="A17697" s="5">
        <f>17690</f>
      </c>
      <c r="B17697" s="5" t="s">
        <v>17705</v>
      </c>
      <c r="C17697" s="5">
        <v>124.1</v>
      </c>
      <c r="D17697" s="5">
        <v>0.1</v>
      </c>
      <c r="E17697" s="5">
        <v>124.2</v>
      </c>
      <c r="F17697" s="5">
        <v>243.9</v>
      </c>
      <c r="G17697" s="5">
        <v>120.2</v>
      </c>
      <c r="H17697" s="5">
        <v>120.1</v>
      </c>
      <c r="I17697" s="5"/>
      <c r="J17697" s="5"/>
      <c r="K17697" s="5"/>
    </row>
    <row r="17698" spans="1:11" x14ac:dyDescent="0.25">
      <c r="A17698" s="5">
        <f>17691</f>
      </c>
      <c r="B17698" s="5" t="s">
        <v>17706</v>
      </c>
      <c r="C17698" s="5">
        <v>124.1</v>
      </c>
      <c r="D17698" s="5">
        <v>0.1</v>
      </c>
      <c r="E17698" s="5">
        <v>124.2</v>
      </c>
      <c r="F17698" s="5">
        <v>243.9</v>
      </c>
      <c r="G17698" s="5">
        <v>120.2</v>
      </c>
      <c r="H17698" s="5">
        <v>120.1</v>
      </c>
      <c r="I17698" s="5"/>
      <c r="J17698" s="5"/>
      <c r="K17698" s="5"/>
    </row>
    <row r="17699" spans="1:11" x14ac:dyDescent="0.25">
      <c r="A17699" s="5">
        <f>17692</f>
      </c>
      <c r="B17699" s="5" t="s">
        <v>17707</v>
      </c>
      <c r="C17699" s="5">
        <v>124</v>
      </c>
      <c r="D17699" s="5">
        <v>0.1</v>
      </c>
      <c r="E17699" s="5">
        <v>124.1</v>
      </c>
      <c r="F17699" s="5">
        <v>244.5</v>
      </c>
      <c r="G17699" s="5">
        <v>120.5</v>
      </c>
      <c r="H17699" s="5">
        <v>120.4</v>
      </c>
      <c r="I17699" s="5"/>
      <c r="J17699" s="5"/>
      <c r="K17699" s="5"/>
    </row>
    <row r="17700" spans="1:11" x14ac:dyDescent="0.25">
      <c r="A17700" s="5">
        <f>17693</f>
      </c>
      <c r="B17700" s="5" t="s">
        <v>17708</v>
      </c>
      <c r="C17700" s="5">
        <v>124</v>
      </c>
      <c r="D17700" s="5">
        <v>0.1</v>
      </c>
      <c r="E17700" s="5">
        <v>124.1</v>
      </c>
      <c r="F17700" s="5">
        <v>244.5</v>
      </c>
      <c r="G17700" s="5">
        <v>120.5</v>
      </c>
      <c r="H17700" s="5">
        <v>120.4</v>
      </c>
      <c r="I17700" s="5"/>
      <c r="J17700" s="5"/>
      <c r="K17700" s="5"/>
    </row>
    <row r="17701" spans="1:11" x14ac:dyDescent="0.25">
      <c r="A17701" s="5">
        <f>17694</f>
      </c>
      <c r="B17701" s="5" t="s">
        <v>17709</v>
      </c>
      <c r="C17701" s="5">
        <v>124</v>
      </c>
      <c r="D17701" s="5">
        <v>0.1</v>
      </c>
      <c r="E17701" s="5">
        <v>124.1</v>
      </c>
      <c r="F17701" s="5">
        <v>244.5</v>
      </c>
      <c r="G17701" s="5">
        <v>120.5</v>
      </c>
      <c r="H17701" s="5">
        <v>120.4</v>
      </c>
      <c r="I17701" s="5"/>
      <c r="J17701" s="5"/>
      <c r="K17701" s="5"/>
    </row>
    <row r="17702" spans="1:11" x14ac:dyDescent="0.25">
      <c r="A17702" s="5">
        <f>17695</f>
      </c>
      <c r="B17702" s="5" t="s">
        <v>17710</v>
      </c>
      <c r="C17702" s="5">
        <v>124</v>
      </c>
      <c r="D17702" s="5">
        <v>0.1</v>
      </c>
      <c r="E17702" s="5">
        <v>124.1</v>
      </c>
      <c r="F17702" s="5">
        <v>244.5</v>
      </c>
      <c r="G17702" s="5">
        <v>120.5</v>
      </c>
      <c r="H17702" s="5">
        <v>120.4</v>
      </c>
      <c r="I17702" s="5"/>
      <c r="J17702" s="5"/>
      <c r="K17702" s="5"/>
    </row>
    <row r="17703" spans="1:11" x14ac:dyDescent="0.25">
      <c r="A17703" s="5">
        <f>17696</f>
      </c>
      <c r="B17703" s="5" t="s">
        <v>17711</v>
      </c>
      <c r="C17703" s="5">
        <v>123.7</v>
      </c>
      <c r="D17703" s="5">
        <v>0.1</v>
      </c>
      <c r="E17703" s="5">
        <v>123.9</v>
      </c>
      <c r="F17703" s="5">
        <v>244.1</v>
      </c>
      <c r="G17703" s="5">
        <v>120.3</v>
      </c>
      <c r="H17703" s="5">
        <v>120.2</v>
      </c>
      <c r="I17703" s="5"/>
      <c r="J17703" s="5"/>
      <c r="K17703" s="5"/>
    </row>
    <row r="17704" spans="1:11" x14ac:dyDescent="0.25">
      <c r="A17704" s="5">
        <f>17697</f>
      </c>
      <c r="B17704" s="5" t="s">
        <v>17712</v>
      </c>
      <c r="C17704" s="5">
        <v>123.7</v>
      </c>
      <c r="D17704" s="5">
        <v>0.1</v>
      </c>
      <c r="E17704" s="5">
        <v>123.9</v>
      </c>
      <c r="F17704" s="5">
        <v>244.1</v>
      </c>
      <c r="G17704" s="5">
        <v>120.3</v>
      </c>
      <c r="H17704" s="5">
        <v>120.2</v>
      </c>
      <c r="I17704" s="5"/>
      <c r="J17704" s="5"/>
      <c r="K17704" s="5"/>
    </row>
    <row r="17705" spans="1:11" x14ac:dyDescent="0.25">
      <c r="A17705" s="5">
        <f>17698</f>
      </c>
      <c r="B17705" s="5" t="s">
        <v>17713</v>
      </c>
      <c r="C17705" s="5">
        <v>124</v>
      </c>
      <c r="D17705" s="5">
        <v>0.1</v>
      </c>
      <c r="E17705" s="5">
        <v>124.1</v>
      </c>
      <c r="F17705" s="5">
        <v>244.9</v>
      </c>
      <c r="G17705" s="5">
        <v>120.7</v>
      </c>
      <c r="H17705" s="5">
        <v>120.5</v>
      </c>
      <c r="I17705" s="5"/>
      <c r="J17705" s="5"/>
      <c r="K17705" s="5"/>
    </row>
    <row r="17706" spans="1:11" x14ac:dyDescent="0.25">
      <c r="A17706" s="5">
        <f>17699</f>
      </c>
      <c r="B17706" s="5" t="s">
        <v>17714</v>
      </c>
      <c r="C17706" s="5">
        <v>124</v>
      </c>
      <c r="D17706" s="5">
        <v>0.1</v>
      </c>
      <c r="E17706" s="5">
        <v>124.1</v>
      </c>
      <c r="F17706" s="5">
        <v>244.9</v>
      </c>
      <c r="G17706" s="5">
        <v>120.7</v>
      </c>
      <c r="H17706" s="5">
        <v>120.5</v>
      </c>
      <c r="I17706" s="5"/>
      <c r="J17706" s="5"/>
      <c r="K17706" s="5"/>
    </row>
    <row r="17707" spans="1:11" x14ac:dyDescent="0.25">
      <c r="A17707" s="5">
        <f>17700</f>
      </c>
      <c r="B17707" s="5" t="s">
        <v>17715</v>
      </c>
      <c r="C17707" s="5">
        <v>124</v>
      </c>
      <c r="D17707" s="5">
        <v>0.1</v>
      </c>
      <c r="E17707" s="5">
        <v>124.1</v>
      </c>
      <c r="F17707" s="5">
        <v>244.6</v>
      </c>
      <c r="G17707" s="5">
        <v>120.6</v>
      </c>
      <c r="H17707" s="5">
        <v>120.4</v>
      </c>
      <c r="I17707" s="5"/>
      <c r="J17707" s="5"/>
      <c r="K17707" s="5"/>
    </row>
    <row r="17708" spans="1:11" x14ac:dyDescent="0.25">
      <c r="A17708" s="5">
        <f>17701</f>
      </c>
      <c r="B17708" s="5" t="s">
        <v>17716</v>
      </c>
      <c r="C17708" s="5">
        <v>124</v>
      </c>
      <c r="D17708" s="5">
        <v>0.1</v>
      </c>
      <c r="E17708" s="5">
        <v>124.1</v>
      </c>
      <c r="F17708" s="5">
        <v>244.6</v>
      </c>
      <c r="G17708" s="5">
        <v>120.6</v>
      </c>
      <c r="H17708" s="5">
        <v>120.4</v>
      </c>
      <c r="I17708" s="5"/>
      <c r="J17708" s="5"/>
      <c r="K17708" s="5"/>
    </row>
    <row r="17709" spans="1:11" x14ac:dyDescent="0.25">
      <c r="A17709" s="5">
        <f>17702</f>
      </c>
      <c r="B17709" s="5" t="s">
        <v>17717</v>
      </c>
      <c r="C17709" s="5">
        <v>123.5</v>
      </c>
      <c r="D17709" s="5">
        <v>0.1</v>
      </c>
      <c r="E17709" s="5">
        <v>123.7</v>
      </c>
      <c r="F17709" s="5">
        <v>243.7</v>
      </c>
      <c r="G17709" s="5">
        <v>120.1</v>
      </c>
      <c r="H17709" s="5">
        <v>119.9</v>
      </c>
      <c r="I17709" s="5"/>
      <c r="J17709" s="5"/>
      <c r="K17709" s="5"/>
    </row>
    <row r="17710" spans="1:11" x14ac:dyDescent="0.25">
      <c r="A17710" s="5">
        <f>17703</f>
      </c>
      <c r="B17710" s="5" t="s">
        <v>17718</v>
      </c>
      <c r="C17710" s="5">
        <v>123.5</v>
      </c>
      <c r="D17710" s="5">
        <v>0.1</v>
      </c>
      <c r="E17710" s="5">
        <v>123.7</v>
      </c>
      <c r="F17710" s="5">
        <v>243.7</v>
      </c>
      <c r="G17710" s="5">
        <v>120.1</v>
      </c>
      <c r="H17710" s="5">
        <v>119.9</v>
      </c>
      <c r="I17710" s="5"/>
      <c r="J17710" s="5"/>
      <c r="K17710" s="5"/>
    </row>
    <row r="17711" spans="1:11" x14ac:dyDescent="0.25">
      <c r="A17711" s="5">
        <f>17704</f>
      </c>
      <c r="B17711" s="5" t="s">
        <v>17719</v>
      </c>
      <c r="C17711" s="5">
        <v>123.5</v>
      </c>
      <c r="D17711" s="5">
        <v>0.1</v>
      </c>
      <c r="E17711" s="5">
        <v>123.7</v>
      </c>
      <c r="F17711" s="5">
        <v>243.7</v>
      </c>
      <c r="G17711" s="5">
        <v>120.1</v>
      </c>
      <c r="H17711" s="5">
        <v>119.9</v>
      </c>
      <c r="I17711" s="5"/>
      <c r="J17711" s="5"/>
      <c r="K17711" s="5"/>
    </row>
    <row r="17712" spans="1:11" x14ac:dyDescent="0.25">
      <c r="A17712" s="5">
        <f>17705</f>
      </c>
      <c r="B17712" s="5" t="s">
        <v>17720</v>
      </c>
      <c r="C17712" s="5">
        <v>123.5</v>
      </c>
      <c r="D17712" s="5">
        <v>0.1</v>
      </c>
      <c r="E17712" s="5">
        <v>123.7</v>
      </c>
      <c r="F17712" s="5">
        <v>243.7</v>
      </c>
      <c r="G17712" s="5">
        <v>120.1</v>
      </c>
      <c r="H17712" s="5">
        <v>119.9</v>
      </c>
      <c r="I17712" s="5"/>
      <c r="J17712" s="5"/>
      <c r="K17712" s="5"/>
    </row>
    <row r="17713" spans="1:11" x14ac:dyDescent="0.25">
      <c r="A17713" s="5">
        <f>17706</f>
      </c>
      <c r="B17713" s="5" t="s">
        <v>17721</v>
      </c>
      <c r="C17713" s="5">
        <v>124.1</v>
      </c>
      <c r="D17713" s="5">
        <v>0.1</v>
      </c>
      <c r="E17713" s="5">
        <v>124.2</v>
      </c>
      <c r="F17713" s="5">
        <v>244.5</v>
      </c>
      <c r="G17713" s="5">
        <v>120.5</v>
      </c>
      <c r="H17713" s="5">
        <v>120.4</v>
      </c>
      <c r="I17713" s="5"/>
      <c r="J17713" s="5"/>
      <c r="K17713" s="5"/>
    </row>
    <row r="17714" spans="1:11" x14ac:dyDescent="0.25">
      <c r="A17714" s="5">
        <f>17707</f>
      </c>
      <c r="B17714" s="5" t="s">
        <v>17722</v>
      </c>
      <c r="C17714" s="5">
        <v>124.1</v>
      </c>
      <c r="D17714" s="5">
        <v>0.1</v>
      </c>
      <c r="E17714" s="5">
        <v>124.2</v>
      </c>
      <c r="F17714" s="5">
        <v>244.5</v>
      </c>
      <c r="G17714" s="5">
        <v>120.5</v>
      </c>
      <c r="H17714" s="5">
        <v>120.4</v>
      </c>
      <c r="I17714" s="5"/>
      <c r="J17714" s="5"/>
      <c r="K17714" s="5"/>
    </row>
    <row r="17715" spans="1:11" x14ac:dyDescent="0.25">
      <c r="A17715" s="5">
        <f>17708</f>
      </c>
      <c r="B17715" s="5" t="s">
        <v>17723</v>
      </c>
      <c r="C17715" s="5">
        <v>120.1</v>
      </c>
      <c r="D17715" s="5">
        <v>0.1</v>
      </c>
      <c r="E17715" s="5">
        <v>120.2</v>
      </c>
      <c r="F17715" s="5">
        <v>236.9</v>
      </c>
      <c r="G17715" s="5">
        <v>116.8</v>
      </c>
      <c r="H17715" s="5">
        <v>116.7</v>
      </c>
      <c r="I17715" s="5"/>
      <c r="J17715" s="5"/>
      <c r="K17715" s="5"/>
    </row>
    <row r="17716" spans="1:11" x14ac:dyDescent="0.25">
      <c r="A17716" s="5">
        <f>17709</f>
      </c>
      <c r="B17716" s="5" t="s">
        <v>17724</v>
      </c>
      <c r="C17716" s="5">
        <v>120.1</v>
      </c>
      <c r="D17716" s="5">
        <v>0.1</v>
      </c>
      <c r="E17716" s="5">
        <v>120.2</v>
      </c>
      <c r="F17716" s="5">
        <v>236.9</v>
      </c>
      <c r="G17716" s="5">
        <v>116.8</v>
      </c>
      <c r="H17716" s="5">
        <v>116.7</v>
      </c>
      <c r="I17716" s="5"/>
      <c r="J17716" s="5"/>
      <c r="K17716" s="5"/>
    </row>
    <row r="17717" spans="1:11" x14ac:dyDescent="0.25">
      <c r="A17717" s="5">
        <f>17710</f>
      </c>
      <c r="B17717" s="5" t="s">
        <v>17725</v>
      </c>
      <c r="C17717" s="5">
        <v>119.6</v>
      </c>
      <c r="D17717" s="5">
        <v>0.1</v>
      </c>
      <c r="E17717" s="5">
        <v>119.8</v>
      </c>
      <c r="F17717" s="5">
        <v>236.4</v>
      </c>
      <c r="G17717" s="5">
        <v>116.5</v>
      </c>
      <c r="H17717" s="5">
        <v>116.3</v>
      </c>
      <c r="I17717" s="5"/>
      <c r="J17717" s="5"/>
      <c r="K17717" s="5"/>
    </row>
    <row r="17718" spans="1:11" x14ac:dyDescent="0.25">
      <c r="A17718" s="5">
        <f>17711</f>
      </c>
      <c r="B17718" s="5" t="s">
        <v>17726</v>
      </c>
      <c r="C17718" s="5">
        <v>119.6</v>
      </c>
      <c r="D17718" s="5">
        <v>0.1</v>
      </c>
      <c r="E17718" s="5">
        <v>119.8</v>
      </c>
      <c r="F17718" s="5">
        <v>236.4</v>
      </c>
      <c r="G17718" s="5">
        <v>116.5</v>
      </c>
      <c r="H17718" s="5">
        <v>116.3</v>
      </c>
      <c r="I17718" s="5"/>
      <c r="J17718" s="5"/>
      <c r="K17718" s="5"/>
    </row>
    <row r="17719" spans="1:11" x14ac:dyDescent="0.25">
      <c r="A17719" s="5">
        <f>17712</f>
      </c>
      <c r="B17719" s="5" t="s">
        <v>17727</v>
      </c>
      <c r="C17719" s="5">
        <v>119.3</v>
      </c>
      <c r="D17719" s="5">
        <v>0.1</v>
      </c>
      <c r="E17719" s="5">
        <v>119.4</v>
      </c>
      <c r="F17719" s="5">
        <v>235.3</v>
      </c>
      <c r="G17719" s="5">
        <v>116</v>
      </c>
      <c r="H17719" s="5">
        <v>115.8</v>
      </c>
      <c r="I17719" s="5"/>
      <c r="J17719" s="5"/>
      <c r="K17719" s="5"/>
    </row>
    <row r="17720" spans="1:11" x14ac:dyDescent="0.25">
      <c r="A17720" s="5">
        <f>17713</f>
      </c>
      <c r="B17720" s="5" t="s">
        <v>17728</v>
      </c>
      <c r="C17720" s="5">
        <v>119.3</v>
      </c>
      <c r="D17720" s="5">
        <v>0.1</v>
      </c>
      <c r="E17720" s="5">
        <v>119.4</v>
      </c>
      <c r="F17720" s="5">
        <v>235.3</v>
      </c>
      <c r="G17720" s="5">
        <v>116</v>
      </c>
      <c r="H17720" s="5">
        <v>115.8</v>
      </c>
      <c r="I17720" s="5"/>
      <c r="J17720" s="5"/>
      <c r="K17720" s="5"/>
    </row>
    <row r="17721" spans="1:11" x14ac:dyDescent="0.25">
      <c r="A17721" s="5">
        <f>17714</f>
      </c>
      <c r="B17721" s="5" t="s">
        <v>17729</v>
      </c>
      <c r="C17721" s="5">
        <v>119.3</v>
      </c>
      <c r="D17721" s="5">
        <v>0.1</v>
      </c>
      <c r="E17721" s="5">
        <v>119.4</v>
      </c>
      <c r="F17721" s="5">
        <v>235.3</v>
      </c>
      <c r="G17721" s="5">
        <v>116</v>
      </c>
      <c r="H17721" s="5">
        <v>115.8</v>
      </c>
      <c r="I17721" s="5"/>
      <c r="J17721" s="5"/>
      <c r="K17721" s="5"/>
    </row>
    <row r="17722" spans="1:11" x14ac:dyDescent="0.25">
      <c r="A17722" s="5">
        <f>17715</f>
      </c>
      <c r="B17722" s="5" t="s">
        <v>17730</v>
      </c>
      <c r="C17722" s="5">
        <v>119.3</v>
      </c>
      <c r="D17722" s="5">
        <v>0.1</v>
      </c>
      <c r="E17722" s="5">
        <v>119.4</v>
      </c>
      <c r="F17722" s="5">
        <v>235.3</v>
      </c>
      <c r="G17722" s="5">
        <v>116</v>
      </c>
      <c r="H17722" s="5">
        <v>115.8</v>
      </c>
      <c r="I17722" s="5"/>
      <c r="J17722" s="5"/>
      <c r="K17722" s="5"/>
    </row>
    <row r="17723" spans="1:11" x14ac:dyDescent="0.25">
      <c r="A17723" s="5">
        <f>17716</f>
      </c>
      <c r="B17723" s="5" t="s">
        <v>17731</v>
      </c>
      <c r="C17723" s="5">
        <v>119</v>
      </c>
      <c r="D17723" s="5">
        <v>0.1</v>
      </c>
      <c r="E17723" s="5">
        <v>119.2</v>
      </c>
      <c r="F17723" s="5">
        <v>234.7</v>
      </c>
      <c r="G17723" s="5">
        <v>115.8</v>
      </c>
      <c r="H17723" s="5">
        <v>115.7</v>
      </c>
      <c r="I17723" s="5"/>
      <c r="J17723" s="5"/>
      <c r="K17723" s="5"/>
    </row>
    <row r="17724" spans="1:11" x14ac:dyDescent="0.25">
      <c r="A17724" s="5">
        <f>17717</f>
      </c>
      <c r="B17724" s="5" t="s">
        <v>17732</v>
      </c>
      <c r="C17724" s="5">
        <v>119</v>
      </c>
      <c r="D17724" s="5">
        <v>0.1</v>
      </c>
      <c r="E17724" s="5">
        <v>119.2</v>
      </c>
      <c r="F17724" s="5">
        <v>234.7</v>
      </c>
      <c r="G17724" s="5">
        <v>115.8</v>
      </c>
      <c r="H17724" s="5">
        <v>115.7</v>
      </c>
      <c r="I17724" s="5"/>
      <c r="J17724" s="5"/>
      <c r="K17724" s="5"/>
    </row>
    <row r="17725" spans="1:11" x14ac:dyDescent="0.25">
      <c r="A17725" s="5">
        <f>17718</f>
      </c>
      <c r="B17725" s="5" t="s">
        <v>17733</v>
      </c>
      <c r="C17725" s="5">
        <v>119.3</v>
      </c>
      <c r="D17725" s="5">
        <v>0.1</v>
      </c>
      <c r="E17725" s="5">
        <v>119.5</v>
      </c>
      <c r="F17725" s="5">
        <v>235.3</v>
      </c>
      <c r="G17725" s="5">
        <v>116</v>
      </c>
      <c r="H17725" s="5">
        <v>115.8</v>
      </c>
      <c r="I17725" s="5"/>
      <c r="J17725" s="5"/>
      <c r="K17725" s="5"/>
    </row>
    <row r="17726" spans="1:11" x14ac:dyDescent="0.25">
      <c r="A17726" s="5">
        <f>17719</f>
      </c>
      <c r="B17726" s="5" t="s">
        <v>17734</v>
      </c>
      <c r="C17726" s="5">
        <v>119.3</v>
      </c>
      <c r="D17726" s="5">
        <v>0.1</v>
      </c>
      <c r="E17726" s="5">
        <v>119.5</v>
      </c>
      <c r="F17726" s="5">
        <v>235.3</v>
      </c>
      <c r="G17726" s="5">
        <v>116</v>
      </c>
      <c r="H17726" s="5">
        <v>115.8</v>
      </c>
      <c r="I17726" s="5"/>
      <c r="J17726" s="5"/>
      <c r="K17726" s="5"/>
    </row>
    <row r="17727" spans="1:11" x14ac:dyDescent="0.25">
      <c r="A17727" s="5">
        <f>17720</f>
      </c>
      <c r="B17727" s="5" t="s">
        <v>17735</v>
      </c>
      <c r="C17727" s="5">
        <v>119.6</v>
      </c>
      <c r="D17727" s="5">
        <v>0.1</v>
      </c>
      <c r="E17727" s="5">
        <v>119.7</v>
      </c>
      <c r="F17727" s="5">
        <v>235.8</v>
      </c>
      <c r="G17727" s="5">
        <v>116.3</v>
      </c>
      <c r="H17727" s="5">
        <v>116.1</v>
      </c>
      <c r="I17727" s="5"/>
      <c r="J17727" s="5"/>
      <c r="K17727" s="5"/>
    </row>
    <row r="17728" spans="1:11" x14ac:dyDescent="0.25">
      <c r="A17728" s="5">
        <f>17721</f>
      </c>
      <c r="B17728" s="5" t="s">
        <v>17736</v>
      </c>
      <c r="C17728" s="5">
        <v>119.6</v>
      </c>
      <c r="D17728" s="5">
        <v>0.1</v>
      </c>
      <c r="E17728" s="5">
        <v>119.7</v>
      </c>
      <c r="F17728" s="5">
        <v>235.8</v>
      </c>
      <c r="G17728" s="5">
        <v>116.3</v>
      </c>
      <c r="H17728" s="5">
        <v>116.1</v>
      </c>
      <c r="I17728" s="5"/>
      <c r="J17728" s="5"/>
      <c r="K17728" s="5"/>
    </row>
    <row r="17729" spans="1:11" x14ac:dyDescent="0.25">
      <c r="A17729" s="5">
        <f>17722</f>
      </c>
      <c r="B17729" s="5" t="s">
        <v>17737</v>
      </c>
      <c r="C17729" s="5">
        <v>119.6</v>
      </c>
      <c r="D17729" s="5">
        <v>0.1</v>
      </c>
      <c r="E17729" s="5">
        <v>119.9</v>
      </c>
      <c r="F17729" s="5">
        <v>235.8</v>
      </c>
      <c r="G17729" s="5">
        <v>116.2</v>
      </c>
      <c r="H17729" s="5">
        <v>116.1</v>
      </c>
      <c r="I17729" s="5"/>
      <c r="J17729" s="5"/>
      <c r="K17729" s="5"/>
    </row>
    <row r="17730" spans="1:11" x14ac:dyDescent="0.25">
      <c r="A17730" s="5">
        <f>17723</f>
      </c>
      <c r="B17730" s="5" t="s">
        <v>17738</v>
      </c>
      <c r="C17730" s="5">
        <v>119.6</v>
      </c>
      <c r="D17730" s="5">
        <v>0.1</v>
      </c>
      <c r="E17730" s="5">
        <v>119.9</v>
      </c>
      <c r="F17730" s="5">
        <v>235.8</v>
      </c>
      <c r="G17730" s="5">
        <v>116.2</v>
      </c>
      <c r="H17730" s="5">
        <v>116.1</v>
      </c>
      <c r="I17730" s="5"/>
      <c r="J17730" s="5"/>
      <c r="K17730" s="5"/>
    </row>
    <row r="17731" spans="1:11" x14ac:dyDescent="0.25">
      <c r="A17731" s="5">
        <f>17724</f>
      </c>
      <c r="B17731" s="5" t="s">
        <v>17739</v>
      </c>
      <c r="C17731" s="5">
        <v>119.6</v>
      </c>
      <c r="D17731" s="5">
        <v>0.1</v>
      </c>
      <c r="E17731" s="5">
        <v>119.9</v>
      </c>
      <c r="F17731" s="5">
        <v>235.8</v>
      </c>
      <c r="G17731" s="5">
        <v>116.2</v>
      </c>
      <c r="H17731" s="5">
        <v>116.1</v>
      </c>
      <c r="I17731" s="5"/>
      <c r="J17731" s="5"/>
      <c r="K17731" s="5"/>
    </row>
    <row r="17732" spans="1:11" x14ac:dyDescent="0.25">
      <c r="A17732" s="5">
        <f>17725</f>
      </c>
      <c r="B17732" s="5" t="s">
        <v>17740</v>
      </c>
      <c r="C17732" s="5">
        <v>119.6</v>
      </c>
      <c r="D17732" s="5">
        <v>0.1</v>
      </c>
      <c r="E17732" s="5">
        <v>119.9</v>
      </c>
      <c r="F17732" s="5">
        <v>235.8</v>
      </c>
      <c r="G17732" s="5">
        <v>116.2</v>
      </c>
      <c r="H17732" s="5">
        <v>116.1</v>
      </c>
      <c r="I17732" s="5"/>
      <c r="J17732" s="5"/>
      <c r="K17732" s="5"/>
    </row>
    <row r="17733" spans="1:11" x14ac:dyDescent="0.25">
      <c r="A17733" s="5">
        <f>17726</f>
      </c>
      <c r="B17733" s="5" t="s">
        <v>17741</v>
      </c>
      <c r="C17733" s="5">
        <v>119.4</v>
      </c>
      <c r="D17733" s="5">
        <v>0.1</v>
      </c>
      <c r="E17733" s="5">
        <v>119.6</v>
      </c>
      <c r="F17733" s="5">
        <v>235.4</v>
      </c>
      <c r="G17733" s="5">
        <v>116</v>
      </c>
      <c r="H17733" s="5">
        <v>115.8</v>
      </c>
      <c r="I17733" s="5"/>
      <c r="J17733" s="5"/>
      <c r="K17733" s="5"/>
    </row>
    <row r="17734" spans="1:11" x14ac:dyDescent="0.25">
      <c r="A17734" s="5">
        <f>17727</f>
      </c>
      <c r="B17734" s="5" t="s">
        <v>17742</v>
      </c>
      <c r="C17734" s="5">
        <v>119.4</v>
      </c>
      <c r="D17734" s="5">
        <v>0.1</v>
      </c>
      <c r="E17734" s="5">
        <v>119.6</v>
      </c>
      <c r="F17734" s="5">
        <v>235.4</v>
      </c>
      <c r="G17734" s="5">
        <v>116</v>
      </c>
      <c r="H17734" s="5">
        <v>115.8</v>
      </c>
      <c r="I17734" s="5"/>
      <c r="J17734" s="5"/>
      <c r="K17734" s="5"/>
    </row>
    <row r="17735" spans="1:11" x14ac:dyDescent="0.25">
      <c r="A17735" s="5">
        <f>17728</f>
      </c>
      <c r="B17735" s="5" t="s">
        <v>17743</v>
      </c>
      <c r="C17735" s="5">
        <v>119.1</v>
      </c>
      <c r="D17735" s="5">
        <v>0.1</v>
      </c>
      <c r="E17735" s="5">
        <v>119.3</v>
      </c>
      <c r="F17735" s="5">
        <v>235.1</v>
      </c>
      <c r="G17735" s="5">
        <v>116</v>
      </c>
      <c r="H17735" s="5">
        <v>115.8</v>
      </c>
      <c r="I17735" s="5"/>
      <c r="J17735" s="5"/>
      <c r="K17735" s="5"/>
    </row>
    <row r="17736" spans="1:11" x14ac:dyDescent="0.25">
      <c r="A17736" s="5">
        <f>17729</f>
      </c>
      <c r="B17736" s="5" t="s">
        <v>17744</v>
      </c>
      <c r="C17736" s="5">
        <v>119.1</v>
      </c>
      <c r="D17736" s="5">
        <v>0.1</v>
      </c>
      <c r="E17736" s="5">
        <v>119.3</v>
      </c>
      <c r="F17736" s="5">
        <v>235.1</v>
      </c>
      <c r="G17736" s="5">
        <v>116</v>
      </c>
      <c r="H17736" s="5">
        <v>115.8</v>
      </c>
      <c r="I17736" s="5"/>
      <c r="J17736" s="5"/>
      <c r="K17736" s="5"/>
    </row>
    <row r="17737" spans="1:11" x14ac:dyDescent="0.25">
      <c r="A17737" s="5">
        <f>17730</f>
      </c>
      <c r="B17737" s="5" t="s">
        <v>17745</v>
      </c>
      <c r="C17737" s="5">
        <v>119.2</v>
      </c>
      <c r="D17737" s="5">
        <v>0.1</v>
      </c>
      <c r="E17737" s="5">
        <v>119.3</v>
      </c>
      <c r="F17737" s="5">
        <v>234.9</v>
      </c>
      <c r="G17737" s="5">
        <v>115.8</v>
      </c>
      <c r="H17737" s="5">
        <v>115.6</v>
      </c>
      <c r="I17737" s="5"/>
      <c r="J17737" s="5"/>
      <c r="K17737" s="5"/>
    </row>
    <row r="17738" spans="1:11" x14ac:dyDescent="0.25">
      <c r="A17738" s="5">
        <f>17731</f>
      </c>
      <c r="B17738" s="5" t="s">
        <v>17746</v>
      </c>
      <c r="C17738" s="5">
        <v>119.2</v>
      </c>
      <c r="D17738" s="5">
        <v>0.1</v>
      </c>
      <c r="E17738" s="5">
        <v>119.3</v>
      </c>
      <c r="F17738" s="5">
        <v>234.9</v>
      </c>
      <c r="G17738" s="5">
        <v>115.8</v>
      </c>
      <c r="H17738" s="5">
        <v>115.6</v>
      </c>
      <c r="I17738" s="5"/>
      <c r="J17738" s="5"/>
      <c r="K17738" s="5"/>
    </row>
    <row r="17739" spans="1:11" x14ac:dyDescent="0.25">
      <c r="A17739" s="5">
        <f>17732</f>
      </c>
      <c r="B17739" s="5" t="s">
        <v>17747</v>
      </c>
      <c r="C17739" s="5">
        <v>119.3</v>
      </c>
      <c r="D17739" s="5">
        <v>0.1</v>
      </c>
      <c r="E17739" s="5">
        <v>119.4</v>
      </c>
      <c r="F17739" s="5">
        <v>235.1</v>
      </c>
      <c r="G17739" s="5">
        <v>115.9</v>
      </c>
      <c r="H17739" s="5">
        <v>115.8</v>
      </c>
      <c r="I17739" s="5"/>
      <c r="J17739" s="5"/>
      <c r="K17739" s="5"/>
    </row>
    <row r="17740" spans="1:11" x14ac:dyDescent="0.25">
      <c r="A17740" s="5">
        <f>17733</f>
      </c>
      <c r="B17740" s="5" t="s">
        <v>17748</v>
      </c>
      <c r="C17740" s="5">
        <v>119.3</v>
      </c>
      <c r="D17740" s="5">
        <v>0.1</v>
      </c>
      <c r="E17740" s="5">
        <v>119.4</v>
      </c>
      <c r="F17740" s="5">
        <v>235.1</v>
      </c>
      <c r="G17740" s="5">
        <v>115.9</v>
      </c>
      <c r="H17740" s="5">
        <v>115.8</v>
      </c>
      <c r="I17740" s="5"/>
      <c r="J17740" s="5"/>
      <c r="K17740" s="5"/>
    </row>
    <row r="17741" spans="1:11" x14ac:dyDescent="0.25">
      <c r="A17741" s="5">
        <f>17734</f>
      </c>
      <c r="B17741" s="5" t="s">
        <v>17749</v>
      </c>
      <c r="C17741" s="5">
        <v>119.3</v>
      </c>
      <c r="D17741" s="5">
        <v>0.1</v>
      </c>
      <c r="E17741" s="5">
        <v>119.4</v>
      </c>
      <c r="F17741" s="5">
        <v>235.1</v>
      </c>
      <c r="G17741" s="5">
        <v>115.9</v>
      </c>
      <c r="H17741" s="5">
        <v>115.8</v>
      </c>
      <c r="I17741" s="5"/>
      <c r="J17741" s="5"/>
      <c r="K17741" s="5"/>
    </row>
    <row r="17742" spans="1:11" x14ac:dyDescent="0.25">
      <c r="A17742" s="5">
        <f>17735</f>
      </c>
      <c r="B17742" s="5" t="s">
        <v>17750</v>
      </c>
      <c r="C17742" s="5">
        <v>119.5</v>
      </c>
      <c r="D17742" s="5">
        <v>0.1</v>
      </c>
      <c r="E17742" s="5">
        <v>119.6</v>
      </c>
      <c r="F17742" s="5">
        <v>235.1</v>
      </c>
      <c r="G17742" s="5">
        <v>115.9</v>
      </c>
      <c r="H17742" s="5">
        <v>115.8</v>
      </c>
      <c r="I17742" s="5"/>
      <c r="J17742" s="5"/>
      <c r="K17742" s="5"/>
    </row>
    <row r="17743" spans="1:11" x14ac:dyDescent="0.25">
      <c r="A17743" s="5">
        <f>17736</f>
      </c>
      <c r="B17743" s="5" t="s">
        <v>17751</v>
      </c>
      <c r="C17743" s="5">
        <v>119.5</v>
      </c>
      <c r="D17743" s="5">
        <v>0.1</v>
      </c>
      <c r="E17743" s="5">
        <v>119.6</v>
      </c>
      <c r="F17743" s="5">
        <v>235.3</v>
      </c>
      <c r="G17743" s="5">
        <v>115.9</v>
      </c>
      <c r="H17743" s="5">
        <v>115.8</v>
      </c>
      <c r="I17743" s="5"/>
      <c r="J17743" s="5"/>
      <c r="K17743" s="5"/>
    </row>
    <row r="17744" spans="1:11" x14ac:dyDescent="0.25">
      <c r="A17744" s="5">
        <f>17737</f>
      </c>
      <c r="B17744" s="5" t="s">
        <v>17752</v>
      </c>
      <c r="C17744" s="5">
        <v>119.6</v>
      </c>
      <c r="D17744" s="5">
        <v>0.1</v>
      </c>
      <c r="E17744" s="5">
        <v>119.6</v>
      </c>
      <c r="F17744" s="5">
        <v>235.3</v>
      </c>
      <c r="G17744" s="5">
        <v>115.9</v>
      </c>
      <c r="H17744" s="5">
        <v>115.8</v>
      </c>
      <c r="I17744" s="5"/>
      <c r="J17744" s="5"/>
      <c r="K17744" s="5"/>
    </row>
    <row r="17745" spans="1:11" x14ac:dyDescent="0.25">
      <c r="A17745" s="5">
        <f>17738</f>
      </c>
      <c r="B17745" s="5" t="s">
        <v>17753</v>
      </c>
      <c r="C17745" s="5">
        <v>119.6</v>
      </c>
      <c r="D17745" s="5">
        <v>0.1</v>
      </c>
      <c r="E17745" s="5">
        <v>119.7</v>
      </c>
      <c r="F17745" s="5">
        <v>235.6</v>
      </c>
      <c r="G17745" s="5">
        <v>116.1</v>
      </c>
      <c r="H17745" s="5">
        <v>116</v>
      </c>
      <c r="I17745" s="5"/>
      <c r="J17745" s="5"/>
      <c r="K17745" s="5"/>
    </row>
    <row r="17746" spans="1:11" x14ac:dyDescent="0.25">
      <c r="A17746" s="5">
        <f>17739</f>
      </c>
      <c r="B17746" s="5" t="s">
        <v>17754</v>
      </c>
      <c r="C17746" s="5">
        <v>119.6</v>
      </c>
      <c r="D17746" s="5">
        <v>0.1</v>
      </c>
      <c r="E17746" s="5">
        <v>119.7</v>
      </c>
      <c r="F17746" s="5">
        <v>235.6</v>
      </c>
      <c r="G17746" s="5">
        <v>116.1</v>
      </c>
      <c r="H17746" s="5">
        <v>116</v>
      </c>
      <c r="I17746" s="5"/>
      <c r="J17746" s="5"/>
      <c r="K17746" s="5"/>
    </row>
    <row r="17747" spans="1:11" x14ac:dyDescent="0.25">
      <c r="A17747" s="5">
        <f>17740</f>
      </c>
      <c r="B17747" s="5" t="s">
        <v>17755</v>
      </c>
      <c r="C17747" s="5">
        <v>119.8</v>
      </c>
      <c r="D17747" s="5">
        <v>0.1</v>
      </c>
      <c r="E17747" s="5">
        <v>119.9</v>
      </c>
      <c r="F17747" s="5">
        <v>235.8</v>
      </c>
      <c r="G17747" s="5">
        <v>116.2</v>
      </c>
      <c r="H17747" s="5">
        <v>116</v>
      </c>
      <c r="I17747" s="5"/>
      <c r="J17747" s="5"/>
      <c r="K17747" s="5"/>
    </row>
    <row r="17748" spans="1:11" x14ac:dyDescent="0.25">
      <c r="A17748" s="5">
        <f>17741</f>
      </c>
      <c r="B17748" s="5" t="s">
        <v>17756</v>
      </c>
      <c r="C17748" s="5">
        <v>119.8</v>
      </c>
      <c r="D17748" s="5">
        <v>0.1</v>
      </c>
      <c r="E17748" s="5">
        <v>119.9</v>
      </c>
      <c r="F17748" s="5">
        <v>235.8</v>
      </c>
      <c r="G17748" s="5">
        <v>116.2</v>
      </c>
      <c r="H17748" s="5">
        <v>116</v>
      </c>
      <c r="I17748" s="5"/>
      <c r="J17748" s="5"/>
      <c r="K17748" s="5"/>
    </row>
    <row r="17749" spans="1:11" x14ac:dyDescent="0.25">
      <c r="A17749" s="5">
        <f>17742</f>
      </c>
      <c r="B17749" s="5" t="s">
        <v>17757</v>
      </c>
      <c r="C17749" s="5">
        <v>119.7</v>
      </c>
      <c r="D17749" s="5">
        <v>0.1</v>
      </c>
      <c r="E17749" s="5">
        <v>119.9</v>
      </c>
      <c r="F17749" s="5">
        <v>235.8</v>
      </c>
      <c r="G17749" s="5">
        <v>116.2</v>
      </c>
      <c r="H17749" s="5">
        <v>116</v>
      </c>
      <c r="I17749" s="5"/>
      <c r="J17749" s="5"/>
      <c r="K17749" s="5"/>
    </row>
    <row r="17750" spans="1:11" x14ac:dyDescent="0.25">
      <c r="A17750" s="5">
        <f>17743</f>
      </c>
      <c r="B17750" s="5" t="s">
        <v>17758</v>
      </c>
      <c r="C17750" s="5">
        <v>119.7</v>
      </c>
      <c r="D17750" s="5">
        <v>0.1</v>
      </c>
      <c r="E17750" s="5">
        <v>119.9</v>
      </c>
      <c r="F17750" s="5">
        <v>235.8</v>
      </c>
      <c r="G17750" s="5">
        <v>116.2</v>
      </c>
      <c r="H17750" s="5">
        <v>116</v>
      </c>
      <c r="I17750" s="5"/>
      <c r="J17750" s="5"/>
      <c r="K17750" s="5"/>
    </row>
    <row r="17751" spans="1:11" x14ac:dyDescent="0.25">
      <c r="A17751" s="5">
        <f>17744</f>
      </c>
      <c r="B17751" s="5" t="s">
        <v>17759</v>
      </c>
      <c r="C17751" s="5">
        <v>119.7</v>
      </c>
      <c r="D17751" s="5">
        <v>0.1</v>
      </c>
      <c r="E17751" s="5">
        <v>119.9</v>
      </c>
      <c r="F17751" s="5">
        <v>235.8</v>
      </c>
      <c r="G17751" s="5">
        <v>116.2</v>
      </c>
      <c r="H17751" s="5">
        <v>116</v>
      </c>
      <c r="I17751" s="5"/>
      <c r="J17751" s="5"/>
      <c r="K17751" s="5"/>
    </row>
    <row r="17752" spans="1:11" x14ac:dyDescent="0.25">
      <c r="A17752" s="5">
        <f>17745</f>
      </c>
      <c r="B17752" s="5" t="s">
        <v>17760</v>
      </c>
      <c r="C17752" s="5">
        <v>119.7</v>
      </c>
      <c r="D17752" s="5">
        <v>0.1</v>
      </c>
      <c r="E17752" s="5">
        <v>119.9</v>
      </c>
      <c r="F17752" s="5">
        <v>235.8</v>
      </c>
      <c r="G17752" s="5">
        <v>116.2</v>
      </c>
      <c r="H17752" s="5">
        <v>116</v>
      </c>
      <c r="I17752" s="5"/>
      <c r="J17752" s="5"/>
      <c r="K17752" s="5"/>
    </row>
    <row r="17753" spans="1:11" x14ac:dyDescent="0.25">
      <c r="A17753" s="5">
        <f>17746</f>
      </c>
      <c r="B17753" s="5" t="s">
        <v>17761</v>
      </c>
      <c r="C17753" s="5">
        <v>119.7</v>
      </c>
      <c r="D17753" s="5">
        <v>0.1</v>
      </c>
      <c r="E17753" s="5">
        <v>119.9</v>
      </c>
      <c r="F17753" s="5">
        <v>236.2</v>
      </c>
      <c r="G17753" s="5">
        <v>116.4</v>
      </c>
      <c r="H17753" s="5">
        <v>116.2</v>
      </c>
      <c r="I17753" s="5"/>
      <c r="J17753" s="5"/>
      <c r="K17753" s="5"/>
    </row>
    <row r="17754" spans="1:11" x14ac:dyDescent="0.25">
      <c r="A17754" s="5">
        <f>17747</f>
      </c>
      <c r="B17754" s="5" t="s">
        <v>17762</v>
      </c>
      <c r="C17754" s="5">
        <v>119.7</v>
      </c>
      <c r="D17754" s="5">
        <v>0.1</v>
      </c>
      <c r="E17754" s="5">
        <v>119.9</v>
      </c>
      <c r="F17754" s="5">
        <v>236.2</v>
      </c>
      <c r="G17754" s="5">
        <v>116.4</v>
      </c>
      <c r="H17754" s="5">
        <v>116.2</v>
      </c>
      <c r="I17754" s="5"/>
      <c r="J17754" s="5"/>
      <c r="K17754" s="5"/>
    </row>
    <row r="17755" spans="1:11" x14ac:dyDescent="0.25">
      <c r="A17755" s="5">
        <f>17748</f>
      </c>
      <c r="B17755" s="5" t="s">
        <v>17763</v>
      </c>
      <c r="C17755" s="5">
        <v>119.3</v>
      </c>
      <c r="D17755" s="5">
        <v>0.1</v>
      </c>
      <c r="E17755" s="5">
        <v>119.4</v>
      </c>
      <c r="F17755" s="5">
        <v>235.8</v>
      </c>
      <c r="G17755" s="5">
        <v>116.2</v>
      </c>
      <c r="H17755" s="5">
        <v>116.1</v>
      </c>
      <c r="I17755" s="5"/>
      <c r="J17755" s="5"/>
      <c r="K17755" s="5"/>
    </row>
    <row r="17756" spans="1:11" x14ac:dyDescent="0.25">
      <c r="A17756" s="5">
        <f>17749</f>
      </c>
      <c r="B17756" s="5" t="s">
        <v>17764</v>
      </c>
      <c r="C17756" s="5">
        <v>119.3</v>
      </c>
      <c r="D17756" s="5">
        <v>0.1</v>
      </c>
      <c r="E17756" s="5">
        <v>119.4</v>
      </c>
      <c r="F17756" s="5">
        <v>235.8</v>
      </c>
      <c r="G17756" s="5">
        <v>116.2</v>
      </c>
      <c r="H17756" s="5">
        <v>116.1</v>
      </c>
      <c r="I17756" s="5"/>
      <c r="J17756" s="5"/>
      <c r="K17756" s="5"/>
    </row>
    <row r="17757" spans="1:11" x14ac:dyDescent="0.25">
      <c r="A17757" s="5">
        <f>17750</f>
      </c>
      <c r="B17757" s="5" t="s">
        <v>17765</v>
      </c>
      <c r="C17757" s="5">
        <v>119.9</v>
      </c>
      <c r="D17757" s="5">
        <v>0.1</v>
      </c>
      <c r="E17757" s="5">
        <v>120.1</v>
      </c>
      <c r="F17757" s="5">
        <v>236.2</v>
      </c>
      <c r="G17757" s="5">
        <v>116.4</v>
      </c>
      <c r="H17757" s="5">
        <v>116.2</v>
      </c>
      <c r="I17757" s="5"/>
      <c r="J17757" s="5"/>
      <c r="K17757" s="5"/>
    </row>
    <row r="17758" spans="1:11" x14ac:dyDescent="0.25">
      <c r="A17758" s="5">
        <f>17751</f>
      </c>
      <c r="B17758" s="5" t="s">
        <v>17766</v>
      </c>
      <c r="C17758" s="5">
        <v>119.9</v>
      </c>
      <c r="D17758" s="5">
        <v>0.1</v>
      </c>
      <c r="E17758" s="5">
        <v>120.1</v>
      </c>
      <c r="F17758" s="5">
        <v>236.2</v>
      </c>
      <c r="G17758" s="5">
        <v>116.4</v>
      </c>
      <c r="H17758" s="5">
        <v>116.2</v>
      </c>
      <c r="I17758" s="5"/>
      <c r="J17758" s="5"/>
      <c r="K17758" s="5"/>
    </row>
    <row r="17759" spans="1:11" x14ac:dyDescent="0.25">
      <c r="A17759" s="5">
        <f>17752</f>
      </c>
      <c r="B17759" s="5" t="s">
        <v>17767</v>
      </c>
      <c r="C17759" s="5">
        <v>119.9</v>
      </c>
      <c r="D17759" s="5">
        <v>0.1</v>
      </c>
      <c r="E17759" s="5">
        <v>120.1</v>
      </c>
      <c r="F17759" s="5">
        <v>236.5</v>
      </c>
      <c r="G17759" s="5">
        <v>116.5</v>
      </c>
      <c r="H17759" s="5">
        <v>116.3</v>
      </c>
      <c r="I17759" s="5"/>
      <c r="J17759" s="5"/>
      <c r="K17759" s="5"/>
    </row>
    <row r="17760" spans="1:11" x14ac:dyDescent="0.25">
      <c r="A17760" s="5">
        <f>17753</f>
      </c>
      <c r="B17760" s="5" t="s">
        <v>17768</v>
      </c>
      <c r="C17760" s="5">
        <v>119.9</v>
      </c>
      <c r="D17760" s="5">
        <v>0.1</v>
      </c>
      <c r="E17760" s="5">
        <v>120.1</v>
      </c>
      <c r="F17760" s="5">
        <v>236.5</v>
      </c>
      <c r="G17760" s="5">
        <v>116.5</v>
      </c>
      <c r="H17760" s="5">
        <v>116.3</v>
      </c>
      <c r="I17760" s="5"/>
      <c r="J17760" s="5"/>
      <c r="K17760" s="5"/>
    </row>
    <row r="17761" spans="1:11" x14ac:dyDescent="0.25">
      <c r="A17761" s="5">
        <f>17754</f>
      </c>
      <c r="B17761" s="5" t="s">
        <v>17769</v>
      </c>
      <c r="C17761" s="5">
        <v>119.9</v>
      </c>
      <c r="D17761" s="5">
        <v>0.1</v>
      </c>
      <c r="E17761" s="5">
        <v>120.1</v>
      </c>
      <c r="F17761" s="5">
        <v>236.5</v>
      </c>
      <c r="G17761" s="5">
        <v>116.5</v>
      </c>
      <c r="H17761" s="5">
        <v>116.3</v>
      </c>
      <c r="I17761" s="5"/>
      <c r="J17761" s="5"/>
      <c r="K17761" s="5"/>
    </row>
    <row r="17762" spans="1:11" x14ac:dyDescent="0.25">
      <c r="A17762" s="5">
        <f>17755</f>
      </c>
      <c r="B17762" s="5" t="s">
        <v>17770</v>
      </c>
      <c r="C17762" s="5">
        <v>119.9</v>
      </c>
      <c r="D17762" s="5">
        <v>0.1</v>
      </c>
      <c r="E17762" s="5">
        <v>119.6</v>
      </c>
      <c r="F17762" s="5">
        <v>236</v>
      </c>
      <c r="G17762" s="5">
        <v>116.2</v>
      </c>
      <c r="H17762" s="5">
        <v>116</v>
      </c>
      <c r="I17762" s="5"/>
      <c r="J17762" s="5"/>
      <c r="K17762" s="5"/>
    </row>
    <row r="17763" spans="1:11" x14ac:dyDescent="0.25">
      <c r="A17763" s="5">
        <f>17756</f>
      </c>
      <c r="B17763" s="5" t="s">
        <v>17771</v>
      </c>
      <c r="C17763" s="5">
        <v>119.5</v>
      </c>
      <c r="D17763" s="5">
        <v>0.1</v>
      </c>
      <c r="E17763" s="5">
        <v>119.6</v>
      </c>
      <c r="F17763" s="5">
        <v>236</v>
      </c>
      <c r="G17763" s="5">
        <v>116.2</v>
      </c>
      <c r="H17763" s="5">
        <v>116</v>
      </c>
      <c r="I17763" s="5"/>
      <c r="J17763" s="5"/>
      <c r="K17763" s="5"/>
    </row>
    <row r="17764" spans="1:11" x14ac:dyDescent="0.25">
      <c r="A17764" s="5">
        <f>17757</f>
      </c>
      <c r="B17764" s="5" t="s">
        <v>17772</v>
      </c>
      <c r="C17764" s="5">
        <v>119.5</v>
      </c>
      <c r="D17764" s="5">
        <v>0.1</v>
      </c>
      <c r="E17764" s="5">
        <v>119.8</v>
      </c>
      <c r="F17764" s="5">
        <v>235.8</v>
      </c>
      <c r="G17764" s="5">
        <v>116.2</v>
      </c>
      <c r="H17764" s="5">
        <v>116</v>
      </c>
      <c r="I17764" s="5"/>
      <c r="J17764" s="5"/>
      <c r="K17764" s="5"/>
    </row>
    <row r="17765" spans="1:11" x14ac:dyDescent="0.25">
      <c r="A17765" s="5">
        <f>17758</f>
      </c>
      <c r="B17765" s="5" t="s">
        <v>17773</v>
      </c>
      <c r="C17765" s="5">
        <v>119.6</v>
      </c>
      <c r="D17765" s="5">
        <v>0.1</v>
      </c>
      <c r="E17765" s="5">
        <v>119.8</v>
      </c>
      <c r="F17765" s="5">
        <v>235.8</v>
      </c>
      <c r="G17765" s="5">
        <v>116.2</v>
      </c>
      <c r="H17765" s="5">
        <v>116</v>
      </c>
      <c r="I17765" s="5"/>
      <c r="J17765" s="5"/>
      <c r="K17765" s="5"/>
    </row>
    <row r="17766" spans="1:11" x14ac:dyDescent="0.25">
      <c r="A17766" s="5">
        <f>17759</f>
      </c>
      <c r="B17766" s="5" t="s">
        <v>17774</v>
      </c>
      <c r="C17766" s="5">
        <v>119.6</v>
      </c>
      <c r="D17766" s="5">
        <v>0.1</v>
      </c>
      <c r="E17766" s="5">
        <v>119.8</v>
      </c>
      <c r="F17766" s="5">
        <v>236.2</v>
      </c>
      <c r="G17766" s="5">
        <v>116.4</v>
      </c>
      <c r="H17766" s="5">
        <v>116.2</v>
      </c>
      <c r="I17766" s="5"/>
      <c r="J17766" s="5"/>
      <c r="K17766" s="5"/>
    </row>
    <row r="17767" spans="1:11" x14ac:dyDescent="0.25">
      <c r="A17767" s="5">
        <f>17760</f>
      </c>
      <c r="B17767" s="5" t="s">
        <v>17775</v>
      </c>
      <c r="C17767" s="5">
        <v>119.8</v>
      </c>
      <c r="D17767" s="5">
        <v>0.1</v>
      </c>
      <c r="E17767" s="5">
        <v>119.9</v>
      </c>
      <c r="F17767" s="5">
        <v>236.2</v>
      </c>
      <c r="G17767" s="5">
        <v>116.4</v>
      </c>
      <c r="H17767" s="5">
        <v>116.2</v>
      </c>
      <c r="I17767" s="5"/>
      <c r="J17767" s="5"/>
      <c r="K17767" s="5"/>
    </row>
    <row r="17768" spans="1:11" x14ac:dyDescent="0.25">
      <c r="A17768" s="5">
        <f>17761</f>
      </c>
      <c r="B17768" s="5" t="s">
        <v>17776</v>
      </c>
      <c r="C17768" s="5">
        <v>119.8</v>
      </c>
      <c r="D17768" s="5">
        <v>0.1</v>
      </c>
      <c r="E17768" s="5">
        <v>119.9</v>
      </c>
      <c r="F17768" s="5">
        <v>236.2</v>
      </c>
      <c r="G17768" s="5">
        <v>116.5</v>
      </c>
      <c r="H17768" s="5">
        <v>116.3</v>
      </c>
      <c r="I17768" s="5"/>
      <c r="J17768" s="5"/>
      <c r="K17768" s="5"/>
    </row>
    <row r="17769" spans="1:11" x14ac:dyDescent="0.25">
      <c r="A17769" s="5">
        <f>17762</f>
      </c>
      <c r="B17769" s="5" t="s">
        <v>17777</v>
      </c>
      <c r="C17769" s="5">
        <v>120</v>
      </c>
      <c r="D17769" s="5">
        <v>0.1</v>
      </c>
      <c r="E17769" s="5">
        <v>120.2</v>
      </c>
      <c r="F17769" s="5">
        <v>236.5</v>
      </c>
      <c r="G17769" s="5">
        <v>116.5</v>
      </c>
      <c r="H17769" s="5">
        <v>116.3</v>
      </c>
      <c r="I17769" s="5"/>
      <c r="J17769" s="5"/>
      <c r="K17769" s="5"/>
    </row>
    <row r="17770" spans="1:11" x14ac:dyDescent="0.25">
      <c r="A17770" s="5">
        <f>17763</f>
      </c>
      <c r="B17770" s="5" t="s">
        <v>17778</v>
      </c>
      <c r="C17770" s="5">
        <v>120</v>
      </c>
      <c r="D17770" s="5">
        <v>0.1</v>
      </c>
      <c r="E17770" s="5">
        <v>120.2</v>
      </c>
      <c r="F17770" s="5">
        <v>236.5</v>
      </c>
      <c r="G17770" s="5">
        <v>116.5</v>
      </c>
      <c r="H17770" s="5">
        <v>116.3</v>
      </c>
      <c r="I17770" s="5"/>
      <c r="J17770" s="5"/>
      <c r="K17770" s="5"/>
    </row>
    <row r="17771" spans="1:11" x14ac:dyDescent="0.25">
      <c r="A17771" s="5">
        <f>17764</f>
      </c>
      <c r="B17771" s="5" t="s">
        <v>17779</v>
      </c>
      <c r="C17771" s="5">
        <v>120</v>
      </c>
      <c r="D17771" s="5">
        <v>0.1</v>
      </c>
      <c r="E17771" s="5">
        <v>120.2</v>
      </c>
      <c r="F17771" s="5">
        <v>236.5</v>
      </c>
      <c r="G17771" s="5">
        <v>116.5</v>
      </c>
      <c r="H17771" s="5">
        <v>116.3</v>
      </c>
      <c r="I17771" s="5"/>
      <c r="J17771" s="5"/>
      <c r="K17771" s="5"/>
    </row>
    <row r="17772" spans="1:11" x14ac:dyDescent="0.25">
      <c r="A17772" s="5">
        <f>17765</f>
      </c>
      <c r="B17772" s="5" t="s">
        <v>17780</v>
      </c>
      <c r="C17772" s="5">
        <v>120.1</v>
      </c>
      <c r="D17772" s="5">
        <v>0.1</v>
      </c>
      <c r="E17772" s="5">
        <v>120.2</v>
      </c>
      <c r="F17772" s="5">
        <v>236.6</v>
      </c>
      <c r="G17772" s="5">
        <v>116.5</v>
      </c>
      <c r="H17772" s="5">
        <v>116.4</v>
      </c>
      <c r="I17772" s="5"/>
      <c r="J17772" s="5"/>
      <c r="K17772" s="5"/>
    </row>
    <row r="17773" spans="1:11" x14ac:dyDescent="0.25">
      <c r="A17773" s="5">
        <f>17766</f>
      </c>
      <c r="B17773" s="5" t="s">
        <v>17781</v>
      </c>
      <c r="C17773" s="5">
        <v>120.1</v>
      </c>
      <c r="D17773" s="5">
        <v>0.1</v>
      </c>
      <c r="E17773" s="5">
        <v>120.2</v>
      </c>
      <c r="F17773" s="5">
        <v>236.6</v>
      </c>
      <c r="G17773" s="5">
        <v>116.5</v>
      </c>
      <c r="H17773" s="5">
        <v>116.4</v>
      </c>
      <c r="I17773" s="5"/>
      <c r="J17773" s="5"/>
      <c r="K17773" s="5"/>
    </row>
    <row r="17774" spans="1:11" x14ac:dyDescent="0.25">
      <c r="A17774" s="5">
        <f>17767</f>
      </c>
      <c r="B17774" s="5" t="s">
        <v>17782</v>
      </c>
      <c r="C17774" s="5">
        <v>119.5</v>
      </c>
      <c r="D17774" s="5">
        <v>0.1</v>
      </c>
      <c r="E17774" s="5">
        <v>119.7</v>
      </c>
      <c r="F17774" s="5">
        <v>236.6</v>
      </c>
      <c r="G17774" s="5">
        <v>117.1</v>
      </c>
      <c r="H17774" s="5">
        <v>117.4</v>
      </c>
      <c r="I17774" s="5"/>
      <c r="J17774" s="5"/>
      <c r="K17774" s="5"/>
    </row>
    <row r="17775" spans="1:11" x14ac:dyDescent="0.25">
      <c r="A17775" s="5">
        <f>17768</f>
      </c>
      <c r="B17775" s="5" t="s">
        <v>17783</v>
      </c>
      <c r="C17775" s="5">
        <v>119.5</v>
      </c>
      <c r="D17775" s="5">
        <v>0.1</v>
      </c>
      <c r="E17775" s="5">
        <v>119.7</v>
      </c>
      <c r="F17775" s="5">
        <v>236.6</v>
      </c>
      <c r="G17775" s="5">
        <v>117.1</v>
      </c>
      <c r="H17775" s="5">
        <v>117.4</v>
      </c>
      <c r="I17775" s="5"/>
      <c r="J17775" s="5"/>
      <c r="K17775" s="5"/>
    </row>
    <row r="17776" spans="1:11" x14ac:dyDescent="0.25">
      <c r="A17776" s="5">
        <f>17769</f>
      </c>
      <c r="B17776" s="5" t="s">
        <v>17784</v>
      </c>
      <c r="C17776" s="5">
        <v>119.1</v>
      </c>
      <c r="D17776" s="5">
        <v>0.1</v>
      </c>
      <c r="E17776" s="5">
        <v>119.3</v>
      </c>
      <c r="F17776" s="5">
        <v>236.2</v>
      </c>
      <c r="G17776" s="5">
        <v>117.2</v>
      </c>
      <c r="H17776" s="5">
        <v>117</v>
      </c>
      <c r="I17776" s="5"/>
      <c r="J17776" s="5"/>
      <c r="K17776" s="5"/>
    </row>
    <row r="17777" spans="1:11" x14ac:dyDescent="0.25">
      <c r="A17777" s="5">
        <f>17770</f>
      </c>
      <c r="B17777" s="5" t="s">
        <v>17785</v>
      </c>
      <c r="C17777" s="5">
        <v>119.1</v>
      </c>
      <c r="D17777" s="5">
        <v>0.1</v>
      </c>
      <c r="E17777" s="5">
        <v>119.3</v>
      </c>
      <c r="F17777" s="5">
        <v>236.2</v>
      </c>
      <c r="G17777" s="5">
        <v>117.2</v>
      </c>
      <c r="H17777" s="5">
        <v>117</v>
      </c>
      <c r="I17777" s="5"/>
      <c r="J17777" s="5"/>
      <c r="K17777" s="5"/>
    </row>
    <row r="17778" spans="1:11" x14ac:dyDescent="0.25">
      <c r="A17778" s="5">
        <f>17771</f>
      </c>
      <c r="B17778" s="5" t="s">
        <v>17786</v>
      </c>
      <c r="C17778" s="5">
        <v>119.2</v>
      </c>
      <c r="D17778" s="5">
        <v>0.1</v>
      </c>
      <c r="E17778" s="5">
        <v>119.3</v>
      </c>
      <c r="F17778" s="5">
        <v>236.5</v>
      </c>
      <c r="G17778" s="5">
        <v>117.3</v>
      </c>
      <c r="H17778" s="5">
        <v>117.2</v>
      </c>
      <c r="I17778" s="5"/>
      <c r="J17778" s="5"/>
      <c r="K17778" s="5"/>
    </row>
    <row r="17779" spans="1:11" x14ac:dyDescent="0.25">
      <c r="A17779" s="5">
        <f>17772</f>
      </c>
      <c r="B17779" s="5" t="s">
        <v>17787</v>
      </c>
      <c r="C17779" s="5">
        <v>119.2</v>
      </c>
      <c r="D17779" s="5">
        <v>0.1</v>
      </c>
      <c r="E17779" s="5">
        <v>119.3</v>
      </c>
      <c r="F17779" s="5">
        <v>236.5</v>
      </c>
      <c r="G17779" s="5">
        <v>117.3</v>
      </c>
      <c r="H17779" s="5">
        <v>117.2</v>
      </c>
      <c r="I17779" s="5"/>
      <c r="J17779" s="5"/>
      <c r="K17779" s="5"/>
    </row>
    <row r="17780" spans="1:11" x14ac:dyDescent="0.25">
      <c r="A17780" s="5">
        <f>17773</f>
      </c>
      <c r="B17780" s="5" t="s">
        <v>17788</v>
      </c>
      <c r="C17780" s="5">
        <v>119.2</v>
      </c>
      <c r="D17780" s="5">
        <v>0.1</v>
      </c>
      <c r="E17780" s="5">
        <v>119.3</v>
      </c>
      <c r="F17780" s="5">
        <v>236.5</v>
      </c>
      <c r="G17780" s="5">
        <v>117.3</v>
      </c>
      <c r="H17780" s="5">
        <v>117.2</v>
      </c>
      <c r="I17780" s="5"/>
      <c r="J17780" s="5"/>
      <c r="K17780" s="5"/>
    </row>
    <row r="17781" spans="1:11" x14ac:dyDescent="0.25">
      <c r="A17781" s="5">
        <f>17774</f>
      </c>
      <c r="B17781" s="5" t="s">
        <v>17789</v>
      </c>
      <c r="C17781" s="5">
        <v>119.2</v>
      </c>
      <c r="D17781" s="5">
        <v>0.1</v>
      </c>
      <c r="E17781" s="5">
        <v>119.3</v>
      </c>
      <c r="F17781" s="5">
        <v>236.5</v>
      </c>
      <c r="G17781" s="5">
        <v>117.3</v>
      </c>
      <c r="H17781" s="5">
        <v>117.2</v>
      </c>
      <c r="I17781" s="5"/>
      <c r="J17781" s="5"/>
      <c r="K17781" s="5"/>
    </row>
    <row r="17782" spans="1:11" x14ac:dyDescent="0.25">
      <c r="A17782" s="5">
        <f>17775</f>
      </c>
      <c r="B17782" s="5" t="s">
        <v>17790</v>
      </c>
      <c r="C17782" s="5">
        <v>119</v>
      </c>
      <c r="D17782" s="5">
        <v>0.1</v>
      </c>
      <c r="E17782" s="5">
        <v>119.2</v>
      </c>
      <c r="F17782" s="5">
        <v>235.6</v>
      </c>
      <c r="G17782" s="5">
        <v>116.9</v>
      </c>
      <c r="H17782" s="5">
        <v>116.8</v>
      </c>
      <c r="I17782" s="5"/>
      <c r="J17782" s="5"/>
      <c r="K17782" s="5"/>
    </row>
    <row r="17783" spans="1:11" x14ac:dyDescent="0.25">
      <c r="A17783" s="5">
        <f>17776</f>
      </c>
      <c r="B17783" s="5" t="s">
        <v>17791</v>
      </c>
      <c r="C17783" s="5">
        <v>119</v>
      </c>
      <c r="D17783" s="5">
        <v>0.1</v>
      </c>
      <c r="E17783" s="5">
        <v>119.2</v>
      </c>
      <c r="F17783" s="5">
        <v>235.6</v>
      </c>
      <c r="G17783" s="5">
        <v>116.9</v>
      </c>
      <c r="H17783" s="5">
        <v>116.8</v>
      </c>
      <c r="I17783" s="5"/>
      <c r="J17783" s="5"/>
      <c r="K17783" s="5"/>
    </row>
    <row r="17784" spans="1:11" x14ac:dyDescent="0.25">
      <c r="A17784" s="5">
        <f>17777</f>
      </c>
      <c r="B17784" s="5" t="s">
        <v>17792</v>
      </c>
      <c r="C17784" s="5">
        <v>118.9</v>
      </c>
      <c r="D17784" s="5">
        <v>0.1</v>
      </c>
      <c r="E17784" s="5">
        <v>119.1</v>
      </c>
      <c r="F17784" s="5">
        <v>236.1</v>
      </c>
      <c r="G17784" s="5">
        <v>117.2</v>
      </c>
      <c r="H17784" s="5">
        <v>117</v>
      </c>
      <c r="I17784" s="5"/>
      <c r="J17784" s="5"/>
      <c r="K17784" s="5"/>
    </row>
    <row r="17785" spans="1:11" x14ac:dyDescent="0.25">
      <c r="A17785" s="5">
        <f>17778</f>
      </c>
      <c r="B17785" s="5" t="s">
        <v>17793</v>
      </c>
      <c r="C17785" s="5">
        <v>118.9</v>
      </c>
      <c r="D17785" s="5">
        <v>0.1</v>
      </c>
      <c r="E17785" s="5">
        <v>119.1</v>
      </c>
      <c r="F17785" s="5">
        <v>236.1</v>
      </c>
      <c r="G17785" s="5">
        <v>117.2</v>
      </c>
      <c r="H17785" s="5">
        <v>117</v>
      </c>
      <c r="I17785" s="5"/>
      <c r="J17785" s="5"/>
      <c r="K17785" s="5"/>
    </row>
    <row r="17786" spans="1:11" x14ac:dyDescent="0.25">
      <c r="A17786" s="5">
        <f>17779</f>
      </c>
      <c r="B17786" s="5" t="s">
        <v>17794</v>
      </c>
      <c r="C17786" s="5">
        <v>118.8</v>
      </c>
      <c r="D17786" s="5">
        <v>0.1</v>
      </c>
      <c r="E17786" s="5">
        <v>119</v>
      </c>
      <c r="F17786" s="5">
        <v>236.3</v>
      </c>
      <c r="G17786" s="5">
        <v>117.3</v>
      </c>
      <c r="H17786" s="5">
        <v>117</v>
      </c>
      <c r="I17786" s="5"/>
      <c r="J17786" s="5"/>
      <c r="K17786" s="5"/>
    </row>
    <row r="17787" spans="1:11" x14ac:dyDescent="0.25">
      <c r="A17787" s="5">
        <f>17780</f>
      </c>
      <c r="B17787" s="5" t="s">
        <v>17795</v>
      </c>
      <c r="C17787" s="5">
        <v>118.8</v>
      </c>
      <c r="D17787" s="5">
        <v>0.1</v>
      </c>
      <c r="E17787" s="5">
        <v>119</v>
      </c>
      <c r="F17787" s="5">
        <v>236.3</v>
      </c>
      <c r="G17787" s="5">
        <v>117.3</v>
      </c>
      <c r="H17787" s="5">
        <v>117.2</v>
      </c>
      <c r="I17787" s="5"/>
      <c r="J17787" s="5"/>
      <c r="K17787" s="5"/>
    </row>
    <row r="17788" spans="1:11" x14ac:dyDescent="0.25">
      <c r="A17788" s="5">
        <f>17781</f>
      </c>
      <c r="B17788" s="5" t="s">
        <v>17796</v>
      </c>
      <c r="C17788" s="5">
        <v>119</v>
      </c>
      <c r="D17788" s="5">
        <v>0.1</v>
      </c>
      <c r="E17788" s="5">
        <v>119.2</v>
      </c>
      <c r="F17788" s="5">
        <v>236.5</v>
      </c>
      <c r="G17788" s="5">
        <v>117.3</v>
      </c>
      <c r="H17788" s="5">
        <v>117.2</v>
      </c>
      <c r="I17788" s="5"/>
      <c r="J17788" s="5"/>
      <c r="K17788" s="5"/>
    </row>
    <row r="17789" spans="1:11" x14ac:dyDescent="0.25">
      <c r="A17789" s="5">
        <f>17782</f>
      </c>
      <c r="B17789" s="5" t="s">
        <v>17797</v>
      </c>
      <c r="C17789" s="5">
        <v>119</v>
      </c>
      <c r="D17789" s="5">
        <v>0.1</v>
      </c>
      <c r="E17789" s="5">
        <v>119.2</v>
      </c>
      <c r="F17789" s="5">
        <v>236.5</v>
      </c>
      <c r="G17789" s="5">
        <v>117.4</v>
      </c>
      <c r="H17789" s="5">
        <v>117.2</v>
      </c>
      <c r="I17789" s="5"/>
      <c r="J17789" s="5"/>
      <c r="K17789" s="5"/>
    </row>
    <row r="17790" spans="1:11" x14ac:dyDescent="0.25">
      <c r="A17790" s="5">
        <f>17783</f>
      </c>
      <c r="B17790" s="5" t="s">
        <v>17798</v>
      </c>
      <c r="C17790" s="5">
        <v>119</v>
      </c>
      <c r="D17790" s="5">
        <v>0.1</v>
      </c>
      <c r="E17790" s="5">
        <v>119.2</v>
      </c>
      <c r="F17790" s="5">
        <v>236.5</v>
      </c>
      <c r="G17790" s="5">
        <v>117.4</v>
      </c>
      <c r="H17790" s="5">
        <v>117.2</v>
      </c>
      <c r="I17790" s="5"/>
      <c r="J17790" s="5"/>
      <c r="K17790" s="5"/>
    </row>
    <row r="17791" spans="1:11" x14ac:dyDescent="0.25">
      <c r="A17791" s="5">
        <f>17784</f>
      </c>
      <c r="B17791" s="5" t="s">
        <v>17799</v>
      </c>
      <c r="C17791" s="5">
        <v>119</v>
      </c>
      <c r="D17791" s="5">
        <v>0.1</v>
      </c>
      <c r="E17791" s="5">
        <v>119.2</v>
      </c>
      <c r="F17791" s="5">
        <v>236.5</v>
      </c>
      <c r="G17791" s="5">
        <v>117.4</v>
      </c>
      <c r="H17791" s="5">
        <v>117.2</v>
      </c>
      <c r="I17791" s="5"/>
      <c r="J17791" s="5"/>
      <c r="K17791" s="5"/>
    </row>
    <row r="17792" spans="1:11" x14ac:dyDescent="0.25">
      <c r="A17792" s="5">
        <f>17785</f>
      </c>
      <c r="B17792" s="5" t="s">
        <v>17800</v>
      </c>
      <c r="C17792" s="5">
        <v>119.1</v>
      </c>
      <c r="D17792" s="5">
        <v>0.1</v>
      </c>
      <c r="E17792" s="5">
        <v>119.3</v>
      </c>
      <c r="F17792" s="5">
        <v>235.9</v>
      </c>
      <c r="G17792" s="5">
        <v>117.1</v>
      </c>
      <c r="H17792" s="5">
        <v>116.9</v>
      </c>
      <c r="I17792" s="5"/>
      <c r="J17792" s="5"/>
      <c r="K17792" s="5"/>
    </row>
    <row r="17793" spans="1:11" x14ac:dyDescent="0.25">
      <c r="A17793" s="5">
        <f>17786</f>
      </c>
      <c r="B17793" s="5" t="s">
        <v>17801</v>
      </c>
      <c r="C17793" s="5">
        <v>119.1</v>
      </c>
      <c r="D17793" s="5">
        <v>0.1</v>
      </c>
      <c r="E17793" s="5">
        <v>119.3</v>
      </c>
      <c r="F17793" s="5">
        <v>235.9</v>
      </c>
      <c r="G17793" s="5">
        <v>117.1</v>
      </c>
      <c r="H17793" s="5">
        <v>116.9</v>
      </c>
      <c r="I17793" s="5"/>
      <c r="J17793" s="5"/>
      <c r="K17793" s="5"/>
    </row>
    <row r="17794" spans="1:11" x14ac:dyDescent="0.25">
      <c r="A17794" s="5">
        <f>17787</f>
      </c>
      <c r="B17794" s="5" t="s">
        <v>17802</v>
      </c>
      <c r="C17794" s="5">
        <v>118.6</v>
      </c>
      <c r="D17794" s="5">
        <v>0.1</v>
      </c>
      <c r="E17794" s="5">
        <v>118.8</v>
      </c>
      <c r="F17794" s="5">
        <v>235.8</v>
      </c>
      <c r="G17794" s="5">
        <v>117.1</v>
      </c>
      <c r="H17794" s="5">
        <v>117</v>
      </c>
      <c r="I17794" s="5"/>
      <c r="J17794" s="5"/>
      <c r="K17794" s="5"/>
    </row>
    <row r="17795" spans="1:11" x14ac:dyDescent="0.25">
      <c r="A17795" s="5">
        <f>17788</f>
      </c>
      <c r="B17795" s="5" t="s">
        <v>17803</v>
      </c>
      <c r="C17795" s="5">
        <v>118.6</v>
      </c>
      <c r="D17795" s="5">
        <v>0.1</v>
      </c>
      <c r="E17795" s="5">
        <v>118.8</v>
      </c>
      <c r="F17795" s="5">
        <v>235.8</v>
      </c>
      <c r="G17795" s="5">
        <v>117.1</v>
      </c>
      <c r="H17795" s="5">
        <v>117</v>
      </c>
      <c r="I17795" s="5"/>
      <c r="J17795" s="5"/>
      <c r="K17795" s="5"/>
    </row>
    <row r="17796" spans="1:11" x14ac:dyDescent="0.25">
      <c r="A17796" s="5">
        <f>17789</f>
      </c>
      <c r="B17796" s="5" t="s">
        <v>17804</v>
      </c>
      <c r="C17796" s="5">
        <v>118.7</v>
      </c>
      <c r="D17796" s="5">
        <v>0.1</v>
      </c>
      <c r="E17796" s="5">
        <v>118.9</v>
      </c>
      <c r="F17796" s="5">
        <v>236</v>
      </c>
      <c r="G17796" s="5">
        <v>117.1</v>
      </c>
      <c r="H17796" s="5">
        <v>117</v>
      </c>
      <c r="I17796" s="5"/>
      <c r="J17796" s="5"/>
      <c r="K17796" s="5"/>
    </row>
    <row r="17797" spans="1:11" x14ac:dyDescent="0.25">
      <c r="A17797" s="5">
        <f>17790</f>
      </c>
      <c r="B17797" s="5" t="s">
        <v>17805</v>
      </c>
      <c r="C17797" s="5">
        <v>118.7</v>
      </c>
      <c r="D17797" s="5">
        <v>0.1</v>
      </c>
      <c r="E17797" s="5">
        <v>118.9</v>
      </c>
      <c r="F17797" s="5">
        <v>236</v>
      </c>
      <c r="G17797" s="5">
        <v>117.1</v>
      </c>
      <c r="H17797" s="5">
        <v>117</v>
      </c>
      <c r="I17797" s="5"/>
      <c r="J17797" s="5"/>
      <c r="K17797" s="5"/>
    </row>
    <row r="17798" spans="1:11" x14ac:dyDescent="0.25">
      <c r="A17798" s="5">
        <f>17791</f>
      </c>
      <c r="B17798" s="5" t="s">
        <v>17806</v>
      </c>
      <c r="C17798" s="5">
        <v>118.7</v>
      </c>
      <c r="D17798" s="5">
        <v>0.1</v>
      </c>
      <c r="E17798" s="5">
        <v>119.3</v>
      </c>
      <c r="F17798" s="5">
        <v>236.2</v>
      </c>
      <c r="G17798" s="5">
        <v>117.3</v>
      </c>
      <c r="H17798" s="5">
        <v>117.1</v>
      </c>
      <c r="I17798" s="5"/>
      <c r="J17798" s="5"/>
      <c r="K17798" s="5"/>
    </row>
    <row r="17799" spans="1:11" x14ac:dyDescent="0.25">
      <c r="A17799" s="5">
        <f>17792</f>
      </c>
      <c r="B17799" s="5" t="s">
        <v>17807</v>
      </c>
      <c r="C17799" s="5">
        <v>119</v>
      </c>
      <c r="D17799" s="5">
        <v>0.1</v>
      </c>
      <c r="E17799" s="5">
        <v>119.3</v>
      </c>
      <c r="F17799" s="5">
        <v>236.2</v>
      </c>
      <c r="G17799" s="5">
        <v>117.3</v>
      </c>
      <c r="H17799" s="5">
        <v>117.1</v>
      </c>
      <c r="I17799" s="5"/>
      <c r="J17799" s="5"/>
      <c r="K17799" s="5"/>
    </row>
    <row r="17800" spans="1:11" x14ac:dyDescent="0.25">
      <c r="A17800" s="5">
        <f>17793</f>
      </c>
      <c r="B17800" s="5" t="s">
        <v>17808</v>
      </c>
      <c r="C17800" s="5">
        <v>119</v>
      </c>
      <c r="D17800" s="5">
        <v>0.1</v>
      </c>
      <c r="E17800" s="5">
        <v>119.3</v>
      </c>
      <c r="F17800" s="5">
        <v>236.2</v>
      </c>
      <c r="G17800" s="5">
        <v>117.3</v>
      </c>
      <c r="H17800" s="5">
        <v>117.1</v>
      </c>
      <c r="I17800" s="5"/>
      <c r="J17800" s="5"/>
      <c r="K17800" s="5"/>
    </row>
    <row r="17801" spans="1:11" x14ac:dyDescent="0.25">
      <c r="A17801" s="5">
        <f>17794</f>
      </c>
      <c r="B17801" s="5" t="s">
        <v>17809</v>
      </c>
      <c r="C17801" s="5">
        <v>119</v>
      </c>
      <c r="D17801" s="5">
        <v>0.1</v>
      </c>
      <c r="E17801" s="5">
        <v>119.3</v>
      </c>
      <c r="F17801" s="5">
        <v>236.2</v>
      </c>
      <c r="G17801" s="5">
        <v>117.3</v>
      </c>
      <c r="H17801" s="5">
        <v>117.1</v>
      </c>
      <c r="I17801" s="5"/>
      <c r="J17801" s="5"/>
      <c r="K17801" s="5"/>
    </row>
    <row r="17802" spans="1:11" x14ac:dyDescent="0.25">
      <c r="A17802" s="5">
        <f>17795</f>
      </c>
      <c r="B17802" s="5" t="s">
        <v>17810</v>
      </c>
      <c r="C17802" s="5">
        <v>118.9</v>
      </c>
      <c r="D17802" s="5">
        <v>0.1</v>
      </c>
      <c r="E17802" s="5">
        <v>119.1</v>
      </c>
      <c r="F17802" s="5">
        <v>235.9</v>
      </c>
      <c r="G17802" s="5">
        <v>117.1</v>
      </c>
      <c r="H17802" s="5">
        <v>116.9</v>
      </c>
      <c r="I17802" s="5"/>
      <c r="J17802" s="5"/>
      <c r="K17802" s="5"/>
    </row>
    <row r="17803" spans="1:11" x14ac:dyDescent="0.25">
      <c r="A17803" s="5">
        <f>17796</f>
      </c>
      <c r="B17803" s="5" t="s">
        <v>17811</v>
      </c>
      <c r="C17803" s="5">
        <v>118.9</v>
      </c>
      <c r="D17803" s="5">
        <v>0.1</v>
      </c>
      <c r="E17803" s="5">
        <v>119.1</v>
      </c>
      <c r="F17803" s="5">
        <v>235.9</v>
      </c>
      <c r="G17803" s="5">
        <v>117.1</v>
      </c>
      <c r="H17803" s="5">
        <v>116.9</v>
      </c>
      <c r="I17803" s="5"/>
      <c r="J17803" s="5"/>
      <c r="K17803" s="5"/>
    </row>
    <row r="17804" spans="1:11" x14ac:dyDescent="0.25">
      <c r="A17804" s="5">
        <f>17797</f>
      </c>
      <c r="B17804" s="5" t="s">
        <v>17812</v>
      </c>
      <c r="C17804" s="5">
        <v>119</v>
      </c>
      <c r="D17804" s="5">
        <v>0.1</v>
      </c>
      <c r="E17804" s="5">
        <v>119.2</v>
      </c>
      <c r="F17804" s="5">
        <v>235.9</v>
      </c>
      <c r="G17804" s="5">
        <v>117.1</v>
      </c>
      <c r="H17804" s="5">
        <v>116.9</v>
      </c>
      <c r="I17804" s="5"/>
      <c r="J17804" s="5"/>
      <c r="K17804" s="5"/>
    </row>
    <row r="17805" spans="1:11" x14ac:dyDescent="0.25">
      <c r="A17805" s="5">
        <f>17798</f>
      </c>
      <c r="B17805" s="5" t="s">
        <v>17813</v>
      </c>
      <c r="C17805" s="5">
        <v>119</v>
      </c>
      <c r="D17805" s="5">
        <v>0.1</v>
      </c>
      <c r="E17805" s="5">
        <v>119.2</v>
      </c>
      <c r="F17805" s="5">
        <v>235.9</v>
      </c>
      <c r="G17805" s="5">
        <v>117.1</v>
      </c>
      <c r="H17805" s="5">
        <v>116.9</v>
      </c>
      <c r="I17805" s="5"/>
      <c r="J17805" s="5"/>
      <c r="K17805" s="5"/>
    </row>
    <row r="17806" spans="1:11" x14ac:dyDescent="0.25">
      <c r="A17806" s="5">
        <f>17799</f>
      </c>
      <c r="B17806" s="5" t="s">
        <v>17814</v>
      </c>
      <c r="C17806" s="5">
        <v>118.8</v>
      </c>
      <c r="D17806" s="5">
        <v>0.1</v>
      </c>
      <c r="E17806" s="5">
        <v>119</v>
      </c>
      <c r="F17806" s="5">
        <v>235.9</v>
      </c>
      <c r="G17806" s="5">
        <v>117.1</v>
      </c>
      <c r="H17806" s="5">
        <v>116.9</v>
      </c>
      <c r="I17806" s="5"/>
      <c r="J17806" s="5"/>
      <c r="K17806" s="5"/>
    </row>
    <row r="17807" spans="1:11" x14ac:dyDescent="0.25">
      <c r="A17807" s="5">
        <f>17800</f>
      </c>
      <c r="B17807" s="5" t="s">
        <v>17815</v>
      </c>
      <c r="C17807" s="5">
        <v>118.8</v>
      </c>
      <c r="D17807" s="5">
        <v>0.1</v>
      </c>
      <c r="E17807" s="5">
        <v>119</v>
      </c>
      <c r="F17807" s="5">
        <v>235.9</v>
      </c>
      <c r="G17807" s="5">
        <v>117.1</v>
      </c>
      <c r="H17807" s="5">
        <v>116.9</v>
      </c>
      <c r="I17807" s="5"/>
      <c r="J17807" s="5"/>
      <c r="K17807" s="5"/>
    </row>
    <row r="17808" spans="1:11" x14ac:dyDescent="0.25">
      <c r="A17808" s="5">
        <f>17801</f>
      </c>
      <c r="B17808" s="5" t="s">
        <v>17816</v>
      </c>
      <c r="C17808" s="5">
        <v>118.9</v>
      </c>
      <c r="D17808" s="5">
        <v>0.1</v>
      </c>
      <c r="E17808" s="5">
        <v>119</v>
      </c>
      <c r="F17808" s="5">
        <v>235.6</v>
      </c>
      <c r="G17808" s="5">
        <v>117</v>
      </c>
      <c r="H17808" s="5">
        <v>116.9</v>
      </c>
      <c r="I17808" s="5"/>
      <c r="J17808" s="5"/>
      <c r="K17808" s="5"/>
    </row>
    <row r="17809" spans="1:11" x14ac:dyDescent="0.25">
      <c r="A17809" s="5">
        <f>17802</f>
      </c>
      <c r="B17809" s="5" t="s">
        <v>17817</v>
      </c>
      <c r="C17809" s="5">
        <v>118.9</v>
      </c>
      <c r="D17809" s="5">
        <v>0.1</v>
      </c>
      <c r="E17809" s="5">
        <v>119</v>
      </c>
      <c r="F17809" s="5">
        <v>235.6</v>
      </c>
      <c r="G17809" s="5">
        <v>117</v>
      </c>
      <c r="H17809" s="5">
        <v>116.9</v>
      </c>
      <c r="I17809" s="5"/>
      <c r="J17809" s="5"/>
      <c r="K17809" s="5"/>
    </row>
    <row r="17810" spans="1:11" x14ac:dyDescent="0.25">
      <c r="A17810" s="5">
        <f>17803</f>
      </c>
      <c r="B17810" s="5" t="s">
        <v>17818</v>
      </c>
      <c r="C17810" s="5">
        <v>118.9</v>
      </c>
      <c r="D17810" s="5">
        <v>0.1</v>
      </c>
      <c r="E17810" s="5">
        <v>119</v>
      </c>
      <c r="F17810" s="5">
        <v>235.6</v>
      </c>
      <c r="G17810" s="5">
        <v>117</v>
      </c>
      <c r="H17810" s="5">
        <v>116.9</v>
      </c>
      <c r="I17810" s="5"/>
      <c r="J17810" s="5"/>
      <c r="K17810" s="5"/>
    </row>
    <row r="17811" spans="1:11" x14ac:dyDescent="0.25">
      <c r="A17811" s="5">
        <f>17804</f>
      </c>
      <c r="B17811" s="5" t="s">
        <v>17819</v>
      </c>
      <c r="C17811" s="5">
        <v>118.9</v>
      </c>
      <c r="D17811" s="5">
        <v>0.1</v>
      </c>
      <c r="E17811" s="5">
        <v>119</v>
      </c>
      <c r="F17811" s="5">
        <v>235.6</v>
      </c>
      <c r="G17811" s="5">
        <v>117</v>
      </c>
      <c r="H17811" s="5">
        <v>116.9</v>
      </c>
      <c r="I17811" s="5"/>
      <c r="J17811" s="5"/>
      <c r="K17811" s="5"/>
    </row>
    <row r="17812" spans="1:11" x14ac:dyDescent="0.25">
      <c r="A17812" s="5">
        <f>17805</f>
      </c>
      <c r="B17812" s="5" t="s">
        <v>17820</v>
      </c>
      <c r="C17812" s="5">
        <v>118.6</v>
      </c>
      <c r="D17812" s="5">
        <v>0.1</v>
      </c>
      <c r="E17812" s="5">
        <v>118.7</v>
      </c>
      <c r="F17812" s="5">
        <v>235</v>
      </c>
      <c r="G17812" s="5">
        <v>116.6</v>
      </c>
      <c r="H17812" s="5">
        <v>116.4</v>
      </c>
      <c r="I17812" s="5"/>
      <c r="J17812" s="5"/>
      <c r="K17812" s="5"/>
    </row>
    <row r="17813" spans="1:11" x14ac:dyDescent="0.25">
      <c r="A17813" s="5">
        <f>17806</f>
      </c>
      <c r="B17813" s="5" t="s">
        <v>17821</v>
      </c>
      <c r="C17813" s="5">
        <v>118.6</v>
      </c>
      <c r="D17813" s="5">
        <v>0.1</v>
      </c>
      <c r="E17813" s="5">
        <v>118.7</v>
      </c>
      <c r="F17813" s="5">
        <v>235</v>
      </c>
      <c r="G17813" s="5">
        <v>116.6</v>
      </c>
      <c r="H17813" s="5">
        <v>116.4</v>
      </c>
      <c r="I17813" s="5"/>
      <c r="J17813" s="5"/>
      <c r="K17813" s="5"/>
    </row>
    <row r="17814" spans="1:11" x14ac:dyDescent="0.25">
      <c r="A17814" s="5">
        <f>17807</f>
      </c>
      <c r="B17814" s="5" t="s">
        <v>17822</v>
      </c>
      <c r="C17814" s="5">
        <v>118.8</v>
      </c>
      <c r="D17814" s="5">
        <v>0.1</v>
      </c>
      <c r="E17814" s="5">
        <v>119</v>
      </c>
      <c r="F17814" s="5">
        <v>235.5</v>
      </c>
      <c r="G17814" s="5">
        <v>116.8</v>
      </c>
      <c r="H17814" s="5">
        <v>116.6</v>
      </c>
      <c r="I17814" s="5"/>
      <c r="J17814" s="5"/>
      <c r="K17814" s="5"/>
    </row>
    <row r="17815" spans="1:11" x14ac:dyDescent="0.25">
      <c r="A17815" s="5">
        <f>17808</f>
      </c>
      <c r="B17815" s="5" t="s">
        <v>17823</v>
      </c>
      <c r="C17815" s="5">
        <v>118.8</v>
      </c>
      <c r="D17815" s="5">
        <v>0.1</v>
      </c>
      <c r="E17815" s="5">
        <v>119</v>
      </c>
      <c r="F17815" s="5">
        <v>235.5</v>
      </c>
      <c r="G17815" s="5">
        <v>116.8</v>
      </c>
      <c r="H17815" s="5">
        <v>116.6</v>
      </c>
      <c r="I17815" s="5"/>
      <c r="J17815" s="5"/>
      <c r="K17815" s="5"/>
    </row>
    <row r="17816" spans="1:11" x14ac:dyDescent="0.25">
      <c r="A17816" s="5">
        <f>17809</f>
      </c>
      <c r="B17816" s="5" t="s">
        <v>17824</v>
      </c>
      <c r="C17816" s="5">
        <v>118.2</v>
      </c>
      <c r="D17816" s="5">
        <v>0.1</v>
      </c>
      <c r="E17816" s="5">
        <v>118.3</v>
      </c>
      <c r="F17816" s="5">
        <v>234.5</v>
      </c>
      <c r="G17816" s="5">
        <v>116.4</v>
      </c>
      <c r="H17816" s="5">
        <v>116.2</v>
      </c>
      <c r="I17816" s="5"/>
      <c r="J17816" s="5"/>
      <c r="K17816" s="5"/>
    </row>
    <row r="17817" spans="1:11" x14ac:dyDescent="0.25">
      <c r="A17817" s="5">
        <f>17810</f>
      </c>
      <c r="B17817" s="5" t="s">
        <v>17825</v>
      </c>
      <c r="C17817" s="5">
        <v>118.2</v>
      </c>
      <c r="D17817" s="5">
        <v>0.1</v>
      </c>
      <c r="E17817" s="5">
        <v>118.3</v>
      </c>
      <c r="F17817" s="5">
        <v>234.5</v>
      </c>
      <c r="G17817" s="5">
        <v>116.4</v>
      </c>
      <c r="H17817" s="5">
        <v>116.2</v>
      </c>
      <c r="I17817" s="5"/>
      <c r="J17817" s="5"/>
      <c r="K17817" s="5"/>
    </row>
    <row r="17818" spans="1:11" x14ac:dyDescent="0.25">
      <c r="A17818" s="5">
        <f>17811</f>
      </c>
      <c r="B17818" s="5" t="s">
        <v>17826</v>
      </c>
      <c r="C17818" s="5">
        <v>118.4</v>
      </c>
      <c r="D17818" s="5">
        <v>0.1</v>
      </c>
      <c r="E17818" s="5">
        <v>118.6</v>
      </c>
      <c r="F17818" s="5">
        <v>235.1</v>
      </c>
      <c r="G17818" s="5">
        <v>116.7</v>
      </c>
      <c r="H17818" s="5">
        <v>116.6</v>
      </c>
      <c r="I17818" s="5"/>
      <c r="J17818" s="5"/>
      <c r="K17818" s="5"/>
    </row>
    <row r="17819" spans="1:11" x14ac:dyDescent="0.25">
      <c r="A17819" s="5">
        <f>17812</f>
      </c>
      <c r="B17819" s="5" t="s">
        <v>17827</v>
      </c>
      <c r="C17819" s="5">
        <v>118.4</v>
      </c>
      <c r="D17819" s="5">
        <v>0.1</v>
      </c>
      <c r="E17819" s="5">
        <v>118.6</v>
      </c>
      <c r="F17819" s="5">
        <v>235.1</v>
      </c>
      <c r="G17819" s="5">
        <v>116.7</v>
      </c>
      <c r="H17819" s="5">
        <v>116.6</v>
      </c>
      <c r="I17819" s="5"/>
      <c r="J17819" s="5"/>
      <c r="K17819" s="5"/>
    </row>
    <row r="17820" spans="1:11" x14ac:dyDescent="0.25">
      <c r="A17820" s="5">
        <f>17813</f>
      </c>
      <c r="B17820" s="5" t="s">
        <v>17828</v>
      </c>
      <c r="C17820" s="5">
        <v>118.4</v>
      </c>
      <c r="D17820" s="5">
        <v>0.1</v>
      </c>
      <c r="E17820" s="5">
        <v>118.6</v>
      </c>
      <c r="F17820" s="5">
        <v>235.1</v>
      </c>
      <c r="G17820" s="5">
        <v>116.7</v>
      </c>
      <c r="H17820" s="5">
        <v>116.6</v>
      </c>
      <c r="I17820" s="5"/>
      <c r="J17820" s="5"/>
      <c r="K17820" s="5"/>
    </row>
    <row r="17821" spans="1:11" x14ac:dyDescent="0.25">
      <c r="A17821" s="5">
        <f>17814</f>
      </c>
      <c r="B17821" s="5" t="s">
        <v>17829</v>
      </c>
      <c r="C17821" s="5">
        <v>118.4</v>
      </c>
      <c r="D17821" s="5">
        <v>0.1</v>
      </c>
      <c r="E17821" s="5">
        <v>118.6</v>
      </c>
      <c r="F17821" s="5">
        <v>235.1</v>
      </c>
      <c r="G17821" s="5">
        <v>116.7</v>
      </c>
      <c r="H17821" s="5">
        <v>116.6</v>
      </c>
      <c r="I17821" s="5"/>
      <c r="J17821" s="5"/>
      <c r="K17821" s="5"/>
    </row>
    <row r="17822" spans="1:11" x14ac:dyDescent="0.25">
      <c r="A17822" s="5">
        <f>17815</f>
      </c>
      <c r="B17822" s="5" t="s">
        <v>17830</v>
      </c>
      <c r="C17822" s="5">
        <v>119.3</v>
      </c>
      <c r="D17822" s="5">
        <v>0.1</v>
      </c>
      <c r="E17822" s="5">
        <v>119.5</v>
      </c>
      <c r="F17822" s="5">
        <v>234.8</v>
      </c>
      <c r="G17822" s="5">
        <v>115.5</v>
      </c>
      <c r="H17822" s="5">
        <v>115.4</v>
      </c>
      <c r="I17822" s="5"/>
      <c r="J17822" s="5"/>
      <c r="K17822" s="5"/>
    </row>
    <row r="17823" spans="1:11" x14ac:dyDescent="0.25">
      <c r="A17823" s="5">
        <f>17816</f>
      </c>
      <c r="B17823" s="5" t="s">
        <v>17831</v>
      </c>
      <c r="C17823" s="5">
        <v>119.3</v>
      </c>
      <c r="D17823" s="5">
        <v>0.1</v>
      </c>
      <c r="E17823" s="5">
        <v>119.5</v>
      </c>
      <c r="F17823" s="5">
        <v>234.8</v>
      </c>
      <c r="G17823" s="5">
        <v>115.5</v>
      </c>
      <c r="H17823" s="5">
        <v>115.4</v>
      </c>
      <c r="I17823" s="5"/>
      <c r="J17823" s="5"/>
      <c r="K17823" s="5"/>
    </row>
    <row r="17824" spans="1:11" x14ac:dyDescent="0.25">
      <c r="A17824" s="5">
        <f>17817</f>
      </c>
      <c r="B17824" s="5" t="s">
        <v>17832</v>
      </c>
      <c r="C17824" s="5">
        <v>118.9</v>
      </c>
      <c r="D17824" s="5">
        <v>0.1</v>
      </c>
      <c r="E17824" s="5">
        <v>119</v>
      </c>
      <c r="F17824" s="5">
        <v>234.9</v>
      </c>
      <c r="G17824" s="5">
        <v>115.6</v>
      </c>
      <c r="H17824" s="5">
        <v>115.4</v>
      </c>
      <c r="I17824" s="5"/>
      <c r="J17824" s="5"/>
      <c r="K17824" s="5"/>
    </row>
    <row r="17825" spans="1:11" x14ac:dyDescent="0.25">
      <c r="A17825" s="5">
        <f>17818</f>
      </c>
      <c r="B17825" s="5" t="s">
        <v>17833</v>
      </c>
      <c r="C17825" s="5">
        <v>118.9</v>
      </c>
      <c r="D17825" s="5">
        <v>0.1</v>
      </c>
      <c r="E17825" s="5">
        <v>119</v>
      </c>
      <c r="F17825" s="5">
        <v>234.9</v>
      </c>
      <c r="G17825" s="5">
        <v>115.6</v>
      </c>
      <c r="H17825" s="5">
        <v>115.4</v>
      </c>
      <c r="I17825" s="5"/>
      <c r="J17825" s="5"/>
      <c r="K17825" s="5"/>
    </row>
    <row r="17826" spans="1:11" x14ac:dyDescent="0.25">
      <c r="A17826" s="5">
        <f>17819</f>
      </c>
      <c r="B17826" s="5" t="s">
        <v>17834</v>
      </c>
      <c r="C17826" s="5">
        <v>119</v>
      </c>
      <c r="D17826" s="5">
        <v>0.1</v>
      </c>
      <c r="E17826" s="5">
        <v>119.1</v>
      </c>
      <c r="F17826" s="5">
        <v>234.2</v>
      </c>
      <c r="G17826" s="5">
        <v>115.2</v>
      </c>
      <c r="H17826" s="5">
        <v>115.1</v>
      </c>
      <c r="I17826" s="5"/>
      <c r="J17826" s="5"/>
      <c r="K17826" s="5"/>
    </row>
    <row r="17827" spans="1:11" x14ac:dyDescent="0.25">
      <c r="A17827" s="5">
        <f>17820</f>
      </c>
      <c r="B17827" s="5" t="s">
        <v>17835</v>
      </c>
      <c r="C17827" s="5">
        <v>119</v>
      </c>
      <c r="D17827" s="5">
        <v>0.1</v>
      </c>
      <c r="E17827" s="5">
        <v>119.1</v>
      </c>
      <c r="F17827" s="5">
        <v>234.2</v>
      </c>
      <c r="G17827" s="5">
        <v>115.2</v>
      </c>
      <c r="H17827" s="5">
        <v>115.1</v>
      </c>
      <c r="I17827" s="5"/>
      <c r="J17827" s="5"/>
      <c r="K17827" s="5"/>
    </row>
    <row r="17828" spans="1:11" x14ac:dyDescent="0.25">
      <c r="A17828" s="5">
        <f>17821</f>
      </c>
      <c r="B17828" s="5" t="s">
        <v>17836</v>
      </c>
      <c r="C17828" s="5">
        <v>119.4</v>
      </c>
      <c r="D17828" s="5">
        <v>0.1</v>
      </c>
      <c r="E17828" s="5">
        <v>119.6</v>
      </c>
      <c r="F17828" s="5">
        <v>235</v>
      </c>
      <c r="G17828" s="5">
        <v>115.6</v>
      </c>
      <c r="H17828" s="5">
        <v>115.4</v>
      </c>
      <c r="I17828" s="5"/>
      <c r="J17828" s="5"/>
      <c r="K17828" s="5"/>
    </row>
    <row r="17829" spans="1:11" x14ac:dyDescent="0.25">
      <c r="A17829" s="5">
        <f>17822</f>
      </c>
      <c r="B17829" s="5" t="s">
        <v>17837</v>
      </c>
      <c r="C17829" s="5">
        <v>119.4</v>
      </c>
      <c r="D17829" s="5">
        <v>0.1</v>
      </c>
      <c r="E17829" s="5">
        <v>119.6</v>
      </c>
      <c r="F17829" s="5">
        <v>235</v>
      </c>
      <c r="G17829" s="5">
        <v>115.6</v>
      </c>
      <c r="H17829" s="5">
        <v>115.4</v>
      </c>
      <c r="I17829" s="5"/>
      <c r="J17829" s="5"/>
      <c r="K17829" s="5"/>
    </row>
    <row r="17830" spans="1:11" x14ac:dyDescent="0.25">
      <c r="A17830" s="5">
        <f>17823</f>
      </c>
      <c r="B17830" s="5" t="s">
        <v>17838</v>
      </c>
      <c r="C17830" s="5">
        <v>119.4</v>
      </c>
      <c r="D17830" s="5">
        <v>0.1</v>
      </c>
      <c r="E17830" s="5">
        <v>119.6</v>
      </c>
      <c r="F17830" s="5">
        <v>235</v>
      </c>
      <c r="G17830" s="5">
        <v>115.6</v>
      </c>
      <c r="H17830" s="5">
        <v>115.4</v>
      </c>
      <c r="I17830" s="5"/>
      <c r="J17830" s="5"/>
      <c r="K17830" s="5"/>
    </row>
    <row r="17831" spans="1:11" x14ac:dyDescent="0.25">
      <c r="A17831" s="5">
        <f>17824</f>
      </c>
      <c r="B17831" s="5" t="s">
        <v>17839</v>
      </c>
      <c r="C17831" s="5">
        <v>119.4</v>
      </c>
      <c r="D17831" s="5">
        <v>0.1</v>
      </c>
      <c r="E17831" s="5">
        <v>119.6</v>
      </c>
      <c r="F17831" s="5">
        <v>235</v>
      </c>
      <c r="G17831" s="5">
        <v>115.6</v>
      </c>
      <c r="H17831" s="5">
        <v>115.4</v>
      </c>
      <c r="I17831" s="5"/>
      <c r="J17831" s="5"/>
      <c r="K17831" s="5"/>
    </row>
    <row r="17832" spans="1:11" x14ac:dyDescent="0.25">
      <c r="A17832" s="5">
        <f>17825</f>
      </c>
      <c r="B17832" s="5" t="s">
        <v>17840</v>
      </c>
      <c r="C17832" s="5">
        <v>119.3</v>
      </c>
      <c r="D17832" s="5">
        <v>0.1</v>
      </c>
      <c r="E17832" s="5">
        <v>119.4</v>
      </c>
      <c r="F17832" s="5">
        <v>234.9</v>
      </c>
      <c r="G17832" s="5">
        <v>115.5</v>
      </c>
      <c r="H17832" s="5">
        <v>115.4</v>
      </c>
      <c r="I17832" s="5"/>
      <c r="J17832" s="5"/>
      <c r="K17832" s="5"/>
    </row>
    <row r="17833" spans="1:11" x14ac:dyDescent="0.25">
      <c r="A17833" s="5">
        <f>17826</f>
      </c>
      <c r="B17833" s="5" t="s">
        <v>17841</v>
      </c>
      <c r="C17833" s="5">
        <v>119.3</v>
      </c>
      <c r="D17833" s="5">
        <v>0.1</v>
      </c>
      <c r="E17833" s="5">
        <v>119.4</v>
      </c>
      <c r="F17833" s="5">
        <v>234.9</v>
      </c>
      <c r="G17833" s="5">
        <v>115.5</v>
      </c>
      <c r="H17833" s="5">
        <v>115.4</v>
      </c>
      <c r="I17833" s="5"/>
      <c r="J17833" s="5"/>
      <c r="K17833" s="5"/>
    </row>
    <row r="17834" spans="1:11" x14ac:dyDescent="0.25">
      <c r="A17834" s="5">
        <f>17827</f>
      </c>
      <c r="B17834" s="5" t="s">
        <v>17842</v>
      </c>
      <c r="C17834" s="5">
        <v>119.4</v>
      </c>
      <c r="D17834" s="5">
        <v>0.1</v>
      </c>
      <c r="E17834" s="5">
        <v>119.6</v>
      </c>
      <c r="F17834" s="5">
        <v>234.9</v>
      </c>
      <c r="G17834" s="5">
        <v>115.5</v>
      </c>
      <c r="H17834" s="5">
        <v>115.3</v>
      </c>
      <c r="I17834" s="5"/>
      <c r="J17834" s="5"/>
      <c r="K17834" s="5"/>
    </row>
    <row r="17835" spans="1:11" x14ac:dyDescent="0.25">
      <c r="A17835" s="5">
        <f>17828</f>
      </c>
      <c r="B17835" s="5" t="s">
        <v>17843</v>
      </c>
      <c r="C17835" s="5">
        <v>119.4</v>
      </c>
      <c r="D17835" s="5">
        <v>0.1</v>
      </c>
      <c r="E17835" s="5">
        <v>119.6</v>
      </c>
      <c r="F17835" s="5">
        <v>234.9</v>
      </c>
      <c r="G17835" s="5">
        <v>115.5</v>
      </c>
      <c r="H17835" s="5">
        <v>115.3</v>
      </c>
      <c r="I17835" s="5"/>
      <c r="J17835" s="5"/>
      <c r="K17835" s="5"/>
    </row>
    <row r="17836" spans="1:11" x14ac:dyDescent="0.25">
      <c r="A17836" s="5">
        <f>17829</f>
      </c>
      <c r="B17836" s="5" t="s">
        <v>17844</v>
      </c>
      <c r="C17836" s="5">
        <v>119.9</v>
      </c>
      <c r="D17836" s="5">
        <v>0.1</v>
      </c>
      <c r="E17836" s="5">
        <v>120</v>
      </c>
      <c r="F17836" s="5">
        <v>235.7</v>
      </c>
      <c r="G17836" s="5">
        <v>115.8</v>
      </c>
      <c r="H17836" s="5">
        <v>115.6</v>
      </c>
      <c r="I17836" s="5"/>
      <c r="J17836" s="5"/>
      <c r="K17836" s="5"/>
    </row>
    <row r="17837" spans="1:11" x14ac:dyDescent="0.25">
      <c r="A17837" s="5">
        <f>17830</f>
      </c>
      <c r="B17837" s="5" t="s">
        <v>17845</v>
      </c>
      <c r="C17837" s="5">
        <v>119.9</v>
      </c>
      <c r="D17837" s="5">
        <v>0.1</v>
      </c>
      <c r="E17837" s="5">
        <v>120</v>
      </c>
      <c r="F17837" s="5">
        <v>235.7</v>
      </c>
      <c r="G17837" s="5">
        <v>115.8</v>
      </c>
      <c r="H17837" s="5">
        <v>115.6</v>
      </c>
      <c r="I17837" s="5"/>
      <c r="J17837" s="5"/>
      <c r="K17837" s="5"/>
    </row>
    <row r="17838" spans="1:11" x14ac:dyDescent="0.25">
      <c r="A17838" s="5">
        <f>17831</f>
      </c>
      <c r="B17838" s="5" t="s">
        <v>17846</v>
      </c>
      <c r="C17838" s="5">
        <v>119.5</v>
      </c>
      <c r="D17838" s="5">
        <v>0.1</v>
      </c>
      <c r="E17838" s="5">
        <v>119.6</v>
      </c>
      <c r="F17838" s="5">
        <v>235.1</v>
      </c>
      <c r="G17838" s="5">
        <v>115.5</v>
      </c>
      <c r="H17838" s="5">
        <v>115.4</v>
      </c>
      <c r="I17838" s="5"/>
      <c r="J17838" s="5"/>
      <c r="K17838" s="5"/>
    </row>
    <row r="17839" spans="1:11" x14ac:dyDescent="0.25">
      <c r="A17839" s="5">
        <f>17832</f>
      </c>
      <c r="B17839" s="5" t="s">
        <v>17847</v>
      </c>
      <c r="C17839" s="5">
        <v>119.5</v>
      </c>
      <c r="D17839" s="5">
        <v>0.1</v>
      </c>
      <c r="E17839" s="5">
        <v>119.6</v>
      </c>
      <c r="F17839" s="5">
        <v>235.1</v>
      </c>
      <c r="G17839" s="5">
        <v>115.5</v>
      </c>
      <c r="H17839" s="5">
        <v>115.4</v>
      </c>
      <c r="I17839" s="5"/>
      <c r="J17839" s="5"/>
      <c r="K17839" s="5"/>
    </row>
    <row r="17840" spans="1:11" x14ac:dyDescent="0.25">
      <c r="A17840" s="5">
        <f>17833</f>
      </c>
      <c r="B17840" s="5" t="s">
        <v>17848</v>
      </c>
      <c r="C17840" s="5">
        <v>119.5</v>
      </c>
      <c r="D17840" s="5">
        <v>0.1</v>
      </c>
      <c r="E17840" s="5">
        <v>119.6</v>
      </c>
      <c r="F17840" s="5">
        <v>235.1</v>
      </c>
      <c r="G17840" s="5">
        <v>115.5</v>
      </c>
      <c r="H17840" s="5">
        <v>115.4</v>
      </c>
      <c r="I17840" s="5"/>
      <c r="J17840" s="5"/>
      <c r="K17840" s="5"/>
    </row>
    <row r="17841" spans="1:11" x14ac:dyDescent="0.25">
      <c r="A17841" s="5">
        <f>17834</f>
      </c>
      <c r="B17841" s="5" t="s">
        <v>17849</v>
      </c>
      <c r="C17841" s="5">
        <v>119.5</v>
      </c>
      <c r="D17841" s="5">
        <v>0.1</v>
      </c>
      <c r="E17841" s="5">
        <v>119.6</v>
      </c>
      <c r="F17841" s="5">
        <v>235.1</v>
      </c>
      <c r="G17841" s="5">
        <v>115.5</v>
      </c>
      <c r="H17841" s="5">
        <v>115.4</v>
      </c>
      <c r="I17841" s="5"/>
      <c r="J17841" s="5"/>
      <c r="K17841" s="5"/>
    </row>
    <row r="17842" spans="1:11" x14ac:dyDescent="0.25">
      <c r="A17842" s="5">
        <f>17835</f>
      </c>
      <c r="B17842" s="5" t="s">
        <v>17850</v>
      </c>
      <c r="C17842" s="5">
        <v>118.1</v>
      </c>
      <c r="D17842" s="5">
        <v>0.1</v>
      </c>
      <c r="E17842" s="5">
        <v>118.3</v>
      </c>
      <c r="F17842" s="5">
        <v>235</v>
      </c>
      <c r="G17842" s="5">
        <v>116.8</v>
      </c>
      <c r="H17842" s="5">
        <v>116.7</v>
      </c>
      <c r="I17842" s="5"/>
      <c r="J17842" s="5"/>
      <c r="K17842" s="5"/>
    </row>
    <row r="17843" spans="1:11" x14ac:dyDescent="0.25">
      <c r="A17843" s="5">
        <f>17836</f>
      </c>
      <c r="B17843" s="5" t="s">
        <v>17851</v>
      </c>
      <c r="C17843" s="5">
        <v>118.1</v>
      </c>
      <c r="D17843" s="5">
        <v>0.1</v>
      </c>
      <c r="E17843" s="5">
        <v>118.3</v>
      </c>
      <c r="F17843" s="5">
        <v>235</v>
      </c>
      <c r="G17843" s="5">
        <v>116.8</v>
      </c>
      <c r="H17843" s="5">
        <v>116.7</v>
      </c>
      <c r="I17843" s="5"/>
      <c r="J17843" s="5"/>
      <c r="K17843" s="5"/>
    </row>
    <row r="17844" spans="1:11" x14ac:dyDescent="0.25">
      <c r="A17844" s="5">
        <f>17837</f>
      </c>
      <c r="B17844" s="5" t="s">
        <v>17852</v>
      </c>
      <c r="C17844" s="5">
        <v>117.8</v>
      </c>
      <c r="D17844" s="5">
        <v>0.1</v>
      </c>
      <c r="E17844" s="5">
        <v>118</v>
      </c>
      <c r="F17844" s="5">
        <v>234.6</v>
      </c>
      <c r="G17844" s="5">
        <v>116.6</v>
      </c>
      <c r="H17844" s="5">
        <v>116.4</v>
      </c>
      <c r="I17844" s="5"/>
      <c r="J17844" s="5"/>
      <c r="K17844" s="5"/>
    </row>
    <row r="17845" spans="1:11" x14ac:dyDescent="0.25">
      <c r="A17845" s="5">
        <f>17838</f>
      </c>
      <c r="B17845" s="5" t="s">
        <v>17853</v>
      </c>
      <c r="C17845" s="5">
        <v>117.8</v>
      </c>
      <c r="D17845" s="5">
        <v>0.1</v>
      </c>
      <c r="E17845" s="5">
        <v>118</v>
      </c>
      <c r="F17845" s="5">
        <v>234.6</v>
      </c>
      <c r="G17845" s="5">
        <v>116.6</v>
      </c>
      <c r="H17845" s="5">
        <v>116.4</v>
      </c>
      <c r="I17845" s="5"/>
      <c r="J17845" s="5"/>
      <c r="K17845" s="5"/>
    </row>
    <row r="17846" spans="1:11" x14ac:dyDescent="0.25">
      <c r="A17846" s="5">
        <f>17839</f>
      </c>
      <c r="B17846" s="5" t="s">
        <v>17854</v>
      </c>
      <c r="C17846" s="5">
        <v>117.7</v>
      </c>
      <c r="D17846" s="5">
        <v>0.1</v>
      </c>
      <c r="E17846" s="5">
        <v>117.9</v>
      </c>
      <c r="F17846" s="5">
        <v>234.7</v>
      </c>
      <c r="G17846" s="5">
        <v>116.7</v>
      </c>
      <c r="H17846" s="5">
        <v>116.6</v>
      </c>
      <c r="I17846" s="5"/>
      <c r="J17846" s="5"/>
      <c r="K17846" s="5"/>
    </row>
    <row r="17847" spans="1:11" x14ac:dyDescent="0.25">
      <c r="A17847" s="5">
        <f>17840</f>
      </c>
      <c r="B17847" s="5" t="s">
        <v>17855</v>
      </c>
      <c r="C17847" s="5">
        <v>117.7</v>
      </c>
      <c r="D17847" s="5">
        <v>0.1</v>
      </c>
      <c r="E17847" s="5">
        <v>117.9</v>
      </c>
      <c r="F17847" s="5">
        <v>234.7</v>
      </c>
      <c r="G17847" s="5">
        <v>116.7</v>
      </c>
      <c r="H17847" s="5">
        <v>116.6</v>
      </c>
      <c r="I17847" s="5"/>
      <c r="J17847" s="5"/>
      <c r="K17847" s="5"/>
    </row>
    <row r="17848" spans="1:11" x14ac:dyDescent="0.25">
      <c r="A17848" s="5">
        <f>17841</f>
      </c>
      <c r="B17848" s="5" t="s">
        <v>17856</v>
      </c>
      <c r="C17848" s="5">
        <v>117.7</v>
      </c>
      <c r="D17848" s="5">
        <v>0.1</v>
      </c>
      <c r="E17848" s="5">
        <v>117.9</v>
      </c>
      <c r="F17848" s="5">
        <v>234.6</v>
      </c>
      <c r="G17848" s="5">
        <v>116.6</v>
      </c>
      <c r="H17848" s="5">
        <v>116.5</v>
      </c>
      <c r="I17848" s="5"/>
      <c r="J17848" s="5"/>
      <c r="K17848" s="5"/>
    </row>
    <row r="17849" spans="1:11" x14ac:dyDescent="0.25">
      <c r="A17849" s="5">
        <f>17842</f>
      </c>
      <c r="B17849" s="5" t="s">
        <v>17857</v>
      </c>
      <c r="C17849" s="5">
        <v>117.7</v>
      </c>
      <c r="D17849" s="5">
        <v>0.1</v>
      </c>
      <c r="E17849" s="5">
        <v>117.9</v>
      </c>
      <c r="F17849" s="5">
        <v>234.6</v>
      </c>
      <c r="G17849" s="5">
        <v>116.6</v>
      </c>
      <c r="H17849" s="5">
        <v>116.5</v>
      </c>
      <c r="I17849" s="5"/>
      <c r="J17849" s="5"/>
      <c r="K17849" s="5"/>
    </row>
    <row r="17850" spans="1:11" x14ac:dyDescent="0.25">
      <c r="A17850" s="5">
        <f>17843</f>
      </c>
      <c r="B17850" s="5" t="s">
        <v>17858</v>
      </c>
      <c r="C17850" s="5">
        <v>117.7</v>
      </c>
      <c r="D17850" s="5">
        <v>0.1</v>
      </c>
      <c r="E17850" s="5">
        <v>117.9</v>
      </c>
      <c r="F17850" s="5">
        <v>234.6</v>
      </c>
      <c r="G17850" s="5">
        <v>116.6</v>
      </c>
      <c r="H17850" s="5">
        <v>116.5</v>
      </c>
      <c r="I17850" s="5"/>
      <c r="J17850" s="5"/>
      <c r="K17850" s="5"/>
    </row>
    <row r="17851" spans="1:11" x14ac:dyDescent="0.25">
      <c r="A17851" s="5">
        <f>17844</f>
      </c>
      <c r="B17851" s="5" t="s">
        <v>17859</v>
      </c>
      <c r="C17851" s="5">
        <v>117.7</v>
      </c>
      <c r="D17851" s="5">
        <v>0.1</v>
      </c>
      <c r="E17851" s="5">
        <v>118.5</v>
      </c>
      <c r="F17851" s="5">
        <v>235.3</v>
      </c>
      <c r="G17851" s="5">
        <v>117</v>
      </c>
      <c r="H17851" s="5">
        <v>116.9</v>
      </c>
      <c r="I17851" s="5"/>
      <c r="J17851" s="5"/>
      <c r="K17851" s="5"/>
    </row>
    <row r="17852" spans="1:11" x14ac:dyDescent="0.25">
      <c r="A17852" s="5">
        <f>17845</f>
      </c>
      <c r="B17852" s="5" t="s">
        <v>17860</v>
      </c>
      <c r="C17852" s="5">
        <v>118.3</v>
      </c>
      <c r="D17852" s="5">
        <v>0.1</v>
      </c>
      <c r="E17852" s="5">
        <v>118.5</v>
      </c>
      <c r="F17852" s="5">
        <v>235.3</v>
      </c>
      <c r="G17852" s="5">
        <v>117</v>
      </c>
      <c r="H17852" s="5">
        <v>116.9</v>
      </c>
      <c r="I17852" s="5"/>
      <c r="J17852" s="5"/>
      <c r="K17852" s="5"/>
    </row>
    <row r="17853" spans="1:11" x14ac:dyDescent="0.25">
      <c r="A17853" s="5">
        <f>17846</f>
      </c>
      <c r="B17853" s="5" t="s">
        <v>17861</v>
      </c>
      <c r="C17853" s="5">
        <v>118.4</v>
      </c>
      <c r="D17853" s="5">
        <v>0.1</v>
      </c>
      <c r="E17853" s="5">
        <v>118.6</v>
      </c>
      <c r="F17853" s="5">
        <v>235.5</v>
      </c>
      <c r="G17853" s="5">
        <v>117.1</v>
      </c>
      <c r="H17853" s="5">
        <v>116.9</v>
      </c>
      <c r="I17853" s="5"/>
      <c r="J17853" s="5"/>
      <c r="K17853" s="5"/>
    </row>
    <row r="17854" spans="1:11" x14ac:dyDescent="0.25">
      <c r="A17854" s="5">
        <f>17847</f>
      </c>
      <c r="B17854" s="5" t="s">
        <v>17862</v>
      </c>
      <c r="C17854" s="5">
        <v>118.4</v>
      </c>
      <c r="D17854" s="5">
        <v>0.1</v>
      </c>
      <c r="E17854" s="5">
        <v>118.6</v>
      </c>
      <c r="F17854" s="5">
        <v>235.5</v>
      </c>
      <c r="G17854" s="5">
        <v>117.1</v>
      </c>
      <c r="H17854" s="5">
        <v>116.9</v>
      </c>
      <c r="I17854" s="5"/>
      <c r="J17854" s="5"/>
      <c r="K17854" s="5"/>
    </row>
    <row r="17855" spans="1:11" x14ac:dyDescent="0.25">
      <c r="A17855" s="5">
        <f>17848</f>
      </c>
      <c r="B17855" s="5" t="s">
        <v>17863</v>
      </c>
      <c r="C17855" s="5">
        <v>118.7</v>
      </c>
      <c r="D17855" s="5">
        <v>0.1</v>
      </c>
      <c r="E17855" s="5">
        <v>118.6</v>
      </c>
      <c r="F17855" s="5">
        <v>235.5</v>
      </c>
      <c r="G17855" s="5">
        <v>117.1</v>
      </c>
      <c r="H17855" s="5">
        <v>116.9</v>
      </c>
      <c r="I17855" s="5"/>
      <c r="J17855" s="5"/>
      <c r="K17855" s="5"/>
    </row>
    <row r="17856" spans="1:11" x14ac:dyDescent="0.25">
      <c r="A17856" s="5">
        <f>17849</f>
      </c>
      <c r="B17856" s="5" t="s">
        <v>17864</v>
      </c>
      <c r="C17856" s="5">
        <v>118.7</v>
      </c>
      <c r="D17856" s="5">
        <v>0.1</v>
      </c>
      <c r="E17856" s="5">
        <v>118.9</v>
      </c>
      <c r="F17856" s="5">
        <v>235.8</v>
      </c>
      <c r="G17856" s="5">
        <v>117.3</v>
      </c>
      <c r="H17856" s="5">
        <v>117.1</v>
      </c>
      <c r="I17856" s="5"/>
      <c r="J17856" s="5"/>
      <c r="K17856" s="5"/>
    </row>
    <row r="17857" spans="1:11" x14ac:dyDescent="0.25">
      <c r="A17857" s="5">
        <f>17850</f>
      </c>
      <c r="B17857" s="5" t="s">
        <v>17865</v>
      </c>
      <c r="C17857" s="5">
        <v>118.7</v>
      </c>
      <c r="D17857" s="5">
        <v>0.1</v>
      </c>
      <c r="E17857" s="5">
        <v>118.9</v>
      </c>
      <c r="F17857" s="5">
        <v>235.8</v>
      </c>
      <c r="G17857" s="5">
        <v>117.3</v>
      </c>
      <c r="H17857" s="5">
        <v>117.1</v>
      </c>
      <c r="I17857" s="5"/>
      <c r="J17857" s="5"/>
      <c r="K17857" s="5"/>
    </row>
    <row r="17858" spans="1:11" x14ac:dyDescent="0.25">
      <c r="A17858" s="5">
        <f>17851</f>
      </c>
      <c r="B17858" s="5" t="s">
        <v>17866</v>
      </c>
      <c r="C17858" s="5">
        <v>118.7</v>
      </c>
      <c r="D17858" s="5">
        <v>0.1</v>
      </c>
      <c r="E17858" s="5">
        <v>118.9</v>
      </c>
      <c r="F17858" s="5">
        <v>235.8</v>
      </c>
      <c r="G17858" s="5">
        <v>117.3</v>
      </c>
      <c r="H17858" s="5">
        <v>117.2</v>
      </c>
      <c r="I17858" s="5"/>
      <c r="J17858" s="5"/>
      <c r="K17858" s="5"/>
    </row>
    <row r="17859" spans="1:11" x14ac:dyDescent="0.25">
      <c r="A17859" s="5">
        <f>17852</f>
      </c>
      <c r="B17859" s="5" t="s">
        <v>17867</v>
      </c>
      <c r="C17859" s="5">
        <v>118.7</v>
      </c>
      <c r="D17859" s="5">
        <v>0.1</v>
      </c>
      <c r="E17859" s="5">
        <v>118.9</v>
      </c>
      <c r="F17859" s="5">
        <v>235.8</v>
      </c>
      <c r="G17859" s="5">
        <v>117.3</v>
      </c>
      <c r="H17859" s="5">
        <v>117.2</v>
      </c>
      <c r="I17859" s="5"/>
      <c r="J17859" s="5"/>
      <c r="K17859" s="5"/>
    </row>
    <row r="17860" spans="1:11" x14ac:dyDescent="0.25">
      <c r="A17860" s="5">
        <f>17853</f>
      </c>
      <c r="B17860" s="5" t="s">
        <v>17868</v>
      </c>
      <c r="C17860" s="5">
        <v>118.7</v>
      </c>
      <c r="D17860" s="5">
        <v>0.1</v>
      </c>
      <c r="E17860" s="5">
        <v>118.9</v>
      </c>
      <c r="F17860" s="5">
        <v>235.8</v>
      </c>
      <c r="G17860" s="5">
        <v>117.3</v>
      </c>
      <c r="H17860" s="5">
        <v>117.2</v>
      </c>
      <c r="I17860" s="5"/>
      <c r="J17860" s="5"/>
      <c r="K17860" s="5"/>
    </row>
    <row r="17861" spans="1:11" x14ac:dyDescent="0.25">
      <c r="A17861" s="5">
        <f>17854</f>
      </c>
      <c r="B17861" s="5" t="s">
        <v>17869</v>
      </c>
      <c r="C17861" s="5">
        <v>118.7</v>
      </c>
      <c r="D17861" s="5">
        <v>0.1</v>
      </c>
      <c r="E17861" s="5">
        <v>118.9</v>
      </c>
      <c r="F17861" s="5">
        <v>235.8</v>
      </c>
      <c r="G17861" s="5">
        <v>117.3</v>
      </c>
      <c r="H17861" s="5">
        <v>117.2</v>
      </c>
      <c r="I17861" s="5"/>
      <c r="J17861" s="5"/>
      <c r="K17861" s="5"/>
    </row>
    <row r="17862" spans="1:11" x14ac:dyDescent="0.25">
      <c r="A17862" s="5">
        <f>17855</f>
      </c>
      <c r="B17862" s="5" t="s">
        <v>17870</v>
      </c>
      <c r="C17862" s="5">
        <v>118.2</v>
      </c>
      <c r="D17862" s="5">
        <v>0.1</v>
      </c>
      <c r="E17862" s="5">
        <v>118.3</v>
      </c>
      <c r="F17862" s="5">
        <v>235.8</v>
      </c>
      <c r="G17862" s="5">
        <v>117.2</v>
      </c>
      <c r="H17862" s="5">
        <v>117.1</v>
      </c>
      <c r="I17862" s="5"/>
      <c r="J17862" s="5"/>
      <c r="K17862" s="5"/>
    </row>
    <row r="17863" spans="1:11" x14ac:dyDescent="0.25">
      <c r="A17863" s="5">
        <f>17856</f>
      </c>
      <c r="B17863" s="5" t="s">
        <v>17871</v>
      </c>
      <c r="C17863" s="5">
        <v>118.2</v>
      </c>
      <c r="D17863" s="5">
        <v>0.1</v>
      </c>
      <c r="E17863" s="5">
        <v>118.3</v>
      </c>
      <c r="F17863" s="5">
        <v>235.8</v>
      </c>
      <c r="G17863" s="5">
        <v>117.2</v>
      </c>
      <c r="H17863" s="5">
        <v>117.1</v>
      </c>
      <c r="I17863" s="5"/>
      <c r="J17863" s="5"/>
      <c r="K17863" s="5"/>
    </row>
    <row r="17864" spans="1:11" x14ac:dyDescent="0.25">
      <c r="A17864" s="5">
        <f>17857</f>
      </c>
      <c r="B17864" s="5" t="s">
        <v>17872</v>
      </c>
      <c r="C17864" s="5">
        <v>118.5</v>
      </c>
      <c r="D17864" s="5">
        <v>0.1</v>
      </c>
      <c r="E17864" s="5">
        <v>118.6</v>
      </c>
      <c r="F17864" s="5">
        <v>235.2</v>
      </c>
      <c r="G17864" s="5">
        <v>117</v>
      </c>
      <c r="H17864" s="5">
        <v>116.8</v>
      </c>
      <c r="I17864" s="5"/>
      <c r="J17864" s="5"/>
      <c r="K17864" s="5"/>
    </row>
    <row r="17865" spans="1:11" x14ac:dyDescent="0.25">
      <c r="A17865" s="5">
        <f>17858</f>
      </c>
      <c r="B17865" s="5" t="s">
        <v>17873</v>
      </c>
      <c r="C17865" s="5">
        <v>118.5</v>
      </c>
      <c r="D17865" s="5">
        <v>0.1</v>
      </c>
      <c r="E17865" s="5">
        <v>118.6</v>
      </c>
      <c r="F17865" s="5">
        <v>235.2</v>
      </c>
      <c r="G17865" s="5">
        <v>117</v>
      </c>
      <c r="H17865" s="5">
        <v>116.8</v>
      </c>
      <c r="I17865" s="5"/>
      <c r="J17865" s="5"/>
      <c r="K17865" s="5"/>
    </row>
    <row r="17866" spans="1:11" x14ac:dyDescent="0.25">
      <c r="A17866" s="5">
        <f>17859</f>
      </c>
      <c r="B17866" s="5" t="s">
        <v>17874</v>
      </c>
      <c r="C17866" s="5">
        <v>118.6</v>
      </c>
      <c r="D17866" s="5">
        <v>0.1</v>
      </c>
      <c r="E17866" s="5">
        <v>118.7</v>
      </c>
      <c r="F17866" s="5">
        <v>235.6</v>
      </c>
      <c r="G17866" s="5">
        <v>117.1</v>
      </c>
      <c r="H17866" s="5">
        <v>117</v>
      </c>
      <c r="I17866" s="5"/>
      <c r="J17866" s="5"/>
      <c r="K17866" s="5"/>
    </row>
    <row r="17867" spans="1:11" x14ac:dyDescent="0.25">
      <c r="A17867" s="5">
        <f>17860</f>
      </c>
      <c r="B17867" s="5" t="s">
        <v>17875</v>
      </c>
      <c r="C17867" s="5">
        <v>118.6</v>
      </c>
      <c r="D17867" s="5">
        <v>0.1</v>
      </c>
      <c r="E17867" s="5">
        <v>118.7</v>
      </c>
      <c r="F17867" s="5">
        <v>235.6</v>
      </c>
      <c r="G17867" s="5">
        <v>117.1</v>
      </c>
      <c r="H17867" s="5">
        <v>117</v>
      </c>
      <c r="I17867" s="5"/>
      <c r="J17867" s="5"/>
      <c r="K17867" s="5"/>
    </row>
    <row r="17868" spans="1:11" x14ac:dyDescent="0.25">
      <c r="A17868" s="5">
        <f>17861</f>
      </c>
      <c r="B17868" s="5" t="s">
        <v>17876</v>
      </c>
      <c r="C17868" s="5">
        <v>118.6</v>
      </c>
      <c r="D17868" s="5">
        <v>0.1</v>
      </c>
      <c r="E17868" s="5">
        <v>118.7</v>
      </c>
      <c r="F17868" s="5">
        <v>236.3</v>
      </c>
      <c r="G17868" s="5">
        <v>117.5</v>
      </c>
      <c r="H17868" s="5">
        <v>117.3</v>
      </c>
      <c r="I17868" s="5"/>
      <c r="J17868" s="5"/>
      <c r="K17868" s="5"/>
    </row>
    <row r="17869" spans="1:11" x14ac:dyDescent="0.25">
      <c r="A17869" s="5">
        <f>17862</f>
      </c>
      <c r="B17869" s="5" t="s">
        <v>17877</v>
      </c>
      <c r="C17869" s="5">
        <v>118.6</v>
      </c>
      <c r="D17869" s="5">
        <v>0.1</v>
      </c>
      <c r="E17869" s="5">
        <v>118.7</v>
      </c>
      <c r="F17869" s="5">
        <v>236.3</v>
      </c>
      <c r="G17869" s="5">
        <v>117.5</v>
      </c>
      <c r="H17869" s="5">
        <v>117.3</v>
      </c>
      <c r="I17869" s="5"/>
      <c r="J17869" s="5"/>
      <c r="K17869" s="5"/>
    </row>
    <row r="17870" spans="1:11" x14ac:dyDescent="0.25">
      <c r="A17870" s="5">
        <f>17863</f>
      </c>
      <c r="B17870" s="5" t="s">
        <v>17878</v>
      </c>
      <c r="C17870" s="5">
        <v>118.6</v>
      </c>
      <c r="D17870" s="5">
        <v>0.1</v>
      </c>
      <c r="E17870" s="5">
        <v>118.7</v>
      </c>
      <c r="F17870" s="5">
        <v>236.3</v>
      </c>
      <c r="G17870" s="5">
        <v>117.5</v>
      </c>
      <c r="H17870" s="5">
        <v>117.3</v>
      </c>
      <c r="I17870" s="5"/>
      <c r="J17870" s="5"/>
      <c r="K17870" s="5"/>
    </row>
    <row r="17871" spans="1:11" x14ac:dyDescent="0.25">
      <c r="A17871" s="5">
        <f>17864</f>
      </c>
      <c r="B17871" s="5" t="s">
        <v>17879</v>
      </c>
      <c r="C17871" s="5">
        <v>118.6</v>
      </c>
      <c r="D17871" s="5">
        <v>0.1</v>
      </c>
      <c r="E17871" s="5">
        <v>118.7</v>
      </c>
      <c r="F17871" s="5">
        <v>236.3</v>
      </c>
      <c r="G17871" s="5">
        <v>117.5</v>
      </c>
      <c r="H17871" s="5">
        <v>117.3</v>
      </c>
      <c r="I17871" s="5"/>
      <c r="J17871" s="5"/>
      <c r="K17871" s="5"/>
    </row>
    <row r="17872" spans="1:11" x14ac:dyDescent="0.25">
      <c r="A17872" s="5">
        <f>17865</f>
      </c>
      <c r="B17872" s="5" t="s">
        <v>17880</v>
      </c>
      <c r="C17872" s="5">
        <v>118.5</v>
      </c>
      <c r="D17872" s="5">
        <v>0.1</v>
      </c>
      <c r="E17872" s="5">
        <v>118.6</v>
      </c>
      <c r="F17872" s="5">
        <v>235.8</v>
      </c>
      <c r="G17872" s="5">
        <v>117.2</v>
      </c>
      <c r="H17872" s="5">
        <v>117.2</v>
      </c>
      <c r="I17872" s="5"/>
      <c r="J17872" s="5"/>
      <c r="K17872" s="5"/>
    </row>
    <row r="17873" spans="1:11" x14ac:dyDescent="0.25">
      <c r="A17873" s="5">
        <f>17866</f>
      </c>
      <c r="B17873" s="5" t="s">
        <v>17881</v>
      </c>
      <c r="C17873" s="5">
        <v>118.5</v>
      </c>
      <c r="D17873" s="5">
        <v>0.1</v>
      </c>
      <c r="E17873" s="5">
        <v>118.6</v>
      </c>
      <c r="F17873" s="5">
        <v>235.8</v>
      </c>
      <c r="G17873" s="5">
        <v>117.2</v>
      </c>
      <c r="H17873" s="5">
        <v>117.2</v>
      </c>
      <c r="I17873" s="5"/>
      <c r="J17873" s="5"/>
      <c r="K17873" s="5"/>
    </row>
    <row r="17874" spans="1:11" x14ac:dyDescent="0.25">
      <c r="A17874" s="5">
        <f>17867</f>
      </c>
      <c r="B17874" s="5" t="s">
        <v>17882</v>
      </c>
      <c r="C17874" s="5">
        <v>119</v>
      </c>
      <c r="D17874" s="5">
        <v>0.1</v>
      </c>
      <c r="E17874" s="5">
        <v>119.1</v>
      </c>
      <c r="F17874" s="5">
        <v>236</v>
      </c>
      <c r="G17874" s="5">
        <v>117.4</v>
      </c>
      <c r="H17874" s="5">
        <v>117.2</v>
      </c>
      <c r="I17874" s="5"/>
      <c r="J17874" s="5"/>
      <c r="K17874" s="5"/>
    </row>
    <row r="17875" spans="1:11" x14ac:dyDescent="0.25">
      <c r="A17875" s="5">
        <f>17868</f>
      </c>
      <c r="B17875" s="5" t="s">
        <v>17883</v>
      </c>
      <c r="C17875" s="5">
        <v>119</v>
      </c>
      <c r="D17875" s="5">
        <v>0.1</v>
      </c>
      <c r="E17875" s="5">
        <v>119.1</v>
      </c>
      <c r="F17875" s="5">
        <v>236</v>
      </c>
      <c r="G17875" s="5">
        <v>117.4</v>
      </c>
      <c r="H17875" s="5">
        <v>117.2</v>
      </c>
      <c r="I17875" s="5"/>
      <c r="J17875" s="5"/>
      <c r="K17875" s="5"/>
    </row>
    <row r="17876" spans="1:11" x14ac:dyDescent="0.25">
      <c r="A17876" s="5">
        <f>17869</f>
      </c>
      <c r="B17876" s="5" t="s">
        <v>17884</v>
      </c>
      <c r="C17876" s="5">
        <v>118.5</v>
      </c>
      <c r="D17876" s="5">
        <v>0.1</v>
      </c>
      <c r="E17876" s="5">
        <v>118.6</v>
      </c>
      <c r="F17876" s="5">
        <v>236.1</v>
      </c>
      <c r="G17876" s="5">
        <v>117.4</v>
      </c>
      <c r="H17876" s="5">
        <v>117.2</v>
      </c>
      <c r="I17876" s="5"/>
      <c r="J17876" s="5"/>
      <c r="K17876" s="5"/>
    </row>
    <row r="17877" spans="1:11" x14ac:dyDescent="0.25">
      <c r="A17877" s="5">
        <f>17870</f>
      </c>
      <c r="B17877" s="5" t="s">
        <v>17885</v>
      </c>
      <c r="C17877" s="5">
        <v>118.5</v>
      </c>
      <c r="D17877" s="5">
        <v>0.1</v>
      </c>
      <c r="E17877" s="5">
        <v>118.6</v>
      </c>
      <c r="F17877" s="5">
        <v>236.1</v>
      </c>
      <c r="G17877" s="5">
        <v>117.4</v>
      </c>
      <c r="H17877" s="5">
        <v>117.2</v>
      </c>
      <c r="I17877" s="5"/>
      <c r="J17877" s="5"/>
      <c r="K17877" s="5"/>
    </row>
    <row r="17878" spans="1:11" x14ac:dyDescent="0.25">
      <c r="A17878" s="5">
        <f>17871</f>
      </c>
      <c r="B17878" s="5" t="s">
        <v>17886</v>
      </c>
      <c r="C17878" s="5">
        <v>118.3</v>
      </c>
      <c r="D17878" s="5">
        <v>0.1</v>
      </c>
      <c r="E17878" s="5">
        <v>118.4</v>
      </c>
      <c r="F17878" s="5">
        <v>235.8</v>
      </c>
      <c r="G17878" s="5">
        <v>117.2</v>
      </c>
      <c r="H17878" s="5">
        <v>117.1</v>
      </c>
      <c r="I17878" s="5"/>
      <c r="J17878" s="5"/>
      <c r="K17878" s="5"/>
    </row>
    <row r="17879" spans="1:11" x14ac:dyDescent="0.25">
      <c r="A17879" s="5">
        <f>17872</f>
      </c>
      <c r="B17879" s="5" t="s">
        <v>17887</v>
      </c>
      <c r="C17879" s="5">
        <v>118.3</v>
      </c>
      <c r="D17879" s="5">
        <v>0.1</v>
      </c>
      <c r="E17879" s="5">
        <v>118.4</v>
      </c>
      <c r="F17879" s="5">
        <v>235.8</v>
      </c>
      <c r="G17879" s="5">
        <v>117.2</v>
      </c>
      <c r="H17879" s="5">
        <v>117.1</v>
      </c>
      <c r="I17879" s="5"/>
      <c r="J17879" s="5"/>
      <c r="K17879" s="5"/>
    </row>
    <row r="17880" spans="1:11" x14ac:dyDescent="0.25">
      <c r="A17880" s="5">
        <f>17873</f>
      </c>
      <c r="B17880" s="5" t="s">
        <v>17888</v>
      </c>
      <c r="C17880" s="5">
        <v>118.3</v>
      </c>
      <c r="D17880" s="5">
        <v>0.1</v>
      </c>
      <c r="E17880" s="5">
        <v>118.4</v>
      </c>
      <c r="F17880" s="5">
        <v>235.8</v>
      </c>
      <c r="G17880" s="5">
        <v>117.2</v>
      </c>
      <c r="H17880" s="5">
        <v>117.1</v>
      </c>
      <c r="I17880" s="5"/>
      <c r="J17880" s="5"/>
      <c r="K17880" s="5"/>
    </row>
    <row r="17881" spans="1:11" x14ac:dyDescent="0.25">
      <c r="A17881" s="5">
        <f>17874</f>
      </c>
      <c r="B17881" s="5" t="s">
        <v>17889</v>
      </c>
      <c r="C17881" s="5">
        <v>118.3</v>
      </c>
      <c r="D17881" s="5">
        <v>0.1</v>
      </c>
      <c r="E17881" s="5">
        <v>118.4</v>
      </c>
      <c r="F17881" s="5">
        <v>235.8</v>
      </c>
      <c r="G17881" s="5">
        <v>117.2</v>
      </c>
      <c r="H17881" s="5">
        <v>117</v>
      </c>
      <c r="I17881" s="5"/>
      <c r="J17881" s="5"/>
      <c r="K17881" s="5"/>
    </row>
    <row r="17882" spans="1:11" x14ac:dyDescent="0.25">
      <c r="A17882" s="5">
        <f>17875</f>
      </c>
      <c r="B17882" s="5" t="s">
        <v>17890</v>
      </c>
      <c r="C17882" s="5">
        <v>118.3</v>
      </c>
      <c r="D17882" s="5">
        <v>0.1</v>
      </c>
      <c r="E17882" s="5">
        <v>118.5</v>
      </c>
      <c r="F17882" s="5">
        <v>235.6</v>
      </c>
      <c r="G17882" s="5">
        <v>117.2</v>
      </c>
      <c r="H17882" s="5">
        <v>117</v>
      </c>
      <c r="I17882" s="5"/>
      <c r="J17882" s="5"/>
      <c r="K17882" s="5"/>
    </row>
    <row r="17883" spans="1:11" x14ac:dyDescent="0.25">
      <c r="A17883" s="5">
        <f>17876</f>
      </c>
      <c r="B17883" s="5" t="s">
        <v>17891</v>
      </c>
      <c r="C17883" s="5">
        <v>118.3</v>
      </c>
      <c r="D17883" s="5">
        <v>0.1</v>
      </c>
      <c r="E17883" s="5">
        <v>118.5</v>
      </c>
      <c r="F17883" s="5">
        <v>235.6</v>
      </c>
      <c r="G17883" s="5">
        <v>117.2</v>
      </c>
      <c r="H17883" s="5">
        <v>117.1</v>
      </c>
      <c r="I17883" s="5"/>
      <c r="J17883" s="5"/>
      <c r="K17883" s="5"/>
    </row>
    <row r="17884" spans="1:11" x14ac:dyDescent="0.25">
      <c r="A17884" s="5">
        <f>17877</f>
      </c>
      <c r="B17884" s="5" t="s">
        <v>17892</v>
      </c>
      <c r="C17884" s="5">
        <v>118.8</v>
      </c>
      <c r="D17884" s="5">
        <v>0.1</v>
      </c>
      <c r="E17884" s="5">
        <v>119</v>
      </c>
      <c r="F17884" s="5">
        <v>235.6</v>
      </c>
      <c r="G17884" s="5">
        <v>117.3</v>
      </c>
      <c r="H17884" s="5">
        <v>117.1</v>
      </c>
      <c r="I17884" s="5"/>
      <c r="J17884" s="5"/>
      <c r="K17884" s="5"/>
    </row>
    <row r="17885" spans="1:11" x14ac:dyDescent="0.25">
      <c r="A17885" s="5">
        <f>17878</f>
      </c>
      <c r="B17885" s="5" t="s">
        <v>17893</v>
      </c>
      <c r="C17885" s="5">
        <v>118.8</v>
      </c>
      <c r="D17885" s="5">
        <v>0.1</v>
      </c>
      <c r="E17885" s="5">
        <v>119</v>
      </c>
      <c r="F17885" s="5">
        <v>235.6</v>
      </c>
      <c r="G17885" s="5">
        <v>117.3</v>
      </c>
      <c r="H17885" s="5">
        <v>116.9</v>
      </c>
      <c r="I17885" s="5"/>
      <c r="J17885" s="5"/>
      <c r="K17885" s="5"/>
    </row>
    <row r="17886" spans="1:11" x14ac:dyDescent="0.25">
      <c r="A17886" s="5">
        <f>17879</f>
      </c>
      <c r="B17886" s="5" t="s">
        <v>17894</v>
      </c>
      <c r="C17886" s="5">
        <v>118.3</v>
      </c>
      <c r="D17886" s="5">
        <v>0.1</v>
      </c>
      <c r="E17886" s="5">
        <v>118.4</v>
      </c>
      <c r="F17886" s="5">
        <v>235.3</v>
      </c>
      <c r="G17886" s="5">
        <v>117</v>
      </c>
      <c r="H17886" s="5">
        <v>116.9</v>
      </c>
      <c r="I17886" s="5"/>
      <c r="J17886" s="5"/>
      <c r="K17886" s="5"/>
    </row>
    <row r="17887" spans="1:11" x14ac:dyDescent="0.25">
      <c r="A17887" s="5">
        <f>17880</f>
      </c>
      <c r="B17887" s="5" t="s">
        <v>17895</v>
      </c>
      <c r="C17887" s="5">
        <v>118.3</v>
      </c>
      <c r="D17887" s="5">
        <v>0.1</v>
      </c>
      <c r="E17887" s="5">
        <v>118.4</v>
      </c>
      <c r="F17887" s="5">
        <v>235.3</v>
      </c>
      <c r="G17887" s="5">
        <v>117</v>
      </c>
      <c r="H17887" s="5">
        <v>117.1</v>
      </c>
      <c r="I17887" s="5"/>
      <c r="J17887" s="5"/>
      <c r="K17887" s="5"/>
    </row>
    <row r="17888" spans="1:11" x14ac:dyDescent="0.25">
      <c r="A17888" s="5">
        <f>17881</f>
      </c>
      <c r="B17888" s="5" t="s">
        <v>17896</v>
      </c>
      <c r="C17888" s="5">
        <v>118.3</v>
      </c>
      <c r="D17888" s="5">
        <v>0.1</v>
      </c>
      <c r="E17888" s="5">
        <v>118.5</v>
      </c>
      <c r="F17888" s="5">
        <v>235.4</v>
      </c>
      <c r="G17888" s="5">
        <v>117.2</v>
      </c>
      <c r="H17888" s="5">
        <v>117.1</v>
      </c>
      <c r="I17888" s="5"/>
      <c r="J17888" s="5"/>
      <c r="K17888" s="5"/>
    </row>
    <row r="17889" spans="1:11" x14ac:dyDescent="0.25">
      <c r="A17889" s="5">
        <f>17882</f>
      </c>
      <c r="B17889" s="5" t="s">
        <v>17897</v>
      </c>
      <c r="C17889" s="5">
        <v>118.3</v>
      </c>
      <c r="D17889" s="5">
        <v>0.1</v>
      </c>
      <c r="E17889" s="5">
        <v>118.5</v>
      </c>
      <c r="F17889" s="5">
        <v>235.4</v>
      </c>
      <c r="G17889" s="5">
        <v>117.2</v>
      </c>
      <c r="H17889" s="5">
        <v>117.1</v>
      </c>
      <c r="I17889" s="5"/>
      <c r="J17889" s="5"/>
      <c r="K17889" s="5"/>
    </row>
    <row r="17890" spans="1:11" x14ac:dyDescent="0.25">
      <c r="A17890" s="5">
        <f>17883</f>
      </c>
      <c r="B17890" s="5" t="s">
        <v>17898</v>
      </c>
      <c r="C17890" s="5">
        <v>118.3</v>
      </c>
      <c r="D17890" s="5">
        <v>0.1</v>
      </c>
      <c r="E17890" s="5">
        <v>118.5</v>
      </c>
      <c r="F17890" s="5">
        <v>235.4</v>
      </c>
      <c r="G17890" s="5">
        <v>117.2</v>
      </c>
      <c r="H17890" s="5">
        <v>117.1</v>
      </c>
      <c r="I17890" s="5"/>
      <c r="J17890" s="5"/>
      <c r="K17890" s="5"/>
    </row>
    <row r="17891" spans="1:11" x14ac:dyDescent="0.25">
      <c r="A17891" s="5">
        <f>17884</f>
      </c>
      <c r="B17891" s="5" t="s">
        <v>17899</v>
      </c>
      <c r="C17891" s="5">
        <v>118.3</v>
      </c>
      <c r="D17891" s="5">
        <v>0.1</v>
      </c>
      <c r="E17891" s="5">
        <v>118.4</v>
      </c>
      <c r="F17891" s="5">
        <v>234.8</v>
      </c>
      <c r="G17891" s="5">
        <v>116.7</v>
      </c>
      <c r="H17891" s="5">
        <v>116.6</v>
      </c>
      <c r="I17891" s="5"/>
      <c r="J17891" s="5"/>
      <c r="K17891" s="5"/>
    </row>
    <row r="17892" spans="1:11" x14ac:dyDescent="0.25">
      <c r="A17892" s="5">
        <f>17885</f>
      </c>
      <c r="B17892" s="5" t="s">
        <v>17900</v>
      </c>
      <c r="C17892" s="5">
        <v>118.3</v>
      </c>
      <c r="D17892" s="5">
        <v>0.1</v>
      </c>
      <c r="E17892" s="5">
        <v>118.4</v>
      </c>
      <c r="F17892" s="5">
        <v>234.8</v>
      </c>
      <c r="G17892" s="5">
        <v>116.7</v>
      </c>
      <c r="H17892" s="5">
        <v>116.6</v>
      </c>
      <c r="I17892" s="5"/>
      <c r="J17892" s="5"/>
      <c r="K17892" s="5"/>
    </row>
    <row r="17893" spans="1:11" x14ac:dyDescent="0.25">
      <c r="A17893" s="5">
        <f>17886</f>
      </c>
      <c r="B17893" s="5" t="s">
        <v>17901</v>
      </c>
      <c r="C17893" s="5">
        <v>118.5</v>
      </c>
      <c r="D17893" s="5">
        <v>0.1</v>
      </c>
      <c r="E17893" s="5">
        <v>118.6</v>
      </c>
      <c r="F17893" s="5">
        <v>235</v>
      </c>
      <c r="G17893" s="5">
        <v>116.8</v>
      </c>
      <c r="H17893" s="5">
        <v>116.7</v>
      </c>
      <c r="I17893" s="5"/>
      <c r="J17893" s="5"/>
      <c r="K17893" s="5"/>
    </row>
    <row r="17894" spans="1:11" x14ac:dyDescent="0.25">
      <c r="A17894" s="5">
        <f>17887</f>
      </c>
      <c r="B17894" s="5" t="s">
        <v>17902</v>
      </c>
      <c r="C17894" s="5">
        <v>118.5</v>
      </c>
      <c r="D17894" s="5">
        <v>0.1</v>
      </c>
      <c r="E17894" s="5">
        <v>118.6</v>
      </c>
      <c r="F17894" s="5">
        <v>235</v>
      </c>
      <c r="G17894" s="5">
        <v>116.8</v>
      </c>
      <c r="H17894" s="5">
        <v>116.7</v>
      </c>
      <c r="I17894" s="5"/>
      <c r="J17894" s="5"/>
      <c r="K17894" s="5"/>
    </row>
    <row r="17895" spans="1:11" x14ac:dyDescent="0.25">
      <c r="A17895" s="5">
        <f>17888</f>
      </c>
      <c r="B17895" s="5" t="s">
        <v>17903</v>
      </c>
      <c r="C17895" s="5">
        <v>118.4</v>
      </c>
      <c r="D17895" s="5">
        <v>0.1</v>
      </c>
      <c r="E17895" s="5">
        <v>118.6</v>
      </c>
      <c r="F17895" s="5">
        <v>235</v>
      </c>
      <c r="G17895" s="5">
        <v>116.8</v>
      </c>
      <c r="H17895" s="5">
        <v>116.6</v>
      </c>
      <c r="I17895" s="5"/>
      <c r="J17895" s="5"/>
      <c r="K17895" s="5"/>
    </row>
    <row r="17896" spans="1:11" x14ac:dyDescent="0.25">
      <c r="A17896" s="5">
        <f>17889</f>
      </c>
      <c r="B17896" s="5" t="s">
        <v>17904</v>
      </c>
      <c r="C17896" s="5">
        <v>118.4</v>
      </c>
      <c r="D17896" s="5">
        <v>0.1</v>
      </c>
      <c r="E17896" s="5">
        <v>118.6</v>
      </c>
      <c r="F17896" s="5">
        <v>235</v>
      </c>
      <c r="G17896" s="5">
        <v>116.8</v>
      </c>
      <c r="H17896" s="5">
        <v>116.6</v>
      </c>
      <c r="I17896" s="5"/>
      <c r="J17896" s="5"/>
      <c r="K17896" s="5"/>
    </row>
    <row r="17897" spans="1:11" x14ac:dyDescent="0.25">
      <c r="A17897" s="5">
        <f>17890</f>
      </c>
      <c r="B17897" s="5" t="s">
        <v>17905</v>
      </c>
      <c r="C17897" s="5">
        <v>118.3</v>
      </c>
      <c r="D17897" s="5">
        <v>0.1</v>
      </c>
      <c r="E17897" s="5">
        <v>118.5</v>
      </c>
      <c r="F17897" s="5">
        <v>234.6</v>
      </c>
      <c r="G17897" s="5">
        <v>116.7</v>
      </c>
      <c r="H17897" s="5">
        <v>116.5</v>
      </c>
      <c r="I17897" s="5"/>
      <c r="J17897" s="5"/>
      <c r="K17897" s="5"/>
    </row>
    <row r="17898" spans="1:11" x14ac:dyDescent="0.25">
      <c r="A17898" s="5">
        <f>17891</f>
      </c>
      <c r="B17898" s="5" t="s">
        <v>17906</v>
      </c>
      <c r="C17898" s="5">
        <v>118.3</v>
      </c>
      <c r="D17898" s="5">
        <v>0.1</v>
      </c>
      <c r="E17898" s="5">
        <v>118.5</v>
      </c>
      <c r="F17898" s="5">
        <v>234.6</v>
      </c>
      <c r="G17898" s="5">
        <v>116.7</v>
      </c>
      <c r="H17898" s="5">
        <v>116.5</v>
      </c>
      <c r="I17898" s="5"/>
      <c r="J17898" s="5"/>
      <c r="K17898" s="5"/>
    </row>
    <row r="17899" spans="1:11" x14ac:dyDescent="0.25">
      <c r="A17899" s="5">
        <f>17892</f>
      </c>
      <c r="B17899" s="5" t="s">
        <v>17907</v>
      </c>
      <c r="C17899" s="5">
        <v>118.3</v>
      </c>
      <c r="D17899" s="5">
        <v>0.1</v>
      </c>
      <c r="E17899" s="5">
        <v>118.5</v>
      </c>
      <c r="F17899" s="5">
        <v>234.6</v>
      </c>
      <c r="G17899" s="5">
        <v>116.7</v>
      </c>
      <c r="H17899" s="5">
        <v>116.5</v>
      </c>
      <c r="I17899" s="5"/>
      <c r="J17899" s="5"/>
      <c r="K17899" s="5"/>
    </row>
    <row r="17900" spans="1:11" x14ac:dyDescent="0.25">
      <c r="A17900" s="5">
        <f>17893</f>
      </c>
      <c r="B17900" s="5" t="s">
        <v>17908</v>
      </c>
      <c r="C17900" s="5">
        <v>118.3</v>
      </c>
      <c r="D17900" s="5">
        <v>0.1</v>
      </c>
      <c r="E17900" s="5">
        <v>118.5</v>
      </c>
      <c r="F17900" s="5">
        <v>234.6</v>
      </c>
      <c r="G17900" s="5">
        <v>116.7</v>
      </c>
      <c r="H17900" s="5">
        <v>116.5</v>
      </c>
      <c r="I17900" s="5"/>
      <c r="J17900" s="5"/>
      <c r="K17900" s="5"/>
    </row>
    <row r="17901" spans="1:11" x14ac:dyDescent="0.25">
      <c r="A17901" s="5">
        <f>17894</f>
      </c>
      <c r="B17901" s="5" t="s">
        <v>17909</v>
      </c>
      <c r="C17901" s="5">
        <v>118</v>
      </c>
      <c r="D17901" s="5">
        <v>0.1</v>
      </c>
      <c r="E17901" s="5">
        <v>118.1</v>
      </c>
      <c r="F17901" s="5">
        <v>234.6</v>
      </c>
      <c r="G17901" s="5">
        <v>116.6</v>
      </c>
      <c r="H17901" s="5">
        <v>116.5</v>
      </c>
      <c r="I17901" s="5"/>
      <c r="J17901" s="5"/>
      <c r="K17901" s="5"/>
    </row>
    <row r="17902" spans="1:11" x14ac:dyDescent="0.25">
      <c r="A17902" s="5">
        <f>17895</f>
      </c>
      <c r="B17902" s="5" t="s">
        <v>17910</v>
      </c>
      <c r="C17902" s="5">
        <v>118</v>
      </c>
      <c r="D17902" s="5">
        <v>0.1</v>
      </c>
      <c r="E17902" s="5">
        <v>118.1</v>
      </c>
      <c r="F17902" s="5">
        <v>234.6</v>
      </c>
      <c r="G17902" s="5">
        <v>116.6</v>
      </c>
      <c r="H17902" s="5">
        <v>116.5</v>
      </c>
      <c r="I17902" s="5"/>
      <c r="J17902" s="5"/>
      <c r="K17902" s="5"/>
    </row>
    <row r="17903" spans="1:11" x14ac:dyDescent="0.25">
      <c r="A17903" s="5">
        <f>17896</f>
      </c>
      <c r="B17903" s="5" t="s">
        <v>17911</v>
      </c>
      <c r="C17903" s="5">
        <v>117.7</v>
      </c>
      <c r="D17903" s="5">
        <v>0.1</v>
      </c>
      <c r="E17903" s="5">
        <v>117.9</v>
      </c>
      <c r="F17903" s="5">
        <v>234.2</v>
      </c>
      <c r="G17903" s="5">
        <v>116.4</v>
      </c>
      <c r="H17903" s="5">
        <v>116.3</v>
      </c>
      <c r="I17903" s="5"/>
      <c r="J17903" s="5"/>
      <c r="K17903" s="5"/>
    </row>
    <row r="17904" spans="1:11" x14ac:dyDescent="0.25">
      <c r="A17904" s="5">
        <f>17897</f>
      </c>
      <c r="B17904" s="5" t="s">
        <v>17912</v>
      </c>
      <c r="C17904" s="5">
        <v>117.7</v>
      </c>
      <c r="D17904" s="5">
        <v>0.1</v>
      </c>
      <c r="E17904" s="5">
        <v>117.9</v>
      </c>
      <c r="F17904" s="5">
        <v>234.2</v>
      </c>
      <c r="G17904" s="5">
        <v>116.4</v>
      </c>
      <c r="H17904" s="5">
        <v>116.3</v>
      </c>
      <c r="I17904" s="5"/>
      <c r="J17904" s="5"/>
      <c r="K17904" s="5"/>
    </row>
    <row r="17905" spans="1:11" x14ac:dyDescent="0.25">
      <c r="A17905" s="5">
        <f>17898</f>
      </c>
      <c r="B17905" s="5" t="s">
        <v>17913</v>
      </c>
      <c r="C17905" s="5">
        <v>117.7</v>
      </c>
      <c r="D17905" s="5">
        <v>0.1</v>
      </c>
      <c r="E17905" s="5">
        <v>117.8</v>
      </c>
      <c r="F17905" s="5">
        <v>234.4</v>
      </c>
      <c r="G17905" s="5">
        <v>116.6</v>
      </c>
      <c r="H17905" s="5">
        <v>116.4</v>
      </c>
      <c r="I17905" s="5"/>
      <c r="J17905" s="5"/>
      <c r="K17905" s="5"/>
    </row>
    <row r="17906" spans="1:11" x14ac:dyDescent="0.25">
      <c r="A17906" s="5">
        <f>17899</f>
      </c>
      <c r="B17906" s="5" t="s">
        <v>17914</v>
      </c>
      <c r="C17906" s="5">
        <v>117.7</v>
      </c>
      <c r="D17906" s="5">
        <v>0.1</v>
      </c>
      <c r="E17906" s="5">
        <v>117.8</v>
      </c>
      <c r="F17906" s="5">
        <v>234.4</v>
      </c>
      <c r="G17906" s="5">
        <v>116.6</v>
      </c>
      <c r="H17906" s="5">
        <v>116.4</v>
      </c>
      <c r="I17906" s="5"/>
      <c r="J17906" s="5"/>
      <c r="K17906" s="5"/>
    </row>
    <row r="17907" spans="1:11" x14ac:dyDescent="0.25">
      <c r="A17907" s="5">
        <f>17900</f>
      </c>
      <c r="B17907" s="5" t="s">
        <v>17915</v>
      </c>
      <c r="C17907" s="5">
        <v>118</v>
      </c>
      <c r="D17907" s="5">
        <v>0.1</v>
      </c>
      <c r="E17907" s="5">
        <v>118.2</v>
      </c>
      <c r="F17907" s="5">
        <v>234.2</v>
      </c>
      <c r="G17907" s="5">
        <v>116.4</v>
      </c>
      <c r="H17907" s="5">
        <v>116.4</v>
      </c>
      <c r="I17907" s="5"/>
      <c r="J17907" s="5"/>
      <c r="K17907" s="5"/>
    </row>
    <row r="17908" spans="1:11" x14ac:dyDescent="0.25">
      <c r="A17908" s="5">
        <f>17901</f>
      </c>
      <c r="B17908" s="5" t="s">
        <v>17916</v>
      </c>
      <c r="C17908" s="5">
        <v>118</v>
      </c>
      <c r="D17908" s="5">
        <v>0.1</v>
      </c>
      <c r="E17908" s="5">
        <v>118.2</v>
      </c>
      <c r="F17908" s="5">
        <v>234.2</v>
      </c>
      <c r="G17908" s="5">
        <v>116.4</v>
      </c>
      <c r="H17908" s="5">
        <v>116.4</v>
      </c>
      <c r="I17908" s="5"/>
      <c r="J17908" s="5"/>
      <c r="K17908" s="5"/>
    </row>
    <row r="17909" spans="1:11" x14ac:dyDescent="0.25">
      <c r="A17909" s="5">
        <f>17902</f>
      </c>
      <c r="B17909" s="5" t="s">
        <v>17917</v>
      </c>
      <c r="C17909" s="5">
        <v>118</v>
      </c>
      <c r="D17909" s="5">
        <v>0.1</v>
      </c>
      <c r="E17909" s="5">
        <v>118.2</v>
      </c>
      <c r="F17909" s="5">
        <v>234.2</v>
      </c>
      <c r="G17909" s="5">
        <v>116.4</v>
      </c>
      <c r="H17909" s="5">
        <v>116.4</v>
      </c>
      <c r="I17909" s="5"/>
      <c r="J17909" s="5"/>
      <c r="K17909" s="5"/>
    </row>
    <row r="17910" spans="1:11" x14ac:dyDescent="0.25">
      <c r="A17910" s="5">
        <f>17903</f>
      </c>
      <c r="B17910" s="5" t="s">
        <v>17918</v>
      </c>
      <c r="C17910" s="5">
        <v>118</v>
      </c>
      <c r="D17910" s="5">
        <v>0.1</v>
      </c>
      <c r="E17910" s="5">
        <v>118.2</v>
      </c>
      <c r="F17910" s="5">
        <v>234.2</v>
      </c>
      <c r="G17910" s="5">
        <v>116.4</v>
      </c>
      <c r="H17910" s="5">
        <v>116.4</v>
      </c>
      <c r="I17910" s="5"/>
      <c r="J17910" s="5"/>
      <c r="K17910" s="5"/>
    </row>
    <row r="17911" spans="1:11" x14ac:dyDescent="0.25">
      <c r="A17911" s="5">
        <f>17904</f>
      </c>
      <c r="B17911" s="5" t="s">
        <v>17919</v>
      </c>
      <c r="C17911" s="5">
        <v>118.1</v>
      </c>
      <c r="D17911" s="5">
        <v>0.1</v>
      </c>
      <c r="E17911" s="5">
        <v>118.3</v>
      </c>
      <c r="F17911" s="5">
        <v>234.8</v>
      </c>
      <c r="G17911" s="5">
        <v>116.8</v>
      </c>
      <c r="H17911" s="5">
        <v>116.6</v>
      </c>
      <c r="I17911" s="5"/>
      <c r="J17911" s="5"/>
      <c r="K17911" s="5"/>
    </row>
    <row r="17912" spans="1:11" x14ac:dyDescent="0.25">
      <c r="A17912" s="5">
        <f>17905</f>
      </c>
      <c r="B17912" s="5" t="s">
        <v>17920</v>
      </c>
      <c r="C17912" s="5">
        <v>118.1</v>
      </c>
      <c r="D17912" s="5">
        <v>0.1</v>
      </c>
      <c r="E17912" s="5">
        <v>118.3</v>
      </c>
      <c r="F17912" s="5">
        <v>234.8</v>
      </c>
      <c r="G17912" s="5">
        <v>116.8</v>
      </c>
      <c r="H17912" s="5">
        <v>116.6</v>
      </c>
      <c r="I17912" s="5"/>
      <c r="J17912" s="5"/>
      <c r="K17912" s="5"/>
    </row>
    <row r="17913" spans="1:11" x14ac:dyDescent="0.25">
      <c r="A17913" s="5">
        <f>17906</f>
      </c>
      <c r="B17913" s="5" t="s">
        <v>17921</v>
      </c>
      <c r="C17913" s="5">
        <v>117.8</v>
      </c>
      <c r="D17913" s="5">
        <v>0.1</v>
      </c>
      <c r="E17913" s="5">
        <v>118</v>
      </c>
      <c r="F17913" s="5">
        <v>234.7</v>
      </c>
      <c r="G17913" s="5">
        <v>116.7</v>
      </c>
      <c r="H17913" s="5">
        <v>116.6</v>
      </c>
      <c r="I17913" s="5"/>
      <c r="J17913" s="5"/>
      <c r="K17913" s="5"/>
    </row>
    <row r="17914" spans="1:11" x14ac:dyDescent="0.25">
      <c r="A17914" s="5">
        <f>17907</f>
      </c>
      <c r="B17914" s="5" t="s">
        <v>17922</v>
      </c>
      <c r="C17914" s="5">
        <v>117.8</v>
      </c>
      <c r="D17914" s="5">
        <v>0.1</v>
      </c>
      <c r="E17914" s="5">
        <v>118</v>
      </c>
      <c r="F17914" s="5">
        <v>234.7</v>
      </c>
      <c r="G17914" s="5">
        <v>116.7</v>
      </c>
      <c r="H17914" s="5">
        <v>116.6</v>
      </c>
      <c r="I17914" s="5"/>
      <c r="J17914" s="5"/>
      <c r="K17914" s="5"/>
    </row>
    <row r="17915" spans="1:11" x14ac:dyDescent="0.25">
      <c r="A17915" s="5">
        <f>17908</f>
      </c>
      <c r="B17915" s="5" t="s">
        <v>17923</v>
      </c>
      <c r="C17915" s="5">
        <v>117.9</v>
      </c>
      <c r="D17915" s="5">
        <v>0.1</v>
      </c>
      <c r="E17915" s="5">
        <v>118</v>
      </c>
      <c r="F17915" s="5">
        <v>234.3</v>
      </c>
      <c r="G17915" s="5">
        <v>116.5</v>
      </c>
      <c r="H17915" s="5">
        <v>116.3</v>
      </c>
      <c r="I17915" s="5"/>
      <c r="J17915" s="5"/>
      <c r="K17915" s="5"/>
    </row>
    <row r="17916" spans="1:11" x14ac:dyDescent="0.25">
      <c r="A17916" s="5">
        <f>17909</f>
      </c>
      <c r="B17916" s="5" t="s">
        <v>17924</v>
      </c>
      <c r="C17916" s="5">
        <v>117.9</v>
      </c>
      <c r="D17916" s="5">
        <v>0.1</v>
      </c>
      <c r="E17916" s="5">
        <v>118</v>
      </c>
      <c r="F17916" s="5">
        <v>234.3</v>
      </c>
      <c r="G17916" s="5">
        <v>116.5</v>
      </c>
      <c r="H17916" s="5">
        <v>116.3</v>
      </c>
      <c r="I17916" s="5"/>
      <c r="J17916" s="5"/>
      <c r="K17916" s="5"/>
    </row>
    <row r="17917" spans="1:11" x14ac:dyDescent="0.25">
      <c r="A17917" s="5">
        <f>17910</f>
      </c>
      <c r="B17917" s="5" t="s">
        <v>17925</v>
      </c>
      <c r="C17917" s="5">
        <v>117.7</v>
      </c>
      <c r="D17917" s="5">
        <v>0.1</v>
      </c>
      <c r="E17917" s="5">
        <v>117.8</v>
      </c>
      <c r="F17917" s="5">
        <v>234.3</v>
      </c>
      <c r="G17917" s="5">
        <v>116.5</v>
      </c>
      <c r="H17917" s="5">
        <v>116.3</v>
      </c>
      <c r="I17917" s="5"/>
      <c r="J17917" s="5"/>
      <c r="K17917" s="5"/>
    </row>
    <row r="17918" spans="1:11" x14ac:dyDescent="0.25">
      <c r="A17918" s="5">
        <f>17911</f>
      </c>
      <c r="B17918" s="5" t="s">
        <v>17926</v>
      </c>
      <c r="C17918" s="5">
        <v>117.7</v>
      </c>
      <c r="D17918" s="5">
        <v>0.1</v>
      </c>
      <c r="E17918" s="5">
        <v>117.8</v>
      </c>
      <c r="F17918" s="5">
        <v>234.2</v>
      </c>
      <c r="G17918" s="5">
        <v>116.4</v>
      </c>
      <c r="H17918" s="5">
        <v>116.3</v>
      </c>
      <c r="I17918" s="5"/>
      <c r="J17918" s="5"/>
      <c r="K17918" s="5"/>
    </row>
    <row r="17919" spans="1:11" x14ac:dyDescent="0.25">
      <c r="A17919" s="5">
        <f>17912</f>
      </c>
      <c r="B17919" s="5" t="s">
        <v>17927</v>
      </c>
      <c r="C17919" s="5">
        <v>117.7</v>
      </c>
      <c r="D17919" s="5">
        <v>0.1</v>
      </c>
      <c r="E17919" s="5">
        <v>117.8</v>
      </c>
      <c r="F17919" s="5">
        <v>234.2</v>
      </c>
      <c r="G17919" s="5">
        <v>116.4</v>
      </c>
      <c r="H17919" s="5">
        <v>116.3</v>
      </c>
      <c r="I17919" s="5"/>
      <c r="J17919" s="5"/>
      <c r="K17919" s="5"/>
    </row>
    <row r="17920" spans="1:11" x14ac:dyDescent="0.25">
      <c r="A17920" s="5">
        <f>17913</f>
      </c>
      <c r="B17920" s="5" t="s">
        <v>17928</v>
      </c>
      <c r="C17920" s="5">
        <v>117.7</v>
      </c>
      <c r="D17920" s="5">
        <v>0.1</v>
      </c>
      <c r="E17920" s="5">
        <v>117.8</v>
      </c>
      <c r="F17920" s="5">
        <v>234.2</v>
      </c>
      <c r="G17920" s="5">
        <v>116.4</v>
      </c>
      <c r="H17920" s="5">
        <v>116.3</v>
      </c>
      <c r="I17920" s="5"/>
      <c r="J17920" s="5"/>
      <c r="K17920" s="5"/>
    </row>
    <row r="17921" spans="1:11" x14ac:dyDescent="0.25">
      <c r="A17921" s="5">
        <f>17914</f>
      </c>
      <c r="B17921" s="5" t="s">
        <v>17929</v>
      </c>
      <c r="C17921" s="5">
        <v>117.7</v>
      </c>
      <c r="D17921" s="5">
        <v>0.1</v>
      </c>
      <c r="E17921" s="5">
        <v>117.8</v>
      </c>
      <c r="F17921" s="5">
        <v>234.2</v>
      </c>
      <c r="G17921" s="5">
        <v>116.4</v>
      </c>
      <c r="H17921" s="5">
        <v>116.3</v>
      </c>
      <c r="I17921" s="5"/>
      <c r="J17921" s="5"/>
      <c r="K17921" s="5"/>
    </row>
    <row r="17922" spans="1:11" x14ac:dyDescent="0.25">
      <c r="A17922" s="5">
        <f>17915</f>
      </c>
      <c r="B17922" s="5" t="s">
        <v>17930</v>
      </c>
      <c r="C17922" s="5">
        <v>117.7</v>
      </c>
      <c r="D17922" s="5">
        <v>0.1</v>
      </c>
      <c r="E17922" s="5">
        <v>117.8</v>
      </c>
      <c r="F17922" s="5">
        <v>234.2</v>
      </c>
      <c r="G17922" s="5">
        <v>116.4</v>
      </c>
      <c r="H17922" s="5">
        <v>116.3</v>
      </c>
      <c r="I17922" s="5"/>
      <c r="J17922" s="5"/>
      <c r="K17922" s="5"/>
    </row>
    <row r="17923" spans="1:11" x14ac:dyDescent="0.25">
      <c r="A17923" s="5">
        <f>17916</f>
      </c>
      <c r="B17923" s="5" t="s">
        <v>17931</v>
      </c>
      <c r="C17923" s="5">
        <v>117.7</v>
      </c>
      <c r="D17923" s="5">
        <v>0.1</v>
      </c>
      <c r="E17923" s="5">
        <v>117.8</v>
      </c>
      <c r="F17923" s="5">
        <v>234.2</v>
      </c>
      <c r="G17923" s="5">
        <v>116.4</v>
      </c>
      <c r="H17923" s="5">
        <v>116.3</v>
      </c>
      <c r="I17923" s="5"/>
      <c r="J17923" s="5"/>
      <c r="K17923" s="5"/>
    </row>
    <row r="17924" spans="1:11" x14ac:dyDescent="0.25">
      <c r="A17924" s="5">
        <f>17917</f>
      </c>
      <c r="B17924" s="5" t="s">
        <v>17932</v>
      </c>
      <c r="C17924" s="5">
        <v>117.7</v>
      </c>
      <c r="D17924" s="5">
        <v>0.1</v>
      </c>
      <c r="E17924" s="5">
        <v>117.8</v>
      </c>
      <c r="F17924" s="5">
        <v>234.2</v>
      </c>
      <c r="G17924" s="5">
        <v>116.4</v>
      </c>
      <c r="H17924" s="5">
        <v>116.3</v>
      </c>
      <c r="I17924" s="5"/>
      <c r="J17924" s="5"/>
      <c r="K17924" s="5"/>
    </row>
    <row r="17925" spans="1:11" x14ac:dyDescent="0.25">
      <c r="A17925" s="5">
        <f>17918</f>
      </c>
      <c r="B17925" s="5" t="s">
        <v>17933</v>
      </c>
      <c r="C17925" s="5">
        <v>117.6</v>
      </c>
      <c r="D17925" s="5">
        <v>0.1</v>
      </c>
      <c r="E17925" s="5">
        <v>117.7</v>
      </c>
      <c r="F17925" s="5">
        <v>234.2</v>
      </c>
      <c r="G17925" s="5">
        <v>116.5</v>
      </c>
      <c r="H17925" s="5">
        <v>116.5</v>
      </c>
      <c r="I17925" s="5"/>
      <c r="J17925" s="5"/>
      <c r="K17925" s="5"/>
    </row>
    <row r="17926" spans="1:11" x14ac:dyDescent="0.25">
      <c r="A17926" s="5">
        <f>17919</f>
      </c>
      <c r="B17926" s="5" t="s">
        <v>17934</v>
      </c>
      <c r="C17926" s="5">
        <v>117.6</v>
      </c>
      <c r="D17926" s="5">
        <v>0.1</v>
      </c>
      <c r="E17926" s="5">
        <v>117.7</v>
      </c>
      <c r="F17926" s="5">
        <v>234.2</v>
      </c>
      <c r="G17926" s="5">
        <v>116.5</v>
      </c>
      <c r="H17926" s="5">
        <v>116.5</v>
      </c>
      <c r="I17926" s="5"/>
      <c r="J17926" s="5"/>
      <c r="K17926" s="5"/>
    </row>
    <row r="17927" spans="1:11" x14ac:dyDescent="0.25">
      <c r="A17927" s="5">
        <f>17920</f>
      </c>
      <c r="B17927" s="5" t="s">
        <v>17935</v>
      </c>
      <c r="C17927" s="5">
        <v>117.5</v>
      </c>
      <c r="D17927" s="5">
        <v>0.1</v>
      </c>
      <c r="E17927" s="5">
        <v>117.7</v>
      </c>
      <c r="F17927" s="5">
        <v>234.2</v>
      </c>
      <c r="G17927" s="5">
        <v>116.4</v>
      </c>
      <c r="H17927" s="5">
        <v>116.3</v>
      </c>
      <c r="I17927" s="5"/>
      <c r="J17927" s="5"/>
      <c r="K17927" s="5"/>
    </row>
    <row r="17928" spans="1:11" x14ac:dyDescent="0.25">
      <c r="A17928" s="5">
        <f>17921</f>
      </c>
      <c r="B17928" s="5" t="s">
        <v>17936</v>
      </c>
      <c r="C17928" s="5">
        <v>117.5</v>
      </c>
      <c r="D17928" s="5">
        <v>0.1</v>
      </c>
      <c r="E17928" s="5">
        <v>117.7</v>
      </c>
      <c r="F17928" s="5">
        <v>234.2</v>
      </c>
      <c r="G17928" s="5">
        <v>116.4</v>
      </c>
      <c r="H17928" s="5">
        <v>116.3</v>
      </c>
      <c r="I17928" s="5"/>
      <c r="J17928" s="5"/>
      <c r="K17928" s="5"/>
    </row>
    <row r="17929" spans="1:11" x14ac:dyDescent="0.25">
      <c r="A17929" s="5">
        <f>17922</f>
      </c>
      <c r="B17929" s="5" t="s">
        <v>17937</v>
      </c>
      <c r="C17929" s="5">
        <v>117.5</v>
      </c>
      <c r="D17929" s="5">
        <v>0.1</v>
      </c>
      <c r="E17929" s="5">
        <v>117.7</v>
      </c>
      <c r="F17929" s="5">
        <v>234.2</v>
      </c>
      <c r="G17929" s="5">
        <v>116.4</v>
      </c>
      <c r="H17929" s="5">
        <v>116.3</v>
      </c>
      <c r="I17929" s="5"/>
      <c r="J17929" s="5"/>
      <c r="K17929" s="5"/>
    </row>
    <row r="17930" spans="1:11" x14ac:dyDescent="0.25">
      <c r="A17930" s="5">
        <f>17923</f>
      </c>
      <c r="B17930" s="5" t="s">
        <v>17938</v>
      </c>
      <c r="C17930" s="5">
        <v>117.5</v>
      </c>
      <c r="D17930" s="5">
        <v>0.1</v>
      </c>
      <c r="E17930" s="5">
        <v>117.7</v>
      </c>
      <c r="F17930" s="5">
        <v>234.2</v>
      </c>
      <c r="G17930" s="5">
        <v>116.4</v>
      </c>
      <c r="H17930" s="5">
        <v>116.3</v>
      </c>
      <c r="I17930" s="5"/>
      <c r="J17930" s="5"/>
      <c r="K17930" s="5"/>
    </row>
    <row r="17931" spans="1:11" x14ac:dyDescent="0.25">
      <c r="A17931" s="5">
        <f>17924</f>
      </c>
      <c r="B17931" s="5" t="s">
        <v>17939</v>
      </c>
      <c r="C17931" s="5">
        <v>118.3</v>
      </c>
      <c r="D17931" s="5">
        <v>0.1</v>
      </c>
      <c r="E17931" s="5">
        <v>118.5</v>
      </c>
      <c r="F17931" s="5">
        <v>235.2</v>
      </c>
      <c r="G17931" s="5">
        <v>116.9</v>
      </c>
      <c r="H17931" s="5">
        <v>116.8</v>
      </c>
      <c r="I17931" s="5"/>
      <c r="J17931" s="5"/>
      <c r="K17931" s="5"/>
    </row>
    <row r="17932" spans="1:11" x14ac:dyDescent="0.25">
      <c r="A17932" s="5">
        <f>17925</f>
      </c>
      <c r="B17932" s="5" t="s">
        <v>17940</v>
      </c>
      <c r="C17932" s="5">
        <v>118.3</v>
      </c>
      <c r="D17932" s="5">
        <v>0.1</v>
      </c>
      <c r="E17932" s="5">
        <v>118.5</v>
      </c>
      <c r="F17932" s="5">
        <v>235.2</v>
      </c>
      <c r="G17932" s="5">
        <v>116.9</v>
      </c>
      <c r="H17932" s="5">
        <v>116.8</v>
      </c>
      <c r="I17932" s="5"/>
      <c r="J17932" s="5"/>
      <c r="K17932" s="5"/>
    </row>
    <row r="17933" spans="1:11" x14ac:dyDescent="0.25">
      <c r="A17933" s="5">
        <f>17926</f>
      </c>
      <c r="B17933" s="5" t="s">
        <v>17941</v>
      </c>
      <c r="C17933" s="5">
        <v>118.3</v>
      </c>
      <c r="D17933" s="5">
        <v>0.1</v>
      </c>
      <c r="E17933" s="5">
        <v>118.5</v>
      </c>
      <c r="F17933" s="5">
        <v>235.2</v>
      </c>
      <c r="G17933" s="5">
        <v>117</v>
      </c>
      <c r="H17933" s="5">
        <v>116.8</v>
      </c>
      <c r="I17933" s="5"/>
      <c r="J17933" s="5"/>
      <c r="K17933" s="5"/>
    </row>
    <row r="17934" spans="1:11" x14ac:dyDescent="0.25">
      <c r="A17934" s="5">
        <f>17927</f>
      </c>
      <c r="B17934" s="5" t="s">
        <v>17942</v>
      </c>
      <c r="C17934" s="5">
        <v>118.3</v>
      </c>
      <c r="D17934" s="5">
        <v>0.1</v>
      </c>
      <c r="E17934" s="5">
        <v>118.5</v>
      </c>
      <c r="F17934" s="5">
        <v>235.2</v>
      </c>
      <c r="G17934" s="5">
        <v>117</v>
      </c>
      <c r="H17934" s="5">
        <v>116.8</v>
      </c>
      <c r="I17934" s="5"/>
      <c r="J17934" s="5"/>
      <c r="K17934" s="5"/>
    </row>
    <row r="17935" spans="1:11" x14ac:dyDescent="0.25">
      <c r="A17935" s="5">
        <f>17928</f>
      </c>
      <c r="B17935" s="5" t="s">
        <v>17943</v>
      </c>
      <c r="C17935" s="5">
        <v>118.2</v>
      </c>
      <c r="D17935" s="5">
        <v>0.1</v>
      </c>
      <c r="E17935" s="5">
        <v>118.3</v>
      </c>
      <c r="F17935" s="5">
        <v>235.5</v>
      </c>
      <c r="G17935" s="5">
        <v>117.1</v>
      </c>
      <c r="H17935" s="5">
        <v>116.9</v>
      </c>
      <c r="I17935" s="5"/>
      <c r="J17935" s="5"/>
      <c r="K17935" s="5"/>
    </row>
    <row r="17936" spans="1:11" x14ac:dyDescent="0.25">
      <c r="A17936" s="5">
        <f>17929</f>
      </c>
      <c r="B17936" s="5" t="s">
        <v>17944</v>
      </c>
      <c r="C17936" s="5">
        <v>118.2</v>
      </c>
      <c r="D17936" s="5">
        <v>0.1</v>
      </c>
      <c r="E17936" s="5">
        <v>118.3</v>
      </c>
      <c r="F17936" s="5">
        <v>235.5</v>
      </c>
      <c r="G17936" s="5">
        <v>117.1</v>
      </c>
      <c r="H17936" s="5">
        <v>116.9</v>
      </c>
      <c r="I17936" s="5"/>
      <c r="J17936" s="5"/>
      <c r="K17936" s="5"/>
    </row>
    <row r="17937" spans="1:11" x14ac:dyDescent="0.25">
      <c r="A17937" s="5">
        <f>17930</f>
      </c>
      <c r="B17937" s="5" t="s">
        <v>17945</v>
      </c>
      <c r="C17937" s="5">
        <v>118.5</v>
      </c>
      <c r="D17937" s="5">
        <v>0.1</v>
      </c>
      <c r="E17937" s="5">
        <v>118.6</v>
      </c>
      <c r="F17937" s="5">
        <v>235.7</v>
      </c>
      <c r="G17937" s="5">
        <v>117.2</v>
      </c>
      <c r="H17937" s="5">
        <v>117</v>
      </c>
      <c r="I17937" s="5"/>
      <c r="J17937" s="5"/>
      <c r="K17937" s="5"/>
    </row>
    <row r="17938" spans="1:11" x14ac:dyDescent="0.25">
      <c r="A17938" s="5">
        <f>17931</f>
      </c>
      <c r="B17938" s="5" t="s">
        <v>17946</v>
      </c>
      <c r="C17938" s="5">
        <v>118.5</v>
      </c>
      <c r="D17938" s="5">
        <v>0.1</v>
      </c>
      <c r="E17938" s="5">
        <v>118.6</v>
      </c>
      <c r="F17938" s="5">
        <v>235.7</v>
      </c>
      <c r="G17938" s="5">
        <v>117.2</v>
      </c>
      <c r="H17938" s="5">
        <v>117</v>
      </c>
      <c r="I17938" s="5"/>
      <c r="J17938" s="5"/>
      <c r="K17938" s="5"/>
    </row>
    <row r="17939" spans="1:11" x14ac:dyDescent="0.25">
      <c r="A17939" s="5">
        <f>17932</f>
      </c>
      <c r="B17939" s="5" t="s">
        <v>17947</v>
      </c>
      <c r="C17939" s="5">
        <v>118.5</v>
      </c>
      <c r="D17939" s="5">
        <v>0.1</v>
      </c>
      <c r="E17939" s="5">
        <v>118.6</v>
      </c>
      <c r="F17939" s="5">
        <v>235.7</v>
      </c>
      <c r="G17939" s="5">
        <v>117.2</v>
      </c>
      <c r="H17939" s="5">
        <v>117</v>
      </c>
      <c r="I17939" s="5"/>
      <c r="J17939" s="5"/>
      <c r="K17939" s="5"/>
    </row>
    <row r="17940" spans="1:11" x14ac:dyDescent="0.25">
      <c r="A17940" s="5">
        <f>17933</f>
      </c>
      <c r="B17940" s="5" t="s">
        <v>17948</v>
      </c>
      <c r="C17940" s="5">
        <v>118.5</v>
      </c>
      <c r="D17940" s="5">
        <v>0.1</v>
      </c>
      <c r="E17940" s="5">
        <v>118.6</v>
      </c>
      <c r="F17940" s="5">
        <v>235.7</v>
      </c>
      <c r="G17940" s="5">
        <v>117.2</v>
      </c>
      <c r="H17940" s="5">
        <v>117</v>
      </c>
      <c r="I17940" s="5"/>
      <c r="J17940" s="5"/>
      <c r="K17940" s="5"/>
    </row>
    <row r="17941" spans="1:11" x14ac:dyDescent="0.25">
      <c r="A17941" s="5">
        <f>17934</f>
      </c>
      <c r="B17941" s="5" t="s">
        <v>17949</v>
      </c>
      <c r="C17941" s="5">
        <v>118.2</v>
      </c>
      <c r="D17941" s="5">
        <v>0.1</v>
      </c>
      <c r="E17941" s="5">
        <v>118.3</v>
      </c>
      <c r="F17941" s="5">
        <v>235.3</v>
      </c>
      <c r="G17941" s="5">
        <v>117</v>
      </c>
      <c r="H17941" s="5">
        <v>116.9</v>
      </c>
      <c r="I17941" s="5"/>
      <c r="J17941" s="5"/>
      <c r="K17941" s="5"/>
    </row>
    <row r="17942" spans="1:11" x14ac:dyDescent="0.25">
      <c r="A17942" s="5">
        <f>17935</f>
      </c>
      <c r="B17942" s="5" t="s">
        <v>17950</v>
      </c>
      <c r="C17942" s="5">
        <v>118.2</v>
      </c>
      <c r="D17942" s="5">
        <v>0.1</v>
      </c>
      <c r="E17942" s="5">
        <v>118.3</v>
      </c>
      <c r="F17942" s="5">
        <v>235.3</v>
      </c>
      <c r="G17942" s="5">
        <v>117</v>
      </c>
      <c r="H17942" s="5">
        <v>116.9</v>
      </c>
      <c r="I17942" s="5"/>
      <c r="J17942" s="5"/>
      <c r="K17942" s="5"/>
    </row>
    <row r="17943" spans="1:11" x14ac:dyDescent="0.25">
      <c r="A17943" s="5">
        <f>17936</f>
      </c>
      <c r="B17943" s="5" t="s">
        <v>17951</v>
      </c>
      <c r="C17943" s="5">
        <v>118.2</v>
      </c>
      <c r="D17943" s="5">
        <v>0.1</v>
      </c>
      <c r="E17943" s="5">
        <v>118.4</v>
      </c>
      <c r="F17943" s="5">
        <v>235.4</v>
      </c>
      <c r="G17943" s="5">
        <v>117.1</v>
      </c>
      <c r="H17943" s="5">
        <v>117</v>
      </c>
      <c r="I17943" s="5"/>
      <c r="J17943" s="5"/>
      <c r="K17943" s="5"/>
    </row>
    <row r="17944" spans="1:11" x14ac:dyDescent="0.25">
      <c r="A17944" s="5">
        <f>17937</f>
      </c>
      <c r="B17944" s="5" t="s">
        <v>17952</v>
      </c>
      <c r="C17944" s="5">
        <v>118.2</v>
      </c>
      <c r="D17944" s="5">
        <v>0.1</v>
      </c>
      <c r="E17944" s="5">
        <v>118.4</v>
      </c>
      <c r="F17944" s="5">
        <v>235.4</v>
      </c>
      <c r="G17944" s="5">
        <v>117.1</v>
      </c>
      <c r="H17944" s="5">
        <v>117</v>
      </c>
      <c r="I17944" s="5"/>
      <c r="J17944" s="5"/>
      <c r="K17944" s="5"/>
    </row>
    <row r="17945" spans="1:11" x14ac:dyDescent="0.25">
      <c r="A17945" s="5">
        <f>17938</f>
      </c>
      <c r="B17945" s="5" t="s">
        <v>17953</v>
      </c>
      <c r="C17945" s="5">
        <v>118.6</v>
      </c>
      <c r="D17945" s="5">
        <v>0.1</v>
      </c>
      <c r="E17945" s="5">
        <v>118.8</v>
      </c>
      <c r="F17945" s="5">
        <v>235.8</v>
      </c>
      <c r="G17945" s="5">
        <v>117.2</v>
      </c>
      <c r="H17945" s="5">
        <v>117.1</v>
      </c>
      <c r="I17945" s="5"/>
      <c r="J17945" s="5"/>
      <c r="K17945" s="5"/>
    </row>
    <row r="17946" spans="1:11" x14ac:dyDescent="0.25">
      <c r="A17946" s="5">
        <f>17939</f>
      </c>
      <c r="B17946" s="5" t="s">
        <v>17954</v>
      </c>
      <c r="C17946" s="5">
        <v>118.6</v>
      </c>
      <c r="D17946" s="5">
        <v>0.1</v>
      </c>
      <c r="E17946" s="5">
        <v>118.8</v>
      </c>
      <c r="F17946" s="5">
        <v>235.8</v>
      </c>
      <c r="G17946" s="5">
        <v>117.2</v>
      </c>
      <c r="H17946" s="5">
        <v>117.1</v>
      </c>
      <c r="I17946" s="5"/>
      <c r="J17946" s="5"/>
      <c r="K17946" s="5"/>
    </row>
    <row r="17947" spans="1:11" x14ac:dyDescent="0.25">
      <c r="A17947" s="5">
        <f>17940</f>
      </c>
      <c r="B17947" s="5" t="s">
        <v>17955</v>
      </c>
      <c r="C17947" s="5">
        <v>118.4</v>
      </c>
      <c r="D17947" s="5">
        <v>0.1</v>
      </c>
      <c r="E17947" s="5">
        <v>118.6</v>
      </c>
      <c r="F17947" s="5">
        <v>235.9</v>
      </c>
      <c r="G17947" s="5">
        <v>117.3</v>
      </c>
      <c r="H17947" s="5">
        <v>117.1</v>
      </c>
      <c r="I17947" s="5"/>
      <c r="J17947" s="5"/>
      <c r="K17947" s="5"/>
    </row>
    <row r="17948" spans="1:11" x14ac:dyDescent="0.25">
      <c r="A17948" s="5">
        <f>17941</f>
      </c>
      <c r="B17948" s="5" t="s">
        <v>17956</v>
      </c>
      <c r="C17948" s="5">
        <v>118.4</v>
      </c>
      <c r="D17948" s="5">
        <v>0.1</v>
      </c>
      <c r="E17948" s="5">
        <v>118.6</v>
      </c>
      <c r="F17948" s="5">
        <v>235.9</v>
      </c>
      <c r="G17948" s="5">
        <v>117.3</v>
      </c>
      <c r="H17948" s="5">
        <v>117.1</v>
      </c>
      <c r="I17948" s="5"/>
      <c r="J17948" s="5"/>
      <c r="K17948" s="5"/>
    </row>
    <row r="17949" spans="1:11" x14ac:dyDescent="0.25">
      <c r="A17949" s="5">
        <f>17942</f>
      </c>
      <c r="B17949" s="5" t="s">
        <v>17957</v>
      </c>
      <c r="C17949" s="5">
        <v>118.4</v>
      </c>
      <c r="D17949" s="5">
        <v>0.1</v>
      </c>
      <c r="E17949" s="5">
        <v>118.6</v>
      </c>
      <c r="F17949" s="5">
        <v>235.9</v>
      </c>
      <c r="G17949" s="5">
        <v>117.3</v>
      </c>
      <c r="H17949" s="5">
        <v>117.1</v>
      </c>
      <c r="I17949" s="5"/>
      <c r="J17949" s="5"/>
      <c r="K17949" s="5"/>
    </row>
    <row r="17950" spans="1:11" x14ac:dyDescent="0.25">
      <c r="A17950" s="5">
        <f>17943</f>
      </c>
      <c r="B17950" s="5" t="s">
        <v>17958</v>
      </c>
      <c r="C17950" s="5">
        <v>118.4</v>
      </c>
      <c r="D17950" s="5">
        <v>0.1</v>
      </c>
      <c r="E17950" s="5">
        <v>118.6</v>
      </c>
      <c r="F17950" s="5">
        <v>235.9</v>
      </c>
      <c r="G17950" s="5">
        <v>117.3</v>
      </c>
      <c r="H17950" s="5">
        <v>117.1</v>
      </c>
      <c r="I17950" s="5"/>
      <c r="J17950" s="5"/>
      <c r="K17950" s="5"/>
    </row>
    <row r="17951" spans="1:11" x14ac:dyDescent="0.25">
      <c r="A17951" s="5">
        <f>17944</f>
      </c>
      <c r="B17951" s="5" t="s">
        <v>17959</v>
      </c>
      <c r="C17951" s="5">
        <v>118.5</v>
      </c>
      <c r="D17951" s="5">
        <v>0.1</v>
      </c>
      <c r="E17951" s="5">
        <v>118.6</v>
      </c>
      <c r="F17951" s="5">
        <v>236</v>
      </c>
      <c r="G17951" s="5">
        <v>117.3</v>
      </c>
      <c r="H17951" s="5">
        <v>117.2</v>
      </c>
      <c r="I17951" s="5"/>
      <c r="J17951" s="5"/>
      <c r="K17951" s="5"/>
    </row>
    <row r="17952" spans="1:11" x14ac:dyDescent="0.25">
      <c r="A17952" s="5">
        <f>17945</f>
      </c>
      <c r="B17952" s="5" t="s">
        <v>17960</v>
      </c>
      <c r="C17952" s="5">
        <v>118.5</v>
      </c>
      <c r="D17952" s="5">
        <v>0.1</v>
      </c>
      <c r="E17952" s="5">
        <v>118.6</v>
      </c>
      <c r="F17952" s="5">
        <v>236</v>
      </c>
      <c r="G17952" s="5">
        <v>117.3</v>
      </c>
      <c r="H17952" s="5">
        <v>117.2</v>
      </c>
      <c r="I17952" s="5"/>
      <c r="J17952" s="5"/>
      <c r="K17952" s="5"/>
    </row>
    <row r="17953" spans="1:11" x14ac:dyDescent="0.25">
      <c r="A17953" s="5">
        <f>17946</f>
      </c>
      <c r="B17953" s="5" t="s">
        <v>17961</v>
      </c>
      <c r="C17953" s="5">
        <v>118.3</v>
      </c>
      <c r="D17953" s="5">
        <v>0.1</v>
      </c>
      <c r="E17953" s="5">
        <v>118.5</v>
      </c>
      <c r="F17953" s="5">
        <v>235.7</v>
      </c>
      <c r="G17953" s="5">
        <v>117.2</v>
      </c>
      <c r="H17953" s="5">
        <v>117</v>
      </c>
      <c r="I17953" s="5"/>
      <c r="J17953" s="5"/>
      <c r="K17953" s="5"/>
    </row>
    <row r="17954" spans="1:11" x14ac:dyDescent="0.25">
      <c r="A17954" s="5">
        <f>17947</f>
      </c>
      <c r="B17954" s="5" t="s">
        <v>17962</v>
      </c>
      <c r="C17954" s="5">
        <v>118.3</v>
      </c>
      <c r="D17954" s="5">
        <v>0.1</v>
      </c>
      <c r="E17954" s="5">
        <v>118.5</v>
      </c>
      <c r="F17954" s="5">
        <v>235.7</v>
      </c>
      <c r="G17954" s="5">
        <v>117.2</v>
      </c>
      <c r="H17954" s="5">
        <v>117</v>
      </c>
      <c r="I17954" s="5"/>
      <c r="J17954" s="5"/>
      <c r="K17954" s="5"/>
    </row>
    <row r="17955" spans="1:11" x14ac:dyDescent="0.25">
      <c r="A17955" s="5">
        <f>17948</f>
      </c>
      <c r="B17955" s="5" t="s">
        <v>17963</v>
      </c>
      <c r="C17955" s="5">
        <v>118.3</v>
      </c>
      <c r="D17955" s="5">
        <v>0.1</v>
      </c>
      <c r="E17955" s="5">
        <v>118.6</v>
      </c>
      <c r="F17955" s="5">
        <v>235.6</v>
      </c>
      <c r="G17955" s="5">
        <v>117.1</v>
      </c>
      <c r="H17955" s="5">
        <v>117</v>
      </c>
      <c r="I17955" s="5"/>
      <c r="J17955" s="5"/>
      <c r="K17955" s="5"/>
    </row>
    <row r="17956" spans="1:11" x14ac:dyDescent="0.25">
      <c r="A17956" s="5">
        <f>17949</f>
      </c>
      <c r="B17956" s="5" t="s">
        <v>17964</v>
      </c>
      <c r="C17956" s="5">
        <v>118.3</v>
      </c>
      <c r="D17956" s="5">
        <v>0.1</v>
      </c>
      <c r="E17956" s="5">
        <v>118.6</v>
      </c>
      <c r="F17956" s="5">
        <v>235.6</v>
      </c>
      <c r="G17956" s="5">
        <v>117.1</v>
      </c>
      <c r="H17956" s="5">
        <v>117</v>
      </c>
      <c r="I17956" s="5"/>
      <c r="J17956" s="5"/>
      <c r="K17956" s="5"/>
    </row>
    <row r="17957" spans="1:11" x14ac:dyDescent="0.25">
      <c r="A17957" s="5">
        <f>17950</f>
      </c>
      <c r="B17957" s="5" t="s">
        <v>17965</v>
      </c>
      <c r="C17957" s="5">
        <v>118.4</v>
      </c>
      <c r="D17957" s="5">
        <v>0.1</v>
      </c>
      <c r="E17957" s="5">
        <v>118.6</v>
      </c>
      <c r="F17957" s="5">
        <v>235.4</v>
      </c>
      <c r="G17957" s="5">
        <v>117.1</v>
      </c>
      <c r="H17957" s="5">
        <v>116.9</v>
      </c>
      <c r="I17957" s="5"/>
      <c r="J17957" s="5"/>
      <c r="K17957" s="5"/>
    </row>
    <row r="17958" spans="1:11" x14ac:dyDescent="0.25">
      <c r="A17958" s="5">
        <f>17951</f>
      </c>
      <c r="B17958" s="5" t="s">
        <v>17966</v>
      </c>
      <c r="C17958" s="5">
        <v>118.4</v>
      </c>
      <c r="D17958" s="5">
        <v>0.1</v>
      </c>
      <c r="E17958" s="5">
        <v>118.6</v>
      </c>
      <c r="F17958" s="5">
        <v>235.4</v>
      </c>
      <c r="G17958" s="5">
        <v>117.1</v>
      </c>
      <c r="H17958" s="5">
        <v>116.9</v>
      </c>
      <c r="I17958" s="5"/>
      <c r="J17958" s="5"/>
      <c r="K17958" s="5"/>
    </row>
    <row r="17959" spans="1:11" x14ac:dyDescent="0.25">
      <c r="A17959" s="5">
        <f>17952</f>
      </c>
      <c r="B17959" s="5" t="s">
        <v>17967</v>
      </c>
      <c r="C17959" s="5">
        <v>118.4</v>
      </c>
      <c r="D17959" s="5">
        <v>0.1</v>
      </c>
      <c r="E17959" s="5">
        <v>118.6</v>
      </c>
      <c r="F17959" s="5">
        <v>235.4</v>
      </c>
      <c r="G17959" s="5">
        <v>117.1</v>
      </c>
      <c r="H17959" s="5">
        <v>116.9</v>
      </c>
      <c r="I17959" s="5"/>
      <c r="J17959" s="5"/>
      <c r="K17959" s="5"/>
    </row>
    <row r="17960" spans="1:11" x14ac:dyDescent="0.25">
      <c r="A17960" s="5">
        <f>17953</f>
      </c>
      <c r="B17960" s="5" t="s">
        <v>17968</v>
      </c>
      <c r="C17960" s="5">
        <v>118.4</v>
      </c>
      <c r="D17960" s="5">
        <v>0.1</v>
      </c>
      <c r="E17960" s="5">
        <v>118.6</v>
      </c>
      <c r="F17960" s="5">
        <v>235.4</v>
      </c>
      <c r="G17960" s="5">
        <v>117.1</v>
      </c>
      <c r="H17960" s="5">
        <v>116.9</v>
      </c>
      <c r="I17960" s="5"/>
      <c r="J17960" s="5"/>
      <c r="K17960" s="5"/>
    </row>
    <row r="17961" spans="1:11" x14ac:dyDescent="0.25">
      <c r="A17961" s="5">
        <f>17954</f>
      </c>
      <c r="B17961" s="5" t="s">
        <v>17969</v>
      </c>
      <c r="C17961" s="5">
        <v>118.3</v>
      </c>
      <c r="D17961" s="5">
        <v>0.1</v>
      </c>
      <c r="E17961" s="5">
        <v>118.5</v>
      </c>
      <c r="F17961" s="5">
        <v>235.8</v>
      </c>
      <c r="G17961" s="5">
        <v>117.2</v>
      </c>
      <c r="H17961" s="5">
        <v>117.1</v>
      </c>
      <c r="I17961" s="5"/>
      <c r="J17961" s="5"/>
      <c r="K17961" s="5"/>
    </row>
    <row r="17962" spans="1:11" x14ac:dyDescent="0.25">
      <c r="A17962" s="5">
        <f>17955</f>
      </c>
      <c r="B17962" s="5" t="s">
        <v>17970</v>
      </c>
      <c r="C17962" s="5">
        <v>118.3</v>
      </c>
      <c r="D17962" s="5">
        <v>0.1</v>
      </c>
      <c r="E17962" s="5">
        <v>118.5</v>
      </c>
      <c r="F17962" s="5">
        <v>235.8</v>
      </c>
      <c r="G17962" s="5">
        <v>117.2</v>
      </c>
      <c r="H17962" s="5">
        <v>117.1</v>
      </c>
      <c r="I17962" s="5"/>
      <c r="J17962" s="5"/>
      <c r="K17962" s="5"/>
    </row>
    <row r="17963" spans="1:11" x14ac:dyDescent="0.25">
      <c r="A17963" s="5">
        <f>17956</f>
      </c>
      <c r="B17963" s="5" t="s">
        <v>17971</v>
      </c>
      <c r="C17963" s="5">
        <v>118.6</v>
      </c>
      <c r="D17963" s="5">
        <v>0.1</v>
      </c>
      <c r="E17963" s="5">
        <v>118.8</v>
      </c>
      <c r="F17963" s="5">
        <v>235.6</v>
      </c>
      <c r="G17963" s="5">
        <v>117.1</v>
      </c>
      <c r="H17963" s="5">
        <v>117</v>
      </c>
      <c r="I17963" s="5"/>
      <c r="J17963" s="5"/>
      <c r="K17963" s="5"/>
    </row>
    <row r="17964" spans="1:11" x14ac:dyDescent="0.25">
      <c r="A17964" s="5">
        <f>17957</f>
      </c>
      <c r="B17964" s="5" t="s">
        <v>17972</v>
      </c>
      <c r="C17964" s="5">
        <v>118.6</v>
      </c>
      <c r="D17964" s="5">
        <v>0.1</v>
      </c>
      <c r="E17964" s="5">
        <v>118.8</v>
      </c>
      <c r="F17964" s="5">
        <v>235.6</v>
      </c>
      <c r="G17964" s="5">
        <v>117.1</v>
      </c>
      <c r="H17964" s="5">
        <v>117</v>
      </c>
      <c r="I17964" s="5"/>
      <c r="J17964" s="5"/>
      <c r="K17964" s="5"/>
    </row>
    <row r="17965" spans="1:11" x14ac:dyDescent="0.25">
      <c r="A17965" s="5">
        <f>17958</f>
      </c>
      <c r="B17965" s="5" t="s">
        <v>17973</v>
      </c>
      <c r="C17965" s="5">
        <v>118.3</v>
      </c>
      <c r="D17965" s="5">
        <v>0.1</v>
      </c>
      <c r="E17965" s="5">
        <v>118.4</v>
      </c>
      <c r="F17965" s="5">
        <v>235.2</v>
      </c>
      <c r="G17965" s="5">
        <v>117</v>
      </c>
      <c r="H17965" s="5">
        <v>116.9</v>
      </c>
      <c r="I17965" s="5"/>
      <c r="J17965" s="5"/>
      <c r="K17965" s="5"/>
    </row>
    <row r="17966" spans="1:11" x14ac:dyDescent="0.25">
      <c r="A17966" s="5">
        <f>17959</f>
      </c>
      <c r="B17966" s="5" t="s">
        <v>17974</v>
      </c>
      <c r="C17966" s="5">
        <v>118.3</v>
      </c>
      <c r="D17966" s="5">
        <v>0.1</v>
      </c>
      <c r="E17966" s="5">
        <v>118.4</v>
      </c>
      <c r="F17966" s="5">
        <v>235.2</v>
      </c>
      <c r="G17966" s="5">
        <v>117</v>
      </c>
      <c r="H17966" s="5">
        <v>116.9</v>
      </c>
      <c r="I17966" s="5"/>
      <c r="J17966" s="5"/>
      <c r="K17966" s="5"/>
    </row>
    <row r="17967" spans="1:11" x14ac:dyDescent="0.25">
      <c r="A17967" s="5">
        <f>17960</f>
      </c>
      <c r="B17967" s="5" t="s">
        <v>17975</v>
      </c>
      <c r="C17967" s="5">
        <v>118.2</v>
      </c>
      <c r="D17967" s="5">
        <v>0.1</v>
      </c>
      <c r="E17967" s="5">
        <v>118.3</v>
      </c>
      <c r="F17967" s="5">
        <v>235.2</v>
      </c>
      <c r="G17967" s="5">
        <v>117</v>
      </c>
      <c r="H17967" s="5">
        <v>116.8</v>
      </c>
      <c r="I17967" s="5"/>
      <c r="J17967" s="5"/>
      <c r="K17967" s="5"/>
    </row>
    <row r="17968" spans="1:11" x14ac:dyDescent="0.25">
      <c r="A17968" s="5">
        <f>17961</f>
      </c>
      <c r="B17968" s="5" t="s">
        <v>17976</v>
      </c>
      <c r="C17968" s="5">
        <v>118.2</v>
      </c>
      <c r="D17968" s="5">
        <v>0.1</v>
      </c>
      <c r="E17968" s="5">
        <v>118.3</v>
      </c>
      <c r="F17968" s="5">
        <v>235.2</v>
      </c>
      <c r="G17968" s="5">
        <v>117</v>
      </c>
      <c r="H17968" s="5">
        <v>116.8</v>
      </c>
      <c r="I17968" s="5"/>
      <c r="J17968" s="5"/>
      <c r="K17968" s="5"/>
    </row>
    <row r="17969" spans="1:11" x14ac:dyDescent="0.25">
      <c r="A17969" s="5">
        <f>17962</f>
      </c>
      <c r="B17969" s="5" t="s">
        <v>17977</v>
      </c>
      <c r="C17969" s="5">
        <v>118.2</v>
      </c>
      <c r="D17969" s="5">
        <v>0.1</v>
      </c>
      <c r="E17969" s="5">
        <v>118.3</v>
      </c>
      <c r="F17969" s="5">
        <v>235.2</v>
      </c>
      <c r="G17969" s="5">
        <v>117</v>
      </c>
      <c r="H17969" s="5">
        <v>116.8</v>
      </c>
      <c r="I17969" s="5"/>
      <c r="J17969" s="5"/>
      <c r="K17969" s="5"/>
    </row>
    <row r="17970" spans="1:11" x14ac:dyDescent="0.25">
      <c r="A17970" s="5">
        <f>17963</f>
      </c>
      <c r="B17970" s="5" t="s">
        <v>17978</v>
      </c>
      <c r="C17970" s="5">
        <v>118.2</v>
      </c>
      <c r="D17970" s="5">
        <v>0.1</v>
      </c>
      <c r="E17970" s="5">
        <v>118.3</v>
      </c>
      <c r="F17970" s="5">
        <v>235.2</v>
      </c>
      <c r="G17970" s="5">
        <v>117</v>
      </c>
      <c r="H17970" s="5">
        <v>116.8</v>
      </c>
      <c r="I17970" s="5"/>
      <c r="J17970" s="5"/>
      <c r="K17970" s="5"/>
    </row>
    <row r="17971" spans="1:11" x14ac:dyDescent="0.25">
      <c r="A17971" s="5">
        <f>17964</f>
      </c>
      <c r="B17971" s="5" t="s">
        <v>17979</v>
      </c>
      <c r="C17971" s="5">
        <v>118</v>
      </c>
      <c r="D17971" s="5">
        <v>0.1</v>
      </c>
      <c r="E17971" s="5">
        <v>118.1</v>
      </c>
      <c r="F17971" s="5">
        <v>235.2</v>
      </c>
      <c r="G17971" s="5">
        <v>116.9</v>
      </c>
      <c r="H17971" s="5">
        <v>116.7</v>
      </c>
      <c r="I17971" s="5"/>
      <c r="J17971" s="5"/>
      <c r="K17971" s="5"/>
    </row>
    <row r="17972" spans="1:11" x14ac:dyDescent="0.25">
      <c r="A17972" s="5">
        <f>17965</f>
      </c>
      <c r="B17972" s="5" t="s">
        <v>17980</v>
      </c>
      <c r="C17972" s="5">
        <v>118</v>
      </c>
      <c r="D17972" s="5">
        <v>0.1</v>
      </c>
      <c r="E17972" s="5">
        <v>118.1</v>
      </c>
      <c r="F17972" s="5">
        <v>235.2</v>
      </c>
      <c r="G17972" s="5">
        <v>116.9</v>
      </c>
      <c r="H17972" s="5">
        <v>116.7</v>
      </c>
      <c r="I17972" s="5"/>
      <c r="J17972" s="5"/>
      <c r="K17972" s="5"/>
    </row>
    <row r="17973" spans="1:11" x14ac:dyDescent="0.25">
      <c r="A17973" s="5">
        <f>17966</f>
      </c>
      <c r="B17973" s="5" t="s">
        <v>17981</v>
      </c>
      <c r="C17973" s="5">
        <v>117.8</v>
      </c>
      <c r="D17973" s="5">
        <v>0.1</v>
      </c>
      <c r="E17973" s="5">
        <v>118</v>
      </c>
      <c r="F17973" s="5">
        <v>234.8</v>
      </c>
      <c r="G17973" s="5">
        <v>116.8</v>
      </c>
      <c r="H17973" s="5">
        <v>116.6</v>
      </c>
      <c r="I17973" s="5"/>
      <c r="J17973" s="5"/>
      <c r="K17973" s="5"/>
    </row>
    <row r="17974" spans="1:11" x14ac:dyDescent="0.25">
      <c r="A17974" s="5">
        <f>17967</f>
      </c>
      <c r="B17974" s="5" t="s">
        <v>17982</v>
      </c>
      <c r="C17974" s="5">
        <v>117.8</v>
      </c>
      <c r="D17974" s="5">
        <v>0.1</v>
      </c>
      <c r="E17974" s="5">
        <v>118</v>
      </c>
      <c r="F17974" s="5">
        <v>234.8</v>
      </c>
      <c r="G17974" s="5">
        <v>116.8</v>
      </c>
      <c r="H17974" s="5">
        <v>116.6</v>
      </c>
      <c r="I17974" s="5"/>
      <c r="J17974" s="5"/>
      <c r="K17974" s="5"/>
    </row>
    <row r="17975" spans="1:11" x14ac:dyDescent="0.25">
      <c r="A17975" s="5">
        <f>17968</f>
      </c>
      <c r="B17975" s="5" t="s">
        <v>17983</v>
      </c>
      <c r="C17975" s="5">
        <v>117.8</v>
      </c>
      <c r="D17975" s="5">
        <v>0.1</v>
      </c>
      <c r="E17975" s="5">
        <v>118</v>
      </c>
      <c r="F17975" s="5">
        <v>234.9</v>
      </c>
      <c r="G17975" s="5">
        <v>116.8</v>
      </c>
      <c r="H17975" s="5">
        <v>116.6</v>
      </c>
      <c r="I17975" s="5"/>
      <c r="J17975" s="5"/>
      <c r="K17975" s="5"/>
    </row>
    <row r="17976" spans="1:11" x14ac:dyDescent="0.25">
      <c r="A17976" s="5">
        <f>17969</f>
      </c>
      <c r="B17976" s="5" t="s">
        <v>17984</v>
      </c>
      <c r="C17976" s="5">
        <v>117.8</v>
      </c>
      <c r="D17976" s="5">
        <v>0.1</v>
      </c>
      <c r="E17976" s="5">
        <v>118</v>
      </c>
      <c r="F17976" s="5">
        <v>234.9</v>
      </c>
      <c r="G17976" s="5">
        <v>116.8</v>
      </c>
      <c r="H17976" s="5">
        <v>116.6</v>
      </c>
      <c r="I17976" s="5"/>
      <c r="J17976" s="5"/>
      <c r="K17976" s="5"/>
    </row>
    <row r="17977" spans="1:11" x14ac:dyDescent="0.25">
      <c r="A17977" s="5">
        <f>17970</f>
      </c>
      <c r="B17977" s="5" t="s">
        <v>17985</v>
      </c>
      <c r="C17977" s="5">
        <v>122.3</v>
      </c>
      <c r="D17977" s="5">
        <v>0.1</v>
      </c>
      <c r="E17977" s="5">
        <v>122.5</v>
      </c>
      <c r="F17977" s="5">
        <v>241.5</v>
      </c>
      <c r="G17977" s="5">
        <v>120.1</v>
      </c>
      <c r="H17977" s="5">
        <v>120</v>
      </c>
      <c r="I17977" s="5"/>
      <c r="J17977" s="5"/>
      <c r="K17977" s="5"/>
    </row>
    <row r="17978" spans="1:11" x14ac:dyDescent="0.25">
      <c r="A17978" s="5">
        <f>17971</f>
      </c>
      <c r="B17978" s="5" t="s">
        <v>17986</v>
      </c>
      <c r="C17978" s="5">
        <v>122.3</v>
      </c>
      <c r="D17978" s="5">
        <v>0.1</v>
      </c>
      <c r="E17978" s="5">
        <v>122.5</v>
      </c>
      <c r="F17978" s="5">
        <v>241.5</v>
      </c>
      <c r="G17978" s="5">
        <v>120.1</v>
      </c>
      <c r="H17978" s="5">
        <v>120</v>
      </c>
      <c r="I17978" s="5"/>
      <c r="J17978" s="5"/>
      <c r="K17978" s="5"/>
    </row>
    <row r="17979" spans="1:11" x14ac:dyDescent="0.25">
      <c r="A17979" s="5">
        <f>17972</f>
      </c>
      <c r="B17979" s="5" t="s">
        <v>17987</v>
      </c>
      <c r="C17979" s="5">
        <v>122.3</v>
      </c>
      <c r="D17979" s="5">
        <v>0.1</v>
      </c>
      <c r="E17979" s="5">
        <v>122.5</v>
      </c>
      <c r="F17979" s="5">
        <v>241.5</v>
      </c>
      <c r="G17979" s="5">
        <v>120.1</v>
      </c>
      <c r="H17979" s="5">
        <v>120</v>
      </c>
      <c r="I17979" s="5"/>
      <c r="J17979" s="5"/>
      <c r="K17979" s="5"/>
    </row>
    <row r="17980" spans="1:11" x14ac:dyDescent="0.25">
      <c r="A17980" s="5">
        <f>17973</f>
      </c>
      <c r="B17980" s="5" t="s">
        <v>17988</v>
      </c>
      <c r="C17980" s="5">
        <v>122.3</v>
      </c>
      <c r="D17980" s="5">
        <v>0.1</v>
      </c>
      <c r="E17980" s="5">
        <v>122.5</v>
      </c>
      <c r="F17980" s="5">
        <v>241.5</v>
      </c>
      <c r="G17980" s="5">
        <v>120.1</v>
      </c>
      <c r="H17980" s="5">
        <v>120</v>
      </c>
      <c r="I17980" s="5"/>
      <c r="J17980" s="5"/>
      <c r="K17980" s="5"/>
    </row>
    <row r="17981" spans="1:11" x14ac:dyDescent="0.25">
      <c r="A17981" s="5">
        <f>17974</f>
      </c>
      <c r="B17981" s="5" t="s">
        <v>17989</v>
      </c>
      <c r="C17981" s="5">
        <v>122.6</v>
      </c>
      <c r="D17981" s="5">
        <v>0.1</v>
      </c>
      <c r="E17981" s="5">
        <v>122.8</v>
      </c>
      <c r="F17981" s="5">
        <v>243.8</v>
      </c>
      <c r="G17981" s="5">
        <v>121.2</v>
      </c>
      <c r="H17981" s="5">
        <v>121.1</v>
      </c>
      <c r="I17981" s="5"/>
      <c r="J17981" s="5"/>
      <c r="K17981" s="5"/>
    </row>
    <row r="17982" spans="1:11" x14ac:dyDescent="0.25">
      <c r="A17982" s="5">
        <f>17975</f>
      </c>
      <c r="B17982" s="5" t="s">
        <v>17990</v>
      </c>
      <c r="C17982" s="5">
        <v>122.6</v>
      </c>
      <c r="D17982" s="5">
        <v>0.1</v>
      </c>
      <c r="E17982" s="5">
        <v>122.8</v>
      </c>
      <c r="F17982" s="5">
        <v>243.8</v>
      </c>
      <c r="G17982" s="5">
        <v>121.2</v>
      </c>
      <c r="H17982" s="5">
        <v>121.1</v>
      </c>
      <c r="I17982" s="5"/>
      <c r="J17982" s="5"/>
      <c r="K17982" s="5"/>
    </row>
    <row r="17983" spans="1:11" x14ac:dyDescent="0.25">
      <c r="A17983" s="5">
        <f>17976</f>
      </c>
      <c r="B17983" s="5" t="s">
        <v>17991</v>
      </c>
      <c r="C17983" s="5">
        <v>122.3</v>
      </c>
      <c r="D17983" s="5">
        <v>0.1</v>
      </c>
      <c r="E17983" s="5">
        <v>122.5</v>
      </c>
      <c r="F17983" s="5">
        <v>243.6</v>
      </c>
      <c r="G17983" s="5">
        <v>121.2</v>
      </c>
      <c r="H17983" s="5">
        <v>121</v>
      </c>
      <c r="I17983" s="5"/>
      <c r="J17983" s="5"/>
      <c r="K17983" s="5"/>
    </row>
    <row r="17984" spans="1:11" x14ac:dyDescent="0.25">
      <c r="A17984" s="5">
        <f>17977</f>
      </c>
      <c r="B17984" s="5" t="s">
        <v>17992</v>
      </c>
      <c r="C17984" s="5">
        <v>122.3</v>
      </c>
      <c r="D17984" s="5">
        <v>0.1</v>
      </c>
      <c r="E17984" s="5">
        <v>122.5</v>
      </c>
      <c r="F17984" s="5">
        <v>243.6</v>
      </c>
      <c r="G17984" s="5">
        <v>121.2</v>
      </c>
      <c r="H17984" s="5">
        <v>121</v>
      </c>
      <c r="I17984" s="5"/>
      <c r="J17984" s="5"/>
      <c r="K17984" s="5"/>
    </row>
    <row r="17985" spans="1:11" x14ac:dyDescent="0.25">
      <c r="A17985" s="5">
        <f>17978</f>
      </c>
      <c r="B17985" s="5" t="s">
        <v>17993</v>
      </c>
      <c r="C17985" s="5">
        <v>122.5</v>
      </c>
      <c r="D17985" s="5">
        <v>0.1</v>
      </c>
      <c r="E17985" s="5">
        <v>122.7</v>
      </c>
      <c r="F17985" s="5">
        <v>243.9</v>
      </c>
      <c r="G17985" s="5">
        <v>121.3</v>
      </c>
      <c r="H17985" s="5">
        <v>121.2</v>
      </c>
      <c r="I17985" s="5"/>
      <c r="J17985" s="5"/>
      <c r="K17985" s="5"/>
    </row>
    <row r="17986" spans="1:11" x14ac:dyDescent="0.25">
      <c r="A17986" s="5">
        <f>17979</f>
      </c>
      <c r="B17986" s="5" t="s">
        <v>17994</v>
      </c>
      <c r="C17986" s="5">
        <v>122.5</v>
      </c>
      <c r="D17986" s="5">
        <v>0.1</v>
      </c>
      <c r="E17986" s="5">
        <v>122.7</v>
      </c>
      <c r="F17986" s="5">
        <v>243.9</v>
      </c>
      <c r="G17986" s="5">
        <v>121.3</v>
      </c>
      <c r="H17986" s="5">
        <v>121.2</v>
      </c>
      <c r="I17986" s="5"/>
      <c r="J17986" s="5"/>
      <c r="K17986" s="5"/>
    </row>
    <row r="17987" spans="1:11" x14ac:dyDescent="0.25">
      <c r="A17987" s="5">
        <f>17980</f>
      </c>
      <c r="B17987" s="5" t="s">
        <v>17995</v>
      </c>
      <c r="C17987" s="5">
        <v>122.5</v>
      </c>
      <c r="D17987" s="5">
        <v>0.1</v>
      </c>
      <c r="E17987" s="5">
        <v>122.7</v>
      </c>
      <c r="F17987" s="5">
        <v>243.9</v>
      </c>
      <c r="G17987" s="5">
        <v>121.3</v>
      </c>
      <c r="H17987" s="5">
        <v>121.1</v>
      </c>
      <c r="I17987" s="5"/>
      <c r="J17987" s="5"/>
      <c r="K17987" s="5"/>
    </row>
    <row r="17988" spans="1:11" x14ac:dyDescent="0.25">
      <c r="A17988" s="5">
        <f>17981</f>
      </c>
      <c r="B17988" s="5" t="s">
        <v>17996</v>
      </c>
      <c r="C17988" s="5">
        <v>122.5</v>
      </c>
      <c r="D17988" s="5">
        <v>0.1</v>
      </c>
      <c r="E17988" s="5">
        <v>122.7</v>
      </c>
      <c r="F17988" s="5">
        <v>243.9</v>
      </c>
      <c r="G17988" s="5">
        <v>121.3</v>
      </c>
      <c r="H17988" s="5">
        <v>121.1</v>
      </c>
      <c r="I17988" s="5"/>
      <c r="J17988" s="5"/>
      <c r="K17988" s="5"/>
    </row>
    <row r="17989" spans="1:11" x14ac:dyDescent="0.25">
      <c r="A17989" s="5">
        <f>17982</f>
      </c>
      <c r="B17989" s="5" t="s">
        <v>17997</v>
      </c>
      <c r="C17989" s="5">
        <v>122.5</v>
      </c>
      <c r="D17989" s="5">
        <v>0.1</v>
      </c>
      <c r="E17989" s="5">
        <v>122.7</v>
      </c>
      <c r="F17989" s="5">
        <v>243.9</v>
      </c>
      <c r="G17989" s="5">
        <v>121.3</v>
      </c>
      <c r="H17989" s="5">
        <v>121.1</v>
      </c>
      <c r="I17989" s="5"/>
      <c r="J17989" s="5"/>
      <c r="K17989" s="5"/>
    </row>
    <row r="17990" spans="1:11" x14ac:dyDescent="0.25">
      <c r="A17990" s="5">
        <f>17983</f>
      </c>
      <c r="B17990" s="5" t="s">
        <v>17998</v>
      </c>
      <c r="C17990" s="5">
        <v>122.5</v>
      </c>
      <c r="D17990" s="5">
        <v>0.1</v>
      </c>
      <c r="E17990" s="5">
        <v>122.7</v>
      </c>
      <c r="F17990" s="5">
        <v>243.9</v>
      </c>
      <c r="G17990" s="5">
        <v>121.3</v>
      </c>
      <c r="H17990" s="5">
        <v>121.1</v>
      </c>
      <c r="I17990" s="5"/>
      <c r="J17990" s="5"/>
      <c r="K17990" s="5"/>
    </row>
    <row r="17991" spans="1:11" x14ac:dyDescent="0.25">
      <c r="A17991" s="5">
        <f>17984</f>
      </c>
      <c r="B17991" s="5" t="s">
        <v>17999</v>
      </c>
      <c r="C17991" s="5">
        <v>122.9</v>
      </c>
      <c r="D17991" s="5">
        <v>0.1</v>
      </c>
      <c r="E17991" s="5">
        <v>123.1</v>
      </c>
      <c r="F17991" s="5">
        <v>244.3</v>
      </c>
      <c r="G17991" s="5">
        <v>121.5</v>
      </c>
      <c r="H17991" s="5">
        <v>121.4</v>
      </c>
      <c r="I17991" s="5"/>
      <c r="J17991" s="5"/>
      <c r="K17991" s="5"/>
    </row>
    <row r="17992" spans="1:11" x14ac:dyDescent="0.25">
      <c r="A17992" s="5">
        <f>17985</f>
      </c>
      <c r="B17992" s="5" t="s">
        <v>18000</v>
      </c>
      <c r="C17992" s="5">
        <v>122.9</v>
      </c>
      <c r="D17992" s="5">
        <v>0.1</v>
      </c>
      <c r="E17992" s="5">
        <v>123.1</v>
      </c>
      <c r="F17992" s="5">
        <v>244.3</v>
      </c>
      <c r="G17992" s="5">
        <v>121.5</v>
      </c>
      <c r="H17992" s="5">
        <v>121.4</v>
      </c>
      <c r="I17992" s="5"/>
      <c r="J17992" s="5"/>
      <c r="K17992" s="5"/>
    </row>
    <row r="17993" spans="1:11" x14ac:dyDescent="0.25">
      <c r="A17993" s="5">
        <f>17986</f>
      </c>
      <c r="B17993" s="5" t="s">
        <v>18001</v>
      </c>
      <c r="C17993" s="5">
        <v>122.8</v>
      </c>
      <c r="D17993" s="5">
        <v>0.1</v>
      </c>
      <c r="E17993" s="5">
        <v>123</v>
      </c>
      <c r="F17993" s="5">
        <v>244.5</v>
      </c>
      <c r="G17993" s="5">
        <v>121.6</v>
      </c>
      <c r="H17993" s="5">
        <v>121.4</v>
      </c>
      <c r="I17993" s="5"/>
      <c r="J17993" s="5"/>
      <c r="K17993" s="5"/>
    </row>
    <row r="17994" spans="1:11" x14ac:dyDescent="0.25">
      <c r="A17994" s="5">
        <f>17987</f>
      </c>
      <c r="B17994" s="5" t="s">
        <v>18002</v>
      </c>
      <c r="C17994" s="5">
        <v>122.8</v>
      </c>
      <c r="D17994" s="5">
        <v>0.1</v>
      </c>
      <c r="E17994" s="5">
        <v>123</v>
      </c>
      <c r="F17994" s="5">
        <v>244.5</v>
      </c>
      <c r="G17994" s="5">
        <v>121.6</v>
      </c>
      <c r="H17994" s="5">
        <v>121.4</v>
      </c>
      <c r="I17994" s="5"/>
      <c r="J17994" s="5"/>
      <c r="K17994" s="5"/>
    </row>
    <row r="17995" spans="1:11" x14ac:dyDescent="0.25">
      <c r="A17995" s="5">
        <f>17988</f>
      </c>
      <c r="B17995" s="5" t="s">
        <v>18003</v>
      </c>
      <c r="C17995" s="5">
        <v>123.1</v>
      </c>
      <c r="D17995" s="5">
        <v>0.1</v>
      </c>
      <c r="E17995" s="5">
        <v>123.3</v>
      </c>
      <c r="F17995" s="5">
        <v>244.7</v>
      </c>
      <c r="G17995" s="5">
        <v>121.7</v>
      </c>
      <c r="H17995" s="5">
        <v>121.5</v>
      </c>
      <c r="I17995" s="5"/>
      <c r="J17995" s="5"/>
      <c r="K17995" s="5"/>
    </row>
    <row r="17996" spans="1:11" x14ac:dyDescent="0.25">
      <c r="A17996" s="5">
        <f>17989</f>
      </c>
      <c r="B17996" s="5" t="s">
        <v>18004</v>
      </c>
      <c r="C17996" s="5">
        <v>123.1</v>
      </c>
      <c r="D17996" s="5">
        <v>0.1</v>
      </c>
      <c r="E17996" s="5">
        <v>123.3</v>
      </c>
      <c r="F17996" s="5">
        <v>244.7</v>
      </c>
      <c r="G17996" s="5">
        <v>121.7</v>
      </c>
      <c r="H17996" s="5">
        <v>121.5</v>
      </c>
      <c r="I17996" s="5"/>
      <c r="J17996" s="5"/>
      <c r="K17996" s="5"/>
    </row>
    <row r="17997" spans="1:11" x14ac:dyDescent="0.25">
      <c r="A17997" s="5">
        <f>17990</f>
      </c>
      <c r="B17997" s="5" t="s">
        <v>18005</v>
      </c>
      <c r="C17997" s="5">
        <v>122.8</v>
      </c>
      <c r="D17997" s="5">
        <v>0.1</v>
      </c>
      <c r="E17997" s="5">
        <v>123</v>
      </c>
      <c r="F17997" s="5">
        <v>244.6</v>
      </c>
      <c r="G17997" s="5">
        <v>121.6</v>
      </c>
      <c r="H17997" s="5">
        <v>121.5</v>
      </c>
      <c r="I17997" s="5"/>
      <c r="J17997" s="5"/>
      <c r="K17997" s="5"/>
    </row>
    <row r="17998" spans="1:11" x14ac:dyDescent="0.25">
      <c r="A17998" s="5">
        <f>17991</f>
      </c>
      <c r="B17998" s="5" t="s">
        <v>18006</v>
      </c>
      <c r="C17998" s="5">
        <v>122.8</v>
      </c>
      <c r="D17998" s="5">
        <v>0.1</v>
      </c>
      <c r="E17998" s="5">
        <v>123</v>
      </c>
      <c r="F17998" s="5">
        <v>244.6</v>
      </c>
      <c r="G17998" s="5">
        <v>121.6</v>
      </c>
      <c r="H17998" s="5">
        <v>121.5</v>
      </c>
      <c r="I17998" s="5"/>
      <c r="J17998" s="5"/>
      <c r="K17998" s="5"/>
    </row>
    <row r="17999" spans="1:11" x14ac:dyDescent="0.25">
      <c r="A17999" s="5">
        <f>17992</f>
      </c>
      <c r="B17999" s="5" t="s">
        <v>18007</v>
      </c>
      <c r="C17999" s="5">
        <v>122.8</v>
      </c>
      <c r="D17999" s="5">
        <v>0.1</v>
      </c>
      <c r="E17999" s="5">
        <v>123</v>
      </c>
      <c r="F17999" s="5">
        <v>244.6</v>
      </c>
      <c r="G17999" s="5">
        <v>121.6</v>
      </c>
      <c r="H17999" s="5">
        <v>121.5</v>
      </c>
      <c r="I17999" s="5"/>
      <c r="J17999" s="5"/>
      <c r="K17999" s="5"/>
    </row>
    <row r="18000" spans="1:11" x14ac:dyDescent="0.25">
      <c r="A18000" s="5">
        <f>17993</f>
      </c>
      <c r="B18000" s="5" t="s">
        <v>18008</v>
      </c>
      <c r="C18000" s="5">
        <v>123.2</v>
      </c>
      <c r="D18000" s="5">
        <v>0.1</v>
      </c>
      <c r="E18000" s="5">
        <v>123.4</v>
      </c>
      <c r="F18000" s="5">
        <v>244.9</v>
      </c>
      <c r="G18000" s="5">
        <v>121.8</v>
      </c>
      <c r="H18000" s="5">
        <v>121.6</v>
      </c>
      <c r="I18000" s="5"/>
      <c r="J18000" s="5"/>
      <c r="K18000" s="5"/>
    </row>
    <row r="18001" spans="1:11" x14ac:dyDescent="0.25">
      <c r="A18001" s="5">
        <f>17994</f>
      </c>
      <c r="B18001" s="5" t="s">
        <v>18009</v>
      </c>
      <c r="C18001" s="5">
        <v>123.2</v>
      </c>
      <c r="D18001" s="5">
        <v>0.1</v>
      </c>
      <c r="E18001" s="5">
        <v>123.4</v>
      </c>
      <c r="F18001" s="5">
        <v>244.9</v>
      </c>
      <c r="G18001" s="5">
        <v>121.8</v>
      </c>
      <c r="H18001" s="5">
        <v>121.6</v>
      </c>
      <c r="I18001" s="5"/>
      <c r="J18001" s="5"/>
      <c r="K18001" s="5"/>
    </row>
    <row r="18002" spans="1:11" x14ac:dyDescent="0.25">
      <c r="A18002" s="5">
        <f>17995</f>
      </c>
      <c r="B18002" s="5" t="s">
        <v>18010</v>
      </c>
      <c r="C18002" s="5">
        <v>122.8</v>
      </c>
      <c r="D18002" s="5">
        <v>0.1</v>
      </c>
      <c r="E18002" s="5">
        <v>122.9</v>
      </c>
      <c r="F18002" s="5">
        <v>244.6</v>
      </c>
      <c r="G18002" s="5">
        <v>121.6</v>
      </c>
      <c r="H18002" s="5">
        <v>121.5</v>
      </c>
      <c r="I18002" s="5"/>
      <c r="J18002" s="5"/>
      <c r="K18002" s="5"/>
    </row>
    <row r="18003" spans="1:11" x14ac:dyDescent="0.25">
      <c r="A18003" s="5">
        <f>17996</f>
      </c>
      <c r="B18003" s="5" t="s">
        <v>18011</v>
      </c>
      <c r="C18003" s="5">
        <v>122.8</v>
      </c>
      <c r="D18003" s="5">
        <v>0.1</v>
      </c>
      <c r="E18003" s="5">
        <v>122.9</v>
      </c>
      <c r="F18003" s="5">
        <v>244.6</v>
      </c>
      <c r="G18003" s="5">
        <v>121.6</v>
      </c>
      <c r="H18003" s="5">
        <v>121.5</v>
      </c>
      <c r="I18003" s="5"/>
      <c r="J18003" s="5"/>
      <c r="K18003" s="5"/>
    </row>
    <row r="18004" spans="1:11" x14ac:dyDescent="0.25">
      <c r="A18004" s="5">
        <f>17997</f>
      </c>
      <c r="B18004" s="5" t="s">
        <v>18012</v>
      </c>
      <c r="C18004" s="5">
        <v>123.3</v>
      </c>
      <c r="D18004" s="5">
        <v>0.1</v>
      </c>
      <c r="E18004" s="5">
        <v>123.4</v>
      </c>
      <c r="F18004" s="5">
        <v>244.8</v>
      </c>
      <c r="G18004" s="5">
        <v>121.7</v>
      </c>
      <c r="H18004" s="5">
        <v>121.5</v>
      </c>
      <c r="I18004" s="5"/>
      <c r="J18004" s="5"/>
      <c r="K18004" s="5"/>
    </row>
    <row r="18005" spans="1:11" x14ac:dyDescent="0.25">
      <c r="A18005" s="5">
        <f>17998</f>
      </c>
      <c r="B18005" s="5" t="s">
        <v>18013</v>
      </c>
      <c r="C18005" s="5">
        <v>123.3</v>
      </c>
      <c r="D18005" s="5">
        <v>0.1</v>
      </c>
      <c r="E18005" s="5">
        <v>123.4</v>
      </c>
      <c r="F18005" s="5">
        <v>244.8</v>
      </c>
      <c r="G18005" s="5">
        <v>121.7</v>
      </c>
      <c r="H18005" s="5">
        <v>121.5</v>
      </c>
      <c r="I18005" s="5"/>
      <c r="J18005" s="5"/>
      <c r="K18005" s="5"/>
    </row>
    <row r="18006" spans="1:11" x14ac:dyDescent="0.25">
      <c r="A18006" s="5">
        <f>17999</f>
      </c>
      <c r="B18006" s="5" t="s">
        <v>18014</v>
      </c>
      <c r="C18006" s="5">
        <v>123.2</v>
      </c>
      <c r="D18006" s="5">
        <v>0.1</v>
      </c>
      <c r="E18006" s="5">
        <v>123.4</v>
      </c>
      <c r="F18006" s="5">
        <v>244.5</v>
      </c>
      <c r="G18006" s="5">
        <v>121.6</v>
      </c>
      <c r="H18006" s="5">
        <v>121.4</v>
      </c>
      <c r="I18006" s="5"/>
      <c r="J18006" s="5"/>
      <c r="K18006" s="5"/>
    </row>
    <row r="18007" spans="1:11" x14ac:dyDescent="0.25">
      <c r="A18007" s="5">
        <f>18000</f>
      </c>
      <c r="B18007" s="5" t="s">
        <v>18015</v>
      </c>
      <c r="C18007" s="5">
        <v>123.2</v>
      </c>
      <c r="D18007" s="5">
        <v>0.1</v>
      </c>
      <c r="E18007" s="5">
        <v>123.4</v>
      </c>
      <c r="F18007" s="5">
        <v>244.5</v>
      </c>
      <c r="G18007" s="5">
        <v>121.6</v>
      </c>
      <c r="H18007" s="5">
        <v>121.4</v>
      </c>
      <c r="I18007" s="5"/>
      <c r="J18007" s="5"/>
      <c r="K18007" s="5"/>
    </row>
    <row r="18008" spans="1:11" x14ac:dyDescent="0.25">
      <c r="A18008" s="5">
        <f>18001</f>
      </c>
      <c r="B18008" s="5" t="s">
        <v>18016</v>
      </c>
      <c r="C18008" s="5">
        <v>123.2</v>
      </c>
      <c r="D18008" s="5">
        <v>0.1</v>
      </c>
      <c r="E18008" s="5">
        <v>123.4</v>
      </c>
      <c r="F18008" s="5">
        <v>244.5</v>
      </c>
      <c r="G18008" s="5">
        <v>121.6</v>
      </c>
      <c r="H18008" s="5">
        <v>121.4</v>
      </c>
      <c r="I18008" s="5"/>
      <c r="J18008" s="5"/>
      <c r="K18008" s="5"/>
    </row>
    <row r="18009" spans="1:11" x14ac:dyDescent="0.25">
      <c r="A18009" s="5">
        <f>18002</f>
      </c>
      <c r="B18009" s="5" t="s">
        <v>18017</v>
      </c>
      <c r="C18009" s="5">
        <v>123.2</v>
      </c>
      <c r="D18009" s="5">
        <v>0.1</v>
      </c>
      <c r="E18009" s="5">
        <v>123.4</v>
      </c>
      <c r="F18009" s="5">
        <v>244.5</v>
      </c>
      <c r="G18009" s="5">
        <v>121.6</v>
      </c>
      <c r="H18009" s="5">
        <v>121.4</v>
      </c>
      <c r="I18009" s="5"/>
      <c r="J18009" s="5"/>
      <c r="K18009" s="5"/>
    </row>
    <row r="18010" spans="1:11" x14ac:dyDescent="0.25">
      <c r="A18010" s="5">
        <f>18003</f>
      </c>
      <c r="B18010" s="5" t="s">
        <v>18018</v>
      </c>
      <c r="C18010" s="5">
        <v>123.1</v>
      </c>
      <c r="D18010" s="5">
        <v>0.1</v>
      </c>
      <c r="E18010" s="5">
        <v>123.4</v>
      </c>
      <c r="F18010" s="5">
        <v>244.5</v>
      </c>
      <c r="G18010" s="5">
        <v>121.6</v>
      </c>
      <c r="H18010" s="5">
        <v>121.4</v>
      </c>
      <c r="I18010" s="5"/>
      <c r="J18010" s="5"/>
      <c r="K18010" s="5"/>
    </row>
    <row r="18011" spans="1:11" x14ac:dyDescent="0.25">
      <c r="A18011" s="5">
        <f>18004</f>
      </c>
      <c r="B18011" s="5" t="s">
        <v>18019</v>
      </c>
      <c r="C18011" s="5">
        <v>123.1</v>
      </c>
      <c r="D18011" s="5">
        <v>0.1</v>
      </c>
      <c r="E18011" s="5">
        <v>123.3</v>
      </c>
      <c r="F18011" s="5">
        <v>244.6</v>
      </c>
      <c r="G18011" s="5">
        <v>121.7</v>
      </c>
      <c r="H18011" s="5">
        <v>121.5</v>
      </c>
      <c r="I18011" s="5"/>
      <c r="J18011" s="5"/>
      <c r="K18011" s="5"/>
    </row>
    <row r="18012" spans="1:11" x14ac:dyDescent="0.25">
      <c r="A18012" s="5">
        <f>18005</f>
      </c>
      <c r="B18012" s="5" t="s">
        <v>18020</v>
      </c>
      <c r="C18012" s="5">
        <v>123.1</v>
      </c>
      <c r="D18012" s="5">
        <v>0.1</v>
      </c>
      <c r="E18012" s="5">
        <v>123.3</v>
      </c>
      <c r="F18012" s="5">
        <v>244.6</v>
      </c>
      <c r="G18012" s="5">
        <v>121.7</v>
      </c>
      <c r="H18012" s="5">
        <v>121.5</v>
      </c>
      <c r="I18012" s="5"/>
      <c r="J18012" s="5"/>
      <c r="K18012" s="5"/>
    </row>
    <row r="18013" spans="1:11" x14ac:dyDescent="0.25">
      <c r="A18013" s="5">
        <f>18006</f>
      </c>
      <c r="B18013" s="5" t="s">
        <v>18021</v>
      </c>
      <c r="C18013" s="5">
        <v>123.1</v>
      </c>
      <c r="D18013" s="5">
        <v>0.1</v>
      </c>
      <c r="E18013" s="5">
        <v>123.3</v>
      </c>
      <c r="F18013" s="5">
        <v>244.6</v>
      </c>
      <c r="G18013" s="5">
        <v>121.7</v>
      </c>
      <c r="H18013" s="5">
        <v>121.5</v>
      </c>
      <c r="I18013" s="5"/>
      <c r="J18013" s="5"/>
      <c r="K18013" s="5"/>
    </row>
    <row r="18014" spans="1:11" x14ac:dyDescent="0.25">
      <c r="A18014" s="5">
        <f>18007</f>
      </c>
      <c r="B18014" s="5" t="s">
        <v>18022</v>
      </c>
      <c r="C18014" s="5">
        <v>123.1</v>
      </c>
      <c r="D18014" s="5">
        <v>0.1</v>
      </c>
      <c r="E18014" s="5">
        <v>123.3</v>
      </c>
      <c r="F18014" s="5">
        <v>244.6</v>
      </c>
      <c r="G18014" s="5">
        <v>121.7</v>
      </c>
      <c r="H18014" s="5">
        <v>121.5</v>
      </c>
      <c r="I18014" s="5"/>
      <c r="J18014" s="5"/>
      <c r="K18014" s="5"/>
    </row>
    <row r="18015" spans="1:11" x14ac:dyDescent="0.25">
      <c r="A18015" s="5">
        <f>18008</f>
      </c>
      <c r="B18015" s="5" t="s">
        <v>18023</v>
      </c>
      <c r="C18015" s="5">
        <v>122.8</v>
      </c>
      <c r="D18015" s="5">
        <v>0.1</v>
      </c>
      <c r="E18015" s="5">
        <v>123</v>
      </c>
      <c r="F18015" s="5">
        <v>244.7</v>
      </c>
      <c r="G18015" s="5">
        <v>121.7</v>
      </c>
      <c r="H18015" s="5">
        <v>121.5</v>
      </c>
      <c r="I18015" s="5"/>
      <c r="J18015" s="5"/>
      <c r="K18015" s="5"/>
    </row>
    <row r="18016" spans="1:11" x14ac:dyDescent="0.25">
      <c r="A18016" s="5">
        <f>18009</f>
      </c>
      <c r="B18016" s="5" t="s">
        <v>18024</v>
      </c>
      <c r="C18016" s="5">
        <v>122.8</v>
      </c>
      <c r="D18016" s="5">
        <v>0.1</v>
      </c>
      <c r="E18016" s="5">
        <v>123</v>
      </c>
      <c r="F18016" s="5">
        <v>244.7</v>
      </c>
      <c r="G18016" s="5">
        <v>121.7</v>
      </c>
      <c r="H18016" s="5">
        <v>121.5</v>
      </c>
      <c r="I18016" s="5"/>
      <c r="J18016" s="5"/>
      <c r="K18016" s="5"/>
    </row>
    <row r="18017" spans="1:11" x14ac:dyDescent="0.25">
      <c r="A18017" s="5">
        <f>18010</f>
      </c>
      <c r="B18017" s="5" t="s">
        <v>18025</v>
      </c>
      <c r="C18017" s="5">
        <v>122.8</v>
      </c>
      <c r="D18017" s="5">
        <v>0.1</v>
      </c>
      <c r="E18017" s="5">
        <v>123</v>
      </c>
      <c r="F18017" s="5">
        <v>244.7</v>
      </c>
      <c r="G18017" s="5">
        <v>121.6</v>
      </c>
      <c r="H18017" s="5">
        <v>121.4</v>
      </c>
      <c r="I18017" s="5"/>
      <c r="J18017" s="5"/>
      <c r="K18017" s="5"/>
    </row>
    <row r="18018" spans="1:11" x14ac:dyDescent="0.25">
      <c r="A18018" s="5">
        <f>18011</f>
      </c>
      <c r="B18018" s="5" t="s">
        <v>18026</v>
      </c>
      <c r="C18018" s="5">
        <v>122.8</v>
      </c>
      <c r="D18018" s="5">
        <v>0.1</v>
      </c>
      <c r="E18018" s="5">
        <v>123</v>
      </c>
      <c r="F18018" s="5">
        <v>244.7</v>
      </c>
      <c r="G18018" s="5">
        <v>121.6</v>
      </c>
      <c r="H18018" s="5">
        <v>121.4</v>
      </c>
      <c r="I18018" s="5"/>
      <c r="J18018" s="5"/>
      <c r="K18018" s="5"/>
    </row>
    <row r="18019" spans="1:11" x14ac:dyDescent="0.25">
      <c r="A18019" s="5">
        <f>18012</f>
      </c>
      <c r="B18019" s="5" t="s">
        <v>18027</v>
      </c>
      <c r="C18019" s="5">
        <v>122.8</v>
      </c>
      <c r="D18019" s="5">
        <v>0.1</v>
      </c>
      <c r="E18019" s="5">
        <v>123</v>
      </c>
      <c r="F18019" s="5">
        <v>244.7</v>
      </c>
      <c r="G18019" s="5">
        <v>121.6</v>
      </c>
      <c r="H18019" s="5">
        <v>121.4</v>
      </c>
      <c r="I18019" s="5"/>
      <c r="J18019" s="5"/>
      <c r="K18019" s="5"/>
    </row>
    <row r="18020" spans="1:11" x14ac:dyDescent="0.25">
      <c r="A18020" s="5">
        <f>18013</f>
      </c>
      <c r="B18020" s="5" t="s">
        <v>18028</v>
      </c>
      <c r="C18020" s="5">
        <v>122.8</v>
      </c>
      <c r="D18020" s="5">
        <v>0.1</v>
      </c>
      <c r="E18020" s="5">
        <v>123.6</v>
      </c>
      <c r="F18020" s="5">
        <v>245.5</v>
      </c>
      <c r="G18020" s="5">
        <v>122.1</v>
      </c>
      <c r="H18020" s="5">
        <v>122</v>
      </c>
      <c r="I18020" s="5"/>
      <c r="J18020" s="5"/>
      <c r="K18020" s="5"/>
    </row>
    <row r="18021" spans="1:11" x14ac:dyDescent="0.25">
      <c r="A18021" s="5">
        <f>18014</f>
      </c>
      <c r="B18021" s="5" t="s">
        <v>18029</v>
      </c>
      <c r="C18021" s="5">
        <v>123.4</v>
      </c>
      <c r="D18021" s="5">
        <v>0.1</v>
      </c>
      <c r="E18021" s="5">
        <v>123.6</v>
      </c>
      <c r="F18021" s="5">
        <v>245.5</v>
      </c>
      <c r="G18021" s="5">
        <v>122.1</v>
      </c>
      <c r="H18021" s="5">
        <v>122</v>
      </c>
      <c r="I18021" s="5"/>
      <c r="J18021" s="5"/>
      <c r="K18021" s="5"/>
    </row>
    <row r="18022" spans="1:11" x14ac:dyDescent="0.25">
      <c r="A18022" s="5">
        <f>18015</f>
      </c>
      <c r="B18022" s="5" t="s">
        <v>18030</v>
      </c>
      <c r="C18022" s="5">
        <v>123.4</v>
      </c>
      <c r="D18022" s="5">
        <v>0.1</v>
      </c>
      <c r="E18022" s="5">
        <v>123.6</v>
      </c>
      <c r="F18022" s="5">
        <v>245.5</v>
      </c>
      <c r="G18022" s="5">
        <v>122.1</v>
      </c>
      <c r="H18022" s="5">
        <v>121.9</v>
      </c>
      <c r="I18022" s="5"/>
      <c r="J18022" s="5"/>
      <c r="K18022" s="5"/>
    </row>
    <row r="18023" spans="1:11" x14ac:dyDescent="0.25">
      <c r="A18023" s="5">
        <f>18016</f>
      </c>
      <c r="B18023" s="5" t="s">
        <v>18031</v>
      </c>
      <c r="C18023" s="5">
        <v>123.1</v>
      </c>
      <c r="D18023" s="5">
        <v>0.1</v>
      </c>
      <c r="E18023" s="5">
        <v>123.3</v>
      </c>
      <c r="F18023" s="5">
        <v>245.5</v>
      </c>
      <c r="G18023" s="5">
        <v>122.1</v>
      </c>
      <c r="H18023" s="5">
        <v>121.9</v>
      </c>
      <c r="I18023" s="5"/>
      <c r="J18023" s="5"/>
      <c r="K18023" s="5"/>
    </row>
    <row r="18024" spans="1:11" x14ac:dyDescent="0.25">
      <c r="A18024" s="5">
        <f>18017</f>
      </c>
      <c r="B18024" s="5" t="s">
        <v>18032</v>
      </c>
      <c r="C18024" s="5">
        <v>123.1</v>
      </c>
      <c r="D18024" s="5">
        <v>0.1</v>
      </c>
      <c r="E18024" s="5">
        <v>123.3</v>
      </c>
      <c r="F18024" s="5">
        <v>245.5</v>
      </c>
      <c r="G18024" s="5">
        <v>122.2</v>
      </c>
      <c r="H18024" s="5">
        <v>122.1</v>
      </c>
      <c r="I18024" s="5"/>
      <c r="J18024" s="5"/>
      <c r="K18024" s="5"/>
    </row>
    <row r="18025" spans="1:11" x14ac:dyDescent="0.25">
      <c r="A18025" s="5">
        <f>18018</f>
      </c>
      <c r="B18025" s="5" t="s">
        <v>18033</v>
      </c>
      <c r="C18025" s="5">
        <v>123.1</v>
      </c>
      <c r="D18025" s="5">
        <v>0.1</v>
      </c>
      <c r="E18025" s="5">
        <v>123.3</v>
      </c>
      <c r="F18025" s="5">
        <v>245.7</v>
      </c>
      <c r="G18025" s="5">
        <v>122.2</v>
      </c>
      <c r="H18025" s="5">
        <v>122.1</v>
      </c>
      <c r="I18025" s="5"/>
      <c r="J18025" s="5"/>
      <c r="K18025" s="5"/>
    </row>
    <row r="18026" spans="1:11" x14ac:dyDescent="0.25">
      <c r="A18026" s="5">
        <f>18019</f>
      </c>
      <c r="B18026" s="5" t="s">
        <v>18034</v>
      </c>
      <c r="C18026" s="5">
        <v>123.1</v>
      </c>
      <c r="D18026" s="5">
        <v>0.1</v>
      </c>
      <c r="E18026" s="5">
        <v>123.3</v>
      </c>
      <c r="F18026" s="5">
        <v>245.7</v>
      </c>
      <c r="G18026" s="5">
        <v>122.2</v>
      </c>
      <c r="H18026" s="5">
        <v>122.1</v>
      </c>
      <c r="I18026" s="5"/>
      <c r="J18026" s="5"/>
      <c r="K18026" s="5"/>
    </row>
    <row r="18027" spans="1:11" x14ac:dyDescent="0.25">
      <c r="A18027" s="5">
        <f>18020</f>
      </c>
      <c r="B18027" s="5" t="s">
        <v>18035</v>
      </c>
      <c r="C18027" s="5">
        <v>123.4</v>
      </c>
      <c r="D18027" s="5">
        <v>0.1</v>
      </c>
      <c r="E18027" s="5">
        <v>123.7</v>
      </c>
      <c r="F18027" s="5">
        <v>245.8</v>
      </c>
      <c r="G18027" s="5">
        <v>122.3</v>
      </c>
      <c r="H18027" s="5">
        <v>122.1</v>
      </c>
      <c r="I18027" s="5"/>
      <c r="J18027" s="5"/>
      <c r="K18027" s="5"/>
    </row>
    <row r="18028" spans="1:11" x14ac:dyDescent="0.25">
      <c r="A18028" s="5">
        <f>18021</f>
      </c>
      <c r="B18028" s="5" t="s">
        <v>18036</v>
      </c>
      <c r="C18028" s="5">
        <v>123.4</v>
      </c>
      <c r="D18028" s="5">
        <v>0.1</v>
      </c>
      <c r="E18028" s="5">
        <v>123.7</v>
      </c>
      <c r="F18028" s="5">
        <v>245.8</v>
      </c>
      <c r="G18028" s="5">
        <v>122.3</v>
      </c>
      <c r="H18028" s="5">
        <v>122.1</v>
      </c>
      <c r="I18028" s="5"/>
      <c r="J18028" s="5"/>
      <c r="K18028" s="5"/>
    </row>
    <row r="18029" spans="1:11" x14ac:dyDescent="0.25">
      <c r="A18029" s="5">
        <f>18022</f>
      </c>
      <c r="B18029" s="5" t="s">
        <v>18037</v>
      </c>
      <c r="C18029" s="5">
        <v>123.4</v>
      </c>
      <c r="D18029" s="5">
        <v>0.1</v>
      </c>
      <c r="E18029" s="5">
        <v>123.7</v>
      </c>
      <c r="F18029" s="5">
        <v>245.8</v>
      </c>
      <c r="G18029" s="5">
        <v>122.3</v>
      </c>
      <c r="H18029" s="5">
        <v>122.1</v>
      </c>
      <c r="I18029" s="5"/>
      <c r="J18029" s="5"/>
      <c r="K18029" s="5"/>
    </row>
    <row r="18030" spans="1:11" x14ac:dyDescent="0.25">
      <c r="A18030" s="5">
        <f>18023</f>
      </c>
      <c r="B18030" s="5" t="s">
        <v>18038</v>
      </c>
      <c r="C18030" s="5">
        <v>123.7</v>
      </c>
      <c r="D18030" s="5">
        <v>0.1</v>
      </c>
      <c r="E18030" s="5">
        <v>123.8</v>
      </c>
      <c r="F18030" s="5">
        <v>245.9</v>
      </c>
      <c r="G18030" s="5">
        <v>122.3</v>
      </c>
      <c r="H18030" s="5">
        <v>122.2</v>
      </c>
      <c r="I18030" s="5"/>
      <c r="J18030" s="5"/>
      <c r="K18030" s="5"/>
    </row>
    <row r="18031" spans="1:11" x14ac:dyDescent="0.25">
      <c r="A18031" s="5">
        <f>18024</f>
      </c>
      <c r="B18031" s="5" t="s">
        <v>18039</v>
      </c>
      <c r="C18031" s="5">
        <v>123.7</v>
      </c>
      <c r="D18031" s="5">
        <v>0.1</v>
      </c>
      <c r="E18031" s="5">
        <v>123.8</v>
      </c>
      <c r="F18031" s="5">
        <v>245.9</v>
      </c>
      <c r="G18031" s="5">
        <v>122.3</v>
      </c>
      <c r="H18031" s="5">
        <v>122.2</v>
      </c>
      <c r="I18031" s="5"/>
      <c r="J18031" s="5"/>
      <c r="K18031" s="5"/>
    </row>
    <row r="18032" spans="1:11" x14ac:dyDescent="0.25">
      <c r="A18032" s="5">
        <f>18025</f>
      </c>
      <c r="B18032" s="5" t="s">
        <v>18040</v>
      </c>
      <c r="C18032" s="5">
        <v>123.7</v>
      </c>
      <c r="D18032" s="5">
        <v>0.1</v>
      </c>
      <c r="E18032" s="5">
        <v>123.9</v>
      </c>
      <c r="F18032" s="5">
        <v>246.4</v>
      </c>
      <c r="G18032" s="5">
        <v>122.6</v>
      </c>
      <c r="H18032" s="5">
        <v>122.4</v>
      </c>
      <c r="I18032" s="5"/>
      <c r="J18032" s="5"/>
      <c r="K18032" s="5"/>
    </row>
    <row r="18033" spans="1:11" x14ac:dyDescent="0.25">
      <c r="A18033" s="5">
        <f>18026</f>
      </c>
      <c r="B18033" s="5" t="s">
        <v>18041</v>
      </c>
      <c r="C18033" s="5">
        <v>123.7</v>
      </c>
      <c r="D18033" s="5">
        <v>0.1</v>
      </c>
      <c r="E18033" s="5">
        <v>123.9</v>
      </c>
      <c r="F18033" s="5">
        <v>246.4</v>
      </c>
      <c r="G18033" s="5">
        <v>122.6</v>
      </c>
      <c r="H18033" s="5">
        <v>122.4</v>
      </c>
      <c r="I18033" s="5"/>
      <c r="J18033" s="5"/>
      <c r="K18033" s="5"/>
    </row>
    <row r="18034" spans="1:11" x14ac:dyDescent="0.25">
      <c r="A18034" s="5">
        <f>18027</f>
      </c>
      <c r="B18034" s="5" t="s">
        <v>18042</v>
      </c>
      <c r="C18034" s="5">
        <v>123.9</v>
      </c>
      <c r="D18034" s="5">
        <v>0.1</v>
      </c>
      <c r="E18034" s="5">
        <v>124.1</v>
      </c>
      <c r="F18034" s="5">
        <v>246.5</v>
      </c>
      <c r="G18034" s="5">
        <v>122.6</v>
      </c>
      <c r="H18034" s="5">
        <v>122.5</v>
      </c>
      <c r="I18034" s="5"/>
      <c r="J18034" s="5"/>
      <c r="K18034" s="5"/>
    </row>
    <row r="18035" spans="1:11" x14ac:dyDescent="0.25">
      <c r="A18035" s="5">
        <f>18028</f>
      </c>
      <c r="B18035" s="5" t="s">
        <v>18043</v>
      </c>
      <c r="C18035" s="5">
        <v>123.9</v>
      </c>
      <c r="D18035" s="5">
        <v>0.1</v>
      </c>
      <c r="E18035" s="5">
        <v>124.1</v>
      </c>
      <c r="F18035" s="5">
        <v>246.5</v>
      </c>
      <c r="G18035" s="5">
        <v>122.6</v>
      </c>
      <c r="H18035" s="5">
        <v>122.5</v>
      </c>
      <c r="I18035" s="5"/>
      <c r="J18035" s="5"/>
      <c r="K18035" s="5"/>
    </row>
    <row r="18036" spans="1:11" x14ac:dyDescent="0.25">
      <c r="A18036" s="5">
        <f>18029</f>
      </c>
      <c r="B18036" s="5" t="s">
        <v>18044</v>
      </c>
      <c r="C18036" s="5">
        <v>123.7</v>
      </c>
      <c r="D18036" s="5">
        <v>0.1</v>
      </c>
      <c r="E18036" s="5">
        <v>123.8</v>
      </c>
      <c r="F18036" s="5">
        <v>246.3</v>
      </c>
      <c r="G18036" s="5">
        <v>122.5</v>
      </c>
      <c r="H18036" s="5">
        <v>122.3</v>
      </c>
      <c r="I18036" s="5"/>
      <c r="J18036" s="5"/>
      <c r="K18036" s="5"/>
    </row>
    <row r="18037" spans="1:11" x14ac:dyDescent="0.25">
      <c r="A18037" s="5">
        <f>18030</f>
      </c>
      <c r="B18037" s="5" t="s">
        <v>18045</v>
      </c>
      <c r="C18037" s="5">
        <v>123.7</v>
      </c>
      <c r="D18037" s="5">
        <v>0.1</v>
      </c>
      <c r="E18037" s="5">
        <v>123.8</v>
      </c>
      <c r="F18037" s="5">
        <v>246.3</v>
      </c>
      <c r="G18037" s="5">
        <v>122.5</v>
      </c>
      <c r="H18037" s="5">
        <v>122.3</v>
      </c>
      <c r="I18037" s="5"/>
      <c r="J18037" s="5"/>
      <c r="K18037" s="5"/>
    </row>
    <row r="18038" spans="1:11" x14ac:dyDescent="0.25">
      <c r="A18038" s="5">
        <f>18031</f>
      </c>
      <c r="B18038" s="5" t="s">
        <v>18046</v>
      </c>
      <c r="C18038" s="5">
        <v>123.7</v>
      </c>
      <c r="D18038" s="5">
        <v>0.1</v>
      </c>
      <c r="E18038" s="5">
        <v>123.8</v>
      </c>
      <c r="F18038" s="5">
        <v>246.3</v>
      </c>
      <c r="G18038" s="5">
        <v>122.5</v>
      </c>
      <c r="H18038" s="5">
        <v>122.3</v>
      </c>
      <c r="I18038" s="5"/>
      <c r="J18038" s="5"/>
      <c r="K18038" s="5"/>
    </row>
    <row r="18039" spans="1:11" x14ac:dyDescent="0.25">
      <c r="A18039" s="5">
        <f>18032</f>
      </c>
      <c r="B18039" s="5" t="s">
        <v>18047</v>
      </c>
      <c r="C18039" s="5">
        <v>123.7</v>
      </c>
      <c r="D18039" s="5">
        <v>0.1</v>
      </c>
      <c r="E18039" s="5">
        <v>123.8</v>
      </c>
      <c r="F18039" s="5">
        <v>246.3</v>
      </c>
      <c r="G18039" s="5">
        <v>122.5</v>
      </c>
      <c r="H18039" s="5">
        <v>122.3</v>
      </c>
      <c r="I18039" s="5"/>
      <c r="J18039" s="5"/>
      <c r="K18039" s="5"/>
    </row>
    <row r="18040" spans="1:11" x14ac:dyDescent="0.25">
      <c r="A18040" s="5">
        <f>18033</f>
      </c>
      <c r="B18040" s="5" t="s">
        <v>18048</v>
      </c>
      <c r="C18040" s="5">
        <v>123.7</v>
      </c>
      <c r="D18040" s="5">
        <v>0.1</v>
      </c>
      <c r="E18040" s="5">
        <v>123.9</v>
      </c>
      <c r="F18040" s="5">
        <v>246.5</v>
      </c>
      <c r="G18040" s="5">
        <v>122.6</v>
      </c>
      <c r="H18040" s="5">
        <v>122.4</v>
      </c>
      <c r="I18040" s="5"/>
      <c r="J18040" s="5"/>
      <c r="K18040" s="5"/>
    </row>
    <row r="18041" spans="1:11" x14ac:dyDescent="0.25">
      <c r="A18041" s="5">
        <f>18034</f>
      </c>
      <c r="B18041" s="5" t="s">
        <v>18049</v>
      </c>
      <c r="C18041" s="5">
        <v>123.7</v>
      </c>
      <c r="D18041" s="5">
        <v>0.1</v>
      </c>
      <c r="E18041" s="5">
        <v>123.9</v>
      </c>
      <c r="F18041" s="5">
        <v>246.5</v>
      </c>
      <c r="G18041" s="5">
        <v>122.6</v>
      </c>
      <c r="H18041" s="5">
        <v>122.4</v>
      </c>
      <c r="I18041" s="5"/>
      <c r="J18041" s="5"/>
      <c r="K18041" s="5"/>
    </row>
    <row r="18042" spans="1:11" x14ac:dyDescent="0.25">
      <c r="A18042" s="5">
        <f>18035</f>
      </c>
      <c r="B18042" s="5" t="s">
        <v>18050</v>
      </c>
      <c r="C18042" s="5">
        <v>124.2</v>
      </c>
      <c r="D18042" s="5">
        <v>0.1</v>
      </c>
      <c r="E18042" s="5">
        <v>124.4</v>
      </c>
      <c r="F18042" s="5">
        <v>247</v>
      </c>
      <c r="G18042" s="5">
        <v>122.9</v>
      </c>
      <c r="H18042" s="5">
        <v>122.7</v>
      </c>
      <c r="I18042" s="5"/>
      <c r="J18042" s="5"/>
      <c r="K18042" s="5"/>
    </row>
    <row r="18043" spans="1:11" x14ac:dyDescent="0.25">
      <c r="A18043" s="5">
        <f>18036</f>
      </c>
      <c r="B18043" s="5" t="s">
        <v>18051</v>
      </c>
      <c r="C18043" s="5">
        <v>124.2</v>
      </c>
      <c r="D18043" s="5">
        <v>0.1</v>
      </c>
      <c r="E18043" s="5">
        <v>124.4</v>
      </c>
      <c r="F18043" s="5">
        <v>247</v>
      </c>
      <c r="G18043" s="5">
        <v>122.9</v>
      </c>
      <c r="H18043" s="5">
        <v>122.7</v>
      </c>
      <c r="I18043" s="5"/>
      <c r="J18043" s="5"/>
      <c r="K18043" s="5"/>
    </row>
    <row r="18044" spans="1:11" x14ac:dyDescent="0.25">
      <c r="A18044" s="5">
        <f>18037</f>
      </c>
      <c r="B18044" s="5" t="s">
        <v>18052</v>
      </c>
      <c r="C18044" s="5">
        <v>124.1</v>
      </c>
      <c r="D18044" s="5">
        <v>0.1</v>
      </c>
      <c r="E18044" s="5">
        <v>124.3</v>
      </c>
      <c r="F18044" s="5">
        <v>246.8</v>
      </c>
      <c r="G18044" s="5">
        <v>122.8</v>
      </c>
      <c r="H18044" s="5">
        <v>122.6</v>
      </c>
      <c r="I18044" s="5"/>
      <c r="J18044" s="5"/>
      <c r="K18044" s="5"/>
    </row>
    <row r="18045" spans="1:11" x14ac:dyDescent="0.25">
      <c r="A18045" s="5">
        <f>18038</f>
      </c>
      <c r="B18045" s="5" t="s">
        <v>18053</v>
      </c>
      <c r="C18045" s="5">
        <v>124.1</v>
      </c>
      <c r="D18045" s="5">
        <v>0.1</v>
      </c>
      <c r="E18045" s="5">
        <v>124.3</v>
      </c>
      <c r="F18045" s="5">
        <v>246.8</v>
      </c>
      <c r="G18045" s="5">
        <v>122.8</v>
      </c>
      <c r="H18045" s="5">
        <v>122.6</v>
      </c>
      <c r="I18045" s="5"/>
      <c r="J18045" s="5"/>
      <c r="K18045" s="5"/>
    </row>
    <row r="18046" spans="1:11" x14ac:dyDescent="0.25">
      <c r="A18046" s="5">
        <f>18039</f>
      </c>
      <c r="B18046" s="5" t="s">
        <v>18054</v>
      </c>
      <c r="C18046" s="5">
        <v>124.3</v>
      </c>
      <c r="D18046" s="5">
        <v>0.1</v>
      </c>
      <c r="E18046" s="5">
        <v>124.5</v>
      </c>
      <c r="F18046" s="5">
        <v>247</v>
      </c>
      <c r="G18046" s="5">
        <v>122.8</v>
      </c>
      <c r="H18046" s="5">
        <v>122.6</v>
      </c>
      <c r="I18046" s="5"/>
      <c r="J18046" s="5"/>
      <c r="K18046" s="5"/>
    </row>
    <row r="18047" spans="1:11" x14ac:dyDescent="0.25">
      <c r="A18047" s="5">
        <f>18040</f>
      </c>
      <c r="B18047" s="5" t="s">
        <v>18055</v>
      </c>
      <c r="C18047" s="5">
        <v>124.3</v>
      </c>
      <c r="D18047" s="5">
        <v>0.1</v>
      </c>
      <c r="E18047" s="5">
        <v>124.5</v>
      </c>
      <c r="F18047" s="5">
        <v>247</v>
      </c>
      <c r="G18047" s="5">
        <v>122.8</v>
      </c>
      <c r="H18047" s="5">
        <v>122.6</v>
      </c>
      <c r="I18047" s="5"/>
      <c r="J18047" s="5"/>
      <c r="K18047" s="5"/>
    </row>
    <row r="18048" spans="1:11" x14ac:dyDescent="0.25">
      <c r="A18048" s="5">
        <f>18041</f>
      </c>
      <c r="B18048" s="5" t="s">
        <v>18056</v>
      </c>
      <c r="C18048" s="5">
        <v>124.3</v>
      </c>
      <c r="D18048" s="5">
        <v>0.1</v>
      </c>
      <c r="E18048" s="5">
        <v>124.5</v>
      </c>
      <c r="F18048" s="5">
        <v>247</v>
      </c>
      <c r="G18048" s="5">
        <v>122.8</v>
      </c>
      <c r="H18048" s="5">
        <v>122.6</v>
      </c>
      <c r="I18048" s="5"/>
      <c r="J18048" s="5"/>
      <c r="K18048" s="5"/>
    </row>
    <row r="18049" spans="1:11" x14ac:dyDescent="0.25">
      <c r="A18049" s="5">
        <f>18042</f>
      </c>
      <c r="B18049" s="5" t="s">
        <v>18057</v>
      </c>
      <c r="C18049" s="5">
        <v>124.3</v>
      </c>
      <c r="D18049" s="5">
        <v>0.1</v>
      </c>
      <c r="E18049" s="5">
        <v>124.5</v>
      </c>
      <c r="F18049" s="5">
        <v>247</v>
      </c>
      <c r="G18049" s="5">
        <v>122.8</v>
      </c>
      <c r="H18049" s="5">
        <v>122.6</v>
      </c>
      <c r="I18049" s="5"/>
      <c r="J18049" s="5"/>
      <c r="K18049" s="5"/>
    </row>
    <row r="18050" spans="1:11" x14ac:dyDescent="0.25">
      <c r="A18050" s="5">
        <f>18043</f>
      </c>
      <c r="B18050" s="5" t="s">
        <v>18058</v>
      </c>
      <c r="C18050" s="5">
        <v>123.8</v>
      </c>
      <c r="D18050" s="5">
        <v>0.1</v>
      </c>
      <c r="E18050" s="5">
        <v>124</v>
      </c>
      <c r="F18050" s="5">
        <v>246.7</v>
      </c>
      <c r="G18050" s="5">
        <v>122.7</v>
      </c>
      <c r="H18050" s="5">
        <v>122.5</v>
      </c>
      <c r="I18050" s="5"/>
      <c r="J18050" s="5"/>
      <c r="K18050" s="5"/>
    </row>
    <row r="18051" spans="1:11" x14ac:dyDescent="0.25">
      <c r="A18051" s="5">
        <f>18044</f>
      </c>
      <c r="B18051" s="5" t="s">
        <v>18059</v>
      </c>
      <c r="C18051" s="5">
        <v>123.8</v>
      </c>
      <c r="D18051" s="5">
        <v>0.1</v>
      </c>
      <c r="E18051" s="5">
        <v>124</v>
      </c>
      <c r="F18051" s="5">
        <v>246.7</v>
      </c>
      <c r="G18051" s="5">
        <v>122.7</v>
      </c>
      <c r="H18051" s="5">
        <v>122.5</v>
      </c>
      <c r="I18051" s="5"/>
      <c r="J18051" s="5"/>
      <c r="K18051" s="5"/>
    </row>
    <row r="18052" spans="1:11" x14ac:dyDescent="0.25">
      <c r="A18052" s="5">
        <f>18045</f>
      </c>
      <c r="B18052" s="5" t="s">
        <v>18060</v>
      </c>
      <c r="C18052" s="5">
        <v>121.8</v>
      </c>
      <c r="D18052" s="5">
        <v>0.1</v>
      </c>
      <c r="E18052" s="5">
        <v>121.9</v>
      </c>
      <c r="F18052" s="5">
        <v>244.7</v>
      </c>
      <c r="G18052" s="5">
        <v>121.6</v>
      </c>
      <c r="H18052" s="5">
        <v>121.3</v>
      </c>
      <c r="I18052" s="5"/>
      <c r="J18052" s="5"/>
      <c r="K18052" s="5"/>
    </row>
    <row r="18053" spans="1:11" x14ac:dyDescent="0.25">
      <c r="A18053" s="5">
        <f>18046</f>
      </c>
      <c r="B18053" s="5" t="s">
        <v>18061</v>
      </c>
      <c r="C18053" s="5">
        <v>121.8</v>
      </c>
      <c r="D18053" s="5">
        <v>0.1</v>
      </c>
      <c r="E18053" s="5">
        <v>121.9</v>
      </c>
      <c r="F18053" s="5">
        <v>244.7</v>
      </c>
      <c r="G18053" s="5">
        <v>121.6</v>
      </c>
      <c r="H18053" s="5">
        <v>121.3</v>
      </c>
      <c r="I18053" s="5"/>
      <c r="J18053" s="5"/>
      <c r="K18053" s="5"/>
    </row>
    <row r="18054" spans="1:11" x14ac:dyDescent="0.25">
      <c r="A18054" s="5">
        <f>18047</f>
      </c>
      <c r="B18054" s="5" t="s">
        <v>18062</v>
      </c>
      <c r="C18054" s="5">
        <v>121.9</v>
      </c>
      <c r="D18054" s="5">
        <v>0.1</v>
      </c>
      <c r="E18054" s="5">
        <v>122.1</v>
      </c>
      <c r="F18054" s="5">
        <v>242.2</v>
      </c>
      <c r="G18054" s="5">
        <v>120.4</v>
      </c>
      <c r="H18054" s="5">
        <v>120.2</v>
      </c>
      <c r="I18054" s="5"/>
      <c r="J18054" s="5"/>
      <c r="K18054" s="5"/>
    </row>
    <row r="18055" spans="1:11" x14ac:dyDescent="0.25">
      <c r="A18055" s="5">
        <f>18048</f>
      </c>
      <c r="B18055" s="5" t="s">
        <v>18063</v>
      </c>
      <c r="C18055" s="5">
        <v>121.9</v>
      </c>
      <c r="D18055" s="5">
        <v>0.1</v>
      </c>
      <c r="E18055" s="5">
        <v>122.1</v>
      </c>
      <c r="F18055" s="5">
        <v>242.2</v>
      </c>
      <c r="G18055" s="5">
        <v>120.4</v>
      </c>
      <c r="H18055" s="5">
        <v>120.2</v>
      </c>
      <c r="I18055" s="5"/>
      <c r="J18055" s="5"/>
      <c r="K18055" s="5"/>
    </row>
    <row r="18056" spans="1:11" x14ac:dyDescent="0.25">
      <c r="A18056" s="5">
        <f>18049</f>
      </c>
      <c r="B18056" s="5" t="s">
        <v>18064</v>
      </c>
      <c r="C18056" s="5">
        <v>121.9</v>
      </c>
      <c r="D18056" s="5">
        <v>0.1</v>
      </c>
      <c r="E18056" s="5">
        <v>122.1</v>
      </c>
      <c r="F18056" s="5">
        <v>243.7</v>
      </c>
      <c r="G18056" s="5">
        <v>121.2</v>
      </c>
      <c r="H18056" s="5">
        <v>121</v>
      </c>
      <c r="I18056" s="5"/>
      <c r="J18056" s="5"/>
      <c r="K18056" s="5"/>
    </row>
    <row r="18057" spans="1:11" x14ac:dyDescent="0.25">
      <c r="A18057" s="5">
        <f>18050</f>
      </c>
      <c r="B18057" s="5" t="s">
        <v>18065</v>
      </c>
      <c r="C18057" s="5">
        <v>122.5</v>
      </c>
      <c r="D18057" s="5">
        <v>0.1</v>
      </c>
      <c r="E18057" s="5">
        <v>122.6</v>
      </c>
      <c r="F18057" s="5">
        <v>243.7</v>
      </c>
      <c r="G18057" s="5">
        <v>121.2</v>
      </c>
      <c r="H18057" s="5">
        <v>121</v>
      </c>
      <c r="I18057" s="5"/>
      <c r="J18057" s="5"/>
      <c r="K18057" s="5"/>
    </row>
    <row r="18058" spans="1:11" x14ac:dyDescent="0.25">
      <c r="A18058" s="5">
        <f>18051</f>
      </c>
      <c r="B18058" s="5" t="s">
        <v>18066</v>
      </c>
      <c r="C18058" s="5">
        <v>122.5</v>
      </c>
      <c r="D18058" s="5">
        <v>0.1</v>
      </c>
      <c r="E18058" s="5">
        <v>122.6</v>
      </c>
      <c r="F18058" s="5">
        <v>243.7</v>
      </c>
      <c r="G18058" s="5">
        <v>121.2</v>
      </c>
      <c r="H18058" s="5">
        <v>121</v>
      </c>
      <c r="I18058" s="5"/>
      <c r="J18058" s="5"/>
      <c r="K18058" s="5"/>
    </row>
    <row r="18059" spans="1:11" x14ac:dyDescent="0.25">
      <c r="A18059" s="5">
        <f>18052</f>
      </c>
      <c r="B18059" s="5" t="s">
        <v>18067</v>
      </c>
      <c r="C18059" s="5">
        <v>122.5</v>
      </c>
      <c r="D18059" s="5">
        <v>0.1</v>
      </c>
      <c r="E18059" s="5">
        <v>122.6</v>
      </c>
      <c r="F18059" s="5">
        <v>243.7</v>
      </c>
      <c r="G18059" s="5">
        <v>121.2</v>
      </c>
      <c r="H18059" s="5">
        <v>121</v>
      </c>
      <c r="I18059" s="5"/>
      <c r="J18059" s="5"/>
      <c r="K18059" s="5"/>
    </row>
    <row r="18060" spans="1:11" x14ac:dyDescent="0.25">
      <c r="A18060" s="5">
        <f>18053</f>
      </c>
      <c r="B18060" s="5" t="s">
        <v>18068</v>
      </c>
      <c r="C18060" s="5">
        <v>123</v>
      </c>
      <c r="D18060" s="5">
        <v>0.1</v>
      </c>
      <c r="E18060" s="5">
        <v>123.1</v>
      </c>
      <c r="F18060" s="5">
        <v>245.9</v>
      </c>
      <c r="G18060" s="5">
        <v>122.2</v>
      </c>
      <c r="H18060" s="5">
        <v>122</v>
      </c>
      <c r="I18060" s="5"/>
      <c r="J18060" s="5"/>
      <c r="K18060" s="5"/>
    </row>
    <row r="18061" spans="1:11" x14ac:dyDescent="0.25">
      <c r="A18061" s="5">
        <f>18054</f>
      </c>
      <c r="B18061" s="5" t="s">
        <v>18069</v>
      </c>
      <c r="C18061" s="5">
        <v>123</v>
      </c>
      <c r="D18061" s="5">
        <v>0.1</v>
      </c>
      <c r="E18061" s="5">
        <v>123.1</v>
      </c>
      <c r="F18061" s="5">
        <v>245.9</v>
      </c>
      <c r="G18061" s="5">
        <v>122.2</v>
      </c>
      <c r="H18061" s="5">
        <v>122</v>
      </c>
      <c r="I18061" s="5"/>
      <c r="J18061" s="5"/>
      <c r="K18061" s="5"/>
    </row>
    <row r="18062" spans="1:11" x14ac:dyDescent="0.25">
      <c r="A18062" s="5">
        <f>18055</f>
      </c>
      <c r="B18062" s="5" t="s">
        <v>18070</v>
      </c>
      <c r="C18062" s="5">
        <v>123.7</v>
      </c>
      <c r="D18062" s="5">
        <v>0.1</v>
      </c>
      <c r="E18062" s="5">
        <v>123.9</v>
      </c>
      <c r="F18062" s="5">
        <v>246.2</v>
      </c>
      <c r="G18062" s="5">
        <v>122.4</v>
      </c>
      <c r="H18062" s="5">
        <v>122.2</v>
      </c>
      <c r="I18062" s="5"/>
      <c r="J18062" s="5"/>
      <c r="K18062" s="5"/>
    </row>
    <row r="18063" spans="1:11" x14ac:dyDescent="0.25">
      <c r="A18063" s="5">
        <f>18056</f>
      </c>
      <c r="B18063" s="5" t="s">
        <v>18071</v>
      </c>
      <c r="C18063" s="5">
        <v>123.7</v>
      </c>
      <c r="D18063" s="5">
        <v>0.1</v>
      </c>
      <c r="E18063" s="5">
        <v>123.9</v>
      </c>
      <c r="F18063" s="5">
        <v>246.2</v>
      </c>
      <c r="G18063" s="5">
        <v>122.4</v>
      </c>
      <c r="H18063" s="5">
        <v>122.2</v>
      </c>
      <c r="I18063" s="5"/>
      <c r="J18063" s="5"/>
      <c r="K18063" s="5"/>
    </row>
    <row r="18064" spans="1:11" x14ac:dyDescent="0.25">
      <c r="A18064" s="5">
        <f>18057</f>
      </c>
      <c r="B18064" s="5" t="s">
        <v>18072</v>
      </c>
      <c r="C18064" s="5">
        <v>123.5</v>
      </c>
      <c r="D18064" s="5">
        <v>0.1</v>
      </c>
      <c r="E18064" s="5">
        <v>123.7</v>
      </c>
      <c r="F18064" s="5">
        <v>246</v>
      </c>
      <c r="G18064" s="5">
        <v>122.3</v>
      </c>
      <c r="H18064" s="5">
        <v>122.1</v>
      </c>
      <c r="I18064" s="5"/>
      <c r="J18064" s="5"/>
      <c r="K18064" s="5"/>
    </row>
    <row r="18065" spans="1:11" x14ac:dyDescent="0.25">
      <c r="A18065" s="5">
        <f>18058</f>
      </c>
      <c r="B18065" s="5" t="s">
        <v>18073</v>
      </c>
      <c r="C18065" s="5">
        <v>123.5</v>
      </c>
      <c r="D18065" s="5">
        <v>0.1</v>
      </c>
      <c r="E18065" s="5">
        <v>123.7</v>
      </c>
      <c r="F18065" s="5">
        <v>246</v>
      </c>
      <c r="G18065" s="5">
        <v>122.3</v>
      </c>
      <c r="H18065" s="5">
        <v>122.1</v>
      </c>
      <c r="I18065" s="5"/>
      <c r="J18065" s="5"/>
      <c r="K18065" s="5"/>
    </row>
    <row r="18066" spans="1:11" x14ac:dyDescent="0.25">
      <c r="A18066" s="5">
        <f>18059</f>
      </c>
      <c r="B18066" s="5" t="s">
        <v>18074</v>
      </c>
      <c r="C18066" s="5">
        <v>123.7</v>
      </c>
      <c r="D18066" s="5">
        <v>0.1</v>
      </c>
      <c r="E18066" s="5">
        <v>123.9</v>
      </c>
      <c r="F18066" s="5">
        <v>245.8</v>
      </c>
      <c r="G18066" s="5">
        <v>122</v>
      </c>
      <c r="H18066" s="5">
        <v>121.9</v>
      </c>
      <c r="I18066" s="5"/>
      <c r="J18066" s="5"/>
      <c r="K18066" s="5"/>
    </row>
    <row r="18067" spans="1:11" x14ac:dyDescent="0.25">
      <c r="A18067" s="5">
        <f>18060</f>
      </c>
      <c r="B18067" s="5" t="s">
        <v>18075</v>
      </c>
      <c r="C18067" s="5">
        <v>123.7</v>
      </c>
      <c r="D18067" s="5">
        <v>0.1</v>
      </c>
      <c r="E18067" s="5">
        <v>123.9</v>
      </c>
      <c r="F18067" s="5">
        <v>245.8</v>
      </c>
      <c r="G18067" s="5">
        <v>122</v>
      </c>
      <c r="H18067" s="5">
        <v>121.9</v>
      </c>
      <c r="I18067" s="5"/>
      <c r="J18067" s="5"/>
      <c r="K18067" s="5"/>
    </row>
    <row r="18068" spans="1:11" x14ac:dyDescent="0.25">
      <c r="A18068" s="5">
        <f>18061</f>
      </c>
      <c r="B18068" s="5" t="s">
        <v>18076</v>
      </c>
      <c r="C18068" s="5">
        <v>123.7</v>
      </c>
      <c r="D18068" s="5">
        <v>0.1</v>
      </c>
      <c r="E18068" s="5">
        <v>123.9</v>
      </c>
      <c r="F18068" s="5">
        <v>245.8</v>
      </c>
      <c r="G18068" s="5">
        <v>122</v>
      </c>
      <c r="H18068" s="5">
        <v>121.9</v>
      </c>
      <c r="I18068" s="5"/>
      <c r="J18068" s="5"/>
      <c r="K18068" s="5"/>
    </row>
    <row r="18069" spans="1:11" x14ac:dyDescent="0.25">
      <c r="A18069" s="5">
        <f>18062</f>
      </c>
      <c r="B18069" s="5" t="s">
        <v>18077</v>
      </c>
      <c r="C18069" s="5">
        <v>123.7</v>
      </c>
      <c r="D18069" s="5">
        <v>0.1</v>
      </c>
      <c r="E18069" s="5">
        <v>123.9</v>
      </c>
      <c r="F18069" s="5">
        <v>245.8</v>
      </c>
      <c r="G18069" s="5">
        <v>122</v>
      </c>
      <c r="H18069" s="5">
        <v>121.9</v>
      </c>
      <c r="I18069" s="5"/>
      <c r="J18069" s="5"/>
      <c r="K18069" s="5"/>
    </row>
    <row r="18070" spans="1:11" x14ac:dyDescent="0.25">
      <c r="A18070" s="5">
        <f>18063</f>
      </c>
      <c r="B18070" s="5" t="s">
        <v>18078</v>
      </c>
      <c r="C18070" s="5">
        <v>123.7</v>
      </c>
      <c r="D18070" s="5">
        <v>0.1</v>
      </c>
      <c r="E18070" s="5">
        <v>123.9</v>
      </c>
      <c r="F18070" s="5">
        <v>246</v>
      </c>
      <c r="G18070" s="5">
        <v>122.2</v>
      </c>
      <c r="H18070" s="5">
        <v>122.1</v>
      </c>
      <c r="I18070" s="5"/>
      <c r="J18070" s="5"/>
      <c r="K18070" s="5"/>
    </row>
    <row r="18071" spans="1:11" x14ac:dyDescent="0.25">
      <c r="A18071" s="5">
        <f>18064</f>
      </c>
      <c r="B18071" s="5" t="s">
        <v>18079</v>
      </c>
      <c r="C18071" s="5">
        <v>123.7</v>
      </c>
      <c r="D18071" s="5">
        <v>0.1</v>
      </c>
      <c r="E18071" s="5">
        <v>123.9</v>
      </c>
      <c r="F18071" s="5">
        <v>246</v>
      </c>
      <c r="G18071" s="5">
        <v>122.2</v>
      </c>
      <c r="H18071" s="5">
        <v>122.1</v>
      </c>
      <c r="I18071" s="5"/>
      <c r="J18071" s="5"/>
      <c r="K18071" s="5"/>
    </row>
    <row r="18072" spans="1:11" x14ac:dyDescent="0.25">
      <c r="A18072" s="5">
        <f>18065</f>
      </c>
      <c r="B18072" s="5" t="s">
        <v>18080</v>
      </c>
      <c r="C18072" s="5">
        <v>124.1</v>
      </c>
      <c r="D18072" s="5">
        <v>0.1</v>
      </c>
      <c r="E18072" s="5">
        <v>124.2</v>
      </c>
      <c r="F18072" s="5">
        <v>246.5</v>
      </c>
      <c r="G18072" s="5">
        <v>122.5</v>
      </c>
      <c r="H18072" s="5">
        <v>122.3</v>
      </c>
      <c r="I18072" s="5"/>
      <c r="J18072" s="5"/>
      <c r="K18072" s="5"/>
    </row>
    <row r="18073" spans="1:11" x14ac:dyDescent="0.25">
      <c r="A18073" s="5">
        <f>18066</f>
      </c>
      <c r="B18073" s="5" t="s">
        <v>18081</v>
      </c>
      <c r="C18073" s="5">
        <v>124.1</v>
      </c>
      <c r="D18073" s="5">
        <v>0.1</v>
      </c>
      <c r="E18073" s="5">
        <v>124.2</v>
      </c>
      <c r="F18073" s="5">
        <v>246.5</v>
      </c>
      <c r="G18073" s="5">
        <v>122.5</v>
      </c>
      <c r="H18073" s="5">
        <v>122.3</v>
      </c>
      <c r="I18073" s="5"/>
      <c r="J18073" s="5"/>
      <c r="K18073" s="5"/>
    </row>
    <row r="18074" spans="1:11" x14ac:dyDescent="0.25">
      <c r="A18074" s="5">
        <f>18067</f>
      </c>
      <c r="B18074" s="5" t="s">
        <v>18082</v>
      </c>
      <c r="C18074" s="5">
        <v>124.1</v>
      </c>
      <c r="D18074" s="5">
        <v>0.1</v>
      </c>
      <c r="E18074" s="5">
        <v>124.3</v>
      </c>
      <c r="F18074" s="5">
        <v>246.9</v>
      </c>
      <c r="G18074" s="5">
        <v>122.7</v>
      </c>
      <c r="H18074" s="5">
        <v>122.5</v>
      </c>
      <c r="I18074" s="5"/>
      <c r="J18074" s="5"/>
      <c r="K18074" s="5"/>
    </row>
    <row r="18075" spans="1:11" x14ac:dyDescent="0.25">
      <c r="A18075" s="5">
        <f>18068</f>
      </c>
      <c r="B18075" s="5" t="s">
        <v>18083</v>
      </c>
      <c r="C18075" s="5">
        <v>124.1</v>
      </c>
      <c r="D18075" s="5">
        <v>0.1</v>
      </c>
      <c r="E18075" s="5">
        <v>124.3</v>
      </c>
      <c r="F18075" s="5">
        <v>246.9</v>
      </c>
      <c r="G18075" s="5">
        <v>122.7</v>
      </c>
      <c r="H18075" s="5">
        <v>122.5</v>
      </c>
      <c r="I18075" s="5"/>
      <c r="J18075" s="5"/>
      <c r="K18075" s="5"/>
    </row>
    <row r="18076" spans="1:11" x14ac:dyDescent="0.25">
      <c r="A18076" s="5">
        <f>18069</f>
      </c>
      <c r="B18076" s="5" t="s">
        <v>18084</v>
      </c>
      <c r="C18076" s="5">
        <v>124.4</v>
      </c>
      <c r="D18076" s="5">
        <v>0.1</v>
      </c>
      <c r="E18076" s="5">
        <v>124.5</v>
      </c>
      <c r="F18076" s="5">
        <v>246.4</v>
      </c>
      <c r="G18076" s="5">
        <v>122.4</v>
      </c>
      <c r="H18076" s="5">
        <v>122.3</v>
      </c>
      <c r="I18076" s="5"/>
      <c r="J18076" s="5"/>
      <c r="K18076" s="5"/>
    </row>
    <row r="18077" spans="1:11" x14ac:dyDescent="0.25">
      <c r="A18077" s="5">
        <f>18070</f>
      </c>
      <c r="B18077" s="5" t="s">
        <v>18085</v>
      </c>
      <c r="C18077" s="5">
        <v>124.4</v>
      </c>
      <c r="D18077" s="5">
        <v>0.1</v>
      </c>
      <c r="E18077" s="5">
        <v>124.5</v>
      </c>
      <c r="F18077" s="5">
        <v>246.4</v>
      </c>
      <c r="G18077" s="5">
        <v>122.4</v>
      </c>
      <c r="H18077" s="5">
        <v>122.3</v>
      </c>
      <c r="I18077" s="5"/>
      <c r="J18077" s="5"/>
      <c r="K18077" s="5"/>
    </row>
    <row r="18078" spans="1:11" x14ac:dyDescent="0.25">
      <c r="A18078" s="5">
        <f>18071</f>
      </c>
      <c r="B18078" s="5" t="s">
        <v>18086</v>
      </c>
      <c r="C18078" s="5">
        <v>124.4</v>
      </c>
      <c r="D18078" s="5">
        <v>0.1</v>
      </c>
      <c r="E18078" s="5">
        <v>124.5</v>
      </c>
      <c r="F18078" s="5">
        <v>246.4</v>
      </c>
      <c r="G18078" s="5">
        <v>122.4</v>
      </c>
      <c r="H18078" s="5">
        <v>122.3</v>
      </c>
      <c r="I18078" s="5"/>
      <c r="J18078" s="5"/>
      <c r="K18078" s="5"/>
    </row>
    <row r="18079" spans="1:11" x14ac:dyDescent="0.25">
      <c r="A18079" s="5">
        <f>18072</f>
      </c>
      <c r="B18079" s="5" t="s">
        <v>18087</v>
      </c>
      <c r="C18079" s="5">
        <v>124.4</v>
      </c>
      <c r="D18079" s="5">
        <v>0.1</v>
      </c>
      <c r="E18079" s="5">
        <v>124.5</v>
      </c>
      <c r="F18079" s="5">
        <v>246.4</v>
      </c>
      <c r="G18079" s="5">
        <v>122.4</v>
      </c>
      <c r="H18079" s="5">
        <v>122.3</v>
      </c>
      <c r="I18079" s="5"/>
      <c r="J18079" s="5"/>
      <c r="K18079" s="5"/>
    </row>
    <row r="18080" spans="1:11" x14ac:dyDescent="0.25">
      <c r="A18080" s="5">
        <f>18073</f>
      </c>
      <c r="B18080" s="5" t="s">
        <v>18088</v>
      </c>
      <c r="C18080" s="5">
        <v>123.9</v>
      </c>
      <c r="D18080" s="5">
        <v>0.1</v>
      </c>
      <c r="E18080" s="5">
        <v>124.1</v>
      </c>
      <c r="F18080" s="5">
        <v>246</v>
      </c>
      <c r="G18080" s="5">
        <v>122.2</v>
      </c>
      <c r="H18080" s="5">
        <v>122.1</v>
      </c>
      <c r="I18080" s="5"/>
      <c r="J18080" s="5"/>
      <c r="K18080" s="5"/>
    </row>
    <row r="18081" spans="1:11" x14ac:dyDescent="0.25">
      <c r="A18081" s="5">
        <f>18074</f>
      </c>
      <c r="B18081" s="5" t="s">
        <v>18089</v>
      </c>
      <c r="C18081" s="5">
        <v>123.9</v>
      </c>
      <c r="D18081" s="5">
        <v>0.1</v>
      </c>
      <c r="E18081" s="5">
        <v>124.1</v>
      </c>
      <c r="F18081" s="5">
        <v>246</v>
      </c>
      <c r="G18081" s="5">
        <v>122.2</v>
      </c>
      <c r="H18081" s="5">
        <v>122.1</v>
      </c>
      <c r="I18081" s="5"/>
      <c r="J18081" s="5"/>
      <c r="K18081" s="5"/>
    </row>
    <row r="18082" spans="1:11" x14ac:dyDescent="0.25">
      <c r="A18082" s="5">
        <f>18075</f>
      </c>
      <c r="B18082" s="5" t="s">
        <v>18090</v>
      </c>
      <c r="C18082" s="5">
        <v>123.5</v>
      </c>
      <c r="D18082" s="5">
        <v>0.1</v>
      </c>
      <c r="E18082" s="5">
        <v>123.7</v>
      </c>
      <c r="F18082" s="5">
        <v>245.7</v>
      </c>
      <c r="G18082" s="5">
        <v>122.1</v>
      </c>
      <c r="H18082" s="5">
        <v>121.9</v>
      </c>
      <c r="I18082" s="5"/>
      <c r="J18082" s="5"/>
      <c r="K18082" s="5"/>
    </row>
    <row r="18083" spans="1:11" x14ac:dyDescent="0.25">
      <c r="A18083" s="5">
        <f>18076</f>
      </c>
      <c r="B18083" s="5" t="s">
        <v>18091</v>
      </c>
      <c r="C18083" s="5">
        <v>123.5</v>
      </c>
      <c r="D18083" s="5">
        <v>0.1</v>
      </c>
      <c r="E18083" s="5">
        <v>123.7</v>
      </c>
      <c r="F18083" s="5">
        <v>245.7</v>
      </c>
      <c r="G18083" s="5">
        <v>122.1</v>
      </c>
      <c r="H18083" s="5">
        <v>121.9</v>
      </c>
      <c r="I18083" s="5"/>
      <c r="J18083" s="5"/>
      <c r="K18083" s="5"/>
    </row>
    <row r="18084" spans="1:11" x14ac:dyDescent="0.25">
      <c r="A18084" s="5">
        <f>18077</f>
      </c>
      <c r="B18084" s="5" t="s">
        <v>18092</v>
      </c>
      <c r="C18084" s="5">
        <v>123.4</v>
      </c>
      <c r="D18084" s="5">
        <v>0.1</v>
      </c>
      <c r="E18084" s="5">
        <v>123.6</v>
      </c>
      <c r="F18084" s="5">
        <v>245.6</v>
      </c>
      <c r="G18084" s="5">
        <v>122.1</v>
      </c>
      <c r="H18084" s="5">
        <v>122</v>
      </c>
      <c r="I18084" s="5"/>
      <c r="J18084" s="5"/>
      <c r="K18084" s="5"/>
    </row>
    <row r="18085" spans="1:11" x14ac:dyDescent="0.25">
      <c r="A18085" s="5">
        <f>18078</f>
      </c>
      <c r="B18085" s="5" t="s">
        <v>18093</v>
      </c>
      <c r="C18085" s="5">
        <v>123.4</v>
      </c>
      <c r="D18085" s="5">
        <v>0.1</v>
      </c>
      <c r="E18085" s="5">
        <v>123.6</v>
      </c>
      <c r="F18085" s="5">
        <v>245.6</v>
      </c>
      <c r="G18085" s="5">
        <v>122.1</v>
      </c>
      <c r="H18085" s="5">
        <v>122</v>
      </c>
      <c r="I18085" s="5"/>
      <c r="J18085" s="5"/>
      <c r="K18085" s="5"/>
    </row>
    <row r="18086" spans="1:11" x14ac:dyDescent="0.25">
      <c r="A18086" s="5">
        <f>18079</f>
      </c>
      <c r="B18086" s="5" t="s">
        <v>18094</v>
      </c>
      <c r="C18086" s="5">
        <v>123.7</v>
      </c>
      <c r="D18086" s="5">
        <v>0.1</v>
      </c>
      <c r="E18086" s="5">
        <v>123.8</v>
      </c>
      <c r="F18086" s="5">
        <v>246</v>
      </c>
      <c r="G18086" s="5">
        <v>122.2</v>
      </c>
      <c r="H18086" s="5">
        <v>122.1</v>
      </c>
      <c r="I18086" s="5"/>
      <c r="J18086" s="5"/>
      <c r="K18086" s="5"/>
    </row>
    <row r="18087" spans="1:11" x14ac:dyDescent="0.25">
      <c r="A18087" s="5">
        <f>18080</f>
      </c>
      <c r="B18087" s="5" t="s">
        <v>18095</v>
      </c>
      <c r="C18087" s="5">
        <v>123.7</v>
      </c>
      <c r="D18087" s="5">
        <v>0.1</v>
      </c>
      <c r="E18087" s="5">
        <v>123.8</v>
      </c>
      <c r="F18087" s="5">
        <v>246</v>
      </c>
      <c r="G18087" s="5">
        <v>122.2</v>
      </c>
      <c r="H18087" s="5">
        <v>122.1</v>
      </c>
      <c r="I18087" s="5"/>
      <c r="J18087" s="5"/>
      <c r="K18087" s="5"/>
    </row>
    <row r="18088" spans="1:11" x14ac:dyDescent="0.25">
      <c r="A18088" s="5">
        <f>18081</f>
      </c>
      <c r="B18088" s="5" t="s">
        <v>18096</v>
      </c>
      <c r="C18088" s="5">
        <v>123.7</v>
      </c>
      <c r="D18088" s="5">
        <v>0.1</v>
      </c>
      <c r="E18088" s="5">
        <v>123.8</v>
      </c>
      <c r="F18088" s="5">
        <v>246</v>
      </c>
      <c r="G18088" s="5">
        <v>122.2</v>
      </c>
      <c r="H18088" s="5">
        <v>122.1</v>
      </c>
      <c r="I18088" s="5"/>
      <c r="J18088" s="5"/>
      <c r="K18088" s="5"/>
    </row>
    <row r="18089" spans="1:11" x14ac:dyDescent="0.25">
      <c r="A18089" s="5">
        <f>18082</f>
      </c>
      <c r="B18089" s="5" t="s">
        <v>18097</v>
      </c>
      <c r="C18089" s="5">
        <v>123.7</v>
      </c>
      <c r="D18089" s="5">
        <v>0.1</v>
      </c>
      <c r="E18089" s="5">
        <v>123.8</v>
      </c>
      <c r="F18089" s="5">
        <v>246</v>
      </c>
      <c r="G18089" s="5">
        <v>122.2</v>
      </c>
      <c r="H18089" s="5">
        <v>122.1</v>
      </c>
      <c r="I18089" s="5"/>
      <c r="J18089" s="5"/>
      <c r="K18089" s="5"/>
    </row>
    <row r="18090" spans="1:11" x14ac:dyDescent="0.25">
      <c r="A18090" s="5">
        <f>18083</f>
      </c>
      <c r="B18090" s="5" t="s">
        <v>18098</v>
      </c>
      <c r="C18090" s="5">
        <v>124</v>
      </c>
      <c r="D18090" s="5">
        <v>0.1</v>
      </c>
      <c r="E18090" s="5">
        <v>124.1</v>
      </c>
      <c r="F18090" s="5">
        <v>246.7</v>
      </c>
      <c r="G18090" s="5">
        <v>122.6</v>
      </c>
      <c r="H18090" s="5">
        <v>122.4</v>
      </c>
      <c r="I18090" s="5"/>
      <c r="J18090" s="5"/>
      <c r="K18090" s="5"/>
    </row>
    <row r="18091" spans="1:11" x14ac:dyDescent="0.25">
      <c r="A18091" s="5">
        <f>18084</f>
      </c>
      <c r="B18091" s="5" t="s">
        <v>18099</v>
      </c>
      <c r="C18091" s="5">
        <v>124</v>
      </c>
      <c r="D18091" s="5">
        <v>0.1</v>
      </c>
      <c r="E18091" s="5">
        <v>124.1</v>
      </c>
      <c r="F18091" s="5">
        <v>246.7</v>
      </c>
      <c r="G18091" s="5">
        <v>122.6</v>
      </c>
      <c r="H18091" s="5">
        <v>122.4</v>
      </c>
      <c r="I18091" s="5"/>
      <c r="J18091" s="5"/>
      <c r="K18091" s="5"/>
    </row>
    <row r="18092" spans="1:11" x14ac:dyDescent="0.25">
      <c r="A18092" s="5">
        <f>18085</f>
      </c>
      <c r="B18092" s="5" t="s">
        <v>18100</v>
      </c>
      <c r="C18092" s="5">
        <v>123.6</v>
      </c>
      <c r="D18092" s="5">
        <v>0.1</v>
      </c>
      <c r="E18092" s="5">
        <v>123.7</v>
      </c>
      <c r="F18092" s="5">
        <v>246.6</v>
      </c>
      <c r="G18092" s="5">
        <v>122.5</v>
      </c>
      <c r="H18092" s="5">
        <v>122.3</v>
      </c>
      <c r="I18092" s="5"/>
      <c r="J18092" s="5"/>
      <c r="K18092" s="5"/>
    </row>
    <row r="18093" spans="1:11" x14ac:dyDescent="0.25">
      <c r="A18093" s="5">
        <f>18086</f>
      </c>
      <c r="B18093" s="5" t="s">
        <v>18101</v>
      </c>
      <c r="C18093" s="5">
        <v>123.6</v>
      </c>
      <c r="D18093" s="5">
        <v>0.1</v>
      </c>
      <c r="E18093" s="5">
        <v>123.7</v>
      </c>
      <c r="F18093" s="5">
        <v>246.6</v>
      </c>
      <c r="G18093" s="5">
        <v>122.5</v>
      </c>
      <c r="H18093" s="5">
        <v>122.3</v>
      </c>
      <c r="I18093" s="5"/>
      <c r="J18093" s="5"/>
      <c r="K18093" s="5"/>
    </row>
    <row r="18094" spans="1:11" x14ac:dyDescent="0.25">
      <c r="A18094" s="5">
        <f>18087</f>
      </c>
      <c r="B18094" s="5" t="s">
        <v>18102</v>
      </c>
      <c r="C18094" s="5">
        <v>123.9</v>
      </c>
      <c r="D18094" s="5">
        <v>0.1</v>
      </c>
      <c r="E18094" s="5">
        <v>124.1</v>
      </c>
      <c r="F18094" s="5">
        <v>246.7</v>
      </c>
      <c r="G18094" s="5">
        <v>122.6</v>
      </c>
      <c r="H18094" s="5">
        <v>122.4</v>
      </c>
      <c r="I18094" s="5"/>
      <c r="J18094" s="5"/>
      <c r="K18094" s="5"/>
    </row>
    <row r="18095" spans="1:11" x14ac:dyDescent="0.25">
      <c r="A18095" s="5">
        <f>18088</f>
      </c>
      <c r="B18095" s="5" t="s">
        <v>18103</v>
      </c>
      <c r="C18095" s="5">
        <v>123.9</v>
      </c>
      <c r="D18095" s="5">
        <v>0.1</v>
      </c>
      <c r="E18095" s="5">
        <v>124.1</v>
      </c>
      <c r="F18095" s="5">
        <v>246.7</v>
      </c>
      <c r="G18095" s="5">
        <v>122.6</v>
      </c>
      <c r="H18095" s="5">
        <v>122.4</v>
      </c>
      <c r="I18095" s="5"/>
      <c r="J18095" s="5"/>
      <c r="K18095" s="5"/>
    </row>
    <row r="18096" spans="1:11" x14ac:dyDescent="0.25">
      <c r="A18096" s="5">
        <f>18089</f>
      </c>
      <c r="B18096" s="5" t="s">
        <v>18104</v>
      </c>
      <c r="C18096" s="5">
        <v>123.5</v>
      </c>
      <c r="D18096" s="5">
        <v>0.1</v>
      </c>
      <c r="E18096" s="5">
        <v>123.7</v>
      </c>
      <c r="F18096" s="5">
        <v>246.1</v>
      </c>
      <c r="G18096" s="5">
        <v>122.3</v>
      </c>
      <c r="H18096" s="5">
        <v>122.1</v>
      </c>
      <c r="I18096" s="5"/>
      <c r="J18096" s="5"/>
      <c r="K18096" s="5"/>
    </row>
    <row r="18097" spans="1:11" x14ac:dyDescent="0.25">
      <c r="A18097" s="5">
        <f>18090</f>
      </c>
      <c r="B18097" s="5" t="s">
        <v>18105</v>
      </c>
      <c r="C18097" s="5">
        <v>123.5</v>
      </c>
      <c r="D18097" s="5">
        <v>0.1</v>
      </c>
      <c r="E18097" s="5">
        <v>123.7</v>
      </c>
      <c r="F18097" s="5">
        <v>246.1</v>
      </c>
      <c r="G18097" s="5">
        <v>122.3</v>
      </c>
      <c r="H18097" s="5">
        <v>122.1</v>
      </c>
      <c r="I18097" s="5"/>
      <c r="J18097" s="5"/>
      <c r="K18097" s="5"/>
    </row>
    <row r="18098" spans="1:11" x14ac:dyDescent="0.25">
      <c r="A18098" s="5">
        <f>18091</f>
      </c>
      <c r="B18098" s="5" t="s">
        <v>18106</v>
      </c>
      <c r="C18098" s="5">
        <v>123.5</v>
      </c>
      <c r="D18098" s="5">
        <v>0.1</v>
      </c>
      <c r="E18098" s="5">
        <v>123.7</v>
      </c>
      <c r="F18098" s="5">
        <v>246.1</v>
      </c>
      <c r="G18098" s="5">
        <v>122.3</v>
      </c>
      <c r="H18098" s="5">
        <v>122.1</v>
      </c>
      <c r="I18098" s="5"/>
      <c r="J18098" s="5"/>
      <c r="K18098" s="5"/>
    </row>
    <row r="18099" spans="1:11" x14ac:dyDescent="0.25">
      <c r="A18099" s="5">
        <f>18092</f>
      </c>
      <c r="B18099" s="5" t="s">
        <v>18107</v>
      </c>
      <c r="C18099" s="5">
        <v>123.5</v>
      </c>
      <c r="D18099" s="5">
        <v>0.1</v>
      </c>
      <c r="E18099" s="5">
        <v>123.7</v>
      </c>
      <c r="F18099" s="5">
        <v>246.1</v>
      </c>
      <c r="G18099" s="5">
        <v>122.3</v>
      </c>
      <c r="H18099" s="5">
        <v>122.1</v>
      </c>
      <c r="I18099" s="5"/>
      <c r="J18099" s="5"/>
      <c r="K18099" s="5"/>
    </row>
    <row r="18100" spans="1:11" x14ac:dyDescent="0.25">
      <c r="A18100" s="5">
        <f>18093</f>
      </c>
      <c r="B18100" s="5" t="s">
        <v>18108</v>
      </c>
      <c r="C18100" s="5">
        <v>124.4</v>
      </c>
      <c r="D18100" s="5">
        <v>0.1</v>
      </c>
      <c r="E18100" s="5">
        <v>124.5</v>
      </c>
      <c r="F18100" s="5">
        <v>246.7</v>
      </c>
      <c r="G18100" s="5">
        <v>122.6</v>
      </c>
      <c r="H18100" s="5">
        <v>122.4</v>
      </c>
      <c r="I18100" s="5"/>
      <c r="J18100" s="5"/>
      <c r="K18100" s="5"/>
    </row>
    <row r="18101" spans="1:11" x14ac:dyDescent="0.25">
      <c r="A18101" s="5">
        <f>18094</f>
      </c>
      <c r="B18101" s="5" t="s">
        <v>18109</v>
      </c>
      <c r="C18101" s="5">
        <v>124.4</v>
      </c>
      <c r="D18101" s="5">
        <v>0.1</v>
      </c>
      <c r="E18101" s="5">
        <v>124.5</v>
      </c>
      <c r="F18101" s="5">
        <v>246.7</v>
      </c>
      <c r="G18101" s="5">
        <v>122.6</v>
      </c>
      <c r="H18101" s="5">
        <v>122.4</v>
      </c>
      <c r="I18101" s="5"/>
      <c r="J18101" s="5"/>
      <c r="K18101" s="5"/>
    </row>
    <row r="18102" spans="1:11" x14ac:dyDescent="0.25">
      <c r="A18102" s="5">
        <f>18095</f>
      </c>
      <c r="B18102" s="5" t="s">
        <v>18110</v>
      </c>
      <c r="C18102" s="5">
        <v>124.3</v>
      </c>
      <c r="D18102" s="5">
        <v>0.1</v>
      </c>
      <c r="E18102" s="5">
        <v>124.5</v>
      </c>
      <c r="F18102" s="5">
        <v>247</v>
      </c>
      <c r="G18102" s="5">
        <v>122.7</v>
      </c>
      <c r="H18102" s="5">
        <v>122.5</v>
      </c>
      <c r="I18102" s="5"/>
      <c r="J18102" s="5"/>
      <c r="K18102" s="5"/>
    </row>
    <row r="18103" spans="1:11" x14ac:dyDescent="0.25">
      <c r="A18103" s="5">
        <f>18096</f>
      </c>
      <c r="B18103" s="5" t="s">
        <v>18111</v>
      </c>
      <c r="C18103" s="5">
        <v>124.3</v>
      </c>
      <c r="D18103" s="5">
        <v>0.1</v>
      </c>
      <c r="E18103" s="5">
        <v>124.5</v>
      </c>
      <c r="F18103" s="5">
        <v>247</v>
      </c>
      <c r="G18103" s="5">
        <v>122.7</v>
      </c>
      <c r="H18103" s="5">
        <v>122.5</v>
      </c>
      <c r="I18103" s="5"/>
      <c r="J18103" s="5"/>
      <c r="K18103" s="5"/>
    </row>
    <row r="18104" spans="1:11" x14ac:dyDescent="0.25">
      <c r="A18104" s="5">
        <f>18097</f>
      </c>
      <c r="B18104" s="5" t="s">
        <v>18112</v>
      </c>
      <c r="C18104" s="5">
        <v>124.4</v>
      </c>
      <c r="D18104" s="5">
        <v>0.1</v>
      </c>
      <c r="E18104" s="5">
        <v>124.5</v>
      </c>
      <c r="F18104" s="5">
        <v>247.5</v>
      </c>
      <c r="G18104" s="5">
        <v>123</v>
      </c>
      <c r="H18104" s="5">
        <v>122.8</v>
      </c>
      <c r="I18104" s="5"/>
      <c r="J18104" s="5"/>
      <c r="K18104" s="5"/>
    </row>
    <row r="18105" spans="1:11" x14ac:dyDescent="0.25">
      <c r="A18105" s="5">
        <f>18098</f>
      </c>
      <c r="B18105" s="5" t="s">
        <v>18113</v>
      </c>
      <c r="C18105" s="5">
        <v>124.4</v>
      </c>
      <c r="D18105" s="5">
        <v>0.1</v>
      </c>
      <c r="E18105" s="5">
        <v>124.5</v>
      </c>
      <c r="F18105" s="5">
        <v>247.5</v>
      </c>
      <c r="G18105" s="5">
        <v>123</v>
      </c>
      <c r="H18105" s="5">
        <v>122.8</v>
      </c>
      <c r="I18105" s="5"/>
      <c r="J18105" s="5"/>
      <c r="K18105" s="5"/>
    </row>
    <row r="18106" spans="1:11" x14ac:dyDescent="0.25">
      <c r="A18106" s="5">
        <f>18099</f>
      </c>
      <c r="B18106" s="5" t="s">
        <v>18114</v>
      </c>
      <c r="C18106" s="5">
        <v>124.7</v>
      </c>
      <c r="D18106" s="5">
        <v>0.1</v>
      </c>
      <c r="E18106" s="5">
        <v>124.9</v>
      </c>
      <c r="F18106" s="5">
        <v>247.7</v>
      </c>
      <c r="G18106" s="5">
        <v>123.1</v>
      </c>
      <c r="H18106" s="5">
        <v>122.9</v>
      </c>
      <c r="I18106" s="5"/>
      <c r="J18106" s="5"/>
      <c r="K18106" s="5"/>
    </row>
    <row r="18107" spans="1:11" x14ac:dyDescent="0.25">
      <c r="A18107" s="5">
        <f>18100</f>
      </c>
      <c r="B18107" s="5" t="s">
        <v>18115</v>
      </c>
      <c r="C18107" s="5">
        <v>124.7</v>
      </c>
      <c r="D18107" s="5">
        <v>0.1</v>
      </c>
      <c r="E18107" s="5">
        <v>124.9</v>
      </c>
      <c r="F18107" s="5">
        <v>247.7</v>
      </c>
      <c r="G18107" s="5">
        <v>123.1</v>
      </c>
      <c r="H18107" s="5">
        <v>122.9</v>
      </c>
      <c r="I18107" s="5"/>
      <c r="J18107" s="5"/>
      <c r="K18107" s="5"/>
    </row>
    <row r="18108" spans="1:11" x14ac:dyDescent="0.25">
      <c r="A18108" s="5">
        <f>18101</f>
      </c>
      <c r="B18108" s="5" t="s">
        <v>18116</v>
      </c>
      <c r="C18108" s="5">
        <v>124.7</v>
      </c>
      <c r="D18108" s="5">
        <v>0.1</v>
      </c>
      <c r="E18108" s="5">
        <v>124.9</v>
      </c>
      <c r="F18108" s="5">
        <v>247.7</v>
      </c>
      <c r="G18108" s="5">
        <v>123.1</v>
      </c>
      <c r="H18108" s="5">
        <v>122.9</v>
      </c>
      <c r="I18108" s="5"/>
      <c r="J18108" s="5"/>
      <c r="K18108" s="5"/>
    </row>
    <row r="18109" spans="1:11" x14ac:dyDescent="0.25">
      <c r="A18109" s="5">
        <f>18102</f>
      </c>
      <c r="B18109" s="5" t="s">
        <v>18117</v>
      </c>
      <c r="C18109" s="5">
        <v>124.7</v>
      </c>
      <c r="D18109" s="5">
        <v>0.1</v>
      </c>
      <c r="E18109" s="5">
        <v>124.9</v>
      </c>
      <c r="F18109" s="5">
        <v>247.7</v>
      </c>
      <c r="G18109" s="5">
        <v>123.1</v>
      </c>
      <c r="H18109" s="5">
        <v>122.9</v>
      </c>
      <c r="I18109" s="5"/>
      <c r="J18109" s="5"/>
      <c r="K18109" s="5"/>
    </row>
    <row r="18110" spans="1:11" x14ac:dyDescent="0.25">
      <c r="A18110" s="5">
        <f>18103</f>
      </c>
      <c r="B18110" s="5" t="s">
        <v>18118</v>
      </c>
      <c r="C18110" s="5">
        <v>124.1</v>
      </c>
      <c r="D18110" s="5">
        <v>0.1</v>
      </c>
      <c r="E18110" s="5">
        <v>124.3</v>
      </c>
      <c r="F18110" s="5">
        <v>247.1</v>
      </c>
      <c r="G18110" s="5">
        <v>122.8</v>
      </c>
      <c r="H18110" s="5">
        <v>122.6</v>
      </c>
      <c r="I18110" s="5"/>
      <c r="J18110" s="5"/>
      <c r="K18110" s="5"/>
    </row>
    <row r="18111" spans="1:11" x14ac:dyDescent="0.25">
      <c r="A18111" s="5">
        <f>18104</f>
      </c>
      <c r="B18111" s="5" t="s">
        <v>18119</v>
      </c>
      <c r="C18111" s="5">
        <v>124.1</v>
      </c>
      <c r="D18111" s="5">
        <v>0.1</v>
      </c>
      <c r="E18111" s="5">
        <v>124.3</v>
      </c>
      <c r="F18111" s="5">
        <v>247.1</v>
      </c>
      <c r="G18111" s="5">
        <v>122.8</v>
      </c>
      <c r="H18111" s="5">
        <v>122.6</v>
      </c>
      <c r="I18111" s="5"/>
      <c r="J18111" s="5"/>
      <c r="K18111" s="5"/>
    </row>
    <row r="18112" spans="1:11" x14ac:dyDescent="0.25">
      <c r="A18112" s="5">
        <f>18105</f>
      </c>
      <c r="B18112" s="5" t="s">
        <v>18120</v>
      </c>
      <c r="C18112" s="5">
        <v>124.3</v>
      </c>
      <c r="D18112" s="5">
        <v>0.1</v>
      </c>
      <c r="E18112" s="5">
        <v>124.4</v>
      </c>
      <c r="F18112" s="5">
        <v>247.1</v>
      </c>
      <c r="G18112" s="5">
        <v>122.8</v>
      </c>
      <c r="H18112" s="5">
        <v>122.6</v>
      </c>
      <c r="I18112" s="5"/>
      <c r="J18112" s="5"/>
      <c r="K18112" s="5"/>
    </row>
    <row r="18113" spans="1:11" x14ac:dyDescent="0.25">
      <c r="A18113" s="5">
        <f>18106</f>
      </c>
      <c r="B18113" s="5" t="s">
        <v>18121</v>
      </c>
      <c r="C18113" s="5">
        <v>124.3</v>
      </c>
      <c r="D18113" s="5">
        <v>0.1</v>
      </c>
      <c r="E18113" s="5">
        <v>124.4</v>
      </c>
      <c r="F18113" s="5">
        <v>247.1</v>
      </c>
      <c r="G18113" s="5">
        <v>122.8</v>
      </c>
      <c r="H18113" s="5">
        <v>122.6</v>
      </c>
      <c r="I18113" s="5"/>
      <c r="J18113" s="5"/>
      <c r="K18113" s="5"/>
    </row>
    <row r="18114" spans="1:11" x14ac:dyDescent="0.25">
      <c r="A18114" s="5">
        <f>18107</f>
      </c>
      <c r="B18114" s="5" t="s">
        <v>18122</v>
      </c>
      <c r="C18114" s="5">
        <v>124.4</v>
      </c>
      <c r="D18114" s="5">
        <v>0.1</v>
      </c>
      <c r="E18114" s="5">
        <v>124.5</v>
      </c>
      <c r="F18114" s="5">
        <v>247.2</v>
      </c>
      <c r="G18114" s="5">
        <v>122.8</v>
      </c>
      <c r="H18114" s="5">
        <v>122.6</v>
      </c>
      <c r="I18114" s="5"/>
      <c r="J18114" s="5"/>
      <c r="K18114" s="5"/>
    </row>
    <row r="18115" spans="1:11" x14ac:dyDescent="0.25">
      <c r="A18115" s="5">
        <f>18108</f>
      </c>
      <c r="B18115" s="5" t="s">
        <v>18123</v>
      </c>
      <c r="C18115" s="5">
        <v>124.4</v>
      </c>
      <c r="D18115" s="5">
        <v>0.1</v>
      </c>
      <c r="E18115" s="5">
        <v>124.5</v>
      </c>
      <c r="F18115" s="5">
        <v>247.2</v>
      </c>
      <c r="G18115" s="5">
        <v>122.8</v>
      </c>
      <c r="H18115" s="5">
        <v>122.6</v>
      </c>
      <c r="I18115" s="5"/>
      <c r="J18115" s="5"/>
      <c r="K18115" s="5"/>
    </row>
    <row r="18116" spans="1:11" x14ac:dyDescent="0.25">
      <c r="A18116" s="5">
        <f>18109</f>
      </c>
      <c r="B18116" s="5" t="s">
        <v>18124</v>
      </c>
      <c r="C18116" s="5">
        <v>124.3</v>
      </c>
      <c r="D18116" s="5">
        <v>0.1</v>
      </c>
      <c r="E18116" s="5">
        <v>124.4</v>
      </c>
      <c r="F18116" s="5">
        <v>246.8</v>
      </c>
      <c r="G18116" s="5">
        <v>122.6</v>
      </c>
      <c r="H18116" s="5">
        <v>122.4</v>
      </c>
      <c r="I18116" s="5"/>
      <c r="J18116" s="5"/>
      <c r="K18116" s="5"/>
    </row>
    <row r="18117" spans="1:11" x14ac:dyDescent="0.25">
      <c r="A18117" s="5">
        <f>18110</f>
      </c>
      <c r="B18117" s="5" t="s">
        <v>18125</v>
      </c>
      <c r="C18117" s="5">
        <v>124.3</v>
      </c>
      <c r="D18117" s="5">
        <v>0.1</v>
      </c>
      <c r="E18117" s="5">
        <v>124.4</v>
      </c>
      <c r="F18117" s="5">
        <v>246.8</v>
      </c>
      <c r="G18117" s="5">
        <v>122.6</v>
      </c>
      <c r="H18117" s="5">
        <v>122.4</v>
      </c>
      <c r="I18117" s="5"/>
      <c r="J18117" s="5"/>
      <c r="K18117" s="5"/>
    </row>
    <row r="18118" spans="1:11" x14ac:dyDescent="0.25">
      <c r="A18118" s="5">
        <f>18111</f>
      </c>
      <c r="B18118" s="5" t="s">
        <v>18126</v>
      </c>
      <c r="C18118" s="5">
        <v>124.3</v>
      </c>
      <c r="D18118" s="5">
        <v>0.1</v>
      </c>
      <c r="E18118" s="5">
        <v>124.4</v>
      </c>
      <c r="F18118" s="5">
        <v>246.8</v>
      </c>
      <c r="G18118" s="5">
        <v>122.6</v>
      </c>
      <c r="H18118" s="5">
        <v>122.4</v>
      </c>
      <c r="I18118" s="5"/>
      <c r="J18118" s="5"/>
      <c r="K18118" s="5"/>
    </row>
    <row r="18119" spans="1:11" x14ac:dyDescent="0.25">
      <c r="A18119" s="5">
        <f>18112</f>
      </c>
      <c r="B18119" s="5" t="s">
        <v>18127</v>
      </c>
      <c r="C18119" s="5">
        <v>124.3</v>
      </c>
      <c r="D18119" s="5">
        <v>0.1</v>
      </c>
      <c r="E18119" s="5">
        <v>124.4</v>
      </c>
      <c r="F18119" s="5">
        <v>246.8</v>
      </c>
      <c r="G18119" s="5">
        <v>122.6</v>
      </c>
      <c r="H18119" s="5">
        <v>122.4</v>
      </c>
      <c r="I18119" s="5"/>
      <c r="J18119" s="5"/>
      <c r="K18119" s="5"/>
    </row>
    <row r="18120" spans="1:11" x14ac:dyDescent="0.25">
      <c r="A18120" s="5">
        <f>18113</f>
      </c>
      <c r="B18120" s="5" t="s">
        <v>18128</v>
      </c>
      <c r="C18120" s="5">
        <v>124.1</v>
      </c>
      <c r="D18120" s="5">
        <v>0.1</v>
      </c>
      <c r="E18120" s="5">
        <v>124.3</v>
      </c>
      <c r="F18120" s="5">
        <v>246.9</v>
      </c>
      <c r="G18120" s="5">
        <v>122.8</v>
      </c>
      <c r="H18120" s="5">
        <v>122.6</v>
      </c>
      <c r="I18120" s="5"/>
      <c r="J18120" s="5"/>
      <c r="K18120" s="5"/>
    </row>
    <row r="18121" spans="1:11" x14ac:dyDescent="0.25">
      <c r="A18121" s="5">
        <f>18114</f>
      </c>
      <c r="B18121" s="5" t="s">
        <v>18129</v>
      </c>
      <c r="C18121" s="5">
        <v>124.1</v>
      </c>
      <c r="D18121" s="5">
        <v>0.1</v>
      </c>
      <c r="E18121" s="5">
        <v>124.3</v>
      </c>
      <c r="F18121" s="5">
        <v>246.9</v>
      </c>
      <c r="G18121" s="5">
        <v>122.8</v>
      </c>
      <c r="H18121" s="5">
        <v>122.6</v>
      </c>
      <c r="I18121" s="5"/>
      <c r="J18121" s="5"/>
      <c r="K18121" s="5"/>
    </row>
    <row r="18122" spans="1:11" x14ac:dyDescent="0.25">
      <c r="A18122" s="5">
        <f>18115</f>
      </c>
      <c r="B18122" s="5" t="s">
        <v>18130</v>
      </c>
      <c r="C18122" s="5">
        <v>124.4</v>
      </c>
      <c r="D18122" s="5">
        <v>0.1</v>
      </c>
      <c r="E18122" s="5">
        <v>124.6</v>
      </c>
      <c r="F18122" s="5">
        <v>247.1</v>
      </c>
      <c r="G18122" s="5">
        <v>122.9</v>
      </c>
      <c r="H18122" s="5">
        <v>122.7</v>
      </c>
      <c r="I18122" s="5"/>
      <c r="J18122" s="5"/>
      <c r="K18122" s="5"/>
    </row>
    <row r="18123" spans="1:11" x14ac:dyDescent="0.25">
      <c r="A18123" s="5">
        <f>18116</f>
      </c>
      <c r="B18123" s="5" t="s">
        <v>18131</v>
      </c>
      <c r="C18123" s="5">
        <v>124.4</v>
      </c>
      <c r="D18123" s="5">
        <v>0.1</v>
      </c>
      <c r="E18123" s="5">
        <v>124.6</v>
      </c>
      <c r="F18123" s="5">
        <v>247.1</v>
      </c>
      <c r="G18123" s="5">
        <v>122.9</v>
      </c>
      <c r="H18123" s="5">
        <v>122.7</v>
      </c>
      <c r="I18123" s="5"/>
      <c r="J18123" s="5"/>
      <c r="K18123" s="5"/>
    </row>
    <row r="18124" spans="1:11" x14ac:dyDescent="0.25">
      <c r="A18124" s="5">
        <f>18117</f>
      </c>
      <c r="B18124" s="5" t="s">
        <v>18132</v>
      </c>
      <c r="C18124" s="5">
        <v>124</v>
      </c>
      <c r="D18124" s="5">
        <v>0.1</v>
      </c>
      <c r="E18124" s="5">
        <v>124.2</v>
      </c>
      <c r="F18124" s="5">
        <v>246.9</v>
      </c>
      <c r="G18124" s="5">
        <v>122.8</v>
      </c>
      <c r="H18124" s="5">
        <v>122.6</v>
      </c>
      <c r="I18124" s="5"/>
      <c r="J18124" s="5"/>
      <c r="K18124" s="5"/>
    </row>
    <row r="18125" spans="1:11" x14ac:dyDescent="0.25">
      <c r="A18125" s="5">
        <f>18118</f>
      </c>
      <c r="B18125" s="5" t="s">
        <v>18133</v>
      </c>
      <c r="C18125" s="5">
        <v>124</v>
      </c>
      <c r="D18125" s="5">
        <v>0.1</v>
      </c>
      <c r="E18125" s="5">
        <v>124.2</v>
      </c>
      <c r="F18125" s="5">
        <v>246.9</v>
      </c>
      <c r="G18125" s="5">
        <v>122.8</v>
      </c>
      <c r="H18125" s="5">
        <v>122.6</v>
      </c>
      <c r="I18125" s="5"/>
      <c r="J18125" s="5"/>
      <c r="K18125" s="5"/>
    </row>
    <row r="18126" spans="1:11" x14ac:dyDescent="0.25">
      <c r="A18126" s="5">
        <f>18119</f>
      </c>
      <c r="B18126" s="5" t="s">
        <v>18134</v>
      </c>
      <c r="C18126" s="5">
        <v>123.7</v>
      </c>
      <c r="D18126" s="5">
        <v>0.1</v>
      </c>
      <c r="E18126" s="5">
        <v>124</v>
      </c>
      <c r="F18126" s="5">
        <v>246.5</v>
      </c>
      <c r="G18126" s="5">
        <v>122.6</v>
      </c>
      <c r="H18126" s="5">
        <v>122.4</v>
      </c>
      <c r="I18126" s="5"/>
      <c r="J18126" s="5"/>
      <c r="K18126" s="5"/>
    </row>
    <row r="18127" spans="1:11" x14ac:dyDescent="0.25">
      <c r="A18127" s="5">
        <f>18120</f>
      </c>
      <c r="B18127" s="5" t="s">
        <v>18135</v>
      </c>
      <c r="C18127" s="5">
        <v>123.7</v>
      </c>
      <c r="D18127" s="5">
        <v>0.1</v>
      </c>
      <c r="E18127" s="5">
        <v>124</v>
      </c>
      <c r="F18127" s="5">
        <v>246.5</v>
      </c>
      <c r="G18127" s="5">
        <v>122.6</v>
      </c>
      <c r="H18127" s="5">
        <v>122.4</v>
      </c>
      <c r="I18127" s="5"/>
      <c r="J18127" s="5"/>
      <c r="K18127" s="5"/>
    </row>
    <row r="18128" spans="1:11" x14ac:dyDescent="0.25">
      <c r="A18128" s="5">
        <f>18121</f>
      </c>
      <c r="B18128" s="5" t="s">
        <v>18136</v>
      </c>
      <c r="C18128" s="5">
        <v>123.7</v>
      </c>
      <c r="D18128" s="5">
        <v>0.1</v>
      </c>
      <c r="E18128" s="5">
        <v>124</v>
      </c>
      <c r="F18128" s="5">
        <v>246.5</v>
      </c>
      <c r="G18128" s="5">
        <v>122.6</v>
      </c>
      <c r="H18128" s="5">
        <v>122.4</v>
      </c>
      <c r="I18128" s="5"/>
      <c r="J18128" s="5"/>
      <c r="K18128" s="5"/>
    </row>
    <row r="18129" spans="1:11" x14ac:dyDescent="0.25">
      <c r="A18129" s="5">
        <f>18122</f>
      </c>
      <c r="B18129" s="5" t="s">
        <v>18137</v>
      </c>
      <c r="C18129" s="5">
        <v>123.7</v>
      </c>
      <c r="D18129" s="5">
        <v>0.1</v>
      </c>
      <c r="E18129" s="5">
        <v>124</v>
      </c>
      <c r="F18129" s="5">
        <v>246.5</v>
      </c>
      <c r="G18129" s="5">
        <v>122.6</v>
      </c>
      <c r="H18129" s="5">
        <v>122.4</v>
      </c>
      <c r="I18129" s="5"/>
      <c r="J18129" s="5"/>
      <c r="K18129" s="5"/>
    </row>
    <row r="18130" spans="1:11" x14ac:dyDescent="0.25">
      <c r="A18130" s="5">
        <f>18123</f>
      </c>
      <c r="B18130" s="5" t="s">
        <v>18138</v>
      </c>
      <c r="C18130" s="5">
        <v>123.8</v>
      </c>
      <c r="D18130" s="5">
        <v>0.1</v>
      </c>
      <c r="E18130" s="5">
        <v>124.1</v>
      </c>
      <c r="F18130" s="5">
        <v>246.4</v>
      </c>
      <c r="G18130" s="5">
        <v>122.5</v>
      </c>
      <c r="H18130" s="5">
        <v>122.3</v>
      </c>
      <c r="I18130" s="5"/>
      <c r="J18130" s="5"/>
      <c r="K18130" s="5"/>
    </row>
    <row r="18131" spans="1:11" x14ac:dyDescent="0.25">
      <c r="A18131" s="5">
        <f>18124</f>
      </c>
      <c r="B18131" s="5" t="s">
        <v>18139</v>
      </c>
      <c r="C18131" s="5">
        <v>123.8</v>
      </c>
      <c r="D18131" s="5">
        <v>0.1</v>
      </c>
      <c r="E18131" s="5">
        <v>124.1</v>
      </c>
      <c r="F18131" s="5">
        <v>246.4</v>
      </c>
      <c r="G18131" s="5">
        <v>122.5</v>
      </c>
      <c r="H18131" s="5">
        <v>122.3</v>
      </c>
      <c r="I18131" s="5"/>
      <c r="J18131" s="5"/>
      <c r="K18131" s="5"/>
    </row>
    <row r="18132" spans="1:11" x14ac:dyDescent="0.25">
      <c r="A18132" s="5">
        <f>18125</f>
      </c>
      <c r="B18132" s="5" t="s">
        <v>18140</v>
      </c>
      <c r="C18132" s="5">
        <v>123.4</v>
      </c>
      <c r="D18132" s="5">
        <v>0.1</v>
      </c>
      <c r="E18132" s="5">
        <v>123.6</v>
      </c>
      <c r="F18132" s="5">
        <v>245.8</v>
      </c>
      <c r="G18132" s="5">
        <v>122.2</v>
      </c>
      <c r="H18132" s="5">
        <v>122.1</v>
      </c>
      <c r="I18132" s="5"/>
      <c r="J18132" s="5"/>
      <c r="K18132" s="5"/>
    </row>
    <row r="18133" spans="1:11" x14ac:dyDescent="0.25">
      <c r="A18133" s="5">
        <f>18126</f>
      </c>
      <c r="B18133" s="5" t="s">
        <v>18141</v>
      </c>
      <c r="C18133" s="5">
        <v>123.4</v>
      </c>
      <c r="D18133" s="5">
        <v>0.1</v>
      </c>
      <c r="E18133" s="5">
        <v>123.6</v>
      </c>
      <c r="F18133" s="5">
        <v>245.8</v>
      </c>
      <c r="G18133" s="5">
        <v>122.2</v>
      </c>
      <c r="H18133" s="5">
        <v>122.1</v>
      </c>
      <c r="I18133" s="5"/>
      <c r="J18133" s="5"/>
      <c r="K18133" s="5"/>
    </row>
    <row r="18134" spans="1:11" x14ac:dyDescent="0.25">
      <c r="A18134" s="5">
        <f>18127</f>
      </c>
      <c r="B18134" s="5" t="s">
        <v>18142</v>
      </c>
      <c r="C18134" s="5">
        <v>123.7</v>
      </c>
      <c r="D18134" s="5">
        <v>0.1</v>
      </c>
      <c r="E18134" s="5">
        <v>123.9</v>
      </c>
      <c r="F18134" s="5">
        <v>245.8</v>
      </c>
      <c r="G18134" s="5">
        <v>122.3</v>
      </c>
      <c r="H18134" s="5">
        <v>122</v>
      </c>
      <c r="I18134" s="5"/>
      <c r="J18134" s="5"/>
      <c r="K18134" s="5"/>
    </row>
    <row r="18135" spans="1:11" x14ac:dyDescent="0.25">
      <c r="A18135" s="5">
        <f>18128</f>
      </c>
      <c r="B18135" s="5" t="s">
        <v>18143</v>
      </c>
      <c r="C18135" s="5">
        <v>123.7</v>
      </c>
      <c r="D18135" s="5">
        <v>0.1</v>
      </c>
      <c r="E18135" s="5">
        <v>123.9</v>
      </c>
      <c r="F18135" s="5">
        <v>245.8</v>
      </c>
      <c r="G18135" s="5">
        <v>122.3</v>
      </c>
      <c r="H18135" s="5">
        <v>122</v>
      </c>
      <c r="I18135" s="5"/>
      <c r="J18135" s="5"/>
      <c r="K18135" s="5"/>
    </row>
    <row r="18136" spans="1:11" x14ac:dyDescent="0.25">
      <c r="A18136" s="5">
        <f>18129</f>
      </c>
      <c r="B18136" s="5" t="s">
        <v>18144</v>
      </c>
      <c r="C18136" s="5">
        <v>123.7</v>
      </c>
      <c r="D18136" s="5">
        <v>0.1</v>
      </c>
      <c r="E18136" s="5">
        <v>123.9</v>
      </c>
      <c r="F18136" s="5">
        <v>246.2</v>
      </c>
      <c r="G18136" s="5">
        <v>122.4</v>
      </c>
      <c r="H18136" s="5">
        <v>122.3</v>
      </c>
      <c r="I18136" s="5"/>
      <c r="J18136" s="5"/>
      <c r="K18136" s="5"/>
    </row>
    <row r="18137" spans="1:11" x14ac:dyDescent="0.25">
      <c r="A18137" s="5">
        <f>18130</f>
      </c>
      <c r="B18137" s="5" t="s">
        <v>18145</v>
      </c>
      <c r="C18137" s="5">
        <v>123.7</v>
      </c>
      <c r="D18137" s="5">
        <v>0.1</v>
      </c>
      <c r="E18137" s="5">
        <v>123.9</v>
      </c>
      <c r="F18137" s="5">
        <v>246.2</v>
      </c>
      <c r="G18137" s="5">
        <v>122.4</v>
      </c>
      <c r="H18137" s="5">
        <v>122.3</v>
      </c>
      <c r="I18137" s="5"/>
      <c r="J18137" s="5"/>
      <c r="K18137" s="5"/>
    </row>
    <row r="18138" spans="1:11" x14ac:dyDescent="0.25">
      <c r="A18138" s="5">
        <f>18131</f>
      </c>
      <c r="B18138" s="5" t="s">
        <v>18146</v>
      </c>
      <c r="C18138" s="5">
        <v>123.7</v>
      </c>
      <c r="D18138" s="5">
        <v>0.1</v>
      </c>
      <c r="E18138" s="5">
        <v>123.9</v>
      </c>
      <c r="F18138" s="5">
        <v>246.2</v>
      </c>
      <c r="G18138" s="5">
        <v>122.4</v>
      </c>
      <c r="H18138" s="5">
        <v>122.3</v>
      </c>
      <c r="I18138" s="5"/>
      <c r="J18138" s="5"/>
      <c r="K18138" s="5"/>
    </row>
    <row r="18139" spans="1:11" x14ac:dyDescent="0.25">
      <c r="A18139" s="5">
        <f>18132</f>
      </c>
      <c r="B18139" s="5" t="s">
        <v>18147</v>
      </c>
      <c r="C18139" s="5">
        <v>123.9</v>
      </c>
      <c r="D18139" s="5">
        <v>0.1</v>
      </c>
      <c r="E18139" s="5">
        <v>124.1</v>
      </c>
      <c r="F18139" s="5">
        <v>246.1</v>
      </c>
      <c r="G18139" s="5">
        <v>122.4</v>
      </c>
      <c r="H18139" s="5">
        <v>122.3</v>
      </c>
      <c r="I18139" s="5"/>
      <c r="J18139" s="5"/>
      <c r="K18139" s="5"/>
    </row>
    <row r="18140" spans="1:11" x14ac:dyDescent="0.25">
      <c r="A18140" s="5">
        <f>18133</f>
      </c>
      <c r="B18140" s="5" t="s">
        <v>18148</v>
      </c>
      <c r="C18140" s="5">
        <v>123.9</v>
      </c>
      <c r="D18140" s="5">
        <v>0.1</v>
      </c>
      <c r="E18140" s="5">
        <v>124.1</v>
      </c>
      <c r="F18140" s="5">
        <v>246.1</v>
      </c>
      <c r="G18140" s="5">
        <v>122.4</v>
      </c>
      <c r="H18140" s="5">
        <v>122.3</v>
      </c>
      <c r="I18140" s="5"/>
      <c r="J18140" s="5"/>
      <c r="K18140" s="5"/>
    </row>
    <row r="18141" spans="1:11" x14ac:dyDescent="0.25">
      <c r="A18141" s="5">
        <f>18134</f>
      </c>
      <c r="B18141" s="5" t="s">
        <v>18149</v>
      </c>
      <c r="C18141" s="5">
        <v>123.5</v>
      </c>
      <c r="D18141" s="5">
        <v>0.1</v>
      </c>
      <c r="E18141" s="5">
        <v>123.7</v>
      </c>
      <c r="F18141" s="5">
        <v>245.8</v>
      </c>
      <c r="G18141" s="5">
        <v>122.2</v>
      </c>
      <c r="H18141" s="5">
        <v>122</v>
      </c>
      <c r="I18141" s="5"/>
      <c r="J18141" s="5"/>
      <c r="K18141" s="5"/>
    </row>
    <row r="18142" spans="1:11" x14ac:dyDescent="0.25">
      <c r="A18142" s="5">
        <f>18135</f>
      </c>
      <c r="B18142" s="5" t="s">
        <v>18150</v>
      </c>
      <c r="C18142" s="5">
        <v>123.5</v>
      </c>
      <c r="D18142" s="5">
        <v>0.1</v>
      </c>
      <c r="E18142" s="5">
        <v>123.7</v>
      </c>
      <c r="F18142" s="5">
        <v>245.8</v>
      </c>
      <c r="G18142" s="5">
        <v>122.2</v>
      </c>
      <c r="H18142" s="5">
        <v>122</v>
      </c>
      <c r="I18142" s="5"/>
      <c r="J18142" s="5"/>
      <c r="K18142" s="5"/>
    </row>
    <row r="18143" spans="1:11" x14ac:dyDescent="0.25">
      <c r="A18143" s="5">
        <f>18136</f>
      </c>
      <c r="B18143" s="5" t="s">
        <v>18151</v>
      </c>
      <c r="C18143" s="5">
        <v>123.5</v>
      </c>
      <c r="D18143" s="5">
        <v>0.1</v>
      </c>
      <c r="E18143" s="5">
        <v>123.7</v>
      </c>
      <c r="F18143" s="5">
        <v>245.8</v>
      </c>
      <c r="G18143" s="5">
        <v>122.2</v>
      </c>
      <c r="H18143" s="5">
        <v>122</v>
      </c>
      <c r="I18143" s="5"/>
      <c r="J18143" s="5"/>
      <c r="K18143" s="5"/>
    </row>
    <row r="18144" spans="1:11" x14ac:dyDescent="0.25">
      <c r="A18144" s="5">
        <f>18137</f>
      </c>
      <c r="B18144" s="5" t="s">
        <v>18152</v>
      </c>
      <c r="C18144" s="5">
        <v>123.5</v>
      </c>
      <c r="D18144" s="5">
        <v>0.1</v>
      </c>
      <c r="E18144" s="5">
        <v>123.7</v>
      </c>
      <c r="F18144" s="5">
        <v>245.8</v>
      </c>
      <c r="G18144" s="5">
        <v>122.2</v>
      </c>
      <c r="H18144" s="5">
        <v>122</v>
      </c>
      <c r="I18144" s="5"/>
      <c r="J18144" s="5"/>
      <c r="K18144" s="5"/>
    </row>
    <row r="18145" spans="1:11" x14ac:dyDescent="0.25">
      <c r="A18145" s="5">
        <f>18138</f>
      </c>
      <c r="B18145" s="5" t="s">
        <v>18153</v>
      </c>
      <c r="C18145" s="5">
        <v>123.5</v>
      </c>
      <c r="D18145" s="5">
        <v>0.1</v>
      </c>
      <c r="E18145" s="5">
        <v>123.7</v>
      </c>
      <c r="F18145" s="5">
        <v>245.8</v>
      </c>
      <c r="G18145" s="5">
        <v>122.2</v>
      </c>
      <c r="H18145" s="5">
        <v>122</v>
      </c>
      <c r="I18145" s="5"/>
      <c r="J18145" s="5"/>
      <c r="K18145" s="5"/>
    </row>
    <row r="18146" spans="1:11" x14ac:dyDescent="0.25">
      <c r="A18146" s="5">
        <f>18139</f>
      </c>
      <c r="B18146" s="5" t="s">
        <v>18154</v>
      </c>
      <c r="C18146" s="5">
        <v>123.5</v>
      </c>
      <c r="D18146" s="5">
        <v>0.1</v>
      </c>
      <c r="E18146" s="5">
        <v>123.7</v>
      </c>
      <c r="F18146" s="5">
        <v>245.8</v>
      </c>
      <c r="G18146" s="5">
        <v>122.2</v>
      </c>
      <c r="H18146" s="5">
        <v>122</v>
      </c>
      <c r="I18146" s="5"/>
      <c r="J18146" s="5"/>
      <c r="K18146" s="5"/>
    </row>
    <row r="18147" spans="1:11" x14ac:dyDescent="0.25">
      <c r="A18147" s="5">
        <f>18140</f>
      </c>
      <c r="B18147" s="5" t="s">
        <v>18155</v>
      </c>
      <c r="C18147" s="5">
        <v>123.5</v>
      </c>
      <c r="D18147" s="5">
        <v>0.1</v>
      </c>
      <c r="E18147" s="5">
        <v>123.7</v>
      </c>
      <c r="F18147" s="5">
        <v>245.8</v>
      </c>
      <c r="G18147" s="5">
        <v>122.2</v>
      </c>
      <c r="H18147" s="5">
        <v>122</v>
      </c>
      <c r="I18147" s="5"/>
      <c r="J18147" s="5"/>
      <c r="K18147" s="5"/>
    </row>
    <row r="18148" spans="1:11" x14ac:dyDescent="0.25">
      <c r="A18148" s="5">
        <f>18141</f>
      </c>
      <c r="B18148" s="5" t="s">
        <v>18156</v>
      </c>
      <c r="C18148" s="5">
        <v>123.5</v>
      </c>
      <c r="D18148" s="5">
        <v>0.1</v>
      </c>
      <c r="E18148" s="5">
        <v>123.7</v>
      </c>
      <c r="F18148" s="5">
        <v>245.8</v>
      </c>
      <c r="G18148" s="5">
        <v>122.2</v>
      </c>
      <c r="H18148" s="5">
        <v>122</v>
      </c>
      <c r="I18148" s="5"/>
      <c r="J18148" s="5"/>
      <c r="K18148" s="5"/>
    </row>
    <row r="18149" spans="1:11" x14ac:dyDescent="0.25">
      <c r="A18149" s="5">
        <f>18142</f>
      </c>
      <c r="B18149" s="5" t="s">
        <v>18157</v>
      </c>
      <c r="C18149" s="5">
        <v>119.9</v>
      </c>
      <c r="D18149" s="5">
        <v>0.1</v>
      </c>
      <c r="E18149" s="5">
        <v>120</v>
      </c>
      <c r="F18149" s="5">
        <v>245.8</v>
      </c>
      <c r="G18149" s="5">
        <v>122.2</v>
      </c>
      <c r="H18149" s="5">
        <v>122</v>
      </c>
      <c r="I18149" s="5"/>
      <c r="J18149" s="5"/>
      <c r="K18149" s="5"/>
    </row>
    <row r="18150" spans="1:11" x14ac:dyDescent="0.25">
      <c r="A18150" s="5">
        <f>18143</f>
      </c>
      <c r="B18150" s="5" t="s">
        <v>18158</v>
      </c>
      <c r="C18150" s="5">
        <v>119.9</v>
      </c>
      <c r="D18150" s="5">
        <v>0.1</v>
      </c>
      <c r="E18150" s="5">
        <v>120</v>
      </c>
      <c r="F18150" s="5">
        <v>238.4</v>
      </c>
      <c r="G18150" s="5">
        <v>118.6</v>
      </c>
      <c r="H18150" s="5">
        <v>118.5</v>
      </c>
      <c r="I18150" s="5"/>
      <c r="J18150" s="5"/>
      <c r="K18150" s="5"/>
    </row>
    <row r="18151" spans="1:11" x14ac:dyDescent="0.25">
      <c r="A18151" s="5">
        <f>18144</f>
      </c>
      <c r="B18151" s="5" t="s">
        <v>18159</v>
      </c>
      <c r="C18151" s="5">
        <v>119.6</v>
      </c>
      <c r="D18151" s="5">
        <v>0.1</v>
      </c>
      <c r="E18151" s="5">
        <v>119.7</v>
      </c>
      <c r="F18151" s="5">
        <v>238.4</v>
      </c>
      <c r="G18151" s="5">
        <v>118.6</v>
      </c>
      <c r="H18151" s="5">
        <v>118.5</v>
      </c>
      <c r="I18151" s="5"/>
      <c r="J18151" s="5"/>
      <c r="K18151" s="5"/>
    </row>
    <row r="18152" spans="1:11" x14ac:dyDescent="0.25">
      <c r="A18152" s="5">
        <f>18145</f>
      </c>
      <c r="B18152" s="5" t="s">
        <v>18160</v>
      </c>
      <c r="C18152" s="5">
        <v>119.6</v>
      </c>
      <c r="D18152" s="5">
        <v>0.1</v>
      </c>
      <c r="E18152" s="5">
        <v>119.7</v>
      </c>
      <c r="F18152" s="5">
        <v>238</v>
      </c>
      <c r="G18152" s="5">
        <v>118.4</v>
      </c>
      <c r="H18152" s="5">
        <v>118.2</v>
      </c>
      <c r="I18152" s="5"/>
      <c r="J18152" s="5"/>
      <c r="K18152" s="5"/>
    </row>
    <row r="18153" spans="1:11" x14ac:dyDescent="0.25">
      <c r="A18153" s="5">
        <f>18146</f>
      </c>
      <c r="B18153" s="5" t="s">
        <v>18161</v>
      </c>
      <c r="C18153" s="5">
        <v>118.9</v>
      </c>
      <c r="D18153" s="5">
        <v>0.1</v>
      </c>
      <c r="E18153" s="5">
        <v>119</v>
      </c>
      <c r="F18153" s="5">
        <v>238</v>
      </c>
      <c r="G18153" s="5">
        <v>118.4</v>
      </c>
      <c r="H18153" s="5">
        <v>118.2</v>
      </c>
      <c r="I18153" s="5"/>
      <c r="J18153" s="5"/>
      <c r="K18153" s="5"/>
    </row>
    <row r="18154" spans="1:11" x14ac:dyDescent="0.25">
      <c r="A18154" s="5">
        <f>18147</f>
      </c>
      <c r="B18154" s="5" t="s">
        <v>18162</v>
      </c>
      <c r="C18154" s="5">
        <v>118.9</v>
      </c>
      <c r="D18154" s="5">
        <v>0.1</v>
      </c>
      <c r="E18154" s="5">
        <v>119</v>
      </c>
      <c r="F18154" s="5">
        <v>236.4</v>
      </c>
      <c r="G18154" s="5">
        <v>117.5</v>
      </c>
      <c r="H18154" s="5">
        <v>117.4</v>
      </c>
      <c r="I18154" s="5"/>
      <c r="J18154" s="5"/>
      <c r="K18154" s="5"/>
    </row>
    <row r="18155" spans="1:11" x14ac:dyDescent="0.25">
      <c r="A18155" s="5">
        <f>18148</f>
      </c>
      <c r="B18155" s="5" t="s">
        <v>18163</v>
      </c>
      <c r="C18155" s="5">
        <v>118.9</v>
      </c>
      <c r="D18155" s="5">
        <v>0.1</v>
      </c>
      <c r="E18155" s="5">
        <v>119</v>
      </c>
      <c r="F18155" s="5">
        <v>236.4</v>
      </c>
      <c r="G18155" s="5">
        <v>117.5</v>
      </c>
      <c r="H18155" s="5">
        <v>117.4</v>
      </c>
      <c r="I18155" s="5"/>
      <c r="J18155" s="5"/>
      <c r="K18155" s="5"/>
    </row>
    <row r="18156" spans="1:11" x14ac:dyDescent="0.25">
      <c r="A18156" s="5">
        <f>18149</f>
      </c>
      <c r="B18156" s="5" t="s">
        <v>18164</v>
      </c>
      <c r="C18156" s="5">
        <v>118.9</v>
      </c>
      <c r="D18156" s="5">
        <v>0.1</v>
      </c>
      <c r="E18156" s="5">
        <v>119</v>
      </c>
      <c r="F18156" s="5">
        <v>235.9</v>
      </c>
      <c r="G18156" s="5">
        <v>117.2</v>
      </c>
      <c r="H18156" s="5">
        <v>117.1</v>
      </c>
      <c r="I18156" s="5"/>
      <c r="J18156" s="5"/>
      <c r="K18156" s="5"/>
    </row>
    <row r="18157" spans="1:11" x14ac:dyDescent="0.25">
      <c r="A18157" s="5">
        <f>18150</f>
      </c>
      <c r="B18157" s="5" t="s">
        <v>18165</v>
      </c>
      <c r="C18157" s="5">
        <v>118.9</v>
      </c>
      <c r="D18157" s="5">
        <v>0.1</v>
      </c>
      <c r="E18157" s="5">
        <v>119</v>
      </c>
      <c r="F18157" s="5">
        <v>235.9</v>
      </c>
      <c r="G18157" s="5">
        <v>117.2</v>
      </c>
      <c r="H18157" s="5">
        <v>117.1</v>
      </c>
      <c r="I18157" s="5"/>
      <c r="J18157" s="5"/>
      <c r="K18157" s="5"/>
    </row>
    <row r="18158" spans="1:11" x14ac:dyDescent="0.25">
      <c r="A18158" s="5">
        <f>18151</f>
      </c>
      <c r="B18158" s="5" t="s">
        <v>18166</v>
      </c>
      <c r="C18158" s="5">
        <v>118.9</v>
      </c>
      <c r="D18158" s="5">
        <v>0.1</v>
      </c>
      <c r="E18158" s="5">
        <v>119</v>
      </c>
      <c r="F18158" s="5">
        <v>235.9</v>
      </c>
      <c r="G18158" s="5">
        <v>117.2</v>
      </c>
      <c r="H18158" s="5">
        <v>117.1</v>
      </c>
      <c r="I18158" s="5"/>
      <c r="J18158" s="5"/>
      <c r="K18158" s="5"/>
    </row>
    <row r="18159" spans="1:11" x14ac:dyDescent="0.25">
      <c r="A18159" s="5">
        <f>18152</f>
      </c>
      <c r="B18159" s="5" t="s">
        <v>18167</v>
      </c>
      <c r="C18159" s="5">
        <v>118.9</v>
      </c>
      <c r="D18159" s="5">
        <v>0.1</v>
      </c>
      <c r="E18159" s="5">
        <v>119</v>
      </c>
      <c r="F18159" s="5">
        <v>235.9</v>
      </c>
      <c r="G18159" s="5">
        <v>117.2</v>
      </c>
      <c r="H18159" s="5">
        <v>117.1</v>
      </c>
      <c r="I18159" s="5"/>
      <c r="J18159" s="5"/>
      <c r="K18159" s="5"/>
    </row>
    <row r="18160" spans="1:11" x14ac:dyDescent="0.25">
      <c r="A18160" s="5">
        <f>18153</f>
      </c>
      <c r="B18160" s="5" t="s">
        <v>18168</v>
      </c>
      <c r="C18160" s="5">
        <v>118.6</v>
      </c>
      <c r="D18160" s="5">
        <v>0.1</v>
      </c>
      <c r="E18160" s="5">
        <v>118.7</v>
      </c>
      <c r="F18160" s="5">
        <v>236.3</v>
      </c>
      <c r="G18160" s="5">
        <v>117.5</v>
      </c>
      <c r="H18160" s="5">
        <v>117.3</v>
      </c>
      <c r="I18160" s="5"/>
      <c r="J18160" s="5"/>
      <c r="K18160" s="5"/>
    </row>
    <row r="18161" spans="1:11" x14ac:dyDescent="0.25">
      <c r="A18161" s="5">
        <f>18154</f>
      </c>
      <c r="B18161" s="5" t="s">
        <v>18169</v>
      </c>
      <c r="C18161" s="5">
        <v>118.6</v>
      </c>
      <c r="D18161" s="5">
        <v>0.1</v>
      </c>
      <c r="E18161" s="5">
        <v>118.7</v>
      </c>
      <c r="F18161" s="5">
        <v>236.3</v>
      </c>
      <c r="G18161" s="5">
        <v>117.5</v>
      </c>
      <c r="H18161" s="5">
        <v>117.3</v>
      </c>
      <c r="I18161" s="5"/>
      <c r="J18161" s="5"/>
      <c r="K18161" s="5"/>
    </row>
    <row r="18162" spans="1:11" x14ac:dyDescent="0.25">
      <c r="A18162" s="5">
        <f>18155</f>
      </c>
      <c r="B18162" s="5" t="s">
        <v>18170</v>
      </c>
      <c r="C18162" s="5">
        <v>119.3</v>
      </c>
      <c r="D18162" s="5">
        <v>0.1</v>
      </c>
      <c r="E18162" s="5">
        <v>119.6</v>
      </c>
      <c r="F18162" s="5">
        <v>236.9</v>
      </c>
      <c r="G18162" s="5">
        <v>117.8</v>
      </c>
      <c r="H18162" s="5">
        <v>117.6</v>
      </c>
      <c r="I18162" s="5"/>
      <c r="J18162" s="5"/>
      <c r="K18162" s="5"/>
    </row>
    <row r="18163" spans="1:11" x14ac:dyDescent="0.25">
      <c r="A18163" s="5">
        <f>18156</f>
      </c>
      <c r="B18163" s="5" t="s">
        <v>18171</v>
      </c>
      <c r="C18163" s="5">
        <v>119.3</v>
      </c>
      <c r="D18163" s="5">
        <v>0.1</v>
      </c>
      <c r="E18163" s="5">
        <v>119.6</v>
      </c>
      <c r="F18163" s="5">
        <v>236.9</v>
      </c>
      <c r="G18163" s="5">
        <v>117.8</v>
      </c>
      <c r="H18163" s="5">
        <v>117.6</v>
      </c>
      <c r="I18163" s="5"/>
      <c r="J18163" s="5"/>
      <c r="K18163" s="5"/>
    </row>
    <row r="18164" spans="1:11" x14ac:dyDescent="0.25">
      <c r="A18164" s="5">
        <f>18157</f>
      </c>
      <c r="B18164" s="5" t="s">
        <v>18172</v>
      </c>
      <c r="C18164" s="5">
        <v>119.5</v>
      </c>
      <c r="D18164" s="5">
        <v>0.1</v>
      </c>
      <c r="E18164" s="5">
        <v>119.6</v>
      </c>
      <c r="F18164" s="5">
        <v>237.7</v>
      </c>
      <c r="G18164" s="5">
        <v>118.2</v>
      </c>
      <c r="H18164" s="5">
        <v>118</v>
      </c>
      <c r="I18164" s="5"/>
      <c r="J18164" s="5"/>
      <c r="K18164" s="5"/>
    </row>
    <row r="18165" spans="1:11" x14ac:dyDescent="0.25">
      <c r="A18165" s="5">
        <f>18158</f>
      </c>
      <c r="B18165" s="5" t="s">
        <v>18173</v>
      </c>
      <c r="C18165" s="5">
        <v>119.5</v>
      </c>
      <c r="D18165" s="5">
        <v>0.1</v>
      </c>
      <c r="E18165" s="5">
        <v>119.6</v>
      </c>
      <c r="F18165" s="5">
        <v>237.7</v>
      </c>
      <c r="G18165" s="5">
        <v>118.2</v>
      </c>
      <c r="H18165" s="5">
        <v>118</v>
      </c>
      <c r="I18165" s="5"/>
      <c r="J18165" s="5"/>
      <c r="K18165" s="5"/>
    </row>
    <row r="18166" spans="1:11" x14ac:dyDescent="0.25">
      <c r="A18166" s="5">
        <f>18159</f>
      </c>
      <c r="B18166" s="5" t="s">
        <v>18174</v>
      </c>
      <c r="C18166" s="5">
        <v>119.3</v>
      </c>
      <c r="D18166" s="5">
        <v>0.1</v>
      </c>
      <c r="E18166" s="5">
        <v>119.5</v>
      </c>
      <c r="F18166" s="5">
        <v>237.4</v>
      </c>
      <c r="G18166" s="5">
        <v>118</v>
      </c>
      <c r="H18166" s="5">
        <v>117.8</v>
      </c>
      <c r="I18166" s="5"/>
      <c r="J18166" s="5"/>
      <c r="K18166" s="5"/>
    </row>
    <row r="18167" spans="1:11" x14ac:dyDescent="0.25">
      <c r="A18167" s="5">
        <f>18160</f>
      </c>
      <c r="B18167" s="5" t="s">
        <v>18175</v>
      </c>
      <c r="C18167" s="5">
        <v>119.3</v>
      </c>
      <c r="D18167" s="5">
        <v>0.1</v>
      </c>
      <c r="E18167" s="5">
        <v>119.5</v>
      </c>
      <c r="F18167" s="5">
        <v>237.4</v>
      </c>
      <c r="G18167" s="5">
        <v>118</v>
      </c>
      <c r="H18167" s="5">
        <v>117.8</v>
      </c>
      <c r="I18167" s="5"/>
      <c r="J18167" s="5"/>
      <c r="K18167" s="5"/>
    </row>
    <row r="18168" spans="1:11" x14ac:dyDescent="0.25">
      <c r="A18168" s="5">
        <f>18161</f>
      </c>
      <c r="B18168" s="5" t="s">
        <v>18176</v>
      </c>
      <c r="C18168" s="5">
        <v>119.3</v>
      </c>
      <c r="D18168" s="5">
        <v>0.1</v>
      </c>
      <c r="E18168" s="5">
        <v>119.5</v>
      </c>
      <c r="F18168" s="5">
        <v>237.4</v>
      </c>
      <c r="G18168" s="5">
        <v>118</v>
      </c>
      <c r="H18168" s="5">
        <v>117.8</v>
      </c>
      <c r="I18168" s="5"/>
      <c r="J18168" s="5"/>
      <c r="K18168" s="5"/>
    </row>
    <row r="18169" spans="1:11" x14ac:dyDescent="0.25">
      <c r="A18169" s="5">
        <f>18162</f>
      </c>
      <c r="B18169" s="5" t="s">
        <v>18177</v>
      </c>
      <c r="C18169" s="5">
        <v>119.6</v>
      </c>
      <c r="D18169" s="5">
        <v>0.1</v>
      </c>
      <c r="E18169" s="5">
        <v>119.7</v>
      </c>
      <c r="F18169" s="5">
        <v>237.9</v>
      </c>
      <c r="G18169" s="5">
        <v>118.4</v>
      </c>
      <c r="H18169" s="5">
        <v>118.2</v>
      </c>
      <c r="I18169" s="5"/>
      <c r="J18169" s="5"/>
      <c r="K18169" s="5"/>
    </row>
    <row r="18170" spans="1:11" x14ac:dyDescent="0.25">
      <c r="A18170" s="5">
        <f>18163</f>
      </c>
      <c r="B18170" s="5" t="s">
        <v>18178</v>
      </c>
      <c r="C18170" s="5">
        <v>119.6</v>
      </c>
      <c r="D18170" s="5">
        <v>0.1</v>
      </c>
      <c r="E18170" s="5">
        <v>119.7</v>
      </c>
      <c r="F18170" s="5">
        <v>237.9</v>
      </c>
      <c r="G18170" s="5">
        <v>118.4</v>
      </c>
      <c r="H18170" s="5">
        <v>118.2</v>
      </c>
      <c r="I18170" s="5"/>
      <c r="J18170" s="5"/>
      <c r="K18170" s="5"/>
    </row>
    <row r="18171" spans="1:11" x14ac:dyDescent="0.25">
      <c r="A18171" s="5">
        <f>18164</f>
      </c>
      <c r="B18171" s="5" t="s">
        <v>18179</v>
      </c>
      <c r="C18171" s="5">
        <v>119.8</v>
      </c>
      <c r="D18171" s="5">
        <v>0.1</v>
      </c>
      <c r="E18171" s="5">
        <v>119.9</v>
      </c>
      <c r="F18171" s="5">
        <v>238.4</v>
      </c>
      <c r="G18171" s="5">
        <v>118.5</v>
      </c>
      <c r="H18171" s="5">
        <v>118.4</v>
      </c>
      <c r="I18171" s="5"/>
      <c r="J18171" s="5"/>
      <c r="K18171" s="5"/>
    </row>
    <row r="18172" spans="1:11" x14ac:dyDescent="0.25">
      <c r="A18172" s="5">
        <f>18165</f>
      </c>
      <c r="B18172" s="5" t="s">
        <v>18180</v>
      </c>
      <c r="C18172" s="5">
        <v>119.8</v>
      </c>
      <c r="D18172" s="5">
        <v>0.1</v>
      </c>
      <c r="E18172" s="5">
        <v>119.9</v>
      </c>
      <c r="F18172" s="5">
        <v>238.4</v>
      </c>
      <c r="G18172" s="5">
        <v>118.5</v>
      </c>
      <c r="H18172" s="5">
        <v>118.4</v>
      </c>
      <c r="I18172" s="5"/>
      <c r="J18172" s="5"/>
      <c r="K18172" s="5"/>
    </row>
    <row r="18173" spans="1:11" x14ac:dyDescent="0.25">
      <c r="A18173" s="5">
        <f>18166</f>
      </c>
      <c r="B18173" s="5" t="s">
        <v>18181</v>
      </c>
      <c r="C18173" s="5">
        <v>119.8</v>
      </c>
      <c r="D18173" s="5">
        <v>0.1</v>
      </c>
      <c r="E18173" s="5">
        <v>119.9</v>
      </c>
      <c r="F18173" s="5">
        <v>238.5</v>
      </c>
      <c r="G18173" s="5">
        <v>118.6</v>
      </c>
      <c r="H18173" s="5">
        <v>118.4</v>
      </c>
      <c r="I18173" s="5"/>
      <c r="J18173" s="5"/>
      <c r="K18173" s="5"/>
    </row>
    <row r="18174" spans="1:11" x14ac:dyDescent="0.25">
      <c r="A18174" s="5">
        <f>18167</f>
      </c>
      <c r="B18174" s="5" t="s">
        <v>18182</v>
      </c>
      <c r="C18174" s="5">
        <v>119.7</v>
      </c>
      <c r="D18174" s="5">
        <v>0.1</v>
      </c>
      <c r="E18174" s="5">
        <v>119.9</v>
      </c>
      <c r="F18174" s="5">
        <v>238.5</v>
      </c>
      <c r="G18174" s="5">
        <v>118.6</v>
      </c>
      <c r="H18174" s="5">
        <v>118.4</v>
      </c>
      <c r="I18174" s="5"/>
      <c r="J18174" s="5"/>
      <c r="K18174" s="5"/>
    </row>
    <row r="18175" spans="1:11" x14ac:dyDescent="0.25">
      <c r="A18175" s="5">
        <f>18168</f>
      </c>
      <c r="B18175" s="5" t="s">
        <v>18183</v>
      </c>
      <c r="C18175" s="5">
        <v>119.7</v>
      </c>
      <c r="D18175" s="5">
        <v>0.1</v>
      </c>
      <c r="E18175" s="5">
        <v>119.9</v>
      </c>
      <c r="F18175" s="5">
        <v>238.2</v>
      </c>
      <c r="G18175" s="5">
        <v>118.4</v>
      </c>
      <c r="H18175" s="5">
        <v>118.3</v>
      </c>
      <c r="I18175" s="5"/>
      <c r="J18175" s="5"/>
      <c r="K18175" s="5"/>
    </row>
    <row r="18176" spans="1:11" x14ac:dyDescent="0.25">
      <c r="A18176" s="5">
        <f>18169</f>
      </c>
      <c r="B18176" s="5" t="s">
        <v>18184</v>
      </c>
      <c r="C18176" s="5">
        <v>119.9</v>
      </c>
      <c r="D18176" s="5">
        <v>0.1</v>
      </c>
      <c r="E18176" s="5">
        <v>120.1</v>
      </c>
      <c r="F18176" s="5">
        <v>238.2</v>
      </c>
      <c r="G18176" s="5">
        <v>118.4</v>
      </c>
      <c r="H18176" s="5">
        <v>118.3</v>
      </c>
      <c r="I18176" s="5"/>
      <c r="J18176" s="5"/>
      <c r="K18176" s="5"/>
    </row>
    <row r="18177" spans="1:11" x14ac:dyDescent="0.25">
      <c r="A18177" s="5">
        <f>18170</f>
      </c>
      <c r="B18177" s="5" t="s">
        <v>18185</v>
      </c>
      <c r="C18177" s="5">
        <v>119.9</v>
      </c>
      <c r="D18177" s="5">
        <v>0.1</v>
      </c>
      <c r="E18177" s="5">
        <v>120.1</v>
      </c>
      <c r="F18177" s="5">
        <v>238.2</v>
      </c>
      <c r="G18177" s="5">
        <v>118.4</v>
      </c>
      <c r="H18177" s="5">
        <v>118.3</v>
      </c>
      <c r="I18177" s="5"/>
      <c r="J18177" s="5"/>
      <c r="K18177" s="5"/>
    </row>
    <row r="18178" spans="1:11" x14ac:dyDescent="0.25">
      <c r="A18178" s="5">
        <f>18171</f>
      </c>
      <c r="B18178" s="5" t="s">
        <v>18186</v>
      </c>
      <c r="C18178" s="5">
        <v>119.9</v>
      </c>
      <c r="D18178" s="5">
        <v>0.1</v>
      </c>
      <c r="E18178" s="5">
        <v>120.1</v>
      </c>
      <c r="F18178" s="5">
        <v>238.2</v>
      </c>
      <c r="G18178" s="5">
        <v>118.4</v>
      </c>
      <c r="H18178" s="5">
        <v>118.3</v>
      </c>
      <c r="I18178" s="5"/>
      <c r="J18178" s="5"/>
      <c r="K18178" s="5"/>
    </row>
    <row r="18179" spans="1:11" x14ac:dyDescent="0.25">
      <c r="A18179" s="5">
        <f>18172</f>
      </c>
      <c r="B18179" s="5" t="s">
        <v>18187</v>
      </c>
      <c r="C18179" s="5">
        <v>119.8</v>
      </c>
      <c r="D18179" s="5">
        <v>0.1</v>
      </c>
      <c r="E18179" s="5">
        <v>119.9</v>
      </c>
      <c r="F18179" s="5">
        <v>238.4</v>
      </c>
      <c r="G18179" s="5">
        <v>118.6</v>
      </c>
      <c r="H18179" s="5">
        <v>118.4</v>
      </c>
      <c r="I18179" s="5"/>
      <c r="J18179" s="5"/>
      <c r="K18179" s="5"/>
    </row>
    <row r="18180" spans="1:11" x14ac:dyDescent="0.25">
      <c r="A18180" s="5">
        <f>18173</f>
      </c>
      <c r="B18180" s="5" t="s">
        <v>18188</v>
      </c>
      <c r="C18180" s="5">
        <v>119.8</v>
      </c>
      <c r="D18180" s="5">
        <v>0.1</v>
      </c>
      <c r="E18180" s="5">
        <v>119.9</v>
      </c>
      <c r="F18180" s="5">
        <v>238.4</v>
      </c>
      <c r="G18180" s="5">
        <v>118.6</v>
      </c>
      <c r="H18180" s="5">
        <v>118.4</v>
      </c>
      <c r="I18180" s="5"/>
      <c r="J18180" s="5"/>
      <c r="K18180" s="5"/>
    </row>
    <row r="18181" spans="1:11" x14ac:dyDescent="0.25">
      <c r="A18181" s="5">
        <f>18174</f>
      </c>
      <c r="B18181" s="5" t="s">
        <v>18189</v>
      </c>
      <c r="C18181" s="5">
        <v>119.8</v>
      </c>
      <c r="D18181" s="5">
        <v>0.1</v>
      </c>
      <c r="E18181" s="5">
        <v>119.9</v>
      </c>
      <c r="F18181" s="5">
        <v>237.8</v>
      </c>
      <c r="G18181" s="5">
        <v>118.3</v>
      </c>
      <c r="H18181" s="5">
        <v>118.1</v>
      </c>
      <c r="I18181" s="5"/>
      <c r="J18181" s="5"/>
      <c r="K18181" s="5"/>
    </row>
    <row r="18182" spans="1:11" x14ac:dyDescent="0.25">
      <c r="A18182" s="5">
        <f>18175</f>
      </c>
      <c r="B18182" s="5" t="s">
        <v>18190</v>
      </c>
      <c r="C18182" s="5">
        <v>119.8</v>
      </c>
      <c r="D18182" s="5">
        <v>0.1</v>
      </c>
      <c r="E18182" s="5">
        <v>119.9</v>
      </c>
      <c r="F18182" s="5">
        <v>237.8</v>
      </c>
      <c r="G18182" s="5">
        <v>118.3</v>
      </c>
      <c r="H18182" s="5">
        <v>118.1</v>
      </c>
      <c r="I18182" s="5"/>
      <c r="J18182" s="5"/>
      <c r="K18182" s="5"/>
    </row>
    <row r="18183" spans="1:11" x14ac:dyDescent="0.25">
      <c r="A18183" s="5">
        <f>18176</f>
      </c>
      <c r="B18183" s="5" t="s">
        <v>18191</v>
      </c>
      <c r="C18183" s="5">
        <v>119.6</v>
      </c>
      <c r="D18183" s="5">
        <v>0.1</v>
      </c>
      <c r="E18183" s="5">
        <v>119.8</v>
      </c>
      <c r="F18183" s="5">
        <v>238.4</v>
      </c>
      <c r="G18183" s="5">
        <v>118.6</v>
      </c>
      <c r="H18183" s="5">
        <v>118.4</v>
      </c>
      <c r="I18183" s="5"/>
      <c r="J18183" s="5"/>
      <c r="K18183" s="5"/>
    </row>
    <row r="18184" spans="1:11" x14ac:dyDescent="0.25">
      <c r="A18184" s="5">
        <f>18177</f>
      </c>
      <c r="B18184" s="5" t="s">
        <v>18192</v>
      </c>
      <c r="C18184" s="5">
        <v>119.6</v>
      </c>
      <c r="D18184" s="5">
        <v>0.1</v>
      </c>
      <c r="E18184" s="5">
        <v>119.8</v>
      </c>
      <c r="F18184" s="5">
        <v>238.4</v>
      </c>
      <c r="G18184" s="5">
        <v>118.6</v>
      </c>
      <c r="H18184" s="5">
        <v>118.4</v>
      </c>
      <c r="I18184" s="5"/>
      <c r="J18184" s="5"/>
      <c r="K18184" s="5"/>
    </row>
    <row r="18185" spans="1:11" x14ac:dyDescent="0.25">
      <c r="A18185" s="5">
        <f>18178</f>
      </c>
      <c r="B18185" s="5" t="s">
        <v>18193</v>
      </c>
      <c r="C18185" s="5">
        <v>119.6</v>
      </c>
      <c r="D18185" s="5">
        <v>0.1</v>
      </c>
      <c r="E18185" s="5">
        <v>119.8</v>
      </c>
      <c r="F18185" s="5">
        <v>237.9</v>
      </c>
      <c r="G18185" s="5">
        <v>118.4</v>
      </c>
      <c r="H18185" s="5">
        <v>118.4</v>
      </c>
      <c r="I18185" s="5"/>
      <c r="J18185" s="5"/>
      <c r="K18185" s="5"/>
    </row>
    <row r="18186" spans="1:11" x14ac:dyDescent="0.25">
      <c r="A18186" s="5">
        <f>18179</f>
      </c>
      <c r="B18186" s="5" t="s">
        <v>18194</v>
      </c>
      <c r="C18186" s="5">
        <v>119.6</v>
      </c>
      <c r="D18186" s="5">
        <v>0.1</v>
      </c>
      <c r="E18186" s="5">
        <v>119.8</v>
      </c>
      <c r="F18186" s="5">
        <v>237.9</v>
      </c>
      <c r="G18186" s="5">
        <v>118.4</v>
      </c>
      <c r="H18186" s="5">
        <v>118.4</v>
      </c>
      <c r="I18186" s="5"/>
      <c r="J18186" s="5"/>
      <c r="K18186" s="5"/>
    </row>
    <row r="18187" spans="1:11" x14ac:dyDescent="0.25">
      <c r="A18187" s="5">
        <f>18180</f>
      </c>
      <c r="B18187" s="5" t="s">
        <v>18195</v>
      </c>
      <c r="C18187" s="5">
        <v>119.6</v>
      </c>
      <c r="D18187" s="5">
        <v>0.1</v>
      </c>
      <c r="E18187" s="5">
        <v>119.8</v>
      </c>
      <c r="F18187" s="5">
        <v>237.9</v>
      </c>
      <c r="G18187" s="5">
        <v>118.4</v>
      </c>
      <c r="H18187" s="5">
        <v>118.4</v>
      </c>
      <c r="I18187" s="5"/>
      <c r="J18187" s="5"/>
      <c r="K18187" s="5"/>
    </row>
    <row r="18188" spans="1:11" x14ac:dyDescent="0.25">
      <c r="A18188" s="5">
        <f>18181</f>
      </c>
      <c r="B18188" s="5" t="s">
        <v>18196</v>
      </c>
      <c r="C18188" s="5">
        <v>119.6</v>
      </c>
      <c r="D18188" s="5">
        <v>0.1</v>
      </c>
      <c r="E18188" s="5">
        <v>119.8</v>
      </c>
      <c r="F18188" s="5">
        <v>237.9</v>
      </c>
      <c r="G18188" s="5">
        <v>118.4</v>
      </c>
      <c r="H18188" s="5">
        <v>118.4</v>
      </c>
      <c r="I18188" s="5"/>
      <c r="J18188" s="5"/>
      <c r="K18188" s="5"/>
    </row>
    <row r="18189" spans="1:11" x14ac:dyDescent="0.25">
      <c r="A18189" s="5">
        <f>18182</f>
      </c>
      <c r="B18189" s="5" t="s">
        <v>18197</v>
      </c>
      <c r="C18189" s="5">
        <v>119.9</v>
      </c>
      <c r="D18189" s="5">
        <v>0.1</v>
      </c>
      <c r="E18189" s="5">
        <v>120</v>
      </c>
      <c r="F18189" s="5">
        <v>238.4</v>
      </c>
      <c r="G18189" s="5">
        <v>118.6</v>
      </c>
      <c r="H18189" s="5">
        <v>118.4</v>
      </c>
      <c r="I18189" s="5"/>
      <c r="J18189" s="5"/>
      <c r="K18189" s="5"/>
    </row>
    <row r="18190" spans="1:11" x14ac:dyDescent="0.25">
      <c r="A18190" s="5">
        <f>18183</f>
      </c>
      <c r="B18190" s="5" t="s">
        <v>18198</v>
      </c>
      <c r="C18190" s="5">
        <v>119.9</v>
      </c>
      <c r="D18190" s="5">
        <v>0.1</v>
      </c>
      <c r="E18190" s="5">
        <v>120</v>
      </c>
      <c r="F18190" s="5">
        <v>238.4</v>
      </c>
      <c r="G18190" s="5">
        <v>118.6</v>
      </c>
      <c r="H18190" s="5">
        <v>118.4</v>
      </c>
      <c r="I18190" s="5"/>
      <c r="J18190" s="5"/>
      <c r="K18190" s="5"/>
    </row>
    <row r="18191" spans="1:11" x14ac:dyDescent="0.25">
      <c r="A18191" s="5">
        <f>18184</f>
      </c>
      <c r="B18191" s="5" t="s">
        <v>18199</v>
      </c>
      <c r="C18191" s="5">
        <v>119.9</v>
      </c>
      <c r="D18191" s="5">
        <v>0.1</v>
      </c>
      <c r="E18191" s="5">
        <v>120.1</v>
      </c>
      <c r="F18191" s="5">
        <v>238.7</v>
      </c>
      <c r="G18191" s="5">
        <v>118.7</v>
      </c>
      <c r="H18191" s="5">
        <v>118.5</v>
      </c>
      <c r="I18191" s="5"/>
      <c r="J18191" s="5"/>
      <c r="K18191" s="5"/>
    </row>
    <row r="18192" spans="1:11" x14ac:dyDescent="0.25">
      <c r="A18192" s="5">
        <f>18185</f>
      </c>
      <c r="B18192" s="5" t="s">
        <v>18200</v>
      </c>
      <c r="C18192" s="5">
        <v>119.9</v>
      </c>
      <c r="D18192" s="5">
        <v>0.1</v>
      </c>
      <c r="E18192" s="5">
        <v>120.1</v>
      </c>
      <c r="F18192" s="5">
        <v>238.7</v>
      </c>
      <c r="G18192" s="5">
        <v>118.7</v>
      </c>
      <c r="H18192" s="5">
        <v>118.5</v>
      </c>
      <c r="I18192" s="5"/>
      <c r="J18192" s="5"/>
      <c r="K18192" s="5"/>
    </row>
    <row r="18193" spans="1:11" x14ac:dyDescent="0.25">
      <c r="A18193" s="5">
        <f>18186</f>
      </c>
      <c r="B18193" s="5" t="s">
        <v>18201</v>
      </c>
      <c r="C18193" s="5">
        <v>120</v>
      </c>
      <c r="D18193" s="5">
        <v>0.1</v>
      </c>
      <c r="E18193" s="5">
        <v>120.2</v>
      </c>
      <c r="F18193" s="5">
        <v>238.6</v>
      </c>
      <c r="G18193" s="5">
        <v>118.7</v>
      </c>
      <c r="H18193" s="5">
        <v>118.5</v>
      </c>
      <c r="I18193" s="5"/>
      <c r="J18193" s="5"/>
      <c r="K18193" s="5"/>
    </row>
    <row r="18194" spans="1:11" x14ac:dyDescent="0.25">
      <c r="A18194" s="5">
        <f>18187</f>
      </c>
      <c r="B18194" s="5" t="s">
        <v>18202</v>
      </c>
      <c r="C18194" s="5">
        <v>120</v>
      </c>
      <c r="D18194" s="5">
        <v>0.1</v>
      </c>
      <c r="E18194" s="5">
        <v>120.2</v>
      </c>
      <c r="F18194" s="5">
        <v>238.6</v>
      </c>
      <c r="G18194" s="5">
        <v>118.7</v>
      </c>
      <c r="H18194" s="5">
        <v>118.5</v>
      </c>
      <c r="I18194" s="5"/>
      <c r="J18194" s="5"/>
      <c r="K18194" s="5"/>
    </row>
    <row r="18195" spans="1:11" x14ac:dyDescent="0.25">
      <c r="A18195" s="5">
        <f>18188</f>
      </c>
      <c r="B18195" s="5" t="s">
        <v>18203</v>
      </c>
      <c r="C18195" s="5">
        <v>119.9</v>
      </c>
      <c r="D18195" s="5">
        <v>0.1</v>
      </c>
      <c r="E18195" s="5">
        <v>120</v>
      </c>
      <c r="F18195" s="5">
        <v>238.8</v>
      </c>
      <c r="G18195" s="5">
        <v>118.7</v>
      </c>
      <c r="H18195" s="5">
        <v>118.5</v>
      </c>
      <c r="I18195" s="5"/>
      <c r="J18195" s="5"/>
      <c r="K18195" s="5"/>
    </row>
    <row r="18196" spans="1:11" x14ac:dyDescent="0.25">
      <c r="A18196" s="5">
        <f>18189</f>
      </c>
      <c r="B18196" s="5" t="s">
        <v>18204</v>
      </c>
      <c r="C18196" s="5">
        <v>119.9</v>
      </c>
      <c r="D18196" s="5">
        <v>0.1</v>
      </c>
      <c r="E18196" s="5">
        <v>120</v>
      </c>
      <c r="F18196" s="5">
        <v>238.8</v>
      </c>
      <c r="G18196" s="5">
        <v>118.7</v>
      </c>
      <c r="H18196" s="5">
        <v>118.5</v>
      </c>
      <c r="I18196" s="5"/>
      <c r="J18196" s="5"/>
      <c r="K18196" s="5"/>
    </row>
    <row r="18197" spans="1:11" x14ac:dyDescent="0.25">
      <c r="A18197" s="5">
        <f>18190</f>
      </c>
      <c r="B18197" s="5" t="s">
        <v>18205</v>
      </c>
      <c r="C18197" s="5">
        <v>119.9</v>
      </c>
      <c r="D18197" s="5">
        <v>0.1</v>
      </c>
      <c r="E18197" s="5">
        <v>120</v>
      </c>
      <c r="F18197" s="5">
        <v>238.8</v>
      </c>
      <c r="G18197" s="5">
        <v>118.7</v>
      </c>
      <c r="H18197" s="5">
        <v>118.5</v>
      </c>
      <c r="I18197" s="5"/>
      <c r="J18197" s="5"/>
      <c r="K18197" s="5"/>
    </row>
    <row r="18198" spans="1:11" x14ac:dyDescent="0.25">
      <c r="A18198" s="5">
        <f>18191</f>
      </c>
      <c r="B18198" s="5" t="s">
        <v>18206</v>
      </c>
      <c r="C18198" s="5">
        <v>119.9</v>
      </c>
      <c r="D18198" s="5">
        <v>0.1</v>
      </c>
      <c r="E18198" s="5">
        <v>120</v>
      </c>
      <c r="F18198" s="5">
        <v>238.8</v>
      </c>
      <c r="G18198" s="5">
        <v>118.7</v>
      </c>
      <c r="H18198" s="5">
        <v>118.5</v>
      </c>
      <c r="I18198" s="5"/>
      <c r="J18198" s="5"/>
      <c r="K18198" s="5"/>
    </row>
    <row r="18199" spans="1:11" x14ac:dyDescent="0.25">
      <c r="A18199" s="5">
        <f>18192</f>
      </c>
      <c r="B18199" s="5" t="s">
        <v>18207</v>
      </c>
      <c r="C18199" s="5">
        <v>119.5</v>
      </c>
      <c r="D18199" s="5">
        <v>0.1</v>
      </c>
      <c r="E18199" s="5">
        <v>119.6</v>
      </c>
      <c r="F18199" s="5">
        <v>238.1</v>
      </c>
      <c r="G18199" s="5">
        <v>118.4</v>
      </c>
      <c r="H18199" s="5">
        <v>118.2</v>
      </c>
      <c r="I18199" s="5"/>
      <c r="J18199" s="5"/>
      <c r="K18199" s="5"/>
    </row>
    <row r="18200" spans="1:11" x14ac:dyDescent="0.25">
      <c r="A18200" s="5">
        <f>18193</f>
      </c>
      <c r="B18200" s="5" t="s">
        <v>18208</v>
      </c>
      <c r="C18200" s="5">
        <v>119.5</v>
      </c>
      <c r="D18200" s="5">
        <v>0.1</v>
      </c>
      <c r="E18200" s="5">
        <v>119.6</v>
      </c>
      <c r="F18200" s="5">
        <v>238.1</v>
      </c>
      <c r="G18200" s="5">
        <v>118.4</v>
      </c>
      <c r="H18200" s="5">
        <v>118.2</v>
      </c>
      <c r="I18200" s="5"/>
      <c r="J18200" s="5"/>
      <c r="K18200" s="5"/>
    </row>
    <row r="18201" spans="1:11" x14ac:dyDescent="0.25">
      <c r="A18201" s="5">
        <f>18194</f>
      </c>
      <c r="B18201" s="5" t="s">
        <v>18209</v>
      </c>
      <c r="C18201" s="5">
        <v>119.5</v>
      </c>
      <c r="D18201" s="5">
        <v>0.1</v>
      </c>
      <c r="E18201" s="5">
        <v>119.6</v>
      </c>
      <c r="F18201" s="5">
        <v>237.8</v>
      </c>
      <c r="G18201" s="5">
        <v>118.3</v>
      </c>
      <c r="H18201" s="5">
        <v>118.1</v>
      </c>
      <c r="I18201" s="5"/>
      <c r="J18201" s="5"/>
      <c r="K18201" s="5"/>
    </row>
    <row r="18202" spans="1:11" x14ac:dyDescent="0.25">
      <c r="A18202" s="5">
        <f>18195</f>
      </c>
      <c r="B18202" s="5" t="s">
        <v>18210</v>
      </c>
      <c r="C18202" s="5">
        <v>119.5</v>
      </c>
      <c r="D18202" s="5">
        <v>0.1</v>
      </c>
      <c r="E18202" s="5">
        <v>119.6</v>
      </c>
      <c r="F18202" s="5">
        <v>237.8</v>
      </c>
      <c r="G18202" s="5">
        <v>118.3</v>
      </c>
      <c r="H18202" s="5">
        <v>118.1</v>
      </c>
      <c r="I18202" s="5"/>
      <c r="J18202" s="5"/>
      <c r="K18202" s="5"/>
    </row>
    <row r="18203" spans="1:11" x14ac:dyDescent="0.25">
      <c r="A18203" s="5">
        <f>18196</f>
      </c>
      <c r="B18203" s="5" t="s">
        <v>18211</v>
      </c>
      <c r="C18203" s="5">
        <v>119.6</v>
      </c>
      <c r="D18203" s="5">
        <v>0.1</v>
      </c>
      <c r="E18203" s="5">
        <v>119.8</v>
      </c>
      <c r="F18203" s="5">
        <v>237.9</v>
      </c>
      <c r="G18203" s="5">
        <v>118.3</v>
      </c>
      <c r="H18203" s="5">
        <v>118.1</v>
      </c>
      <c r="I18203" s="5"/>
      <c r="J18203" s="5"/>
      <c r="K18203" s="5"/>
    </row>
    <row r="18204" spans="1:11" x14ac:dyDescent="0.25">
      <c r="A18204" s="5">
        <f>18197</f>
      </c>
      <c r="B18204" s="5" t="s">
        <v>18212</v>
      </c>
      <c r="C18204" s="5">
        <v>119.6</v>
      </c>
      <c r="D18204" s="5">
        <v>0.1</v>
      </c>
      <c r="E18204" s="5">
        <v>119.8</v>
      </c>
      <c r="F18204" s="5">
        <v>237.9</v>
      </c>
      <c r="G18204" s="5">
        <v>118.3</v>
      </c>
      <c r="H18204" s="5">
        <v>118.1</v>
      </c>
      <c r="I18204" s="5"/>
      <c r="J18204" s="5"/>
      <c r="K18204" s="5"/>
    </row>
    <row r="18205" spans="1:11" x14ac:dyDescent="0.25">
      <c r="A18205" s="5">
        <f>18198</f>
      </c>
      <c r="B18205" s="5" t="s">
        <v>18213</v>
      </c>
      <c r="C18205" s="5">
        <v>119.4</v>
      </c>
      <c r="D18205" s="5">
        <v>0.1</v>
      </c>
      <c r="E18205" s="5">
        <v>119.6</v>
      </c>
      <c r="F18205" s="5">
        <v>237.8</v>
      </c>
      <c r="G18205" s="5">
        <v>118.3</v>
      </c>
      <c r="H18205" s="5">
        <v>118.1</v>
      </c>
      <c r="I18205" s="5"/>
      <c r="J18205" s="5"/>
      <c r="K18205" s="5"/>
    </row>
    <row r="18206" spans="1:11" x14ac:dyDescent="0.25">
      <c r="A18206" s="5">
        <f>18199</f>
      </c>
      <c r="B18206" s="5" t="s">
        <v>18214</v>
      </c>
      <c r="C18206" s="5">
        <v>119.4</v>
      </c>
      <c r="D18206" s="5">
        <v>0.1</v>
      </c>
      <c r="E18206" s="5">
        <v>119.6</v>
      </c>
      <c r="F18206" s="5">
        <v>237.8</v>
      </c>
      <c r="G18206" s="5">
        <v>118.3</v>
      </c>
      <c r="H18206" s="5">
        <v>118.1</v>
      </c>
      <c r="I18206" s="5"/>
      <c r="J18206" s="5"/>
      <c r="K18206" s="5"/>
    </row>
    <row r="18207" spans="1:11" x14ac:dyDescent="0.25">
      <c r="A18207" s="5">
        <f>18200</f>
      </c>
      <c r="B18207" s="5" t="s">
        <v>18215</v>
      </c>
      <c r="C18207" s="5">
        <v>119.4</v>
      </c>
      <c r="D18207" s="5">
        <v>0.1</v>
      </c>
      <c r="E18207" s="5">
        <v>119.6</v>
      </c>
      <c r="F18207" s="5">
        <v>237.8</v>
      </c>
      <c r="G18207" s="5">
        <v>118.3</v>
      </c>
      <c r="H18207" s="5">
        <v>118.1</v>
      </c>
      <c r="I18207" s="5"/>
      <c r="J18207" s="5"/>
      <c r="K18207" s="5"/>
    </row>
    <row r="18208" spans="1:11" x14ac:dyDescent="0.25">
      <c r="A18208" s="5">
        <f>18201</f>
      </c>
      <c r="B18208" s="5" t="s">
        <v>18216</v>
      </c>
      <c r="C18208" s="5">
        <v>119.4</v>
      </c>
      <c r="D18208" s="5">
        <v>0.1</v>
      </c>
      <c r="E18208" s="5">
        <v>119.6</v>
      </c>
      <c r="F18208" s="5">
        <v>237.8</v>
      </c>
      <c r="G18208" s="5">
        <v>118.3</v>
      </c>
      <c r="H18208" s="5">
        <v>118.1</v>
      </c>
      <c r="I18208" s="5"/>
      <c r="J18208" s="5"/>
      <c r="K18208" s="5"/>
    </row>
    <row r="18209" spans="1:11" x14ac:dyDescent="0.25">
      <c r="A18209" s="5">
        <f>18202</f>
      </c>
      <c r="B18209" s="5" t="s">
        <v>18217</v>
      </c>
      <c r="C18209" s="5">
        <v>119.1</v>
      </c>
      <c r="D18209" s="5">
        <v>0.1</v>
      </c>
      <c r="E18209" s="5">
        <v>119.3</v>
      </c>
      <c r="F18209" s="5">
        <v>236.9</v>
      </c>
      <c r="G18209" s="5">
        <v>117.8</v>
      </c>
      <c r="H18209" s="5">
        <v>117.7</v>
      </c>
      <c r="I18209" s="5"/>
      <c r="J18209" s="5"/>
      <c r="K18209" s="5"/>
    </row>
    <row r="18210" spans="1:11" x14ac:dyDescent="0.25">
      <c r="A18210" s="5">
        <f>18203</f>
      </c>
      <c r="B18210" s="5" t="s">
        <v>18218</v>
      </c>
      <c r="C18210" s="5">
        <v>119.1</v>
      </c>
      <c r="D18210" s="5">
        <v>0.1</v>
      </c>
      <c r="E18210" s="5">
        <v>119.3</v>
      </c>
      <c r="F18210" s="5">
        <v>236.9</v>
      </c>
      <c r="G18210" s="5">
        <v>117.8</v>
      </c>
      <c r="H18210" s="5">
        <v>117.7</v>
      </c>
      <c r="I18210" s="5"/>
      <c r="J18210" s="5"/>
      <c r="K18210" s="5"/>
    </row>
    <row r="18211" spans="1:11" x14ac:dyDescent="0.25">
      <c r="A18211" s="5">
        <f>18204</f>
      </c>
      <c r="B18211" s="5" t="s">
        <v>18219</v>
      </c>
      <c r="C18211" s="5">
        <v>119</v>
      </c>
      <c r="D18211" s="5">
        <v>0.1</v>
      </c>
      <c r="E18211" s="5">
        <v>119.2</v>
      </c>
      <c r="F18211" s="5">
        <v>236.8</v>
      </c>
      <c r="G18211" s="5">
        <v>117.7</v>
      </c>
      <c r="H18211" s="5">
        <v>117.6</v>
      </c>
      <c r="I18211" s="5"/>
      <c r="J18211" s="5"/>
      <c r="K18211" s="5"/>
    </row>
    <row r="18212" spans="1:11" x14ac:dyDescent="0.25">
      <c r="A18212" s="5">
        <f>18205</f>
      </c>
      <c r="B18212" s="5" t="s">
        <v>18220</v>
      </c>
      <c r="C18212" s="5">
        <v>119</v>
      </c>
      <c r="D18212" s="5">
        <v>0.1</v>
      </c>
      <c r="E18212" s="5">
        <v>119.2</v>
      </c>
      <c r="F18212" s="5">
        <v>236.8</v>
      </c>
      <c r="G18212" s="5">
        <v>117.7</v>
      </c>
      <c r="H18212" s="5">
        <v>117.6</v>
      </c>
      <c r="I18212" s="5"/>
      <c r="J18212" s="5"/>
      <c r="K18212" s="5"/>
    </row>
    <row r="18213" spans="1:11" x14ac:dyDescent="0.25">
      <c r="A18213" s="5">
        <f>18206</f>
      </c>
      <c r="B18213" s="5" t="s">
        <v>18221</v>
      </c>
      <c r="C18213" s="5">
        <v>119.5</v>
      </c>
      <c r="D18213" s="5">
        <v>0.1</v>
      </c>
      <c r="E18213" s="5">
        <v>119.6</v>
      </c>
      <c r="F18213" s="5">
        <v>237.1</v>
      </c>
      <c r="G18213" s="5">
        <v>117.9</v>
      </c>
      <c r="H18213" s="5">
        <v>117.8</v>
      </c>
      <c r="I18213" s="5"/>
      <c r="J18213" s="5"/>
      <c r="K18213" s="5"/>
    </row>
    <row r="18214" spans="1:11" x14ac:dyDescent="0.25">
      <c r="A18214" s="5">
        <f>18207</f>
      </c>
      <c r="B18214" s="5" t="s">
        <v>18222</v>
      </c>
      <c r="C18214" s="5">
        <v>119.5</v>
      </c>
      <c r="D18214" s="5">
        <v>0.1</v>
      </c>
      <c r="E18214" s="5">
        <v>119.6</v>
      </c>
      <c r="F18214" s="5">
        <v>237.1</v>
      </c>
      <c r="G18214" s="5">
        <v>117.9</v>
      </c>
      <c r="H18214" s="5">
        <v>117.8</v>
      </c>
      <c r="I18214" s="5"/>
      <c r="J18214" s="5"/>
      <c r="K18214" s="5"/>
    </row>
    <row r="18215" spans="1:11" x14ac:dyDescent="0.25">
      <c r="A18215" s="5">
        <f>18208</f>
      </c>
      <c r="B18215" s="5" t="s">
        <v>18223</v>
      </c>
      <c r="C18215" s="5">
        <v>119.2</v>
      </c>
      <c r="D18215" s="5">
        <v>0.1</v>
      </c>
      <c r="E18215" s="5">
        <v>119.3</v>
      </c>
      <c r="F18215" s="5">
        <v>237</v>
      </c>
      <c r="G18215" s="5">
        <v>117.9</v>
      </c>
      <c r="H18215" s="5">
        <v>117.8</v>
      </c>
      <c r="I18215" s="5"/>
      <c r="J18215" s="5"/>
      <c r="K18215" s="5"/>
    </row>
    <row r="18216" spans="1:11" x14ac:dyDescent="0.25">
      <c r="A18216" s="5">
        <f>18209</f>
      </c>
      <c r="B18216" s="5" t="s">
        <v>18224</v>
      </c>
      <c r="C18216" s="5">
        <v>119.2</v>
      </c>
      <c r="D18216" s="5">
        <v>0.1</v>
      </c>
      <c r="E18216" s="5">
        <v>119.3</v>
      </c>
      <c r="F18216" s="5">
        <v>237</v>
      </c>
      <c r="G18216" s="5">
        <v>117.9</v>
      </c>
      <c r="H18216" s="5">
        <v>117.8</v>
      </c>
      <c r="I18216" s="5"/>
      <c r="J18216" s="5"/>
      <c r="K18216" s="5"/>
    </row>
    <row r="18217" spans="1:11" x14ac:dyDescent="0.25">
      <c r="A18217" s="5">
        <f>18210</f>
      </c>
      <c r="B18217" s="5" t="s">
        <v>18225</v>
      </c>
      <c r="C18217" s="5">
        <v>119.2</v>
      </c>
      <c r="D18217" s="5">
        <v>0.1</v>
      </c>
      <c r="E18217" s="5">
        <v>119.3</v>
      </c>
      <c r="F18217" s="5">
        <v>237</v>
      </c>
      <c r="G18217" s="5">
        <v>117.9</v>
      </c>
      <c r="H18217" s="5">
        <v>117.8</v>
      </c>
      <c r="I18217" s="5"/>
      <c r="J18217" s="5"/>
      <c r="K18217" s="5"/>
    </row>
    <row r="18218" spans="1:11" x14ac:dyDescent="0.25">
      <c r="A18218" s="5">
        <f>18211</f>
      </c>
      <c r="B18218" s="5" t="s">
        <v>18226</v>
      </c>
      <c r="C18218" s="5">
        <v>119.2</v>
      </c>
      <c r="D18218" s="5">
        <v>0.1</v>
      </c>
      <c r="E18218" s="5">
        <v>119.3</v>
      </c>
      <c r="F18218" s="5">
        <v>237</v>
      </c>
      <c r="G18218" s="5">
        <v>117.9</v>
      </c>
      <c r="H18218" s="5">
        <v>117.8</v>
      </c>
      <c r="I18218" s="5"/>
      <c r="J18218" s="5"/>
      <c r="K18218" s="5"/>
    </row>
    <row r="18219" spans="1:11" x14ac:dyDescent="0.25">
      <c r="A18219" s="5">
        <f>18212</f>
      </c>
      <c r="B18219" s="5" t="s">
        <v>18227</v>
      </c>
      <c r="C18219" s="5">
        <v>119.1</v>
      </c>
      <c r="D18219" s="5">
        <v>0.1</v>
      </c>
      <c r="E18219" s="5">
        <v>119.3</v>
      </c>
      <c r="F18219" s="5">
        <v>236.9</v>
      </c>
      <c r="G18219" s="5">
        <v>117.8</v>
      </c>
      <c r="H18219" s="5">
        <v>117.7</v>
      </c>
      <c r="I18219" s="5"/>
      <c r="J18219" s="5"/>
      <c r="K18219" s="5"/>
    </row>
    <row r="18220" spans="1:11" x14ac:dyDescent="0.25">
      <c r="A18220" s="5">
        <f>18213</f>
      </c>
      <c r="B18220" s="5" t="s">
        <v>18228</v>
      </c>
      <c r="C18220" s="5">
        <v>119.1</v>
      </c>
      <c r="D18220" s="5">
        <v>0.1</v>
      </c>
      <c r="E18220" s="5">
        <v>119.3</v>
      </c>
      <c r="F18220" s="5">
        <v>236.9</v>
      </c>
      <c r="G18220" s="5">
        <v>117.8</v>
      </c>
      <c r="H18220" s="5">
        <v>117.7</v>
      </c>
      <c r="I18220" s="5"/>
      <c r="J18220" s="5"/>
      <c r="K18220" s="5"/>
    </row>
    <row r="18221" spans="1:11" x14ac:dyDescent="0.25">
      <c r="A18221" s="5">
        <f>18214</f>
      </c>
      <c r="B18221" s="5" t="s">
        <v>18229</v>
      </c>
      <c r="C18221" s="5">
        <v>119.2</v>
      </c>
      <c r="D18221" s="5">
        <v>0.1</v>
      </c>
      <c r="E18221" s="5">
        <v>119.3</v>
      </c>
      <c r="F18221" s="5">
        <v>236.9</v>
      </c>
      <c r="G18221" s="5">
        <v>117.8</v>
      </c>
      <c r="H18221" s="5">
        <v>117.6</v>
      </c>
      <c r="I18221" s="5"/>
      <c r="J18221" s="5"/>
      <c r="K18221" s="5"/>
    </row>
    <row r="18222" spans="1:11" x14ac:dyDescent="0.25">
      <c r="A18222" s="5">
        <f>18215</f>
      </c>
      <c r="B18222" s="5" t="s">
        <v>18230</v>
      </c>
      <c r="C18222" s="5">
        <v>119.2</v>
      </c>
      <c r="D18222" s="5">
        <v>0.1</v>
      </c>
      <c r="E18222" s="5">
        <v>119.3</v>
      </c>
      <c r="F18222" s="5">
        <v>236.9</v>
      </c>
      <c r="G18222" s="5">
        <v>117.8</v>
      </c>
      <c r="H18222" s="5">
        <v>117.6</v>
      </c>
      <c r="I18222" s="5"/>
      <c r="J18222" s="5"/>
      <c r="K18222" s="5"/>
    </row>
    <row r="18223" spans="1:11" x14ac:dyDescent="0.25">
      <c r="A18223" s="5">
        <f>18216</f>
      </c>
      <c r="B18223" s="5" t="s">
        <v>18231</v>
      </c>
      <c r="C18223" s="5">
        <v>119.3</v>
      </c>
      <c r="D18223" s="5">
        <v>0.1</v>
      </c>
      <c r="E18223" s="5">
        <v>119.5</v>
      </c>
      <c r="F18223" s="5">
        <v>236.9</v>
      </c>
      <c r="G18223" s="5">
        <v>117.8</v>
      </c>
      <c r="H18223" s="5">
        <v>117.6</v>
      </c>
      <c r="I18223" s="5"/>
      <c r="J18223" s="5"/>
      <c r="K18223" s="5"/>
    </row>
    <row r="18224" spans="1:11" x14ac:dyDescent="0.25">
      <c r="A18224" s="5">
        <f>18217</f>
      </c>
      <c r="B18224" s="5" t="s">
        <v>18232</v>
      </c>
      <c r="C18224" s="5">
        <v>119.3</v>
      </c>
      <c r="D18224" s="5">
        <v>0.1</v>
      </c>
      <c r="E18224" s="5">
        <v>119.5</v>
      </c>
      <c r="F18224" s="5">
        <v>236.9</v>
      </c>
      <c r="G18224" s="5">
        <v>117.8</v>
      </c>
      <c r="H18224" s="5">
        <v>117.6</v>
      </c>
      <c r="I18224" s="5"/>
      <c r="J18224" s="5"/>
      <c r="K18224" s="5"/>
    </row>
    <row r="18225" spans="1:11" x14ac:dyDescent="0.25">
      <c r="A18225" s="5">
        <f>18218</f>
      </c>
      <c r="B18225" s="5" t="s">
        <v>18233</v>
      </c>
      <c r="C18225" s="5">
        <v>119</v>
      </c>
      <c r="D18225" s="5">
        <v>0.1</v>
      </c>
      <c r="E18225" s="5">
        <v>119.2</v>
      </c>
      <c r="F18225" s="5">
        <v>236.5</v>
      </c>
      <c r="G18225" s="5">
        <v>117.6</v>
      </c>
      <c r="H18225" s="5">
        <v>117.4</v>
      </c>
      <c r="I18225" s="5"/>
      <c r="J18225" s="5"/>
      <c r="K18225" s="5"/>
    </row>
    <row r="18226" spans="1:11" x14ac:dyDescent="0.25">
      <c r="A18226" s="5">
        <f>18219</f>
      </c>
      <c r="B18226" s="5" t="s">
        <v>18234</v>
      </c>
      <c r="C18226" s="5">
        <v>119</v>
      </c>
      <c r="D18226" s="5">
        <v>0.1</v>
      </c>
      <c r="E18226" s="5">
        <v>119.2</v>
      </c>
      <c r="F18226" s="5">
        <v>236.5</v>
      </c>
      <c r="G18226" s="5">
        <v>117.6</v>
      </c>
      <c r="H18226" s="5">
        <v>117.4</v>
      </c>
      <c r="I18226" s="5"/>
      <c r="J18226" s="5"/>
      <c r="K18226" s="5"/>
    </row>
    <row r="18227" spans="1:11" x14ac:dyDescent="0.25">
      <c r="A18227" s="5">
        <f>18220</f>
      </c>
      <c r="B18227" s="5" t="s">
        <v>18235</v>
      </c>
      <c r="C18227" s="5">
        <v>119</v>
      </c>
      <c r="D18227" s="5">
        <v>0.1</v>
      </c>
      <c r="E18227" s="5">
        <v>119.2</v>
      </c>
      <c r="F18227" s="5">
        <v>236.5</v>
      </c>
      <c r="G18227" s="5">
        <v>117.6</v>
      </c>
      <c r="H18227" s="5">
        <v>117.4</v>
      </c>
      <c r="I18227" s="5"/>
      <c r="J18227" s="5"/>
      <c r="K18227" s="5"/>
    </row>
    <row r="18228" spans="1:11" x14ac:dyDescent="0.25">
      <c r="A18228" s="5">
        <f>18221</f>
      </c>
      <c r="B18228" s="5" t="s">
        <v>18236</v>
      </c>
      <c r="C18228" s="5">
        <v>119</v>
      </c>
      <c r="D18228" s="5">
        <v>0.1</v>
      </c>
      <c r="E18228" s="5">
        <v>119.2</v>
      </c>
      <c r="F18228" s="5">
        <v>236.5</v>
      </c>
      <c r="G18228" s="5">
        <v>117.6</v>
      </c>
      <c r="H18228" s="5">
        <v>117.4</v>
      </c>
      <c r="I18228" s="5"/>
      <c r="J18228" s="5"/>
      <c r="K18228" s="5"/>
    </row>
    <row r="18229" spans="1:11" x14ac:dyDescent="0.25">
      <c r="A18229" s="5">
        <f>18222</f>
      </c>
      <c r="B18229" s="5" t="s">
        <v>18237</v>
      </c>
      <c r="C18229" s="5">
        <v>119.3</v>
      </c>
      <c r="D18229" s="5">
        <v>0.1</v>
      </c>
      <c r="E18229" s="5">
        <v>119.5</v>
      </c>
      <c r="F18229" s="5">
        <v>237</v>
      </c>
      <c r="G18229" s="5">
        <v>117.8</v>
      </c>
      <c r="H18229" s="5">
        <v>117.6</v>
      </c>
      <c r="I18229" s="5"/>
      <c r="J18229" s="5"/>
      <c r="K18229" s="5"/>
    </row>
    <row r="18230" spans="1:11" x14ac:dyDescent="0.25">
      <c r="A18230" s="5">
        <f>18223</f>
      </c>
      <c r="B18230" s="5" t="s">
        <v>18238</v>
      </c>
      <c r="C18230" s="5">
        <v>119.3</v>
      </c>
      <c r="D18230" s="5">
        <v>0.1</v>
      </c>
      <c r="E18230" s="5">
        <v>119.5</v>
      </c>
      <c r="F18230" s="5">
        <v>237</v>
      </c>
      <c r="G18230" s="5">
        <v>117.8</v>
      </c>
      <c r="H18230" s="5">
        <v>117.6</v>
      </c>
      <c r="I18230" s="5"/>
      <c r="J18230" s="5"/>
      <c r="K18230" s="5"/>
    </row>
    <row r="18231" spans="1:11" x14ac:dyDescent="0.25">
      <c r="A18231" s="5">
        <f>18224</f>
      </c>
      <c r="B18231" s="5" t="s">
        <v>18239</v>
      </c>
      <c r="C18231" s="5">
        <v>118.6</v>
      </c>
      <c r="D18231" s="5">
        <v>0.1</v>
      </c>
      <c r="E18231" s="5">
        <v>118.7</v>
      </c>
      <c r="F18231" s="5">
        <v>236.4</v>
      </c>
      <c r="G18231" s="5">
        <v>117.5</v>
      </c>
      <c r="H18231" s="5">
        <v>117.4</v>
      </c>
      <c r="I18231" s="5"/>
      <c r="J18231" s="5"/>
      <c r="K18231" s="5"/>
    </row>
    <row r="18232" spans="1:11" x14ac:dyDescent="0.25">
      <c r="A18232" s="5">
        <f>18225</f>
      </c>
      <c r="B18232" s="5" t="s">
        <v>18240</v>
      </c>
      <c r="C18232" s="5">
        <v>118.6</v>
      </c>
      <c r="D18232" s="5">
        <v>0.1</v>
      </c>
      <c r="E18232" s="5">
        <v>118.7</v>
      </c>
      <c r="F18232" s="5">
        <v>236.4</v>
      </c>
      <c r="G18232" s="5">
        <v>117.5</v>
      </c>
      <c r="H18232" s="5">
        <v>117.4</v>
      </c>
      <c r="I18232" s="5"/>
      <c r="J18232" s="5"/>
      <c r="K18232" s="5"/>
    </row>
    <row r="18233" spans="1:11" x14ac:dyDescent="0.25">
      <c r="A18233" s="5">
        <f>18226</f>
      </c>
      <c r="B18233" s="5" t="s">
        <v>18241</v>
      </c>
      <c r="C18233" s="5">
        <v>118.9</v>
      </c>
      <c r="D18233" s="5">
        <v>0.1</v>
      </c>
      <c r="E18233" s="5">
        <v>119</v>
      </c>
      <c r="F18233" s="5">
        <v>236.8</v>
      </c>
      <c r="G18233" s="5">
        <v>117.7</v>
      </c>
      <c r="H18233" s="5">
        <v>117.5</v>
      </c>
      <c r="I18233" s="5"/>
      <c r="J18233" s="5"/>
      <c r="K18233" s="5"/>
    </row>
    <row r="18234" spans="1:11" x14ac:dyDescent="0.25">
      <c r="A18234" s="5">
        <f>18227</f>
      </c>
      <c r="B18234" s="5" t="s">
        <v>18242</v>
      </c>
      <c r="C18234" s="5">
        <v>118.9</v>
      </c>
      <c r="D18234" s="5">
        <v>0.1</v>
      </c>
      <c r="E18234" s="5">
        <v>119</v>
      </c>
      <c r="F18234" s="5">
        <v>236.8</v>
      </c>
      <c r="G18234" s="5">
        <v>117.7</v>
      </c>
      <c r="H18234" s="5">
        <v>117.5</v>
      </c>
      <c r="I18234" s="5"/>
      <c r="J18234" s="5"/>
      <c r="K18234" s="5"/>
    </row>
    <row r="18235" spans="1:11" x14ac:dyDescent="0.25">
      <c r="A18235" s="5">
        <f>18228</f>
      </c>
      <c r="B18235" s="5" t="s">
        <v>18243</v>
      </c>
      <c r="C18235" s="5">
        <v>119</v>
      </c>
      <c r="D18235" s="5">
        <v>0.1</v>
      </c>
      <c r="E18235" s="5">
        <v>119.1</v>
      </c>
      <c r="F18235" s="5">
        <v>237</v>
      </c>
      <c r="G18235" s="5">
        <v>117.9</v>
      </c>
      <c r="H18235" s="5">
        <v>117.7</v>
      </c>
      <c r="I18235" s="5"/>
      <c r="J18235" s="5"/>
      <c r="K18235" s="5"/>
    </row>
    <row r="18236" spans="1:11" x14ac:dyDescent="0.25">
      <c r="A18236" s="5">
        <f>18229</f>
      </c>
      <c r="B18236" s="5" t="s">
        <v>18244</v>
      </c>
      <c r="C18236" s="5">
        <v>119</v>
      </c>
      <c r="D18236" s="5">
        <v>0.1</v>
      </c>
      <c r="E18236" s="5">
        <v>119.1</v>
      </c>
      <c r="F18236" s="5">
        <v>237</v>
      </c>
      <c r="G18236" s="5">
        <v>117.9</v>
      </c>
      <c r="H18236" s="5">
        <v>117.7</v>
      </c>
      <c r="I18236" s="5"/>
      <c r="J18236" s="5"/>
      <c r="K18236" s="5"/>
    </row>
    <row r="18237" spans="1:11" x14ac:dyDescent="0.25">
      <c r="A18237" s="5">
        <f>18230</f>
      </c>
      <c r="B18237" s="5" t="s">
        <v>18245</v>
      </c>
      <c r="C18237" s="5">
        <v>119</v>
      </c>
      <c r="D18237" s="5">
        <v>0.1</v>
      </c>
      <c r="E18237" s="5">
        <v>119.1</v>
      </c>
      <c r="F18237" s="5">
        <v>237</v>
      </c>
      <c r="G18237" s="5">
        <v>117.9</v>
      </c>
      <c r="H18237" s="5">
        <v>117.7</v>
      </c>
      <c r="I18237" s="5"/>
      <c r="J18237" s="5"/>
      <c r="K18237" s="5"/>
    </row>
    <row r="18238" spans="1:11" x14ac:dyDescent="0.25">
      <c r="A18238" s="5">
        <f>18231</f>
      </c>
      <c r="B18238" s="5" t="s">
        <v>18246</v>
      </c>
      <c r="C18238" s="5">
        <v>119</v>
      </c>
      <c r="D18238" s="5">
        <v>0.1</v>
      </c>
      <c r="E18238" s="5">
        <v>119.1</v>
      </c>
      <c r="F18238" s="5">
        <v>237</v>
      </c>
      <c r="G18238" s="5">
        <v>117.9</v>
      </c>
      <c r="H18238" s="5">
        <v>117.7</v>
      </c>
      <c r="I18238" s="5"/>
      <c r="J18238" s="5"/>
      <c r="K18238" s="5"/>
    </row>
    <row r="18239" spans="1:11" x14ac:dyDescent="0.25">
      <c r="A18239" s="5">
        <f>18232</f>
      </c>
      <c r="B18239" s="5" t="s">
        <v>18247</v>
      </c>
      <c r="C18239" s="5">
        <v>119.3</v>
      </c>
      <c r="D18239" s="5">
        <v>0.1</v>
      </c>
      <c r="E18239" s="5">
        <v>119.5</v>
      </c>
      <c r="F18239" s="5">
        <v>237.1</v>
      </c>
      <c r="G18239" s="5">
        <v>117.9</v>
      </c>
      <c r="H18239" s="5">
        <v>117.7</v>
      </c>
      <c r="I18239" s="5"/>
      <c r="J18239" s="5"/>
      <c r="K18239" s="5"/>
    </row>
    <row r="18240" spans="1:11" x14ac:dyDescent="0.25">
      <c r="A18240" s="5">
        <f>18233</f>
      </c>
      <c r="B18240" s="5" t="s">
        <v>18248</v>
      </c>
      <c r="C18240" s="5">
        <v>119.3</v>
      </c>
      <c r="D18240" s="5">
        <v>0.1</v>
      </c>
      <c r="E18240" s="5">
        <v>119.5</v>
      </c>
      <c r="F18240" s="5">
        <v>237.1</v>
      </c>
      <c r="G18240" s="5">
        <v>117.9</v>
      </c>
      <c r="H18240" s="5">
        <v>117.7</v>
      </c>
      <c r="I18240" s="5"/>
      <c r="J18240" s="5"/>
      <c r="K18240" s="5"/>
    </row>
    <row r="18241" spans="1:11" x14ac:dyDescent="0.25">
      <c r="A18241" s="5">
        <f>18234</f>
      </c>
      <c r="B18241" s="5" t="s">
        <v>18249</v>
      </c>
      <c r="C18241" s="5">
        <v>119</v>
      </c>
      <c r="D18241" s="5">
        <v>0.1</v>
      </c>
      <c r="E18241" s="5">
        <v>119.1</v>
      </c>
      <c r="F18241" s="5">
        <v>237.1</v>
      </c>
      <c r="G18241" s="5">
        <v>117.9</v>
      </c>
      <c r="H18241" s="5">
        <v>117.7</v>
      </c>
      <c r="I18241" s="5"/>
      <c r="J18241" s="5"/>
      <c r="K18241" s="5"/>
    </row>
    <row r="18242" spans="1:11" x14ac:dyDescent="0.25">
      <c r="A18242" s="5">
        <f>18235</f>
      </c>
      <c r="B18242" s="5" t="s">
        <v>18250</v>
      </c>
      <c r="C18242" s="5">
        <v>119</v>
      </c>
      <c r="D18242" s="5">
        <v>0.1</v>
      </c>
      <c r="E18242" s="5">
        <v>119.1</v>
      </c>
      <c r="F18242" s="5">
        <v>237.1</v>
      </c>
      <c r="G18242" s="5">
        <v>117.9</v>
      </c>
      <c r="H18242" s="5">
        <v>117.7</v>
      </c>
      <c r="I18242" s="5"/>
      <c r="J18242" s="5"/>
      <c r="K18242" s="5"/>
    </row>
    <row r="18243" spans="1:11" x14ac:dyDescent="0.25">
      <c r="A18243" s="5">
        <f>18236</f>
      </c>
      <c r="B18243" s="5" t="s">
        <v>18251</v>
      </c>
      <c r="C18243" s="5">
        <v>119.2</v>
      </c>
      <c r="D18243" s="5">
        <v>0.1</v>
      </c>
      <c r="E18243" s="5">
        <v>119.3</v>
      </c>
      <c r="F18243" s="5">
        <v>237.1</v>
      </c>
      <c r="G18243" s="5">
        <v>117.8</v>
      </c>
      <c r="H18243" s="5">
        <v>117.6</v>
      </c>
      <c r="I18243" s="5"/>
      <c r="J18243" s="5"/>
      <c r="K18243" s="5"/>
    </row>
    <row r="18244" spans="1:11" x14ac:dyDescent="0.25">
      <c r="A18244" s="5">
        <f>18237</f>
      </c>
      <c r="B18244" s="5" t="s">
        <v>18252</v>
      </c>
      <c r="C18244" s="5">
        <v>119.2</v>
      </c>
      <c r="D18244" s="5">
        <v>0.1</v>
      </c>
      <c r="E18244" s="5">
        <v>119.3</v>
      </c>
      <c r="F18244" s="5">
        <v>237.1</v>
      </c>
      <c r="G18244" s="5">
        <v>117.8</v>
      </c>
      <c r="H18244" s="5">
        <v>117.6</v>
      </c>
      <c r="I18244" s="5"/>
      <c r="J18244" s="5"/>
      <c r="K18244" s="5"/>
    </row>
    <row r="18245" spans="1:11" x14ac:dyDescent="0.25">
      <c r="A18245" s="5">
        <f>18238</f>
      </c>
      <c r="B18245" s="5" t="s">
        <v>18253</v>
      </c>
      <c r="C18245" s="5">
        <v>119.1</v>
      </c>
      <c r="D18245" s="5">
        <v>0.1</v>
      </c>
      <c r="E18245" s="5">
        <v>119.3</v>
      </c>
      <c r="F18245" s="5">
        <v>236.9</v>
      </c>
      <c r="G18245" s="5">
        <v>117.7</v>
      </c>
      <c r="H18245" s="5">
        <v>117.6</v>
      </c>
      <c r="I18245" s="5"/>
      <c r="J18245" s="5"/>
      <c r="K18245" s="5"/>
    </row>
    <row r="18246" spans="1:11" x14ac:dyDescent="0.25">
      <c r="A18246" s="5">
        <f>18239</f>
      </c>
      <c r="B18246" s="5" t="s">
        <v>18254</v>
      </c>
      <c r="C18246" s="5">
        <v>119.1</v>
      </c>
      <c r="D18246" s="5">
        <v>0.1</v>
      </c>
      <c r="E18246" s="5">
        <v>119.3</v>
      </c>
      <c r="F18246" s="5">
        <v>236.9</v>
      </c>
      <c r="G18246" s="5">
        <v>117.7</v>
      </c>
      <c r="H18246" s="5">
        <v>117.6</v>
      </c>
      <c r="I18246" s="5"/>
      <c r="J18246" s="5"/>
      <c r="K18246" s="5"/>
    </row>
    <row r="18247" spans="1:11" x14ac:dyDescent="0.25">
      <c r="A18247" s="5">
        <f>18240</f>
      </c>
      <c r="B18247" s="5" t="s">
        <v>18255</v>
      </c>
      <c r="C18247" s="5">
        <v>119.1</v>
      </c>
      <c r="D18247" s="5">
        <v>0.1</v>
      </c>
      <c r="E18247" s="5">
        <v>119.3</v>
      </c>
      <c r="F18247" s="5">
        <v>236.9</v>
      </c>
      <c r="G18247" s="5">
        <v>117.7</v>
      </c>
      <c r="H18247" s="5">
        <v>117.6</v>
      </c>
      <c r="I18247" s="5"/>
      <c r="J18247" s="5"/>
      <c r="K18247" s="5"/>
    </row>
    <row r="18248" spans="1:11" x14ac:dyDescent="0.25">
      <c r="A18248" s="5">
        <f>18241</f>
      </c>
      <c r="B18248" s="5" t="s">
        <v>18256</v>
      </c>
      <c r="C18248" s="5">
        <v>119.1</v>
      </c>
      <c r="D18248" s="5">
        <v>0.1</v>
      </c>
      <c r="E18248" s="5">
        <v>119.3</v>
      </c>
      <c r="F18248" s="5">
        <v>236.9</v>
      </c>
      <c r="G18248" s="5">
        <v>117.7</v>
      </c>
      <c r="H18248" s="5">
        <v>117.6</v>
      </c>
      <c r="I18248" s="5"/>
      <c r="J18248" s="5"/>
      <c r="K18248" s="5"/>
    </row>
    <row r="18249" spans="1:11" x14ac:dyDescent="0.25">
      <c r="A18249" s="5">
        <f>18242</f>
      </c>
      <c r="B18249" s="5" t="s">
        <v>18257</v>
      </c>
      <c r="C18249" s="5">
        <v>119.1</v>
      </c>
      <c r="D18249" s="5">
        <v>0.1</v>
      </c>
      <c r="E18249" s="5">
        <v>119.3</v>
      </c>
      <c r="F18249" s="5">
        <v>237.1</v>
      </c>
      <c r="G18249" s="5">
        <v>117.8</v>
      </c>
      <c r="H18249" s="5">
        <v>117.7</v>
      </c>
      <c r="I18249" s="5"/>
      <c r="J18249" s="5"/>
      <c r="K18249" s="5"/>
    </row>
    <row r="18250" spans="1:11" x14ac:dyDescent="0.25">
      <c r="A18250" s="5">
        <f>18243</f>
      </c>
      <c r="B18250" s="5" t="s">
        <v>18258</v>
      </c>
      <c r="C18250" s="5">
        <v>119.1</v>
      </c>
      <c r="D18250" s="5">
        <v>0.1</v>
      </c>
      <c r="E18250" s="5">
        <v>119.3</v>
      </c>
      <c r="F18250" s="5">
        <v>237.1</v>
      </c>
      <c r="G18250" s="5">
        <v>117.8</v>
      </c>
      <c r="H18250" s="5">
        <v>117.7</v>
      </c>
      <c r="I18250" s="5"/>
      <c r="J18250" s="5"/>
      <c r="K18250" s="5"/>
    </row>
    <row r="18251" spans="1:11" x14ac:dyDescent="0.25">
      <c r="A18251" s="5">
        <f>18244</f>
      </c>
      <c r="B18251" s="5" t="s">
        <v>18259</v>
      </c>
      <c r="C18251" s="5">
        <v>119.5</v>
      </c>
      <c r="D18251" s="5">
        <v>0.1</v>
      </c>
      <c r="E18251" s="5">
        <v>119.6</v>
      </c>
      <c r="F18251" s="5">
        <v>237.1</v>
      </c>
      <c r="G18251" s="5">
        <v>117.8</v>
      </c>
      <c r="H18251" s="5">
        <v>117.7</v>
      </c>
      <c r="I18251" s="5"/>
      <c r="J18251" s="5"/>
      <c r="K18251" s="5"/>
    </row>
    <row r="18252" spans="1:11" x14ac:dyDescent="0.25">
      <c r="A18252" s="5">
        <f>18245</f>
      </c>
      <c r="B18252" s="5" t="s">
        <v>18260</v>
      </c>
      <c r="C18252" s="5">
        <v>119.5</v>
      </c>
      <c r="D18252" s="5">
        <v>0.1</v>
      </c>
      <c r="E18252" s="5">
        <v>119.6</v>
      </c>
      <c r="F18252" s="5">
        <v>237.1</v>
      </c>
      <c r="G18252" s="5">
        <v>117.8</v>
      </c>
      <c r="H18252" s="5">
        <v>117.7</v>
      </c>
      <c r="I18252" s="5"/>
      <c r="J18252" s="5"/>
      <c r="K18252" s="5"/>
    </row>
    <row r="18253" spans="1:11" x14ac:dyDescent="0.25">
      <c r="A18253" s="5">
        <f>18246</f>
      </c>
      <c r="B18253" s="5" t="s">
        <v>18261</v>
      </c>
      <c r="C18253" s="5">
        <v>119.1</v>
      </c>
      <c r="D18253" s="5">
        <v>0.1</v>
      </c>
      <c r="E18253" s="5">
        <v>119.3</v>
      </c>
      <c r="F18253" s="5">
        <v>237</v>
      </c>
      <c r="G18253" s="5">
        <v>117.8</v>
      </c>
      <c r="H18253" s="5">
        <v>117.6</v>
      </c>
      <c r="I18253" s="5"/>
      <c r="J18253" s="5"/>
      <c r="K18253" s="5"/>
    </row>
    <row r="18254" spans="1:11" x14ac:dyDescent="0.25">
      <c r="A18254" s="5">
        <f>18247</f>
      </c>
      <c r="B18254" s="5" t="s">
        <v>18262</v>
      </c>
      <c r="C18254" s="5">
        <v>119.1</v>
      </c>
      <c r="D18254" s="5">
        <v>0.1</v>
      </c>
      <c r="E18254" s="5">
        <v>119.3</v>
      </c>
      <c r="F18254" s="5">
        <v>237</v>
      </c>
      <c r="G18254" s="5">
        <v>117.8</v>
      </c>
      <c r="H18254" s="5">
        <v>117.6</v>
      </c>
      <c r="I18254" s="5"/>
      <c r="J18254" s="5"/>
      <c r="K18254" s="5"/>
    </row>
    <row r="18255" spans="1:11" x14ac:dyDescent="0.25">
      <c r="A18255" s="5">
        <f>18248</f>
      </c>
      <c r="B18255" s="5" t="s">
        <v>18263</v>
      </c>
      <c r="C18255" s="5">
        <v>119</v>
      </c>
      <c r="D18255" s="5">
        <v>0.1</v>
      </c>
      <c r="E18255" s="5">
        <v>119.1</v>
      </c>
      <c r="F18255" s="5">
        <v>236.5</v>
      </c>
      <c r="G18255" s="5">
        <v>117.6</v>
      </c>
      <c r="H18255" s="5">
        <v>117.4</v>
      </c>
      <c r="I18255" s="5"/>
      <c r="J18255" s="5"/>
      <c r="K18255" s="5"/>
    </row>
    <row r="18256" spans="1:11" x14ac:dyDescent="0.25">
      <c r="A18256" s="5">
        <f>18249</f>
      </c>
      <c r="B18256" s="5" t="s">
        <v>18264</v>
      </c>
      <c r="C18256" s="5">
        <v>119</v>
      </c>
      <c r="D18256" s="5">
        <v>0.1</v>
      </c>
      <c r="E18256" s="5">
        <v>119.1</v>
      </c>
      <c r="F18256" s="5">
        <v>236.5</v>
      </c>
      <c r="G18256" s="5">
        <v>117.6</v>
      </c>
      <c r="H18256" s="5">
        <v>117.4</v>
      </c>
      <c r="I18256" s="5"/>
      <c r="J18256" s="5"/>
      <c r="K18256" s="5"/>
    </row>
    <row r="18257" spans="1:11" x14ac:dyDescent="0.25">
      <c r="A18257" s="5">
        <f>18250</f>
      </c>
      <c r="B18257" s="5" t="s">
        <v>18265</v>
      </c>
      <c r="C18257" s="5">
        <v>119</v>
      </c>
      <c r="D18257" s="5">
        <v>0.1</v>
      </c>
      <c r="E18257" s="5">
        <v>119.1</v>
      </c>
      <c r="F18257" s="5">
        <v>236.5</v>
      </c>
      <c r="G18257" s="5">
        <v>117.6</v>
      </c>
      <c r="H18257" s="5">
        <v>117.4</v>
      </c>
      <c r="I18257" s="5"/>
      <c r="J18257" s="5"/>
      <c r="K18257" s="5"/>
    </row>
    <row r="18258" spans="1:11" x14ac:dyDescent="0.25">
      <c r="A18258" s="5">
        <f>18251</f>
      </c>
      <c r="B18258" s="5" t="s">
        <v>18266</v>
      </c>
      <c r="C18258" s="5">
        <v>119</v>
      </c>
      <c r="D18258" s="5">
        <v>0.1</v>
      </c>
      <c r="E18258" s="5">
        <v>119.1</v>
      </c>
      <c r="F18258" s="5">
        <v>236.5</v>
      </c>
      <c r="G18258" s="5">
        <v>117.6</v>
      </c>
      <c r="H18258" s="5">
        <v>117.4</v>
      </c>
      <c r="I18258" s="5"/>
      <c r="J18258" s="5"/>
      <c r="K18258" s="5"/>
    </row>
    <row r="18259" spans="1:11" x14ac:dyDescent="0.25">
      <c r="A18259" s="5">
        <f>18252</f>
      </c>
      <c r="B18259" s="5" t="s">
        <v>18267</v>
      </c>
      <c r="C18259" s="5">
        <v>118.7</v>
      </c>
      <c r="D18259" s="5">
        <v>0.1</v>
      </c>
      <c r="E18259" s="5">
        <v>119</v>
      </c>
      <c r="F18259" s="5">
        <v>237</v>
      </c>
      <c r="G18259" s="5">
        <v>117.8</v>
      </c>
      <c r="H18259" s="5">
        <v>117.6</v>
      </c>
      <c r="I18259" s="5"/>
      <c r="J18259" s="5"/>
      <c r="K18259" s="5"/>
    </row>
    <row r="18260" spans="1:11" x14ac:dyDescent="0.25">
      <c r="A18260" s="5">
        <f>18253</f>
      </c>
      <c r="B18260" s="5" t="s">
        <v>18268</v>
      </c>
      <c r="C18260" s="5">
        <v>118.7</v>
      </c>
      <c r="D18260" s="5">
        <v>0.1</v>
      </c>
      <c r="E18260" s="5">
        <v>119</v>
      </c>
      <c r="F18260" s="5">
        <v>237</v>
      </c>
      <c r="G18260" s="5">
        <v>117.8</v>
      </c>
      <c r="H18260" s="5">
        <v>117.6</v>
      </c>
      <c r="I18260" s="5"/>
      <c r="J18260" s="5"/>
      <c r="K18260" s="5"/>
    </row>
    <row r="18261" spans="1:11" x14ac:dyDescent="0.25">
      <c r="A18261" s="5">
        <f>18254</f>
      </c>
      <c r="B18261" s="5" t="s">
        <v>18269</v>
      </c>
      <c r="C18261" s="5">
        <v>118.9</v>
      </c>
      <c r="D18261" s="5">
        <v>0.1</v>
      </c>
      <c r="E18261" s="5">
        <v>119</v>
      </c>
      <c r="F18261" s="5">
        <v>236.4</v>
      </c>
      <c r="G18261" s="5">
        <v>117.5</v>
      </c>
      <c r="H18261" s="5">
        <v>117.4</v>
      </c>
      <c r="I18261" s="5"/>
      <c r="J18261" s="5"/>
      <c r="K18261" s="5"/>
    </row>
    <row r="18262" spans="1:11" x14ac:dyDescent="0.25">
      <c r="A18262" s="5">
        <f>18255</f>
      </c>
      <c r="B18262" s="5" t="s">
        <v>18270</v>
      </c>
      <c r="C18262" s="5">
        <v>118.9</v>
      </c>
      <c r="D18262" s="5">
        <v>0.1</v>
      </c>
      <c r="E18262" s="5">
        <v>119</v>
      </c>
      <c r="F18262" s="5">
        <v>236.4</v>
      </c>
      <c r="G18262" s="5">
        <v>117.5</v>
      </c>
      <c r="H18262" s="5">
        <v>117.4</v>
      </c>
      <c r="I18262" s="5"/>
      <c r="J18262" s="5"/>
      <c r="K18262" s="5"/>
    </row>
    <row r="18263" spans="1:11" x14ac:dyDescent="0.25">
      <c r="A18263" s="5">
        <f>18256</f>
      </c>
      <c r="B18263" s="5" t="s">
        <v>18271</v>
      </c>
      <c r="C18263" s="5">
        <v>119</v>
      </c>
      <c r="D18263" s="5">
        <v>0.1</v>
      </c>
      <c r="E18263" s="5">
        <v>119.1</v>
      </c>
      <c r="F18263" s="5">
        <v>236.5</v>
      </c>
      <c r="G18263" s="5">
        <v>117.6</v>
      </c>
      <c r="H18263" s="5">
        <v>117.4</v>
      </c>
      <c r="I18263" s="5"/>
      <c r="J18263" s="5"/>
      <c r="K18263" s="5"/>
    </row>
    <row r="18264" spans="1:11" x14ac:dyDescent="0.25">
      <c r="A18264" s="5">
        <f>18257</f>
      </c>
      <c r="B18264" s="5" t="s">
        <v>18272</v>
      </c>
      <c r="C18264" s="5">
        <v>119</v>
      </c>
      <c r="D18264" s="5">
        <v>0.1</v>
      </c>
      <c r="E18264" s="5">
        <v>119.1</v>
      </c>
      <c r="F18264" s="5">
        <v>236.5</v>
      </c>
      <c r="G18264" s="5">
        <v>117.6</v>
      </c>
      <c r="H18264" s="5">
        <v>117.4</v>
      </c>
      <c r="I18264" s="5"/>
      <c r="J18264" s="5"/>
      <c r="K18264" s="5"/>
    </row>
    <row r="18265" spans="1:11" x14ac:dyDescent="0.25">
      <c r="A18265" s="5">
        <f>18258</f>
      </c>
      <c r="B18265" s="5" t="s">
        <v>18273</v>
      </c>
      <c r="C18265" s="5">
        <v>118.8</v>
      </c>
      <c r="D18265" s="5">
        <v>0.1</v>
      </c>
      <c r="E18265" s="5">
        <v>119</v>
      </c>
      <c r="F18265" s="5">
        <v>236.3</v>
      </c>
      <c r="G18265" s="5">
        <v>117.5</v>
      </c>
      <c r="H18265" s="5">
        <v>117.3</v>
      </c>
      <c r="I18265" s="5"/>
      <c r="J18265" s="5"/>
      <c r="K18265" s="5"/>
    </row>
    <row r="18266" spans="1:11" x14ac:dyDescent="0.25">
      <c r="A18266" s="5">
        <f>18259</f>
      </c>
      <c r="B18266" s="5" t="s">
        <v>18274</v>
      </c>
      <c r="C18266" s="5">
        <v>118.8</v>
      </c>
      <c r="D18266" s="5">
        <v>0.1</v>
      </c>
      <c r="E18266" s="5">
        <v>119</v>
      </c>
      <c r="F18266" s="5">
        <v>236.3</v>
      </c>
      <c r="G18266" s="5">
        <v>117.5</v>
      </c>
      <c r="H18266" s="5">
        <v>117.3</v>
      </c>
      <c r="I18266" s="5"/>
      <c r="J18266" s="5"/>
      <c r="K18266" s="5"/>
    </row>
    <row r="18267" spans="1:11" x14ac:dyDescent="0.25">
      <c r="A18267" s="5">
        <f>18260</f>
      </c>
      <c r="B18267" s="5" t="s">
        <v>18275</v>
      </c>
      <c r="C18267" s="5">
        <v>118.8</v>
      </c>
      <c r="D18267" s="5">
        <v>0.1</v>
      </c>
      <c r="E18267" s="5">
        <v>119</v>
      </c>
      <c r="F18267" s="5">
        <v>236.3</v>
      </c>
      <c r="G18267" s="5">
        <v>117.5</v>
      </c>
      <c r="H18267" s="5">
        <v>117.3</v>
      </c>
      <c r="I18267" s="5"/>
      <c r="J18267" s="5"/>
      <c r="K18267" s="5"/>
    </row>
    <row r="18268" spans="1:11" x14ac:dyDescent="0.25">
      <c r="A18268" s="5">
        <f>18261</f>
      </c>
      <c r="B18268" s="5" t="s">
        <v>18276</v>
      </c>
      <c r="C18268" s="5">
        <v>119.3</v>
      </c>
      <c r="D18268" s="5">
        <v>0.1</v>
      </c>
      <c r="E18268" s="5">
        <v>119.4</v>
      </c>
      <c r="F18268" s="5">
        <v>236.3</v>
      </c>
      <c r="G18268" s="5">
        <v>117.5</v>
      </c>
      <c r="H18268" s="5">
        <v>117.3</v>
      </c>
      <c r="I18268" s="5"/>
      <c r="J18268" s="5"/>
      <c r="K18268" s="5"/>
    </row>
    <row r="18269" spans="1:11" x14ac:dyDescent="0.25">
      <c r="A18269" s="5">
        <f>18262</f>
      </c>
      <c r="B18269" s="5" t="s">
        <v>18277</v>
      </c>
      <c r="C18269" s="5">
        <v>119.3</v>
      </c>
      <c r="D18269" s="5">
        <v>0.1</v>
      </c>
      <c r="E18269" s="5">
        <v>119.4</v>
      </c>
      <c r="F18269" s="5">
        <v>237.1</v>
      </c>
      <c r="G18269" s="5">
        <v>117.9</v>
      </c>
      <c r="H18269" s="5">
        <v>117.7</v>
      </c>
      <c r="I18269" s="5"/>
      <c r="J18269" s="5"/>
      <c r="K18269" s="5"/>
    </row>
    <row r="18270" spans="1:11" x14ac:dyDescent="0.25">
      <c r="A18270" s="5">
        <f>18263</f>
      </c>
      <c r="B18270" s="5" t="s">
        <v>18278</v>
      </c>
      <c r="C18270" s="5">
        <v>118.9</v>
      </c>
      <c r="D18270" s="5">
        <v>0.1</v>
      </c>
      <c r="E18270" s="5">
        <v>119.4</v>
      </c>
      <c r="F18270" s="5">
        <v>237.1</v>
      </c>
      <c r="G18270" s="5">
        <v>117.9</v>
      </c>
      <c r="H18270" s="5">
        <v>117.7</v>
      </c>
      <c r="I18270" s="5"/>
      <c r="J18270" s="5"/>
      <c r="K18270" s="5"/>
    </row>
    <row r="18271" spans="1:11" x14ac:dyDescent="0.25">
      <c r="A18271" s="5">
        <f>18264</f>
      </c>
      <c r="B18271" s="5" t="s">
        <v>18279</v>
      </c>
      <c r="C18271" s="5">
        <v>118.9</v>
      </c>
      <c r="D18271" s="5">
        <v>0.1</v>
      </c>
      <c r="E18271" s="5">
        <v>119</v>
      </c>
      <c r="F18271" s="5">
        <v>236.6</v>
      </c>
      <c r="G18271" s="5">
        <v>117.5</v>
      </c>
      <c r="H18271" s="5">
        <v>117.3</v>
      </c>
      <c r="I18271" s="5"/>
      <c r="J18271" s="5"/>
      <c r="K18271" s="5"/>
    </row>
    <row r="18272" spans="1:11" x14ac:dyDescent="0.25">
      <c r="A18272" s="5">
        <f>18265</f>
      </c>
      <c r="B18272" s="5" t="s">
        <v>18280</v>
      </c>
      <c r="C18272" s="5">
        <v>118.9</v>
      </c>
      <c r="D18272" s="5">
        <v>0.1</v>
      </c>
      <c r="E18272" s="5">
        <v>119</v>
      </c>
      <c r="F18272" s="5">
        <v>236.6</v>
      </c>
      <c r="G18272" s="5">
        <v>117.5</v>
      </c>
      <c r="H18272" s="5">
        <v>117.3</v>
      </c>
      <c r="I18272" s="5"/>
      <c r="J18272" s="5"/>
      <c r="K18272" s="5"/>
    </row>
    <row r="18273" spans="1:11" x14ac:dyDescent="0.25">
      <c r="A18273" s="5">
        <f>18266</f>
      </c>
      <c r="B18273" s="5" t="s">
        <v>18281</v>
      </c>
      <c r="C18273" s="5">
        <v>119</v>
      </c>
      <c r="D18273" s="5">
        <v>0.1</v>
      </c>
      <c r="E18273" s="5">
        <v>119.2</v>
      </c>
      <c r="F18273" s="5">
        <v>236.3</v>
      </c>
      <c r="G18273" s="5">
        <v>117.3</v>
      </c>
      <c r="H18273" s="5">
        <v>117.2</v>
      </c>
      <c r="I18273" s="5"/>
      <c r="J18273" s="5"/>
      <c r="K18273" s="5"/>
    </row>
    <row r="18274" spans="1:11" x14ac:dyDescent="0.25">
      <c r="A18274" s="5">
        <f>18267</f>
      </c>
      <c r="B18274" s="5" t="s">
        <v>18282</v>
      </c>
      <c r="C18274" s="5">
        <v>119</v>
      </c>
      <c r="D18274" s="5">
        <v>0.1</v>
      </c>
      <c r="E18274" s="5">
        <v>119.2</v>
      </c>
      <c r="F18274" s="5">
        <v>236.3</v>
      </c>
      <c r="G18274" s="5">
        <v>117.3</v>
      </c>
      <c r="H18274" s="5">
        <v>117.2</v>
      </c>
      <c r="I18274" s="5"/>
      <c r="J18274" s="5"/>
      <c r="K18274" s="5"/>
    </row>
    <row r="18275" spans="1:11" x14ac:dyDescent="0.25">
      <c r="A18275" s="5">
        <f>18268</f>
      </c>
      <c r="B18275" s="5" t="s">
        <v>18283</v>
      </c>
      <c r="C18275" s="5">
        <v>119.1</v>
      </c>
      <c r="D18275" s="5">
        <v>0.1</v>
      </c>
      <c r="E18275" s="5">
        <v>119.3</v>
      </c>
      <c r="F18275" s="5">
        <v>236.6</v>
      </c>
      <c r="G18275" s="5">
        <v>117.5</v>
      </c>
      <c r="H18275" s="5">
        <v>117.3</v>
      </c>
      <c r="I18275" s="5"/>
      <c r="J18275" s="5"/>
      <c r="K18275" s="5"/>
    </row>
    <row r="18276" spans="1:11" x14ac:dyDescent="0.25">
      <c r="A18276" s="5">
        <f>18269</f>
      </c>
      <c r="B18276" s="5" t="s">
        <v>18284</v>
      </c>
      <c r="C18276" s="5">
        <v>119.1</v>
      </c>
      <c r="D18276" s="5">
        <v>0.1</v>
      </c>
      <c r="E18276" s="5">
        <v>119.3</v>
      </c>
      <c r="F18276" s="5">
        <v>236.6</v>
      </c>
      <c r="G18276" s="5">
        <v>117.5</v>
      </c>
      <c r="H18276" s="5">
        <v>117.3</v>
      </c>
      <c r="I18276" s="5"/>
      <c r="J18276" s="5"/>
      <c r="K18276" s="5"/>
    </row>
    <row r="18277" spans="1:11" x14ac:dyDescent="0.25">
      <c r="A18277" s="5">
        <f>18270</f>
      </c>
      <c r="B18277" s="5" t="s">
        <v>18285</v>
      </c>
      <c r="C18277" s="5">
        <v>119.1</v>
      </c>
      <c r="D18277" s="5">
        <v>0.1</v>
      </c>
      <c r="E18277" s="5">
        <v>119.3</v>
      </c>
      <c r="F18277" s="5">
        <v>236.6</v>
      </c>
      <c r="G18277" s="5">
        <v>117.5</v>
      </c>
      <c r="H18277" s="5">
        <v>117.3</v>
      </c>
      <c r="I18277" s="5"/>
      <c r="J18277" s="5"/>
      <c r="K18277" s="5"/>
    </row>
    <row r="18278" spans="1:11" x14ac:dyDescent="0.25">
      <c r="A18278" s="5">
        <f>18271</f>
      </c>
      <c r="B18278" s="5" t="s">
        <v>18286</v>
      </c>
      <c r="C18278" s="5">
        <v>119.1</v>
      </c>
      <c r="D18278" s="5">
        <v>0.1</v>
      </c>
      <c r="E18278" s="5">
        <v>119.3</v>
      </c>
      <c r="F18278" s="5">
        <v>236.6</v>
      </c>
      <c r="G18278" s="5">
        <v>117.5</v>
      </c>
      <c r="H18278" s="5">
        <v>117.3</v>
      </c>
      <c r="I18278" s="5"/>
      <c r="J18278" s="5"/>
      <c r="K18278" s="5"/>
    </row>
    <row r="18279" spans="1:11" x14ac:dyDescent="0.25">
      <c r="A18279" s="5">
        <f>18272</f>
      </c>
      <c r="B18279" s="5" t="s">
        <v>18287</v>
      </c>
      <c r="C18279" s="5">
        <v>118.9</v>
      </c>
      <c r="D18279" s="5">
        <v>0.1</v>
      </c>
      <c r="E18279" s="5">
        <v>119</v>
      </c>
      <c r="F18279" s="5">
        <v>236.3</v>
      </c>
      <c r="G18279" s="5">
        <v>117.3</v>
      </c>
      <c r="H18279" s="5">
        <v>117.2</v>
      </c>
      <c r="I18279" s="5"/>
      <c r="J18279" s="5"/>
      <c r="K18279" s="5"/>
    </row>
    <row r="18280" spans="1:11" x14ac:dyDescent="0.25">
      <c r="A18280" s="5">
        <f>18273</f>
      </c>
      <c r="B18280" s="5" t="s">
        <v>18288</v>
      </c>
      <c r="C18280" s="5">
        <v>118.9</v>
      </c>
      <c r="D18280" s="5">
        <v>0.1</v>
      </c>
      <c r="E18280" s="5">
        <v>119</v>
      </c>
      <c r="F18280" s="5">
        <v>236.3</v>
      </c>
      <c r="G18280" s="5">
        <v>117.3</v>
      </c>
      <c r="H18280" s="5">
        <v>117.2</v>
      </c>
      <c r="I18280" s="5"/>
      <c r="J18280" s="5"/>
      <c r="K18280" s="5"/>
    </row>
    <row r="18281" spans="1:11" x14ac:dyDescent="0.25">
      <c r="A18281" s="5">
        <f>18274</f>
      </c>
      <c r="B18281" s="5" t="s">
        <v>18289</v>
      </c>
      <c r="C18281" s="5">
        <v>119</v>
      </c>
      <c r="D18281" s="5">
        <v>0.1</v>
      </c>
      <c r="E18281" s="5">
        <v>119.2</v>
      </c>
      <c r="F18281" s="5">
        <v>236.3</v>
      </c>
      <c r="G18281" s="5">
        <v>117.4</v>
      </c>
      <c r="H18281" s="5">
        <v>117.3</v>
      </c>
      <c r="I18281" s="5"/>
      <c r="J18281" s="5"/>
      <c r="K18281" s="5"/>
    </row>
    <row r="18282" spans="1:11" x14ac:dyDescent="0.25">
      <c r="A18282" s="5">
        <f>18275</f>
      </c>
      <c r="B18282" s="5" t="s">
        <v>18290</v>
      </c>
      <c r="C18282" s="5">
        <v>119</v>
      </c>
      <c r="D18282" s="5">
        <v>0.1</v>
      </c>
      <c r="E18282" s="5">
        <v>119.2</v>
      </c>
      <c r="F18282" s="5">
        <v>236.3</v>
      </c>
      <c r="G18282" s="5">
        <v>117.4</v>
      </c>
      <c r="H18282" s="5">
        <v>117.3</v>
      </c>
      <c r="I18282" s="5"/>
      <c r="J18282" s="5"/>
      <c r="K18282" s="5"/>
    </row>
    <row r="18283" spans="1:11" x14ac:dyDescent="0.25">
      <c r="A18283" s="5">
        <f>18276</f>
      </c>
      <c r="B18283" s="5" t="s">
        <v>18291</v>
      </c>
      <c r="C18283" s="5">
        <v>118.9</v>
      </c>
      <c r="D18283" s="5">
        <v>0.1</v>
      </c>
      <c r="E18283" s="5">
        <v>119</v>
      </c>
      <c r="F18283" s="5">
        <v>236.5</v>
      </c>
      <c r="G18283" s="5">
        <v>117.4</v>
      </c>
      <c r="H18283" s="5">
        <v>117.2</v>
      </c>
      <c r="I18283" s="5"/>
      <c r="J18283" s="5"/>
      <c r="K18283" s="5"/>
    </row>
    <row r="18284" spans="1:11" x14ac:dyDescent="0.25">
      <c r="A18284" s="5">
        <f>18277</f>
      </c>
      <c r="B18284" s="5" t="s">
        <v>18292</v>
      </c>
      <c r="C18284" s="5">
        <v>118.9</v>
      </c>
      <c r="D18284" s="5">
        <v>0.1</v>
      </c>
      <c r="E18284" s="5">
        <v>119</v>
      </c>
      <c r="F18284" s="5">
        <v>236.5</v>
      </c>
      <c r="G18284" s="5">
        <v>117.4</v>
      </c>
      <c r="H18284" s="5">
        <v>117.2</v>
      </c>
      <c r="I18284" s="5"/>
      <c r="J18284" s="5"/>
      <c r="K18284" s="5"/>
    </row>
    <row r="18285" spans="1:11" x14ac:dyDescent="0.25">
      <c r="A18285" s="5">
        <f>18278</f>
      </c>
      <c r="B18285" s="5" t="s">
        <v>18293</v>
      </c>
      <c r="C18285" s="5">
        <v>118.6</v>
      </c>
      <c r="D18285" s="5">
        <v>0.1</v>
      </c>
      <c r="E18285" s="5">
        <v>118.7</v>
      </c>
      <c r="F18285" s="5">
        <v>236.5</v>
      </c>
      <c r="G18285" s="5">
        <v>117.4</v>
      </c>
      <c r="H18285" s="5">
        <v>117.3</v>
      </c>
      <c r="I18285" s="5"/>
      <c r="J18285" s="5"/>
      <c r="K18285" s="5"/>
    </row>
    <row r="18286" spans="1:11" x14ac:dyDescent="0.25">
      <c r="A18286" s="5">
        <f>18279</f>
      </c>
      <c r="B18286" s="5" t="s">
        <v>18294</v>
      </c>
      <c r="C18286" s="5">
        <v>118.6</v>
      </c>
      <c r="D18286" s="5">
        <v>0.1</v>
      </c>
      <c r="E18286" s="5">
        <v>118.7</v>
      </c>
      <c r="F18286" s="5">
        <v>236.5</v>
      </c>
      <c r="G18286" s="5">
        <v>117.4</v>
      </c>
      <c r="H18286" s="5">
        <v>117.3</v>
      </c>
      <c r="I18286" s="5"/>
      <c r="J18286" s="5"/>
      <c r="K18286" s="5"/>
    </row>
    <row r="18287" spans="1:11" x14ac:dyDescent="0.25">
      <c r="A18287" s="5">
        <f>18280</f>
      </c>
      <c r="B18287" s="5" t="s">
        <v>18295</v>
      </c>
      <c r="C18287" s="5">
        <v>118.6</v>
      </c>
      <c r="D18287" s="5">
        <v>0.1</v>
      </c>
      <c r="E18287" s="5">
        <v>118.7</v>
      </c>
      <c r="F18287" s="5">
        <v>236.5</v>
      </c>
      <c r="G18287" s="5">
        <v>117.4</v>
      </c>
      <c r="H18287" s="5">
        <v>117.3</v>
      </c>
      <c r="I18287" s="5"/>
      <c r="J18287" s="5"/>
      <c r="K18287" s="5"/>
    </row>
    <row r="18288" spans="1:11" x14ac:dyDescent="0.25">
      <c r="A18288" s="5">
        <f>18281</f>
      </c>
      <c r="B18288" s="5" t="s">
        <v>18296</v>
      </c>
      <c r="C18288" s="5">
        <v>118.6</v>
      </c>
      <c r="D18288" s="5">
        <v>0.1</v>
      </c>
      <c r="E18288" s="5">
        <v>118.7</v>
      </c>
      <c r="F18288" s="5">
        <v>236.5</v>
      </c>
      <c r="G18288" s="5">
        <v>117.4</v>
      </c>
      <c r="H18288" s="5">
        <v>117.3</v>
      </c>
      <c r="I18288" s="5"/>
      <c r="J18288" s="5"/>
      <c r="K18288" s="5"/>
    </row>
    <row r="18289" spans="1:11" x14ac:dyDescent="0.25">
      <c r="A18289" s="5">
        <f>18282</f>
      </c>
      <c r="B18289" s="5" t="s">
        <v>18297</v>
      </c>
      <c r="C18289" s="5">
        <v>119</v>
      </c>
      <c r="D18289" s="5">
        <v>0.1</v>
      </c>
      <c r="E18289" s="5">
        <v>119.1</v>
      </c>
      <c r="F18289" s="5">
        <v>236.3</v>
      </c>
      <c r="G18289" s="5">
        <v>117.5</v>
      </c>
      <c r="H18289" s="5">
        <v>117.3</v>
      </c>
      <c r="I18289" s="5"/>
      <c r="J18289" s="5"/>
      <c r="K18289" s="5"/>
    </row>
    <row r="18290" spans="1:11" x14ac:dyDescent="0.25">
      <c r="A18290" s="5">
        <f>18283</f>
      </c>
      <c r="B18290" s="5" t="s">
        <v>18298</v>
      </c>
      <c r="C18290" s="5">
        <v>119</v>
      </c>
      <c r="D18290" s="5">
        <v>0.1</v>
      </c>
      <c r="E18290" s="5">
        <v>119.1</v>
      </c>
      <c r="F18290" s="5">
        <v>236.3</v>
      </c>
      <c r="G18290" s="5">
        <v>117.5</v>
      </c>
      <c r="H18290" s="5">
        <v>117.3</v>
      </c>
      <c r="I18290" s="5"/>
      <c r="J18290" s="5"/>
      <c r="K18290" s="5"/>
    </row>
    <row r="18291" spans="1:11" x14ac:dyDescent="0.25">
      <c r="A18291" s="5">
        <f>18284</f>
      </c>
      <c r="B18291" s="5" t="s">
        <v>18299</v>
      </c>
      <c r="C18291" s="5">
        <v>119.1</v>
      </c>
      <c r="D18291" s="5">
        <v>0.1</v>
      </c>
      <c r="E18291" s="5">
        <v>119.3</v>
      </c>
      <c r="F18291" s="5">
        <v>236.4</v>
      </c>
      <c r="G18291" s="5">
        <v>117.6</v>
      </c>
      <c r="H18291" s="5">
        <v>117.4</v>
      </c>
      <c r="I18291" s="5"/>
      <c r="J18291" s="5"/>
      <c r="K18291" s="5"/>
    </row>
    <row r="18292" spans="1:11" x14ac:dyDescent="0.25">
      <c r="A18292" s="5">
        <f>18285</f>
      </c>
      <c r="B18292" s="5" t="s">
        <v>18300</v>
      </c>
      <c r="C18292" s="5">
        <v>119.1</v>
      </c>
      <c r="D18292" s="5">
        <v>0.1</v>
      </c>
      <c r="E18292" s="5">
        <v>119.3</v>
      </c>
      <c r="F18292" s="5">
        <v>236.4</v>
      </c>
      <c r="G18292" s="5">
        <v>117.6</v>
      </c>
      <c r="H18292" s="5">
        <v>117.4</v>
      </c>
      <c r="I18292" s="5"/>
      <c r="J18292" s="5"/>
      <c r="K18292" s="5"/>
    </row>
    <row r="18293" spans="1:11" x14ac:dyDescent="0.25">
      <c r="A18293" s="5">
        <f>18286</f>
      </c>
      <c r="B18293" s="5" t="s">
        <v>18301</v>
      </c>
      <c r="C18293" s="5">
        <v>118.7</v>
      </c>
      <c r="D18293" s="5">
        <v>0.1</v>
      </c>
      <c r="E18293" s="5">
        <v>119</v>
      </c>
      <c r="F18293" s="5">
        <v>235.9</v>
      </c>
      <c r="G18293" s="5">
        <v>117.3</v>
      </c>
      <c r="H18293" s="5">
        <v>117.1</v>
      </c>
      <c r="I18293" s="5"/>
      <c r="J18293" s="5"/>
      <c r="K18293" s="5"/>
    </row>
    <row r="18294" spans="1:11" x14ac:dyDescent="0.25">
      <c r="A18294" s="5">
        <f>18287</f>
      </c>
      <c r="B18294" s="5" t="s">
        <v>18302</v>
      </c>
      <c r="C18294" s="5">
        <v>118.7</v>
      </c>
      <c r="D18294" s="5">
        <v>0.1</v>
      </c>
      <c r="E18294" s="5">
        <v>119</v>
      </c>
      <c r="F18294" s="5">
        <v>235.9</v>
      </c>
      <c r="G18294" s="5">
        <v>117.3</v>
      </c>
      <c r="H18294" s="5">
        <v>117.1</v>
      </c>
      <c r="I18294" s="5"/>
      <c r="J18294" s="5"/>
      <c r="K18294" s="5"/>
    </row>
    <row r="18295" spans="1:11" x14ac:dyDescent="0.25">
      <c r="A18295" s="5">
        <f>18288</f>
      </c>
      <c r="B18295" s="5" t="s">
        <v>18303</v>
      </c>
      <c r="C18295" s="5">
        <v>119.6</v>
      </c>
      <c r="D18295" s="5">
        <v>0.1</v>
      </c>
      <c r="E18295" s="5">
        <v>119.7</v>
      </c>
      <c r="F18295" s="5">
        <v>236.8</v>
      </c>
      <c r="G18295" s="5">
        <v>117.6</v>
      </c>
      <c r="H18295" s="5">
        <v>117.4</v>
      </c>
      <c r="I18295" s="5"/>
      <c r="J18295" s="5"/>
      <c r="K18295" s="5"/>
    </row>
    <row r="18296" spans="1:11" x14ac:dyDescent="0.25">
      <c r="A18296" s="5">
        <f>18289</f>
      </c>
      <c r="B18296" s="5" t="s">
        <v>18304</v>
      </c>
      <c r="C18296" s="5">
        <v>119.6</v>
      </c>
      <c r="D18296" s="5">
        <v>0.1</v>
      </c>
      <c r="E18296" s="5">
        <v>119.7</v>
      </c>
      <c r="F18296" s="5">
        <v>236.8</v>
      </c>
      <c r="G18296" s="5">
        <v>117.6</v>
      </c>
      <c r="H18296" s="5">
        <v>117.4</v>
      </c>
      <c r="I18296" s="5"/>
      <c r="J18296" s="5"/>
      <c r="K18296" s="5"/>
    </row>
    <row r="18297" spans="1:11" x14ac:dyDescent="0.25">
      <c r="A18297" s="5">
        <f>18290</f>
      </c>
      <c r="B18297" s="5" t="s">
        <v>18305</v>
      </c>
      <c r="C18297" s="5">
        <v>119.6</v>
      </c>
      <c r="D18297" s="5">
        <v>0.1</v>
      </c>
      <c r="E18297" s="5">
        <v>119.7</v>
      </c>
      <c r="F18297" s="5">
        <v>236.8</v>
      </c>
      <c r="G18297" s="5">
        <v>117.6</v>
      </c>
      <c r="H18297" s="5">
        <v>117.4</v>
      </c>
      <c r="I18297" s="5"/>
      <c r="J18297" s="5"/>
      <c r="K18297" s="5"/>
    </row>
    <row r="18298" spans="1:11" x14ac:dyDescent="0.25">
      <c r="A18298" s="5">
        <f>18291</f>
      </c>
      <c r="B18298" s="5" t="s">
        <v>18306</v>
      </c>
      <c r="C18298" s="5">
        <v>119.3</v>
      </c>
      <c r="D18298" s="5">
        <v>0.1</v>
      </c>
      <c r="E18298" s="5">
        <v>119.4</v>
      </c>
      <c r="F18298" s="5">
        <v>236.8</v>
      </c>
      <c r="G18298" s="5">
        <v>117.6</v>
      </c>
      <c r="H18298" s="5">
        <v>117.4</v>
      </c>
      <c r="I18298" s="5"/>
      <c r="J18298" s="5"/>
      <c r="K18298" s="5"/>
    </row>
    <row r="18299" spans="1:11" x14ac:dyDescent="0.25">
      <c r="A18299" s="5">
        <f>18292</f>
      </c>
      <c r="B18299" s="5" t="s">
        <v>18307</v>
      </c>
      <c r="C18299" s="5">
        <v>119.3</v>
      </c>
      <c r="D18299" s="5">
        <v>0.1</v>
      </c>
      <c r="E18299" s="5">
        <v>119.4</v>
      </c>
      <c r="F18299" s="5">
        <v>236.8</v>
      </c>
      <c r="G18299" s="5">
        <v>117.6</v>
      </c>
      <c r="H18299" s="5">
        <v>117.4</v>
      </c>
      <c r="I18299" s="5"/>
      <c r="J18299" s="5"/>
      <c r="K18299" s="5"/>
    </row>
    <row r="18300" spans="1:11" x14ac:dyDescent="0.25">
      <c r="A18300" s="5">
        <f>18293</f>
      </c>
      <c r="B18300" s="5" t="s">
        <v>18308</v>
      </c>
      <c r="C18300" s="5">
        <v>119</v>
      </c>
      <c r="D18300" s="5">
        <v>0.1</v>
      </c>
      <c r="E18300" s="5">
        <v>119.2</v>
      </c>
      <c r="F18300" s="5">
        <v>236.8</v>
      </c>
      <c r="G18300" s="5">
        <v>117.5</v>
      </c>
      <c r="H18300" s="5">
        <v>117.4</v>
      </c>
      <c r="I18300" s="5"/>
      <c r="J18300" s="5"/>
      <c r="K18300" s="5"/>
    </row>
    <row r="18301" spans="1:11" x14ac:dyDescent="0.25">
      <c r="A18301" s="5">
        <f>18294</f>
      </c>
      <c r="B18301" s="5" t="s">
        <v>18309</v>
      </c>
      <c r="C18301" s="5">
        <v>119</v>
      </c>
      <c r="D18301" s="5">
        <v>0.1</v>
      </c>
      <c r="E18301" s="5">
        <v>119.2</v>
      </c>
      <c r="F18301" s="5">
        <v>236.8</v>
      </c>
      <c r="G18301" s="5">
        <v>117.5</v>
      </c>
      <c r="H18301" s="5">
        <v>117.4</v>
      </c>
      <c r="I18301" s="5"/>
      <c r="J18301" s="5"/>
      <c r="K18301" s="5"/>
    </row>
    <row r="18302" spans="1:11" x14ac:dyDescent="0.25">
      <c r="A18302" s="5">
        <f>18295</f>
      </c>
      <c r="B18302" s="5" t="s">
        <v>18310</v>
      </c>
      <c r="C18302" s="5">
        <v>119</v>
      </c>
      <c r="D18302" s="5">
        <v>0.1</v>
      </c>
      <c r="E18302" s="5">
        <v>119.1</v>
      </c>
      <c r="F18302" s="5">
        <v>236.8</v>
      </c>
      <c r="G18302" s="5">
        <v>117.5</v>
      </c>
      <c r="H18302" s="5">
        <v>117.4</v>
      </c>
      <c r="I18302" s="5"/>
      <c r="J18302" s="5"/>
      <c r="K18302" s="5"/>
    </row>
    <row r="18303" spans="1:11" x14ac:dyDescent="0.25">
      <c r="A18303" s="5">
        <f>18296</f>
      </c>
      <c r="B18303" s="5" t="s">
        <v>18311</v>
      </c>
      <c r="C18303" s="5">
        <v>119</v>
      </c>
      <c r="D18303" s="5">
        <v>0.1</v>
      </c>
      <c r="E18303" s="5">
        <v>119.1</v>
      </c>
      <c r="F18303" s="5">
        <v>236.8</v>
      </c>
      <c r="G18303" s="5">
        <v>117.5</v>
      </c>
      <c r="H18303" s="5">
        <v>117.4</v>
      </c>
      <c r="I18303" s="5"/>
      <c r="J18303" s="5"/>
      <c r="K18303" s="5"/>
    </row>
    <row r="18304" spans="1:11" x14ac:dyDescent="0.25">
      <c r="A18304" s="5">
        <f>18297</f>
      </c>
      <c r="B18304" s="5" t="s">
        <v>18312</v>
      </c>
      <c r="C18304" s="5">
        <v>119.3</v>
      </c>
      <c r="D18304" s="5">
        <v>0.1</v>
      </c>
      <c r="E18304" s="5">
        <v>119.4</v>
      </c>
      <c r="F18304" s="5">
        <v>236.8</v>
      </c>
      <c r="G18304" s="5">
        <v>117.5</v>
      </c>
      <c r="H18304" s="5">
        <v>117.4</v>
      </c>
      <c r="I18304" s="5"/>
      <c r="J18304" s="5"/>
      <c r="K18304" s="5"/>
    </row>
    <row r="18305" spans="1:11" x14ac:dyDescent="0.25">
      <c r="A18305" s="5">
        <f>18298</f>
      </c>
      <c r="B18305" s="5" t="s">
        <v>18313</v>
      </c>
      <c r="C18305" s="5">
        <v>119.3</v>
      </c>
      <c r="D18305" s="5">
        <v>0.1</v>
      </c>
      <c r="E18305" s="5">
        <v>119.4</v>
      </c>
      <c r="F18305" s="5">
        <v>236.8</v>
      </c>
      <c r="G18305" s="5">
        <v>117.5</v>
      </c>
      <c r="H18305" s="5">
        <v>117.4</v>
      </c>
      <c r="I18305" s="5"/>
      <c r="J18305" s="5"/>
      <c r="K18305" s="5"/>
    </row>
    <row r="18306" spans="1:11" x14ac:dyDescent="0.25">
      <c r="A18306" s="5">
        <f>18299</f>
      </c>
      <c r="B18306" s="5" t="s">
        <v>18314</v>
      </c>
      <c r="C18306" s="5">
        <v>119.3</v>
      </c>
      <c r="D18306" s="5">
        <v>0.1</v>
      </c>
      <c r="E18306" s="5">
        <v>119.4</v>
      </c>
      <c r="F18306" s="5">
        <v>236.8</v>
      </c>
      <c r="G18306" s="5">
        <v>117.5</v>
      </c>
      <c r="H18306" s="5">
        <v>117.4</v>
      </c>
      <c r="I18306" s="5"/>
      <c r="J18306" s="5"/>
      <c r="K18306" s="5"/>
    </row>
    <row r="18307" spans="1:11" x14ac:dyDescent="0.25">
      <c r="A18307" s="5">
        <f>18300</f>
      </c>
      <c r="B18307" s="5" t="s">
        <v>18315</v>
      </c>
      <c r="C18307" s="5">
        <v>119.3</v>
      </c>
      <c r="D18307" s="5">
        <v>0.1</v>
      </c>
      <c r="E18307" s="5">
        <v>119.4</v>
      </c>
      <c r="F18307" s="5">
        <v>236.8</v>
      </c>
      <c r="G18307" s="5">
        <v>117.5</v>
      </c>
      <c r="H18307" s="5">
        <v>117.4</v>
      </c>
      <c r="I18307" s="5"/>
      <c r="J18307" s="5"/>
      <c r="K18307" s="5"/>
    </row>
    <row r="18308" spans="1:11" x14ac:dyDescent="0.25">
      <c r="A18308" s="5">
        <f>18301</f>
      </c>
      <c r="B18308" s="5" t="s">
        <v>18316</v>
      </c>
      <c r="C18308" s="5">
        <v>119.3</v>
      </c>
      <c r="D18308" s="5">
        <v>0.1</v>
      </c>
      <c r="E18308" s="5">
        <v>119.5</v>
      </c>
      <c r="F18308" s="5">
        <v>237.1</v>
      </c>
      <c r="G18308" s="5">
        <v>117.7</v>
      </c>
      <c r="H18308" s="5">
        <v>117.5</v>
      </c>
      <c r="I18308" s="5"/>
      <c r="J18308" s="5"/>
      <c r="K18308" s="5"/>
    </row>
    <row r="18309" spans="1:11" x14ac:dyDescent="0.25">
      <c r="A18309" s="5">
        <f>18302</f>
      </c>
      <c r="B18309" s="5" t="s">
        <v>18317</v>
      </c>
      <c r="C18309" s="5">
        <v>119.3</v>
      </c>
      <c r="D18309" s="5">
        <v>0.1</v>
      </c>
      <c r="E18309" s="5">
        <v>119.5</v>
      </c>
      <c r="F18309" s="5">
        <v>237.1</v>
      </c>
      <c r="G18309" s="5">
        <v>117.7</v>
      </c>
      <c r="H18309" s="5">
        <v>117.5</v>
      </c>
      <c r="I18309" s="5"/>
      <c r="J18309" s="5"/>
      <c r="K18309" s="5"/>
    </row>
    <row r="18310" spans="1:11" x14ac:dyDescent="0.25">
      <c r="A18310" s="5">
        <f>18303</f>
      </c>
      <c r="B18310" s="5" t="s">
        <v>18318</v>
      </c>
      <c r="C18310" s="5">
        <v>119.1</v>
      </c>
      <c r="D18310" s="5">
        <v>0.1</v>
      </c>
      <c r="E18310" s="5">
        <v>119.3</v>
      </c>
      <c r="F18310" s="5">
        <v>236.6</v>
      </c>
      <c r="G18310" s="5">
        <v>117.5</v>
      </c>
      <c r="H18310" s="5">
        <v>117.3</v>
      </c>
      <c r="I18310" s="5"/>
      <c r="J18310" s="5"/>
      <c r="K18310" s="5"/>
    </row>
    <row r="18311" spans="1:11" x14ac:dyDescent="0.25">
      <c r="A18311" s="5">
        <f>18304</f>
      </c>
      <c r="B18311" s="5" t="s">
        <v>18319</v>
      </c>
      <c r="C18311" s="5">
        <v>119.1</v>
      </c>
      <c r="D18311" s="5">
        <v>0.1</v>
      </c>
      <c r="E18311" s="5">
        <v>119.3</v>
      </c>
      <c r="F18311" s="5">
        <v>236.6</v>
      </c>
      <c r="G18311" s="5">
        <v>117.5</v>
      </c>
      <c r="H18311" s="5">
        <v>117.3</v>
      </c>
      <c r="I18311" s="5"/>
      <c r="J18311" s="5"/>
      <c r="K18311" s="5"/>
    </row>
    <row r="18312" spans="1:11" x14ac:dyDescent="0.25">
      <c r="A18312" s="5">
        <f>18305</f>
      </c>
      <c r="B18312" s="5" t="s">
        <v>18320</v>
      </c>
      <c r="C18312" s="5">
        <v>119</v>
      </c>
      <c r="D18312" s="5">
        <v>0.1</v>
      </c>
      <c r="E18312" s="5">
        <v>119.2</v>
      </c>
      <c r="F18312" s="5">
        <v>235.9</v>
      </c>
      <c r="G18312" s="5">
        <v>117.1</v>
      </c>
      <c r="H18312" s="5">
        <v>116.9</v>
      </c>
      <c r="I18312" s="5"/>
      <c r="J18312" s="5"/>
      <c r="K18312" s="5"/>
    </row>
    <row r="18313" spans="1:11" x14ac:dyDescent="0.25">
      <c r="A18313" s="5">
        <f>18306</f>
      </c>
      <c r="B18313" s="5" t="s">
        <v>18321</v>
      </c>
      <c r="C18313" s="5">
        <v>119</v>
      </c>
      <c r="D18313" s="5">
        <v>0.1</v>
      </c>
      <c r="E18313" s="5">
        <v>119.2</v>
      </c>
      <c r="F18313" s="5">
        <v>235.9</v>
      </c>
      <c r="G18313" s="5">
        <v>117.1</v>
      </c>
      <c r="H18313" s="5">
        <v>116.9</v>
      </c>
      <c r="I18313" s="5"/>
      <c r="J18313" s="5"/>
      <c r="K18313" s="5"/>
    </row>
    <row r="18314" spans="1:11" x14ac:dyDescent="0.25">
      <c r="A18314" s="5">
        <f>18307</f>
      </c>
      <c r="B18314" s="5" t="s">
        <v>18322</v>
      </c>
      <c r="C18314" s="5">
        <v>118.6</v>
      </c>
      <c r="D18314" s="5">
        <v>0.1</v>
      </c>
      <c r="E18314" s="5">
        <v>118.7</v>
      </c>
      <c r="F18314" s="5">
        <v>235.2</v>
      </c>
      <c r="G18314" s="5">
        <v>117.1</v>
      </c>
      <c r="H18314" s="5">
        <v>116.9</v>
      </c>
      <c r="I18314" s="5"/>
      <c r="J18314" s="5"/>
      <c r="K18314" s="5"/>
    </row>
    <row r="18315" spans="1:11" x14ac:dyDescent="0.25">
      <c r="A18315" s="5">
        <f>18308</f>
      </c>
      <c r="B18315" s="5" t="s">
        <v>18323</v>
      </c>
      <c r="C18315" s="5">
        <v>118.6</v>
      </c>
      <c r="D18315" s="5">
        <v>0.1</v>
      </c>
      <c r="E18315" s="5">
        <v>118.7</v>
      </c>
      <c r="F18315" s="5">
        <v>235.2</v>
      </c>
      <c r="G18315" s="5">
        <v>116.7</v>
      </c>
      <c r="H18315" s="5">
        <v>116.5</v>
      </c>
      <c r="I18315" s="5"/>
      <c r="J18315" s="5"/>
      <c r="K18315" s="5"/>
    </row>
    <row r="18316" spans="1:11" x14ac:dyDescent="0.25">
      <c r="A18316" s="5">
        <f>18309</f>
      </c>
      <c r="B18316" s="5" t="s">
        <v>18324</v>
      </c>
      <c r="C18316" s="5">
        <v>118.6</v>
      </c>
      <c r="D18316" s="5">
        <v>0.1</v>
      </c>
      <c r="E18316" s="5">
        <v>118.7</v>
      </c>
      <c r="F18316" s="5">
        <v>235.2</v>
      </c>
      <c r="G18316" s="5">
        <v>116.7</v>
      </c>
      <c r="H18316" s="5">
        <v>116.5</v>
      </c>
      <c r="I18316" s="5"/>
      <c r="J18316" s="5"/>
      <c r="K18316" s="5"/>
    </row>
    <row r="18317" spans="1:11" x14ac:dyDescent="0.25">
      <c r="A18317" s="5">
        <f>18310</f>
      </c>
      <c r="B18317" s="5" t="s">
        <v>18325</v>
      </c>
      <c r="C18317" s="5">
        <v>118.6</v>
      </c>
      <c r="D18317" s="5">
        <v>0.1</v>
      </c>
      <c r="E18317" s="5">
        <v>118.7</v>
      </c>
      <c r="F18317" s="5">
        <v>235.2</v>
      </c>
      <c r="G18317" s="5">
        <v>116.7</v>
      </c>
      <c r="H18317" s="5">
        <v>116.5</v>
      </c>
      <c r="I18317" s="5"/>
      <c r="J18317" s="5"/>
      <c r="K18317" s="5"/>
    </row>
    <row r="18318" spans="1:11" x14ac:dyDescent="0.25">
      <c r="A18318" s="5">
        <f>18311</f>
      </c>
      <c r="B18318" s="5" t="s">
        <v>18326</v>
      </c>
      <c r="C18318" s="5">
        <v>118.5</v>
      </c>
      <c r="D18318" s="5">
        <v>0.1</v>
      </c>
      <c r="E18318" s="5">
        <v>118.7</v>
      </c>
      <c r="F18318" s="5">
        <v>234.9</v>
      </c>
      <c r="G18318" s="5">
        <v>116.6</v>
      </c>
      <c r="H18318" s="5">
        <v>116.4</v>
      </c>
      <c r="I18318" s="5"/>
      <c r="J18318" s="5"/>
      <c r="K18318" s="5"/>
    </row>
    <row r="18319" spans="1:11" x14ac:dyDescent="0.25">
      <c r="A18319" s="5">
        <f>18312</f>
      </c>
      <c r="B18319" s="5" t="s">
        <v>18327</v>
      </c>
      <c r="C18319" s="5">
        <v>118.5</v>
      </c>
      <c r="D18319" s="5">
        <v>0.1</v>
      </c>
      <c r="E18319" s="5">
        <v>118.7</v>
      </c>
      <c r="F18319" s="5">
        <v>234.9</v>
      </c>
      <c r="G18319" s="5">
        <v>116.6</v>
      </c>
      <c r="H18319" s="5">
        <v>116.4</v>
      </c>
      <c r="I18319" s="5"/>
      <c r="J18319" s="5"/>
      <c r="K18319" s="5"/>
    </row>
    <row r="18320" spans="1:11" x14ac:dyDescent="0.25">
      <c r="A18320" s="5">
        <f>18313</f>
      </c>
      <c r="B18320" s="5" t="s">
        <v>18328</v>
      </c>
      <c r="C18320" s="5">
        <v>118.5</v>
      </c>
      <c r="D18320" s="5">
        <v>0.1</v>
      </c>
      <c r="E18320" s="5">
        <v>118.8</v>
      </c>
      <c r="F18320" s="5">
        <v>235</v>
      </c>
      <c r="G18320" s="5">
        <v>116.6</v>
      </c>
      <c r="H18320" s="5">
        <v>116.5</v>
      </c>
      <c r="I18320" s="5"/>
      <c r="J18320" s="5"/>
      <c r="K18320" s="5"/>
    </row>
    <row r="18321" spans="1:11" x14ac:dyDescent="0.25">
      <c r="A18321" s="5">
        <f>18314</f>
      </c>
      <c r="B18321" s="5" t="s">
        <v>18329</v>
      </c>
      <c r="C18321" s="5">
        <v>118.6</v>
      </c>
      <c r="D18321" s="5">
        <v>0.1</v>
      </c>
      <c r="E18321" s="5">
        <v>118.8</v>
      </c>
      <c r="F18321" s="5">
        <v>235</v>
      </c>
      <c r="G18321" s="5">
        <v>116.6</v>
      </c>
      <c r="H18321" s="5">
        <v>116.5</v>
      </c>
      <c r="I18321" s="5"/>
      <c r="J18321" s="5"/>
      <c r="K18321" s="5"/>
    </row>
    <row r="18322" spans="1:11" x14ac:dyDescent="0.25">
      <c r="A18322" s="5">
        <f>18315</f>
      </c>
      <c r="B18322" s="5" t="s">
        <v>18330</v>
      </c>
      <c r="C18322" s="5">
        <v>118.6</v>
      </c>
      <c r="D18322" s="5">
        <v>0.1</v>
      </c>
      <c r="E18322" s="5">
        <v>118.8</v>
      </c>
      <c r="F18322" s="5">
        <v>235.9</v>
      </c>
      <c r="G18322" s="5">
        <v>117</v>
      </c>
      <c r="H18322" s="5">
        <v>116.9</v>
      </c>
      <c r="I18322" s="5"/>
      <c r="J18322" s="5"/>
      <c r="K18322" s="5"/>
    </row>
    <row r="18323" spans="1:11" x14ac:dyDescent="0.25">
      <c r="A18323" s="5">
        <f>18316</f>
      </c>
      <c r="B18323" s="5" t="s">
        <v>18331</v>
      </c>
      <c r="C18323" s="5">
        <v>119.1</v>
      </c>
      <c r="D18323" s="5">
        <v>0.1</v>
      </c>
      <c r="E18323" s="5">
        <v>119.3</v>
      </c>
      <c r="F18323" s="5">
        <v>235.9</v>
      </c>
      <c r="G18323" s="5">
        <v>117</v>
      </c>
      <c r="H18323" s="5">
        <v>116.9</v>
      </c>
      <c r="I18323" s="5"/>
      <c r="J18323" s="5"/>
      <c r="K18323" s="5"/>
    </row>
    <row r="18324" spans="1:11" x14ac:dyDescent="0.25">
      <c r="A18324" s="5">
        <f>18317</f>
      </c>
      <c r="B18324" s="5" t="s">
        <v>18332</v>
      </c>
      <c r="C18324" s="5">
        <v>119.1</v>
      </c>
      <c r="D18324" s="5">
        <v>0.1</v>
      </c>
      <c r="E18324" s="5">
        <v>119.3</v>
      </c>
      <c r="F18324" s="5">
        <v>235.9</v>
      </c>
      <c r="G18324" s="5">
        <v>117.1</v>
      </c>
      <c r="H18324" s="5">
        <v>116.9</v>
      </c>
      <c r="I18324" s="5"/>
      <c r="J18324" s="5"/>
      <c r="K18324" s="5"/>
    </row>
    <row r="18325" spans="1:11" x14ac:dyDescent="0.25">
      <c r="A18325" s="5">
        <f>18318</f>
      </c>
      <c r="B18325" s="5" t="s">
        <v>18333</v>
      </c>
      <c r="C18325" s="5">
        <v>118.9</v>
      </c>
      <c r="D18325" s="5">
        <v>0.1</v>
      </c>
      <c r="E18325" s="5">
        <v>119</v>
      </c>
      <c r="F18325" s="5">
        <v>236</v>
      </c>
      <c r="G18325" s="5">
        <v>117.1</v>
      </c>
      <c r="H18325" s="5">
        <v>116.9</v>
      </c>
      <c r="I18325" s="5"/>
      <c r="J18325" s="5"/>
      <c r="K18325" s="5"/>
    </row>
    <row r="18326" spans="1:11" x14ac:dyDescent="0.25">
      <c r="A18326" s="5">
        <f>18319</f>
      </c>
      <c r="B18326" s="5" t="s">
        <v>18334</v>
      </c>
      <c r="C18326" s="5">
        <v>118.9</v>
      </c>
      <c r="D18326" s="5">
        <v>0.1</v>
      </c>
      <c r="E18326" s="5">
        <v>119</v>
      </c>
      <c r="F18326" s="5">
        <v>236</v>
      </c>
      <c r="G18326" s="5">
        <v>117.1</v>
      </c>
      <c r="H18326" s="5">
        <v>116.9</v>
      </c>
      <c r="I18326" s="5"/>
      <c r="J18326" s="5"/>
      <c r="K18326" s="5"/>
    </row>
    <row r="18327" spans="1:11" x14ac:dyDescent="0.25">
      <c r="A18327" s="5">
        <f>18320</f>
      </c>
      <c r="B18327" s="5" t="s">
        <v>18335</v>
      </c>
      <c r="C18327" s="5">
        <v>118.9</v>
      </c>
      <c r="D18327" s="5">
        <v>0.1</v>
      </c>
      <c r="E18327" s="5">
        <v>119</v>
      </c>
      <c r="F18327" s="5">
        <v>236</v>
      </c>
      <c r="G18327" s="5">
        <v>117.1</v>
      </c>
      <c r="H18327" s="5">
        <v>116.9</v>
      </c>
      <c r="I18327" s="5"/>
      <c r="J18327" s="5"/>
      <c r="K18327" s="5"/>
    </row>
    <row r="18328" spans="1:11" x14ac:dyDescent="0.25">
      <c r="A18328" s="5">
        <f>18321</f>
      </c>
      <c r="B18328" s="5" t="s">
        <v>18336</v>
      </c>
      <c r="C18328" s="5">
        <v>118.9</v>
      </c>
      <c r="D18328" s="5">
        <v>0.1</v>
      </c>
      <c r="E18328" s="5">
        <v>119</v>
      </c>
      <c r="F18328" s="5">
        <v>236</v>
      </c>
      <c r="G18328" s="5">
        <v>117.1</v>
      </c>
      <c r="H18328" s="5">
        <v>116.9</v>
      </c>
      <c r="I18328" s="5"/>
      <c r="J18328" s="5"/>
      <c r="K18328" s="5"/>
    </row>
    <row r="18329" spans="1:11" x14ac:dyDescent="0.25">
      <c r="A18329" s="5">
        <f>18322</f>
      </c>
      <c r="B18329" s="5" t="s">
        <v>18337</v>
      </c>
      <c r="C18329" s="5">
        <v>118.9</v>
      </c>
      <c r="D18329" s="5">
        <v>0.1</v>
      </c>
      <c r="E18329" s="5">
        <v>119</v>
      </c>
      <c r="F18329" s="5">
        <v>236</v>
      </c>
      <c r="G18329" s="5">
        <v>117.1</v>
      </c>
      <c r="H18329" s="5">
        <v>116.9</v>
      </c>
      <c r="I18329" s="5"/>
      <c r="J18329" s="5"/>
      <c r="K18329" s="5"/>
    </row>
    <row r="18330" spans="1:11" x14ac:dyDescent="0.25">
      <c r="A18330" s="5">
        <f>18323</f>
      </c>
      <c r="B18330" s="5" t="s">
        <v>18338</v>
      </c>
      <c r="C18330" s="5">
        <v>119</v>
      </c>
      <c r="D18330" s="5">
        <v>0.1</v>
      </c>
      <c r="E18330" s="5">
        <v>119.1</v>
      </c>
      <c r="F18330" s="5">
        <v>236.2</v>
      </c>
      <c r="G18330" s="5">
        <v>117.2</v>
      </c>
      <c r="H18330" s="5">
        <v>117.1</v>
      </c>
      <c r="I18330" s="5"/>
      <c r="J18330" s="5"/>
      <c r="K18330" s="5"/>
    </row>
    <row r="18331" spans="1:11" x14ac:dyDescent="0.25">
      <c r="A18331" s="5">
        <f>18324</f>
      </c>
      <c r="B18331" s="5" t="s">
        <v>18339</v>
      </c>
      <c r="C18331" s="5">
        <v>119</v>
      </c>
      <c r="D18331" s="5">
        <v>0.1</v>
      </c>
      <c r="E18331" s="5">
        <v>119.1</v>
      </c>
      <c r="F18331" s="5">
        <v>236.2</v>
      </c>
      <c r="G18331" s="5">
        <v>117.2</v>
      </c>
      <c r="H18331" s="5">
        <v>117.1</v>
      </c>
      <c r="I18331" s="5"/>
      <c r="J18331" s="5"/>
      <c r="K18331" s="5"/>
    </row>
    <row r="18332" spans="1:11" x14ac:dyDescent="0.25">
      <c r="A18332" s="5">
        <f>18325</f>
      </c>
      <c r="B18332" s="5" t="s">
        <v>18340</v>
      </c>
      <c r="C18332" s="5">
        <v>119.4</v>
      </c>
      <c r="D18332" s="5">
        <v>0.1</v>
      </c>
      <c r="E18332" s="5">
        <v>119.6</v>
      </c>
      <c r="F18332" s="5">
        <v>236.7</v>
      </c>
      <c r="G18332" s="5">
        <v>117.5</v>
      </c>
      <c r="H18332" s="5">
        <v>117.3</v>
      </c>
      <c r="I18332" s="5"/>
      <c r="J18332" s="5"/>
      <c r="K18332" s="5"/>
    </row>
    <row r="18333" spans="1:11" x14ac:dyDescent="0.25">
      <c r="A18333" s="5">
        <f>18326</f>
      </c>
      <c r="B18333" s="5" t="s">
        <v>18341</v>
      </c>
      <c r="C18333" s="5">
        <v>119.4</v>
      </c>
      <c r="D18333" s="5">
        <v>0.1</v>
      </c>
      <c r="E18333" s="5">
        <v>119.6</v>
      </c>
      <c r="F18333" s="5">
        <v>236.7</v>
      </c>
      <c r="G18333" s="5">
        <v>117.5</v>
      </c>
      <c r="H18333" s="5">
        <v>117.3</v>
      </c>
      <c r="I18333" s="5"/>
      <c r="J18333" s="5"/>
      <c r="K18333" s="5"/>
    </row>
    <row r="18334" spans="1:11" x14ac:dyDescent="0.25">
      <c r="A18334" s="5">
        <f>18327</f>
      </c>
      <c r="B18334" s="5" t="s">
        <v>18342</v>
      </c>
      <c r="C18334" s="5">
        <v>119.3</v>
      </c>
      <c r="D18334" s="5">
        <v>0.1</v>
      </c>
      <c r="E18334" s="5">
        <v>119.4</v>
      </c>
      <c r="F18334" s="5">
        <v>236.6</v>
      </c>
      <c r="G18334" s="5">
        <v>117.4</v>
      </c>
      <c r="H18334" s="5">
        <v>117.2</v>
      </c>
      <c r="I18334" s="5"/>
      <c r="J18334" s="5"/>
      <c r="K18334" s="5"/>
    </row>
    <row r="18335" spans="1:11" x14ac:dyDescent="0.25">
      <c r="A18335" s="5">
        <f>18328</f>
      </c>
      <c r="B18335" s="5" t="s">
        <v>18343</v>
      </c>
      <c r="C18335" s="5">
        <v>119.3</v>
      </c>
      <c r="D18335" s="5">
        <v>0.1</v>
      </c>
      <c r="E18335" s="5">
        <v>119.4</v>
      </c>
      <c r="F18335" s="5">
        <v>236.6</v>
      </c>
      <c r="G18335" s="5">
        <v>117.4</v>
      </c>
      <c r="H18335" s="5">
        <v>117.2</v>
      </c>
      <c r="I18335" s="5"/>
      <c r="J18335" s="5"/>
      <c r="K18335" s="5"/>
    </row>
    <row r="18336" spans="1:11" x14ac:dyDescent="0.25">
      <c r="A18336" s="5">
        <f>18329</f>
      </c>
      <c r="B18336" s="5" t="s">
        <v>18344</v>
      </c>
      <c r="C18336" s="5">
        <v>119.3</v>
      </c>
      <c r="D18336" s="5">
        <v>0.1</v>
      </c>
      <c r="E18336" s="5">
        <v>119.4</v>
      </c>
      <c r="F18336" s="5">
        <v>236.6</v>
      </c>
      <c r="G18336" s="5">
        <v>117.4</v>
      </c>
      <c r="H18336" s="5">
        <v>117.2</v>
      </c>
      <c r="I18336" s="5"/>
      <c r="J18336" s="5"/>
      <c r="K18336" s="5"/>
    </row>
    <row r="18337" spans="1:11" x14ac:dyDescent="0.25">
      <c r="A18337" s="5">
        <f>18330</f>
      </c>
      <c r="B18337" s="5" t="s">
        <v>18345</v>
      </c>
      <c r="C18337" s="5">
        <v>119.3</v>
      </c>
      <c r="D18337" s="5">
        <v>0.1</v>
      </c>
      <c r="E18337" s="5">
        <v>119.4</v>
      </c>
      <c r="F18337" s="5">
        <v>236.6</v>
      </c>
      <c r="G18337" s="5">
        <v>117.4</v>
      </c>
      <c r="H18337" s="5">
        <v>117.2</v>
      </c>
      <c r="I18337" s="5"/>
      <c r="J18337" s="5"/>
      <c r="K18337" s="5"/>
    </row>
    <row r="18338" spans="1:11" x14ac:dyDescent="0.25">
      <c r="A18338" s="5">
        <f>18331</f>
      </c>
      <c r="B18338" s="5" t="s">
        <v>18346</v>
      </c>
      <c r="C18338" s="5">
        <v>118.2</v>
      </c>
      <c r="D18338" s="5">
        <v>0.1</v>
      </c>
      <c r="E18338" s="5">
        <v>118.3</v>
      </c>
      <c r="F18338" s="5">
        <v>235.8</v>
      </c>
      <c r="G18338" s="5">
        <v>117</v>
      </c>
      <c r="H18338" s="5">
        <v>116.8</v>
      </c>
      <c r="I18338" s="5"/>
      <c r="J18338" s="5"/>
      <c r="K18338" s="5"/>
    </row>
    <row r="18339" spans="1:11" x14ac:dyDescent="0.25">
      <c r="A18339" s="5">
        <f>18332</f>
      </c>
      <c r="B18339" s="5" t="s">
        <v>18347</v>
      </c>
      <c r="C18339" s="5">
        <v>118.2</v>
      </c>
      <c r="D18339" s="5">
        <v>0.1</v>
      </c>
      <c r="E18339" s="5">
        <v>118.3</v>
      </c>
      <c r="F18339" s="5">
        <v>235.8</v>
      </c>
      <c r="G18339" s="5">
        <v>117</v>
      </c>
      <c r="H18339" s="5">
        <v>116.8</v>
      </c>
      <c r="I18339" s="5"/>
      <c r="J18339" s="5"/>
      <c r="K18339" s="5"/>
    </row>
    <row r="18340" spans="1:11" x14ac:dyDescent="0.25">
      <c r="A18340" s="5">
        <f>18333</f>
      </c>
      <c r="B18340" s="5" t="s">
        <v>18348</v>
      </c>
      <c r="C18340" s="5">
        <v>118.9</v>
      </c>
      <c r="D18340" s="5">
        <v>0.1</v>
      </c>
      <c r="E18340" s="5">
        <v>119</v>
      </c>
      <c r="F18340" s="5">
        <v>236.3</v>
      </c>
      <c r="G18340" s="5">
        <v>117.3</v>
      </c>
      <c r="H18340" s="5">
        <v>117.2</v>
      </c>
      <c r="I18340" s="5"/>
      <c r="J18340" s="5"/>
      <c r="K18340" s="5"/>
    </row>
    <row r="18341" spans="1:11" x14ac:dyDescent="0.25">
      <c r="A18341" s="5">
        <f>18334</f>
      </c>
      <c r="B18341" s="5" t="s">
        <v>18349</v>
      </c>
      <c r="C18341" s="5">
        <v>118.9</v>
      </c>
      <c r="D18341" s="5">
        <v>0.1</v>
      </c>
      <c r="E18341" s="5">
        <v>119</v>
      </c>
      <c r="F18341" s="5">
        <v>236.3</v>
      </c>
      <c r="G18341" s="5">
        <v>117.3</v>
      </c>
      <c r="H18341" s="5">
        <v>117.2</v>
      </c>
      <c r="I18341" s="5"/>
      <c r="J18341" s="5"/>
      <c r="K18341" s="5"/>
    </row>
    <row r="18342" spans="1:11" x14ac:dyDescent="0.25">
      <c r="A18342" s="5">
        <f>18335</f>
      </c>
      <c r="B18342" s="5" t="s">
        <v>18350</v>
      </c>
      <c r="C18342" s="5">
        <v>119.1</v>
      </c>
      <c r="D18342" s="5">
        <v>0.1</v>
      </c>
      <c r="E18342" s="5">
        <v>119.3</v>
      </c>
      <c r="F18342" s="5">
        <v>236.9</v>
      </c>
      <c r="G18342" s="5">
        <v>117.6</v>
      </c>
      <c r="H18342" s="5">
        <v>117.4</v>
      </c>
      <c r="I18342" s="5"/>
      <c r="J18342" s="5"/>
      <c r="K18342" s="5"/>
    </row>
    <row r="18343" spans="1:11" x14ac:dyDescent="0.25">
      <c r="A18343" s="5">
        <f>18336</f>
      </c>
      <c r="B18343" s="5" t="s">
        <v>18351</v>
      </c>
      <c r="C18343" s="5">
        <v>119.1</v>
      </c>
      <c r="D18343" s="5">
        <v>0.1</v>
      </c>
      <c r="E18343" s="5">
        <v>119.3</v>
      </c>
      <c r="F18343" s="5">
        <v>236.9</v>
      </c>
      <c r="G18343" s="5">
        <v>117.6</v>
      </c>
      <c r="H18343" s="5">
        <v>117.4</v>
      </c>
      <c r="I18343" s="5"/>
      <c r="J18343" s="5"/>
      <c r="K18343" s="5"/>
    </row>
    <row r="18344" spans="1:11" x14ac:dyDescent="0.25">
      <c r="A18344" s="5">
        <f>18337</f>
      </c>
      <c r="B18344" s="5" t="s">
        <v>18352</v>
      </c>
      <c r="C18344" s="5">
        <v>119</v>
      </c>
      <c r="D18344" s="5">
        <v>0.1</v>
      </c>
      <c r="E18344" s="5">
        <v>119.2</v>
      </c>
      <c r="F18344" s="5">
        <v>236.8</v>
      </c>
      <c r="G18344" s="5">
        <v>117.5</v>
      </c>
      <c r="H18344" s="5">
        <v>117.4</v>
      </c>
      <c r="I18344" s="5"/>
      <c r="J18344" s="5"/>
      <c r="K18344" s="5"/>
    </row>
    <row r="18345" spans="1:11" x14ac:dyDescent="0.25">
      <c r="A18345" s="5">
        <f>18338</f>
      </c>
      <c r="B18345" s="5" t="s">
        <v>18353</v>
      </c>
      <c r="C18345" s="5">
        <v>119</v>
      </c>
      <c r="D18345" s="5">
        <v>0.1</v>
      </c>
      <c r="E18345" s="5">
        <v>119.2</v>
      </c>
      <c r="F18345" s="5">
        <v>236.8</v>
      </c>
      <c r="G18345" s="5">
        <v>117.5</v>
      </c>
      <c r="H18345" s="5">
        <v>117.4</v>
      </c>
      <c r="I18345" s="5"/>
      <c r="J18345" s="5"/>
      <c r="K18345" s="5"/>
    </row>
    <row r="18346" spans="1:11" x14ac:dyDescent="0.25">
      <c r="A18346" s="5">
        <f>18339</f>
      </c>
      <c r="B18346" s="5" t="s">
        <v>18354</v>
      </c>
      <c r="C18346" s="5">
        <v>119</v>
      </c>
      <c r="D18346" s="5">
        <v>0.1</v>
      </c>
      <c r="E18346" s="5">
        <v>119.2</v>
      </c>
      <c r="F18346" s="5">
        <v>236.8</v>
      </c>
      <c r="G18346" s="5">
        <v>117.5</v>
      </c>
      <c r="H18346" s="5">
        <v>117.4</v>
      </c>
      <c r="I18346" s="5"/>
      <c r="J18346" s="5"/>
      <c r="K18346" s="5"/>
    </row>
    <row r="18347" spans="1:11" x14ac:dyDescent="0.25">
      <c r="A18347" s="5">
        <f>18340</f>
      </c>
      <c r="B18347" s="5" t="s">
        <v>18355</v>
      </c>
      <c r="C18347" s="5">
        <v>119</v>
      </c>
      <c r="D18347" s="5">
        <v>0.1</v>
      </c>
      <c r="E18347" s="5">
        <v>119.2</v>
      </c>
      <c r="F18347" s="5">
        <v>236.8</v>
      </c>
      <c r="G18347" s="5">
        <v>117.5</v>
      </c>
      <c r="H18347" s="5">
        <v>117.4</v>
      </c>
      <c r="I18347" s="5"/>
      <c r="J18347" s="5"/>
      <c r="K18347" s="5"/>
    </row>
    <row r="18348" spans="1:11" x14ac:dyDescent="0.25">
      <c r="A18348" s="5">
        <f>18341</f>
      </c>
      <c r="B18348" s="5" t="s">
        <v>18356</v>
      </c>
      <c r="C18348" s="5">
        <v>119.1</v>
      </c>
      <c r="D18348" s="5">
        <v>0.1</v>
      </c>
      <c r="E18348" s="5">
        <v>119.3</v>
      </c>
      <c r="F18348" s="5">
        <v>236.6</v>
      </c>
      <c r="G18348" s="5">
        <v>117.6</v>
      </c>
      <c r="H18348" s="5">
        <v>117.5</v>
      </c>
      <c r="I18348" s="5"/>
      <c r="J18348" s="5"/>
      <c r="K18348" s="5"/>
    </row>
    <row r="18349" spans="1:11" x14ac:dyDescent="0.25">
      <c r="A18349" s="5">
        <f>18342</f>
      </c>
      <c r="B18349" s="5" t="s">
        <v>18357</v>
      </c>
      <c r="C18349" s="5">
        <v>119.1</v>
      </c>
      <c r="D18349" s="5">
        <v>0.1</v>
      </c>
      <c r="E18349" s="5">
        <v>119.3</v>
      </c>
      <c r="F18349" s="5">
        <v>236.6</v>
      </c>
      <c r="G18349" s="5">
        <v>117.6</v>
      </c>
      <c r="H18349" s="5">
        <v>117.5</v>
      </c>
      <c r="I18349" s="5"/>
      <c r="J18349" s="5"/>
      <c r="K18349" s="5"/>
    </row>
    <row r="18350" spans="1:11" x14ac:dyDescent="0.25">
      <c r="A18350" s="5">
        <f>18343</f>
      </c>
      <c r="B18350" s="5" t="s">
        <v>18358</v>
      </c>
      <c r="C18350" s="5">
        <v>119.2</v>
      </c>
      <c r="D18350" s="5">
        <v>0.1</v>
      </c>
      <c r="E18350" s="5">
        <v>119.3</v>
      </c>
      <c r="F18350" s="5">
        <v>236.9</v>
      </c>
      <c r="G18350" s="5">
        <v>117.6</v>
      </c>
      <c r="H18350" s="5">
        <v>117.5</v>
      </c>
      <c r="I18350" s="5"/>
      <c r="J18350" s="5"/>
      <c r="K18350" s="5"/>
    </row>
    <row r="18351" spans="1:11" x14ac:dyDescent="0.25">
      <c r="A18351" s="5">
        <f>18344</f>
      </c>
      <c r="B18351" s="5" t="s">
        <v>18359</v>
      </c>
      <c r="C18351" s="5">
        <v>119.2</v>
      </c>
      <c r="D18351" s="5">
        <v>0.1</v>
      </c>
      <c r="E18351" s="5">
        <v>119.3</v>
      </c>
      <c r="F18351" s="5">
        <v>236.9</v>
      </c>
      <c r="G18351" s="5">
        <v>117.6</v>
      </c>
      <c r="H18351" s="5">
        <v>117.5</v>
      </c>
      <c r="I18351" s="5"/>
      <c r="J18351" s="5"/>
      <c r="K18351" s="5"/>
    </row>
    <row r="18352" spans="1:11" x14ac:dyDescent="0.25">
      <c r="A18352" s="5">
        <f>18345</f>
      </c>
      <c r="B18352" s="5" t="s">
        <v>18360</v>
      </c>
      <c r="C18352" s="5">
        <v>119.2</v>
      </c>
      <c r="D18352" s="5">
        <v>0.1</v>
      </c>
      <c r="E18352" s="5">
        <v>119.3</v>
      </c>
      <c r="F18352" s="5">
        <v>236.7</v>
      </c>
      <c r="G18352" s="5">
        <v>117.5</v>
      </c>
      <c r="H18352" s="5">
        <v>117.3</v>
      </c>
      <c r="I18352" s="5"/>
      <c r="J18352" s="5"/>
      <c r="K18352" s="5"/>
    </row>
    <row r="18353" spans="1:11" x14ac:dyDescent="0.25">
      <c r="A18353" s="5">
        <f>18346</f>
      </c>
      <c r="B18353" s="5" t="s">
        <v>18361</v>
      </c>
      <c r="C18353" s="5">
        <v>119.2</v>
      </c>
      <c r="D18353" s="5">
        <v>0.1</v>
      </c>
      <c r="E18353" s="5">
        <v>119.3</v>
      </c>
      <c r="F18353" s="5">
        <v>236.7</v>
      </c>
      <c r="G18353" s="5">
        <v>117.5</v>
      </c>
      <c r="H18353" s="5">
        <v>117.3</v>
      </c>
      <c r="I18353" s="5"/>
      <c r="J18353" s="5"/>
      <c r="K18353" s="5"/>
    </row>
    <row r="18354" spans="1:11" x14ac:dyDescent="0.25">
      <c r="A18354" s="5">
        <f>18347</f>
      </c>
      <c r="B18354" s="5" t="s">
        <v>18362</v>
      </c>
      <c r="C18354" s="5">
        <v>119.2</v>
      </c>
      <c r="D18354" s="5">
        <v>0.1</v>
      </c>
      <c r="E18354" s="5">
        <v>119.3</v>
      </c>
      <c r="F18354" s="5">
        <v>236.6</v>
      </c>
      <c r="G18354" s="5">
        <v>117.4</v>
      </c>
      <c r="H18354" s="5">
        <v>117.3</v>
      </c>
      <c r="I18354" s="5"/>
      <c r="J18354" s="5"/>
      <c r="K18354" s="5"/>
    </row>
    <row r="18355" spans="1:11" x14ac:dyDescent="0.25">
      <c r="A18355" s="5">
        <f>18348</f>
      </c>
      <c r="B18355" s="5" t="s">
        <v>18363</v>
      </c>
      <c r="C18355" s="5">
        <v>119.2</v>
      </c>
      <c r="D18355" s="5">
        <v>0.1</v>
      </c>
      <c r="E18355" s="5">
        <v>119.3</v>
      </c>
      <c r="F18355" s="5">
        <v>236.6</v>
      </c>
      <c r="G18355" s="5">
        <v>117.4</v>
      </c>
      <c r="H18355" s="5">
        <v>117.3</v>
      </c>
      <c r="I18355" s="5"/>
      <c r="J18355" s="5"/>
      <c r="K18355" s="5"/>
    </row>
    <row r="18356" spans="1:11" x14ac:dyDescent="0.25">
      <c r="A18356" s="5">
        <f>18349</f>
      </c>
      <c r="B18356" s="5" t="s">
        <v>18364</v>
      </c>
      <c r="C18356" s="5">
        <v>119.2</v>
      </c>
      <c r="D18356" s="5">
        <v>0.1</v>
      </c>
      <c r="E18356" s="5">
        <v>119.3</v>
      </c>
      <c r="F18356" s="5">
        <v>236.6</v>
      </c>
      <c r="G18356" s="5">
        <v>117.4</v>
      </c>
      <c r="H18356" s="5">
        <v>117.3</v>
      </c>
      <c r="I18356" s="5"/>
      <c r="J18356" s="5"/>
      <c r="K18356" s="5"/>
    </row>
    <row r="18357" spans="1:11" x14ac:dyDescent="0.25">
      <c r="A18357" s="5">
        <f>18350</f>
      </c>
      <c r="B18357" s="5" t="s">
        <v>18365</v>
      </c>
      <c r="C18357" s="5">
        <v>119.2</v>
      </c>
      <c r="D18357" s="5">
        <v>0.1</v>
      </c>
      <c r="E18357" s="5">
        <v>119.3</v>
      </c>
      <c r="F18357" s="5">
        <v>236.6</v>
      </c>
      <c r="G18357" s="5">
        <v>117.4</v>
      </c>
      <c r="H18357" s="5">
        <v>117.3</v>
      </c>
      <c r="I18357" s="5"/>
      <c r="J18357" s="5"/>
      <c r="K18357" s="5"/>
    </row>
    <row r="18358" spans="1:11" x14ac:dyDescent="0.25">
      <c r="A18358" s="5">
        <f>18351</f>
      </c>
      <c r="B18358" s="5" t="s">
        <v>18366</v>
      </c>
      <c r="C18358" s="5">
        <v>119.2</v>
      </c>
      <c r="D18358" s="5">
        <v>0.1</v>
      </c>
      <c r="E18358" s="5">
        <v>119.3</v>
      </c>
      <c r="F18358" s="5">
        <v>236.7</v>
      </c>
      <c r="G18358" s="5">
        <v>117.8</v>
      </c>
      <c r="H18358" s="5">
        <v>117.6</v>
      </c>
      <c r="I18358" s="5"/>
      <c r="J18358" s="5"/>
      <c r="K18358" s="5"/>
    </row>
    <row r="18359" spans="1:11" x14ac:dyDescent="0.25">
      <c r="A18359" s="5">
        <f>18352</f>
      </c>
      <c r="B18359" s="5" t="s">
        <v>18367</v>
      </c>
      <c r="C18359" s="5">
        <v>119.2</v>
      </c>
      <c r="D18359" s="5">
        <v>0.1</v>
      </c>
      <c r="E18359" s="5">
        <v>119.3</v>
      </c>
      <c r="F18359" s="5">
        <v>236.7</v>
      </c>
      <c r="G18359" s="5">
        <v>117.8</v>
      </c>
      <c r="H18359" s="5">
        <v>117.6</v>
      </c>
      <c r="I18359" s="5"/>
      <c r="J18359" s="5"/>
      <c r="K18359" s="5"/>
    </row>
    <row r="18360" spans="1:11" x14ac:dyDescent="0.25">
      <c r="A18360" s="5">
        <f>18353</f>
      </c>
      <c r="B18360" s="5" t="s">
        <v>18368</v>
      </c>
      <c r="C18360" s="5">
        <v>119.3</v>
      </c>
      <c r="D18360" s="5">
        <v>0.1</v>
      </c>
      <c r="E18360" s="5">
        <v>119.4</v>
      </c>
      <c r="F18360" s="5">
        <v>236.8</v>
      </c>
      <c r="G18360" s="5">
        <v>117.5</v>
      </c>
      <c r="H18360" s="5">
        <v>117.4</v>
      </c>
      <c r="I18360" s="5"/>
      <c r="J18360" s="5"/>
      <c r="K18360" s="5"/>
    </row>
    <row r="18361" spans="1:11" x14ac:dyDescent="0.25">
      <c r="A18361" s="5">
        <f>18354</f>
      </c>
      <c r="B18361" s="5" t="s">
        <v>18369</v>
      </c>
      <c r="C18361" s="5">
        <v>119.3</v>
      </c>
      <c r="D18361" s="5">
        <v>0.1</v>
      </c>
      <c r="E18361" s="5">
        <v>119.4</v>
      </c>
      <c r="F18361" s="5">
        <v>236.8</v>
      </c>
      <c r="G18361" s="5">
        <v>117.5</v>
      </c>
      <c r="H18361" s="5">
        <v>117.4</v>
      </c>
      <c r="I18361" s="5"/>
      <c r="J18361" s="5"/>
      <c r="K18361" s="5"/>
    </row>
    <row r="18362" spans="1:11" x14ac:dyDescent="0.25">
      <c r="A18362" s="5">
        <f>18355</f>
      </c>
      <c r="B18362" s="5" t="s">
        <v>18370</v>
      </c>
      <c r="C18362" s="5">
        <v>119.2</v>
      </c>
      <c r="D18362" s="5">
        <v>0.1</v>
      </c>
      <c r="E18362" s="5">
        <v>119.3</v>
      </c>
      <c r="F18362" s="5">
        <v>236.5</v>
      </c>
      <c r="G18362" s="5">
        <v>117.4</v>
      </c>
      <c r="H18362" s="5">
        <v>117.3</v>
      </c>
      <c r="I18362" s="5"/>
      <c r="J18362" s="5"/>
      <c r="K18362" s="5"/>
    </row>
    <row r="18363" spans="1:11" x14ac:dyDescent="0.25">
      <c r="A18363" s="5">
        <f>18356</f>
      </c>
      <c r="B18363" s="5" t="s">
        <v>18371</v>
      </c>
      <c r="C18363" s="5">
        <v>119.2</v>
      </c>
      <c r="D18363" s="5">
        <v>0.1</v>
      </c>
      <c r="E18363" s="5">
        <v>119.3</v>
      </c>
      <c r="F18363" s="5">
        <v>236.5</v>
      </c>
      <c r="G18363" s="5">
        <v>117.4</v>
      </c>
      <c r="H18363" s="5">
        <v>117.3</v>
      </c>
      <c r="I18363" s="5"/>
      <c r="J18363" s="5"/>
      <c r="K18363" s="5"/>
    </row>
    <row r="18364" spans="1:11" x14ac:dyDescent="0.25">
      <c r="A18364" s="5">
        <f>18357</f>
      </c>
      <c r="B18364" s="5" t="s">
        <v>18372</v>
      </c>
      <c r="C18364" s="5">
        <v>119</v>
      </c>
      <c r="D18364" s="5">
        <v>0.1</v>
      </c>
      <c r="E18364" s="5">
        <v>119.2</v>
      </c>
      <c r="F18364" s="5">
        <v>236.9</v>
      </c>
      <c r="G18364" s="5">
        <v>117.6</v>
      </c>
      <c r="H18364" s="5">
        <v>117.4</v>
      </c>
      <c r="I18364" s="5"/>
      <c r="J18364" s="5"/>
      <c r="K18364" s="5"/>
    </row>
    <row r="18365" spans="1:11" x14ac:dyDescent="0.25">
      <c r="A18365" s="5">
        <f>18358</f>
      </c>
      <c r="B18365" s="5" t="s">
        <v>18373</v>
      </c>
      <c r="C18365" s="5">
        <v>119</v>
      </c>
      <c r="D18365" s="5">
        <v>0.1</v>
      </c>
      <c r="E18365" s="5">
        <v>119.2</v>
      </c>
      <c r="F18365" s="5">
        <v>236.9</v>
      </c>
      <c r="G18365" s="5">
        <v>117.6</v>
      </c>
      <c r="H18365" s="5">
        <v>117.4</v>
      </c>
      <c r="I18365" s="5"/>
      <c r="J18365" s="5"/>
      <c r="K18365" s="5"/>
    </row>
    <row r="18366" spans="1:11" x14ac:dyDescent="0.25">
      <c r="A18366" s="5">
        <f>18359</f>
      </c>
      <c r="B18366" s="5" t="s">
        <v>18374</v>
      </c>
      <c r="C18366" s="5">
        <v>119</v>
      </c>
      <c r="D18366" s="5">
        <v>0.1</v>
      </c>
      <c r="E18366" s="5">
        <v>119.2</v>
      </c>
      <c r="F18366" s="5">
        <v>236.9</v>
      </c>
      <c r="G18366" s="5">
        <v>117.6</v>
      </c>
      <c r="H18366" s="5">
        <v>117.4</v>
      </c>
      <c r="I18366" s="5"/>
      <c r="J18366" s="5"/>
      <c r="K18366" s="5"/>
    </row>
    <row r="18367" spans="1:11" x14ac:dyDescent="0.25">
      <c r="A18367" s="5">
        <f>18360</f>
      </c>
      <c r="B18367" s="5" t="s">
        <v>18375</v>
      </c>
      <c r="C18367" s="5">
        <v>119</v>
      </c>
      <c r="D18367" s="5">
        <v>0.1</v>
      </c>
      <c r="E18367" s="5">
        <v>119.2</v>
      </c>
      <c r="F18367" s="5">
        <v>236.9</v>
      </c>
      <c r="G18367" s="5">
        <v>117.6</v>
      </c>
      <c r="H18367" s="5">
        <v>117.4</v>
      </c>
      <c r="I18367" s="5"/>
      <c r="J18367" s="5"/>
      <c r="K18367" s="5"/>
    </row>
    <row r="18368" spans="1:11" x14ac:dyDescent="0.25">
      <c r="A18368" s="5">
        <f>18361</f>
      </c>
      <c r="B18368" s="5" t="s">
        <v>18376</v>
      </c>
      <c r="C18368" s="5">
        <v>119</v>
      </c>
      <c r="D18368" s="5">
        <v>0.1</v>
      </c>
      <c r="E18368" s="5">
        <v>119.2</v>
      </c>
      <c r="F18368" s="5">
        <v>236.3</v>
      </c>
      <c r="G18368" s="5">
        <v>117.3</v>
      </c>
      <c r="H18368" s="5">
        <v>117.1</v>
      </c>
      <c r="I18368" s="5"/>
      <c r="J18368" s="5"/>
      <c r="K18368" s="5"/>
    </row>
    <row r="18369" spans="1:11" x14ac:dyDescent="0.25">
      <c r="A18369" s="5">
        <f>18362</f>
      </c>
      <c r="B18369" s="5" t="s">
        <v>18377</v>
      </c>
      <c r="C18369" s="5">
        <v>119</v>
      </c>
      <c r="D18369" s="5">
        <v>0.1</v>
      </c>
      <c r="E18369" s="5">
        <v>119.2</v>
      </c>
      <c r="F18369" s="5">
        <v>236.3</v>
      </c>
      <c r="G18369" s="5">
        <v>117.3</v>
      </c>
      <c r="H18369" s="5">
        <v>117.1</v>
      </c>
      <c r="I18369" s="5"/>
      <c r="J18369" s="5"/>
      <c r="K18369" s="5"/>
    </row>
    <row r="18370" spans="1:11" x14ac:dyDescent="0.25">
      <c r="A18370" s="5">
        <f>18363</f>
      </c>
      <c r="B18370" s="5" t="s">
        <v>18378</v>
      </c>
      <c r="C18370" s="5">
        <v>119</v>
      </c>
      <c r="D18370" s="5">
        <v>0.1</v>
      </c>
      <c r="E18370" s="5">
        <v>119.1</v>
      </c>
      <c r="F18370" s="5">
        <v>236.1</v>
      </c>
      <c r="G18370" s="5">
        <v>117.2</v>
      </c>
      <c r="H18370" s="5">
        <v>117</v>
      </c>
      <c r="I18370" s="5"/>
      <c r="J18370" s="5"/>
      <c r="K18370" s="5"/>
    </row>
    <row r="18371" spans="1:11" x14ac:dyDescent="0.25">
      <c r="A18371" s="5">
        <f>18364</f>
      </c>
      <c r="B18371" s="5" t="s">
        <v>18379</v>
      </c>
      <c r="C18371" s="5">
        <v>119</v>
      </c>
      <c r="D18371" s="5">
        <v>0.1</v>
      </c>
      <c r="E18371" s="5">
        <v>119.1</v>
      </c>
      <c r="F18371" s="5">
        <v>236.1</v>
      </c>
      <c r="G18371" s="5">
        <v>117.2</v>
      </c>
      <c r="H18371" s="5">
        <v>117</v>
      </c>
      <c r="I18371" s="5"/>
      <c r="J18371" s="5"/>
      <c r="K18371" s="5"/>
    </row>
    <row r="18372" spans="1:11" x14ac:dyDescent="0.25">
      <c r="A18372" s="5">
        <f>18365</f>
      </c>
      <c r="B18372" s="5" t="s">
        <v>18380</v>
      </c>
      <c r="C18372" s="5">
        <v>118.8</v>
      </c>
      <c r="D18372" s="5">
        <v>0.1</v>
      </c>
      <c r="E18372" s="5">
        <v>119</v>
      </c>
      <c r="F18372" s="5">
        <v>236.2</v>
      </c>
      <c r="G18372" s="5">
        <v>117.2</v>
      </c>
      <c r="H18372" s="5">
        <v>117.1</v>
      </c>
      <c r="I18372" s="5"/>
      <c r="J18372" s="5"/>
      <c r="K18372" s="5"/>
    </row>
    <row r="18373" spans="1:11" x14ac:dyDescent="0.25">
      <c r="A18373" s="5">
        <f>18366</f>
      </c>
      <c r="B18373" s="5" t="s">
        <v>18381</v>
      </c>
      <c r="C18373" s="5">
        <v>118.8</v>
      </c>
      <c r="D18373" s="5">
        <v>0.1</v>
      </c>
      <c r="E18373" s="5">
        <v>119</v>
      </c>
      <c r="F18373" s="5">
        <v>236.2</v>
      </c>
      <c r="G18373" s="5">
        <v>117.2</v>
      </c>
      <c r="H18373" s="5">
        <v>117.1</v>
      </c>
      <c r="I18373" s="5"/>
      <c r="J18373" s="5"/>
      <c r="K18373" s="5"/>
    </row>
    <row r="18374" spans="1:11" x14ac:dyDescent="0.25">
      <c r="A18374" s="5">
        <f>18367</f>
      </c>
      <c r="B18374" s="5" t="s">
        <v>18382</v>
      </c>
      <c r="C18374" s="5">
        <v>118.4</v>
      </c>
      <c r="D18374" s="5">
        <v>0.1</v>
      </c>
      <c r="E18374" s="5">
        <v>118.6</v>
      </c>
      <c r="F18374" s="5">
        <v>236.3</v>
      </c>
      <c r="G18374" s="5">
        <v>117.3</v>
      </c>
      <c r="H18374" s="5">
        <v>117.1</v>
      </c>
      <c r="I18374" s="5"/>
      <c r="J18374" s="5"/>
      <c r="K18374" s="5"/>
    </row>
    <row r="18375" spans="1:11" x14ac:dyDescent="0.25">
      <c r="A18375" s="5">
        <f>18368</f>
      </c>
      <c r="B18375" s="5" t="s">
        <v>18383</v>
      </c>
      <c r="C18375" s="5">
        <v>118.4</v>
      </c>
      <c r="D18375" s="5">
        <v>0.1</v>
      </c>
      <c r="E18375" s="5">
        <v>118.6</v>
      </c>
      <c r="F18375" s="5">
        <v>236.3</v>
      </c>
      <c r="G18375" s="5">
        <v>117.3</v>
      </c>
      <c r="H18375" s="5">
        <v>117.1</v>
      </c>
      <c r="I18375" s="5"/>
      <c r="J18375" s="5"/>
      <c r="K18375" s="5"/>
    </row>
    <row r="18376" spans="1:11" x14ac:dyDescent="0.25">
      <c r="A18376" s="5">
        <f>18369</f>
      </c>
      <c r="B18376" s="5" t="s">
        <v>18384</v>
      </c>
      <c r="C18376" s="5">
        <v>118.4</v>
      </c>
      <c r="D18376" s="5">
        <v>0.1</v>
      </c>
      <c r="E18376" s="5">
        <v>118.6</v>
      </c>
      <c r="F18376" s="5">
        <v>236.3</v>
      </c>
      <c r="G18376" s="5">
        <v>117.3</v>
      </c>
      <c r="H18376" s="5">
        <v>117.1</v>
      </c>
      <c r="I18376" s="5"/>
      <c r="J18376" s="5"/>
      <c r="K18376" s="5"/>
    </row>
    <row r="18377" spans="1:11" x14ac:dyDescent="0.25">
      <c r="A18377" s="5">
        <f>18370</f>
      </c>
      <c r="B18377" s="5" t="s">
        <v>18385</v>
      </c>
      <c r="C18377" s="5">
        <v>118.4</v>
      </c>
      <c r="D18377" s="5">
        <v>0.1</v>
      </c>
      <c r="E18377" s="5">
        <v>118.6</v>
      </c>
      <c r="F18377" s="5">
        <v>236.3</v>
      </c>
      <c r="G18377" s="5">
        <v>117.3</v>
      </c>
      <c r="H18377" s="5">
        <v>117.1</v>
      </c>
      <c r="I18377" s="5"/>
      <c r="J18377" s="5"/>
      <c r="K18377" s="5"/>
    </row>
    <row r="18378" spans="1:11" x14ac:dyDescent="0.25">
      <c r="A18378" s="5">
        <f>18371</f>
      </c>
      <c r="B18378" s="5" t="s">
        <v>18386</v>
      </c>
      <c r="C18378" s="5">
        <v>118.6</v>
      </c>
      <c r="D18378" s="5">
        <v>0.1</v>
      </c>
      <c r="E18378" s="5">
        <v>118.8</v>
      </c>
      <c r="F18378" s="5">
        <v>235.7</v>
      </c>
      <c r="G18378" s="5">
        <v>117</v>
      </c>
      <c r="H18378" s="5">
        <v>116.8</v>
      </c>
      <c r="I18378" s="5"/>
      <c r="J18378" s="5"/>
      <c r="K18378" s="5"/>
    </row>
    <row r="18379" spans="1:11" x14ac:dyDescent="0.25">
      <c r="A18379" s="5">
        <f>18372</f>
      </c>
      <c r="B18379" s="5" t="s">
        <v>18387</v>
      </c>
      <c r="C18379" s="5">
        <v>118.6</v>
      </c>
      <c r="D18379" s="5">
        <v>0.1</v>
      </c>
      <c r="E18379" s="5">
        <v>118.8</v>
      </c>
      <c r="F18379" s="5">
        <v>235.7</v>
      </c>
      <c r="G18379" s="5">
        <v>117</v>
      </c>
      <c r="H18379" s="5">
        <v>116.8</v>
      </c>
      <c r="I18379" s="5"/>
      <c r="J18379" s="5"/>
      <c r="K18379" s="5"/>
    </row>
    <row r="18380" spans="1:11" x14ac:dyDescent="0.25">
      <c r="A18380" s="5">
        <f>18373</f>
      </c>
      <c r="B18380" s="5" t="s">
        <v>18388</v>
      </c>
      <c r="C18380" s="5">
        <v>118.3</v>
      </c>
      <c r="D18380" s="5">
        <v>0.1</v>
      </c>
      <c r="E18380" s="5">
        <v>118.5</v>
      </c>
      <c r="F18380" s="5">
        <v>235.1</v>
      </c>
      <c r="G18380" s="5">
        <v>116.6</v>
      </c>
      <c r="H18380" s="5">
        <v>116.5</v>
      </c>
      <c r="I18380" s="5"/>
      <c r="J18380" s="5"/>
      <c r="K18380" s="5"/>
    </row>
    <row r="18381" spans="1:11" x14ac:dyDescent="0.25">
      <c r="A18381" s="5">
        <f>18374</f>
      </c>
      <c r="B18381" s="5" t="s">
        <v>18389</v>
      </c>
      <c r="C18381" s="5">
        <v>118.3</v>
      </c>
      <c r="D18381" s="5">
        <v>0.1</v>
      </c>
      <c r="E18381" s="5">
        <v>118.5</v>
      </c>
      <c r="F18381" s="5">
        <v>235.1</v>
      </c>
      <c r="G18381" s="5">
        <v>116.6</v>
      </c>
      <c r="H18381" s="5">
        <v>116.5</v>
      </c>
      <c r="I18381" s="5"/>
      <c r="J18381" s="5"/>
      <c r="K18381" s="5"/>
    </row>
    <row r="18382" spans="1:11" x14ac:dyDescent="0.25">
      <c r="A18382" s="5">
        <f>18375</f>
      </c>
      <c r="B18382" s="5" t="s">
        <v>18390</v>
      </c>
      <c r="C18382" s="5">
        <v>118.8</v>
      </c>
      <c r="D18382" s="5">
        <v>0.1</v>
      </c>
      <c r="E18382" s="5">
        <v>119</v>
      </c>
      <c r="F18382" s="5">
        <v>235.8</v>
      </c>
      <c r="G18382" s="5">
        <v>117</v>
      </c>
      <c r="H18382" s="5">
        <v>116.8</v>
      </c>
      <c r="I18382" s="5"/>
      <c r="J18382" s="5"/>
      <c r="K18382" s="5"/>
    </row>
    <row r="18383" spans="1:11" x14ac:dyDescent="0.25">
      <c r="A18383" s="5">
        <f>18376</f>
      </c>
      <c r="B18383" s="5" t="s">
        <v>18391</v>
      </c>
      <c r="C18383" s="5">
        <v>118.8</v>
      </c>
      <c r="D18383" s="5">
        <v>0.1</v>
      </c>
      <c r="E18383" s="5">
        <v>119</v>
      </c>
      <c r="F18383" s="5">
        <v>235.8</v>
      </c>
      <c r="G18383" s="5">
        <v>117</v>
      </c>
      <c r="H18383" s="5">
        <v>116.8</v>
      </c>
      <c r="I18383" s="5"/>
      <c r="J18383" s="5"/>
      <c r="K18383" s="5"/>
    </row>
    <row r="18384" spans="1:11" x14ac:dyDescent="0.25">
      <c r="A18384" s="5">
        <f>18377</f>
      </c>
      <c r="B18384" s="5" t="s">
        <v>18392</v>
      </c>
      <c r="C18384" s="5">
        <v>118.8</v>
      </c>
      <c r="D18384" s="5">
        <v>0.1</v>
      </c>
      <c r="E18384" s="5">
        <v>119</v>
      </c>
      <c r="F18384" s="5">
        <v>236</v>
      </c>
      <c r="G18384" s="5">
        <v>117.1</v>
      </c>
      <c r="H18384" s="5">
        <v>116.9</v>
      </c>
      <c r="I18384" s="5"/>
      <c r="J18384" s="5"/>
      <c r="K18384" s="5"/>
    </row>
    <row r="18385" spans="1:11" x14ac:dyDescent="0.25">
      <c r="A18385" s="5">
        <f>18378</f>
      </c>
      <c r="B18385" s="5" t="s">
        <v>18393</v>
      </c>
      <c r="C18385" s="5">
        <v>118.8</v>
      </c>
      <c r="D18385" s="5">
        <v>0.1</v>
      </c>
      <c r="E18385" s="5">
        <v>119</v>
      </c>
      <c r="F18385" s="5">
        <v>236</v>
      </c>
      <c r="G18385" s="5">
        <v>117.1</v>
      </c>
      <c r="H18385" s="5">
        <v>116.9</v>
      </c>
      <c r="I18385" s="5"/>
      <c r="J18385" s="5"/>
      <c r="K18385" s="5"/>
    </row>
    <row r="18386" spans="1:11" x14ac:dyDescent="0.25">
      <c r="A18386" s="5">
        <f>18379</f>
      </c>
      <c r="B18386" s="5" t="s">
        <v>18394</v>
      </c>
      <c r="C18386" s="5">
        <v>118.8</v>
      </c>
      <c r="D18386" s="5">
        <v>0.1</v>
      </c>
      <c r="E18386" s="5">
        <v>119</v>
      </c>
      <c r="F18386" s="5">
        <v>236</v>
      </c>
      <c r="G18386" s="5">
        <v>117.1</v>
      </c>
      <c r="H18386" s="5">
        <v>116.9</v>
      </c>
      <c r="I18386" s="5"/>
      <c r="J18386" s="5"/>
      <c r="K18386" s="5"/>
    </row>
    <row r="18387" spans="1:11" x14ac:dyDescent="0.25">
      <c r="A18387" s="5">
        <f>18380</f>
      </c>
      <c r="B18387" s="5" t="s">
        <v>18395</v>
      </c>
      <c r="C18387" s="5">
        <v>118.8</v>
      </c>
      <c r="D18387" s="5">
        <v>0.1</v>
      </c>
      <c r="E18387" s="5">
        <v>119</v>
      </c>
      <c r="F18387" s="5">
        <v>236</v>
      </c>
      <c r="G18387" s="5">
        <v>117.1</v>
      </c>
      <c r="H18387" s="5">
        <v>116.9</v>
      </c>
      <c r="I18387" s="5"/>
      <c r="J18387" s="5"/>
      <c r="K18387" s="5"/>
    </row>
    <row r="18388" spans="1:11" x14ac:dyDescent="0.25">
      <c r="A18388" s="5">
        <f>18381</f>
      </c>
      <c r="B18388" s="5" t="s">
        <v>18396</v>
      </c>
      <c r="C18388" s="5">
        <v>123.4</v>
      </c>
      <c r="D18388" s="5">
        <v>0.1</v>
      </c>
      <c r="E18388" s="5">
        <v>123.6</v>
      </c>
      <c r="F18388" s="5">
        <v>245.2</v>
      </c>
      <c r="G18388" s="5">
        <v>121.7</v>
      </c>
      <c r="H18388" s="5">
        <v>121.5</v>
      </c>
      <c r="I18388" s="5"/>
      <c r="J18388" s="5"/>
      <c r="K18388" s="5"/>
    </row>
    <row r="18389" spans="1:11" x14ac:dyDescent="0.25">
      <c r="A18389" s="5">
        <f>18382</f>
      </c>
      <c r="B18389" s="5" t="s">
        <v>18397</v>
      </c>
      <c r="C18389" s="5">
        <v>123.4</v>
      </c>
      <c r="D18389" s="5">
        <v>0.1</v>
      </c>
      <c r="E18389" s="5">
        <v>123.6</v>
      </c>
      <c r="F18389" s="5">
        <v>245.2</v>
      </c>
      <c r="G18389" s="5">
        <v>121.7</v>
      </c>
      <c r="H18389" s="5">
        <v>121.5</v>
      </c>
      <c r="I18389" s="5"/>
      <c r="J18389" s="5"/>
      <c r="K18389" s="5"/>
    </row>
    <row r="18390" spans="1:11" x14ac:dyDescent="0.25">
      <c r="A18390" s="5">
        <f>18383</f>
      </c>
      <c r="B18390" s="5" t="s">
        <v>18398</v>
      </c>
      <c r="C18390" s="5">
        <v>123.5</v>
      </c>
      <c r="D18390" s="5">
        <v>0.1</v>
      </c>
      <c r="E18390" s="5">
        <v>123.7</v>
      </c>
      <c r="F18390" s="5">
        <v>244.7</v>
      </c>
      <c r="G18390" s="5">
        <v>121.5</v>
      </c>
      <c r="H18390" s="5">
        <v>121.3</v>
      </c>
      <c r="I18390" s="5"/>
      <c r="J18390" s="5"/>
      <c r="K18390" s="5"/>
    </row>
    <row r="18391" spans="1:11" x14ac:dyDescent="0.25">
      <c r="A18391" s="5">
        <f>18384</f>
      </c>
      <c r="B18391" s="5" t="s">
        <v>18399</v>
      </c>
      <c r="C18391" s="5">
        <v>123.5</v>
      </c>
      <c r="D18391" s="5">
        <v>0.1</v>
      </c>
      <c r="E18391" s="5">
        <v>123.7</v>
      </c>
      <c r="F18391" s="5">
        <v>244.7</v>
      </c>
      <c r="G18391" s="5">
        <v>121.5</v>
      </c>
      <c r="H18391" s="5">
        <v>121.3</v>
      </c>
      <c r="I18391" s="5"/>
      <c r="J18391" s="5"/>
      <c r="K18391" s="5"/>
    </row>
    <row r="18392" spans="1:11" x14ac:dyDescent="0.25">
      <c r="A18392" s="5">
        <f>18385</f>
      </c>
      <c r="B18392" s="5" t="s">
        <v>18400</v>
      </c>
      <c r="C18392" s="5">
        <v>123.1</v>
      </c>
      <c r="D18392" s="5">
        <v>0.1</v>
      </c>
      <c r="E18392" s="5">
        <v>123.4</v>
      </c>
      <c r="F18392" s="5">
        <v>244.6</v>
      </c>
      <c r="G18392" s="5">
        <v>121.4</v>
      </c>
      <c r="H18392" s="5">
        <v>121.2</v>
      </c>
      <c r="I18392" s="5"/>
      <c r="J18392" s="5"/>
      <c r="K18392" s="5"/>
    </row>
    <row r="18393" spans="1:11" x14ac:dyDescent="0.25">
      <c r="A18393" s="5">
        <f>18386</f>
      </c>
      <c r="B18393" s="5" t="s">
        <v>18401</v>
      </c>
      <c r="C18393" s="5">
        <v>123.1</v>
      </c>
      <c r="D18393" s="5">
        <v>0.1</v>
      </c>
      <c r="E18393" s="5">
        <v>123.4</v>
      </c>
      <c r="F18393" s="5">
        <v>244.6</v>
      </c>
      <c r="G18393" s="5">
        <v>121.4</v>
      </c>
      <c r="H18393" s="5">
        <v>121.2</v>
      </c>
      <c r="I18393" s="5"/>
      <c r="J18393" s="5"/>
      <c r="K18393" s="5"/>
    </row>
    <row r="18394" spans="1:11" x14ac:dyDescent="0.25">
      <c r="A18394" s="5">
        <f>18387</f>
      </c>
      <c r="B18394" s="5" t="s">
        <v>18402</v>
      </c>
      <c r="C18394" s="5">
        <v>123.1</v>
      </c>
      <c r="D18394" s="5">
        <v>0.1</v>
      </c>
      <c r="E18394" s="5">
        <v>123.2</v>
      </c>
      <c r="F18394" s="5">
        <v>244.7</v>
      </c>
      <c r="G18394" s="5">
        <v>121.5</v>
      </c>
      <c r="H18394" s="5">
        <v>121.3</v>
      </c>
      <c r="I18394" s="5"/>
      <c r="J18394" s="5"/>
      <c r="K18394" s="5"/>
    </row>
    <row r="18395" spans="1:11" x14ac:dyDescent="0.25">
      <c r="A18395" s="5">
        <f>18388</f>
      </c>
      <c r="B18395" s="5" t="s">
        <v>18403</v>
      </c>
      <c r="C18395" s="5">
        <v>123.1</v>
      </c>
      <c r="D18395" s="5">
        <v>0.1</v>
      </c>
      <c r="E18395" s="5">
        <v>123.2</v>
      </c>
      <c r="F18395" s="5">
        <v>244.7</v>
      </c>
      <c r="G18395" s="5">
        <v>121.5</v>
      </c>
      <c r="H18395" s="5">
        <v>121.3</v>
      </c>
      <c r="I18395" s="5"/>
      <c r="J18395" s="5"/>
      <c r="K18395" s="5"/>
    </row>
    <row r="18396" spans="1:11" x14ac:dyDescent="0.25">
      <c r="A18396" s="5">
        <f>18389</f>
      </c>
      <c r="B18396" s="5" t="s">
        <v>18404</v>
      </c>
      <c r="C18396" s="5">
        <v>123.1</v>
      </c>
      <c r="D18396" s="5">
        <v>0.1</v>
      </c>
      <c r="E18396" s="5">
        <v>123.2</v>
      </c>
      <c r="F18396" s="5">
        <v>244.7</v>
      </c>
      <c r="G18396" s="5">
        <v>121.5</v>
      </c>
      <c r="H18396" s="5">
        <v>121.3</v>
      </c>
      <c r="I18396" s="5"/>
      <c r="J18396" s="5"/>
      <c r="K18396" s="5"/>
    </row>
    <row r="18397" spans="1:11" x14ac:dyDescent="0.25">
      <c r="A18397" s="5">
        <f>18390</f>
      </c>
      <c r="B18397" s="5" t="s">
        <v>18405</v>
      </c>
      <c r="C18397" s="5">
        <v>123.1</v>
      </c>
      <c r="D18397" s="5">
        <v>0.1</v>
      </c>
      <c r="E18397" s="5">
        <v>123.8</v>
      </c>
      <c r="F18397" s="5">
        <v>245.3</v>
      </c>
      <c r="G18397" s="5">
        <v>121.8</v>
      </c>
      <c r="H18397" s="5">
        <v>121.6</v>
      </c>
      <c r="I18397" s="5"/>
      <c r="J18397" s="5"/>
      <c r="K18397" s="5"/>
    </row>
    <row r="18398" spans="1:11" x14ac:dyDescent="0.25">
      <c r="A18398" s="5">
        <f>18391</f>
      </c>
      <c r="B18398" s="5" t="s">
        <v>18406</v>
      </c>
      <c r="C18398" s="5">
        <v>123.7</v>
      </c>
      <c r="D18398" s="5">
        <v>0.1</v>
      </c>
      <c r="E18398" s="5">
        <v>123.8</v>
      </c>
      <c r="F18398" s="5">
        <v>245.3</v>
      </c>
      <c r="G18398" s="5">
        <v>121.8</v>
      </c>
      <c r="H18398" s="5">
        <v>121.6</v>
      </c>
      <c r="I18398" s="5"/>
      <c r="J18398" s="5"/>
      <c r="K18398" s="5"/>
    </row>
    <row r="18399" spans="1:11" x14ac:dyDescent="0.25">
      <c r="A18399" s="5">
        <f>18392</f>
      </c>
      <c r="B18399" s="5" t="s">
        <v>18407</v>
      </c>
      <c r="C18399" s="5">
        <v>123.7</v>
      </c>
      <c r="D18399" s="5">
        <v>0.1</v>
      </c>
      <c r="E18399" s="5">
        <v>123.8</v>
      </c>
      <c r="F18399" s="5">
        <v>245.3</v>
      </c>
      <c r="G18399" s="5">
        <v>121.8</v>
      </c>
      <c r="H18399" s="5">
        <v>121.5</v>
      </c>
      <c r="I18399" s="5"/>
      <c r="J18399" s="5"/>
      <c r="K18399" s="5"/>
    </row>
    <row r="18400" spans="1:11" x14ac:dyDescent="0.25">
      <c r="A18400" s="5">
        <f>18393</f>
      </c>
      <c r="B18400" s="5" t="s">
        <v>18408</v>
      </c>
      <c r="C18400" s="5">
        <v>123.4</v>
      </c>
      <c r="D18400" s="5">
        <v>0.1</v>
      </c>
      <c r="E18400" s="5">
        <v>123.6</v>
      </c>
      <c r="F18400" s="5">
        <v>245.3</v>
      </c>
      <c r="G18400" s="5">
        <v>121.8</v>
      </c>
      <c r="H18400" s="5">
        <v>121.5</v>
      </c>
      <c r="I18400" s="5"/>
      <c r="J18400" s="5"/>
      <c r="K18400" s="5"/>
    </row>
    <row r="18401" spans="1:11" x14ac:dyDescent="0.25">
      <c r="A18401" s="5">
        <f>18394</f>
      </c>
      <c r="B18401" s="5" t="s">
        <v>18409</v>
      </c>
      <c r="C18401" s="5">
        <v>123.4</v>
      </c>
      <c r="D18401" s="5">
        <v>0.1</v>
      </c>
      <c r="E18401" s="5">
        <v>123.6</v>
      </c>
      <c r="F18401" s="5">
        <v>245.3</v>
      </c>
      <c r="G18401" s="5">
        <v>121.8</v>
      </c>
      <c r="H18401" s="5">
        <v>121.5</v>
      </c>
      <c r="I18401" s="5"/>
      <c r="J18401" s="5"/>
      <c r="K18401" s="5"/>
    </row>
    <row r="18402" spans="1:11" x14ac:dyDescent="0.25">
      <c r="A18402" s="5">
        <f>18395</f>
      </c>
      <c r="B18402" s="5" t="s">
        <v>18410</v>
      </c>
      <c r="C18402" s="5">
        <v>123.4</v>
      </c>
      <c r="D18402" s="5">
        <v>0.1</v>
      </c>
      <c r="E18402" s="5">
        <v>123.6</v>
      </c>
      <c r="F18402" s="5">
        <v>244.9</v>
      </c>
      <c r="G18402" s="5">
        <v>121.6</v>
      </c>
      <c r="H18402" s="5">
        <v>121.4</v>
      </c>
      <c r="I18402" s="5"/>
      <c r="J18402" s="5"/>
      <c r="K18402" s="5"/>
    </row>
    <row r="18403" spans="1:11" x14ac:dyDescent="0.25">
      <c r="A18403" s="5">
        <f>18396</f>
      </c>
      <c r="B18403" s="5" t="s">
        <v>18411</v>
      </c>
      <c r="C18403" s="5">
        <v>123.4</v>
      </c>
      <c r="D18403" s="5">
        <v>0.1</v>
      </c>
      <c r="E18403" s="5">
        <v>123.6</v>
      </c>
      <c r="F18403" s="5">
        <v>244.9</v>
      </c>
      <c r="G18403" s="5">
        <v>121.6</v>
      </c>
      <c r="H18403" s="5">
        <v>121.4</v>
      </c>
      <c r="I18403" s="5"/>
      <c r="J18403" s="5"/>
      <c r="K18403" s="5"/>
    </row>
    <row r="18404" spans="1:11" x14ac:dyDescent="0.25">
      <c r="A18404" s="5">
        <f>18397</f>
      </c>
      <c r="B18404" s="5" t="s">
        <v>18412</v>
      </c>
      <c r="C18404" s="5">
        <v>123.4</v>
      </c>
      <c r="D18404" s="5">
        <v>0.1</v>
      </c>
      <c r="E18404" s="5">
        <v>123.6</v>
      </c>
      <c r="F18404" s="5">
        <v>245.3</v>
      </c>
      <c r="G18404" s="5">
        <v>121.7</v>
      </c>
      <c r="H18404" s="5">
        <v>121.6</v>
      </c>
      <c r="I18404" s="5"/>
      <c r="J18404" s="5"/>
      <c r="K18404" s="5"/>
    </row>
    <row r="18405" spans="1:11" x14ac:dyDescent="0.25">
      <c r="A18405" s="5">
        <f>18398</f>
      </c>
      <c r="B18405" s="5" t="s">
        <v>18413</v>
      </c>
      <c r="C18405" s="5">
        <v>123.4</v>
      </c>
      <c r="D18405" s="5">
        <v>0.1</v>
      </c>
      <c r="E18405" s="5">
        <v>123.6</v>
      </c>
      <c r="F18405" s="5">
        <v>245.3</v>
      </c>
      <c r="G18405" s="5">
        <v>121.7</v>
      </c>
      <c r="H18405" s="5">
        <v>121.6</v>
      </c>
      <c r="I18405" s="5"/>
      <c r="J18405" s="5"/>
      <c r="K18405" s="5"/>
    </row>
    <row r="18406" spans="1:11" x14ac:dyDescent="0.25">
      <c r="A18406" s="5">
        <f>18399</f>
      </c>
      <c r="B18406" s="5" t="s">
        <v>18414</v>
      </c>
      <c r="C18406" s="5">
        <v>123.4</v>
      </c>
      <c r="D18406" s="5">
        <v>0.1</v>
      </c>
      <c r="E18406" s="5">
        <v>123.6</v>
      </c>
      <c r="F18406" s="5">
        <v>245.3</v>
      </c>
      <c r="G18406" s="5">
        <v>121.7</v>
      </c>
      <c r="H18406" s="5">
        <v>121.6</v>
      </c>
      <c r="I18406" s="5"/>
      <c r="J18406" s="5"/>
      <c r="K18406" s="5"/>
    </row>
    <row r="18407" spans="1:11" x14ac:dyDescent="0.25">
      <c r="A18407" s="5">
        <f>18400</f>
      </c>
      <c r="B18407" s="5" t="s">
        <v>18415</v>
      </c>
      <c r="C18407" s="5">
        <v>123.4</v>
      </c>
      <c r="D18407" s="5">
        <v>0.1</v>
      </c>
      <c r="E18407" s="5">
        <v>123.6</v>
      </c>
      <c r="F18407" s="5">
        <v>244.9</v>
      </c>
      <c r="G18407" s="5">
        <v>121.5</v>
      </c>
      <c r="H18407" s="5">
        <v>121.6</v>
      </c>
      <c r="I18407" s="5"/>
      <c r="J18407" s="5"/>
      <c r="K18407" s="5"/>
    </row>
    <row r="18408" spans="1:11" x14ac:dyDescent="0.25">
      <c r="A18408" s="5">
        <f>18401</f>
      </c>
      <c r="B18408" s="5" t="s">
        <v>18416</v>
      </c>
      <c r="C18408" s="5">
        <v>123.4</v>
      </c>
      <c r="D18408" s="5">
        <v>0.1</v>
      </c>
      <c r="E18408" s="5">
        <v>123.6</v>
      </c>
      <c r="F18408" s="5">
        <v>244.9</v>
      </c>
      <c r="G18408" s="5">
        <v>121.5</v>
      </c>
      <c r="H18408" s="5">
        <v>121.5</v>
      </c>
      <c r="I18408" s="5"/>
      <c r="J18408" s="5"/>
      <c r="K18408" s="5"/>
    </row>
    <row r="18409" spans="1:11" x14ac:dyDescent="0.25">
      <c r="A18409" s="5">
        <f>18402</f>
      </c>
      <c r="B18409" s="5" t="s">
        <v>18417</v>
      </c>
      <c r="C18409" s="5">
        <v>123.3</v>
      </c>
      <c r="D18409" s="5">
        <v>0.1</v>
      </c>
      <c r="E18409" s="5">
        <v>123.6</v>
      </c>
      <c r="F18409" s="5">
        <v>244.9</v>
      </c>
      <c r="G18409" s="5">
        <v>121.5</v>
      </c>
      <c r="H18409" s="5">
        <v>121.5</v>
      </c>
      <c r="I18409" s="5"/>
      <c r="J18409" s="5"/>
      <c r="K18409" s="5"/>
    </row>
    <row r="18410" spans="1:11" x14ac:dyDescent="0.25">
      <c r="A18410" s="5">
        <f>18403</f>
      </c>
      <c r="B18410" s="5" t="s">
        <v>18418</v>
      </c>
      <c r="C18410" s="5">
        <v>123.3</v>
      </c>
      <c r="D18410" s="5">
        <v>0.1</v>
      </c>
      <c r="E18410" s="5">
        <v>123.4</v>
      </c>
      <c r="F18410" s="5">
        <v>244.9</v>
      </c>
      <c r="G18410" s="5">
        <v>121.5</v>
      </c>
      <c r="H18410" s="5">
        <v>121.4</v>
      </c>
      <c r="I18410" s="5"/>
      <c r="J18410" s="5"/>
      <c r="K18410" s="5"/>
    </row>
    <row r="18411" spans="1:11" x14ac:dyDescent="0.25">
      <c r="A18411" s="5">
        <f>18404</f>
      </c>
      <c r="B18411" s="5" t="s">
        <v>18419</v>
      </c>
      <c r="C18411" s="5">
        <v>123.1</v>
      </c>
      <c r="D18411" s="5">
        <v>0.1</v>
      </c>
      <c r="E18411" s="5">
        <v>123.4</v>
      </c>
      <c r="F18411" s="5">
        <v>244.9</v>
      </c>
      <c r="G18411" s="5">
        <v>121.5</v>
      </c>
      <c r="H18411" s="5">
        <v>121.4</v>
      </c>
      <c r="I18411" s="5"/>
      <c r="J18411" s="5"/>
      <c r="K18411" s="5"/>
    </row>
    <row r="18412" spans="1:11" x14ac:dyDescent="0.25">
      <c r="A18412" s="5">
        <f>18405</f>
      </c>
      <c r="B18412" s="5" t="s">
        <v>18420</v>
      </c>
      <c r="C18412" s="5">
        <v>123.1</v>
      </c>
      <c r="D18412" s="5">
        <v>0.1</v>
      </c>
      <c r="E18412" s="5">
        <v>123.2</v>
      </c>
      <c r="F18412" s="5">
        <v>245.2</v>
      </c>
      <c r="G18412" s="5">
        <v>121.7</v>
      </c>
      <c r="H18412" s="5">
        <v>121.6</v>
      </c>
      <c r="I18412" s="5"/>
      <c r="J18412" s="5"/>
      <c r="K18412" s="5"/>
    </row>
    <row r="18413" spans="1:11" x14ac:dyDescent="0.25">
      <c r="A18413" s="5">
        <f>18406</f>
      </c>
      <c r="B18413" s="5" t="s">
        <v>18421</v>
      </c>
      <c r="C18413" s="5">
        <v>123.1</v>
      </c>
      <c r="D18413" s="5">
        <v>0.1</v>
      </c>
      <c r="E18413" s="5">
        <v>123.2</v>
      </c>
      <c r="F18413" s="5">
        <v>245.2</v>
      </c>
      <c r="G18413" s="5">
        <v>121.7</v>
      </c>
      <c r="H18413" s="5">
        <v>121.6</v>
      </c>
      <c r="I18413" s="5"/>
      <c r="J18413" s="5"/>
      <c r="K18413" s="5"/>
    </row>
    <row r="18414" spans="1:11" x14ac:dyDescent="0.25">
      <c r="A18414" s="5">
        <f>18407</f>
      </c>
      <c r="B18414" s="5" t="s">
        <v>18422</v>
      </c>
      <c r="C18414" s="5">
        <v>123.4</v>
      </c>
      <c r="D18414" s="5">
        <v>0.1</v>
      </c>
      <c r="E18414" s="5">
        <v>123.6</v>
      </c>
      <c r="F18414" s="5">
        <v>245.4</v>
      </c>
      <c r="G18414" s="5">
        <v>121.9</v>
      </c>
      <c r="H18414" s="5">
        <v>121.8</v>
      </c>
      <c r="I18414" s="5"/>
      <c r="J18414" s="5"/>
      <c r="K18414" s="5"/>
    </row>
    <row r="18415" spans="1:11" x14ac:dyDescent="0.25">
      <c r="A18415" s="5">
        <f>18408</f>
      </c>
      <c r="B18415" s="5" t="s">
        <v>18423</v>
      </c>
      <c r="C18415" s="5">
        <v>123.4</v>
      </c>
      <c r="D18415" s="5">
        <v>0.1</v>
      </c>
      <c r="E18415" s="5">
        <v>123.6</v>
      </c>
      <c r="F18415" s="5">
        <v>245.4</v>
      </c>
      <c r="G18415" s="5">
        <v>121.9</v>
      </c>
      <c r="H18415" s="5">
        <v>121.8</v>
      </c>
      <c r="I18415" s="5"/>
      <c r="J18415" s="5"/>
      <c r="K18415" s="5"/>
    </row>
    <row r="18416" spans="1:11" x14ac:dyDescent="0.25">
      <c r="A18416" s="5">
        <f>18409</f>
      </c>
      <c r="B18416" s="5" t="s">
        <v>18424</v>
      </c>
      <c r="C18416" s="5">
        <v>123.4</v>
      </c>
      <c r="D18416" s="5">
        <v>0.1</v>
      </c>
      <c r="E18416" s="5">
        <v>123.6</v>
      </c>
      <c r="F18416" s="5">
        <v>245.4</v>
      </c>
      <c r="G18416" s="5">
        <v>121.9</v>
      </c>
      <c r="H18416" s="5">
        <v>121.8</v>
      </c>
      <c r="I18416" s="5"/>
      <c r="J18416" s="5"/>
      <c r="K18416" s="5"/>
    </row>
    <row r="18417" spans="1:11" x14ac:dyDescent="0.25">
      <c r="A18417" s="5">
        <f>18410</f>
      </c>
      <c r="B18417" s="5" t="s">
        <v>18425</v>
      </c>
      <c r="C18417" s="5">
        <v>123.4</v>
      </c>
      <c r="D18417" s="5">
        <v>0.1</v>
      </c>
      <c r="E18417" s="5">
        <v>123.6</v>
      </c>
      <c r="F18417" s="5">
        <v>245.4</v>
      </c>
      <c r="G18417" s="5">
        <v>121.9</v>
      </c>
      <c r="H18417" s="5">
        <v>121.8</v>
      </c>
      <c r="I18417" s="5"/>
      <c r="J18417" s="5"/>
      <c r="K18417" s="5"/>
    </row>
    <row r="18418" spans="1:11" x14ac:dyDescent="0.25">
      <c r="A18418" s="5">
        <f>18411</f>
      </c>
      <c r="B18418" s="5" t="s">
        <v>18426</v>
      </c>
      <c r="C18418" s="5">
        <v>124.1</v>
      </c>
      <c r="D18418" s="5">
        <v>0.1</v>
      </c>
      <c r="E18418" s="5">
        <v>124.3</v>
      </c>
      <c r="F18418" s="5">
        <v>245.4</v>
      </c>
      <c r="G18418" s="5">
        <v>121.2</v>
      </c>
      <c r="H18418" s="5">
        <v>121.1</v>
      </c>
      <c r="I18418" s="5"/>
      <c r="J18418" s="5"/>
      <c r="K18418" s="5"/>
    </row>
    <row r="18419" spans="1:11" x14ac:dyDescent="0.25">
      <c r="A18419" s="5">
        <f>18412</f>
      </c>
      <c r="B18419" s="5" t="s">
        <v>18427</v>
      </c>
      <c r="C18419" s="5">
        <v>124.1</v>
      </c>
      <c r="D18419" s="5">
        <v>0.1</v>
      </c>
      <c r="E18419" s="5">
        <v>124.3</v>
      </c>
      <c r="F18419" s="5">
        <v>245.4</v>
      </c>
      <c r="G18419" s="5">
        <v>121.2</v>
      </c>
      <c r="H18419" s="5">
        <v>121.1</v>
      </c>
      <c r="I18419" s="5"/>
      <c r="J18419" s="5"/>
      <c r="K18419" s="5"/>
    </row>
    <row r="18420" spans="1:11" x14ac:dyDescent="0.25">
      <c r="A18420" s="5">
        <f>18413</f>
      </c>
      <c r="B18420" s="5" t="s">
        <v>18428</v>
      </c>
      <c r="C18420" s="5">
        <v>123.9</v>
      </c>
      <c r="D18420" s="5">
        <v>0.1</v>
      </c>
      <c r="E18420" s="5">
        <v>124.1</v>
      </c>
      <c r="F18420" s="5">
        <v>244.9</v>
      </c>
      <c r="G18420" s="5">
        <v>121.1</v>
      </c>
      <c r="H18420" s="5">
        <v>120.9</v>
      </c>
      <c r="I18420" s="5"/>
      <c r="J18420" s="5"/>
      <c r="K18420" s="5"/>
    </row>
    <row r="18421" spans="1:11" x14ac:dyDescent="0.25">
      <c r="A18421" s="5">
        <f>18414</f>
      </c>
      <c r="B18421" s="5" t="s">
        <v>18429</v>
      </c>
      <c r="C18421" s="5">
        <v>123.9</v>
      </c>
      <c r="D18421" s="5">
        <v>0.1</v>
      </c>
      <c r="E18421" s="5">
        <v>124.1</v>
      </c>
      <c r="F18421" s="5">
        <v>244.9</v>
      </c>
      <c r="G18421" s="5">
        <v>121.1</v>
      </c>
      <c r="H18421" s="5">
        <v>120.9</v>
      </c>
      <c r="I18421" s="5"/>
      <c r="J18421" s="5"/>
      <c r="K18421" s="5"/>
    </row>
    <row r="18422" spans="1:11" x14ac:dyDescent="0.25">
      <c r="A18422" s="5">
        <f>18415</f>
      </c>
      <c r="B18422" s="5" t="s">
        <v>18430</v>
      </c>
      <c r="C18422" s="5">
        <v>123.5</v>
      </c>
      <c r="D18422" s="5">
        <v>0.1</v>
      </c>
      <c r="E18422" s="5">
        <v>123.7</v>
      </c>
      <c r="F18422" s="5">
        <v>244.7</v>
      </c>
      <c r="G18422" s="5">
        <v>120.9</v>
      </c>
      <c r="H18422" s="5">
        <v>120.7</v>
      </c>
      <c r="I18422" s="5"/>
      <c r="J18422" s="5"/>
      <c r="K18422" s="5"/>
    </row>
    <row r="18423" spans="1:11" x14ac:dyDescent="0.25">
      <c r="A18423" s="5">
        <f>18416</f>
      </c>
      <c r="B18423" s="5" t="s">
        <v>18431</v>
      </c>
      <c r="C18423" s="5">
        <v>123.5</v>
      </c>
      <c r="D18423" s="5">
        <v>0.1</v>
      </c>
      <c r="E18423" s="5">
        <v>123.7</v>
      </c>
      <c r="F18423" s="5">
        <v>244.7</v>
      </c>
      <c r="G18423" s="5">
        <v>120.9</v>
      </c>
      <c r="H18423" s="5">
        <v>120.7</v>
      </c>
      <c r="I18423" s="5"/>
      <c r="J18423" s="5"/>
      <c r="K18423" s="5"/>
    </row>
    <row r="18424" spans="1:11" x14ac:dyDescent="0.25">
      <c r="A18424" s="5">
        <f>18417</f>
      </c>
      <c r="B18424" s="5" t="s">
        <v>18432</v>
      </c>
      <c r="C18424" s="5">
        <v>123.7</v>
      </c>
      <c r="D18424" s="5">
        <v>0.1</v>
      </c>
      <c r="E18424" s="5">
        <v>123.9</v>
      </c>
      <c r="F18424" s="5">
        <v>244.5</v>
      </c>
      <c r="G18424" s="5">
        <v>120.9</v>
      </c>
      <c r="H18424" s="5">
        <v>120.7</v>
      </c>
      <c r="I18424" s="5"/>
      <c r="J18424" s="5"/>
      <c r="K18424" s="5"/>
    </row>
    <row r="18425" spans="1:11" x14ac:dyDescent="0.25">
      <c r="A18425" s="5">
        <f>18418</f>
      </c>
      <c r="B18425" s="5" t="s">
        <v>18433</v>
      </c>
      <c r="C18425" s="5">
        <v>123.7</v>
      </c>
      <c r="D18425" s="5">
        <v>0.1</v>
      </c>
      <c r="E18425" s="5">
        <v>123.9</v>
      </c>
      <c r="F18425" s="5">
        <v>244.5</v>
      </c>
      <c r="G18425" s="5">
        <v>120.9</v>
      </c>
      <c r="H18425" s="5">
        <v>120.7</v>
      </c>
      <c r="I18425" s="5"/>
      <c r="J18425" s="5"/>
      <c r="K18425" s="5"/>
    </row>
    <row r="18426" spans="1:11" x14ac:dyDescent="0.25">
      <c r="A18426" s="5">
        <f>18419</f>
      </c>
      <c r="B18426" s="5" t="s">
        <v>18434</v>
      </c>
      <c r="C18426" s="5">
        <v>123.7</v>
      </c>
      <c r="D18426" s="5">
        <v>0.1</v>
      </c>
      <c r="E18426" s="5">
        <v>123.9</v>
      </c>
      <c r="F18426" s="5">
        <v>244.5</v>
      </c>
      <c r="G18426" s="5">
        <v>120.9</v>
      </c>
      <c r="H18426" s="5">
        <v>120.7</v>
      </c>
      <c r="I18426" s="5"/>
      <c r="J18426" s="5"/>
      <c r="K18426" s="5"/>
    </row>
    <row r="18427" spans="1:11" x14ac:dyDescent="0.25">
      <c r="A18427" s="5">
        <f>18420</f>
      </c>
      <c r="B18427" s="5" t="s">
        <v>18435</v>
      </c>
      <c r="C18427" s="5">
        <v>123.7</v>
      </c>
      <c r="D18427" s="5">
        <v>0.1</v>
      </c>
      <c r="E18427" s="5">
        <v>124.3</v>
      </c>
      <c r="F18427" s="5">
        <v>244.9</v>
      </c>
      <c r="G18427" s="5">
        <v>121</v>
      </c>
      <c r="H18427" s="5">
        <v>120.9</v>
      </c>
      <c r="I18427" s="5"/>
      <c r="J18427" s="5"/>
      <c r="K18427" s="5"/>
    </row>
    <row r="18428" spans="1:11" x14ac:dyDescent="0.25">
      <c r="A18428" s="5">
        <f>18421</f>
      </c>
      <c r="B18428" s="5" t="s">
        <v>18436</v>
      </c>
      <c r="C18428" s="5">
        <v>124.1</v>
      </c>
      <c r="D18428" s="5">
        <v>0.1</v>
      </c>
      <c r="E18428" s="5">
        <v>124.3</v>
      </c>
      <c r="F18428" s="5">
        <v>244.9</v>
      </c>
      <c r="G18428" s="5">
        <v>121</v>
      </c>
      <c r="H18428" s="5">
        <v>120.9</v>
      </c>
      <c r="I18428" s="5"/>
      <c r="J18428" s="5"/>
      <c r="K18428" s="5"/>
    </row>
    <row r="18429" spans="1:11" x14ac:dyDescent="0.25">
      <c r="A18429" s="5">
        <f>18422</f>
      </c>
      <c r="B18429" s="5" t="s">
        <v>18437</v>
      </c>
      <c r="C18429" s="5">
        <v>124.1</v>
      </c>
      <c r="D18429" s="5">
        <v>0.1</v>
      </c>
      <c r="E18429" s="5">
        <v>123.8</v>
      </c>
      <c r="F18429" s="5">
        <v>244.8</v>
      </c>
      <c r="G18429" s="5">
        <v>121</v>
      </c>
      <c r="H18429" s="5">
        <v>120.8</v>
      </c>
      <c r="I18429" s="5"/>
      <c r="J18429" s="5"/>
      <c r="K18429" s="5"/>
    </row>
    <row r="18430" spans="1:11" x14ac:dyDescent="0.25">
      <c r="A18430" s="5">
        <f>18423</f>
      </c>
      <c r="B18430" s="5" t="s">
        <v>18438</v>
      </c>
      <c r="C18430" s="5">
        <v>123.7</v>
      </c>
      <c r="D18430" s="5">
        <v>0.1</v>
      </c>
      <c r="E18430" s="5">
        <v>123.8</v>
      </c>
      <c r="F18430" s="5">
        <v>244.8</v>
      </c>
      <c r="G18430" s="5">
        <v>121</v>
      </c>
      <c r="H18430" s="5">
        <v>120.8</v>
      </c>
      <c r="I18430" s="5"/>
      <c r="J18430" s="5"/>
      <c r="K18430" s="5"/>
    </row>
    <row r="18431" spans="1:11" x14ac:dyDescent="0.25">
      <c r="A18431" s="5">
        <f>18424</f>
      </c>
      <c r="B18431" s="5" t="s">
        <v>18439</v>
      </c>
      <c r="C18431" s="5">
        <v>123.7</v>
      </c>
      <c r="D18431" s="5">
        <v>0.1</v>
      </c>
      <c r="E18431" s="5">
        <v>124</v>
      </c>
      <c r="F18431" s="5">
        <v>244.6</v>
      </c>
      <c r="G18431" s="5">
        <v>120.8</v>
      </c>
      <c r="H18431" s="5">
        <v>120.7</v>
      </c>
      <c r="I18431" s="5"/>
      <c r="J18431" s="5"/>
      <c r="K18431" s="5"/>
    </row>
    <row r="18432" spans="1:11" x14ac:dyDescent="0.25">
      <c r="A18432" s="5">
        <f>18425</f>
      </c>
      <c r="B18432" s="5" t="s">
        <v>18440</v>
      </c>
      <c r="C18432" s="5">
        <v>123.8</v>
      </c>
      <c r="D18432" s="5">
        <v>0.1</v>
      </c>
      <c r="E18432" s="5">
        <v>124</v>
      </c>
      <c r="F18432" s="5">
        <v>244.6</v>
      </c>
      <c r="G18432" s="5">
        <v>120.8</v>
      </c>
      <c r="H18432" s="5">
        <v>120.7</v>
      </c>
      <c r="I18432" s="5"/>
      <c r="J18432" s="5"/>
      <c r="K18432" s="5"/>
    </row>
    <row r="18433" spans="1:11" x14ac:dyDescent="0.25">
      <c r="A18433" s="5">
        <f>18426</f>
      </c>
      <c r="B18433" s="5" t="s">
        <v>18441</v>
      </c>
      <c r="C18433" s="5">
        <v>123.8</v>
      </c>
      <c r="D18433" s="5">
        <v>0.1</v>
      </c>
      <c r="E18433" s="5">
        <v>124</v>
      </c>
      <c r="F18433" s="5">
        <v>245</v>
      </c>
      <c r="G18433" s="5">
        <v>121</v>
      </c>
      <c r="H18433" s="5">
        <v>120.8</v>
      </c>
      <c r="I18433" s="5"/>
      <c r="J18433" s="5"/>
      <c r="K18433" s="5"/>
    </row>
    <row r="18434" spans="1:11" x14ac:dyDescent="0.25">
      <c r="A18434" s="5">
        <f>18427</f>
      </c>
      <c r="B18434" s="5" t="s">
        <v>18442</v>
      </c>
      <c r="C18434" s="5">
        <v>124.1</v>
      </c>
      <c r="D18434" s="5">
        <v>0.1</v>
      </c>
      <c r="E18434" s="5">
        <v>124.2</v>
      </c>
      <c r="F18434" s="5">
        <v>245</v>
      </c>
      <c r="G18434" s="5">
        <v>121</v>
      </c>
      <c r="H18434" s="5">
        <v>120.8</v>
      </c>
      <c r="I18434" s="5"/>
      <c r="J18434" s="5"/>
      <c r="K18434" s="5"/>
    </row>
    <row r="18435" spans="1:11" x14ac:dyDescent="0.25">
      <c r="A18435" s="5">
        <f>18428</f>
      </c>
      <c r="B18435" s="5" t="s">
        <v>18443</v>
      </c>
      <c r="C18435" s="5">
        <v>124.1</v>
      </c>
      <c r="D18435" s="5">
        <v>0.1</v>
      </c>
      <c r="E18435" s="5">
        <v>124.2</v>
      </c>
      <c r="F18435" s="5">
        <v>245</v>
      </c>
      <c r="G18435" s="5">
        <v>121</v>
      </c>
      <c r="H18435" s="5">
        <v>120.8</v>
      </c>
      <c r="I18435" s="5"/>
      <c r="J18435" s="5"/>
      <c r="K18435" s="5"/>
    </row>
    <row r="18436" spans="1:11" x14ac:dyDescent="0.25">
      <c r="A18436" s="5">
        <f>18429</f>
      </c>
      <c r="B18436" s="5" t="s">
        <v>18444</v>
      </c>
      <c r="C18436" s="5">
        <v>124.1</v>
      </c>
      <c r="D18436" s="5">
        <v>0.1</v>
      </c>
      <c r="E18436" s="5">
        <v>124.2</v>
      </c>
      <c r="F18436" s="5">
        <v>245</v>
      </c>
      <c r="G18436" s="5">
        <v>121</v>
      </c>
      <c r="H18436" s="5">
        <v>120.8</v>
      </c>
      <c r="I18436" s="5"/>
      <c r="J18436" s="5"/>
      <c r="K18436" s="5"/>
    </row>
    <row r="18437" spans="1:11" x14ac:dyDescent="0.25">
      <c r="A18437" s="5">
        <f>18430</f>
      </c>
      <c r="B18437" s="5" t="s">
        <v>18445</v>
      </c>
      <c r="C18437" s="5">
        <v>124.7</v>
      </c>
      <c r="D18437" s="5">
        <v>0.1</v>
      </c>
      <c r="E18437" s="5">
        <v>124.8</v>
      </c>
      <c r="F18437" s="5">
        <v>244.9</v>
      </c>
      <c r="G18437" s="5">
        <v>121</v>
      </c>
      <c r="H18437" s="5">
        <v>120.9</v>
      </c>
      <c r="I18437" s="5"/>
      <c r="J18437" s="5"/>
      <c r="K18437" s="5"/>
    </row>
    <row r="18438" spans="1:11" x14ac:dyDescent="0.25">
      <c r="A18438" s="5">
        <f>18431</f>
      </c>
      <c r="B18438" s="5" t="s">
        <v>18446</v>
      </c>
      <c r="C18438" s="5">
        <v>124.7</v>
      </c>
      <c r="D18438" s="5">
        <v>0.1</v>
      </c>
      <c r="E18438" s="5">
        <v>124.8</v>
      </c>
      <c r="F18438" s="5">
        <v>244.9</v>
      </c>
      <c r="G18438" s="5">
        <v>121</v>
      </c>
      <c r="H18438" s="5">
        <v>120.9</v>
      </c>
      <c r="I18438" s="5"/>
      <c r="J18438" s="5"/>
      <c r="K18438" s="5"/>
    </row>
    <row r="18439" spans="1:11" x14ac:dyDescent="0.25">
      <c r="A18439" s="5">
        <f>18432</f>
      </c>
      <c r="B18439" s="5" t="s">
        <v>18447</v>
      </c>
      <c r="C18439" s="5">
        <v>123.9</v>
      </c>
      <c r="D18439" s="5">
        <v>0.1</v>
      </c>
      <c r="E18439" s="5">
        <v>124.1</v>
      </c>
      <c r="F18439" s="5">
        <v>244.8</v>
      </c>
      <c r="G18439" s="5">
        <v>120.9</v>
      </c>
      <c r="H18439" s="5">
        <v>120.8</v>
      </c>
      <c r="I18439" s="5"/>
      <c r="J18439" s="5"/>
      <c r="K18439" s="5"/>
    </row>
    <row r="18440" spans="1:11" x14ac:dyDescent="0.25">
      <c r="A18440" s="5">
        <f>18433</f>
      </c>
      <c r="B18440" s="5" t="s">
        <v>18448</v>
      </c>
      <c r="C18440" s="5">
        <v>123.9</v>
      </c>
      <c r="D18440" s="5">
        <v>0.1</v>
      </c>
      <c r="E18440" s="5">
        <v>124.1</v>
      </c>
      <c r="F18440" s="5">
        <v>244.8</v>
      </c>
      <c r="G18440" s="5">
        <v>120.9</v>
      </c>
      <c r="H18440" s="5">
        <v>120.8</v>
      </c>
      <c r="I18440" s="5"/>
      <c r="J18440" s="5"/>
      <c r="K18440" s="5"/>
    </row>
    <row r="18441" spans="1:11" x14ac:dyDescent="0.25">
      <c r="A18441" s="5">
        <f>18434</f>
      </c>
      <c r="B18441" s="5" t="s">
        <v>18449</v>
      </c>
      <c r="C18441" s="5">
        <v>123.5</v>
      </c>
      <c r="D18441" s="5">
        <v>0.1</v>
      </c>
      <c r="E18441" s="5">
        <v>123.7</v>
      </c>
      <c r="F18441" s="5">
        <v>244.7</v>
      </c>
      <c r="G18441" s="5">
        <v>120.9</v>
      </c>
      <c r="H18441" s="5">
        <v>120.7</v>
      </c>
      <c r="I18441" s="5"/>
      <c r="J18441" s="5"/>
      <c r="K18441" s="5"/>
    </row>
    <row r="18442" spans="1:11" x14ac:dyDescent="0.25">
      <c r="A18442" s="5">
        <f>18435</f>
      </c>
      <c r="B18442" s="5" t="s">
        <v>18450</v>
      </c>
      <c r="C18442" s="5">
        <v>123.5</v>
      </c>
      <c r="D18442" s="5">
        <v>0.1</v>
      </c>
      <c r="E18442" s="5">
        <v>123.7</v>
      </c>
      <c r="F18442" s="5">
        <v>244.7</v>
      </c>
      <c r="G18442" s="5">
        <v>120.9</v>
      </c>
      <c r="H18442" s="5">
        <v>120.7</v>
      </c>
      <c r="I18442" s="5"/>
      <c r="J18442" s="5"/>
      <c r="K18442" s="5"/>
    </row>
    <row r="18443" spans="1:11" x14ac:dyDescent="0.25">
      <c r="A18443" s="5">
        <f>18436</f>
      </c>
      <c r="B18443" s="5" t="s">
        <v>18451</v>
      </c>
      <c r="C18443" s="5">
        <v>123.7</v>
      </c>
      <c r="D18443" s="5">
        <v>0.1</v>
      </c>
      <c r="E18443" s="5">
        <v>123.9</v>
      </c>
      <c r="F18443" s="5">
        <v>245</v>
      </c>
      <c r="G18443" s="5">
        <v>120.9</v>
      </c>
      <c r="H18443" s="5">
        <v>120.8</v>
      </c>
      <c r="I18443" s="5"/>
      <c r="J18443" s="5"/>
      <c r="K18443" s="5"/>
    </row>
    <row r="18444" spans="1:11" x14ac:dyDescent="0.25">
      <c r="A18444" s="5">
        <f>18437</f>
      </c>
      <c r="B18444" s="5" t="s">
        <v>18452</v>
      </c>
      <c r="C18444" s="5">
        <v>123.7</v>
      </c>
      <c r="D18444" s="5">
        <v>0.1</v>
      </c>
      <c r="E18444" s="5">
        <v>123.9</v>
      </c>
      <c r="F18444" s="5">
        <v>245</v>
      </c>
      <c r="G18444" s="5">
        <v>120.9</v>
      </c>
      <c r="H18444" s="5">
        <v>120.8</v>
      </c>
      <c r="I18444" s="5"/>
      <c r="J18444" s="5"/>
      <c r="K18444" s="5"/>
    </row>
    <row r="18445" spans="1:11" x14ac:dyDescent="0.25">
      <c r="A18445" s="5">
        <f>18438</f>
      </c>
      <c r="B18445" s="5" t="s">
        <v>18453</v>
      </c>
      <c r="C18445" s="5">
        <v>123.7</v>
      </c>
      <c r="D18445" s="5">
        <v>0.1</v>
      </c>
      <c r="E18445" s="5">
        <v>123.9</v>
      </c>
      <c r="F18445" s="5">
        <v>245</v>
      </c>
      <c r="G18445" s="5">
        <v>120.9</v>
      </c>
      <c r="H18445" s="5">
        <v>120.8</v>
      </c>
      <c r="I18445" s="5"/>
      <c r="J18445" s="5"/>
      <c r="K18445" s="5"/>
    </row>
    <row r="18446" spans="1:11" x14ac:dyDescent="0.25">
      <c r="A18446" s="5">
        <f>18439</f>
      </c>
      <c r="B18446" s="5" t="s">
        <v>18454</v>
      </c>
      <c r="C18446" s="5">
        <v>123.7</v>
      </c>
      <c r="D18446" s="5">
        <v>0.1</v>
      </c>
      <c r="E18446" s="5">
        <v>123.9</v>
      </c>
      <c r="F18446" s="5">
        <v>245</v>
      </c>
      <c r="G18446" s="5">
        <v>120.9</v>
      </c>
      <c r="H18446" s="5">
        <v>120.8</v>
      </c>
      <c r="I18446" s="5"/>
      <c r="J18446" s="5"/>
      <c r="K18446" s="5"/>
    </row>
    <row r="18447" spans="1:11" x14ac:dyDescent="0.25">
      <c r="A18447" s="5">
        <f>18440</f>
      </c>
      <c r="B18447" s="5" t="s">
        <v>18455</v>
      </c>
      <c r="C18447" s="5">
        <v>124.2</v>
      </c>
      <c r="D18447" s="5">
        <v>0.1</v>
      </c>
      <c r="E18447" s="5">
        <v>124.4</v>
      </c>
      <c r="F18447" s="5">
        <v>246</v>
      </c>
      <c r="G18447" s="5">
        <v>121.5</v>
      </c>
      <c r="H18447" s="5">
        <v>121.3</v>
      </c>
      <c r="I18447" s="5"/>
      <c r="J18447" s="5"/>
      <c r="K18447" s="5"/>
    </row>
    <row r="18448" spans="1:11" x14ac:dyDescent="0.25">
      <c r="A18448" s="5">
        <f>18441</f>
      </c>
      <c r="B18448" s="5" t="s">
        <v>18456</v>
      </c>
      <c r="C18448" s="5">
        <v>124.2</v>
      </c>
      <c r="D18448" s="5">
        <v>0.1</v>
      </c>
      <c r="E18448" s="5">
        <v>124.4</v>
      </c>
      <c r="F18448" s="5">
        <v>246</v>
      </c>
      <c r="G18448" s="5">
        <v>121.5</v>
      </c>
      <c r="H18448" s="5">
        <v>121.3</v>
      </c>
      <c r="I18448" s="5"/>
      <c r="J18448" s="5"/>
      <c r="K18448" s="5"/>
    </row>
    <row r="18449" spans="1:11" x14ac:dyDescent="0.25">
      <c r="A18449" s="5">
        <f>18442</f>
      </c>
      <c r="B18449" s="5" t="s">
        <v>18457</v>
      </c>
      <c r="C18449" s="5">
        <v>124</v>
      </c>
      <c r="D18449" s="5">
        <v>0.1</v>
      </c>
      <c r="E18449" s="5">
        <v>124.2</v>
      </c>
      <c r="F18449" s="5">
        <v>244.8</v>
      </c>
      <c r="G18449" s="5">
        <v>120.9</v>
      </c>
      <c r="H18449" s="5">
        <v>120.8</v>
      </c>
      <c r="I18449" s="5"/>
      <c r="J18449" s="5"/>
      <c r="K18449" s="5"/>
    </row>
    <row r="18450" spans="1:11" x14ac:dyDescent="0.25">
      <c r="A18450" s="5">
        <f>18443</f>
      </c>
      <c r="B18450" s="5" t="s">
        <v>18458</v>
      </c>
      <c r="C18450" s="5">
        <v>124</v>
      </c>
      <c r="D18450" s="5">
        <v>0.1</v>
      </c>
      <c r="E18450" s="5">
        <v>124.2</v>
      </c>
      <c r="F18450" s="5">
        <v>244.8</v>
      </c>
      <c r="G18450" s="5">
        <v>120.9</v>
      </c>
      <c r="H18450" s="5">
        <v>120.8</v>
      </c>
      <c r="I18450" s="5"/>
      <c r="J18450" s="5"/>
      <c r="K18450" s="5"/>
    </row>
    <row r="18451" spans="1:11" x14ac:dyDescent="0.25">
      <c r="A18451" s="5">
        <f>18444</f>
      </c>
      <c r="B18451" s="5" t="s">
        <v>18459</v>
      </c>
      <c r="C18451" s="5">
        <v>124.1</v>
      </c>
      <c r="D18451" s="5">
        <v>0.1</v>
      </c>
      <c r="E18451" s="5">
        <v>124.3</v>
      </c>
      <c r="F18451" s="5">
        <v>245.6</v>
      </c>
      <c r="G18451" s="5">
        <v>121.3</v>
      </c>
      <c r="H18451" s="5">
        <v>121.2</v>
      </c>
      <c r="I18451" s="5"/>
      <c r="J18451" s="5"/>
      <c r="K18451" s="5"/>
    </row>
    <row r="18452" spans="1:11" x14ac:dyDescent="0.25">
      <c r="A18452" s="5">
        <f>18445</f>
      </c>
      <c r="B18452" s="5" t="s">
        <v>18460</v>
      </c>
      <c r="C18452" s="5">
        <v>124.1</v>
      </c>
      <c r="D18452" s="5">
        <v>0.1</v>
      </c>
      <c r="E18452" s="5">
        <v>124.3</v>
      </c>
      <c r="F18452" s="5">
        <v>245.6</v>
      </c>
      <c r="G18452" s="5">
        <v>121.3</v>
      </c>
      <c r="H18452" s="5">
        <v>121.2</v>
      </c>
      <c r="I18452" s="5"/>
      <c r="J18452" s="5"/>
      <c r="K18452" s="5"/>
    </row>
    <row r="18453" spans="1:11" x14ac:dyDescent="0.25">
      <c r="A18453" s="5">
        <f>18446</f>
      </c>
      <c r="B18453" s="5" t="s">
        <v>18461</v>
      </c>
      <c r="C18453" s="5">
        <v>123.7</v>
      </c>
      <c r="D18453" s="5">
        <v>0.1</v>
      </c>
      <c r="E18453" s="5">
        <v>123.9</v>
      </c>
      <c r="F18453" s="5">
        <v>244.6</v>
      </c>
      <c r="G18453" s="5">
        <v>120.9</v>
      </c>
      <c r="H18453" s="5">
        <v>120.7</v>
      </c>
      <c r="I18453" s="5"/>
      <c r="J18453" s="5"/>
      <c r="K18453" s="5"/>
    </row>
    <row r="18454" spans="1:11" x14ac:dyDescent="0.25">
      <c r="A18454" s="5">
        <f>18447</f>
      </c>
      <c r="B18454" s="5" t="s">
        <v>18462</v>
      </c>
      <c r="C18454" s="5">
        <v>123.7</v>
      </c>
      <c r="D18454" s="5">
        <v>0.1</v>
      </c>
      <c r="E18454" s="5">
        <v>123.9</v>
      </c>
      <c r="F18454" s="5">
        <v>244.6</v>
      </c>
      <c r="G18454" s="5">
        <v>120.9</v>
      </c>
      <c r="H18454" s="5">
        <v>120.7</v>
      </c>
      <c r="I18454" s="5"/>
      <c r="J18454" s="5"/>
      <c r="K18454" s="5"/>
    </row>
    <row r="18455" spans="1:11" x14ac:dyDescent="0.25">
      <c r="A18455" s="5">
        <f>18448</f>
      </c>
      <c r="B18455" s="5" t="s">
        <v>18463</v>
      </c>
      <c r="C18455" s="5">
        <v>123.7</v>
      </c>
      <c r="D18455" s="5">
        <v>0.1</v>
      </c>
      <c r="E18455" s="5">
        <v>123.9</v>
      </c>
      <c r="F18455" s="5">
        <v>244.6</v>
      </c>
      <c r="G18455" s="5">
        <v>120.9</v>
      </c>
      <c r="H18455" s="5">
        <v>120.7</v>
      </c>
      <c r="I18455" s="5"/>
      <c r="J18455" s="5"/>
      <c r="K18455" s="5"/>
    </row>
    <row r="18456" spans="1:11" x14ac:dyDescent="0.25">
      <c r="A18456" s="5">
        <f>18449</f>
      </c>
      <c r="B18456" s="5" t="s">
        <v>18464</v>
      </c>
      <c r="C18456" s="5">
        <v>123.7</v>
      </c>
      <c r="D18456" s="5">
        <v>0.1</v>
      </c>
      <c r="E18456" s="5">
        <v>123.9</v>
      </c>
      <c r="F18456" s="5">
        <v>244.6</v>
      </c>
      <c r="G18456" s="5">
        <v>120.9</v>
      </c>
      <c r="H18456" s="5">
        <v>120.7</v>
      </c>
      <c r="I18456" s="5"/>
      <c r="J18456" s="5"/>
      <c r="K18456" s="5"/>
    </row>
    <row r="18457" spans="1:11" x14ac:dyDescent="0.25">
      <c r="A18457" s="5">
        <f>18450</f>
      </c>
      <c r="B18457" s="5" t="s">
        <v>18465</v>
      </c>
      <c r="C18457" s="5">
        <v>123.3</v>
      </c>
      <c r="D18457" s="5">
        <v>0.1</v>
      </c>
      <c r="E18457" s="5">
        <v>123.4</v>
      </c>
      <c r="F18457" s="5">
        <v>243.7</v>
      </c>
      <c r="G18457" s="5">
        <v>120.3</v>
      </c>
      <c r="H18457" s="5">
        <v>120.2</v>
      </c>
      <c r="I18457" s="5"/>
      <c r="J18457" s="5"/>
      <c r="K18457" s="5"/>
    </row>
    <row r="18458" spans="1:11" x14ac:dyDescent="0.25">
      <c r="A18458" s="5">
        <f>18451</f>
      </c>
      <c r="B18458" s="5" t="s">
        <v>18466</v>
      </c>
      <c r="C18458" s="5">
        <v>123.3</v>
      </c>
      <c r="D18458" s="5">
        <v>0.1</v>
      </c>
      <c r="E18458" s="5">
        <v>123.4</v>
      </c>
      <c r="F18458" s="5">
        <v>243.7</v>
      </c>
      <c r="G18458" s="5">
        <v>120.3</v>
      </c>
      <c r="H18458" s="5">
        <v>120.2</v>
      </c>
      <c r="I18458" s="5"/>
      <c r="J18458" s="5"/>
      <c r="K18458" s="5"/>
    </row>
    <row r="18459" spans="1:11" x14ac:dyDescent="0.25">
      <c r="A18459" s="5">
        <f>18452</f>
      </c>
      <c r="B18459" s="5" t="s">
        <v>18467</v>
      </c>
      <c r="C18459" s="5">
        <v>122.7</v>
      </c>
      <c r="D18459" s="5">
        <v>0.1</v>
      </c>
      <c r="E18459" s="5">
        <v>122.8</v>
      </c>
      <c r="F18459" s="5">
        <v>243</v>
      </c>
      <c r="G18459" s="5">
        <v>120</v>
      </c>
      <c r="H18459" s="5">
        <v>119.8</v>
      </c>
      <c r="I18459" s="5"/>
      <c r="J18459" s="5"/>
      <c r="K18459" s="5"/>
    </row>
    <row r="18460" spans="1:11" x14ac:dyDescent="0.25">
      <c r="A18460" s="5">
        <f>18453</f>
      </c>
      <c r="B18460" s="5" t="s">
        <v>18468</v>
      </c>
      <c r="C18460" s="5">
        <v>122.7</v>
      </c>
      <c r="D18460" s="5">
        <v>0.1</v>
      </c>
      <c r="E18460" s="5">
        <v>122.8</v>
      </c>
      <c r="F18460" s="5">
        <v>243</v>
      </c>
      <c r="G18460" s="5">
        <v>120</v>
      </c>
      <c r="H18460" s="5">
        <v>119.8</v>
      </c>
      <c r="I18460" s="5"/>
      <c r="J18460" s="5"/>
      <c r="K18460" s="5"/>
    </row>
    <row r="18461" spans="1:11" x14ac:dyDescent="0.25">
      <c r="A18461" s="5">
        <f>18454</f>
      </c>
      <c r="B18461" s="5" t="s">
        <v>18469</v>
      </c>
      <c r="C18461" s="5">
        <v>123.1</v>
      </c>
      <c r="D18461" s="5">
        <v>0.1</v>
      </c>
      <c r="E18461" s="5">
        <v>123.3</v>
      </c>
      <c r="F18461" s="5">
        <v>242.8</v>
      </c>
      <c r="G18461" s="5">
        <v>120.7</v>
      </c>
      <c r="H18461" s="5">
        <v>120.5</v>
      </c>
      <c r="I18461" s="5"/>
      <c r="J18461" s="5"/>
      <c r="K18461" s="5"/>
    </row>
    <row r="18462" spans="1:11" x14ac:dyDescent="0.25">
      <c r="A18462" s="5">
        <f>18455</f>
      </c>
      <c r="B18462" s="5" t="s">
        <v>18470</v>
      </c>
      <c r="C18462" s="5">
        <v>123.1</v>
      </c>
      <c r="D18462" s="5">
        <v>0.1</v>
      </c>
      <c r="E18462" s="5">
        <v>123.3</v>
      </c>
      <c r="F18462" s="5">
        <v>242.8</v>
      </c>
      <c r="G18462" s="5">
        <v>120.7</v>
      </c>
      <c r="H18462" s="5">
        <v>120.5</v>
      </c>
      <c r="I18462" s="5"/>
      <c r="J18462" s="5"/>
      <c r="K18462" s="5"/>
    </row>
    <row r="18463" spans="1:11" x14ac:dyDescent="0.25">
      <c r="A18463" s="5">
        <f>18456</f>
      </c>
      <c r="B18463" s="5" t="s">
        <v>18471</v>
      </c>
      <c r="C18463" s="5">
        <v>123.1</v>
      </c>
      <c r="D18463" s="5">
        <v>0.1</v>
      </c>
      <c r="E18463" s="5">
        <v>123.4</v>
      </c>
      <c r="F18463" s="5">
        <v>242.4</v>
      </c>
      <c r="G18463" s="5">
        <v>119.2</v>
      </c>
      <c r="H18463" s="5">
        <v>119.1</v>
      </c>
      <c r="I18463" s="5"/>
      <c r="J18463" s="5"/>
      <c r="K18463" s="5"/>
    </row>
    <row r="18464" spans="1:11" x14ac:dyDescent="0.25">
      <c r="A18464" s="5">
        <f>18457</f>
      </c>
      <c r="B18464" s="5" t="s">
        <v>18472</v>
      </c>
      <c r="C18464" s="5">
        <v>123.1</v>
      </c>
      <c r="D18464" s="5">
        <v>0.1</v>
      </c>
      <c r="E18464" s="5">
        <v>123.4</v>
      </c>
      <c r="F18464" s="5">
        <v>242.4</v>
      </c>
      <c r="G18464" s="5">
        <v>119.2</v>
      </c>
      <c r="H18464" s="5">
        <v>119.1</v>
      </c>
      <c r="I18464" s="5"/>
      <c r="J18464" s="5"/>
      <c r="K18464" s="5"/>
    </row>
    <row r="18465" spans="1:11" x14ac:dyDescent="0.25">
      <c r="A18465" s="5">
        <f>18458</f>
      </c>
      <c r="B18465" s="5" t="s">
        <v>18473</v>
      </c>
      <c r="C18465" s="5">
        <v>123.1</v>
      </c>
      <c r="D18465" s="5">
        <v>0.1</v>
      </c>
      <c r="E18465" s="5">
        <v>123.4</v>
      </c>
      <c r="F18465" s="5">
        <v>242.4</v>
      </c>
      <c r="G18465" s="5">
        <v>119.2</v>
      </c>
      <c r="H18465" s="5">
        <v>119.1</v>
      </c>
      <c r="I18465" s="5"/>
      <c r="J18465" s="5"/>
      <c r="K18465" s="5"/>
    </row>
    <row r="18466" spans="1:11" x14ac:dyDescent="0.25">
      <c r="A18466" s="5">
        <f>18459</f>
      </c>
      <c r="B18466" s="5" t="s">
        <v>18474</v>
      </c>
      <c r="C18466" s="5">
        <v>123.1</v>
      </c>
      <c r="D18466" s="5">
        <v>0.1</v>
      </c>
      <c r="E18466" s="5">
        <v>123.4</v>
      </c>
      <c r="F18466" s="5">
        <v>242.4</v>
      </c>
      <c r="G18466" s="5">
        <v>119.2</v>
      </c>
      <c r="H18466" s="5">
        <v>119.1</v>
      </c>
      <c r="I18466" s="5"/>
      <c r="J18466" s="5"/>
      <c r="K18466" s="5"/>
    </row>
    <row r="18467" spans="1:11" x14ac:dyDescent="0.25">
      <c r="A18467" s="5">
        <f>18460</f>
      </c>
      <c r="B18467" s="5" t="s">
        <v>18475</v>
      </c>
      <c r="C18467" s="5">
        <v>123.5</v>
      </c>
      <c r="D18467" s="5">
        <v>0.1</v>
      </c>
      <c r="E18467" s="5">
        <v>123.7</v>
      </c>
      <c r="F18467" s="5">
        <v>243.2</v>
      </c>
      <c r="G18467" s="5">
        <v>119.9</v>
      </c>
      <c r="H18467" s="5">
        <v>119.7</v>
      </c>
      <c r="I18467" s="5"/>
      <c r="J18467" s="5"/>
      <c r="K18467" s="5"/>
    </row>
    <row r="18468" spans="1:11" x14ac:dyDescent="0.25">
      <c r="A18468" s="5">
        <f>18461</f>
      </c>
      <c r="B18468" s="5" t="s">
        <v>18476</v>
      </c>
      <c r="C18468" s="5">
        <v>123.5</v>
      </c>
      <c r="D18468" s="5">
        <v>0.1</v>
      </c>
      <c r="E18468" s="5">
        <v>123.7</v>
      </c>
      <c r="F18468" s="5">
        <v>243.2</v>
      </c>
      <c r="G18468" s="5">
        <v>119.9</v>
      </c>
      <c r="H18468" s="5">
        <v>119.7</v>
      </c>
      <c r="I18468" s="5"/>
      <c r="J18468" s="5"/>
      <c r="K18468" s="5"/>
    </row>
    <row r="18469" spans="1:11" x14ac:dyDescent="0.25">
      <c r="A18469" s="5">
        <f>18462</f>
      </c>
      <c r="B18469" s="5" t="s">
        <v>18477</v>
      </c>
      <c r="C18469" s="5">
        <v>123.4</v>
      </c>
      <c r="D18469" s="5">
        <v>0.1</v>
      </c>
      <c r="E18469" s="5">
        <v>123.6</v>
      </c>
      <c r="F18469" s="5">
        <v>243.3</v>
      </c>
      <c r="G18469" s="5">
        <v>119.9</v>
      </c>
      <c r="H18469" s="5">
        <v>119.7</v>
      </c>
      <c r="I18469" s="5"/>
      <c r="J18469" s="5"/>
      <c r="K18469" s="5"/>
    </row>
    <row r="18470" spans="1:11" x14ac:dyDescent="0.25">
      <c r="A18470" s="5">
        <f>18463</f>
      </c>
      <c r="B18470" s="5" t="s">
        <v>18478</v>
      </c>
      <c r="C18470" s="5">
        <v>123.4</v>
      </c>
      <c r="D18470" s="5">
        <v>0.1</v>
      </c>
      <c r="E18470" s="5">
        <v>123.6</v>
      </c>
      <c r="F18470" s="5">
        <v>243.3</v>
      </c>
      <c r="G18470" s="5">
        <v>119.9</v>
      </c>
      <c r="H18470" s="5">
        <v>119.7</v>
      </c>
      <c r="I18470" s="5"/>
      <c r="J18470" s="5"/>
      <c r="K18470" s="5"/>
    </row>
    <row r="18471" spans="1:11" x14ac:dyDescent="0.25">
      <c r="A18471" s="5">
        <f>18464</f>
      </c>
      <c r="B18471" s="5" t="s">
        <v>18479</v>
      </c>
      <c r="C18471" s="5">
        <v>123.2</v>
      </c>
      <c r="D18471" s="5">
        <v>0.1</v>
      </c>
      <c r="E18471" s="5">
        <v>123.4</v>
      </c>
      <c r="F18471" s="5">
        <v>243.1</v>
      </c>
      <c r="G18471" s="5">
        <v>119.7</v>
      </c>
      <c r="H18471" s="5">
        <v>119.6</v>
      </c>
      <c r="I18471" s="5"/>
      <c r="J18471" s="5"/>
      <c r="K18471" s="5"/>
    </row>
    <row r="18472" spans="1:11" x14ac:dyDescent="0.25">
      <c r="A18472" s="5">
        <f>18465</f>
      </c>
      <c r="B18472" s="5" t="s">
        <v>18480</v>
      </c>
      <c r="C18472" s="5">
        <v>123.2</v>
      </c>
      <c r="D18472" s="5">
        <v>0.1</v>
      </c>
      <c r="E18472" s="5">
        <v>123.4</v>
      </c>
      <c r="F18472" s="5">
        <v>243.1</v>
      </c>
      <c r="G18472" s="5">
        <v>119.7</v>
      </c>
      <c r="H18472" s="5">
        <v>119.6</v>
      </c>
      <c r="I18472" s="5"/>
      <c r="J18472" s="5"/>
      <c r="K18472" s="5"/>
    </row>
    <row r="18473" spans="1:11" x14ac:dyDescent="0.25">
      <c r="A18473" s="5">
        <f>18466</f>
      </c>
      <c r="B18473" s="5" t="s">
        <v>18481</v>
      </c>
      <c r="C18473" s="5">
        <v>123.3</v>
      </c>
      <c r="D18473" s="5">
        <v>0.1</v>
      </c>
      <c r="E18473" s="5">
        <v>123.4</v>
      </c>
      <c r="F18473" s="5">
        <v>243.2</v>
      </c>
      <c r="G18473" s="5">
        <v>119.8</v>
      </c>
      <c r="H18473" s="5">
        <v>119.6</v>
      </c>
      <c r="I18473" s="5"/>
      <c r="J18473" s="5"/>
      <c r="K18473" s="5"/>
    </row>
    <row r="18474" spans="1:11" x14ac:dyDescent="0.25">
      <c r="A18474" s="5">
        <f>18467</f>
      </c>
      <c r="B18474" s="5" t="s">
        <v>18482</v>
      </c>
      <c r="C18474" s="5">
        <v>123.3</v>
      </c>
      <c r="D18474" s="5">
        <v>0.1</v>
      </c>
      <c r="E18474" s="5">
        <v>123.4</v>
      </c>
      <c r="F18474" s="5">
        <v>243.2</v>
      </c>
      <c r="G18474" s="5">
        <v>119.8</v>
      </c>
      <c r="H18474" s="5">
        <v>119.6</v>
      </c>
      <c r="I18474" s="5"/>
      <c r="J18474" s="5"/>
      <c r="K18474" s="5"/>
    </row>
    <row r="18475" spans="1:11" x14ac:dyDescent="0.25">
      <c r="A18475" s="5">
        <f>18468</f>
      </c>
      <c r="B18475" s="5" t="s">
        <v>18483</v>
      </c>
      <c r="C18475" s="5">
        <v>123.3</v>
      </c>
      <c r="D18475" s="5">
        <v>0.1</v>
      </c>
      <c r="E18475" s="5">
        <v>123.4</v>
      </c>
      <c r="F18475" s="5">
        <v>243.2</v>
      </c>
      <c r="G18475" s="5">
        <v>119.8</v>
      </c>
      <c r="H18475" s="5">
        <v>119.6</v>
      </c>
      <c r="I18475" s="5"/>
      <c r="J18475" s="5"/>
      <c r="K18475" s="5"/>
    </row>
    <row r="18476" spans="1:11" x14ac:dyDescent="0.25">
      <c r="A18476" s="5">
        <f>18469</f>
      </c>
      <c r="B18476" s="5" t="s">
        <v>18484</v>
      </c>
      <c r="C18476" s="5">
        <v>123.3</v>
      </c>
      <c r="D18476" s="5">
        <v>0.1</v>
      </c>
      <c r="E18476" s="5">
        <v>123.4</v>
      </c>
      <c r="F18476" s="5">
        <v>243.2</v>
      </c>
      <c r="G18476" s="5">
        <v>119.8</v>
      </c>
      <c r="H18476" s="5">
        <v>119.6</v>
      </c>
      <c r="I18476" s="5"/>
      <c r="J18476" s="5"/>
      <c r="K18476" s="5"/>
    </row>
    <row r="18477" spans="1:11" x14ac:dyDescent="0.25">
      <c r="A18477" s="5">
        <f>18470</f>
      </c>
      <c r="B18477" s="5" t="s">
        <v>18485</v>
      </c>
      <c r="C18477" s="5">
        <v>123</v>
      </c>
      <c r="D18477" s="5">
        <v>0.1</v>
      </c>
      <c r="E18477" s="5">
        <v>123.1</v>
      </c>
      <c r="F18477" s="5">
        <v>242.6</v>
      </c>
      <c r="G18477" s="5">
        <v>119.5</v>
      </c>
      <c r="H18477" s="5">
        <v>119.3</v>
      </c>
      <c r="I18477" s="5"/>
      <c r="J18477" s="5"/>
      <c r="K18477" s="5"/>
    </row>
    <row r="18478" spans="1:11" x14ac:dyDescent="0.25">
      <c r="A18478" s="5">
        <f>18471</f>
      </c>
      <c r="B18478" s="5" t="s">
        <v>18486</v>
      </c>
      <c r="C18478" s="5">
        <v>123</v>
      </c>
      <c r="D18478" s="5">
        <v>0.1</v>
      </c>
      <c r="E18478" s="5">
        <v>123.1</v>
      </c>
      <c r="F18478" s="5">
        <v>242.6</v>
      </c>
      <c r="G18478" s="5">
        <v>119.5</v>
      </c>
      <c r="H18478" s="5">
        <v>119.3</v>
      </c>
      <c r="I18478" s="5"/>
      <c r="J18478" s="5"/>
      <c r="K18478" s="5"/>
    </row>
    <row r="18479" spans="1:11" x14ac:dyDescent="0.25">
      <c r="A18479" s="5">
        <f>18472</f>
      </c>
      <c r="B18479" s="5" t="s">
        <v>18487</v>
      </c>
      <c r="C18479" s="5">
        <v>123.1</v>
      </c>
      <c r="D18479" s="5">
        <v>0.1</v>
      </c>
      <c r="E18479" s="5">
        <v>123.3</v>
      </c>
      <c r="F18479" s="5">
        <v>242.1</v>
      </c>
      <c r="G18479" s="5">
        <v>119.2</v>
      </c>
      <c r="H18479" s="5">
        <v>119.1</v>
      </c>
      <c r="I18479" s="5"/>
      <c r="J18479" s="5"/>
      <c r="K18479" s="5"/>
    </row>
    <row r="18480" spans="1:11" x14ac:dyDescent="0.25">
      <c r="A18480" s="5">
        <f>18473</f>
      </c>
      <c r="B18480" s="5" t="s">
        <v>18488</v>
      </c>
      <c r="C18480" s="5">
        <v>123.1</v>
      </c>
      <c r="D18480" s="5">
        <v>0.1</v>
      </c>
      <c r="E18480" s="5">
        <v>123.3</v>
      </c>
      <c r="F18480" s="5">
        <v>242.1</v>
      </c>
      <c r="G18480" s="5">
        <v>119.2</v>
      </c>
      <c r="H18480" s="5">
        <v>119.1</v>
      </c>
      <c r="I18480" s="5"/>
      <c r="J18480" s="5"/>
      <c r="K18480" s="5"/>
    </row>
    <row r="18481" spans="1:11" x14ac:dyDescent="0.25">
      <c r="A18481" s="5">
        <f>18474</f>
      </c>
      <c r="B18481" s="5" t="s">
        <v>18489</v>
      </c>
      <c r="C18481" s="5">
        <v>123.1</v>
      </c>
      <c r="D18481" s="5">
        <v>0.1</v>
      </c>
      <c r="E18481" s="5">
        <v>123.2</v>
      </c>
      <c r="F18481" s="5">
        <v>242.8</v>
      </c>
      <c r="G18481" s="5">
        <v>119.7</v>
      </c>
      <c r="H18481" s="5">
        <v>119.6</v>
      </c>
      <c r="I18481" s="5"/>
      <c r="J18481" s="5"/>
      <c r="K18481" s="5"/>
    </row>
    <row r="18482" spans="1:11" x14ac:dyDescent="0.25">
      <c r="A18482" s="5">
        <f>18475</f>
      </c>
      <c r="B18482" s="5" t="s">
        <v>18490</v>
      </c>
      <c r="C18482" s="5">
        <v>123.1</v>
      </c>
      <c r="D18482" s="5">
        <v>0.1</v>
      </c>
      <c r="E18482" s="5">
        <v>123.2</v>
      </c>
      <c r="F18482" s="5">
        <v>242.8</v>
      </c>
      <c r="G18482" s="5">
        <v>119.7</v>
      </c>
      <c r="H18482" s="5">
        <v>119.6</v>
      </c>
      <c r="I18482" s="5"/>
      <c r="J18482" s="5"/>
      <c r="K18482" s="5"/>
    </row>
    <row r="18483" spans="1:11" x14ac:dyDescent="0.25">
      <c r="A18483" s="5">
        <f>18476</f>
      </c>
      <c r="B18483" s="5" t="s">
        <v>18491</v>
      </c>
      <c r="C18483" s="5">
        <v>122.8</v>
      </c>
      <c r="D18483" s="5">
        <v>0.1</v>
      </c>
      <c r="E18483" s="5">
        <v>123</v>
      </c>
      <c r="F18483" s="5">
        <v>242.5</v>
      </c>
      <c r="G18483" s="5">
        <v>119.5</v>
      </c>
      <c r="H18483" s="5">
        <v>119.4</v>
      </c>
      <c r="I18483" s="5"/>
      <c r="J18483" s="5"/>
      <c r="K18483" s="5"/>
    </row>
    <row r="18484" spans="1:11" x14ac:dyDescent="0.25">
      <c r="A18484" s="5">
        <f>18477</f>
      </c>
      <c r="B18484" s="5" t="s">
        <v>18492</v>
      </c>
      <c r="C18484" s="5">
        <v>122.8</v>
      </c>
      <c r="D18484" s="5">
        <v>0.1</v>
      </c>
      <c r="E18484" s="5">
        <v>123</v>
      </c>
      <c r="F18484" s="5">
        <v>242.5</v>
      </c>
      <c r="G18484" s="5">
        <v>119.5</v>
      </c>
      <c r="H18484" s="5">
        <v>119.4</v>
      </c>
      <c r="I18484" s="5"/>
      <c r="J18484" s="5"/>
      <c r="K18484" s="5"/>
    </row>
    <row r="18485" spans="1:11" x14ac:dyDescent="0.25">
      <c r="A18485" s="5">
        <f>18478</f>
      </c>
      <c r="B18485" s="5" t="s">
        <v>18493</v>
      </c>
      <c r="C18485" s="5">
        <v>122.8</v>
      </c>
      <c r="D18485" s="5">
        <v>0.1</v>
      </c>
      <c r="E18485" s="5">
        <v>123</v>
      </c>
      <c r="F18485" s="5">
        <v>242.5</v>
      </c>
      <c r="G18485" s="5">
        <v>119.5</v>
      </c>
      <c r="H18485" s="5">
        <v>119.4</v>
      </c>
      <c r="I18485" s="5"/>
      <c r="J18485" s="5"/>
      <c r="K18485" s="5"/>
    </row>
    <row r="18486" spans="1:11" x14ac:dyDescent="0.25">
      <c r="A18486" s="5">
        <f>18479</f>
      </c>
      <c r="B18486" s="5" t="s">
        <v>18494</v>
      </c>
      <c r="C18486" s="5">
        <v>122.8</v>
      </c>
      <c r="D18486" s="5">
        <v>0.1</v>
      </c>
      <c r="E18486" s="5">
        <v>123</v>
      </c>
      <c r="F18486" s="5">
        <v>242.5</v>
      </c>
      <c r="G18486" s="5">
        <v>119.5</v>
      </c>
      <c r="H18486" s="5">
        <v>119.4</v>
      </c>
      <c r="I18486" s="5"/>
      <c r="J18486" s="5"/>
      <c r="K18486" s="5"/>
    </row>
    <row r="18487" spans="1:11" x14ac:dyDescent="0.25">
      <c r="A18487" s="5">
        <f>18480</f>
      </c>
      <c r="B18487" s="5" t="s">
        <v>18495</v>
      </c>
      <c r="C18487" s="5">
        <v>123.5</v>
      </c>
      <c r="D18487" s="5">
        <v>0.1</v>
      </c>
      <c r="E18487" s="5">
        <v>123.7</v>
      </c>
      <c r="F18487" s="5">
        <v>243.5</v>
      </c>
      <c r="G18487" s="5">
        <v>119.9</v>
      </c>
      <c r="H18487" s="5">
        <v>119.6</v>
      </c>
      <c r="I18487" s="5"/>
      <c r="J18487" s="5"/>
      <c r="K18487" s="5"/>
    </row>
    <row r="18488" spans="1:11" x14ac:dyDescent="0.25">
      <c r="A18488" s="5">
        <f>18481</f>
      </c>
      <c r="B18488" s="5" t="s">
        <v>18496</v>
      </c>
      <c r="C18488" s="5">
        <v>123.5</v>
      </c>
      <c r="D18488" s="5">
        <v>0.1</v>
      </c>
      <c r="E18488" s="5">
        <v>123.7</v>
      </c>
      <c r="F18488" s="5">
        <v>243.5</v>
      </c>
      <c r="G18488" s="5">
        <v>119.9</v>
      </c>
      <c r="H18488" s="5">
        <v>119.6</v>
      </c>
      <c r="I18488" s="5"/>
      <c r="J18488" s="5"/>
      <c r="K18488" s="5"/>
    </row>
    <row r="18489" spans="1:11" x14ac:dyDescent="0.25">
      <c r="A18489" s="5">
        <f>18482</f>
      </c>
      <c r="B18489" s="5" t="s">
        <v>18497</v>
      </c>
      <c r="C18489" s="5">
        <v>123.2</v>
      </c>
      <c r="D18489" s="5">
        <v>0.1</v>
      </c>
      <c r="E18489" s="5">
        <v>123.4</v>
      </c>
      <c r="F18489" s="5">
        <v>243</v>
      </c>
      <c r="G18489" s="5">
        <v>119.8</v>
      </c>
      <c r="H18489" s="5">
        <v>119.7</v>
      </c>
      <c r="I18489" s="5"/>
      <c r="J18489" s="5"/>
      <c r="K18489" s="5"/>
    </row>
    <row r="18490" spans="1:11" x14ac:dyDescent="0.25">
      <c r="A18490" s="5">
        <f>18483</f>
      </c>
      <c r="B18490" s="5" t="s">
        <v>18498</v>
      </c>
      <c r="C18490" s="5">
        <v>123.2</v>
      </c>
      <c r="D18490" s="5">
        <v>0.1</v>
      </c>
      <c r="E18490" s="5">
        <v>123.4</v>
      </c>
      <c r="F18490" s="5">
        <v>243</v>
      </c>
      <c r="G18490" s="5">
        <v>119.8</v>
      </c>
      <c r="H18490" s="5">
        <v>119.7</v>
      </c>
      <c r="I18490" s="5"/>
      <c r="J18490" s="5"/>
      <c r="K18490" s="5"/>
    </row>
    <row r="18491" spans="1:11" x14ac:dyDescent="0.25">
      <c r="A18491" s="5">
        <f>18484</f>
      </c>
      <c r="B18491" s="5" t="s">
        <v>18499</v>
      </c>
      <c r="C18491" s="5">
        <v>123.2</v>
      </c>
      <c r="D18491" s="5">
        <v>0.1</v>
      </c>
      <c r="E18491" s="5">
        <v>123.4</v>
      </c>
      <c r="F18491" s="5">
        <v>243</v>
      </c>
      <c r="G18491" s="5">
        <v>119.8</v>
      </c>
      <c r="H18491" s="5">
        <v>119.7</v>
      </c>
      <c r="I18491" s="5"/>
      <c r="J18491" s="5"/>
      <c r="K18491" s="5"/>
    </row>
    <row r="18492" spans="1:11" x14ac:dyDescent="0.25">
      <c r="A18492" s="5">
        <f>18485</f>
      </c>
      <c r="B18492" s="5" t="s">
        <v>18500</v>
      </c>
      <c r="C18492" s="5">
        <v>123.2</v>
      </c>
      <c r="D18492" s="5">
        <v>0.1</v>
      </c>
      <c r="E18492" s="5">
        <v>123.4</v>
      </c>
      <c r="F18492" s="5">
        <v>243</v>
      </c>
      <c r="G18492" s="5">
        <v>119.8</v>
      </c>
      <c r="H18492" s="5">
        <v>119.7</v>
      </c>
      <c r="I18492" s="5"/>
      <c r="J18492" s="5"/>
      <c r="K18492" s="5"/>
    </row>
    <row r="18493" spans="1:11" x14ac:dyDescent="0.25">
      <c r="A18493" s="5">
        <f>18486</f>
      </c>
      <c r="B18493" s="5" t="s">
        <v>18501</v>
      </c>
      <c r="C18493" s="5">
        <v>123.4</v>
      </c>
      <c r="D18493" s="5">
        <v>0.1</v>
      </c>
      <c r="E18493" s="5">
        <v>123.5</v>
      </c>
      <c r="F18493" s="5">
        <v>243</v>
      </c>
      <c r="G18493" s="5">
        <v>119.7</v>
      </c>
      <c r="H18493" s="5">
        <v>119.5</v>
      </c>
      <c r="I18493" s="5"/>
      <c r="J18493" s="5"/>
      <c r="K18493" s="5"/>
    </row>
    <row r="18494" spans="1:11" x14ac:dyDescent="0.25">
      <c r="A18494" s="5">
        <f>18487</f>
      </c>
      <c r="B18494" s="5" t="s">
        <v>18502</v>
      </c>
      <c r="C18494" s="5">
        <v>123.4</v>
      </c>
      <c r="D18494" s="5">
        <v>0.1</v>
      </c>
      <c r="E18494" s="5">
        <v>123.5</v>
      </c>
      <c r="F18494" s="5">
        <v>243</v>
      </c>
      <c r="G18494" s="5">
        <v>119.7</v>
      </c>
      <c r="H18494" s="5">
        <v>119.5</v>
      </c>
      <c r="I18494" s="5"/>
      <c r="J18494" s="5"/>
      <c r="K18494" s="5"/>
    </row>
    <row r="18495" spans="1:11" x14ac:dyDescent="0.25">
      <c r="A18495" s="5">
        <f>18488</f>
      </c>
      <c r="B18495" s="5" t="s">
        <v>18503</v>
      </c>
      <c r="C18495" s="5">
        <v>123.4</v>
      </c>
      <c r="D18495" s="5">
        <v>0.1</v>
      </c>
      <c r="E18495" s="5">
        <v>123.5</v>
      </c>
      <c r="F18495" s="5">
        <v>243</v>
      </c>
      <c r="G18495" s="5">
        <v>119.7</v>
      </c>
      <c r="H18495" s="5">
        <v>119.5</v>
      </c>
      <c r="I18495" s="5"/>
      <c r="J18495" s="5"/>
      <c r="K18495" s="5"/>
    </row>
    <row r="18496" spans="1:11" x14ac:dyDescent="0.25">
      <c r="A18496" s="5">
        <f>18489</f>
      </c>
      <c r="B18496" s="5" t="s">
        <v>18504</v>
      </c>
      <c r="C18496" s="5">
        <v>123.4</v>
      </c>
      <c r="D18496" s="5">
        <v>0.1</v>
      </c>
      <c r="E18496" s="5">
        <v>123.5</v>
      </c>
      <c r="F18496" s="5">
        <v>243</v>
      </c>
      <c r="G18496" s="5">
        <v>119.7</v>
      </c>
      <c r="H18496" s="5">
        <v>119.5</v>
      </c>
      <c r="I18496" s="5"/>
      <c r="J18496" s="5"/>
      <c r="K18496" s="5"/>
    </row>
    <row r="18497" spans="1:11" x14ac:dyDescent="0.25">
      <c r="A18497" s="5">
        <f>18490</f>
      </c>
      <c r="B18497" s="5" t="s">
        <v>18505</v>
      </c>
      <c r="C18497" s="5">
        <v>122.9</v>
      </c>
      <c r="D18497" s="5">
        <v>0.1</v>
      </c>
      <c r="E18497" s="5">
        <v>123.1</v>
      </c>
      <c r="F18497" s="5">
        <v>243.3</v>
      </c>
      <c r="G18497" s="5">
        <v>119.9</v>
      </c>
      <c r="H18497" s="5">
        <v>119.7</v>
      </c>
      <c r="I18497" s="5"/>
      <c r="J18497" s="5"/>
      <c r="K18497" s="5"/>
    </row>
    <row r="18498" spans="1:11" x14ac:dyDescent="0.25">
      <c r="A18498" s="5">
        <f>18491</f>
      </c>
      <c r="B18498" s="5" t="s">
        <v>18506</v>
      </c>
      <c r="C18498" s="5">
        <v>122.9</v>
      </c>
      <c r="D18498" s="5">
        <v>0.1</v>
      </c>
      <c r="E18498" s="5">
        <v>123.1</v>
      </c>
      <c r="F18498" s="5">
        <v>243.3</v>
      </c>
      <c r="G18498" s="5">
        <v>119.9</v>
      </c>
      <c r="H18498" s="5">
        <v>119.7</v>
      </c>
      <c r="I18498" s="5"/>
      <c r="J18498" s="5"/>
      <c r="K18498" s="5"/>
    </row>
    <row r="18499" spans="1:11" x14ac:dyDescent="0.25">
      <c r="A18499" s="5">
        <f>18492</f>
      </c>
      <c r="B18499" s="5" t="s">
        <v>18507</v>
      </c>
      <c r="C18499" s="5">
        <v>122.9</v>
      </c>
      <c r="D18499" s="5">
        <v>0.1</v>
      </c>
      <c r="E18499" s="5">
        <v>123.1</v>
      </c>
      <c r="F18499" s="5">
        <v>242.1</v>
      </c>
      <c r="G18499" s="5">
        <v>119.2</v>
      </c>
      <c r="H18499" s="5">
        <v>119</v>
      </c>
      <c r="I18499" s="5"/>
      <c r="J18499" s="5"/>
      <c r="K18499" s="5"/>
    </row>
    <row r="18500" spans="1:11" x14ac:dyDescent="0.25">
      <c r="A18500" s="5">
        <f>18493</f>
      </c>
      <c r="B18500" s="5" t="s">
        <v>18508</v>
      </c>
      <c r="C18500" s="5">
        <v>122.9</v>
      </c>
      <c r="D18500" s="5">
        <v>0.1</v>
      </c>
      <c r="E18500" s="5">
        <v>123.1</v>
      </c>
      <c r="F18500" s="5">
        <v>242.1</v>
      </c>
      <c r="G18500" s="5">
        <v>119.2</v>
      </c>
      <c r="H18500" s="5">
        <v>119</v>
      </c>
      <c r="I18500" s="5"/>
      <c r="J18500" s="5"/>
      <c r="K18500" s="5"/>
    </row>
    <row r="18501" spans="1:11" x14ac:dyDescent="0.25">
      <c r="A18501" s="5">
        <f>18494</f>
      </c>
      <c r="B18501" s="5" t="s">
        <v>18509</v>
      </c>
      <c r="C18501" s="5">
        <v>122.9</v>
      </c>
      <c r="D18501" s="5">
        <v>0.1</v>
      </c>
      <c r="E18501" s="5">
        <v>123.1</v>
      </c>
      <c r="F18501" s="5">
        <v>242.1</v>
      </c>
      <c r="G18501" s="5">
        <v>119.2</v>
      </c>
      <c r="H18501" s="5">
        <v>119</v>
      </c>
      <c r="I18501" s="5"/>
      <c r="J18501" s="5"/>
      <c r="K18501" s="5"/>
    </row>
    <row r="18502" spans="1:11" x14ac:dyDescent="0.25">
      <c r="A18502" s="5">
        <f>18495</f>
      </c>
      <c r="B18502" s="5" t="s">
        <v>18510</v>
      </c>
      <c r="C18502" s="5">
        <v>122.9</v>
      </c>
      <c r="D18502" s="5">
        <v>0.1</v>
      </c>
      <c r="E18502" s="5">
        <v>123.1</v>
      </c>
      <c r="F18502" s="5">
        <v>242.1</v>
      </c>
      <c r="G18502" s="5">
        <v>119.2</v>
      </c>
      <c r="H18502" s="5">
        <v>119</v>
      </c>
      <c r="I18502" s="5"/>
      <c r="J18502" s="5"/>
      <c r="K18502" s="5"/>
    </row>
    <row r="18503" spans="1:11" x14ac:dyDescent="0.25">
      <c r="A18503" s="5">
        <f>18496</f>
      </c>
      <c r="B18503" s="5" t="s">
        <v>18511</v>
      </c>
      <c r="C18503" s="5">
        <v>122.9</v>
      </c>
      <c r="D18503" s="5">
        <v>0.1</v>
      </c>
      <c r="E18503" s="5">
        <v>123.1</v>
      </c>
      <c r="F18503" s="5">
        <v>242.1</v>
      </c>
      <c r="G18503" s="5">
        <v>119.2</v>
      </c>
      <c r="H18503" s="5">
        <v>119</v>
      </c>
      <c r="I18503" s="5"/>
      <c r="J18503" s="5"/>
      <c r="K18503" s="5"/>
    </row>
    <row r="18504" spans="1:11" x14ac:dyDescent="0.25">
      <c r="A18504" s="5">
        <f>18497</f>
      </c>
      <c r="B18504" s="5" t="s">
        <v>18512</v>
      </c>
      <c r="C18504" s="5">
        <v>122.9</v>
      </c>
      <c r="D18504" s="5">
        <v>0.1</v>
      </c>
      <c r="E18504" s="5">
        <v>123.1</v>
      </c>
      <c r="F18504" s="5">
        <v>242.1</v>
      </c>
      <c r="G18504" s="5">
        <v>119.2</v>
      </c>
      <c r="H18504" s="5">
        <v>119</v>
      </c>
      <c r="I18504" s="5"/>
      <c r="J18504" s="5"/>
      <c r="K18504" s="5"/>
    </row>
    <row r="18505" spans="1:11" x14ac:dyDescent="0.25">
      <c r="A18505" s="5">
        <f>18498</f>
      </c>
      <c r="B18505" s="5" t="s">
        <v>18513</v>
      </c>
      <c r="C18505" s="5">
        <v>122.9</v>
      </c>
      <c r="D18505" s="5">
        <v>0.1</v>
      </c>
      <c r="E18505" s="5">
        <v>123.1</v>
      </c>
      <c r="F18505" s="5">
        <v>242.1</v>
      </c>
      <c r="G18505" s="5">
        <v>119.2</v>
      </c>
      <c r="H18505" s="5">
        <v>119</v>
      </c>
      <c r="I18505" s="5"/>
      <c r="J18505" s="5"/>
      <c r="K18505" s="5"/>
    </row>
    <row r="18506" spans="1:11" x14ac:dyDescent="0.25">
      <c r="A18506" s="5">
        <f>18499</f>
      </c>
      <c r="B18506" s="5" t="s">
        <v>18514</v>
      </c>
      <c r="C18506" s="5">
        <v>122.9</v>
      </c>
      <c r="D18506" s="5">
        <v>0.1</v>
      </c>
      <c r="E18506" s="5">
        <v>123.1</v>
      </c>
      <c r="F18506" s="5">
        <v>242.1</v>
      </c>
      <c r="G18506" s="5">
        <v>119.2</v>
      </c>
      <c r="H18506" s="5">
        <v>119</v>
      </c>
      <c r="I18506" s="5"/>
      <c r="J18506" s="5"/>
      <c r="K18506" s="5"/>
    </row>
    <row r="18507" spans="1:11" x14ac:dyDescent="0.25">
      <c r="A18507" s="5">
        <f>18500</f>
      </c>
      <c r="B18507" s="5" t="s">
        <v>18515</v>
      </c>
      <c r="C18507" s="5">
        <v>123.2</v>
      </c>
      <c r="D18507" s="5">
        <v>0.1</v>
      </c>
      <c r="E18507" s="5">
        <v>123.4</v>
      </c>
      <c r="F18507" s="5">
        <v>242.7</v>
      </c>
      <c r="G18507" s="5">
        <v>119.6</v>
      </c>
      <c r="H18507" s="5">
        <v>119.4</v>
      </c>
      <c r="I18507" s="5"/>
      <c r="J18507" s="5"/>
      <c r="K18507" s="5"/>
    </row>
    <row r="18508" spans="1:11" x14ac:dyDescent="0.25">
      <c r="A18508" s="5">
        <f>18501</f>
      </c>
      <c r="B18508" s="5" t="s">
        <v>18516</v>
      </c>
      <c r="C18508" s="5">
        <v>123.2</v>
      </c>
      <c r="D18508" s="5">
        <v>0.1</v>
      </c>
      <c r="E18508" s="5">
        <v>123.4</v>
      </c>
      <c r="F18508" s="5">
        <v>242.7</v>
      </c>
      <c r="G18508" s="5">
        <v>119.6</v>
      </c>
      <c r="H18508" s="5">
        <v>119.4</v>
      </c>
      <c r="I18508" s="5"/>
      <c r="J18508" s="5"/>
      <c r="K18508" s="5"/>
    </row>
    <row r="18509" spans="1:11" x14ac:dyDescent="0.25">
      <c r="A18509" s="5">
        <f>18502</f>
      </c>
      <c r="B18509" s="5" t="s">
        <v>18517</v>
      </c>
      <c r="C18509" s="5">
        <v>123.2</v>
      </c>
      <c r="D18509" s="5">
        <v>0.1</v>
      </c>
      <c r="E18509" s="5">
        <v>123.4</v>
      </c>
      <c r="F18509" s="5">
        <v>243.1</v>
      </c>
      <c r="G18509" s="5">
        <v>119.8</v>
      </c>
      <c r="H18509" s="5">
        <v>119.6</v>
      </c>
      <c r="I18509" s="5"/>
      <c r="J18509" s="5"/>
      <c r="K18509" s="5"/>
    </row>
    <row r="18510" spans="1:11" x14ac:dyDescent="0.25">
      <c r="A18510" s="5">
        <f>18503</f>
      </c>
      <c r="B18510" s="5" t="s">
        <v>18518</v>
      </c>
      <c r="C18510" s="5">
        <v>123.2</v>
      </c>
      <c r="D18510" s="5">
        <v>0.1</v>
      </c>
      <c r="E18510" s="5">
        <v>123.4</v>
      </c>
      <c r="F18510" s="5">
        <v>243.1</v>
      </c>
      <c r="G18510" s="5">
        <v>119.8</v>
      </c>
      <c r="H18510" s="5">
        <v>119.6</v>
      </c>
      <c r="I18510" s="5"/>
      <c r="J18510" s="5"/>
      <c r="K18510" s="5"/>
    </row>
    <row r="18511" spans="1:11" x14ac:dyDescent="0.25">
      <c r="A18511" s="5">
        <f>18504</f>
      </c>
      <c r="B18511" s="5" t="s">
        <v>18519</v>
      </c>
      <c r="C18511" s="5">
        <v>123.2</v>
      </c>
      <c r="D18511" s="5">
        <v>0.1</v>
      </c>
      <c r="E18511" s="5">
        <v>123.4</v>
      </c>
      <c r="F18511" s="5">
        <v>242.9</v>
      </c>
      <c r="G18511" s="5">
        <v>119.7</v>
      </c>
      <c r="H18511" s="5">
        <v>119.5</v>
      </c>
      <c r="I18511" s="5"/>
      <c r="J18511" s="5"/>
      <c r="K18511" s="5"/>
    </row>
    <row r="18512" spans="1:11" x14ac:dyDescent="0.25">
      <c r="A18512" s="5">
        <f>18505</f>
      </c>
      <c r="B18512" s="5" t="s">
        <v>18520</v>
      </c>
      <c r="C18512" s="5">
        <v>123.2</v>
      </c>
      <c r="D18512" s="5">
        <v>0.1</v>
      </c>
      <c r="E18512" s="5">
        <v>123.4</v>
      </c>
      <c r="F18512" s="5">
        <v>242.9</v>
      </c>
      <c r="G18512" s="5">
        <v>119.7</v>
      </c>
      <c r="H18512" s="5">
        <v>119.5</v>
      </c>
      <c r="I18512" s="5"/>
      <c r="J18512" s="5"/>
      <c r="K18512" s="5"/>
    </row>
    <row r="18513" spans="1:11" x14ac:dyDescent="0.25">
      <c r="A18513" s="5">
        <f>18506</f>
      </c>
      <c r="B18513" s="5" t="s">
        <v>18521</v>
      </c>
      <c r="C18513" s="5">
        <v>123.3</v>
      </c>
      <c r="D18513" s="5">
        <v>0.1</v>
      </c>
      <c r="E18513" s="5">
        <v>123.5</v>
      </c>
      <c r="F18513" s="5">
        <v>242.9</v>
      </c>
      <c r="G18513" s="5">
        <v>119.7</v>
      </c>
      <c r="H18513" s="5">
        <v>119.7</v>
      </c>
      <c r="I18513" s="5"/>
      <c r="J18513" s="5"/>
      <c r="K18513" s="5"/>
    </row>
    <row r="18514" spans="1:11" x14ac:dyDescent="0.25">
      <c r="A18514" s="5">
        <f>18507</f>
      </c>
      <c r="B18514" s="5" t="s">
        <v>18522</v>
      </c>
      <c r="C18514" s="5">
        <v>123.3</v>
      </c>
      <c r="D18514" s="5">
        <v>0.1</v>
      </c>
      <c r="E18514" s="5">
        <v>123.5</v>
      </c>
      <c r="F18514" s="5">
        <v>242.9</v>
      </c>
      <c r="G18514" s="5">
        <v>119.7</v>
      </c>
      <c r="H18514" s="5">
        <v>119.7</v>
      </c>
      <c r="I18514" s="5"/>
      <c r="J18514" s="5"/>
      <c r="K18514" s="5"/>
    </row>
    <row r="18515" spans="1:11" x14ac:dyDescent="0.25">
      <c r="A18515" s="5">
        <f>18508</f>
      </c>
      <c r="B18515" s="5" t="s">
        <v>18523</v>
      </c>
      <c r="C18515" s="5">
        <v>123.3</v>
      </c>
      <c r="D18515" s="5">
        <v>0.1</v>
      </c>
      <c r="E18515" s="5">
        <v>123.5</v>
      </c>
      <c r="F18515" s="5">
        <v>242.9</v>
      </c>
      <c r="G18515" s="5">
        <v>119.7</v>
      </c>
      <c r="H18515" s="5">
        <v>119.7</v>
      </c>
      <c r="I18515" s="5"/>
      <c r="J18515" s="5"/>
      <c r="K18515" s="5"/>
    </row>
    <row r="18516" spans="1:11" x14ac:dyDescent="0.25">
      <c r="A18516" s="5">
        <f>18509</f>
      </c>
      <c r="B18516" s="5" t="s">
        <v>18524</v>
      </c>
      <c r="C18516" s="5">
        <v>123.2</v>
      </c>
      <c r="D18516" s="5">
        <v>0.1</v>
      </c>
      <c r="E18516" s="5">
        <v>123.4</v>
      </c>
      <c r="F18516" s="5">
        <v>242.7</v>
      </c>
      <c r="G18516" s="5">
        <v>119.7</v>
      </c>
      <c r="H18516" s="5">
        <v>119.7</v>
      </c>
      <c r="I18516" s="5"/>
      <c r="J18516" s="5"/>
      <c r="K18516" s="5"/>
    </row>
    <row r="18517" spans="1:11" x14ac:dyDescent="0.25">
      <c r="A18517" s="5">
        <f>18510</f>
      </c>
      <c r="B18517" s="5" t="s">
        <v>18525</v>
      </c>
      <c r="C18517" s="5">
        <v>123.2</v>
      </c>
      <c r="D18517" s="5">
        <v>0.1</v>
      </c>
      <c r="E18517" s="5">
        <v>123.4</v>
      </c>
      <c r="F18517" s="5">
        <v>242.7</v>
      </c>
      <c r="G18517" s="5">
        <v>119.6</v>
      </c>
      <c r="H18517" s="5">
        <v>119.4</v>
      </c>
      <c r="I18517" s="5"/>
      <c r="J18517" s="5"/>
      <c r="K18517" s="5"/>
    </row>
    <row r="18518" spans="1:11" x14ac:dyDescent="0.25">
      <c r="A18518" s="5">
        <f>18511</f>
      </c>
      <c r="B18518" s="5" t="s">
        <v>18526</v>
      </c>
      <c r="C18518" s="5">
        <v>123</v>
      </c>
      <c r="D18518" s="5">
        <v>0.1</v>
      </c>
      <c r="E18518" s="5">
        <v>123.4</v>
      </c>
      <c r="F18518" s="5">
        <v>242.7</v>
      </c>
      <c r="G18518" s="5">
        <v>119.6</v>
      </c>
      <c r="H18518" s="5">
        <v>119.4</v>
      </c>
      <c r="I18518" s="5"/>
      <c r="J18518" s="5"/>
      <c r="K18518" s="5"/>
    </row>
    <row r="18519" spans="1:11" x14ac:dyDescent="0.25">
      <c r="A18519" s="5">
        <f>18512</f>
      </c>
      <c r="B18519" s="5" t="s">
        <v>18527</v>
      </c>
      <c r="C18519" s="5">
        <v>123</v>
      </c>
      <c r="D18519" s="5">
        <v>0.1</v>
      </c>
      <c r="E18519" s="5">
        <v>123.2</v>
      </c>
      <c r="F18519" s="5">
        <v>242.8</v>
      </c>
      <c r="G18519" s="5">
        <v>119.7</v>
      </c>
      <c r="H18519" s="5">
        <v>119.5</v>
      </c>
      <c r="I18519" s="5"/>
      <c r="J18519" s="5"/>
      <c r="K18519" s="5"/>
    </row>
    <row r="18520" spans="1:11" x14ac:dyDescent="0.25">
      <c r="A18520" s="5">
        <f>18513</f>
      </c>
      <c r="B18520" s="5" t="s">
        <v>18528</v>
      </c>
      <c r="C18520" s="5">
        <v>123</v>
      </c>
      <c r="D18520" s="5">
        <v>0.1</v>
      </c>
      <c r="E18520" s="5">
        <v>123.2</v>
      </c>
      <c r="F18520" s="5">
        <v>242.8</v>
      </c>
      <c r="G18520" s="5">
        <v>119.7</v>
      </c>
      <c r="H18520" s="5">
        <v>119.5</v>
      </c>
      <c r="I18520" s="5"/>
      <c r="J18520" s="5"/>
      <c r="K18520" s="5"/>
    </row>
    <row r="18521" spans="1:11" x14ac:dyDescent="0.25">
      <c r="A18521" s="5">
        <f>18514</f>
      </c>
      <c r="B18521" s="5" t="s">
        <v>18529</v>
      </c>
      <c r="C18521" s="5">
        <v>122.8</v>
      </c>
      <c r="D18521" s="5">
        <v>0.1</v>
      </c>
      <c r="E18521" s="5">
        <v>123</v>
      </c>
      <c r="F18521" s="5">
        <v>242.9</v>
      </c>
      <c r="G18521" s="5">
        <v>119.7</v>
      </c>
      <c r="H18521" s="5">
        <v>119.6</v>
      </c>
      <c r="I18521" s="5"/>
      <c r="J18521" s="5"/>
      <c r="K18521" s="5"/>
    </row>
    <row r="18522" spans="1:11" x14ac:dyDescent="0.25">
      <c r="A18522" s="5">
        <f>18515</f>
      </c>
      <c r="B18522" s="5" t="s">
        <v>18530</v>
      </c>
      <c r="C18522" s="5">
        <v>122.8</v>
      </c>
      <c r="D18522" s="5">
        <v>0.1</v>
      </c>
      <c r="E18522" s="5">
        <v>123</v>
      </c>
      <c r="F18522" s="5">
        <v>242.9</v>
      </c>
      <c r="G18522" s="5">
        <v>119.7</v>
      </c>
      <c r="H18522" s="5">
        <v>119.6</v>
      </c>
      <c r="I18522" s="5"/>
      <c r="J18522" s="5"/>
      <c r="K18522" s="5"/>
    </row>
    <row r="18523" spans="1:11" x14ac:dyDescent="0.25">
      <c r="A18523" s="5">
        <f>18516</f>
      </c>
      <c r="B18523" s="5" t="s">
        <v>18531</v>
      </c>
      <c r="C18523" s="5">
        <v>122.8</v>
      </c>
      <c r="D18523" s="5">
        <v>0.1</v>
      </c>
      <c r="E18523" s="5">
        <v>123</v>
      </c>
      <c r="F18523" s="5">
        <v>242.5</v>
      </c>
      <c r="G18523" s="5">
        <v>119.5</v>
      </c>
      <c r="H18523" s="5">
        <v>119.3</v>
      </c>
      <c r="I18523" s="5"/>
      <c r="J18523" s="5"/>
      <c r="K18523" s="5"/>
    </row>
    <row r="18524" spans="1:11" x14ac:dyDescent="0.25">
      <c r="A18524" s="5">
        <f>18517</f>
      </c>
      <c r="B18524" s="5" t="s">
        <v>18532</v>
      </c>
      <c r="C18524" s="5">
        <v>122.8</v>
      </c>
      <c r="D18524" s="5">
        <v>0.1</v>
      </c>
      <c r="E18524" s="5">
        <v>123</v>
      </c>
      <c r="F18524" s="5">
        <v>242.5</v>
      </c>
      <c r="G18524" s="5">
        <v>119.5</v>
      </c>
      <c r="H18524" s="5">
        <v>119.3</v>
      </c>
      <c r="I18524" s="5"/>
      <c r="J18524" s="5"/>
      <c r="K18524" s="5"/>
    </row>
    <row r="18525" spans="1:11" x14ac:dyDescent="0.25">
      <c r="A18525" s="5">
        <f>18518</f>
      </c>
      <c r="B18525" s="5" t="s">
        <v>18533</v>
      </c>
      <c r="C18525" s="5">
        <v>122.8</v>
      </c>
      <c r="D18525" s="5">
        <v>0.1</v>
      </c>
      <c r="E18525" s="5">
        <v>123</v>
      </c>
      <c r="F18525" s="5">
        <v>242.5</v>
      </c>
      <c r="G18525" s="5">
        <v>119.5</v>
      </c>
      <c r="H18525" s="5">
        <v>119.3</v>
      </c>
      <c r="I18525" s="5"/>
      <c r="J18525" s="5"/>
      <c r="K18525" s="5"/>
    </row>
    <row r="18526" spans="1:11" x14ac:dyDescent="0.25">
      <c r="A18526" s="5">
        <f>18519</f>
      </c>
      <c r="B18526" s="5" t="s">
        <v>18534</v>
      </c>
      <c r="C18526" s="5">
        <v>122.8</v>
      </c>
      <c r="D18526" s="5">
        <v>0.1</v>
      </c>
      <c r="E18526" s="5">
        <v>123</v>
      </c>
      <c r="F18526" s="5">
        <v>242.5</v>
      </c>
      <c r="G18526" s="5">
        <v>119.5</v>
      </c>
      <c r="H18526" s="5">
        <v>119.3</v>
      </c>
      <c r="I18526" s="5"/>
      <c r="J18526" s="5"/>
      <c r="K18526" s="5"/>
    </row>
    <row r="18527" spans="1:11" x14ac:dyDescent="0.25">
      <c r="A18527" s="5">
        <f>18520</f>
      </c>
      <c r="B18527" s="5" t="s">
        <v>18535</v>
      </c>
      <c r="C18527" s="5">
        <v>122.9</v>
      </c>
      <c r="D18527" s="5">
        <v>0.1</v>
      </c>
      <c r="E18527" s="5">
        <v>123.1</v>
      </c>
      <c r="F18527" s="5">
        <v>242.7</v>
      </c>
      <c r="G18527" s="5">
        <v>119.6</v>
      </c>
      <c r="H18527" s="5">
        <v>119.5</v>
      </c>
      <c r="I18527" s="5"/>
      <c r="J18527" s="5"/>
      <c r="K18527" s="5"/>
    </row>
    <row r="18528" spans="1:11" x14ac:dyDescent="0.25">
      <c r="A18528" s="5">
        <f>18521</f>
      </c>
      <c r="B18528" s="5" t="s">
        <v>18536</v>
      </c>
      <c r="C18528" s="5">
        <v>122.9</v>
      </c>
      <c r="D18528" s="5">
        <v>0.1</v>
      </c>
      <c r="E18528" s="5">
        <v>123.1</v>
      </c>
      <c r="F18528" s="5">
        <v>242.7</v>
      </c>
      <c r="G18528" s="5">
        <v>119.6</v>
      </c>
      <c r="H18528" s="5">
        <v>119.5</v>
      </c>
      <c r="I18528" s="5"/>
      <c r="J18528" s="5"/>
      <c r="K18528" s="5"/>
    </row>
    <row r="18529" spans="1:11" x14ac:dyDescent="0.25">
      <c r="A18529" s="5">
        <f>18522</f>
      </c>
      <c r="B18529" s="5" t="s">
        <v>18537</v>
      </c>
      <c r="C18529" s="5">
        <v>123.1</v>
      </c>
      <c r="D18529" s="5">
        <v>0.1</v>
      </c>
      <c r="E18529" s="5">
        <v>123.3</v>
      </c>
      <c r="F18529" s="5">
        <v>243.2</v>
      </c>
      <c r="G18529" s="5">
        <v>119.9</v>
      </c>
      <c r="H18529" s="5">
        <v>119.7</v>
      </c>
      <c r="I18529" s="5"/>
      <c r="J18529" s="5"/>
      <c r="K18529" s="5"/>
    </row>
    <row r="18530" spans="1:11" x14ac:dyDescent="0.25">
      <c r="A18530" s="5">
        <f>18523</f>
      </c>
      <c r="B18530" s="5" t="s">
        <v>18538</v>
      </c>
      <c r="C18530" s="5">
        <v>123.1</v>
      </c>
      <c r="D18530" s="5">
        <v>0.1</v>
      </c>
      <c r="E18530" s="5">
        <v>123.3</v>
      </c>
      <c r="F18530" s="5">
        <v>243.2</v>
      </c>
      <c r="G18530" s="5">
        <v>119.9</v>
      </c>
      <c r="H18530" s="5">
        <v>119.7</v>
      </c>
      <c r="I18530" s="5"/>
      <c r="J18530" s="5"/>
      <c r="K18530" s="5"/>
    </row>
    <row r="18531" spans="1:11" x14ac:dyDescent="0.25">
      <c r="A18531" s="5">
        <f>18524</f>
      </c>
      <c r="B18531" s="5" t="s">
        <v>18539</v>
      </c>
      <c r="C18531" s="5">
        <v>123.1</v>
      </c>
      <c r="D18531" s="5">
        <v>0.1</v>
      </c>
      <c r="E18531" s="5">
        <v>123.2</v>
      </c>
      <c r="F18531" s="5">
        <v>243</v>
      </c>
      <c r="G18531" s="5">
        <v>119.7</v>
      </c>
      <c r="H18531" s="5">
        <v>119.6</v>
      </c>
      <c r="I18531" s="5"/>
      <c r="J18531" s="5"/>
      <c r="K18531" s="5"/>
    </row>
    <row r="18532" spans="1:11" x14ac:dyDescent="0.25">
      <c r="A18532" s="5">
        <f>18525</f>
      </c>
      <c r="B18532" s="5" t="s">
        <v>18540</v>
      </c>
      <c r="C18532" s="5">
        <v>123.1</v>
      </c>
      <c r="D18532" s="5">
        <v>0.1</v>
      </c>
      <c r="E18532" s="5">
        <v>123.2</v>
      </c>
      <c r="F18532" s="5">
        <v>243</v>
      </c>
      <c r="G18532" s="5">
        <v>119.7</v>
      </c>
      <c r="H18532" s="5">
        <v>119.6</v>
      </c>
      <c r="I18532" s="5"/>
      <c r="J18532" s="5"/>
      <c r="K18532" s="5"/>
    </row>
    <row r="18533" spans="1:11" x14ac:dyDescent="0.25">
      <c r="A18533" s="5">
        <f>18526</f>
      </c>
      <c r="B18533" s="5" t="s">
        <v>18541</v>
      </c>
      <c r="C18533" s="5">
        <v>122.2</v>
      </c>
      <c r="D18533" s="5">
        <v>0.1</v>
      </c>
      <c r="E18533" s="5">
        <v>122.4</v>
      </c>
      <c r="F18533" s="5">
        <v>243.2</v>
      </c>
      <c r="G18533" s="5">
        <v>120.9</v>
      </c>
      <c r="H18533" s="5">
        <v>120.8</v>
      </c>
      <c r="I18533" s="5"/>
      <c r="J18533" s="5"/>
      <c r="K18533" s="5"/>
    </row>
    <row r="18534" spans="1:11" x14ac:dyDescent="0.25">
      <c r="A18534" s="5">
        <f>18527</f>
      </c>
      <c r="B18534" s="5" t="s">
        <v>18542</v>
      </c>
      <c r="C18534" s="5">
        <v>122.2</v>
      </c>
      <c r="D18534" s="5">
        <v>0.1</v>
      </c>
      <c r="E18534" s="5">
        <v>122.4</v>
      </c>
      <c r="F18534" s="5">
        <v>243.2</v>
      </c>
      <c r="G18534" s="5">
        <v>120.9</v>
      </c>
      <c r="H18534" s="5">
        <v>120.8</v>
      </c>
      <c r="I18534" s="5"/>
      <c r="J18534" s="5"/>
      <c r="K18534" s="5"/>
    </row>
    <row r="18535" spans="1:11" x14ac:dyDescent="0.25">
      <c r="A18535" s="5">
        <f>18528</f>
      </c>
      <c r="B18535" s="5" t="s">
        <v>18543</v>
      </c>
      <c r="C18535" s="5">
        <v>122.2</v>
      </c>
      <c r="D18535" s="5">
        <v>0.1</v>
      </c>
      <c r="E18535" s="5">
        <v>122.4</v>
      </c>
      <c r="F18535" s="5">
        <v>243.2</v>
      </c>
      <c r="G18535" s="5">
        <v>120.9</v>
      </c>
      <c r="H18535" s="5">
        <v>120.8</v>
      </c>
      <c r="I18535" s="5"/>
      <c r="J18535" s="5"/>
      <c r="K18535" s="5"/>
    </row>
    <row r="18536" spans="1:11" x14ac:dyDescent="0.25">
      <c r="A18536" s="5">
        <f>18529</f>
      </c>
      <c r="B18536" s="5" t="s">
        <v>18544</v>
      </c>
      <c r="C18536" s="5">
        <v>122.2</v>
      </c>
      <c r="D18536" s="5">
        <v>0.1</v>
      </c>
      <c r="E18536" s="5">
        <v>122.4</v>
      </c>
      <c r="F18536" s="5">
        <v>243.2</v>
      </c>
      <c r="G18536" s="5">
        <v>120.9</v>
      </c>
      <c r="H18536" s="5">
        <v>120.8</v>
      </c>
      <c r="I18536" s="5"/>
      <c r="J18536" s="5"/>
      <c r="K18536" s="5"/>
    </row>
    <row r="18537" spans="1:11" x14ac:dyDescent="0.25">
      <c r="A18537" s="5">
        <f>18530</f>
      </c>
      <c r="B18537" s="5" t="s">
        <v>18545</v>
      </c>
      <c r="C18537" s="5">
        <v>122.2</v>
      </c>
      <c r="D18537" s="5">
        <v>0.1</v>
      </c>
      <c r="E18537" s="5">
        <v>122.4</v>
      </c>
      <c r="F18537" s="5">
        <v>243.3</v>
      </c>
      <c r="G18537" s="5">
        <v>120.9</v>
      </c>
      <c r="H18537" s="5">
        <v>120.8</v>
      </c>
      <c r="I18537" s="5"/>
      <c r="J18537" s="5"/>
      <c r="K18537" s="5"/>
    </row>
    <row r="18538" spans="1:11" x14ac:dyDescent="0.25">
      <c r="A18538" s="5">
        <f>18531</f>
      </c>
      <c r="B18538" s="5" t="s">
        <v>18546</v>
      </c>
      <c r="C18538" s="5">
        <v>122.2</v>
      </c>
      <c r="D18538" s="5">
        <v>0.1</v>
      </c>
      <c r="E18538" s="5">
        <v>122.4</v>
      </c>
      <c r="F18538" s="5">
        <v>243.3</v>
      </c>
      <c r="G18538" s="5">
        <v>120.9</v>
      </c>
      <c r="H18538" s="5">
        <v>120.8</v>
      </c>
      <c r="I18538" s="5"/>
      <c r="J18538" s="5"/>
      <c r="K18538" s="5"/>
    </row>
    <row r="18539" spans="1:11" x14ac:dyDescent="0.25">
      <c r="A18539" s="5">
        <f>18532</f>
      </c>
      <c r="B18539" s="5" t="s">
        <v>18547</v>
      </c>
      <c r="C18539" s="5">
        <v>122.1</v>
      </c>
      <c r="D18539" s="5">
        <v>0.1</v>
      </c>
      <c r="E18539" s="5">
        <v>122.2</v>
      </c>
      <c r="F18539" s="5">
        <v>243.2</v>
      </c>
      <c r="G18539" s="5">
        <v>120.9</v>
      </c>
      <c r="H18539" s="5">
        <v>120.8</v>
      </c>
      <c r="I18539" s="5"/>
      <c r="J18539" s="5"/>
      <c r="K18539" s="5"/>
    </row>
    <row r="18540" spans="1:11" x14ac:dyDescent="0.25">
      <c r="A18540" s="5">
        <f>18533</f>
      </c>
      <c r="B18540" s="5" t="s">
        <v>18548</v>
      </c>
      <c r="C18540" s="5">
        <v>122.1</v>
      </c>
      <c r="D18540" s="5">
        <v>0.1</v>
      </c>
      <c r="E18540" s="5">
        <v>122.2</v>
      </c>
      <c r="F18540" s="5">
        <v>243.2</v>
      </c>
      <c r="G18540" s="5">
        <v>120.9</v>
      </c>
      <c r="H18540" s="5">
        <v>120.8</v>
      </c>
      <c r="I18540" s="5"/>
      <c r="J18540" s="5"/>
      <c r="K18540" s="5"/>
    </row>
    <row r="18541" spans="1:11" x14ac:dyDescent="0.25">
      <c r="A18541" s="5">
        <f>18534</f>
      </c>
      <c r="B18541" s="5" t="s">
        <v>18549</v>
      </c>
      <c r="C18541" s="5">
        <v>122.1</v>
      </c>
      <c r="D18541" s="5">
        <v>0.1</v>
      </c>
      <c r="E18541" s="5">
        <v>122.2</v>
      </c>
      <c r="F18541" s="5">
        <v>243.2</v>
      </c>
      <c r="G18541" s="5">
        <v>120.9</v>
      </c>
      <c r="H18541" s="5">
        <v>120.8</v>
      </c>
      <c r="I18541" s="5"/>
      <c r="J18541" s="5"/>
      <c r="K18541" s="5"/>
    </row>
    <row r="18542" spans="1:11" x14ac:dyDescent="0.25">
      <c r="A18542" s="5">
        <f>18535</f>
      </c>
      <c r="B18542" s="5" t="s">
        <v>18550</v>
      </c>
      <c r="C18542" s="5">
        <v>122.1</v>
      </c>
      <c r="D18542" s="5">
        <v>0.1</v>
      </c>
      <c r="E18542" s="5">
        <v>122.2</v>
      </c>
      <c r="F18542" s="5">
        <v>243.2</v>
      </c>
      <c r="G18542" s="5">
        <v>120.9</v>
      </c>
      <c r="H18542" s="5">
        <v>120.9</v>
      </c>
      <c r="I18542" s="5"/>
      <c r="J18542" s="5"/>
      <c r="K18542" s="5"/>
    </row>
    <row r="18543" spans="1:11" x14ac:dyDescent="0.25">
      <c r="A18543" s="5">
        <f>18536</f>
      </c>
      <c r="B18543" s="5" t="s">
        <v>18551</v>
      </c>
      <c r="C18543" s="5">
        <v>122.4</v>
      </c>
      <c r="D18543" s="5">
        <v>0.1</v>
      </c>
      <c r="E18543" s="5">
        <v>122.5</v>
      </c>
      <c r="F18543" s="5">
        <v>243.4</v>
      </c>
      <c r="G18543" s="5">
        <v>121</v>
      </c>
      <c r="H18543" s="5">
        <v>120.9</v>
      </c>
      <c r="I18543" s="5"/>
      <c r="J18543" s="5"/>
      <c r="K18543" s="5"/>
    </row>
    <row r="18544" spans="1:11" x14ac:dyDescent="0.25">
      <c r="A18544" s="5">
        <f>18537</f>
      </c>
      <c r="B18544" s="5" t="s">
        <v>18552</v>
      </c>
      <c r="C18544" s="5">
        <v>122.4</v>
      </c>
      <c r="D18544" s="5">
        <v>0.1</v>
      </c>
      <c r="E18544" s="5">
        <v>122.5</v>
      </c>
      <c r="F18544" s="5">
        <v>243.4</v>
      </c>
      <c r="G18544" s="5">
        <v>121</v>
      </c>
      <c r="H18544" s="5">
        <v>120.9</v>
      </c>
      <c r="I18544" s="5"/>
      <c r="J18544" s="5"/>
      <c r="K18544" s="5"/>
    </row>
    <row r="18545" spans="1:11" x14ac:dyDescent="0.25">
      <c r="A18545" s="5">
        <f>18538</f>
      </c>
      <c r="B18545" s="5" t="s">
        <v>18553</v>
      </c>
      <c r="C18545" s="5">
        <v>122.4</v>
      </c>
      <c r="D18545" s="5">
        <v>0.1</v>
      </c>
      <c r="E18545" s="5">
        <v>122.5</v>
      </c>
      <c r="F18545" s="5">
        <v>243.4</v>
      </c>
      <c r="G18545" s="5">
        <v>121</v>
      </c>
      <c r="H18545" s="5">
        <v>120.9</v>
      </c>
      <c r="I18545" s="5"/>
      <c r="J18545" s="5"/>
      <c r="K18545" s="5"/>
    </row>
    <row r="18546" spans="1:11" x14ac:dyDescent="0.25">
      <c r="A18546" s="5">
        <f>18539</f>
      </c>
      <c r="B18546" s="5" t="s">
        <v>18554</v>
      </c>
      <c r="C18546" s="5">
        <v>121.9</v>
      </c>
      <c r="D18546" s="5">
        <v>0.1</v>
      </c>
      <c r="E18546" s="5">
        <v>122.1</v>
      </c>
      <c r="F18546" s="5">
        <v>243.5</v>
      </c>
      <c r="G18546" s="5">
        <v>121.1</v>
      </c>
      <c r="H18546" s="5">
        <v>120.9</v>
      </c>
      <c r="I18546" s="5"/>
      <c r="J18546" s="5"/>
      <c r="K18546" s="5"/>
    </row>
    <row r="18547" spans="1:11" x14ac:dyDescent="0.25">
      <c r="A18547" s="5">
        <f>18540</f>
      </c>
      <c r="B18547" s="5" t="s">
        <v>18555</v>
      </c>
      <c r="C18547" s="5">
        <v>121.9</v>
      </c>
      <c r="D18547" s="5">
        <v>0.1</v>
      </c>
      <c r="E18547" s="5">
        <v>122.1</v>
      </c>
      <c r="F18547" s="5">
        <v>243.5</v>
      </c>
      <c r="G18547" s="5">
        <v>121.1</v>
      </c>
      <c r="H18547" s="5">
        <v>120.9</v>
      </c>
      <c r="I18547" s="5"/>
      <c r="J18547" s="5"/>
      <c r="K18547" s="5"/>
    </row>
    <row r="18548" spans="1:11" x14ac:dyDescent="0.25">
      <c r="A18548" s="5">
        <f>18541</f>
      </c>
      <c r="B18548" s="5" t="s">
        <v>18556</v>
      </c>
      <c r="C18548" s="5">
        <v>122.3</v>
      </c>
      <c r="D18548" s="5">
        <v>0.1</v>
      </c>
      <c r="E18548" s="5">
        <v>122.5</v>
      </c>
      <c r="F18548" s="5">
        <v>243.8</v>
      </c>
      <c r="G18548" s="5">
        <v>121.2</v>
      </c>
      <c r="H18548" s="5">
        <v>121</v>
      </c>
      <c r="I18548" s="5"/>
      <c r="J18548" s="5"/>
      <c r="K18548" s="5"/>
    </row>
    <row r="18549" spans="1:11" x14ac:dyDescent="0.25">
      <c r="A18549" s="5">
        <f>18542</f>
      </c>
      <c r="B18549" s="5" t="s">
        <v>18557</v>
      </c>
      <c r="C18549" s="5">
        <v>122.3</v>
      </c>
      <c r="D18549" s="5">
        <v>0.1</v>
      </c>
      <c r="E18549" s="5">
        <v>122.5</v>
      </c>
      <c r="F18549" s="5">
        <v>243.8</v>
      </c>
      <c r="G18549" s="5">
        <v>121.2</v>
      </c>
      <c r="H18549" s="5">
        <v>121</v>
      </c>
      <c r="I18549" s="5"/>
      <c r="J18549" s="5"/>
      <c r="K18549" s="5"/>
    </row>
    <row r="18550" spans="1:11" x14ac:dyDescent="0.25">
      <c r="A18550" s="5">
        <f>18543</f>
      </c>
      <c r="B18550" s="5" t="s">
        <v>18558</v>
      </c>
      <c r="C18550" s="5">
        <v>122.6</v>
      </c>
      <c r="D18550" s="5">
        <v>0.1</v>
      </c>
      <c r="E18550" s="5">
        <v>122.8</v>
      </c>
      <c r="F18550" s="5">
        <v>243.7</v>
      </c>
      <c r="G18550" s="5">
        <v>121.2</v>
      </c>
      <c r="H18550" s="5">
        <v>121</v>
      </c>
      <c r="I18550" s="5"/>
      <c r="J18550" s="5"/>
      <c r="K18550" s="5"/>
    </row>
    <row r="18551" spans="1:11" x14ac:dyDescent="0.25">
      <c r="A18551" s="5">
        <f>18544</f>
      </c>
      <c r="B18551" s="5" t="s">
        <v>18559</v>
      </c>
      <c r="C18551" s="5">
        <v>122.6</v>
      </c>
      <c r="D18551" s="5">
        <v>0.1</v>
      </c>
      <c r="E18551" s="5">
        <v>122.8</v>
      </c>
      <c r="F18551" s="5">
        <v>243.7</v>
      </c>
      <c r="G18551" s="5">
        <v>121.2</v>
      </c>
      <c r="H18551" s="5">
        <v>121</v>
      </c>
      <c r="I18551" s="5"/>
      <c r="J18551" s="5"/>
      <c r="K18551" s="5"/>
    </row>
    <row r="18552" spans="1:11" x14ac:dyDescent="0.25">
      <c r="A18552" s="5">
        <f>18545</f>
      </c>
      <c r="B18552" s="5" t="s">
        <v>18560</v>
      </c>
      <c r="C18552" s="5">
        <v>122.5</v>
      </c>
      <c r="D18552" s="5">
        <v>0.1</v>
      </c>
      <c r="E18552" s="5">
        <v>122.7</v>
      </c>
      <c r="F18552" s="5">
        <v>243.5</v>
      </c>
      <c r="G18552" s="5">
        <v>121.1</v>
      </c>
      <c r="H18552" s="5">
        <v>121</v>
      </c>
      <c r="I18552" s="5"/>
      <c r="J18552" s="5"/>
      <c r="K18552" s="5"/>
    </row>
    <row r="18553" spans="1:11" x14ac:dyDescent="0.25">
      <c r="A18553" s="5">
        <f>18546</f>
      </c>
      <c r="B18553" s="5" t="s">
        <v>18561</v>
      </c>
      <c r="C18553" s="5">
        <v>122.5</v>
      </c>
      <c r="D18553" s="5">
        <v>0.1</v>
      </c>
      <c r="E18553" s="5">
        <v>122.7</v>
      </c>
      <c r="F18553" s="5">
        <v>243.5</v>
      </c>
      <c r="G18553" s="5">
        <v>121.1</v>
      </c>
      <c r="H18553" s="5">
        <v>121</v>
      </c>
      <c r="I18553" s="5"/>
      <c r="J18553" s="5"/>
      <c r="K18553" s="5"/>
    </row>
    <row r="18554" spans="1:11" x14ac:dyDescent="0.25">
      <c r="A18554" s="5">
        <f>18547</f>
      </c>
      <c r="B18554" s="5" t="s">
        <v>18562</v>
      </c>
      <c r="C18554" s="5">
        <v>122.5</v>
      </c>
      <c r="D18554" s="5">
        <v>0.1</v>
      </c>
      <c r="E18554" s="5">
        <v>122.7</v>
      </c>
      <c r="F18554" s="5">
        <v>243.5</v>
      </c>
      <c r="G18554" s="5">
        <v>121.1</v>
      </c>
      <c r="H18554" s="5">
        <v>121</v>
      </c>
      <c r="I18554" s="5"/>
      <c r="J18554" s="5"/>
      <c r="K18554" s="5"/>
    </row>
    <row r="18555" spans="1:11" x14ac:dyDescent="0.25">
      <c r="A18555" s="5">
        <f>18548</f>
      </c>
      <c r="B18555" s="5" t="s">
        <v>18563</v>
      </c>
      <c r="C18555" s="5">
        <v>122.5</v>
      </c>
      <c r="D18555" s="5">
        <v>0.1</v>
      </c>
      <c r="E18555" s="5">
        <v>122.7</v>
      </c>
      <c r="F18555" s="5">
        <v>243.5</v>
      </c>
      <c r="G18555" s="5">
        <v>121.1</v>
      </c>
      <c r="H18555" s="5">
        <v>121</v>
      </c>
      <c r="I18555" s="5"/>
      <c r="J18555" s="5"/>
      <c r="K18555" s="5"/>
    </row>
    <row r="18556" spans="1:11" x14ac:dyDescent="0.25">
      <c r="A18556" s="5">
        <f>18549</f>
      </c>
      <c r="B18556" s="5" t="s">
        <v>18564</v>
      </c>
      <c r="C18556" s="5">
        <v>122.4</v>
      </c>
      <c r="D18556" s="5">
        <v>0.1</v>
      </c>
      <c r="E18556" s="5">
        <v>122.5</v>
      </c>
      <c r="F18556" s="5">
        <v>243.5</v>
      </c>
      <c r="G18556" s="5">
        <v>121.1</v>
      </c>
      <c r="H18556" s="5">
        <v>120.9</v>
      </c>
      <c r="I18556" s="5"/>
      <c r="J18556" s="5"/>
      <c r="K18556" s="5"/>
    </row>
    <row r="18557" spans="1:11" x14ac:dyDescent="0.25">
      <c r="A18557" s="5">
        <f>18550</f>
      </c>
      <c r="B18557" s="5" t="s">
        <v>18565</v>
      </c>
      <c r="C18557" s="5">
        <v>122.4</v>
      </c>
      <c r="D18557" s="5">
        <v>0.1</v>
      </c>
      <c r="E18557" s="5">
        <v>122.5</v>
      </c>
      <c r="F18557" s="5">
        <v>243.5</v>
      </c>
      <c r="G18557" s="5">
        <v>121.1</v>
      </c>
      <c r="H18557" s="5">
        <v>120.9</v>
      </c>
      <c r="I18557" s="5"/>
      <c r="J18557" s="5"/>
      <c r="K18557" s="5"/>
    </row>
    <row r="18558" spans="1:11" x14ac:dyDescent="0.25">
      <c r="A18558" s="5">
        <f>18551</f>
      </c>
      <c r="B18558" s="5" t="s">
        <v>18566</v>
      </c>
      <c r="C18558" s="5">
        <v>118</v>
      </c>
      <c r="D18558" s="5">
        <v>0.1</v>
      </c>
      <c r="E18558" s="5">
        <v>118.2</v>
      </c>
      <c r="F18558" s="5">
        <v>235</v>
      </c>
      <c r="G18558" s="5">
        <v>116.8</v>
      </c>
      <c r="H18558" s="5">
        <v>116.6</v>
      </c>
      <c r="I18558" s="5"/>
      <c r="J18558" s="5"/>
      <c r="K18558" s="5"/>
    </row>
    <row r="18559" spans="1:11" x14ac:dyDescent="0.25">
      <c r="A18559" s="5">
        <f>18552</f>
      </c>
      <c r="B18559" s="5" t="s">
        <v>18567</v>
      </c>
      <c r="C18559" s="5">
        <v>118</v>
      </c>
      <c r="D18559" s="5">
        <v>0.1</v>
      </c>
      <c r="E18559" s="5">
        <v>118.2</v>
      </c>
      <c r="F18559" s="5">
        <v>235</v>
      </c>
      <c r="G18559" s="5">
        <v>116.8</v>
      </c>
      <c r="H18559" s="5">
        <v>116.6</v>
      </c>
      <c r="I18559" s="5"/>
      <c r="J18559" s="5"/>
      <c r="K18559" s="5"/>
    </row>
    <row r="18560" spans="1:11" x14ac:dyDescent="0.25">
      <c r="A18560" s="5">
        <f>18553</f>
      </c>
      <c r="B18560" s="5" t="s">
        <v>18568</v>
      </c>
      <c r="C18560" s="5">
        <v>118.1</v>
      </c>
      <c r="D18560" s="5">
        <v>0.1</v>
      </c>
      <c r="E18560" s="5">
        <v>118.3</v>
      </c>
      <c r="F18560" s="5">
        <v>235</v>
      </c>
      <c r="G18560" s="5">
        <v>116.8</v>
      </c>
      <c r="H18560" s="5">
        <v>116.6</v>
      </c>
      <c r="I18560" s="5"/>
      <c r="J18560" s="5"/>
      <c r="K18560" s="5"/>
    </row>
    <row r="18561" spans="1:11" x14ac:dyDescent="0.25">
      <c r="A18561" s="5">
        <f>18554</f>
      </c>
      <c r="B18561" s="5" t="s">
        <v>18569</v>
      </c>
      <c r="C18561" s="5">
        <v>118.1</v>
      </c>
      <c r="D18561" s="5">
        <v>0.1</v>
      </c>
      <c r="E18561" s="5">
        <v>118.3</v>
      </c>
      <c r="F18561" s="5">
        <v>235.2</v>
      </c>
      <c r="G18561" s="5">
        <v>116.9</v>
      </c>
      <c r="H18561" s="5">
        <v>116.8</v>
      </c>
      <c r="I18561" s="5"/>
      <c r="J18561" s="5"/>
      <c r="K18561" s="5"/>
    </row>
    <row r="18562" spans="1:11" x14ac:dyDescent="0.25">
      <c r="A18562" s="5">
        <f>18555</f>
      </c>
      <c r="B18562" s="5" t="s">
        <v>18570</v>
      </c>
      <c r="C18562" s="5">
        <v>117.7</v>
      </c>
      <c r="D18562" s="5">
        <v>0.1</v>
      </c>
      <c r="E18562" s="5">
        <v>118.3</v>
      </c>
      <c r="F18562" s="5">
        <v>235.2</v>
      </c>
      <c r="G18562" s="5">
        <v>116.9</v>
      </c>
      <c r="H18562" s="5">
        <v>116.8</v>
      </c>
      <c r="I18562" s="5"/>
      <c r="J18562" s="5"/>
      <c r="K18562" s="5"/>
    </row>
    <row r="18563" spans="1:11" x14ac:dyDescent="0.25">
      <c r="A18563" s="5">
        <f>18556</f>
      </c>
      <c r="B18563" s="5" t="s">
        <v>18571</v>
      </c>
      <c r="C18563" s="5">
        <v>117.7</v>
      </c>
      <c r="D18563" s="5">
        <v>0.1</v>
      </c>
      <c r="E18563" s="5">
        <v>117.9</v>
      </c>
      <c r="F18563" s="5">
        <v>234.2</v>
      </c>
      <c r="G18563" s="5">
        <v>116.5</v>
      </c>
      <c r="H18563" s="5">
        <v>116.3</v>
      </c>
      <c r="I18563" s="5"/>
      <c r="J18563" s="5"/>
      <c r="K18563" s="5"/>
    </row>
    <row r="18564" spans="1:11" x14ac:dyDescent="0.25">
      <c r="A18564" s="5">
        <f>18557</f>
      </c>
      <c r="B18564" s="5" t="s">
        <v>18572</v>
      </c>
      <c r="C18564" s="5">
        <v>117.7</v>
      </c>
      <c r="D18564" s="5">
        <v>0.1</v>
      </c>
      <c r="E18564" s="5">
        <v>117.9</v>
      </c>
      <c r="F18564" s="5">
        <v>234.2</v>
      </c>
      <c r="G18564" s="5">
        <v>116.5</v>
      </c>
      <c r="H18564" s="5">
        <v>116.3</v>
      </c>
      <c r="I18564" s="5"/>
      <c r="J18564" s="5"/>
      <c r="K18564" s="5"/>
    </row>
    <row r="18565" spans="1:11" x14ac:dyDescent="0.25">
      <c r="A18565" s="5">
        <f>18558</f>
      </c>
      <c r="B18565" s="5" t="s">
        <v>18573</v>
      </c>
      <c r="C18565" s="5">
        <v>117.7</v>
      </c>
      <c r="D18565" s="5">
        <v>0.1</v>
      </c>
      <c r="E18565" s="5">
        <v>117.9</v>
      </c>
      <c r="F18565" s="5">
        <v>234.2</v>
      </c>
      <c r="G18565" s="5">
        <v>116.5</v>
      </c>
      <c r="H18565" s="5">
        <v>116.3</v>
      </c>
      <c r="I18565" s="5"/>
      <c r="J18565" s="5"/>
      <c r="K18565" s="5"/>
    </row>
    <row r="18566" spans="1:11" x14ac:dyDescent="0.25">
      <c r="A18566" s="5">
        <f>18559</f>
      </c>
      <c r="B18566" s="5" t="s">
        <v>18574</v>
      </c>
      <c r="C18566" s="5">
        <v>117.2</v>
      </c>
      <c r="D18566" s="5">
        <v>0.1</v>
      </c>
      <c r="E18566" s="5">
        <v>117.4</v>
      </c>
      <c r="F18566" s="5">
        <v>233.3</v>
      </c>
      <c r="G18566" s="5">
        <v>116</v>
      </c>
      <c r="H18566" s="5">
        <v>115.8</v>
      </c>
      <c r="I18566" s="5"/>
      <c r="J18566" s="5"/>
      <c r="K18566" s="5"/>
    </row>
    <row r="18567" spans="1:11" x14ac:dyDescent="0.25">
      <c r="A18567" s="5">
        <f>18560</f>
      </c>
      <c r="B18567" s="5" t="s">
        <v>18575</v>
      </c>
      <c r="C18567" s="5">
        <v>117.2</v>
      </c>
      <c r="D18567" s="5">
        <v>0.1</v>
      </c>
      <c r="E18567" s="5">
        <v>117.4</v>
      </c>
      <c r="F18567" s="5">
        <v>233.3</v>
      </c>
      <c r="G18567" s="5">
        <v>116</v>
      </c>
      <c r="H18567" s="5">
        <v>115.8</v>
      </c>
      <c r="I18567" s="5"/>
      <c r="J18567" s="5"/>
      <c r="K18567" s="5"/>
    </row>
    <row r="18568" spans="1:11" x14ac:dyDescent="0.25">
      <c r="A18568" s="5">
        <f>18561</f>
      </c>
      <c r="B18568" s="5" t="s">
        <v>18576</v>
      </c>
      <c r="C18568" s="5">
        <v>117.6</v>
      </c>
      <c r="D18568" s="5">
        <v>0.1</v>
      </c>
      <c r="E18568" s="5">
        <v>117.7</v>
      </c>
      <c r="F18568" s="5">
        <v>234.1</v>
      </c>
      <c r="G18568" s="5">
        <v>116.4</v>
      </c>
      <c r="H18568" s="5">
        <v>116.3</v>
      </c>
      <c r="I18568" s="5"/>
      <c r="J18568" s="5"/>
      <c r="K18568" s="5"/>
    </row>
    <row r="18569" spans="1:11" x14ac:dyDescent="0.25">
      <c r="A18569" s="5">
        <f>18562</f>
      </c>
      <c r="B18569" s="5" t="s">
        <v>18577</v>
      </c>
      <c r="C18569" s="5">
        <v>117.6</v>
      </c>
      <c r="D18569" s="5">
        <v>0.1</v>
      </c>
      <c r="E18569" s="5">
        <v>117.7</v>
      </c>
      <c r="F18569" s="5">
        <v>234.1</v>
      </c>
      <c r="G18569" s="5">
        <v>116.4</v>
      </c>
      <c r="H18569" s="5">
        <v>116.3</v>
      </c>
      <c r="I18569" s="5"/>
      <c r="J18569" s="5"/>
      <c r="K18569" s="5"/>
    </row>
    <row r="18570" spans="1:11" x14ac:dyDescent="0.25">
      <c r="A18570" s="5">
        <f>18563</f>
      </c>
      <c r="B18570" s="5" t="s">
        <v>18578</v>
      </c>
      <c r="C18570" s="5">
        <v>117.6</v>
      </c>
      <c r="D18570" s="5">
        <v>0.1</v>
      </c>
      <c r="E18570" s="5">
        <v>118.2</v>
      </c>
      <c r="F18570" s="5">
        <v>234.7</v>
      </c>
      <c r="G18570" s="5">
        <v>116.7</v>
      </c>
      <c r="H18570" s="5">
        <v>116.5</v>
      </c>
      <c r="I18570" s="5"/>
      <c r="J18570" s="5"/>
      <c r="K18570" s="5"/>
    </row>
    <row r="18571" spans="1:11" x14ac:dyDescent="0.25">
      <c r="A18571" s="5">
        <f>18564</f>
      </c>
      <c r="B18571" s="5" t="s">
        <v>18579</v>
      </c>
      <c r="C18571" s="5">
        <v>118</v>
      </c>
      <c r="D18571" s="5">
        <v>0.1</v>
      </c>
      <c r="E18571" s="5">
        <v>118.2</v>
      </c>
      <c r="F18571" s="5">
        <v>234.7</v>
      </c>
      <c r="G18571" s="5">
        <v>116.7</v>
      </c>
      <c r="H18571" s="5">
        <v>116.5</v>
      </c>
      <c r="I18571" s="5"/>
      <c r="J18571" s="5"/>
      <c r="K18571" s="5"/>
    </row>
    <row r="18572" spans="1:11" x14ac:dyDescent="0.25">
      <c r="A18572" s="5">
        <f>18565</f>
      </c>
      <c r="B18572" s="5" t="s">
        <v>18580</v>
      </c>
      <c r="C18572" s="5">
        <v>118</v>
      </c>
      <c r="D18572" s="5">
        <v>0.1</v>
      </c>
      <c r="E18572" s="5">
        <v>117.6</v>
      </c>
      <c r="F18572" s="5">
        <v>234.7</v>
      </c>
      <c r="G18572" s="5">
        <v>116.7</v>
      </c>
      <c r="H18572" s="5">
        <v>116.5</v>
      </c>
      <c r="I18572" s="5"/>
      <c r="J18572" s="5"/>
      <c r="K18572" s="5"/>
    </row>
    <row r="18573" spans="1:11" x14ac:dyDescent="0.25">
      <c r="A18573" s="5">
        <f>18566</f>
      </c>
      <c r="B18573" s="5" t="s">
        <v>18581</v>
      </c>
      <c r="C18573" s="5">
        <v>117.4</v>
      </c>
      <c r="D18573" s="5">
        <v>0.1</v>
      </c>
      <c r="E18573" s="5">
        <v>117.6</v>
      </c>
      <c r="F18573" s="5">
        <v>234.7</v>
      </c>
      <c r="G18573" s="5">
        <v>116.7</v>
      </c>
      <c r="H18573" s="5">
        <v>116.5</v>
      </c>
      <c r="I18573" s="5"/>
      <c r="J18573" s="5"/>
      <c r="K18573" s="5"/>
    </row>
    <row r="18574" spans="1:11" x14ac:dyDescent="0.25">
      <c r="A18574" s="5">
        <f>18567</f>
      </c>
      <c r="B18574" s="5" t="s">
        <v>18582</v>
      </c>
      <c r="C18574" s="5">
        <v>117.4</v>
      </c>
      <c r="D18574" s="5">
        <v>0.1</v>
      </c>
      <c r="E18574" s="5">
        <v>117.6</v>
      </c>
      <c r="F18574" s="5">
        <v>234.7</v>
      </c>
      <c r="G18574" s="5">
        <v>116.7</v>
      </c>
      <c r="H18574" s="5">
        <v>116.5</v>
      </c>
      <c r="I18574" s="5"/>
      <c r="J18574" s="5"/>
      <c r="K18574" s="5"/>
    </row>
    <row r="18575" spans="1:11" x14ac:dyDescent="0.25">
      <c r="A18575" s="5">
        <f>18568</f>
      </c>
      <c r="B18575" s="5" t="s">
        <v>18583</v>
      </c>
      <c r="C18575" s="5">
        <v>117.4</v>
      </c>
      <c r="D18575" s="5">
        <v>0.1</v>
      </c>
      <c r="E18575" s="5">
        <v>117.6</v>
      </c>
      <c r="F18575" s="5">
        <v>234.7</v>
      </c>
      <c r="G18575" s="5">
        <v>116.7</v>
      </c>
      <c r="H18575" s="5">
        <v>116.5</v>
      </c>
      <c r="I18575" s="5"/>
      <c r="J18575" s="5"/>
      <c r="K18575" s="5"/>
    </row>
    <row r="18576" spans="1:11" x14ac:dyDescent="0.25">
      <c r="A18576" s="5">
        <f>18569</f>
      </c>
      <c r="B18576" s="5" t="s">
        <v>18584</v>
      </c>
      <c r="C18576" s="5">
        <v>118.4</v>
      </c>
      <c r="D18576" s="5">
        <v>0.1</v>
      </c>
      <c r="E18576" s="5">
        <v>118.6</v>
      </c>
      <c r="F18576" s="5">
        <v>235</v>
      </c>
      <c r="G18576" s="5">
        <v>116.8</v>
      </c>
      <c r="H18576" s="5">
        <v>116.7</v>
      </c>
      <c r="I18576" s="5"/>
      <c r="J18576" s="5"/>
      <c r="K18576" s="5"/>
    </row>
    <row r="18577" spans="1:11" x14ac:dyDescent="0.25">
      <c r="A18577" s="5">
        <f>18570</f>
      </c>
      <c r="B18577" s="5" t="s">
        <v>18585</v>
      </c>
      <c r="C18577" s="5">
        <v>118.4</v>
      </c>
      <c r="D18577" s="5">
        <v>0.1</v>
      </c>
      <c r="E18577" s="5">
        <v>118.6</v>
      </c>
      <c r="F18577" s="5">
        <v>235</v>
      </c>
      <c r="G18577" s="5">
        <v>116.8</v>
      </c>
      <c r="H18577" s="5">
        <v>116.7</v>
      </c>
      <c r="I18577" s="5"/>
      <c r="J18577" s="5"/>
      <c r="K18577" s="5"/>
    </row>
    <row r="18578" spans="1:11" x14ac:dyDescent="0.25">
      <c r="A18578" s="5">
        <f>18571</f>
      </c>
      <c r="B18578" s="5" t="s">
        <v>18586</v>
      </c>
      <c r="C18578" s="5">
        <v>118.7</v>
      </c>
      <c r="D18578" s="5">
        <v>0.1</v>
      </c>
      <c r="E18578" s="5">
        <v>119</v>
      </c>
      <c r="F18578" s="5">
        <v>235.5</v>
      </c>
      <c r="G18578" s="5">
        <v>117.1</v>
      </c>
      <c r="H18578" s="5">
        <v>116.9</v>
      </c>
      <c r="I18578" s="5"/>
      <c r="J18578" s="5"/>
      <c r="K18578" s="5"/>
    </row>
    <row r="18579" spans="1:11" x14ac:dyDescent="0.25">
      <c r="A18579" s="5">
        <f>18572</f>
      </c>
      <c r="B18579" s="5" t="s">
        <v>18587</v>
      </c>
      <c r="C18579" s="5">
        <v>118.7</v>
      </c>
      <c r="D18579" s="5">
        <v>0.1</v>
      </c>
      <c r="E18579" s="5">
        <v>119</v>
      </c>
      <c r="F18579" s="5">
        <v>235.5</v>
      </c>
      <c r="G18579" s="5">
        <v>117.1</v>
      </c>
      <c r="H18579" s="5">
        <v>116.9</v>
      </c>
      <c r="I18579" s="5"/>
      <c r="J18579" s="5"/>
      <c r="K18579" s="5"/>
    </row>
    <row r="18580" spans="1:11" x14ac:dyDescent="0.25">
      <c r="A18580" s="5">
        <f>18573</f>
      </c>
      <c r="B18580" s="5" t="s">
        <v>18588</v>
      </c>
      <c r="C18580" s="5">
        <v>118.3</v>
      </c>
      <c r="D18580" s="5">
        <v>0.1</v>
      </c>
      <c r="E18580" s="5">
        <v>118.4</v>
      </c>
      <c r="F18580" s="5">
        <v>234.7</v>
      </c>
      <c r="G18580" s="5">
        <v>116.8</v>
      </c>
      <c r="H18580" s="5">
        <v>116.6</v>
      </c>
      <c r="I18580" s="5"/>
      <c r="J18580" s="5"/>
      <c r="K18580" s="5"/>
    </row>
    <row r="18581" spans="1:11" x14ac:dyDescent="0.25">
      <c r="A18581" s="5">
        <f>18574</f>
      </c>
      <c r="B18581" s="5" t="s">
        <v>18589</v>
      </c>
      <c r="C18581" s="5">
        <v>118.3</v>
      </c>
      <c r="D18581" s="5">
        <v>0.1</v>
      </c>
      <c r="E18581" s="5">
        <v>118.4</v>
      </c>
      <c r="F18581" s="5">
        <v>234.7</v>
      </c>
      <c r="G18581" s="5">
        <v>116.8</v>
      </c>
      <c r="H18581" s="5">
        <v>116.6</v>
      </c>
      <c r="I18581" s="5"/>
      <c r="J18581" s="5"/>
      <c r="K18581" s="5"/>
    </row>
    <row r="18582" spans="1:11" x14ac:dyDescent="0.25">
      <c r="A18582" s="5">
        <f>18575</f>
      </c>
      <c r="B18582" s="5" t="s">
        <v>18590</v>
      </c>
      <c r="C18582" s="5">
        <v>118.4</v>
      </c>
      <c r="D18582" s="5">
        <v>0.1</v>
      </c>
      <c r="E18582" s="5">
        <v>118.6</v>
      </c>
      <c r="F18582" s="5">
        <v>235.2</v>
      </c>
      <c r="G18582" s="5">
        <v>117</v>
      </c>
      <c r="H18582" s="5">
        <v>116.8</v>
      </c>
      <c r="I18582" s="5"/>
      <c r="J18582" s="5"/>
      <c r="K18582" s="5"/>
    </row>
    <row r="18583" spans="1:11" x14ac:dyDescent="0.25">
      <c r="A18583" s="5">
        <f>18576</f>
      </c>
      <c r="B18583" s="5" t="s">
        <v>18591</v>
      </c>
      <c r="C18583" s="5">
        <v>118.4</v>
      </c>
      <c r="D18583" s="5">
        <v>0.1</v>
      </c>
      <c r="E18583" s="5">
        <v>118.6</v>
      </c>
      <c r="F18583" s="5">
        <v>235.2</v>
      </c>
      <c r="G18583" s="5">
        <v>117</v>
      </c>
      <c r="H18583" s="5">
        <v>116.8</v>
      </c>
      <c r="I18583" s="5"/>
      <c r="J18583" s="5"/>
      <c r="K18583" s="5"/>
    </row>
    <row r="18584" spans="1:11" x14ac:dyDescent="0.25">
      <c r="A18584" s="5">
        <f>18577</f>
      </c>
      <c r="B18584" s="5" t="s">
        <v>18592</v>
      </c>
      <c r="C18584" s="5">
        <v>118.4</v>
      </c>
      <c r="D18584" s="5">
        <v>0.1</v>
      </c>
      <c r="E18584" s="5">
        <v>118.6</v>
      </c>
      <c r="F18584" s="5">
        <v>235.2</v>
      </c>
      <c r="G18584" s="5">
        <v>117</v>
      </c>
      <c r="H18584" s="5">
        <v>116.8</v>
      </c>
      <c r="I18584" s="5"/>
      <c r="J18584" s="5"/>
      <c r="K18584" s="5"/>
    </row>
    <row r="18585" spans="1:11" x14ac:dyDescent="0.25">
      <c r="A18585" s="5">
        <f>18578</f>
      </c>
      <c r="B18585" s="5" t="s">
        <v>18593</v>
      </c>
      <c r="C18585" s="5">
        <v>118.4</v>
      </c>
      <c r="D18585" s="5">
        <v>0.1</v>
      </c>
      <c r="E18585" s="5">
        <v>118.6</v>
      </c>
      <c r="F18585" s="5">
        <v>235.2</v>
      </c>
      <c r="G18585" s="5">
        <v>117</v>
      </c>
      <c r="H18585" s="5">
        <v>116.8</v>
      </c>
      <c r="I18585" s="5"/>
      <c r="J18585" s="5"/>
      <c r="K18585" s="5"/>
    </row>
    <row r="18586" spans="1:11" x14ac:dyDescent="0.25">
      <c r="A18586" s="5">
        <f>18579</f>
      </c>
      <c r="B18586" s="5" t="s">
        <v>18594</v>
      </c>
      <c r="C18586" s="5">
        <v>117.7</v>
      </c>
      <c r="D18586" s="5">
        <v>0.1</v>
      </c>
      <c r="E18586" s="5">
        <v>117.9</v>
      </c>
      <c r="F18586" s="5">
        <v>234.9</v>
      </c>
      <c r="G18586" s="5">
        <v>116.8</v>
      </c>
      <c r="H18586" s="5">
        <v>116.6</v>
      </c>
      <c r="I18586" s="5"/>
      <c r="J18586" s="5"/>
      <c r="K18586" s="5"/>
    </row>
    <row r="18587" spans="1:11" x14ac:dyDescent="0.25">
      <c r="A18587" s="5">
        <f>18580</f>
      </c>
      <c r="B18587" s="5" t="s">
        <v>18595</v>
      </c>
      <c r="C18587" s="5">
        <v>117.7</v>
      </c>
      <c r="D18587" s="5">
        <v>0.1</v>
      </c>
      <c r="E18587" s="5">
        <v>117.9</v>
      </c>
      <c r="F18587" s="5">
        <v>234.9</v>
      </c>
      <c r="G18587" s="5">
        <v>116.8</v>
      </c>
      <c r="H18587" s="5">
        <v>116.6</v>
      </c>
      <c r="I18587" s="5"/>
      <c r="J18587" s="5"/>
      <c r="K18587" s="5"/>
    </row>
    <row r="18588" spans="1:11" x14ac:dyDescent="0.25">
      <c r="A18588" s="5">
        <f>18581</f>
      </c>
      <c r="B18588" s="5" t="s">
        <v>18596</v>
      </c>
      <c r="C18588" s="5">
        <v>117.8</v>
      </c>
      <c r="D18588" s="5">
        <v>0.1</v>
      </c>
      <c r="E18588" s="5">
        <v>118</v>
      </c>
      <c r="F18588" s="5">
        <v>234.8</v>
      </c>
      <c r="G18588" s="5">
        <v>116.8</v>
      </c>
      <c r="H18588" s="5">
        <v>116.6</v>
      </c>
      <c r="I18588" s="5"/>
      <c r="J18588" s="5"/>
      <c r="K18588" s="5"/>
    </row>
    <row r="18589" spans="1:11" x14ac:dyDescent="0.25">
      <c r="A18589" s="5">
        <f>18582</f>
      </c>
      <c r="B18589" s="5" t="s">
        <v>18597</v>
      </c>
      <c r="C18589" s="5">
        <v>117.8</v>
      </c>
      <c r="D18589" s="5">
        <v>0.1</v>
      </c>
      <c r="E18589" s="5">
        <v>118</v>
      </c>
      <c r="F18589" s="5">
        <v>234.8</v>
      </c>
      <c r="G18589" s="5">
        <v>116.8</v>
      </c>
      <c r="H18589" s="5">
        <v>116.6</v>
      </c>
      <c r="I18589" s="5"/>
      <c r="J18589" s="5"/>
      <c r="K18589" s="5"/>
    </row>
    <row r="18590" spans="1:11" x14ac:dyDescent="0.25">
      <c r="A18590" s="5">
        <f>18583</f>
      </c>
      <c r="B18590" s="5" t="s">
        <v>18598</v>
      </c>
      <c r="C18590" s="5">
        <v>118</v>
      </c>
      <c r="D18590" s="5">
        <v>0.1</v>
      </c>
      <c r="E18590" s="5">
        <v>118.3</v>
      </c>
      <c r="F18590" s="5">
        <v>235.1</v>
      </c>
      <c r="G18590" s="5">
        <v>116.9</v>
      </c>
      <c r="H18590" s="5">
        <v>116.8</v>
      </c>
      <c r="I18590" s="5"/>
      <c r="J18590" s="5"/>
      <c r="K18590" s="5"/>
    </row>
    <row r="18591" spans="1:11" x14ac:dyDescent="0.25">
      <c r="A18591" s="5">
        <f>18584</f>
      </c>
      <c r="B18591" s="5" t="s">
        <v>18599</v>
      </c>
      <c r="C18591" s="5">
        <v>118</v>
      </c>
      <c r="D18591" s="5">
        <v>0.1</v>
      </c>
      <c r="E18591" s="5">
        <v>118.3</v>
      </c>
      <c r="F18591" s="5">
        <v>235.1</v>
      </c>
      <c r="G18591" s="5">
        <v>116.9</v>
      </c>
      <c r="H18591" s="5">
        <v>116.8</v>
      </c>
      <c r="I18591" s="5"/>
      <c r="J18591" s="5"/>
      <c r="K18591" s="5"/>
    </row>
    <row r="18592" spans="1:11" x14ac:dyDescent="0.25">
      <c r="A18592" s="5">
        <f>18585</f>
      </c>
      <c r="B18592" s="5" t="s">
        <v>18600</v>
      </c>
      <c r="C18592" s="5">
        <v>118.2</v>
      </c>
      <c r="D18592" s="5">
        <v>0.1</v>
      </c>
      <c r="E18592" s="5">
        <v>118.3</v>
      </c>
      <c r="F18592" s="5">
        <v>234.9</v>
      </c>
      <c r="G18592" s="5">
        <v>116.8</v>
      </c>
      <c r="H18592" s="5">
        <v>116.6</v>
      </c>
      <c r="I18592" s="5"/>
      <c r="J18592" s="5"/>
      <c r="K18592" s="5"/>
    </row>
    <row r="18593" spans="1:11" x14ac:dyDescent="0.25">
      <c r="A18593" s="5">
        <f>18586</f>
      </c>
      <c r="B18593" s="5" t="s">
        <v>18601</v>
      </c>
      <c r="C18593" s="5">
        <v>118.2</v>
      </c>
      <c r="D18593" s="5">
        <v>0.1</v>
      </c>
      <c r="E18593" s="5">
        <v>118.3</v>
      </c>
      <c r="F18593" s="5">
        <v>234.9</v>
      </c>
      <c r="G18593" s="5">
        <v>116.8</v>
      </c>
      <c r="H18593" s="5">
        <v>116.6</v>
      </c>
      <c r="I18593" s="5"/>
      <c r="J18593" s="5"/>
      <c r="K18593" s="5"/>
    </row>
    <row r="18594" spans="1:11" x14ac:dyDescent="0.25">
      <c r="A18594" s="5">
        <f>18587</f>
      </c>
      <c r="B18594" s="5" t="s">
        <v>18602</v>
      </c>
      <c r="C18594" s="5">
        <v>118.2</v>
      </c>
      <c r="D18594" s="5">
        <v>0.1</v>
      </c>
      <c r="E18594" s="5">
        <v>118.3</v>
      </c>
      <c r="F18594" s="5">
        <v>234.9</v>
      </c>
      <c r="G18594" s="5">
        <v>116.8</v>
      </c>
      <c r="H18594" s="5">
        <v>116.6</v>
      </c>
      <c r="I18594" s="5"/>
      <c r="J18594" s="5"/>
      <c r="K18594" s="5"/>
    </row>
    <row r="18595" spans="1:11" x14ac:dyDescent="0.25">
      <c r="A18595" s="5">
        <f>18588</f>
      </c>
      <c r="B18595" s="5" t="s">
        <v>18603</v>
      </c>
      <c r="C18595" s="5">
        <v>118.2</v>
      </c>
      <c r="D18595" s="5">
        <v>0.1</v>
      </c>
      <c r="E18595" s="5">
        <v>118.3</v>
      </c>
      <c r="F18595" s="5">
        <v>234.9</v>
      </c>
      <c r="G18595" s="5">
        <v>116.8</v>
      </c>
      <c r="H18595" s="5">
        <v>116.6</v>
      </c>
      <c r="I18595" s="5"/>
      <c r="J18595" s="5"/>
      <c r="K18595" s="5"/>
    </row>
    <row r="18596" spans="1:11" x14ac:dyDescent="0.25">
      <c r="A18596" s="5">
        <f>18589</f>
      </c>
      <c r="B18596" s="5" t="s">
        <v>18604</v>
      </c>
      <c r="C18596" s="5">
        <v>118.3</v>
      </c>
      <c r="D18596" s="5">
        <v>0.1</v>
      </c>
      <c r="E18596" s="5">
        <v>118.4</v>
      </c>
      <c r="F18596" s="5">
        <v>235.3</v>
      </c>
      <c r="G18596" s="5">
        <v>117</v>
      </c>
      <c r="H18596" s="5">
        <v>116.9</v>
      </c>
      <c r="I18596" s="5"/>
      <c r="J18596" s="5"/>
      <c r="K18596" s="5"/>
    </row>
    <row r="18597" spans="1:11" x14ac:dyDescent="0.25">
      <c r="A18597" s="5">
        <f>18590</f>
      </c>
      <c r="B18597" s="5" t="s">
        <v>18605</v>
      </c>
      <c r="C18597" s="5">
        <v>118.3</v>
      </c>
      <c r="D18597" s="5">
        <v>0.1</v>
      </c>
      <c r="E18597" s="5">
        <v>118.4</v>
      </c>
      <c r="F18597" s="5">
        <v>235.3</v>
      </c>
      <c r="G18597" s="5">
        <v>117</v>
      </c>
      <c r="H18597" s="5">
        <v>116.9</v>
      </c>
      <c r="I18597" s="5"/>
      <c r="J18597" s="5"/>
      <c r="K18597" s="5"/>
    </row>
    <row r="18598" spans="1:11" x14ac:dyDescent="0.25">
      <c r="A18598" s="5">
        <f>18591</f>
      </c>
      <c r="B18598" s="5" t="s">
        <v>18606</v>
      </c>
      <c r="C18598" s="5">
        <v>118</v>
      </c>
      <c r="D18598" s="5">
        <v>0.1</v>
      </c>
      <c r="E18598" s="5">
        <v>118.2</v>
      </c>
      <c r="F18598" s="5">
        <v>235.2</v>
      </c>
      <c r="G18598" s="5">
        <v>117</v>
      </c>
      <c r="H18598" s="5">
        <v>116.8</v>
      </c>
      <c r="I18598" s="5"/>
      <c r="J18598" s="5"/>
      <c r="K18598" s="5"/>
    </row>
    <row r="18599" spans="1:11" x14ac:dyDescent="0.25">
      <c r="A18599" s="5">
        <f>18592</f>
      </c>
      <c r="B18599" s="5" t="s">
        <v>18607</v>
      </c>
      <c r="C18599" s="5">
        <v>118</v>
      </c>
      <c r="D18599" s="5">
        <v>0.1</v>
      </c>
      <c r="E18599" s="5">
        <v>118.2</v>
      </c>
      <c r="F18599" s="5">
        <v>235.2</v>
      </c>
      <c r="G18599" s="5">
        <v>117</v>
      </c>
      <c r="H18599" s="5">
        <v>116.8</v>
      </c>
      <c r="I18599" s="5"/>
      <c r="J18599" s="5"/>
      <c r="K18599" s="5"/>
    </row>
    <row r="18600" spans="1:11" x14ac:dyDescent="0.25">
      <c r="A18600" s="5">
        <f>18593</f>
      </c>
      <c r="B18600" s="5" t="s">
        <v>18608</v>
      </c>
      <c r="C18600" s="5">
        <v>118.1</v>
      </c>
      <c r="D18600" s="5">
        <v>0.1</v>
      </c>
      <c r="E18600" s="5">
        <v>118.3</v>
      </c>
      <c r="F18600" s="5">
        <v>235.5</v>
      </c>
      <c r="G18600" s="5">
        <v>117.1</v>
      </c>
      <c r="H18600" s="5">
        <v>116.9</v>
      </c>
      <c r="I18600" s="5"/>
      <c r="J18600" s="5"/>
      <c r="K18600" s="5"/>
    </row>
    <row r="18601" spans="1:11" x14ac:dyDescent="0.25">
      <c r="A18601" s="5">
        <f>18594</f>
      </c>
      <c r="B18601" s="5" t="s">
        <v>18609</v>
      </c>
      <c r="C18601" s="5">
        <v>118.1</v>
      </c>
      <c r="D18601" s="5">
        <v>0.1</v>
      </c>
      <c r="E18601" s="5">
        <v>118.3</v>
      </c>
      <c r="F18601" s="5">
        <v>235.5</v>
      </c>
      <c r="G18601" s="5">
        <v>117.1</v>
      </c>
      <c r="H18601" s="5">
        <v>116.9</v>
      </c>
      <c r="I18601" s="5"/>
      <c r="J18601" s="5"/>
      <c r="K18601" s="5"/>
    </row>
    <row r="18602" spans="1:11" x14ac:dyDescent="0.25">
      <c r="A18602" s="5">
        <f>18595</f>
      </c>
      <c r="B18602" s="5" t="s">
        <v>18610</v>
      </c>
      <c r="C18602" s="5">
        <v>118.5</v>
      </c>
      <c r="D18602" s="5">
        <v>0.1</v>
      </c>
      <c r="E18602" s="5">
        <v>118.6</v>
      </c>
      <c r="F18602" s="5">
        <v>234.8</v>
      </c>
      <c r="G18602" s="5">
        <v>116.8</v>
      </c>
      <c r="H18602" s="5">
        <v>116.6</v>
      </c>
      <c r="I18602" s="5"/>
      <c r="J18602" s="5"/>
      <c r="K18602" s="5"/>
    </row>
    <row r="18603" spans="1:11" x14ac:dyDescent="0.25">
      <c r="A18603" s="5">
        <f>18596</f>
      </c>
      <c r="B18603" s="5" t="s">
        <v>18611</v>
      </c>
      <c r="C18603" s="5">
        <v>118.5</v>
      </c>
      <c r="D18603" s="5">
        <v>0.1</v>
      </c>
      <c r="E18603" s="5">
        <v>118.6</v>
      </c>
      <c r="F18603" s="5">
        <v>234.8</v>
      </c>
      <c r="G18603" s="5">
        <v>116.8</v>
      </c>
      <c r="H18603" s="5">
        <v>116.6</v>
      </c>
      <c r="I18603" s="5"/>
      <c r="J18603" s="5"/>
      <c r="K18603" s="5"/>
    </row>
    <row r="18604" spans="1:11" x14ac:dyDescent="0.25">
      <c r="A18604" s="5">
        <f>18597</f>
      </c>
      <c r="B18604" s="5" t="s">
        <v>18612</v>
      </c>
      <c r="C18604" s="5">
        <v>118.5</v>
      </c>
      <c r="D18604" s="5">
        <v>0.1</v>
      </c>
      <c r="E18604" s="5">
        <v>118.6</v>
      </c>
      <c r="F18604" s="5">
        <v>234.8</v>
      </c>
      <c r="G18604" s="5">
        <v>116.8</v>
      </c>
      <c r="H18604" s="5">
        <v>116.6</v>
      </c>
      <c r="I18604" s="5"/>
      <c r="J18604" s="5"/>
      <c r="K18604" s="5"/>
    </row>
    <row r="18605" spans="1:11" x14ac:dyDescent="0.25">
      <c r="A18605" s="5">
        <f>18598</f>
      </c>
      <c r="B18605" s="5" t="s">
        <v>18613</v>
      </c>
      <c r="C18605" s="5">
        <v>118.5</v>
      </c>
      <c r="D18605" s="5">
        <v>0.1</v>
      </c>
      <c r="E18605" s="5">
        <v>118.6</v>
      </c>
      <c r="F18605" s="5">
        <v>234.8</v>
      </c>
      <c r="G18605" s="5">
        <v>116.8</v>
      </c>
      <c r="H18605" s="5">
        <v>116.6</v>
      </c>
      <c r="I18605" s="5"/>
      <c r="J18605" s="5"/>
      <c r="K18605" s="5"/>
    </row>
    <row r="18606" spans="1:11" x14ac:dyDescent="0.25">
      <c r="A18606" s="5">
        <f>18599</f>
      </c>
      <c r="B18606" s="5" t="s">
        <v>18614</v>
      </c>
      <c r="C18606" s="5">
        <v>118.2</v>
      </c>
      <c r="D18606" s="5">
        <v>0.1</v>
      </c>
      <c r="E18606" s="5">
        <v>118.3</v>
      </c>
      <c r="F18606" s="5">
        <v>235.3</v>
      </c>
      <c r="G18606" s="5">
        <v>117</v>
      </c>
      <c r="H18606" s="5">
        <v>116.9</v>
      </c>
      <c r="I18606" s="5"/>
      <c r="J18606" s="5"/>
      <c r="K18606" s="5"/>
    </row>
    <row r="18607" spans="1:11" x14ac:dyDescent="0.25">
      <c r="A18607" s="5">
        <f>18600</f>
      </c>
      <c r="B18607" s="5" t="s">
        <v>18615</v>
      </c>
      <c r="C18607" s="5">
        <v>118.2</v>
      </c>
      <c r="D18607" s="5">
        <v>0.1</v>
      </c>
      <c r="E18607" s="5">
        <v>118.3</v>
      </c>
      <c r="F18607" s="5">
        <v>235.3</v>
      </c>
      <c r="G18607" s="5">
        <v>117</v>
      </c>
      <c r="H18607" s="5">
        <v>116.9</v>
      </c>
      <c r="I18607" s="5"/>
      <c r="J18607" s="5"/>
      <c r="K18607" s="5"/>
    </row>
    <row r="18608" spans="1:11" x14ac:dyDescent="0.25">
      <c r="A18608" s="5">
        <f>18601</f>
      </c>
      <c r="B18608" s="5" t="s">
        <v>18616</v>
      </c>
      <c r="C18608" s="5">
        <v>118.3</v>
      </c>
      <c r="D18608" s="5">
        <v>0.1</v>
      </c>
      <c r="E18608" s="5">
        <v>118.4</v>
      </c>
      <c r="F18608" s="5">
        <v>235.4</v>
      </c>
      <c r="G18608" s="5">
        <v>117</v>
      </c>
      <c r="H18608" s="5">
        <v>116.8</v>
      </c>
      <c r="I18608" s="5"/>
      <c r="J18608" s="5"/>
      <c r="K18608" s="5"/>
    </row>
    <row r="18609" spans="1:11" x14ac:dyDescent="0.25">
      <c r="A18609" s="5">
        <f>18602</f>
      </c>
      <c r="B18609" s="5" t="s">
        <v>18617</v>
      </c>
      <c r="C18609" s="5">
        <v>118.3</v>
      </c>
      <c r="D18609" s="5">
        <v>0.1</v>
      </c>
      <c r="E18609" s="5">
        <v>118.4</v>
      </c>
      <c r="F18609" s="5">
        <v>235.4</v>
      </c>
      <c r="G18609" s="5">
        <v>117</v>
      </c>
      <c r="H18609" s="5">
        <v>116.8</v>
      </c>
      <c r="I18609" s="5"/>
      <c r="J18609" s="5"/>
      <c r="K18609" s="5"/>
    </row>
    <row r="18610" spans="1:11" x14ac:dyDescent="0.25">
      <c r="A18610" s="5">
        <f>18603</f>
      </c>
      <c r="B18610" s="5" t="s">
        <v>18618</v>
      </c>
      <c r="C18610" s="5">
        <v>118.3</v>
      </c>
      <c r="D18610" s="5">
        <v>0.1</v>
      </c>
      <c r="E18610" s="5">
        <v>118.5</v>
      </c>
      <c r="F18610" s="5">
        <v>235.2</v>
      </c>
      <c r="G18610" s="5">
        <v>117</v>
      </c>
      <c r="H18610" s="5">
        <v>116.8</v>
      </c>
      <c r="I18610" s="5"/>
      <c r="J18610" s="5"/>
      <c r="K18610" s="5"/>
    </row>
    <row r="18611" spans="1:11" x14ac:dyDescent="0.25">
      <c r="A18611" s="5">
        <f>18604</f>
      </c>
      <c r="B18611" s="5" t="s">
        <v>18619</v>
      </c>
      <c r="C18611" s="5">
        <v>118.3</v>
      </c>
      <c r="D18611" s="5">
        <v>0.1</v>
      </c>
      <c r="E18611" s="5">
        <v>118.5</v>
      </c>
      <c r="F18611" s="5">
        <v>235.2</v>
      </c>
      <c r="G18611" s="5">
        <v>117</v>
      </c>
      <c r="H18611" s="5">
        <v>116.8</v>
      </c>
      <c r="I18611" s="5"/>
      <c r="J18611" s="5"/>
      <c r="K18611" s="5"/>
    </row>
    <row r="18612" spans="1:11" x14ac:dyDescent="0.25">
      <c r="A18612" s="5">
        <f>18605</f>
      </c>
      <c r="B18612" s="5" t="s">
        <v>18620</v>
      </c>
      <c r="C18612" s="5">
        <v>118.2</v>
      </c>
      <c r="D18612" s="5">
        <v>0.1</v>
      </c>
      <c r="E18612" s="5">
        <v>118.3</v>
      </c>
      <c r="F18612" s="5">
        <v>235.1</v>
      </c>
      <c r="G18612" s="5">
        <v>116.9</v>
      </c>
      <c r="H18612" s="5">
        <v>116.7</v>
      </c>
      <c r="I18612" s="5"/>
      <c r="J18612" s="5"/>
      <c r="K18612" s="5"/>
    </row>
    <row r="18613" spans="1:11" x14ac:dyDescent="0.25">
      <c r="A18613" s="5">
        <f>18606</f>
      </c>
      <c r="B18613" s="5" t="s">
        <v>18621</v>
      </c>
      <c r="C18613" s="5">
        <v>118.2</v>
      </c>
      <c r="D18613" s="5">
        <v>0.1</v>
      </c>
      <c r="E18613" s="5">
        <v>118.3</v>
      </c>
      <c r="F18613" s="5">
        <v>235.1</v>
      </c>
      <c r="G18613" s="5">
        <v>116.9</v>
      </c>
      <c r="H18613" s="5">
        <v>116.7</v>
      </c>
      <c r="I18613" s="5"/>
      <c r="J18613" s="5"/>
      <c r="K18613" s="5"/>
    </row>
    <row r="18614" spans="1:11" x14ac:dyDescent="0.25">
      <c r="A18614" s="5">
        <f>18607</f>
      </c>
      <c r="B18614" s="5" t="s">
        <v>18622</v>
      </c>
      <c r="C18614" s="5">
        <v>118.2</v>
      </c>
      <c r="D18614" s="5">
        <v>0.1</v>
      </c>
      <c r="E18614" s="5">
        <v>118.3</v>
      </c>
      <c r="F18614" s="5">
        <v>235.1</v>
      </c>
      <c r="G18614" s="5">
        <v>116.9</v>
      </c>
      <c r="H18614" s="5">
        <v>116.7</v>
      </c>
      <c r="I18614" s="5"/>
      <c r="J18614" s="5"/>
      <c r="K18614" s="5"/>
    </row>
    <row r="18615" spans="1:11" x14ac:dyDescent="0.25">
      <c r="A18615" s="5">
        <f>18608</f>
      </c>
      <c r="B18615" s="5" t="s">
        <v>18623</v>
      </c>
      <c r="C18615" s="5">
        <v>118.2</v>
      </c>
      <c r="D18615" s="5">
        <v>0.1</v>
      </c>
      <c r="E18615" s="5">
        <v>118.3</v>
      </c>
      <c r="F18615" s="5">
        <v>235.1</v>
      </c>
      <c r="G18615" s="5">
        <v>116.9</v>
      </c>
      <c r="H18615" s="5">
        <v>116.7</v>
      </c>
      <c r="I18615" s="5"/>
      <c r="J18615" s="5"/>
      <c r="K18615" s="5"/>
    </row>
    <row r="18616" spans="1:11" x14ac:dyDescent="0.25">
      <c r="A18616" s="5">
        <f>18609</f>
      </c>
      <c r="B18616" s="5" t="s">
        <v>18624</v>
      </c>
      <c r="C18616" s="5">
        <v>118.2</v>
      </c>
      <c r="D18616" s="5">
        <v>0.1</v>
      </c>
      <c r="E18616" s="5">
        <v>118.3</v>
      </c>
      <c r="F18616" s="5">
        <v>235.3</v>
      </c>
      <c r="G18616" s="5">
        <v>117</v>
      </c>
      <c r="H18616" s="5">
        <v>116.8</v>
      </c>
      <c r="I18616" s="5"/>
      <c r="J18616" s="5"/>
      <c r="K18616" s="5"/>
    </row>
    <row r="18617" spans="1:11" x14ac:dyDescent="0.25">
      <c r="A18617" s="5">
        <f>18610</f>
      </c>
      <c r="B18617" s="5" t="s">
        <v>18625</v>
      </c>
      <c r="C18617" s="5">
        <v>118.2</v>
      </c>
      <c r="D18617" s="5">
        <v>0.1</v>
      </c>
      <c r="E18617" s="5">
        <v>118.3</v>
      </c>
      <c r="F18617" s="5">
        <v>235.3</v>
      </c>
      <c r="G18617" s="5">
        <v>117</v>
      </c>
      <c r="H18617" s="5">
        <v>116.8</v>
      </c>
      <c r="I18617" s="5"/>
      <c r="J18617" s="5"/>
      <c r="K18617" s="5"/>
    </row>
    <row r="18618" spans="1:11" x14ac:dyDescent="0.25">
      <c r="A18618" s="5">
        <f>18611</f>
      </c>
      <c r="B18618" s="5" t="s">
        <v>18626</v>
      </c>
      <c r="C18618" s="5">
        <v>118</v>
      </c>
      <c r="D18618" s="5">
        <v>0.1</v>
      </c>
      <c r="E18618" s="5">
        <v>118.1</v>
      </c>
      <c r="F18618" s="5">
        <v>234.6</v>
      </c>
      <c r="G18618" s="5">
        <v>116.6</v>
      </c>
      <c r="H18618" s="5">
        <v>116.4</v>
      </c>
      <c r="I18618" s="5"/>
      <c r="J18618" s="5"/>
      <c r="K18618" s="5"/>
    </row>
    <row r="18619" spans="1:11" x14ac:dyDescent="0.25">
      <c r="A18619" s="5">
        <f>18612</f>
      </c>
      <c r="B18619" s="5" t="s">
        <v>18627</v>
      </c>
      <c r="C18619" s="5">
        <v>118</v>
      </c>
      <c r="D18619" s="5">
        <v>0.1</v>
      </c>
      <c r="E18619" s="5">
        <v>118.1</v>
      </c>
      <c r="F18619" s="5">
        <v>234.6</v>
      </c>
      <c r="G18619" s="5">
        <v>116.6</v>
      </c>
      <c r="H18619" s="5">
        <v>116.4</v>
      </c>
      <c r="I18619" s="5"/>
      <c r="J18619" s="5"/>
      <c r="K18619" s="5"/>
    </row>
    <row r="18620" spans="1:11" x14ac:dyDescent="0.25">
      <c r="A18620" s="5">
        <f>18613</f>
      </c>
      <c r="B18620" s="5" t="s">
        <v>18628</v>
      </c>
      <c r="C18620" s="5">
        <v>118</v>
      </c>
      <c r="D18620" s="5">
        <v>0.1</v>
      </c>
      <c r="E18620" s="5">
        <v>118.1</v>
      </c>
      <c r="F18620" s="5">
        <v>235</v>
      </c>
      <c r="G18620" s="5">
        <v>116.8</v>
      </c>
      <c r="H18620" s="5">
        <v>116.6</v>
      </c>
      <c r="I18620" s="5"/>
      <c r="J18620" s="5"/>
      <c r="K18620" s="5"/>
    </row>
    <row r="18621" spans="1:11" x14ac:dyDescent="0.25">
      <c r="A18621" s="5">
        <f>18614</f>
      </c>
      <c r="B18621" s="5" t="s">
        <v>18629</v>
      </c>
      <c r="C18621" s="5">
        <v>118</v>
      </c>
      <c r="D18621" s="5">
        <v>0.1</v>
      </c>
      <c r="E18621" s="5">
        <v>118.1</v>
      </c>
      <c r="F18621" s="5">
        <v>235</v>
      </c>
      <c r="G18621" s="5">
        <v>116.8</v>
      </c>
      <c r="H18621" s="5">
        <v>116.6</v>
      </c>
      <c r="I18621" s="5"/>
      <c r="J18621" s="5"/>
      <c r="K18621" s="5"/>
    </row>
    <row r="18622" spans="1:11" x14ac:dyDescent="0.25">
      <c r="A18622" s="5">
        <f>18615</f>
      </c>
      <c r="B18622" s="5" t="s">
        <v>18630</v>
      </c>
      <c r="C18622" s="5">
        <v>118</v>
      </c>
      <c r="D18622" s="5">
        <v>0.1</v>
      </c>
      <c r="E18622" s="5">
        <v>118.2</v>
      </c>
      <c r="F18622" s="5">
        <v>235.3</v>
      </c>
      <c r="G18622" s="5">
        <v>117</v>
      </c>
      <c r="H18622" s="5">
        <v>116.8</v>
      </c>
      <c r="I18622" s="5"/>
      <c r="J18622" s="5"/>
      <c r="K18622" s="5"/>
    </row>
    <row r="18623" spans="1:11" x14ac:dyDescent="0.25">
      <c r="A18623" s="5">
        <f>18616</f>
      </c>
      <c r="B18623" s="5" t="s">
        <v>18631</v>
      </c>
      <c r="C18623" s="5">
        <v>118</v>
      </c>
      <c r="D18623" s="5">
        <v>0.1</v>
      </c>
      <c r="E18623" s="5">
        <v>118.2</v>
      </c>
      <c r="F18623" s="5">
        <v>235.3</v>
      </c>
      <c r="G18623" s="5">
        <v>117</v>
      </c>
      <c r="H18623" s="5">
        <v>116.8</v>
      </c>
      <c r="I18623" s="5"/>
      <c r="J18623" s="5"/>
      <c r="K18623" s="5"/>
    </row>
    <row r="18624" spans="1:11" x14ac:dyDescent="0.25">
      <c r="A18624" s="5">
        <f>18617</f>
      </c>
      <c r="B18624" s="5" t="s">
        <v>18632</v>
      </c>
      <c r="C18624" s="5">
        <v>118</v>
      </c>
      <c r="D18624" s="5">
        <v>0.1</v>
      </c>
      <c r="E18624" s="5">
        <v>118.2</v>
      </c>
      <c r="F18624" s="5">
        <v>235.3</v>
      </c>
      <c r="G18624" s="5">
        <v>117</v>
      </c>
      <c r="H18624" s="5">
        <v>116.8</v>
      </c>
      <c r="I18624" s="5"/>
      <c r="J18624" s="5"/>
      <c r="K18624" s="5"/>
    </row>
    <row r="18625" spans="1:11" x14ac:dyDescent="0.25">
      <c r="A18625" s="5">
        <f>18618</f>
      </c>
      <c r="B18625" s="5" t="s">
        <v>18633</v>
      </c>
      <c r="C18625" s="5">
        <v>118</v>
      </c>
      <c r="D18625" s="5">
        <v>0.1</v>
      </c>
      <c r="E18625" s="5">
        <v>118.2</v>
      </c>
      <c r="F18625" s="5">
        <v>235.3</v>
      </c>
      <c r="G18625" s="5">
        <v>117</v>
      </c>
      <c r="H18625" s="5">
        <v>116.8</v>
      </c>
      <c r="I18625" s="5"/>
      <c r="J18625" s="5"/>
      <c r="K18625" s="5"/>
    </row>
    <row r="18626" spans="1:11" x14ac:dyDescent="0.25">
      <c r="A18626" s="5">
        <f>18619</f>
      </c>
      <c r="B18626" s="5" t="s">
        <v>18634</v>
      </c>
      <c r="C18626" s="5">
        <v>118.2</v>
      </c>
      <c r="D18626" s="5">
        <v>0.1</v>
      </c>
      <c r="E18626" s="5">
        <v>118.4</v>
      </c>
      <c r="F18626" s="5">
        <v>235.2</v>
      </c>
      <c r="G18626" s="5">
        <v>117</v>
      </c>
      <c r="H18626" s="5">
        <v>116.8</v>
      </c>
      <c r="I18626" s="5"/>
      <c r="J18626" s="5"/>
      <c r="K18626" s="5"/>
    </row>
    <row r="18627" spans="1:11" x14ac:dyDescent="0.25">
      <c r="A18627" s="5">
        <f>18620</f>
      </c>
      <c r="B18627" s="5" t="s">
        <v>18635</v>
      </c>
      <c r="C18627" s="5">
        <v>118.2</v>
      </c>
      <c r="D18627" s="5">
        <v>0.1</v>
      </c>
      <c r="E18627" s="5">
        <v>118.4</v>
      </c>
      <c r="F18627" s="5">
        <v>235.2</v>
      </c>
      <c r="G18627" s="5">
        <v>117</v>
      </c>
      <c r="H18627" s="5">
        <v>116.8</v>
      </c>
      <c r="I18627" s="5"/>
      <c r="J18627" s="5"/>
      <c r="K18627" s="5"/>
    </row>
    <row r="18628" spans="1:11" x14ac:dyDescent="0.25">
      <c r="A18628" s="5">
        <f>18621</f>
      </c>
      <c r="B18628" s="5" t="s">
        <v>18636</v>
      </c>
      <c r="C18628" s="5">
        <v>118.1</v>
      </c>
      <c r="D18628" s="5">
        <v>0.1</v>
      </c>
      <c r="E18628" s="5">
        <v>118.3</v>
      </c>
      <c r="F18628" s="5">
        <v>235.3</v>
      </c>
      <c r="G18628" s="5">
        <v>117</v>
      </c>
      <c r="H18628" s="5">
        <v>116.9</v>
      </c>
      <c r="I18628" s="5"/>
      <c r="J18628" s="5"/>
      <c r="K18628" s="5"/>
    </row>
    <row r="18629" spans="1:11" x14ac:dyDescent="0.25">
      <c r="A18629" s="5">
        <f>18622</f>
      </c>
      <c r="B18629" s="5" t="s">
        <v>18637</v>
      </c>
      <c r="C18629" s="5">
        <v>118.1</v>
      </c>
      <c r="D18629" s="5">
        <v>0.1</v>
      </c>
      <c r="E18629" s="5">
        <v>118.3</v>
      </c>
      <c r="F18629" s="5">
        <v>235.3</v>
      </c>
      <c r="G18629" s="5">
        <v>117</v>
      </c>
      <c r="H18629" s="5">
        <v>116.9</v>
      </c>
      <c r="I18629" s="5"/>
      <c r="J18629" s="5"/>
      <c r="K18629" s="5"/>
    </row>
    <row r="18630" spans="1:11" x14ac:dyDescent="0.25">
      <c r="A18630" s="5">
        <f>18623</f>
      </c>
      <c r="B18630" s="5" t="s">
        <v>18638</v>
      </c>
      <c r="C18630" s="5">
        <v>118.1</v>
      </c>
      <c r="D18630" s="5">
        <v>0.1</v>
      </c>
      <c r="E18630" s="5">
        <v>118.3</v>
      </c>
      <c r="F18630" s="5">
        <v>235</v>
      </c>
      <c r="G18630" s="5">
        <v>116.8</v>
      </c>
      <c r="H18630" s="5">
        <v>116.6</v>
      </c>
      <c r="I18630" s="5"/>
      <c r="J18630" s="5"/>
      <c r="K18630" s="5"/>
    </row>
    <row r="18631" spans="1:11" x14ac:dyDescent="0.25">
      <c r="A18631" s="5">
        <f>18624</f>
      </c>
      <c r="B18631" s="5" t="s">
        <v>18639</v>
      </c>
      <c r="C18631" s="5">
        <v>118.1</v>
      </c>
      <c r="D18631" s="5">
        <v>0.1</v>
      </c>
      <c r="E18631" s="5">
        <v>118.3</v>
      </c>
      <c r="F18631" s="5">
        <v>235</v>
      </c>
      <c r="G18631" s="5">
        <v>116.8</v>
      </c>
      <c r="H18631" s="5">
        <v>116.6</v>
      </c>
      <c r="I18631" s="5"/>
      <c r="J18631" s="5"/>
      <c r="K18631" s="5"/>
    </row>
    <row r="18632" spans="1:11" x14ac:dyDescent="0.25">
      <c r="A18632" s="5">
        <f>18625</f>
      </c>
      <c r="B18632" s="5" t="s">
        <v>18640</v>
      </c>
      <c r="C18632" s="5">
        <v>118</v>
      </c>
      <c r="D18632" s="5">
        <v>0.1</v>
      </c>
      <c r="E18632" s="5">
        <v>118.1</v>
      </c>
      <c r="F18632" s="5">
        <v>235.3</v>
      </c>
      <c r="G18632" s="5">
        <v>117</v>
      </c>
      <c r="H18632" s="5">
        <v>116.8</v>
      </c>
      <c r="I18632" s="5"/>
      <c r="J18632" s="5"/>
      <c r="K18632" s="5"/>
    </row>
    <row r="18633" spans="1:11" x14ac:dyDescent="0.25">
      <c r="A18633" s="5">
        <f>18626</f>
      </c>
      <c r="B18633" s="5" t="s">
        <v>18641</v>
      </c>
      <c r="C18633" s="5">
        <v>118</v>
      </c>
      <c r="D18633" s="5">
        <v>0.1</v>
      </c>
      <c r="E18633" s="5">
        <v>118.1</v>
      </c>
      <c r="F18633" s="5">
        <v>235.3</v>
      </c>
      <c r="G18633" s="5">
        <v>117</v>
      </c>
      <c r="H18633" s="5">
        <v>116.8</v>
      </c>
      <c r="I18633" s="5"/>
      <c r="J18633" s="5"/>
      <c r="K18633" s="5"/>
    </row>
    <row r="18634" spans="1:11" x14ac:dyDescent="0.25">
      <c r="A18634" s="5">
        <f>18627</f>
      </c>
      <c r="B18634" s="5" t="s">
        <v>18642</v>
      </c>
      <c r="C18634" s="5">
        <v>118</v>
      </c>
      <c r="D18634" s="5">
        <v>0.1</v>
      </c>
      <c r="E18634" s="5">
        <v>118.1</v>
      </c>
      <c r="F18634" s="5">
        <v>235.3</v>
      </c>
      <c r="G18634" s="5">
        <v>117</v>
      </c>
      <c r="H18634" s="5">
        <v>116.8</v>
      </c>
      <c r="I18634" s="5"/>
      <c r="J18634" s="5"/>
      <c r="K18634" s="5"/>
    </row>
    <row r="18635" spans="1:11" x14ac:dyDescent="0.25">
      <c r="A18635" s="5">
        <f>18628</f>
      </c>
      <c r="B18635" s="5" t="s">
        <v>18643</v>
      </c>
      <c r="C18635" s="5">
        <v>118</v>
      </c>
      <c r="D18635" s="5">
        <v>0.1</v>
      </c>
      <c r="E18635" s="5">
        <v>118.1</v>
      </c>
      <c r="F18635" s="5">
        <v>235.3</v>
      </c>
      <c r="G18635" s="5">
        <v>117</v>
      </c>
      <c r="H18635" s="5">
        <v>116.8</v>
      </c>
      <c r="I18635" s="5"/>
      <c r="J18635" s="5"/>
      <c r="K18635" s="5"/>
    </row>
    <row r="18636" spans="1:11" x14ac:dyDescent="0.25">
      <c r="A18636" s="5">
        <f>18629</f>
      </c>
      <c r="B18636" s="5" t="s">
        <v>18644</v>
      </c>
      <c r="C18636" s="5">
        <v>118.2</v>
      </c>
      <c r="D18636" s="5">
        <v>0.1</v>
      </c>
      <c r="E18636" s="5">
        <v>118.3</v>
      </c>
      <c r="F18636" s="5">
        <v>235.2</v>
      </c>
      <c r="G18636" s="5">
        <v>117</v>
      </c>
      <c r="H18636" s="5">
        <v>116.8</v>
      </c>
      <c r="I18636" s="5"/>
      <c r="J18636" s="5"/>
      <c r="K18636" s="5"/>
    </row>
    <row r="18637" spans="1:11" x14ac:dyDescent="0.25">
      <c r="A18637" s="5">
        <f>18630</f>
      </c>
      <c r="B18637" s="5" t="s">
        <v>18645</v>
      </c>
      <c r="C18637" s="5">
        <v>118.2</v>
      </c>
      <c r="D18637" s="5">
        <v>0.1</v>
      </c>
      <c r="E18637" s="5">
        <v>118.3</v>
      </c>
      <c r="F18637" s="5">
        <v>235.2</v>
      </c>
      <c r="G18637" s="5">
        <v>117</v>
      </c>
      <c r="H18637" s="5">
        <v>116.8</v>
      </c>
      <c r="I18637" s="5"/>
      <c r="J18637" s="5"/>
      <c r="K18637" s="5"/>
    </row>
    <row r="18638" spans="1:11" x14ac:dyDescent="0.25">
      <c r="A18638" s="5">
        <f>18631</f>
      </c>
      <c r="B18638" s="5" t="s">
        <v>18646</v>
      </c>
      <c r="C18638" s="5">
        <v>118.3</v>
      </c>
      <c r="D18638" s="5">
        <v>0.1</v>
      </c>
      <c r="E18638" s="5">
        <v>118.4</v>
      </c>
      <c r="F18638" s="5">
        <v>234.9</v>
      </c>
      <c r="G18638" s="5">
        <v>116.8</v>
      </c>
      <c r="H18638" s="5">
        <v>116.7</v>
      </c>
      <c r="I18638" s="5"/>
      <c r="J18638" s="5"/>
      <c r="K18638" s="5"/>
    </row>
    <row r="18639" spans="1:11" x14ac:dyDescent="0.25">
      <c r="A18639" s="5">
        <f>18632</f>
      </c>
      <c r="B18639" s="5" t="s">
        <v>18647</v>
      </c>
      <c r="C18639" s="5">
        <v>118.3</v>
      </c>
      <c r="D18639" s="5">
        <v>0.1</v>
      </c>
      <c r="E18639" s="5">
        <v>118.4</v>
      </c>
      <c r="F18639" s="5">
        <v>234.9</v>
      </c>
      <c r="G18639" s="5">
        <v>116.8</v>
      </c>
      <c r="H18639" s="5">
        <v>116.7</v>
      </c>
      <c r="I18639" s="5"/>
      <c r="J18639" s="5"/>
      <c r="K18639" s="5"/>
    </row>
    <row r="18640" spans="1:11" x14ac:dyDescent="0.25">
      <c r="A18640" s="5">
        <f>18633</f>
      </c>
      <c r="B18640" s="5" t="s">
        <v>18648</v>
      </c>
      <c r="C18640" s="5">
        <v>117.7</v>
      </c>
      <c r="D18640" s="5">
        <v>0.1</v>
      </c>
      <c r="E18640" s="5">
        <v>117.8</v>
      </c>
      <c r="F18640" s="5">
        <v>234.8</v>
      </c>
      <c r="G18640" s="5">
        <v>116.7</v>
      </c>
      <c r="H18640" s="5">
        <v>116.5</v>
      </c>
      <c r="I18640" s="5"/>
      <c r="J18640" s="5"/>
      <c r="K18640" s="5"/>
    </row>
    <row r="18641" spans="1:11" x14ac:dyDescent="0.25">
      <c r="A18641" s="5">
        <f>18634</f>
      </c>
      <c r="B18641" s="5" t="s">
        <v>18649</v>
      </c>
      <c r="C18641" s="5">
        <v>117.7</v>
      </c>
      <c r="D18641" s="5">
        <v>0.1</v>
      </c>
      <c r="E18641" s="5">
        <v>117.8</v>
      </c>
      <c r="F18641" s="5">
        <v>234.8</v>
      </c>
      <c r="G18641" s="5">
        <v>116.7</v>
      </c>
      <c r="H18641" s="5">
        <v>116.5</v>
      </c>
      <c r="I18641" s="5"/>
      <c r="J18641" s="5"/>
      <c r="K18641" s="5"/>
    </row>
    <row r="18642" spans="1:11" x14ac:dyDescent="0.25">
      <c r="A18642" s="5">
        <f>18635</f>
      </c>
      <c r="B18642" s="5" t="s">
        <v>18650</v>
      </c>
      <c r="C18642" s="5">
        <v>118.2</v>
      </c>
      <c r="D18642" s="5">
        <v>0.1</v>
      </c>
      <c r="E18642" s="5">
        <v>118.3</v>
      </c>
      <c r="F18642" s="5">
        <v>234.6</v>
      </c>
      <c r="G18642" s="5">
        <v>116.6</v>
      </c>
      <c r="H18642" s="5">
        <v>116.4</v>
      </c>
      <c r="I18642" s="5"/>
      <c r="J18642" s="5"/>
      <c r="K18642" s="5"/>
    </row>
    <row r="18643" spans="1:11" x14ac:dyDescent="0.25">
      <c r="A18643" s="5">
        <f>18636</f>
      </c>
      <c r="B18643" s="5" t="s">
        <v>18651</v>
      </c>
      <c r="C18643" s="5">
        <v>118.2</v>
      </c>
      <c r="D18643" s="5">
        <v>0.1</v>
      </c>
      <c r="E18643" s="5">
        <v>118.3</v>
      </c>
      <c r="F18643" s="5">
        <v>234.6</v>
      </c>
      <c r="G18643" s="5">
        <v>116.6</v>
      </c>
      <c r="H18643" s="5">
        <v>116.4</v>
      </c>
      <c r="I18643" s="5"/>
      <c r="J18643" s="5"/>
      <c r="K18643" s="5"/>
    </row>
    <row r="18644" spans="1:11" x14ac:dyDescent="0.25">
      <c r="A18644" s="5">
        <f>18637</f>
      </c>
      <c r="B18644" s="5" t="s">
        <v>18652</v>
      </c>
      <c r="C18644" s="5">
        <v>118.2</v>
      </c>
      <c r="D18644" s="5">
        <v>0.1</v>
      </c>
      <c r="E18644" s="5">
        <v>118.3</v>
      </c>
      <c r="F18644" s="5">
        <v>234.6</v>
      </c>
      <c r="G18644" s="5">
        <v>116.6</v>
      </c>
      <c r="H18644" s="5">
        <v>116.4</v>
      </c>
      <c r="I18644" s="5"/>
      <c r="J18644" s="5"/>
      <c r="K18644" s="5"/>
    </row>
    <row r="18645" spans="1:11" x14ac:dyDescent="0.25">
      <c r="A18645" s="5">
        <f>18638</f>
      </c>
      <c r="B18645" s="5" t="s">
        <v>18653</v>
      </c>
      <c r="C18645" s="5">
        <v>118.2</v>
      </c>
      <c r="D18645" s="5">
        <v>0.1</v>
      </c>
      <c r="E18645" s="5">
        <v>118.3</v>
      </c>
      <c r="F18645" s="5">
        <v>234.8</v>
      </c>
      <c r="G18645" s="5">
        <v>116.8</v>
      </c>
      <c r="H18645" s="5">
        <v>116.7</v>
      </c>
      <c r="I18645" s="5"/>
      <c r="J18645" s="5"/>
      <c r="K18645" s="5"/>
    </row>
    <row r="18646" spans="1:11" x14ac:dyDescent="0.25">
      <c r="A18646" s="5">
        <f>18639</f>
      </c>
      <c r="B18646" s="5" t="s">
        <v>18654</v>
      </c>
      <c r="C18646" s="5">
        <v>118.2</v>
      </c>
      <c r="D18646" s="5">
        <v>0.1</v>
      </c>
      <c r="E18646" s="5">
        <v>118.3</v>
      </c>
      <c r="F18646" s="5">
        <v>234.8</v>
      </c>
      <c r="G18646" s="5">
        <v>116.8</v>
      </c>
      <c r="H18646" s="5">
        <v>116.7</v>
      </c>
      <c r="I18646" s="5"/>
      <c r="J18646" s="5"/>
      <c r="K18646" s="5"/>
    </row>
    <row r="18647" spans="1:11" x14ac:dyDescent="0.25">
      <c r="A18647" s="5">
        <f>18640</f>
      </c>
      <c r="B18647" s="5" t="s">
        <v>18655</v>
      </c>
      <c r="C18647" s="5">
        <v>118.3</v>
      </c>
      <c r="D18647" s="5">
        <v>0.1</v>
      </c>
      <c r="E18647" s="5">
        <v>118.4</v>
      </c>
      <c r="F18647" s="5">
        <v>235.4</v>
      </c>
      <c r="G18647" s="5">
        <v>117</v>
      </c>
      <c r="H18647" s="5">
        <v>116.9</v>
      </c>
      <c r="I18647" s="5"/>
      <c r="J18647" s="5"/>
      <c r="K18647" s="5"/>
    </row>
    <row r="18648" spans="1:11" x14ac:dyDescent="0.25">
      <c r="A18648" s="5">
        <f>18641</f>
      </c>
      <c r="B18648" s="5" t="s">
        <v>18656</v>
      </c>
      <c r="C18648" s="5">
        <v>118.3</v>
      </c>
      <c r="D18648" s="5">
        <v>0.1</v>
      </c>
      <c r="E18648" s="5">
        <v>118.4</v>
      </c>
      <c r="F18648" s="5">
        <v>235.4</v>
      </c>
      <c r="G18648" s="5">
        <v>117</v>
      </c>
      <c r="H18648" s="5">
        <v>116.9</v>
      </c>
      <c r="I18648" s="5"/>
      <c r="J18648" s="5"/>
      <c r="K18648" s="5"/>
    </row>
    <row r="18649" spans="1:11" x14ac:dyDescent="0.25">
      <c r="A18649" s="5">
        <f>18642</f>
      </c>
      <c r="B18649" s="5" t="s">
        <v>18657</v>
      </c>
      <c r="C18649" s="5">
        <v>118.3</v>
      </c>
      <c r="D18649" s="5">
        <v>0.1</v>
      </c>
      <c r="E18649" s="5">
        <v>118.4</v>
      </c>
      <c r="F18649" s="5">
        <v>235.4</v>
      </c>
      <c r="G18649" s="5">
        <v>117</v>
      </c>
      <c r="H18649" s="5">
        <v>116.9</v>
      </c>
      <c r="I18649" s="5"/>
      <c r="J18649" s="5"/>
      <c r="K18649" s="5"/>
    </row>
    <row r="18650" spans="1:11" x14ac:dyDescent="0.25">
      <c r="A18650" s="5">
        <f>18643</f>
      </c>
      <c r="B18650" s="5" t="s">
        <v>18658</v>
      </c>
      <c r="C18650" s="5">
        <v>118.3</v>
      </c>
      <c r="D18650" s="5">
        <v>0.1</v>
      </c>
      <c r="E18650" s="5">
        <v>118.4</v>
      </c>
      <c r="F18650" s="5">
        <v>235.4</v>
      </c>
      <c r="G18650" s="5">
        <v>117</v>
      </c>
      <c r="H18650" s="5">
        <v>116.9</v>
      </c>
      <c r="I18650" s="5"/>
      <c r="J18650" s="5"/>
      <c r="K18650" s="5"/>
    </row>
    <row r="18651" spans="1:11" x14ac:dyDescent="0.25">
      <c r="A18651" s="5">
        <f>18644</f>
      </c>
      <c r="B18651" s="5" t="s">
        <v>18659</v>
      </c>
      <c r="C18651" s="5">
        <v>118.6</v>
      </c>
      <c r="D18651" s="5">
        <v>0.1</v>
      </c>
      <c r="E18651" s="5">
        <v>118.7</v>
      </c>
      <c r="F18651" s="5">
        <v>235.7</v>
      </c>
      <c r="G18651" s="5">
        <v>117.2</v>
      </c>
      <c r="H18651" s="5">
        <v>116.9</v>
      </c>
      <c r="I18651" s="5"/>
      <c r="J18651" s="5"/>
      <c r="K18651" s="5"/>
    </row>
    <row r="18652" spans="1:11" x14ac:dyDescent="0.25">
      <c r="A18652" s="5">
        <f>18645</f>
      </c>
      <c r="B18652" s="5" t="s">
        <v>18660</v>
      </c>
      <c r="C18652" s="5">
        <v>118.6</v>
      </c>
      <c r="D18652" s="5">
        <v>0.1</v>
      </c>
      <c r="E18652" s="5">
        <v>118.7</v>
      </c>
      <c r="F18652" s="5">
        <v>235.7</v>
      </c>
      <c r="G18652" s="5">
        <v>117.2</v>
      </c>
      <c r="H18652" s="5">
        <v>117</v>
      </c>
      <c r="I18652" s="5"/>
      <c r="J18652" s="5"/>
      <c r="K18652" s="5"/>
    </row>
    <row r="18653" spans="1:11" x14ac:dyDescent="0.25">
      <c r="A18653" s="5">
        <f>18646</f>
      </c>
      <c r="B18653" s="5" t="s">
        <v>18661</v>
      </c>
      <c r="C18653" s="5">
        <v>118.6</v>
      </c>
      <c r="D18653" s="5">
        <v>0.1</v>
      </c>
      <c r="E18653" s="5">
        <v>118.7</v>
      </c>
      <c r="F18653" s="5">
        <v>235.7</v>
      </c>
      <c r="G18653" s="5">
        <v>117.2</v>
      </c>
      <c r="H18653" s="5">
        <v>117</v>
      </c>
      <c r="I18653" s="5"/>
      <c r="J18653" s="5"/>
      <c r="K18653" s="5"/>
    </row>
    <row r="18654" spans="1:11" x14ac:dyDescent="0.25">
      <c r="A18654" s="5">
        <f>18647</f>
      </c>
      <c r="B18654" s="5" t="s">
        <v>18662</v>
      </c>
      <c r="C18654" s="5">
        <v>118.6</v>
      </c>
      <c r="D18654" s="5">
        <v>0.1</v>
      </c>
      <c r="E18654" s="5">
        <v>118.7</v>
      </c>
      <c r="F18654" s="5">
        <v>235.7</v>
      </c>
      <c r="G18654" s="5">
        <v>117.2</v>
      </c>
      <c r="H18654" s="5">
        <v>117</v>
      </c>
      <c r="I18654" s="5"/>
      <c r="J18654" s="5"/>
      <c r="K18654" s="5"/>
    </row>
    <row r="18655" spans="1:11" x14ac:dyDescent="0.25">
      <c r="A18655" s="5">
        <f>18648</f>
      </c>
      <c r="B18655" s="5" t="s">
        <v>18663</v>
      </c>
      <c r="C18655" s="5">
        <v>118.6</v>
      </c>
      <c r="D18655" s="5">
        <v>0.1</v>
      </c>
      <c r="E18655" s="5">
        <v>118.7</v>
      </c>
      <c r="F18655" s="5">
        <v>235.7</v>
      </c>
      <c r="G18655" s="5">
        <v>117.2</v>
      </c>
      <c r="H18655" s="5">
        <v>117</v>
      </c>
      <c r="I18655" s="5"/>
      <c r="J18655" s="5"/>
      <c r="K18655" s="5"/>
    </row>
    <row r="18656" spans="1:11" x14ac:dyDescent="0.25">
      <c r="A18656" s="5">
        <f>18649</f>
      </c>
      <c r="B18656" s="5" t="s">
        <v>18664</v>
      </c>
      <c r="C18656" s="5">
        <v>118.3</v>
      </c>
      <c r="D18656" s="5">
        <v>0.1</v>
      </c>
      <c r="E18656" s="5">
        <v>118.4</v>
      </c>
      <c r="F18656" s="5">
        <v>235.3</v>
      </c>
      <c r="G18656" s="5">
        <v>117</v>
      </c>
      <c r="H18656" s="5">
        <v>116.8</v>
      </c>
      <c r="I18656" s="5"/>
      <c r="J18656" s="5"/>
      <c r="K18656" s="5"/>
    </row>
    <row r="18657" spans="1:11" x14ac:dyDescent="0.25">
      <c r="A18657" s="5">
        <f>18650</f>
      </c>
      <c r="B18657" s="5" t="s">
        <v>18665</v>
      </c>
      <c r="C18657" s="5">
        <v>118.3</v>
      </c>
      <c r="D18657" s="5">
        <v>0.1</v>
      </c>
      <c r="E18657" s="5">
        <v>118.4</v>
      </c>
      <c r="F18657" s="5">
        <v>235.3</v>
      </c>
      <c r="G18657" s="5">
        <v>117</v>
      </c>
      <c r="H18657" s="5">
        <v>116.8</v>
      </c>
      <c r="I18657" s="5"/>
      <c r="J18657" s="5"/>
      <c r="K18657" s="5"/>
    </row>
    <row r="18658" spans="1:11" x14ac:dyDescent="0.25">
      <c r="A18658" s="5">
        <f>18651</f>
      </c>
      <c r="B18658" s="5" t="s">
        <v>18666</v>
      </c>
      <c r="C18658" s="5">
        <v>118.1</v>
      </c>
      <c r="D18658" s="5">
        <v>0.1</v>
      </c>
      <c r="E18658" s="5">
        <v>118.3</v>
      </c>
      <c r="F18658" s="5">
        <v>235</v>
      </c>
      <c r="G18658" s="5">
        <v>116.9</v>
      </c>
      <c r="H18658" s="5">
        <v>116.7</v>
      </c>
      <c r="I18658" s="5"/>
      <c r="J18658" s="5"/>
      <c r="K18658" s="5"/>
    </row>
    <row r="18659" spans="1:11" x14ac:dyDescent="0.25">
      <c r="A18659" s="5">
        <f>18652</f>
      </c>
      <c r="B18659" s="5" t="s">
        <v>18667</v>
      </c>
      <c r="C18659" s="5">
        <v>118.1</v>
      </c>
      <c r="D18659" s="5">
        <v>0.1</v>
      </c>
      <c r="E18659" s="5">
        <v>118.3</v>
      </c>
      <c r="F18659" s="5">
        <v>235</v>
      </c>
      <c r="G18659" s="5">
        <v>116.9</v>
      </c>
      <c r="H18659" s="5">
        <v>116.7</v>
      </c>
      <c r="I18659" s="5"/>
      <c r="J18659" s="5"/>
      <c r="K18659" s="5"/>
    </row>
    <row r="18660" spans="1:11" x14ac:dyDescent="0.25">
      <c r="A18660" s="5">
        <f>18653</f>
      </c>
      <c r="B18660" s="5" t="s">
        <v>18668</v>
      </c>
      <c r="C18660" s="5">
        <v>118.3</v>
      </c>
      <c r="D18660" s="5">
        <v>0.1</v>
      </c>
      <c r="E18660" s="5">
        <v>118.4</v>
      </c>
      <c r="F18660" s="5">
        <v>235.3</v>
      </c>
      <c r="G18660" s="5">
        <v>117</v>
      </c>
      <c r="H18660" s="5">
        <v>116.8</v>
      </c>
      <c r="I18660" s="5"/>
      <c r="J18660" s="5"/>
      <c r="K18660" s="5"/>
    </row>
    <row r="18661" spans="1:11" x14ac:dyDescent="0.25">
      <c r="A18661" s="5">
        <f>18654</f>
      </c>
      <c r="B18661" s="5" t="s">
        <v>18669</v>
      </c>
      <c r="C18661" s="5">
        <v>118.3</v>
      </c>
      <c r="D18661" s="5">
        <v>0.1</v>
      </c>
      <c r="E18661" s="5">
        <v>118.4</v>
      </c>
      <c r="F18661" s="5">
        <v>235.3</v>
      </c>
      <c r="G18661" s="5">
        <v>117</v>
      </c>
      <c r="H18661" s="5">
        <v>116.8</v>
      </c>
      <c r="I18661" s="5"/>
      <c r="J18661" s="5"/>
      <c r="K18661" s="5"/>
    </row>
    <row r="18662" spans="1:11" x14ac:dyDescent="0.25">
      <c r="A18662" s="5">
        <f>18655</f>
      </c>
      <c r="B18662" s="5" t="s">
        <v>18670</v>
      </c>
      <c r="C18662" s="5">
        <v>118.2</v>
      </c>
      <c r="D18662" s="5">
        <v>0.1</v>
      </c>
      <c r="E18662" s="5">
        <v>118.3</v>
      </c>
      <c r="F18662" s="5">
        <v>235.1</v>
      </c>
      <c r="G18662" s="5">
        <v>116.9</v>
      </c>
      <c r="H18662" s="5">
        <v>116.8</v>
      </c>
      <c r="I18662" s="5"/>
      <c r="J18662" s="5"/>
      <c r="K18662" s="5"/>
    </row>
    <row r="18663" spans="1:11" x14ac:dyDescent="0.25">
      <c r="A18663" s="5">
        <f>18656</f>
      </c>
      <c r="B18663" s="5" t="s">
        <v>18671</v>
      </c>
      <c r="C18663" s="5">
        <v>118.2</v>
      </c>
      <c r="D18663" s="5">
        <v>0.1</v>
      </c>
      <c r="E18663" s="5">
        <v>118.3</v>
      </c>
      <c r="F18663" s="5">
        <v>235.1</v>
      </c>
      <c r="G18663" s="5">
        <v>116.9</v>
      </c>
      <c r="H18663" s="5">
        <v>116.8</v>
      </c>
      <c r="I18663" s="5"/>
      <c r="J18663" s="5"/>
      <c r="K18663" s="5"/>
    </row>
    <row r="18664" spans="1:11" x14ac:dyDescent="0.25">
      <c r="A18664" s="5">
        <f>18657</f>
      </c>
      <c r="B18664" s="5" t="s">
        <v>18672</v>
      </c>
      <c r="C18664" s="5">
        <v>118.2</v>
      </c>
      <c r="D18664" s="5">
        <v>0.1</v>
      </c>
      <c r="E18664" s="5">
        <v>118.3</v>
      </c>
      <c r="F18664" s="5">
        <v>235.1</v>
      </c>
      <c r="G18664" s="5">
        <v>116.9</v>
      </c>
      <c r="H18664" s="5">
        <v>116.8</v>
      </c>
      <c r="I18664" s="5"/>
      <c r="J18664" s="5"/>
      <c r="K18664" s="5"/>
    </row>
    <row r="18665" spans="1:11" x14ac:dyDescent="0.25">
      <c r="A18665" s="5">
        <f>18658</f>
      </c>
      <c r="B18665" s="5" t="s">
        <v>18673</v>
      </c>
      <c r="C18665" s="5">
        <v>118.2</v>
      </c>
      <c r="D18665" s="5">
        <v>0.1</v>
      </c>
      <c r="E18665" s="5">
        <v>118.3</v>
      </c>
      <c r="F18665" s="5">
        <v>235.1</v>
      </c>
      <c r="G18665" s="5">
        <v>116.9</v>
      </c>
      <c r="H18665" s="5">
        <v>116.8</v>
      </c>
      <c r="I18665" s="5"/>
      <c r="J18665" s="5"/>
      <c r="K18665" s="5"/>
    </row>
    <row r="18666" spans="1:11" x14ac:dyDescent="0.25">
      <c r="A18666" s="5">
        <f>18659</f>
      </c>
      <c r="B18666" s="5" t="s">
        <v>18674</v>
      </c>
      <c r="C18666" s="5">
        <v>117.7</v>
      </c>
      <c r="D18666" s="5">
        <v>0.1</v>
      </c>
      <c r="E18666" s="5">
        <v>117.8</v>
      </c>
      <c r="F18666" s="5">
        <v>234.5</v>
      </c>
      <c r="G18666" s="5">
        <v>116.6</v>
      </c>
      <c r="H18666" s="5">
        <v>116.4</v>
      </c>
      <c r="I18666" s="5"/>
      <c r="J18666" s="5"/>
      <c r="K18666" s="5"/>
    </row>
    <row r="18667" spans="1:11" x14ac:dyDescent="0.25">
      <c r="A18667" s="5">
        <f>18660</f>
      </c>
      <c r="B18667" s="5" t="s">
        <v>18675</v>
      </c>
      <c r="C18667" s="5">
        <v>117.7</v>
      </c>
      <c r="D18667" s="5">
        <v>0.1</v>
      </c>
      <c r="E18667" s="5">
        <v>117.8</v>
      </c>
      <c r="F18667" s="5">
        <v>234.5</v>
      </c>
      <c r="G18667" s="5">
        <v>116.6</v>
      </c>
      <c r="H18667" s="5">
        <v>116.4</v>
      </c>
      <c r="I18667" s="5"/>
      <c r="J18667" s="5"/>
      <c r="K18667" s="5"/>
    </row>
    <row r="18668" spans="1:11" x14ac:dyDescent="0.25">
      <c r="A18668" s="5">
        <f>18661</f>
      </c>
      <c r="B18668" s="5" t="s">
        <v>18676</v>
      </c>
      <c r="C18668" s="5">
        <v>118.1</v>
      </c>
      <c r="D18668" s="5">
        <v>0.1</v>
      </c>
      <c r="E18668" s="5">
        <v>118.3</v>
      </c>
      <c r="F18668" s="5">
        <v>234.4</v>
      </c>
      <c r="G18668" s="5">
        <v>116.5</v>
      </c>
      <c r="H18668" s="5">
        <v>116.4</v>
      </c>
      <c r="I18668" s="5"/>
      <c r="J18668" s="5"/>
      <c r="K18668" s="5"/>
    </row>
    <row r="18669" spans="1:11" x14ac:dyDescent="0.25">
      <c r="A18669" s="5">
        <f>18662</f>
      </c>
      <c r="B18669" s="5" t="s">
        <v>18677</v>
      </c>
      <c r="C18669" s="5">
        <v>118.1</v>
      </c>
      <c r="D18669" s="5">
        <v>0.1</v>
      </c>
      <c r="E18669" s="5">
        <v>118.3</v>
      </c>
      <c r="F18669" s="5">
        <v>234.4</v>
      </c>
      <c r="G18669" s="5">
        <v>116.5</v>
      </c>
      <c r="H18669" s="5">
        <v>116.4</v>
      </c>
      <c r="I18669" s="5"/>
      <c r="J18669" s="5"/>
      <c r="K18669" s="5"/>
    </row>
    <row r="18670" spans="1:11" x14ac:dyDescent="0.25">
      <c r="A18670" s="5">
        <f>18663</f>
      </c>
      <c r="B18670" s="5" t="s">
        <v>18678</v>
      </c>
      <c r="C18670" s="5">
        <v>118</v>
      </c>
      <c r="D18670" s="5">
        <v>0.1</v>
      </c>
      <c r="E18670" s="5">
        <v>118.1</v>
      </c>
      <c r="F18670" s="5">
        <v>234.7</v>
      </c>
      <c r="G18670" s="5">
        <v>116.6</v>
      </c>
      <c r="H18670" s="5">
        <v>116.5</v>
      </c>
      <c r="I18670" s="5"/>
      <c r="J18670" s="5"/>
      <c r="K18670" s="5"/>
    </row>
    <row r="18671" spans="1:11" x14ac:dyDescent="0.25">
      <c r="A18671" s="5">
        <f>18664</f>
      </c>
      <c r="B18671" s="5" t="s">
        <v>18679</v>
      </c>
      <c r="C18671" s="5">
        <v>118</v>
      </c>
      <c r="D18671" s="5">
        <v>0.1</v>
      </c>
      <c r="E18671" s="5">
        <v>118.1</v>
      </c>
      <c r="F18671" s="5">
        <v>234.7</v>
      </c>
      <c r="G18671" s="5">
        <v>116.6</v>
      </c>
      <c r="H18671" s="5">
        <v>116.5</v>
      </c>
      <c r="I18671" s="5"/>
      <c r="J18671" s="5"/>
      <c r="K18671" s="5"/>
    </row>
    <row r="18672" spans="1:11" x14ac:dyDescent="0.25">
      <c r="A18672" s="5">
        <f>18665</f>
      </c>
      <c r="B18672" s="5" t="s">
        <v>18680</v>
      </c>
      <c r="C18672" s="5">
        <v>117.7</v>
      </c>
      <c r="D18672" s="5">
        <v>0.1</v>
      </c>
      <c r="E18672" s="5">
        <v>117.9</v>
      </c>
      <c r="F18672" s="5">
        <v>234.5</v>
      </c>
      <c r="G18672" s="5">
        <v>116.6</v>
      </c>
      <c r="H18672" s="5">
        <v>116.4</v>
      </c>
      <c r="I18672" s="5"/>
      <c r="J18672" s="5"/>
      <c r="K18672" s="5"/>
    </row>
    <row r="18673" spans="1:11" x14ac:dyDescent="0.25">
      <c r="A18673" s="5">
        <f>18666</f>
      </c>
      <c r="B18673" s="5" t="s">
        <v>18681</v>
      </c>
      <c r="C18673" s="5">
        <v>117.7</v>
      </c>
      <c r="D18673" s="5">
        <v>0.1</v>
      </c>
      <c r="E18673" s="5">
        <v>117.9</v>
      </c>
      <c r="F18673" s="5">
        <v>234.5</v>
      </c>
      <c r="G18673" s="5">
        <v>116.6</v>
      </c>
      <c r="H18673" s="5">
        <v>116.4</v>
      </c>
      <c r="I18673" s="5"/>
      <c r="J18673" s="5"/>
      <c r="K18673" s="5"/>
    </row>
    <row r="18674" spans="1:11" x14ac:dyDescent="0.25">
      <c r="A18674" s="5">
        <f>18667</f>
      </c>
      <c r="B18674" s="5" t="s">
        <v>18682</v>
      </c>
      <c r="C18674" s="5">
        <v>117.7</v>
      </c>
      <c r="D18674" s="5">
        <v>0.1</v>
      </c>
      <c r="E18674" s="5">
        <v>117.9</v>
      </c>
      <c r="F18674" s="5">
        <v>234.5</v>
      </c>
      <c r="G18674" s="5">
        <v>116.6</v>
      </c>
      <c r="H18674" s="5">
        <v>116.4</v>
      </c>
      <c r="I18674" s="5"/>
      <c r="J18674" s="5"/>
      <c r="K18674" s="5"/>
    </row>
    <row r="18675" spans="1:11" x14ac:dyDescent="0.25">
      <c r="A18675" s="5">
        <f>18668</f>
      </c>
      <c r="B18675" s="5" t="s">
        <v>18683</v>
      </c>
      <c r="C18675" s="5">
        <v>117.7</v>
      </c>
      <c r="D18675" s="5">
        <v>0.1</v>
      </c>
      <c r="E18675" s="5">
        <v>117.8</v>
      </c>
      <c r="F18675" s="5">
        <v>234.4</v>
      </c>
      <c r="G18675" s="5">
        <v>116.6</v>
      </c>
      <c r="H18675" s="5">
        <v>116.4</v>
      </c>
      <c r="I18675" s="5"/>
      <c r="J18675" s="5"/>
      <c r="K18675" s="5"/>
    </row>
    <row r="18676" spans="1:11" x14ac:dyDescent="0.25">
      <c r="A18676" s="5">
        <f>18669</f>
      </c>
      <c r="B18676" s="5" t="s">
        <v>18684</v>
      </c>
      <c r="C18676" s="5">
        <v>117.7</v>
      </c>
      <c r="D18676" s="5">
        <v>0.1</v>
      </c>
      <c r="E18676" s="5">
        <v>117.8</v>
      </c>
      <c r="F18676" s="5">
        <v>234.4</v>
      </c>
      <c r="G18676" s="5">
        <v>116.6</v>
      </c>
      <c r="H18676" s="5">
        <v>116.4</v>
      </c>
      <c r="I18676" s="5"/>
      <c r="J18676" s="5"/>
      <c r="K18676" s="5"/>
    </row>
    <row r="18677" spans="1:11" x14ac:dyDescent="0.25">
      <c r="A18677" s="5">
        <f>18670</f>
      </c>
      <c r="B18677" s="5" t="s">
        <v>18685</v>
      </c>
      <c r="C18677" s="5">
        <v>117.5</v>
      </c>
      <c r="D18677" s="5">
        <v>0.1</v>
      </c>
      <c r="E18677" s="5">
        <v>117.7</v>
      </c>
      <c r="F18677" s="5">
        <v>233.9</v>
      </c>
      <c r="G18677" s="5">
        <v>116.3</v>
      </c>
      <c r="H18677" s="5">
        <v>116.1</v>
      </c>
      <c r="I18677" s="5"/>
      <c r="J18677" s="5"/>
      <c r="K18677" s="5"/>
    </row>
    <row r="18678" spans="1:11" x14ac:dyDescent="0.25">
      <c r="A18678" s="5">
        <f>18671</f>
      </c>
      <c r="B18678" s="5" t="s">
        <v>18686</v>
      </c>
      <c r="C18678" s="5">
        <v>117.5</v>
      </c>
      <c r="D18678" s="5">
        <v>0.1</v>
      </c>
      <c r="E18678" s="5">
        <v>117.7</v>
      </c>
      <c r="F18678" s="5">
        <v>233.9</v>
      </c>
      <c r="G18678" s="5">
        <v>116.3</v>
      </c>
      <c r="H18678" s="5">
        <v>116.1</v>
      </c>
      <c r="I18678" s="5"/>
      <c r="J18678" s="5"/>
      <c r="K18678" s="5"/>
    </row>
    <row r="18679" spans="1:11" x14ac:dyDescent="0.25">
      <c r="A18679" s="5">
        <f>18672</f>
      </c>
      <c r="B18679" s="5" t="s">
        <v>18687</v>
      </c>
      <c r="C18679" s="5">
        <v>117.5</v>
      </c>
      <c r="D18679" s="5">
        <v>0.1</v>
      </c>
      <c r="E18679" s="5">
        <v>117.7</v>
      </c>
      <c r="F18679" s="5">
        <v>233.9</v>
      </c>
      <c r="G18679" s="5">
        <v>116.3</v>
      </c>
      <c r="H18679" s="5">
        <v>116.1</v>
      </c>
      <c r="I18679" s="5"/>
      <c r="J18679" s="5"/>
      <c r="K18679" s="5"/>
    </row>
    <row r="18680" spans="1:11" x14ac:dyDescent="0.25">
      <c r="A18680" s="5">
        <f>18673</f>
      </c>
      <c r="B18680" s="5" t="s">
        <v>18688</v>
      </c>
      <c r="C18680" s="5">
        <v>117.5</v>
      </c>
      <c r="D18680" s="5">
        <v>0.1</v>
      </c>
      <c r="E18680" s="5">
        <v>117.7</v>
      </c>
      <c r="F18680" s="5">
        <v>233.9</v>
      </c>
      <c r="G18680" s="5">
        <v>116.3</v>
      </c>
      <c r="H18680" s="5">
        <v>116.1</v>
      </c>
      <c r="I18680" s="5"/>
      <c r="J18680" s="5"/>
      <c r="K18680" s="5"/>
    </row>
    <row r="18681" spans="1:11" x14ac:dyDescent="0.25">
      <c r="A18681" s="5">
        <f>18674</f>
      </c>
      <c r="B18681" s="5" t="s">
        <v>18689</v>
      </c>
      <c r="C18681" s="5">
        <v>117.4</v>
      </c>
      <c r="D18681" s="5">
        <v>0.1</v>
      </c>
      <c r="E18681" s="5">
        <v>117.6</v>
      </c>
      <c r="F18681" s="5">
        <v>233.7</v>
      </c>
      <c r="G18681" s="5">
        <v>116.2</v>
      </c>
      <c r="H18681" s="5">
        <v>116</v>
      </c>
      <c r="I18681" s="5"/>
      <c r="J18681" s="5"/>
      <c r="K18681" s="5"/>
    </row>
    <row r="18682" spans="1:11" x14ac:dyDescent="0.25">
      <c r="A18682" s="5">
        <f>18675</f>
      </c>
      <c r="B18682" s="5" t="s">
        <v>18690</v>
      </c>
      <c r="C18682" s="5">
        <v>117.4</v>
      </c>
      <c r="D18682" s="5">
        <v>0.1</v>
      </c>
      <c r="E18682" s="5">
        <v>117.6</v>
      </c>
      <c r="F18682" s="5">
        <v>233.7</v>
      </c>
      <c r="G18682" s="5">
        <v>116.2</v>
      </c>
      <c r="H18682" s="5">
        <v>116</v>
      </c>
      <c r="I18682" s="5"/>
      <c r="J18682" s="5"/>
      <c r="K18682" s="5"/>
    </row>
    <row r="18683" spans="1:11" x14ac:dyDescent="0.25">
      <c r="A18683" s="5">
        <f>18676</f>
      </c>
      <c r="B18683" s="5" t="s">
        <v>18691</v>
      </c>
      <c r="C18683" s="5">
        <v>117.4</v>
      </c>
      <c r="D18683" s="5">
        <v>0.1</v>
      </c>
      <c r="E18683" s="5">
        <v>117.6</v>
      </c>
      <c r="F18683" s="5">
        <v>233.7</v>
      </c>
      <c r="G18683" s="5">
        <v>116.2</v>
      </c>
      <c r="H18683" s="5">
        <v>116</v>
      </c>
      <c r="I18683" s="5"/>
      <c r="J18683" s="5"/>
      <c r="K18683" s="5"/>
    </row>
    <row r="18684" spans="1:11" x14ac:dyDescent="0.25">
      <c r="A18684" s="5">
        <f>18677</f>
      </c>
      <c r="B18684" s="5" t="s">
        <v>18692</v>
      </c>
      <c r="C18684" s="5">
        <v>117.4</v>
      </c>
      <c r="D18684" s="5">
        <v>0.1</v>
      </c>
      <c r="E18684" s="5">
        <v>117.6</v>
      </c>
      <c r="F18684" s="5">
        <v>233.7</v>
      </c>
      <c r="G18684" s="5">
        <v>116.2</v>
      </c>
      <c r="H18684" s="5">
        <v>116</v>
      </c>
      <c r="I18684" s="5"/>
      <c r="J18684" s="5"/>
      <c r="K18684" s="5"/>
    </row>
    <row r="18685" spans="1:11" x14ac:dyDescent="0.25">
      <c r="A18685" s="5">
        <f>18678</f>
      </c>
      <c r="B18685" s="5" t="s">
        <v>18693</v>
      </c>
      <c r="C18685" s="5">
        <v>117.2</v>
      </c>
      <c r="D18685" s="5">
        <v>0.1</v>
      </c>
      <c r="E18685" s="5">
        <v>117.4</v>
      </c>
      <c r="F18685" s="5">
        <v>233.3</v>
      </c>
      <c r="G18685" s="5">
        <v>116</v>
      </c>
      <c r="H18685" s="5">
        <v>115.8</v>
      </c>
      <c r="I18685" s="5"/>
      <c r="J18685" s="5"/>
      <c r="K18685" s="5"/>
    </row>
    <row r="18686" spans="1:11" x14ac:dyDescent="0.25">
      <c r="A18686" s="5">
        <f>18679</f>
      </c>
      <c r="B18686" s="5" t="s">
        <v>18694</v>
      </c>
      <c r="C18686" s="5">
        <v>117.2</v>
      </c>
      <c r="D18686" s="5">
        <v>0.1</v>
      </c>
      <c r="E18686" s="5">
        <v>117.4</v>
      </c>
      <c r="F18686" s="5">
        <v>233.3</v>
      </c>
      <c r="G18686" s="5">
        <v>116</v>
      </c>
      <c r="H18686" s="5">
        <v>115.8</v>
      </c>
      <c r="I18686" s="5"/>
      <c r="J18686" s="5"/>
      <c r="K18686" s="5"/>
    </row>
    <row r="18687" spans="1:11" x14ac:dyDescent="0.25">
      <c r="A18687" s="5">
        <f>18680</f>
      </c>
      <c r="B18687" s="5" t="s">
        <v>18695</v>
      </c>
      <c r="C18687" s="5">
        <v>116.7</v>
      </c>
      <c r="D18687" s="5">
        <v>0.1</v>
      </c>
      <c r="E18687" s="5">
        <v>116.9</v>
      </c>
      <c r="F18687" s="5">
        <v>233.1</v>
      </c>
      <c r="G18687" s="5">
        <v>115.9</v>
      </c>
      <c r="H18687" s="5">
        <v>115.7</v>
      </c>
      <c r="I18687" s="5"/>
      <c r="J18687" s="5"/>
      <c r="K18687" s="5"/>
    </row>
    <row r="18688" spans="1:11" x14ac:dyDescent="0.25">
      <c r="A18688" s="5">
        <f>18681</f>
      </c>
      <c r="B18688" s="5" t="s">
        <v>18696</v>
      </c>
      <c r="C18688" s="5">
        <v>116.7</v>
      </c>
      <c r="D18688" s="5">
        <v>0.1</v>
      </c>
      <c r="E18688" s="5">
        <v>116.9</v>
      </c>
      <c r="F18688" s="5">
        <v>233.1</v>
      </c>
      <c r="G18688" s="5">
        <v>115.9</v>
      </c>
      <c r="H18688" s="5">
        <v>115.7</v>
      </c>
      <c r="I18688" s="5"/>
      <c r="J18688" s="5"/>
      <c r="K18688" s="5"/>
    </row>
    <row r="18689" spans="1:11" x14ac:dyDescent="0.25">
      <c r="A18689" s="5">
        <f>18682</f>
      </c>
      <c r="B18689" s="5" t="s">
        <v>18697</v>
      </c>
      <c r="C18689" s="5">
        <v>116.8</v>
      </c>
      <c r="D18689" s="5">
        <v>0.1</v>
      </c>
      <c r="E18689" s="5">
        <v>117</v>
      </c>
      <c r="F18689" s="5">
        <v>233.2</v>
      </c>
      <c r="G18689" s="5">
        <v>115.9</v>
      </c>
      <c r="H18689" s="5">
        <v>115.7</v>
      </c>
      <c r="I18689" s="5"/>
      <c r="J18689" s="5"/>
      <c r="K18689" s="5"/>
    </row>
    <row r="18690" spans="1:11" x14ac:dyDescent="0.25">
      <c r="A18690" s="5">
        <f>18683</f>
      </c>
      <c r="B18690" s="5" t="s">
        <v>18698</v>
      </c>
      <c r="C18690" s="5">
        <v>116.8</v>
      </c>
      <c r="D18690" s="5">
        <v>0.1</v>
      </c>
      <c r="E18690" s="5">
        <v>117</v>
      </c>
      <c r="F18690" s="5">
        <v>233.2</v>
      </c>
      <c r="G18690" s="5">
        <v>115.9</v>
      </c>
      <c r="H18690" s="5">
        <v>115.7</v>
      </c>
      <c r="I18690" s="5"/>
      <c r="J18690" s="5"/>
      <c r="K18690" s="5"/>
    </row>
    <row r="18691" spans="1:11" x14ac:dyDescent="0.25">
      <c r="A18691" s="5">
        <f>18684</f>
      </c>
      <c r="B18691" s="5" t="s">
        <v>18699</v>
      </c>
      <c r="C18691" s="5">
        <v>116.8</v>
      </c>
      <c r="D18691" s="5">
        <v>0.1</v>
      </c>
      <c r="E18691" s="5">
        <v>117</v>
      </c>
      <c r="F18691" s="5">
        <v>233.2</v>
      </c>
      <c r="G18691" s="5">
        <v>115.9</v>
      </c>
      <c r="H18691" s="5">
        <v>115.7</v>
      </c>
      <c r="I18691" s="5"/>
      <c r="J18691" s="5"/>
      <c r="K18691" s="5"/>
    </row>
    <row r="18692" spans="1:11" x14ac:dyDescent="0.25">
      <c r="A18692" s="5">
        <f>18685</f>
      </c>
      <c r="B18692" s="5" t="s">
        <v>18700</v>
      </c>
      <c r="C18692" s="5">
        <v>116.8</v>
      </c>
      <c r="D18692" s="5">
        <v>0.1</v>
      </c>
      <c r="E18692" s="5">
        <v>117</v>
      </c>
      <c r="F18692" s="5">
        <v>233.2</v>
      </c>
      <c r="G18692" s="5">
        <v>115.9</v>
      </c>
      <c r="H18692" s="5">
        <v>115.7</v>
      </c>
      <c r="I18692" s="5"/>
      <c r="J18692" s="5"/>
      <c r="K18692" s="5"/>
    </row>
    <row r="18693" spans="1:11" x14ac:dyDescent="0.25">
      <c r="A18693" s="5">
        <f>18686</f>
      </c>
      <c r="B18693" s="5" t="s">
        <v>18701</v>
      </c>
      <c r="C18693" s="5">
        <v>116.8</v>
      </c>
      <c r="D18693" s="5">
        <v>0.1</v>
      </c>
      <c r="E18693" s="5">
        <v>117</v>
      </c>
      <c r="F18693" s="5">
        <v>233.2</v>
      </c>
      <c r="G18693" s="5">
        <v>115.9</v>
      </c>
      <c r="H18693" s="5">
        <v>115.7</v>
      </c>
      <c r="I18693" s="5"/>
      <c r="J18693" s="5"/>
      <c r="K18693" s="5"/>
    </row>
    <row r="18694" spans="1:11" x14ac:dyDescent="0.25">
      <c r="A18694" s="5">
        <f>18687</f>
      </c>
      <c r="B18694" s="5" t="s">
        <v>18702</v>
      </c>
      <c r="C18694" s="5">
        <v>116.8</v>
      </c>
      <c r="D18694" s="5">
        <v>0.1</v>
      </c>
      <c r="E18694" s="5">
        <v>117</v>
      </c>
      <c r="F18694" s="5">
        <v>233.2</v>
      </c>
      <c r="G18694" s="5">
        <v>115.9</v>
      </c>
      <c r="H18694" s="5">
        <v>115.7</v>
      </c>
      <c r="I18694" s="5"/>
      <c r="J18694" s="5"/>
      <c r="K18694" s="5"/>
    </row>
    <row r="18695" spans="1:11" x14ac:dyDescent="0.25">
      <c r="A18695" s="5">
        <f>18688</f>
      </c>
      <c r="B18695" s="5" t="s">
        <v>18703</v>
      </c>
      <c r="C18695" s="5">
        <v>117</v>
      </c>
      <c r="D18695" s="5">
        <v>0.1</v>
      </c>
      <c r="E18695" s="5">
        <v>117.1</v>
      </c>
      <c r="F18695" s="5">
        <v>233.1</v>
      </c>
      <c r="G18695" s="5">
        <v>115.9</v>
      </c>
      <c r="H18695" s="5">
        <v>115.7</v>
      </c>
      <c r="I18695" s="5"/>
      <c r="J18695" s="5"/>
      <c r="K18695" s="5"/>
    </row>
    <row r="18696" spans="1:11" x14ac:dyDescent="0.25">
      <c r="A18696" s="5">
        <f>18689</f>
      </c>
      <c r="B18696" s="5" t="s">
        <v>18704</v>
      </c>
      <c r="C18696" s="5">
        <v>117</v>
      </c>
      <c r="D18696" s="5">
        <v>0.1</v>
      </c>
      <c r="E18696" s="5">
        <v>117.1</v>
      </c>
      <c r="F18696" s="5">
        <v>233.1</v>
      </c>
      <c r="G18696" s="5">
        <v>115.9</v>
      </c>
      <c r="H18696" s="5">
        <v>115.7</v>
      </c>
      <c r="I18696" s="5"/>
      <c r="J18696" s="5"/>
      <c r="K18696" s="5"/>
    </row>
    <row r="18697" spans="1:11" x14ac:dyDescent="0.25">
      <c r="A18697" s="5">
        <f>18690</f>
      </c>
      <c r="B18697" s="5" t="s">
        <v>18705</v>
      </c>
      <c r="C18697" s="5">
        <v>117</v>
      </c>
      <c r="D18697" s="5">
        <v>0.1</v>
      </c>
      <c r="E18697" s="5">
        <v>117.1</v>
      </c>
      <c r="F18697" s="5">
        <v>232.9</v>
      </c>
      <c r="G18697" s="5">
        <v>115.8</v>
      </c>
      <c r="H18697" s="5">
        <v>115.6</v>
      </c>
      <c r="I18697" s="5"/>
      <c r="J18697" s="5"/>
      <c r="K18697" s="5"/>
    </row>
    <row r="18698" spans="1:11" x14ac:dyDescent="0.25">
      <c r="A18698" s="5">
        <f>18691</f>
      </c>
      <c r="B18698" s="5" t="s">
        <v>18706</v>
      </c>
      <c r="C18698" s="5">
        <v>117</v>
      </c>
      <c r="D18698" s="5">
        <v>0.1</v>
      </c>
      <c r="E18698" s="5">
        <v>117.1</v>
      </c>
      <c r="F18698" s="5">
        <v>232.9</v>
      </c>
      <c r="G18698" s="5">
        <v>115.8</v>
      </c>
      <c r="H18698" s="5">
        <v>115.6</v>
      </c>
      <c r="I18698" s="5"/>
      <c r="J18698" s="5"/>
      <c r="K18698" s="5"/>
    </row>
    <row r="18699" spans="1:11" x14ac:dyDescent="0.25">
      <c r="A18699" s="5">
        <f>18692</f>
      </c>
      <c r="B18699" s="5" t="s">
        <v>18707</v>
      </c>
      <c r="C18699" s="5">
        <v>117</v>
      </c>
      <c r="D18699" s="5">
        <v>0.1</v>
      </c>
      <c r="E18699" s="5">
        <v>117.1</v>
      </c>
      <c r="F18699" s="5">
        <v>232.9</v>
      </c>
      <c r="G18699" s="5">
        <v>115.8</v>
      </c>
      <c r="H18699" s="5">
        <v>115.6</v>
      </c>
      <c r="I18699" s="5"/>
      <c r="J18699" s="5"/>
      <c r="K18699" s="5"/>
    </row>
    <row r="18700" spans="1:11" x14ac:dyDescent="0.25">
      <c r="A18700" s="5">
        <f>18693</f>
      </c>
      <c r="B18700" s="5" t="s">
        <v>18708</v>
      </c>
      <c r="C18700" s="5">
        <v>117</v>
      </c>
      <c r="D18700" s="5">
        <v>0.1</v>
      </c>
      <c r="E18700" s="5">
        <v>117.1</v>
      </c>
      <c r="F18700" s="5">
        <v>232.9</v>
      </c>
      <c r="G18700" s="5">
        <v>115.8</v>
      </c>
      <c r="H18700" s="5">
        <v>115.6</v>
      </c>
      <c r="I18700" s="5"/>
      <c r="J18700" s="5"/>
      <c r="K18700" s="5"/>
    </row>
    <row r="18701" spans="1:11" x14ac:dyDescent="0.25">
      <c r="A18701" s="5">
        <f>18694</f>
      </c>
      <c r="B18701" s="5" t="s">
        <v>18709</v>
      </c>
      <c r="C18701" s="5">
        <v>117</v>
      </c>
      <c r="D18701" s="5">
        <v>0.1</v>
      </c>
      <c r="E18701" s="5">
        <v>117.1</v>
      </c>
      <c r="F18701" s="5">
        <v>232.6</v>
      </c>
      <c r="G18701" s="5">
        <v>115.7</v>
      </c>
      <c r="H18701" s="5">
        <v>115.5</v>
      </c>
      <c r="I18701" s="5"/>
      <c r="J18701" s="5"/>
      <c r="K18701" s="5"/>
    </row>
    <row r="18702" spans="1:11" x14ac:dyDescent="0.25">
      <c r="A18702" s="5">
        <f>18695</f>
      </c>
      <c r="B18702" s="5" t="s">
        <v>18710</v>
      </c>
      <c r="C18702" s="5">
        <v>117</v>
      </c>
      <c r="D18702" s="5">
        <v>0.1</v>
      </c>
      <c r="E18702" s="5">
        <v>117.1</v>
      </c>
      <c r="F18702" s="5">
        <v>232.6</v>
      </c>
      <c r="G18702" s="5">
        <v>115.7</v>
      </c>
      <c r="H18702" s="5">
        <v>115.5</v>
      </c>
      <c r="I18702" s="5"/>
      <c r="J18702" s="5"/>
      <c r="K18702" s="5"/>
    </row>
    <row r="18703" spans="1:11" x14ac:dyDescent="0.25">
      <c r="A18703" s="5">
        <f>18696</f>
      </c>
      <c r="B18703" s="5" t="s">
        <v>18711</v>
      </c>
      <c r="C18703" s="5">
        <v>117</v>
      </c>
      <c r="D18703" s="5">
        <v>0.1</v>
      </c>
      <c r="E18703" s="5">
        <v>117.1</v>
      </c>
      <c r="F18703" s="5">
        <v>232.6</v>
      </c>
      <c r="G18703" s="5">
        <v>115.7</v>
      </c>
      <c r="H18703" s="5">
        <v>115.5</v>
      </c>
      <c r="I18703" s="5"/>
      <c r="J18703" s="5"/>
      <c r="K18703" s="5"/>
    </row>
    <row r="18704" spans="1:11" x14ac:dyDescent="0.25">
      <c r="A18704" s="5">
        <f>18697</f>
      </c>
      <c r="B18704" s="5" t="s">
        <v>18712</v>
      </c>
      <c r="C18704" s="5">
        <v>117</v>
      </c>
      <c r="D18704" s="5">
        <v>0.1</v>
      </c>
      <c r="E18704" s="5">
        <v>117.1</v>
      </c>
      <c r="F18704" s="5">
        <v>232.6</v>
      </c>
      <c r="G18704" s="5">
        <v>115.7</v>
      </c>
      <c r="H18704" s="5">
        <v>115.5</v>
      </c>
      <c r="I18704" s="5"/>
      <c r="J18704" s="5"/>
      <c r="K18704" s="5"/>
    </row>
    <row r="18705" spans="1:11" x14ac:dyDescent="0.25">
      <c r="A18705" s="5">
        <f>18698</f>
      </c>
      <c r="B18705" s="5" t="s">
        <v>18713</v>
      </c>
      <c r="C18705" s="5">
        <v>117.2</v>
      </c>
      <c r="D18705" s="5">
        <v>0.1</v>
      </c>
      <c r="E18705" s="5">
        <v>117.4</v>
      </c>
      <c r="F18705" s="5">
        <v>233.3</v>
      </c>
      <c r="G18705" s="5">
        <v>116</v>
      </c>
      <c r="H18705" s="5">
        <v>115.8</v>
      </c>
      <c r="I18705" s="5"/>
      <c r="J18705" s="5"/>
      <c r="K18705" s="5"/>
    </row>
    <row r="18706" spans="1:11" x14ac:dyDescent="0.25">
      <c r="A18706" s="5">
        <f>18699</f>
      </c>
      <c r="B18706" s="5" t="s">
        <v>18714</v>
      </c>
      <c r="C18706" s="5">
        <v>117.2</v>
      </c>
      <c r="D18706" s="5">
        <v>0.1</v>
      </c>
      <c r="E18706" s="5">
        <v>117.4</v>
      </c>
      <c r="F18706" s="5">
        <v>233.3</v>
      </c>
      <c r="G18706" s="5">
        <v>116</v>
      </c>
      <c r="H18706" s="5">
        <v>115.8</v>
      </c>
      <c r="I18706" s="5"/>
      <c r="J18706" s="5"/>
      <c r="K18706" s="5"/>
    </row>
    <row r="18707" spans="1:11" x14ac:dyDescent="0.25">
      <c r="A18707" s="5">
        <f>18700</f>
      </c>
      <c r="B18707" s="5" t="s">
        <v>18715</v>
      </c>
      <c r="C18707" s="5">
        <v>121.6</v>
      </c>
      <c r="D18707" s="5">
        <v>0.1</v>
      </c>
      <c r="E18707" s="5">
        <v>121.8</v>
      </c>
      <c r="F18707" s="5">
        <v>238</v>
      </c>
      <c r="G18707" s="5">
        <v>118.5</v>
      </c>
      <c r="H18707" s="5">
        <v>118.5</v>
      </c>
      <c r="I18707" s="5"/>
      <c r="J18707" s="5"/>
      <c r="K18707" s="5"/>
    </row>
    <row r="18708" spans="1:11" x14ac:dyDescent="0.25">
      <c r="A18708" s="5">
        <f>18701</f>
      </c>
      <c r="B18708" s="5" t="s">
        <v>18716</v>
      </c>
      <c r="C18708" s="5">
        <v>121.6</v>
      </c>
      <c r="D18708" s="5">
        <v>0.1</v>
      </c>
      <c r="E18708" s="5">
        <v>121.8</v>
      </c>
      <c r="F18708" s="5">
        <v>238</v>
      </c>
      <c r="G18708" s="5">
        <v>118.5</v>
      </c>
      <c r="H18708" s="5">
        <v>118.5</v>
      </c>
      <c r="I18708" s="5"/>
      <c r="J18708" s="5"/>
      <c r="K18708" s="5"/>
    </row>
    <row r="18709" spans="1:11" x14ac:dyDescent="0.25">
      <c r="A18709" s="5">
        <f>18702</f>
      </c>
      <c r="B18709" s="5" t="s">
        <v>18717</v>
      </c>
      <c r="C18709" s="5">
        <v>121.6</v>
      </c>
      <c r="D18709" s="5">
        <v>0.1</v>
      </c>
      <c r="E18709" s="5">
        <v>121.8</v>
      </c>
      <c r="F18709" s="5">
        <v>238</v>
      </c>
      <c r="G18709" s="5">
        <v>118.5</v>
      </c>
      <c r="H18709" s="5">
        <v>118.5</v>
      </c>
      <c r="I18709" s="5"/>
      <c r="J18709" s="5"/>
      <c r="K18709" s="5"/>
    </row>
    <row r="18710" spans="1:11" x14ac:dyDescent="0.25">
      <c r="A18710" s="5">
        <f>18703</f>
      </c>
      <c r="B18710" s="5" t="s">
        <v>18718</v>
      </c>
      <c r="C18710" s="5">
        <v>121.6</v>
      </c>
      <c r="D18710" s="5">
        <v>0.1</v>
      </c>
      <c r="E18710" s="5">
        <v>121.8</v>
      </c>
      <c r="F18710" s="5">
        <v>238</v>
      </c>
      <c r="G18710" s="5">
        <v>118.5</v>
      </c>
      <c r="H18710" s="5">
        <v>118.5</v>
      </c>
      <c r="I18710" s="5"/>
      <c r="J18710" s="5"/>
      <c r="K18710" s="5"/>
    </row>
    <row r="18711" spans="1:11" x14ac:dyDescent="0.25">
      <c r="A18711" s="5">
        <f>18704</f>
      </c>
      <c r="B18711" s="5" t="s">
        <v>18719</v>
      </c>
      <c r="C18711" s="5">
        <v>121.8</v>
      </c>
      <c r="D18711" s="5">
        <v>0.1</v>
      </c>
      <c r="E18711" s="5">
        <v>122</v>
      </c>
      <c r="F18711" s="5">
        <v>241.7</v>
      </c>
      <c r="G18711" s="5">
        <v>120.2</v>
      </c>
      <c r="H18711" s="5">
        <v>120</v>
      </c>
      <c r="I18711" s="5"/>
      <c r="J18711" s="5"/>
      <c r="K18711" s="5"/>
    </row>
    <row r="18712" spans="1:11" x14ac:dyDescent="0.25">
      <c r="A18712" s="5">
        <f>18705</f>
      </c>
      <c r="B18712" s="5" t="s">
        <v>18720</v>
      </c>
      <c r="C18712" s="5">
        <v>121.8</v>
      </c>
      <c r="D18712" s="5">
        <v>0.1</v>
      </c>
      <c r="E18712" s="5">
        <v>122</v>
      </c>
      <c r="F18712" s="5">
        <v>241.7</v>
      </c>
      <c r="G18712" s="5">
        <v>120.2</v>
      </c>
      <c r="H18712" s="5">
        <v>120</v>
      </c>
      <c r="I18712" s="5"/>
      <c r="J18712" s="5"/>
      <c r="K18712" s="5"/>
    </row>
    <row r="18713" spans="1:11" x14ac:dyDescent="0.25">
      <c r="A18713" s="5">
        <f>18706</f>
      </c>
      <c r="B18713" s="5" t="s">
        <v>18721</v>
      </c>
      <c r="C18713" s="5">
        <v>121.8</v>
      </c>
      <c r="D18713" s="5">
        <v>0.1</v>
      </c>
      <c r="E18713" s="5">
        <v>122</v>
      </c>
      <c r="F18713" s="5">
        <v>241.7</v>
      </c>
      <c r="G18713" s="5">
        <v>120.2</v>
      </c>
      <c r="H18713" s="5">
        <v>120</v>
      </c>
      <c r="I18713" s="5"/>
      <c r="J18713" s="5"/>
      <c r="K18713" s="5"/>
    </row>
    <row r="18714" spans="1:11" x14ac:dyDescent="0.25">
      <c r="A18714" s="5">
        <f>18707</f>
      </c>
      <c r="B18714" s="5" t="s">
        <v>18722</v>
      </c>
      <c r="C18714" s="5">
        <v>121.8</v>
      </c>
      <c r="D18714" s="5">
        <v>0.1</v>
      </c>
      <c r="E18714" s="5">
        <v>122</v>
      </c>
      <c r="F18714" s="5">
        <v>241.7</v>
      </c>
      <c r="G18714" s="5">
        <v>120.2</v>
      </c>
      <c r="H18714" s="5">
        <v>120</v>
      </c>
      <c r="I18714" s="5"/>
      <c r="J18714" s="5"/>
      <c r="K18714" s="5"/>
    </row>
    <row r="18715" spans="1:11" x14ac:dyDescent="0.25">
      <c r="A18715" s="5">
        <f>18708</f>
      </c>
      <c r="B18715" s="5" t="s">
        <v>18723</v>
      </c>
      <c r="C18715" s="5">
        <v>121.8</v>
      </c>
      <c r="D18715" s="5">
        <v>0.1</v>
      </c>
      <c r="E18715" s="5">
        <v>121.9</v>
      </c>
      <c r="F18715" s="5">
        <v>242.5</v>
      </c>
      <c r="G18715" s="5">
        <v>120.6</v>
      </c>
      <c r="H18715" s="5">
        <v>120.4</v>
      </c>
      <c r="I18715" s="5"/>
      <c r="J18715" s="5"/>
      <c r="K18715" s="5"/>
    </row>
    <row r="18716" spans="1:11" x14ac:dyDescent="0.25">
      <c r="A18716" s="5">
        <f>18709</f>
      </c>
      <c r="B18716" s="5" t="s">
        <v>18724</v>
      </c>
      <c r="C18716" s="5">
        <v>121.8</v>
      </c>
      <c r="D18716" s="5">
        <v>0.1</v>
      </c>
      <c r="E18716" s="5">
        <v>121.9</v>
      </c>
      <c r="F18716" s="5">
        <v>242.5</v>
      </c>
      <c r="G18716" s="5">
        <v>120.6</v>
      </c>
      <c r="H18716" s="5">
        <v>120.4</v>
      </c>
      <c r="I18716" s="5"/>
      <c r="J18716" s="5"/>
      <c r="K18716" s="5"/>
    </row>
    <row r="18717" spans="1:11" x14ac:dyDescent="0.25">
      <c r="A18717" s="5">
        <f>18710</f>
      </c>
      <c r="B18717" s="5" t="s">
        <v>18725</v>
      </c>
      <c r="C18717" s="5">
        <v>121.8</v>
      </c>
      <c r="D18717" s="5">
        <v>0.1</v>
      </c>
      <c r="E18717" s="5">
        <v>121.9</v>
      </c>
      <c r="F18717" s="5">
        <v>242.5</v>
      </c>
      <c r="G18717" s="5">
        <v>120.6</v>
      </c>
      <c r="H18717" s="5">
        <v>120.4</v>
      </c>
      <c r="I18717" s="5"/>
      <c r="J18717" s="5"/>
      <c r="K18717" s="5"/>
    </row>
    <row r="18718" spans="1:11" x14ac:dyDescent="0.25">
      <c r="A18718" s="5">
        <f>18711</f>
      </c>
      <c r="B18718" s="5" t="s">
        <v>18726</v>
      </c>
      <c r="C18718" s="5">
        <v>121.8</v>
      </c>
      <c r="D18718" s="5">
        <v>0.1</v>
      </c>
      <c r="E18718" s="5">
        <v>121.9</v>
      </c>
      <c r="F18718" s="5">
        <v>242.5</v>
      </c>
      <c r="G18718" s="5">
        <v>120.6</v>
      </c>
      <c r="H18718" s="5">
        <v>120.4</v>
      </c>
      <c r="I18718" s="5"/>
      <c r="J18718" s="5"/>
      <c r="K18718" s="5"/>
    </row>
    <row r="18719" spans="1:11" x14ac:dyDescent="0.25">
      <c r="A18719" s="5">
        <f>18712</f>
      </c>
      <c r="B18719" s="5" t="s">
        <v>18727</v>
      </c>
      <c r="C18719" s="5">
        <v>122</v>
      </c>
      <c r="D18719" s="5">
        <v>0.1</v>
      </c>
      <c r="E18719" s="5">
        <v>122.2</v>
      </c>
      <c r="F18719" s="5">
        <v>242.4</v>
      </c>
      <c r="G18719" s="5">
        <v>120.5</v>
      </c>
      <c r="H18719" s="5">
        <v>120.4</v>
      </c>
      <c r="I18719" s="5"/>
      <c r="J18719" s="5"/>
      <c r="K18719" s="5"/>
    </row>
    <row r="18720" spans="1:11" x14ac:dyDescent="0.25">
      <c r="A18720" s="5">
        <f>18713</f>
      </c>
      <c r="B18720" s="5" t="s">
        <v>18728</v>
      </c>
      <c r="C18720" s="5">
        <v>122</v>
      </c>
      <c r="D18720" s="5">
        <v>0.1</v>
      </c>
      <c r="E18720" s="5">
        <v>122.2</v>
      </c>
      <c r="F18720" s="5">
        <v>242.4</v>
      </c>
      <c r="G18720" s="5">
        <v>120.5</v>
      </c>
      <c r="H18720" s="5">
        <v>120.4</v>
      </c>
      <c r="I18720" s="5"/>
      <c r="J18720" s="5"/>
      <c r="K18720" s="5"/>
    </row>
    <row r="18721" spans="1:11" x14ac:dyDescent="0.25">
      <c r="A18721" s="5">
        <f>18714</f>
      </c>
      <c r="B18721" s="5" t="s">
        <v>18729</v>
      </c>
      <c r="C18721" s="5">
        <v>121.8</v>
      </c>
      <c r="D18721" s="5">
        <v>0.1</v>
      </c>
      <c r="E18721" s="5">
        <v>121.9</v>
      </c>
      <c r="F18721" s="5">
        <v>242</v>
      </c>
      <c r="G18721" s="5">
        <v>120.3</v>
      </c>
      <c r="H18721" s="5">
        <v>120.2</v>
      </c>
      <c r="I18721" s="5"/>
      <c r="J18721" s="5"/>
      <c r="K18721" s="5"/>
    </row>
    <row r="18722" spans="1:11" x14ac:dyDescent="0.25">
      <c r="A18722" s="5">
        <f>18715</f>
      </c>
      <c r="B18722" s="5" t="s">
        <v>18730</v>
      </c>
      <c r="C18722" s="5">
        <v>121.8</v>
      </c>
      <c r="D18722" s="5">
        <v>0.1</v>
      </c>
      <c r="E18722" s="5">
        <v>121.9</v>
      </c>
      <c r="F18722" s="5">
        <v>242</v>
      </c>
      <c r="G18722" s="5">
        <v>120.3</v>
      </c>
      <c r="H18722" s="5">
        <v>120.2</v>
      </c>
      <c r="I18722" s="5"/>
      <c r="J18722" s="5"/>
      <c r="K18722" s="5"/>
    </row>
    <row r="18723" spans="1:11" x14ac:dyDescent="0.25">
      <c r="A18723" s="5">
        <f>18716</f>
      </c>
      <c r="B18723" s="5" t="s">
        <v>18731</v>
      </c>
      <c r="C18723" s="5">
        <v>121.8</v>
      </c>
      <c r="D18723" s="5">
        <v>0.1</v>
      </c>
      <c r="E18723" s="5">
        <v>121.9</v>
      </c>
      <c r="F18723" s="5">
        <v>242</v>
      </c>
      <c r="G18723" s="5">
        <v>120.3</v>
      </c>
      <c r="H18723" s="5">
        <v>120.2</v>
      </c>
      <c r="I18723" s="5"/>
      <c r="J18723" s="5"/>
      <c r="K18723" s="5"/>
    </row>
    <row r="18724" spans="1:11" x14ac:dyDescent="0.25">
      <c r="A18724" s="5">
        <f>18717</f>
      </c>
      <c r="B18724" s="5" t="s">
        <v>18732</v>
      </c>
      <c r="C18724" s="5">
        <v>121.8</v>
      </c>
      <c r="D18724" s="5">
        <v>0.1</v>
      </c>
      <c r="E18724" s="5">
        <v>121.9</v>
      </c>
      <c r="F18724" s="5">
        <v>242</v>
      </c>
      <c r="G18724" s="5">
        <v>120.3</v>
      </c>
      <c r="H18724" s="5">
        <v>120.2</v>
      </c>
      <c r="I18724" s="5"/>
      <c r="J18724" s="5"/>
      <c r="K18724" s="5"/>
    </row>
    <row r="18725" spans="1:11" x14ac:dyDescent="0.25">
      <c r="A18725" s="5">
        <f>18718</f>
      </c>
      <c r="B18725" s="5" t="s">
        <v>18733</v>
      </c>
      <c r="C18725" s="5">
        <v>121.6</v>
      </c>
      <c r="D18725" s="5">
        <v>0.1</v>
      </c>
      <c r="E18725" s="5">
        <v>121.8</v>
      </c>
      <c r="F18725" s="5">
        <v>241.8</v>
      </c>
      <c r="G18725" s="5">
        <v>120.2</v>
      </c>
      <c r="H18725" s="5">
        <v>120.1</v>
      </c>
      <c r="I18725" s="5"/>
      <c r="J18725" s="5"/>
      <c r="K18725" s="5"/>
    </row>
    <row r="18726" spans="1:11" x14ac:dyDescent="0.25">
      <c r="A18726" s="5">
        <f>18719</f>
      </c>
      <c r="B18726" s="5" t="s">
        <v>18734</v>
      </c>
      <c r="C18726" s="5">
        <v>121.6</v>
      </c>
      <c r="D18726" s="5">
        <v>0.1</v>
      </c>
      <c r="E18726" s="5">
        <v>121.8</v>
      </c>
      <c r="F18726" s="5">
        <v>241.8</v>
      </c>
      <c r="G18726" s="5">
        <v>120.2</v>
      </c>
      <c r="H18726" s="5">
        <v>120.1</v>
      </c>
      <c r="I18726" s="5"/>
      <c r="J18726" s="5"/>
      <c r="K18726" s="5"/>
    </row>
    <row r="18727" spans="1:11" x14ac:dyDescent="0.25">
      <c r="A18727" s="5">
        <f>18720</f>
      </c>
      <c r="B18727" s="5" t="s">
        <v>18735</v>
      </c>
      <c r="C18727" s="5">
        <v>121.2</v>
      </c>
      <c r="D18727" s="5">
        <v>0.1</v>
      </c>
      <c r="E18727" s="5">
        <v>121.4</v>
      </c>
      <c r="F18727" s="5">
        <v>241.3</v>
      </c>
      <c r="G18727" s="5">
        <v>120</v>
      </c>
      <c r="H18727" s="5">
        <v>119.8</v>
      </c>
      <c r="I18727" s="5"/>
      <c r="J18727" s="5"/>
      <c r="K18727" s="5"/>
    </row>
    <row r="18728" spans="1:11" x14ac:dyDescent="0.25">
      <c r="A18728" s="5">
        <f>18721</f>
      </c>
      <c r="B18728" s="5" t="s">
        <v>18736</v>
      </c>
      <c r="C18728" s="5">
        <v>121.2</v>
      </c>
      <c r="D18728" s="5">
        <v>0.1</v>
      </c>
      <c r="E18728" s="5">
        <v>121.4</v>
      </c>
      <c r="F18728" s="5">
        <v>241.3</v>
      </c>
      <c r="G18728" s="5">
        <v>120</v>
      </c>
      <c r="H18728" s="5">
        <v>119.8</v>
      </c>
      <c r="I18728" s="5"/>
      <c r="J18728" s="5"/>
      <c r="K18728" s="5"/>
    </row>
    <row r="18729" spans="1:11" x14ac:dyDescent="0.25">
      <c r="A18729" s="5">
        <f>18722</f>
      </c>
      <c r="B18729" s="5" t="s">
        <v>18737</v>
      </c>
      <c r="C18729" s="5">
        <v>121.2</v>
      </c>
      <c r="D18729" s="5">
        <v>0.1</v>
      </c>
      <c r="E18729" s="5">
        <v>121.5</v>
      </c>
      <c r="F18729" s="5">
        <v>241.6</v>
      </c>
      <c r="G18729" s="5">
        <v>120.2</v>
      </c>
      <c r="H18729" s="5">
        <v>120</v>
      </c>
      <c r="I18729" s="5"/>
      <c r="J18729" s="5"/>
      <c r="K18729" s="5"/>
    </row>
    <row r="18730" spans="1:11" x14ac:dyDescent="0.25">
      <c r="A18730" s="5">
        <f>18723</f>
      </c>
      <c r="B18730" s="5" t="s">
        <v>18738</v>
      </c>
      <c r="C18730" s="5">
        <v>121.2</v>
      </c>
      <c r="D18730" s="5">
        <v>0.1</v>
      </c>
      <c r="E18730" s="5">
        <v>121.5</v>
      </c>
      <c r="F18730" s="5">
        <v>241.6</v>
      </c>
      <c r="G18730" s="5">
        <v>120.2</v>
      </c>
      <c r="H18730" s="5">
        <v>120</v>
      </c>
      <c r="I18730" s="5"/>
      <c r="J18730" s="5"/>
      <c r="K18730" s="5"/>
    </row>
    <row r="18731" spans="1:11" x14ac:dyDescent="0.25">
      <c r="A18731" s="5">
        <f>18724</f>
      </c>
      <c r="B18731" s="5" t="s">
        <v>18739</v>
      </c>
      <c r="C18731" s="5">
        <v>121.5</v>
      </c>
      <c r="D18731" s="5">
        <v>0.1</v>
      </c>
      <c r="E18731" s="5">
        <v>121.7</v>
      </c>
      <c r="F18731" s="5">
        <v>241.5</v>
      </c>
      <c r="G18731" s="5">
        <v>120.1</v>
      </c>
      <c r="H18731" s="5">
        <v>120</v>
      </c>
      <c r="I18731" s="5"/>
      <c r="J18731" s="5"/>
      <c r="K18731" s="5"/>
    </row>
    <row r="18732" spans="1:11" x14ac:dyDescent="0.25">
      <c r="A18732" s="5">
        <f>18725</f>
      </c>
      <c r="B18732" s="5" t="s">
        <v>18740</v>
      </c>
      <c r="C18732" s="5">
        <v>121.5</v>
      </c>
      <c r="D18732" s="5">
        <v>0.1</v>
      </c>
      <c r="E18732" s="5">
        <v>121.7</v>
      </c>
      <c r="F18732" s="5">
        <v>241.5</v>
      </c>
      <c r="G18732" s="5">
        <v>120.1</v>
      </c>
      <c r="H18732" s="5">
        <v>120</v>
      </c>
      <c r="I18732" s="5"/>
      <c r="J18732" s="5"/>
      <c r="K18732" s="5"/>
    </row>
    <row r="18733" spans="1:11" x14ac:dyDescent="0.25">
      <c r="A18733" s="5">
        <f>18726</f>
      </c>
      <c r="B18733" s="5" t="s">
        <v>18741</v>
      </c>
      <c r="C18733" s="5">
        <v>121.5</v>
      </c>
      <c r="D18733" s="5">
        <v>0.1</v>
      </c>
      <c r="E18733" s="5">
        <v>121.7</v>
      </c>
      <c r="F18733" s="5">
        <v>241.5</v>
      </c>
      <c r="G18733" s="5">
        <v>120.1</v>
      </c>
      <c r="H18733" s="5">
        <v>120</v>
      </c>
      <c r="I18733" s="5"/>
      <c r="J18733" s="5"/>
      <c r="K18733" s="5"/>
    </row>
    <row r="18734" spans="1:11" x14ac:dyDescent="0.25">
      <c r="A18734" s="5">
        <f>18727</f>
      </c>
      <c r="B18734" s="5" t="s">
        <v>18742</v>
      </c>
      <c r="C18734" s="5">
        <v>121.5</v>
      </c>
      <c r="D18734" s="5">
        <v>0.1</v>
      </c>
      <c r="E18734" s="5">
        <v>121.7</v>
      </c>
      <c r="F18734" s="5">
        <v>241.5</v>
      </c>
      <c r="G18734" s="5">
        <v>120.1</v>
      </c>
      <c r="H18734" s="5">
        <v>120</v>
      </c>
      <c r="I18734" s="5"/>
      <c r="J18734" s="5"/>
      <c r="K18734" s="5"/>
    </row>
    <row r="18735" spans="1:11" x14ac:dyDescent="0.25">
      <c r="A18735" s="5">
        <f>18728</f>
      </c>
      <c r="B18735" s="5" t="s">
        <v>18743</v>
      </c>
      <c r="C18735" s="5">
        <v>121.4</v>
      </c>
      <c r="D18735" s="5">
        <v>0.1</v>
      </c>
      <c r="E18735" s="5">
        <v>121.5</v>
      </c>
      <c r="F18735" s="5">
        <v>241.4</v>
      </c>
      <c r="G18735" s="5">
        <v>120</v>
      </c>
      <c r="H18735" s="5">
        <v>119.8</v>
      </c>
      <c r="I18735" s="5"/>
      <c r="J18735" s="5"/>
      <c r="K18735" s="5"/>
    </row>
    <row r="18736" spans="1:11" x14ac:dyDescent="0.25">
      <c r="A18736" s="5">
        <f>18729</f>
      </c>
      <c r="B18736" s="5" t="s">
        <v>18744</v>
      </c>
      <c r="C18736" s="5">
        <v>121.4</v>
      </c>
      <c r="D18736" s="5">
        <v>0.1</v>
      </c>
      <c r="E18736" s="5">
        <v>121.5</v>
      </c>
      <c r="F18736" s="5">
        <v>241.4</v>
      </c>
      <c r="G18736" s="5">
        <v>120</v>
      </c>
      <c r="H18736" s="5">
        <v>119.8</v>
      </c>
      <c r="I18736" s="5"/>
      <c r="J18736" s="5"/>
      <c r="K18736" s="5"/>
    </row>
    <row r="18737" spans="1:11" x14ac:dyDescent="0.25">
      <c r="A18737" s="5">
        <f>18730</f>
      </c>
      <c r="B18737" s="5" t="s">
        <v>18745</v>
      </c>
      <c r="C18737" s="5">
        <v>121.9</v>
      </c>
      <c r="D18737" s="5">
        <v>0.1</v>
      </c>
      <c r="E18737" s="5">
        <v>122.1</v>
      </c>
      <c r="F18737" s="5">
        <v>242.4</v>
      </c>
      <c r="G18737" s="5">
        <v>120.5</v>
      </c>
      <c r="H18737" s="5">
        <v>120.3</v>
      </c>
      <c r="I18737" s="5"/>
      <c r="J18737" s="5"/>
      <c r="K18737" s="5"/>
    </row>
    <row r="18738" spans="1:11" x14ac:dyDescent="0.25">
      <c r="A18738" s="5">
        <f>18731</f>
      </c>
      <c r="B18738" s="5" t="s">
        <v>18746</v>
      </c>
      <c r="C18738" s="5">
        <v>121.9</v>
      </c>
      <c r="D18738" s="5">
        <v>0.1</v>
      </c>
      <c r="E18738" s="5">
        <v>122.1</v>
      </c>
      <c r="F18738" s="5">
        <v>242.4</v>
      </c>
      <c r="G18738" s="5">
        <v>120.5</v>
      </c>
      <c r="H18738" s="5">
        <v>120.3</v>
      </c>
      <c r="I18738" s="5"/>
      <c r="J18738" s="5"/>
      <c r="K18738" s="5"/>
    </row>
    <row r="18739" spans="1:11" x14ac:dyDescent="0.25">
      <c r="A18739" s="5">
        <f>18732</f>
      </c>
      <c r="B18739" s="5" t="s">
        <v>18747</v>
      </c>
      <c r="C18739" s="5">
        <v>121.5</v>
      </c>
      <c r="D18739" s="5">
        <v>0.1</v>
      </c>
      <c r="E18739" s="5">
        <v>121.6</v>
      </c>
      <c r="F18739" s="5">
        <v>241.7</v>
      </c>
      <c r="G18739" s="5">
        <v>120.2</v>
      </c>
      <c r="H18739" s="5">
        <v>120.1</v>
      </c>
      <c r="I18739" s="5"/>
      <c r="J18739" s="5"/>
      <c r="K18739" s="5"/>
    </row>
    <row r="18740" spans="1:11" x14ac:dyDescent="0.25">
      <c r="A18740" s="5">
        <f>18733</f>
      </c>
      <c r="B18740" s="5" t="s">
        <v>18748</v>
      </c>
      <c r="C18740" s="5">
        <v>121.5</v>
      </c>
      <c r="D18740" s="5">
        <v>0.1</v>
      </c>
      <c r="E18740" s="5">
        <v>121.6</v>
      </c>
      <c r="F18740" s="5">
        <v>241.7</v>
      </c>
      <c r="G18740" s="5">
        <v>120.2</v>
      </c>
      <c r="H18740" s="5">
        <v>120.1</v>
      </c>
      <c r="I18740" s="5"/>
      <c r="J18740" s="5"/>
      <c r="K18740" s="5"/>
    </row>
    <row r="18741" spans="1:11" x14ac:dyDescent="0.25">
      <c r="A18741" s="5">
        <f>18734</f>
      </c>
      <c r="B18741" s="5" t="s">
        <v>18749</v>
      </c>
      <c r="C18741" s="5">
        <v>121.8</v>
      </c>
      <c r="D18741" s="5">
        <v>0.1</v>
      </c>
      <c r="E18741" s="5">
        <v>122</v>
      </c>
      <c r="F18741" s="5">
        <v>242.2</v>
      </c>
      <c r="G18741" s="5">
        <v>120.4</v>
      </c>
      <c r="H18741" s="5">
        <v>120.3</v>
      </c>
      <c r="I18741" s="5"/>
      <c r="J18741" s="5"/>
      <c r="K18741" s="5"/>
    </row>
    <row r="18742" spans="1:11" x14ac:dyDescent="0.25">
      <c r="A18742" s="5">
        <f>18735</f>
      </c>
      <c r="B18742" s="5" t="s">
        <v>18750</v>
      </c>
      <c r="C18742" s="5">
        <v>121.8</v>
      </c>
      <c r="D18742" s="5">
        <v>0.1</v>
      </c>
      <c r="E18742" s="5">
        <v>122</v>
      </c>
      <c r="F18742" s="5">
        <v>242.2</v>
      </c>
      <c r="G18742" s="5">
        <v>120.4</v>
      </c>
      <c r="H18742" s="5">
        <v>120.3</v>
      </c>
      <c r="I18742" s="5"/>
      <c r="J18742" s="5"/>
      <c r="K18742" s="5"/>
    </row>
    <row r="18743" spans="1:11" x14ac:dyDescent="0.25">
      <c r="A18743" s="5">
        <f>18736</f>
      </c>
      <c r="B18743" s="5" t="s">
        <v>18751</v>
      </c>
      <c r="C18743" s="5">
        <v>121.8</v>
      </c>
      <c r="D18743" s="5">
        <v>0.1</v>
      </c>
      <c r="E18743" s="5">
        <v>122</v>
      </c>
      <c r="F18743" s="5">
        <v>242.2</v>
      </c>
      <c r="G18743" s="5">
        <v>120.4</v>
      </c>
      <c r="H18743" s="5">
        <v>120.3</v>
      </c>
      <c r="I18743" s="5"/>
      <c r="J18743" s="5"/>
      <c r="K18743" s="5"/>
    </row>
    <row r="18744" spans="1:11" x14ac:dyDescent="0.25">
      <c r="A18744" s="5">
        <f>18737</f>
      </c>
      <c r="B18744" s="5" t="s">
        <v>18752</v>
      </c>
      <c r="C18744" s="5">
        <v>121.8</v>
      </c>
      <c r="D18744" s="5">
        <v>0.1</v>
      </c>
      <c r="E18744" s="5">
        <v>122</v>
      </c>
      <c r="F18744" s="5">
        <v>242</v>
      </c>
      <c r="G18744" s="5">
        <v>120.4</v>
      </c>
      <c r="H18744" s="5">
        <v>120.3</v>
      </c>
      <c r="I18744" s="5"/>
      <c r="J18744" s="5"/>
      <c r="K18744" s="5"/>
    </row>
    <row r="18745" spans="1:11" x14ac:dyDescent="0.25">
      <c r="A18745" s="5">
        <f>18738</f>
      </c>
      <c r="B18745" s="5" t="s">
        <v>18753</v>
      </c>
      <c r="C18745" s="5">
        <v>121.8</v>
      </c>
      <c r="D18745" s="5">
        <v>0.1</v>
      </c>
      <c r="E18745" s="5">
        <v>122</v>
      </c>
      <c r="F18745" s="5">
        <v>242</v>
      </c>
      <c r="G18745" s="5">
        <v>120.4</v>
      </c>
      <c r="H18745" s="5">
        <v>120.2</v>
      </c>
      <c r="I18745" s="5"/>
      <c r="J18745" s="5"/>
      <c r="K18745" s="5"/>
    </row>
    <row r="18746" spans="1:11" x14ac:dyDescent="0.25">
      <c r="A18746" s="5">
        <f>18739</f>
      </c>
      <c r="B18746" s="5" t="s">
        <v>18754</v>
      </c>
      <c r="C18746" s="5">
        <v>121.8</v>
      </c>
      <c r="D18746" s="5">
        <v>0.1</v>
      </c>
      <c r="E18746" s="5">
        <v>121.6</v>
      </c>
      <c r="F18746" s="5">
        <v>242</v>
      </c>
      <c r="G18746" s="5">
        <v>120.4</v>
      </c>
      <c r="H18746" s="5">
        <v>120.2</v>
      </c>
      <c r="I18746" s="5"/>
      <c r="J18746" s="5"/>
      <c r="K18746" s="5"/>
    </row>
    <row r="18747" spans="1:11" x14ac:dyDescent="0.25">
      <c r="A18747" s="5">
        <f>18740</f>
      </c>
      <c r="B18747" s="5" t="s">
        <v>18755</v>
      </c>
      <c r="C18747" s="5">
        <v>121.5</v>
      </c>
      <c r="D18747" s="5">
        <v>0.1</v>
      </c>
      <c r="E18747" s="5">
        <v>121.6</v>
      </c>
      <c r="F18747" s="5">
        <v>241.5</v>
      </c>
      <c r="G18747" s="5">
        <v>120.1</v>
      </c>
      <c r="H18747" s="5">
        <v>119.9</v>
      </c>
      <c r="I18747" s="5"/>
      <c r="J18747" s="5"/>
      <c r="K18747" s="5"/>
    </row>
    <row r="18748" spans="1:11" x14ac:dyDescent="0.25">
      <c r="A18748" s="5">
        <f>18741</f>
      </c>
      <c r="B18748" s="5" t="s">
        <v>18756</v>
      </c>
      <c r="C18748" s="5">
        <v>121.5</v>
      </c>
      <c r="D18748" s="5">
        <v>0.1</v>
      </c>
      <c r="E18748" s="5">
        <v>121.6</v>
      </c>
      <c r="F18748" s="5">
        <v>241.5</v>
      </c>
      <c r="G18748" s="5">
        <v>120.1</v>
      </c>
      <c r="H18748" s="5">
        <v>119.9</v>
      </c>
      <c r="I18748" s="5"/>
      <c r="J18748" s="5"/>
      <c r="K18748" s="5"/>
    </row>
    <row r="18749" spans="1:11" x14ac:dyDescent="0.25">
      <c r="A18749" s="5">
        <f>18742</f>
      </c>
      <c r="B18749" s="5" t="s">
        <v>18757</v>
      </c>
      <c r="C18749" s="5">
        <v>121.6</v>
      </c>
      <c r="D18749" s="5">
        <v>0.1</v>
      </c>
      <c r="E18749" s="5">
        <v>121.8</v>
      </c>
      <c r="F18749" s="5">
        <v>241.4</v>
      </c>
      <c r="G18749" s="5">
        <v>120</v>
      </c>
      <c r="H18749" s="5">
        <v>119.8</v>
      </c>
      <c r="I18749" s="5"/>
      <c r="J18749" s="5"/>
      <c r="K18749" s="5"/>
    </row>
    <row r="18750" spans="1:11" x14ac:dyDescent="0.25">
      <c r="A18750" s="5">
        <f>18743</f>
      </c>
      <c r="B18750" s="5" t="s">
        <v>18758</v>
      </c>
      <c r="C18750" s="5">
        <v>121.6</v>
      </c>
      <c r="D18750" s="5">
        <v>0.1</v>
      </c>
      <c r="E18750" s="5">
        <v>121.8</v>
      </c>
      <c r="F18750" s="5">
        <v>241.4</v>
      </c>
      <c r="G18750" s="5">
        <v>120</v>
      </c>
      <c r="H18750" s="5">
        <v>119.8</v>
      </c>
      <c r="I18750" s="5"/>
      <c r="J18750" s="5"/>
      <c r="K18750" s="5"/>
    </row>
    <row r="18751" spans="1:11" x14ac:dyDescent="0.25">
      <c r="A18751" s="5">
        <f>18744</f>
      </c>
      <c r="B18751" s="5" t="s">
        <v>18759</v>
      </c>
      <c r="C18751" s="5">
        <v>121.6</v>
      </c>
      <c r="D18751" s="5">
        <v>0.1</v>
      </c>
      <c r="E18751" s="5">
        <v>121.8</v>
      </c>
      <c r="F18751" s="5">
        <v>241.5</v>
      </c>
      <c r="G18751" s="5">
        <v>120.1</v>
      </c>
      <c r="H18751" s="5">
        <v>119.9</v>
      </c>
      <c r="I18751" s="5"/>
      <c r="J18751" s="5"/>
      <c r="K18751" s="5"/>
    </row>
    <row r="18752" spans="1:11" x14ac:dyDescent="0.25">
      <c r="A18752" s="5">
        <f>18745</f>
      </c>
      <c r="B18752" s="5" t="s">
        <v>18760</v>
      </c>
      <c r="C18752" s="5">
        <v>121.6</v>
      </c>
      <c r="D18752" s="5">
        <v>0.1</v>
      </c>
      <c r="E18752" s="5">
        <v>121.8</v>
      </c>
      <c r="F18752" s="5">
        <v>241.5</v>
      </c>
      <c r="G18752" s="5">
        <v>120.1</v>
      </c>
      <c r="H18752" s="5">
        <v>119.9</v>
      </c>
      <c r="I18752" s="5"/>
      <c r="J18752" s="5"/>
      <c r="K18752" s="5"/>
    </row>
    <row r="18753" spans="1:11" x14ac:dyDescent="0.25">
      <c r="A18753" s="5">
        <f>18746</f>
      </c>
      <c r="B18753" s="5" t="s">
        <v>18761</v>
      </c>
      <c r="C18753" s="5">
        <v>121.6</v>
      </c>
      <c r="D18753" s="5">
        <v>0.1</v>
      </c>
      <c r="E18753" s="5">
        <v>121.8</v>
      </c>
      <c r="F18753" s="5">
        <v>241.5</v>
      </c>
      <c r="G18753" s="5">
        <v>120.1</v>
      </c>
      <c r="H18753" s="5">
        <v>119.9</v>
      </c>
      <c r="I18753" s="5"/>
      <c r="J18753" s="5"/>
      <c r="K18753" s="5"/>
    </row>
    <row r="18754" spans="1:11" x14ac:dyDescent="0.25">
      <c r="A18754" s="5">
        <f>18747</f>
      </c>
      <c r="B18754" s="5" t="s">
        <v>18762</v>
      </c>
      <c r="C18754" s="5">
        <v>121.6</v>
      </c>
      <c r="D18754" s="5">
        <v>0.1</v>
      </c>
      <c r="E18754" s="5">
        <v>121.8</v>
      </c>
      <c r="F18754" s="5">
        <v>241.5</v>
      </c>
      <c r="G18754" s="5">
        <v>120.1</v>
      </c>
      <c r="H18754" s="5">
        <v>119.9</v>
      </c>
      <c r="I18754" s="5"/>
      <c r="J18754" s="5"/>
      <c r="K18754" s="5"/>
    </row>
    <row r="18755" spans="1:11" x14ac:dyDescent="0.25">
      <c r="A18755" s="5">
        <f>18748</f>
      </c>
      <c r="B18755" s="5" t="s">
        <v>18763</v>
      </c>
      <c r="C18755" s="5">
        <v>121.5</v>
      </c>
      <c r="D18755" s="5">
        <v>0.1</v>
      </c>
      <c r="E18755" s="5">
        <v>121.8</v>
      </c>
      <c r="F18755" s="5">
        <v>242</v>
      </c>
      <c r="G18755" s="5">
        <v>120.3</v>
      </c>
      <c r="H18755" s="5">
        <v>120.1</v>
      </c>
      <c r="I18755" s="5"/>
      <c r="J18755" s="5"/>
      <c r="K18755" s="5"/>
    </row>
    <row r="18756" spans="1:11" x14ac:dyDescent="0.25">
      <c r="A18756" s="5">
        <f>18749</f>
      </c>
      <c r="B18756" s="5" t="s">
        <v>18764</v>
      </c>
      <c r="C18756" s="5">
        <v>121.5</v>
      </c>
      <c r="D18756" s="5">
        <v>0.1</v>
      </c>
      <c r="E18756" s="5">
        <v>121.8</v>
      </c>
      <c r="F18756" s="5">
        <v>242</v>
      </c>
      <c r="G18756" s="5">
        <v>120.3</v>
      </c>
      <c r="H18756" s="5">
        <v>120.1</v>
      </c>
      <c r="I18756" s="5"/>
      <c r="J18756" s="5"/>
      <c r="K18756" s="5"/>
    </row>
    <row r="18757" spans="1:11" x14ac:dyDescent="0.25">
      <c r="A18757" s="5">
        <f>18750</f>
      </c>
      <c r="B18757" s="5" t="s">
        <v>18765</v>
      </c>
      <c r="C18757" s="5">
        <v>121.5</v>
      </c>
      <c r="D18757" s="5">
        <v>0.1</v>
      </c>
      <c r="E18757" s="5">
        <v>121.7</v>
      </c>
      <c r="F18757" s="5">
        <v>242.2</v>
      </c>
      <c r="G18757" s="5">
        <v>120.4</v>
      </c>
      <c r="H18757" s="5">
        <v>120.2</v>
      </c>
      <c r="I18757" s="5"/>
      <c r="J18757" s="5"/>
      <c r="K18757" s="5"/>
    </row>
    <row r="18758" spans="1:11" x14ac:dyDescent="0.25">
      <c r="A18758" s="5">
        <f>18751</f>
      </c>
      <c r="B18758" s="5" t="s">
        <v>18766</v>
      </c>
      <c r="C18758" s="5">
        <v>121.5</v>
      </c>
      <c r="D18758" s="5">
        <v>0.1</v>
      </c>
      <c r="E18758" s="5">
        <v>121.7</v>
      </c>
      <c r="F18758" s="5">
        <v>242.2</v>
      </c>
      <c r="G18758" s="5">
        <v>120.4</v>
      </c>
      <c r="H18758" s="5">
        <v>120.2</v>
      </c>
      <c r="I18758" s="5"/>
      <c r="J18758" s="5"/>
      <c r="K18758" s="5"/>
    </row>
    <row r="18759" spans="1:11" x14ac:dyDescent="0.25">
      <c r="A18759" s="5">
        <f>18752</f>
      </c>
      <c r="B18759" s="5" t="s">
        <v>18767</v>
      </c>
      <c r="C18759" s="5">
        <v>121.5</v>
      </c>
      <c r="D18759" s="5">
        <v>0.1</v>
      </c>
      <c r="E18759" s="5">
        <v>121.7</v>
      </c>
      <c r="F18759" s="5">
        <v>242.2</v>
      </c>
      <c r="G18759" s="5">
        <v>120.4</v>
      </c>
      <c r="H18759" s="5">
        <v>120.2</v>
      </c>
      <c r="I18759" s="5"/>
      <c r="J18759" s="5"/>
      <c r="K18759" s="5"/>
    </row>
    <row r="18760" spans="1:11" x14ac:dyDescent="0.25">
      <c r="A18760" s="5">
        <f>18753</f>
      </c>
      <c r="B18760" s="5" t="s">
        <v>18768</v>
      </c>
      <c r="C18760" s="5">
        <v>121.5</v>
      </c>
      <c r="D18760" s="5">
        <v>0.1</v>
      </c>
      <c r="E18760" s="5">
        <v>121.7</v>
      </c>
      <c r="F18760" s="5">
        <v>242.2</v>
      </c>
      <c r="G18760" s="5">
        <v>120.4</v>
      </c>
      <c r="H18760" s="5">
        <v>120.2</v>
      </c>
      <c r="I18760" s="5"/>
      <c r="J18760" s="5"/>
      <c r="K18760" s="5"/>
    </row>
    <row r="18761" spans="1:11" x14ac:dyDescent="0.25">
      <c r="A18761" s="5">
        <f>18754</f>
      </c>
      <c r="B18761" s="5" t="s">
        <v>18769</v>
      </c>
      <c r="C18761" s="5">
        <v>121.4</v>
      </c>
      <c r="D18761" s="5">
        <v>0.1</v>
      </c>
      <c r="E18761" s="5">
        <v>121.5</v>
      </c>
      <c r="F18761" s="5">
        <v>241.8</v>
      </c>
      <c r="G18761" s="5">
        <v>120.2</v>
      </c>
      <c r="H18761" s="5">
        <v>120</v>
      </c>
      <c r="I18761" s="5"/>
      <c r="J18761" s="5"/>
      <c r="K18761" s="5"/>
    </row>
    <row r="18762" spans="1:11" x14ac:dyDescent="0.25">
      <c r="A18762" s="5">
        <f>18755</f>
      </c>
      <c r="B18762" s="5" t="s">
        <v>18770</v>
      </c>
      <c r="C18762" s="5">
        <v>121.4</v>
      </c>
      <c r="D18762" s="5">
        <v>0.1</v>
      </c>
      <c r="E18762" s="5">
        <v>121.5</v>
      </c>
      <c r="F18762" s="5">
        <v>241.8</v>
      </c>
      <c r="G18762" s="5">
        <v>120.2</v>
      </c>
      <c r="H18762" s="5">
        <v>120</v>
      </c>
      <c r="I18762" s="5"/>
      <c r="J18762" s="5"/>
      <c r="K18762" s="5"/>
    </row>
    <row r="18763" spans="1:11" x14ac:dyDescent="0.25">
      <c r="A18763" s="5">
        <f>18756</f>
      </c>
      <c r="B18763" s="5" t="s">
        <v>18771</v>
      </c>
      <c r="C18763" s="5">
        <v>121.4</v>
      </c>
      <c r="D18763" s="5">
        <v>0.1</v>
      </c>
      <c r="E18763" s="5">
        <v>121.5</v>
      </c>
      <c r="F18763" s="5">
        <v>241.6</v>
      </c>
      <c r="G18763" s="5">
        <v>120.1</v>
      </c>
      <c r="H18763" s="5">
        <v>119.9</v>
      </c>
      <c r="I18763" s="5"/>
      <c r="J18763" s="5"/>
      <c r="K18763" s="5"/>
    </row>
    <row r="18764" spans="1:11" x14ac:dyDescent="0.25">
      <c r="A18764" s="5">
        <f>18757</f>
      </c>
      <c r="B18764" s="5" t="s">
        <v>18772</v>
      </c>
      <c r="C18764" s="5">
        <v>121.7</v>
      </c>
      <c r="D18764" s="5">
        <v>0.1</v>
      </c>
      <c r="E18764" s="5">
        <v>121.8</v>
      </c>
      <c r="F18764" s="5">
        <v>241.5</v>
      </c>
      <c r="G18764" s="5">
        <v>120</v>
      </c>
      <c r="H18764" s="5">
        <v>119.9</v>
      </c>
      <c r="I18764" s="5"/>
      <c r="J18764" s="5"/>
      <c r="K18764" s="5"/>
    </row>
    <row r="18765" spans="1:11" x14ac:dyDescent="0.25">
      <c r="A18765" s="5">
        <f>18758</f>
      </c>
      <c r="B18765" s="5" t="s">
        <v>18773</v>
      </c>
      <c r="C18765" s="5">
        <v>121.7</v>
      </c>
      <c r="D18765" s="5">
        <v>0.1</v>
      </c>
      <c r="E18765" s="5">
        <v>121.8</v>
      </c>
      <c r="F18765" s="5">
        <v>241.5</v>
      </c>
      <c r="G18765" s="5">
        <v>120</v>
      </c>
      <c r="H18765" s="5">
        <v>119.9</v>
      </c>
      <c r="I18765" s="5"/>
      <c r="J18765" s="5"/>
      <c r="K18765" s="5"/>
    </row>
    <row r="18766" spans="1:11" x14ac:dyDescent="0.25">
      <c r="A18766" s="5">
        <f>18759</f>
      </c>
      <c r="B18766" s="5" t="s">
        <v>18774</v>
      </c>
      <c r="C18766" s="5">
        <v>121.8</v>
      </c>
      <c r="D18766" s="5">
        <v>0.1</v>
      </c>
      <c r="E18766" s="5">
        <v>122.1</v>
      </c>
      <c r="F18766" s="5">
        <v>241.9</v>
      </c>
      <c r="G18766" s="5">
        <v>120.2</v>
      </c>
      <c r="H18766" s="5">
        <v>120.1</v>
      </c>
      <c r="I18766" s="5"/>
      <c r="J18766" s="5"/>
      <c r="K18766" s="5"/>
    </row>
    <row r="18767" spans="1:11" x14ac:dyDescent="0.25">
      <c r="A18767" s="5">
        <f>18760</f>
      </c>
      <c r="B18767" s="5" t="s">
        <v>18775</v>
      </c>
      <c r="C18767" s="5">
        <v>121.8</v>
      </c>
      <c r="D18767" s="5">
        <v>0.1</v>
      </c>
      <c r="E18767" s="5">
        <v>122.1</v>
      </c>
      <c r="F18767" s="5">
        <v>241.9</v>
      </c>
      <c r="G18767" s="5">
        <v>120.2</v>
      </c>
      <c r="H18767" s="5">
        <v>120.1</v>
      </c>
      <c r="I18767" s="5"/>
      <c r="J18767" s="5"/>
      <c r="K18767" s="5"/>
    </row>
    <row r="18768" spans="1:11" x14ac:dyDescent="0.25">
      <c r="A18768" s="5">
        <f>18761</f>
      </c>
      <c r="B18768" s="5" t="s">
        <v>18776</v>
      </c>
      <c r="C18768" s="5">
        <v>121.8</v>
      </c>
      <c r="D18768" s="5">
        <v>0.1</v>
      </c>
      <c r="E18768" s="5">
        <v>122.1</v>
      </c>
      <c r="F18768" s="5">
        <v>241.9</v>
      </c>
      <c r="G18768" s="5">
        <v>120.2</v>
      </c>
      <c r="H18768" s="5">
        <v>120.1</v>
      </c>
      <c r="I18768" s="5"/>
      <c r="J18768" s="5"/>
      <c r="K18768" s="5"/>
    </row>
    <row r="18769" spans="1:11" x14ac:dyDescent="0.25">
      <c r="A18769" s="5">
        <f>18762</f>
      </c>
      <c r="B18769" s="5" t="s">
        <v>18777</v>
      </c>
      <c r="C18769" s="5">
        <v>121.8</v>
      </c>
      <c r="D18769" s="5">
        <v>0.1</v>
      </c>
      <c r="E18769" s="5">
        <v>122.1</v>
      </c>
      <c r="F18769" s="5">
        <v>241.9</v>
      </c>
      <c r="G18769" s="5">
        <v>120.2</v>
      </c>
      <c r="H18769" s="5">
        <v>120.1</v>
      </c>
      <c r="I18769" s="5"/>
      <c r="J18769" s="5"/>
      <c r="K18769" s="5"/>
    </row>
    <row r="18770" spans="1:11" x14ac:dyDescent="0.25">
      <c r="A18770" s="5">
        <f>18763</f>
      </c>
      <c r="B18770" s="5" t="s">
        <v>18778</v>
      </c>
      <c r="C18770" s="5">
        <v>122.1</v>
      </c>
      <c r="D18770" s="5">
        <v>0.1</v>
      </c>
      <c r="E18770" s="5">
        <v>122.3</v>
      </c>
      <c r="F18770" s="5">
        <v>242.7</v>
      </c>
      <c r="G18770" s="5">
        <v>120.6</v>
      </c>
      <c r="H18770" s="5">
        <v>120.5</v>
      </c>
      <c r="I18770" s="5"/>
      <c r="J18770" s="5"/>
      <c r="K18770" s="5"/>
    </row>
    <row r="18771" spans="1:11" x14ac:dyDescent="0.25">
      <c r="A18771" s="5">
        <f>18764</f>
      </c>
      <c r="B18771" s="5" t="s">
        <v>18779</v>
      </c>
      <c r="C18771" s="5">
        <v>122.1</v>
      </c>
      <c r="D18771" s="5">
        <v>0.1</v>
      </c>
      <c r="E18771" s="5">
        <v>122.3</v>
      </c>
      <c r="F18771" s="5">
        <v>242.7</v>
      </c>
      <c r="G18771" s="5">
        <v>120.6</v>
      </c>
      <c r="H18771" s="5">
        <v>120.5</v>
      </c>
      <c r="I18771" s="5"/>
      <c r="J18771" s="5"/>
      <c r="K18771" s="5"/>
    </row>
    <row r="18772" spans="1:11" x14ac:dyDescent="0.25">
      <c r="A18772" s="5">
        <f>18765</f>
      </c>
      <c r="B18772" s="5" t="s">
        <v>18780</v>
      </c>
      <c r="C18772" s="5">
        <v>121.6</v>
      </c>
      <c r="D18772" s="5">
        <v>0.1</v>
      </c>
      <c r="E18772" s="5">
        <v>121.8</v>
      </c>
      <c r="F18772" s="5">
        <v>242.5</v>
      </c>
      <c r="G18772" s="5">
        <v>120.6</v>
      </c>
      <c r="H18772" s="5">
        <v>120.3</v>
      </c>
      <c r="I18772" s="5"/>
      <c r="J18772" s="5"/>
      <c r="K18772" s="5"/>
    </row>
    <row r="18773" spans="1:11" x14ac:dyDescent="0.25">
      <c r="A18773" s="5">
        <f>18766</f>
      </c>
      <c r="B18773" s="5" t="s">
        <v>18781</v>
      </c>
      <c r="C18773" s="5">
        <v>121.6</v>
      </c>
      <c r="D18773" s="5">
        <v>0.1</v>
      </c>
      <c r="E18773" s="5">
        <v>121.8</v>
      </c>
      <c r="F18773" s="5">
        <v>242.5</v>
      </c>
      <c r="G18773" s="5">
        <v>120.6</v>
      </c>
      <c r="H18773" s="5">
        <v>120.3</v>
      </c>
      <c r="I18773" s="5"/>
      <c r="J18773" s="5"/>
      <c r="K18773" s="5"/>
    </row>
    <row r="18774" spans="1:11" x14ac:dyDescent="0.25">
      <c r="A18774" s="5">
        <f>18767</f>
      </c>
      <c r="B18774" s="5" t="s">
        <v>18782</v>
      </c>
      <c r="C18774" s="5">
        <v>121.8</v>
      </c>
      <c r="D18774" s="5">
        <v>0.1</v>
      </c>
      <c r="E18774" s="5">
        <v>122</v>
      </c>
      <c r="F18774" s="5">
        <v>242.5</v>
      </c>
      <c r="G18774" s="5">
        <v>120.5</v>
      </c>
      <c r="H18774" s="5">
        <v>120.4</v>
      </c>
      <c r="I18774" s="5"/>
      <c r="J18774" s="5"/>
      <c r="K18774" s="5"/>
    </row>
    <row r="18775" spans="1:11" x14ac:dyDescent="0.25">
      <c r="A18775" s="5">
        <f>18768</f>
      </c>
      <c r="B18775" s="5" t="s">
        <v>18783</v>
      </c>
      <c r="C18775" s="5">
        <v>121.8</v>
      </c>
      <c r="D18775" s="5">
        <v>0.1</v>
      </c>
      <c r="E18775" s="5">
        <v>122</v>
      </c>
      <c r="F18775" s="5">
        <v>242.5</v>
      </c>
      <c r="G18775" s="5">
        <v>120.5</v>
      </c>
      <c r="H18775" s="5">
        <v>120.4</v>
      </c>
      <c r="I18775" s="5"/>
      <c r="J18775" s="5"/>
      <c r="K18775" s="5"/>
    </row>
    <row r="18776" spans="1:11" x14ac:dyDescent="0.25">
      <c r="A18776" s="5">
        <f>18769</f>
      </c>
      <c r="B18776" s="5" t="s">
        <v>18784</v>
      </c>
      <c r="C18776" s="5">
        <v>121.8</v>
      </c>
      <c r="D18776" s="5">
        <v>0.1</v>
      </c>
      <c r="E18776" s="5">
        <v>122.1</v>
      </c>
      <c r="F18776" s="5">
        <v>242.7</v>
      </c>
      <c r="G18776" s="5">
        <v>120.7</v>
      </c>
      <c r="H18776" s="5">
        <v>120.4</v>
      </c>
      <c r="I18776" s="5"/>
      <c r="J18776" s="5"/>
      <c r="K18776" s="5"/>
    </row>
    <row r="18777" spans="1:11" x14ac:dyDescent="0.25">
      <c r="A18777" s="5">
        <f>18770</f>
      </c>
      <c r="B18777" s="5" t="s">
        <v>18785</v>
      </c>
      <c r="C18777" s="5">
        <v>121.8</v>
      </c>
      <c r="D18777" s="5">
        <v>0.1</v>
      </c>
      <c r="E18777" s="5">
        <v>122.1</v>
      </c>
      <c r="F18777" s="5">
        <v>242.7</v>
      </c>
      <c r="G18777" s="5">
        <v>120.7</v>
      </c>
      <c r="H18777" s="5">
        <v>120.4</v>
      </c>
      <c r="I18777" s="5"/>
      <c r="J18777" s="5"/>
      <c r="K18777" s="5"/>
    </row>
    <row r="18778" spans="1:11" x14ac:dyDescent="0.25">
      <c r="A18778" s="5">
        <f>18771</f>
      </c>
      <c r="B18778" s="5" t="s">
        <v>18786</v>
      </c>
      <c r="C18778" s="5">
        <v>121.8</v>
      </c>
      <c r="D18778" s="5">
        <v>0.1</v>
      </c>
      <c r="E18778" s="5">
        <v>122.1</v>
      </c>
      <c r="F18778" s="5">
        <v>242.7</v>
      </c>
      <c r="G18778" s="5">
        <v>120.7</v>
      </c>
      <c r="H18778" s="5">
        <v>120.4</v>
      </c>
      <c r="I18778" s="5"/>
      <c r="J18778" s="5"/>
      <c r="K18778" s="5"/>
    </row>
    <row r="18779" spans="1:11" x14ac:dyDescent="0.25">
      <c r="A18779" s="5">
        <f>18772</f>
      </c>
      <c r="B18779" s="5" t="s">
        <v>18787</v>
      </c>
      <c r="C18779" s="5">
        <v>121.8</v>
      </c>
      <c r="D18779" s="5">
        <v>0.1</v>
      </c>
      <c r="E18779" s="5">
        <v>122.1</v>
      </c>
      <c r="F18779" s="5">
        <v>242.7</v>
      </c>
      <c r="G18779" s="5">
        <v>120.7</v>
      </c>
      <c r="H18779" s="5">
        <v>120.4</v>
      </c>
      <c r="I18779" s="5"/>
      <c r="J18779" s="5"/>
      <c r="K18779" s="5"/>
    </row>
    <row r="18780" spans="1:11" x14ac:dyDescent="0.25">
      <c r="A18780" s="5">
        <f>18773</f>
      </c>
      <c r="B18780" s="5" t="s">
        <v>18788</v>
      </c>
      <c r="C18780" s="5">
        <v>122.5</v>
      </c>
      <c r="D18780" s="5">
        <v>0.1</v>
      </c>
      <c r="E18780" s="5">
        <v>122.6</v>
      </c>
      <c r="F18780" s="5">
        <v>243.3</v>
      </c>
      <c r="G18780" s="5">
        <v>120.9</v>
      </c>
      <c r="H18780" s="5">
        <v>120.8</v>
      </c>
      <c r="I18780" s="5"/>
      <c r="J18780" s="5"/>
      <c r="K18780" s="5"/>
    </row>
    <row r="18781" spans="1:11" x14ac:dyDescent="0.25">
      <c r="A18781" s="5">
        <f>18774</f>
      </c>
      <c r="B18781" s="5" t="s">
        <v>18789</v>
      </c>
      <c r="C18781" s="5">
        <v>122.5</v>
      </c>
      <c r="D18781" s="5">
        <v>0.1</v>
      </c>
      <c r="E18781" s="5">
        <v>122.6</v>
      </c>
      <c r="F18781" s="5">
        <v>243.3</v>
      </c>
      <c r="G18781" s="5">
        <v>120.9</v>
      </c>
      <c r="H18781" s="5">
        <v>120.8</v>
      </c>
      <c r="I18781" s="5"/>
      <c r="J18781" s="5"/>
      <c r="K18781" s="5"/>
    </row>
    <row r="18782" spans="1:11" x14ac:dyDescent="0.25">
      <c r="A18782" s="5">
        <f>18775</f>
      </c>
      <c r="B18782" s="5" t="s">
        <v>18790</v>
      </c>
      <c r="C18782" s="5">
        <v>122.5</v>
      </c>
      <c r="D18782" s="5">
        <v>0.1</v>
      </c>
      <c r="E18782" s="5">
        <v>122.7</v>
      </c>
      <c r="F18782" s="5">
        <v>243.9</v>
      </c>
      <c r="G18782" s="5">
        <v>121.3</v>
      </c>
      <c r="H18782" s="5">
        <v>121.1</v>
      </c>
      <c r="I18782" s="5"/>
      <c r="J18782" s="5"/>
      <c r="K18782" s="5"/>
    </row>
    <row r="18783" spans="1:11" x14ac:dyDescent="0.25">
      <c r="A18783" s="5">
        <f>18776</f>
      </c>
      <c r="B18783" s="5" t="s">
        <v>18791</v>
      </c>
      <c r="C18783" s="5">
        <v>122.5</v>
      </c>
      <c r="D18783" s="5">
        <v>0.1</v>
      </c>
      <c r="E18783" s="5">
        <v>122.7</v>
      </c>
      <c r="F18783" s="5">
        <v>243.9</v>
      </c>
      <c r="G18783" s="5">
        <v>121.3</v>
      </c>
      <c r="H18783" s="5">
        <v>121.1</v>
      </c>
      <c r="I18783" s="5"/>
      <c r="J18783" s="5"/>
      <c r="K18783" s="5"/>
    </row>
    <row r="18784" spans="1:11" x14ac:dyDescent="0.25">
      <c r="A18784" s="5">
        <f>18777</f>
      </c>
      <c r="B18784" s="5" t="s">
        <v>18792</v>
      </c>
      <c r="C18784" s="5">
        <v>122.5</v>
      </c>
      <c r="D18784" s="5">
        <v>0.1</v>
      </c>
      <c r="E18784" s="5">
        <v>122.7</v>
      </c>
      <c r="F18784" s="5">
        <v>243.5</v>
      </c>
      <c r="G18784" s="5">
        <v>121</v>
      </c>
      <c r="H18784" s="5">
        <v>120.8</v>
      </c>
      <c r="I18784" s="5"/>
      <c r="J18784" s="5"/>
      <c r="K18784" s="5"/>
    </row>
    <row r="18785" spans="1:11" x14ac:dyDescent="0.25">
      <c r="A18785" s="5">
        <f>18778</f>
      </c>
      <c r="B18785" s="5" t="s">
        <v>18793</v>
      </c>
      <c r="C18785" s="5">
        <v>122.5</v>
      </c>
      <c r="D18785" s="5">
        <v>0.1</v>
      </c>
      <c r="E18785" s="5">
        <v>122.7</v>
      </c>
      <c r="F18785" s="5">
        <v>243.5</v>
      </c>
      <c r="G18785" s="5">
        <v>121</v>
      </c>
      <c r="H18785" s="5">
        <v>120.8</v>
      </c>
      <c r="I18785" s="5"/>
      <c r="J18785" s="5"/>
      <c r="K18785" s="5"/>
    </row>
    <row r="18786" spans="1:11" x14ac:dyDescent="0.25">
      <c r="A18786" s="5">
        <f>18779</f>
      </c>
      <c r="B18786" s="5" t="s">
        <v>18794</v>
      </c>
      <c r="C18786" s="5">
        <v>122.4</v>
      </c>
      <c r="D18786" s="5">
        <v>0.1</v>
      </c>
      <c r="E18786" s="5">
        <v>122.5</v>
      </c>
      <c r="F18786" s="5">
        <v>243.3</v>
      </c>
      <c r="G18786" s="5">
        <v>121</v>
      </c>
      <c r="H18786" s="5">
        <v>120.9</v>
      </c>
      <c r="I18786" s="5"/>
      <c r="J18786" s="5"/>
      <c r="K18786" s="5"/>
    </row>
    <row r="18787" spans="1:11" x14ac:dyDescent="0.25">
      <c r="A18787" s="5">
        <f>18780</f>
      </c>
      <c r="B18787" s="5" t="s">
        <v>18795</v>
      </c>
      <c r="C18787" s="5">
        <v>122.4</v>
      </c>
      <c r="D18787" s="5">
        <v>0.1</v>
      </c>
      <c r="E18787" s="5">
        <v>122.5</v>
      </c>
      <c r="F18787" s="5">
        <v>243.3</v>
      </c>
      <c r="G18787" s="5">
        <v>121</v>
      </c>
      <c r="H18787" s="5">
        <v>120.9</v>
      </c>
      <c r="I18787" s="5"/>
      <c r="J18787" s="5"/>
      <c r="K18787" s="5"/>
    </row>
    <row r="18788" spans="1:11" x14ac:dyDescent="0.25">
      <c r="A18788" s="5">
        <f>18781</f>
      </c>
      <c r="B18788" s="5" t="s">
        <v>18796</v>
      </c>
      <c r="C18788" s="5">
        <v>122.4</v>
      </c>
      <c r="D18788" s="5">
        <v>0.1</v>
      </c>
      <c r="E18788" s="5">
        <v>122.5</v>
      </c>
      <c r="F18788" s="5">
        <v>243.3</v>
      </c>
      <c r="G18788" s="5">
        <v>121</v>
      </c>
      <c r="H18788" s="5">
        <v>120.9</v>
      </c>
      <c r="I18788" s="5"/>
      <c r="J18788" s="5"/>
      <c r="K18788" s="5"/>
    </row>
    <row r="18789" spans="1:11" x14ac:dyDescent="0.25">
      <c r="A18789" s="5">
        <f>18782</f>
      </c>
      <c r="B18789" s="5" t="s">
        <v>18797</v>
      </c>
      <c r="C18789" s="5">
        <v>122.4</v>
      </c>
      <c r="D18789" s="5">
        <v>0.1</v>
      </c>
      <c r="E18789" s="5">
        <v>122.5</v>
      </c>
      <c r="F18789" s="5">
        <v>243.3</v>
      </c>
      <c r="G18789" s="5">
        <v>121</v>
      </c>
      <c r="H18789" s="5">
        <v>120.9</v>
      </c>
      <c r="I18789" s="5"/>
      <c r="J18789" s="5"/>
      <c r="K18789" s="5"/>
    </row>
    <row r="18790" spans="1:11" x14ac:dyDescent="0.25">
      <c r="A18790" s="5">
        <f>18783</f>
      </c>
      <c r="B18790" s="5" t="s">
        <v>18798</v>
      </c>
      <c r="C18790" s="5">
        <v>122.4</v>
      </c>
      <c r="D18790" s="5">
        <v>0.1</v>
      </c>
      <c r="E18790" s="5">
        <v>122.5</v>
      </c>
      <c r="F18790" s="5">
        <v>243.5</v>
      </c>
      <c r="G18790" s="5">
        <v>121.1</v>
      </c>
      <c r="H18790" s="5">
        <v>120.9</v>
      </c>
      <c r="I18790" s="5"/>
      <c r="J18790" s="5"/>
      <c r="K18790" s="5"/>
    </row>
    <row r="18791" spans="1:11" x14ac:dyDescent="0.25">
      <c r="A18791" s="5">
        <f>18784</f>
      </c>
      <c r="B18791" s="5" t="s">
        <v>18799</v>
      </c>
      <c r="C18791" s="5">
        <v>122.4</v>
      </c>
      <c r="D18791" s="5">
        <v>0.1</v>
      </c>
      <c r="E18791" s="5">
        <v>122.5</v>
      </c>
      <c r="F18791" s="5">
        <v>243.5</v>
      </c>
      <c r="G18791" s="5">
        <v>121.1</v>
      </c>
      <c r="H18791" s="5">
        <v>120.9</v>
      </c>
      <c r="I18791" s="5"/>
      <c r="J18791" s="5"/>
      <c r="K18791" s="5"/>
    </row>
    <row r="18792" spans="1:11" x14ac:dyDescent="0.25">
      <c r="A18792" s="5">
        <f>18785</f>
      </c>
      <c r="B18792" s="5" t="s">
        <v>18800</v>
      </c>
      <c r="C18792" s="5">
        <v>122.5</v>
      </c>
      <c r="D18792" s="5">
        <v>0.1</v>
      </c>
      <c r="E18792" s="5">
        <v>122.7</v>
      </c>
      <c r="F18792" s="5">
        <v>243.5</v>
      </c>
      <c r="G18792" s="5">
        <v>121.1</v>
      </c>
      <c r="H18792" s="5">
        <v>120.9</v>
      </c>
      <c r="I18792" s="5"/>
      <c r="J18792" s="5"/>
      <c r="K18792" s="5"/>
    </row>
    <row r="18793" spans="1:11" x14ac:dyDescent="0.25">
      <c r="A18793" s="5">
        <f>18786</f>
      </c>
      <c r="B18793" s="5" t="s">
        <v>18801</v>
      </c>
      <c r="C18793" s="5">
        <v>122.5</v>
      </c>
      <c r="D18793" s="5">
        <v>0.1</v>
      </c>
      <c r="E18793" s="5">
        <v>122.7</v>
      </c>
      <c r="F18793" s="5">
        <v>243.5</v>
      </c>
      <c r="G18793" s="5">
        <v>121.1</v>
      </c>
      <c r="H18793" s="5">
        <v>120.9</v>
      </c>
      <c r="I18793" s="5"/>
      <c r="J18793" s="5"/>
      <c r="K18793" s="5"/>
    </row>
    <row r="18794" spans="1:11" x14ac:dyDescent="0.25">
      <c r="A18794" s="5">
        <f>18787</f>
      </c>
      <c r="B18794" s="5" t="s">
        <v>18802</v>
      </c>
      <c r="C18794" s="5">
        <v>122.3</v>
      </c>
      <c r="D18794" s="5">
        <v>0.1</v>
      </c>
      <c r="E18794" s="5">
        <v>122.5</v>
      </c>
      <c r="F18794" s="5">
        <v>243.4</v>
      </c>
      <c r="G18794" s="5">
        <v>121</v>
      </c>
      <c r="H18794" s="5">
        <v>120.8</v>
      </c>
      <c r="I18794" s="5"/>
      <c r="J18794" s="5"/>
      <c r="K18794" s="5"/>
    </row>
    <row r="18795" spans="1:11" x14ac:dyDescent="0.25">
      <c r="A18795" s="5">
        <f>18788</f>
      </c>
      <c r="B18795" s="5" t="s">
        <v>18803</v>
      </c>
      <c r="C18795" s="5">
        <v>122.3</v>
      </c>
      <c r="D18795" s="5">
        <v>0.1</v>
      </c>
      <c r="E18795" s="5">
        <v>122.5</v>
      </c>
      <c r="F18795" s="5">
        <v>243.4</v>
      </c>
      <c r="G18795" s="5">
        <v>121</v>
      </c>
      <c r="H18795" s="5">
        <v>120.8</v>
      </c>
      <c r="I18795" s="5"/>
      <c r="J18795" s="5"/>
      <c r="K18795" s="5"/>
    </row>
    <row r="18796" spans="1:11" x14ac:dyDescent="0.25">
      <c r="A18796" s="5">
        <f>18789</f>
      </c>
      <c r="B18796" s="5" t="s">
        <v>18804</v>
      </c>
      <c r="C18796" s="5">
        <v>122.4</v>
      </c>
      <c r="D18796" s="5">
        <v>0.1</v>
      </c>
      <c r="E18796" s="5">
        <v>122.5</v>
      </c>
      <c r="F18796" s="5">
        <v>243.4</v>
      </c>
      <c r="G18796" s="5">
        <v>121</v>
      </c>
      <c r="H18796" s="5">
        <v>120.8</v>
      </c>
      <c r="I18796" s="5"/>
      <c r="J18796" s="5"/>
      <c r="K18796" s="5"/>
    </row>
    <row r="18797" spans="1:11" x14ac:dyDescent="0.25">
      <c r="A18797" s="5">
        <f>18790</f>
      </c>
      <c r="B18797" s="5" t="s">
        <v>18805</v>
      </c>
      <c r="C18797" s="5">
        <v>122.4</v>
      </c>
      <c r="D18797" s="5">
        <v>0.1</v>
      </c>
      <c r="E18797" s="5">
        <v>122.5</v>
      </c>
      <c r="F18797" s="5">
        <v>243.4</v>
      </c>
      <c r="G18797" s="5">
        <v>121</v>
      </c>
      <c r="H18797" s="5">
        <v>120.8</v>
      </c>
      <c r="I18797" s="5"/>
      <c r="J18797" s="5"/>
      <c r="K18797" s="5"/>
    </row>
    <row r="18798" spans="1:11" x14ac:dyDescent="0.25">
      <c r="A18798" s="5">
        <f>18791</f>
      </c>
      <c r="B18798" s="5" t="s">
        <v>18806</v>
      </c>
      <c r="C18798" s="5">
        <v>122.4</v>
      </c>
      <c r="D18798" s="5">
        <v>0.1</v>
      </c>
      <c r="E18798" s="5">
        <v>122.5</v>
      </c>
      <c r="F18798" s="5">
        <v>243.4</v>
      </c>
      <c r="G18798" s="5">
        <v>121</v>
      </c>
      <c r="H18798" s="5">
        <v>120.8</v>
      </c>
      <c r="I18798" s="5"/>
      <c r="J18798" s="5"/>
      <c r="K18798" s="5"/>
    </row>
    <row r="18799" spans="1:11" x14ac:dyDescent="0.25">
      <c r="A18799" s="5">
        <f>18792</f>
      </c>
      <c r="B18799" s="5" t="s">
        <v>18807</v>
      </c>
      <c r="C18799" s="5">
        <v>122.4</v>
      </c>
      <c r="D18799" s="5">
        <v>0.1</v>
      </c>
      <c r="E18799" s="5">
        <v>122.5</v>
      </c>
      <c r="F18799" s="5">
        <v>243.4</v>
      </c>
      <c r="G18799" s="5">
        <v>121</v>
      </c>
      <c r="H18799" s="5">
        <v>120.8</v>
      </c>
      <c r="I18799" s="5"/>
      <c r="J18799" s="5"/>
      <c r="K18799" s="5"/>
    </row>
    <row r="18800" spans="1:11" x14ac:dyDescent="0.25">
      <c r="A18800" s="5">
        <f>18793</f>
      </c>
      <c r="B18800" s="5" t="s">
        <v>18808</v>
      </c>
      <c r="C18800" s="5">
        <v>122.6</v>
      </c>
      <c r="D18800" s="5">
        <v>0.1</v>
      </c>
      <c r="E18800" s="5">
        <v>122.8</v>
      </c>
      <c r="F18800" s="5">
        <v>243.7</v>
      </c>
      <c r="G18800" s="5">
        <v>121.2</v>
      </c>
      <c r="H18800" s="5">
        <v>121</v>
      </c>
      <c r="I18800" s="5"/>
      <c r="J18800" s="5"/>
      <c r="K18800" s="5"/>
    </row>
    <row r="18801" spans="1:11" x14ac:dyDescent="0.25">
      <c r="A18801" s="5">
        <f>18794</f>
      </c>
      <c r="B18801" s="5" t="s">
        <v>18809</v>
      </c>
      <c r="C18801" s="5">
        <v>122.6</v>
      </c>
      <c r="D18801" s="5">
        <v>0.1</v>
      </c>
      <c r="E18801" s="5">
        <v>122.8</v>
      </c>
      <c r="F18801" s="5">
        <v>243.7</v>
      </c>
      <c r="G18801" s="5">
        <v>121.2</v>
      </c>
      <c r="H18801" s="5">
        <v>121</v>
      </c>
      <c r="I18801" s="5"/>
      <c r="J18801" s="5"/>
      <c r="K18801" s="5"/>
    </row>
    <row r="18802" spans="1:11" x14ac:dyDescent="0.25">
      <c r="A18802" s="5">
        <f>18795</f>
      </c>
      <c r="B18802" s="5" t="s">
        <v>18810</v>
      </c>
      <c r="C18802" s="5">
        <v>122.5</v>
      </c>
      <c r="D18802" s="5">
        <v>0.1</v>
      </c>
      <c r="E18802" s="5">
        <v>122.8</v>
      </c>
      <c r="F18802" s="5">
        <v>243.8</v>
      </c>
      <c r="G18802" s="5">
        <v>121.2</v>
      </c>
      <c r="H18802" s="5">
        <v>121</v>
      </c>
      <c r="I18802" s="5"/>
      <c r="J18802" s="5"/>
      <c r="K18802" s="5"/>
    </row>
    <row r="18803" spans="1:11" x14ac:dyDescent="0.25">
      <c r="A18803" s="5">
        <f>18796</f>
      </c>
      <c r="B18803" s="5" t="s">
        <v>18811</v>
      </c>
      <c r="C18803" s="5">
        <v>122.5</v>
      </c>
      <c r="D18803" s="5">
        <v>0.1</v>
      </c>
      <c r="E18803" s="5">
        <v>122.8</v>
      </c>
      <c r="F18803" s="5">
        <v>243.8</v>
      </c>
      <c r="G18803" s="5">
        <v>121.2</v>
      </c>
      <c r="H18803" s="5">
        <v>121</v>
      </c>
      <c r="I18803" s="5"/>
      <c r="J18803" s="5"/>
      <c r="K18803" s="5"/>
    </row>
    <row r="18804" spans="1:11" x14ac:dyDescent="0.25">
      <c r="A18804" s="5">
        <f>18797</f>
      </c>
      <c r="B18804" s="5" t="s">
        <v>18812</v>
      </c>
      <c r="C18804" s="5">
        <v>122.4</v>
      </c>
      <c r="D18804" s="5">
        <v>0.1</v>
      </c>
      <c r="E18804" s="5">
        <v>122.5</v>
      </c>
      <c r="F18804" s="5">
        <v>243.4</v>
      </c>
      <c r="G18804" s="5">
        <v>121</v>
      </c>
      <c r="H18804" s="5">
        <v>120.9</v>
      </c>
      <c r="I18804" s="5"/>
      <c r="J18804" s="5"/>
      <c r="K18804" s="5"/>
    </row>
    <row r="18805" spans="1:11" x14ac:dyDescent="0.25">
      <c r="A18805" s="5">
        <f>18798</f>
      </c>
      <c r="B18805" s="5" t="s">
        <v>18813</v>
      </c>
      <c r="C18805" s="5">
        <v>122.4</v>
      </c>
      <c r="D18805" s="5">
        <v>0.1</v>
      </c>
      <c r="E18805" s="5">
        <v>122.5</v>
      </c>
      <c r="F18805" s="5">
        <v>243.4</v>
      </c>
      <c r="G18805" s="5">
        <v>121</v>
      </c>
      <c r="H18805" s="5">
        <v>120.9</v>
      </c>
      <c r="I18805" s="5"/>
      <c r="J18805" s="5"/>
      <c r="K18805" s="5"/>
    </row>
    <row r="18806" spans="1:11" x14ac:dyDescent="0.25">
      <c r="A18806" s="5">
        <f>18799</f>
      </c>
      <c r="B18806" s="5" t="s">
        <v>18814</v>
      </c>
      <c r="C18806" s="5">
        <v>122.7</v>
      </c>
      <c r="D18806" s="5">
        <v>0.1</v>
      </c>
      <c r="E18806" s="5">
        <v>122.8</v>
      </c>
      <c r="F18806" s="5">
        <v>244</v>
      </c>
      <c r="G18806" s="5">
        <v>121.3</v>
      </c>
      <c r="H18806" s="5">
        <v>121.1</v>
      </c>
      <c r="I18806" s="5"/>
      <c r="J18806" s="5"/>
      <c r="K18806" s="5"/>
    </row>
    <row r="18807" spans="1:11" x14ac:dyDescent="0.25">
      <c r="A18807" s="5">
        <f>18800</f>
      </c>
      <c r="B18807" s="5" t="s">
        <v>18815</v>
      </c>
      <c r="C18807" s="5">
        <v>122.7</v>
      </c>
      <c r="D18807" s="5">
        <v>0.1</v>
      </c>
      <c r="E18807" s="5">
        <v>122.8</v>
      </c>
      <c r="F18807" s="5">
        <v>244</v>
      </c>
      <c r="G18807" s="5">
        <v>121.3</v>
      </c>
      <c r="H18807" s="5">
        <v>121.1</v>
      </c>
      <c r="I18807" s="5"/>
      <c r="J18807" s="5"/>
      <c r="K18807" s="5"/>
    </row>
    <row r="18808" spans="1:11" x14ac:dyDescent="0.25">
      <c r="A18808" s="5">
        <f>18801</f>
      </c>
      <c r="B18808" s="5" t="s">
        <v>18816</v>
      </c>
      <c r="C18808" s="5">
        <v>122.7</v>
      </c>
      <c r="D18808" s="5">
        <v>0.1</v>
      </c>
      <c r="E18808" s="5">
        <v>122.8</v>
      </c>
      <c r="F18808" s="5">
        <v>244</v>
      </c>
      <c r="G18808" s="5">
        <v>121.3</v>
      </c>
      <c r="H18808" s="5">
        <v>121.1</v>
      </c>
      <c r="I18808" s="5"/>
      <c r="J18808" s="5"/>
      <c r="K18808" s="5"/>
    </row>
    <row r="18809" spans="1:11" x14ac:dyDescent="0.25">
      <c r="A18809" s="5">
        <f>18802</f>
      </c>
      <c r="B18809" s="5" t="s">
        <v>18817</v>
      </c>
      <c r="C18809" s="5">
        <v>122.7</v>
      </c>
      <c r="D18809" s="5">
        <v>0.1</v>
      </c>
      <c r="E18809" s="5">
        <v>122.8</v>
      </c>
      <c r="F18809" s="5">
        <v>244</v>
      </c>
      <c r="G18809" s="5">
        <v>121.3</v>
      </c>
      <c r="H18809" s="5">
        <v>121.1</v>
      </c>
      <c r="I18809" s="5"/>
      <c r="J18809" s="5"/>
      <c r="K18809" s="5"/>
    </row>
    <row r="18810" spans="1:11" x14ac:dyDescent="0.25">
      <c r="A18810" s="5">
        <f>18803</f>
      </c>
      <c r="B18810" s="5" t="s">
        <v>18818</v>
      </c>
      <c r="C18810" s="5">
        <v>122.6</v>
      </c>
      <c r="D18810" s="5">
        <v>0.1</v>
      </c>
      <c r="E18810" s="5">
        <v>122.8</v>
      </c>
      <c r="F18810" s="5">
        <v>243.7</v>
      </c>
      <c r="G18810" s="5">
        <v>121.2</v>
      </c>
      <c r="H18810" s="5">
        <v>121</v>
      </c>
      <c r="I18810" s="5"/>
      <c r="J18810" s="5"/>
      <c r="K18810" s="5"/>
    </row>
    <row r="18811" spans="1:11" x14ac:dyDescent="0.25">
      <c r="A18811" s="5">
        <f>18804</f>
      </c>
      <c r="B18811" s="5" t="s">
        <v>18819</v>
      </c>
      <c r="C18811" s="5">
        <v>122.6</v>
      </c>
      <c r="D18811" s="5">
        <v>0.1</v>
      </c>
      <c r="E18811" s="5">
        <v>122.8</v>
      </c>
      <c r="F18811" s="5">
        <v>243.7</v>
      </c>
      <c r="G18811" s="5">
        <v>121.2</v>
      </c>
      <c r="H18811" s="5">
        <v>121</v>
      </c>
      <c r="I18811" s="5"/>
      <c r="J18811" s="5"/>
      <c r="K18811" s="5"/>
    </row>
    <row r="18812" spans="1:11" x14ac:dyDescent="0.25">
      <c r="A18812" s="5">
        <f>18805</f>
      </c>
      <c r="B18812" s="5" t="s">
        <v>18820</v>
      </c>
      <c r="C18812" s="5">
        <v>122.4</v>
      </c>
      <c r="D18812" s="5">
        <v>0.1</v>
      </c>
      <c r="E18812" s="5">
        <v>122.5</v>
      </c>
      <c r="F18812" s="5">
        <v>243.5</v>
      </c>
      <c r="G18812" s="5">
        <v>121.1</v>
      </c>
      <c r="H18812" s="5">
        <v>120.9</v>
      </c>
      <c r="I18812" s="5"/>
      <c r="J18812" s="5"/>
      <c r="K18812" s="5"/>
    </row>
    <row r="18813" spans="1:11" x14ac:dyDescent="0.25">
      <c r="A18813" s="5">
        <f>18806</f>
      </c>
      <c r="B18813" s="5" t="s">
        <v>18821</v>
      </c>
      <c r="C18813" s="5">
        <v>122.4</v>
      </c>
      <c r="D18813" s="5">
        <v>0.1</v>
      </c>
      <c r="E18813" s="5">
        <v>122.5</v>
      </c>
      <c r="F18813" s="5">
        <v>243.5</v>
      </c>
      <c r="G18813" s="5">
        <v>121.1</v>
      </c>
      <c r="H18813" s="5">
        <v>120.9</v>
      </c>
      <c r="I18813" s="5"/>
      <c r="J18813" s="5"/>
      <c r="K18813" s="5"/>
    </row>
    <row r="18814" spans="1:11" x14ac:dyDescent="0.25">
      <c r="A18814" s="5">
        <f>18807</f>
      </c>
      <c r="B18814" s="5" t="s">
        <v>18822</v>
      </c>
      <c r="C18814" s="5">
        <v>122.8</v>
      </c>
      <c r="D18814" s="5">
        <v>0.1</v>
      </c>
      <c r="E18814" s="5">
        <v>123</v>
      </c>
      <c r="F18814" s="5">
        <v>244.2</v>
      </c>
      <c r="G18814" s="5">
        <v>121.4</v>
      </c>
      <c r="H18814" s="5">
        <v>121.2</v>
      </c>
      <c r="I18814" s="5"/>
      <c r="J18814" s="5"/>
      <c r="K18814" s="5"/>
    </row>
    <row r="18815" spans="1:11" x14ac:dyDescent="0.25">
      <c r="A18815" s="5">
        <f>18808</f>
      </c>
      <c r="B18815" s="5" t="s">
        <v>18823</v>
      </c>
      <c r="C18815" s="5">
        <v>122.8</v>
      </c>
      <c r="D18815" s="5">
        <v>0.1</v>
      </c>
      <c r="E18815" s="5">
        <v>123</v>
      </c>
      <c r="F18815" s="5">
        <v>244.2</v>
      </c>
      <c r="G18815" s="5">
        <v>121.4</v>
      </c>
      <c r="H18815" s="5">
        <v>121.2</v>
      </c>
      <c r="I18815" s="5"/>
      <c r="J18815" s="5"/>
      <c r="K18815" s="5"/>
    </row>
    <row r="18816" spans="1:11" x14ac:dyDescent="0.25">
      <c r="A18816" s="5">
        <f>18809</f>
      </c>
      <c r="B18816" s="5" t="s">
        <v>18824</v>
      </c>
      <c r="C18816" s="5">
        <v>122.6</v>
      </c>
      <c r="D18816" s="5">
        <v>0.1</v>
      </c>
      <c r="E18816" s="5">
        <v>122.8</v>
      </c>
      <c r="F18816" s="5">
        <v>243.9</v>
      </c>
      <c r="G18816" s="5">
        <v>121.3</v>
      </c>
      <c r="H18816" s="5">
        <v>121.1</v>
      </c>
      <c r="I18816" s="5"/>
      <c r="J18816" s="5"/>
      <c r="K18816" s="5"/>
    </row>
    <row r="18817" spans="1:11" x14ac:dyDescent="0.25">
      <c r="A18817" s="5">
        <f>18810</f>
      </c>
      <c r="B18817" s="5" t="s">
        <v>18825</v>
      </c>
      <c r="C18817" s="5">
        <v>122.6</v>
      </c>
      <c r="D18817" s="5">
        <v>0.1</v>
      </c>
      <c r="E18817" s="5">
        <v>122.8</v>
      </c>
      <c r="F18817" s="5">
        <v>243.9</v>
      </c>
      <c r="G18817" s="5">
        <v>121.3</v>
      </c>
      <c r="H18817" s="5">
        <v>121.1</v>
      </c>
      <c r="I18817" s="5"/>
      <c r="J18817" s="5"/>
      <c r="K18817" s="5"/>
    </row>
    <row r="18818" spans="1:11" x14ac:dyDescent="0.25">
      <c r="A18818" s="5">
        <f>18811</f>
      </c>
      <c r="B18818" s="5" t="s">
        <v>18826</v>
      </c>
      <c r="C18818" s="5">
        <v>122.4</v>
      </c>
      <c r="D18818" s="5">
        <v>0.1</v>
      </c>
      <c r="E18818" s="5">
        <v>122.5</v>
      </c>
      <c r="F18818" s="5">
        <v>243.5</v>
      </c>
      <c r="G18818" s="5">
        <v>121.1</v>
      </c>
      <c r="H18818" s="5">
        <v>120.9</v>
      </c>
      <c r="I18818" s="5"/>
      <c r="J18818" s="5"/>
      <c r="K18818" s="5"/>
    </row>
    <row r="18819" spans="1:11" x14ac:dyDescent="0.25">
      <c r="A18819" s="5">
        <f>18812</f>
      </c>
      <c r="B18819" s="5" t="s">
        <v>18827</v>
      </c>
      <c r="C18819" s="5">
        <v>122.4</v>
      </c>
      <c r="D18819" s="5">
        <v>0.1</v>
      </c>
      <c r="E18819" s="5">
        <v>122.5</v>
      </c>
      <c r="F18819" s="5">
        <v>243.5</v>
      </c>
      <c r="G18819" s="5">
        <v>121.1</v>
      </c>
      <c r="H18819" s="5">
        <v>120.9</v>
      </c>
      <c r="I18819" s="5"/>
      <c r="J18819" s="5"/>
      <c r="K18819" s="5"/>
    </row>
    <row r="18820" spans="1:11" x14ac:dyDescent="0.25">
      <c r="A18820" s="5">
        <f>18813</f>
      </c>
      <c r="B18820" s="5" t="s">
        <v>18828</v>
      </c>
      <c r="C18820" s="5">
        <v>122.3</v>
      </c>
      <c r="D18820" s="5">
        <v>0.1</v>
      </c>
      <c r="E18820" s="5">
        <v>122.5</v>
      </c>
      <c r="F18820" s="5">
        <v>243.2</v>
      </c>
      <c r="G18820" s="5">
        <v>120.9</v>
      </c>
      <c r="H18820" s="5">
        <v>120.7</v>
      </c>
      <c r="I18820" s="5"/>
      <c r="J18820" s="5"/>
      <c r="K18820" s="5"/>
    </row>
    <row r="18821" spans="1:11" x14ac:dyDescent="0.25">
      <c r="A18821" s="5">
        <f>18814</f>
      </c>
      <c r="B18821" s="5" t="s">
        <v>18829</v>
      </c>
      <c r="C18821" s="5">
        <v>122.3</v>
      </c>
      <c r="D18821" s="5">
        <v>0.1</v>
      </c>
      <c r="E18821" s="5">
        <v>122.5</v>
      </c>
      <c r="F18821" s="5">
        <v>243.2</v>
      </c>
      <c r="G18821" s="5">
        <v>120.9</v>
      </c>
      <c r="H18821" s="5">
        <v>120.7</v>
      </c>
      <c r="I18821" s="5"/>
      <c r="J18821" s="5"/>
      <c r="K18821" s="5"/>
    </row>
    <row r="18822" spans="1:11" x14ac:dyDescent="0.25">
      <c r="A18822" s="5">
        <f>18815</f>
      </c>
      <c r="B18822" s="5" t="s">
        <v>18830</v>
      </c>
      <c r="C18822" s="5">
        <v>122.5</v>
      </c>
      <c r="D18822" s="5">
        <v>0.1</v>
      </c>
      <c r="E18822" s="5">
        <v>122.6</v>
      </c>
      <c r="F18822" s="5">
        <v>244</v>
      </c>
      <c r="G18822" s="5">
        <v>121.3</v>
      </c>
      <c r="H18822" s="5">
        <v>121.1</v>
      </c>
      <c r="I18822" s="5"/>
      <c r="J18822" s="5"/>
      <c r="K18822" s="5"/>
    </row>
    <row r="18823" spans="1:11" x14ac:dyDescent="0.25">
      <c r="A18823" s="5">
        <f>18816</f>
      </c>
      <c r="B18823" s="5" t="s">
        <v>18831</v>
      </c>
      <c r="C18823" s="5">
        <v>122.5</v>
      </c>
      <c r="D18823" s="5">
        <v>0.1</v>
      </c>
      <c r="E18823" s="5">
        <v>122.6</v>
      </c>
      <c r="F18823" s="5">
        <v>244</v>
      </c>
      <c r="G18823" s="5">
        <v>121.3</v>
      </c>
      <c r="H18823" s="5">
        <v>121.1</v>
      </c>
      <c r="I18823" s="5"/>
      <c r="J18823" s="5"/>
      <c r="K18823" s="5"/>
    </row>
    <row r="18824" spans="1:11" x14ac:dyDescent="0.25">
      <c r="A18824" s="5">
        <f>18817</f>
      </c>
      <c r="B18824" s="5" t="s">
        <v>18832</v>
      </c>
      <c r="C18824" s="5">
        <v>122.5</v>
      </c>
      <c r="D18824" s="5">
        <v>0.1</v>
      </c>
      <c r="E18824" s="5">
        <v>122.6</v>
      </c>
      <c r="F18824" s="5">
        <v>244</v>
      </c>
      <c r="G18824" s="5">
        <v>121.3</v>
      </c>
      <c r="H18824" s="5">
        <v>121.1</v>
      </c>
      <c r="I18824" s="5"/>
      <c r="J18824" s="5"/>
      <c r="K18824" s="5"/>
    </row>
    <row r="18825" spans="1:11" x14ac:dyDescent="0.25">
      <c r="A18825" s="5">
        <f>18818</f>
      </c>
      <c r="B18825" s="5" t="s">
        <v>18833</v>
      </c>
      <c r="C18825" s="5">
        <v>122.5</v>
      </c>
      <c r="D18825" s="5">
        <v>0.1</v>
      </c>
      <c r="E18825" s="5">
        <v>122.6</v>
      </c>
      <c r="F18825" s="5">
        <v>244</v>
      </c>
      <c r="G18825" s="5">
        <v>121.3</v>
      </c>
      <c r="H18825" s="5">
        <v>121.1</v>
      </c>
      <c r="I18825" s="5"/>
      <c r="J18825" s="5"/>
      <c r="K18825" s="5"/>
    </row>
    <row r="18826" spans="1:11" x14ac:dyDescent="0.25">
      <c r="A18826" s="5">
        <f>18819</f>
      </c>
      <c r="B18826" s="5" t="s">
        <v>18834</v>
      </c>
      <c r="C18826" s="5">
        <v>122.3</v>
      </c>
      <c r="D18826" s="5">
        <v>0.1</v>
      </c>
      <c r="E18826" s="5">
        <v>122.5</v>
      </c>
      <c r="F18826" s="5">
        <v>243.5</v>
      </c>
      <c r="G18826" s="5">
        <v>121.1</v>
      </c>
      <c r="H18826" s="5">
        <v>120.9</v>
      </c>
      <c r="I18826" s="5"/>
      <c r="J18826" s="5"/>
      <c r="K18826" s="5"/>
    </row>
    <row r="18827" spans="1:11" x14ac:dyDescent="0.25">
      <c r="A18827" s="5">
        <f>18820</f>
      </c>
      <c r="B18827" s="5" t="s">
        <v>18835</v>
      </c>
      <c r="C18827" s="5">
        <v>122.3</v>
      </c>
      <c r="D18827" s="5">
        <v>0.1</v>
      </c>
      <c r="E18827" s="5">
        <v>122.5</v>
      </c>
      <c r="F18827" s="5">
        <v>243.5</v>
      </c>
      <c r="G18827" s="5">
        <v>121.1</v>
      </c>
      <c r="H18827" s="5">
        <v>120.9</v>
      </c>
      <c r="I18827" s="5"/>
      <c r="J18827" s="5"/>
      <c r="K18827" s="5"/>
    </row>
    <row r="18828" spans="1:11" x14ac:dyDescent="0.25">
      <c r="A18828" s="5">
        <f>18821</f>
      </c>
      <c r="B18828" s="5" t="s">
        <v>18836</v>
      </c>
      <c r="C18828" s="5">
        <v>122.5</v>
      </c>
      <c r="D18828" s="5">
        <v>0.1</v>
      </c>
      <c r="E18828" s="5">
        <v>122.7</v>
      </c>
      <c r="F18828" s="5">
        <v>244.1</v>
      </c>
      <c r="G18828" s="5">
        <v>121.3</v>
      </c>
      <c r="H18828" s="5">
        <v>121.2</v>
      </c>
      <c r="I18828" s="5"/>
      <c r="J18828" s="5"/>
      <c r="K18828" s="5"/>
    </row>
    <row r="18829" spans="1:11" x14ac:dyDescent="0.25">
      <c r="A18829" s="5">
        <f>18822</f>
      </c>
      <c r="B18829" s="5" t="s">
        <v>18837</v>
      </c>
      <c r="C18829" s="5">
        <v>122.5</v>
      </c>
      <c r="D18829" s="5">
        <v>0.1</v>
      </c>
      <c r="E18829" s="5">
        <v>122.7</v>
      </c>
      <c r="F18829" s="5">
        <v>244.1</v>
      </c>
      <c r="G18829" s="5">
        <v>121.3</v>
      </c>
      <c r="H18829" s="5">
        <v>121.2</v>
      </c>
      <c r="I18829" s="5"/>
      <c r="J18829" s="5"/>
      <c r="K18829" s="5"/>
    </row>
    <row r="18830" spans="1:11" x14ac:dyDescent="0.25">
      <c r="A18830" s="5">
        <f>18823</f>
      </c>
      <c r="B18830" s="5" t="s">
        <v>18838</v>
      </c>
      <c r="C18830" s="5">
        <v>122.4</v>
      </c>
      <c r="D18830" s="5">
        <v>0.1</v>
      </c>
      <c r="E18830" s="5">
        <v>122.6</v>
      </c>
      <c r="F18830" s="5">
        <v>243.6</v>
      </c>
      <c r="G18830" s="5">
        <v>121.1</v>
      </c>
      <c r="H18830" s="5">
        <v>120.9</v>
      </c>
      <c r="I18830" s="5"/>
      <c r="J18830" s="5"/>
      <c r="K18830" s="5"/>
    </row>
    <row r="18831" spans="1:11" x14ac:dyDescent="0.25">
      <c r="A18831" s="5">
        <f>18824</f>
      </c>
      <c r="B18831" s="5" t="s">
        <v>18839</v>
      </c>
      <c r="C18831" s="5">
        <v>122.4</v>
      </c>
      <c r="D18831" s="5">
        <v>0.1</v>
      </c>
      <c r="E18831" s="5">
        <v>122.6</v>
      </c>
      <c r="F18831" s="5">
        <v>243.6</v>
      </c>
      <c r="G18831" s="5">
        <v>121.1</v>
      </c>
      <c r="H18831" s="5">
        <v>120.9</v>
      </c>
      <c r="I18831" s="5"/>
      <c r="J18831" s="5"/>
      <c r="K18831" s="5"/>
    </row>
    <row r="18832" spans="1:11" x14ac:dyDescent="0.25">
      <c r="A18832" s="5">
        <f>18825</f>
      </c>
      <c r="B18832" s="5" t="s">
        <v>18840</v>
      </c>
      <c r="C18832" s="5">
        <v>122.8</v>
      </c>
      <c r="D18832" s="5">
        <v>0.1</v>
      </c>
      <c r="E18832" s="5">
        <v>123</v>
      </c>
      <c r="F18832" s="5">
        <v>244.3</v>
      </c>
      <c r="G18832" s="5">
        <v>121.5</v>
      </c>
      <c r="H18832" s="5">
        <v>121.3</v>
      </c>
      <c r="I18832" s="5"/>
      <c r="J18832" s="5"/>
      <c r="K18832" s="5"/>
    </row>
    <row r="18833" spans="1:11" x14ac:dyDescent="0.25">
      <c r="A18833" s="5">
        <f>18826</f>
      </c>
      <c r="B18833" s="5" t="s">
        <v>18841</v>
      </c>
      <c r="C18833" s="5">
        <v>122.8</v>
      </c>
      <c r="D18833" s="5">
        <v>0.1</v>
      </c>
      <c r="E18833" s="5">
        <v>123</v>
      </c>
      <c r="F18833" s="5">
        <v>244.3</v>
      </c>
      <c r="G18833" s="5">
        <v>121.5</v>
      </c>
      <c r="H18833" s="5">
        <v>121.3</v>
      </c>
      <c r="I18833" s="5"/>
      <c r="J18833" s="5"/>
      <c r="K18833" s="5"/>
    </row>
    <row r="18834" spans="1:11" x14ac:dyDescent="0.25">
      <c r="A18834" s="5">
        <f>18827</f>
      </c>
      <c r="B18834" s="5" t="s">
        <v>18842</v>
      </c>
      <c r="C18834" s="5">
        <v>122.8</v>
      </c>
      <c r="D18834" s="5">
        <v>0.1</v>
      </c>
      <c r="E18834" s="5">
        <v>123</v>
      </c>
      <c r="F18834" s="5">
        <v>244.3</v>
      </c>
      <c r="G18834" s="5">
        <v>121.5</v>
      </c>
      <c r="H18834" s="5">
        <v>121.3</v>
      </c>
      <c r="I18834" s="5"/>
      <c r="J18834" s="5"/>
      <c r="K18834" s="5"/>
    </row>
    <row r="18835" spans="1:11" x14ac:dyDescent="0.25">
      <c r="A18835" s="5">
        <f>18828</f>
      </c>
      <c r="B18835" s="5" t="s">
        <v>18843</v>
      </c>
      <c r="C18835" s="5">
        <v>122.8</v>
      </c>
      <c r="D18835" s="5">
        <v>0.1</v>
      </c>
      <c r="E18835" s="5">
        <v>123</v>
      </c>
      <c r="F18835" s="5">
        <v>244.3</v>
      </c>
      <c r="G18835" s="5">
        <v>121.5</v>
      </c>
      <c r="H18835" s="5">
        <v>121.3</v>
      </c>
      <c r="I18835" s="5"/>
      <c r="J18835" s="5"/>
      <c r="K18835" s="5"/>
    </row>
    <row r="18836" spans="1:11" x14ac:dyDescent="0.25">
      <c r="A18836" s="5">
        <f>18829</f>
      </c>
      <c r="B18836" s="5" t="s">
        <v>18844</v>
      </c>
      <c r="C18836" s="5">
        <v>122.5</v>
      </c>
      <c r="D18836" s="5">
        <v>0.1</v>
      </c>
      <c r="E18836" s="5">
        <v>122.7</v>
      </c>
      <c r="F18836" s="5">
        <v>243.7</v>
      </c>
      <c r="G18836" s="5">
        <v>121.1</v>
      </c>
      <c r="H18836" s="5">
        <v>121</v>
      </c>
      <c r="I18836" s="5"/>
      <c r="J18836" s="5"/>
      <c r="K18836" s="5"/>
    </row>
    <row r="18837" spans="1:11" x14ac:dyDescent="0.25">
      <c r="A18837" s="5">
        <f>18830</f>
      </c>
      <c r="B18837" s="5" t="s">
        <v>18845</v>
      </c>
      <c r="C18837" s="5">
        <v>122.5</v>
      </c>
      <c r="D18837" s="5">
        <v>0.1</v>
      </c>
      <c r="E18837" s="5">
        <v>122.7</v>
      </c>
      <c r="F18837" s="5">
        <v>243.7</v>
      </c>
      <c r="G18837" s="5">
        <v>121.1</v>
      </c>
      <c r="H18837" s="5">
        <v>121</v>
      </c>
      <c r="I18837" s="5"/>
      <c r="J18837" s="5"/>
      <c r="K18837" s="5"/>
    </row>
    <row r="18838" spans="1:11" x14ac:dyDescent="0.25">
      <c r="A18838" s="5">
        <f>18831</f>
      </c>
      <c r="B18838" s="5" t="s">
        <v>18846</v>
      </c>
      <c r="C18838" s="5">
        <v>122.3</v>
      </c>
      <c r="D18838" s="5">
        <v>0.1</v>
      </c>
      <c r="E18838" s="5">
        <v>122.5</v>
      </c>
      <c r="F18838" s="5">
        <v>243.6</v>
      </c>
      <c r="G18838" s="5">
        <v>121.1</v>
      </c>
      <c r="H18838" s="5">
        <v>121</v>
      </c>
      <c r="I18838" s="5"/>
      <c r="J18838" s="5"/>
      <c r="K18838" s="5"/>
    </row>
    <row r="18839" spans="1:11" x14ac:dyDescent="0.25">
      <c r="A18839" s="5">
        <f>18832</f>
      </c>
      <c r="B18839" s="5" t="s">
        <v>18847</v>
      </c>
      <c r="C18839" s="5">
        <v>122.3</v>
      </c>
      <c r="D18839" s="5">
        <v>0.1</v>
      </c>
      <c r="E18839" s="5">
        <v>122.5</v>
      </c>
      <c r="F18839" s="5">
        <v>243.6</v>
      </c>
      <c r="G18839" s="5">
        <v>121.1</v>
      </c>
      <c r="H18839" s="5">
        <v>121</v>
      </c>
      <c r="I18839" s="5"/>
      <c r="J18839" s="5"/>
      <c r="K18839" s="5"/>
    </row>
    <row r="18840" spans="1:11" x14ac:dyDescent="0.25">
      <c r="A18840" s="5">
        <f>18833</f>
      </c>
      <c r="B18840" s="5" t="s">
        <v>18848</v>
      </c>
      <c r="C18840" s="5">
        <v>122.6</v>
      </c>
      <c r="D18840" s="5">
        <v>0.1</v>
      </c>
      <c r="E18840" s="5">
        <v>122.8</v>
      </c>
      <c r="F18840" s="5">
        <v>244.2</v>
      </c>
      <c r="G18840" s="5">
        <v>121.4</v>
      </c>
      <c r="H18840" s="5">
        <v>121.2</v>
      </c>
      <c r="I18840" s="5"/>
      <c r="J18840" s="5"/>
      <c r="K18840" s="5"/>
    </row>
    <row r="18841" spans="1:11" x14ac:dyDescent="0.25">
      <c r="A18841" s="5">
        <f>18834</f>
      </c>
      <c r="B18841" s="5" t="s">
        <v>18849</v>
      </c>
      <c r="C18841" s="5">
        <v>122.6</v>
      </c>
      <c r="D18841" s="5">
        <v>0.1</v>
      </c>
      <c r="E18841" s="5">
        <v>122.8</v>
      </c>
      <c r="F18841" s="5">
        <v>244.2</v>
      </c>
      <c r="G18841" s="5">
        <v>121.4</v>
      </c>
      <c r="H18841" s="5">
        <v>121.2</v>
      </c>
      <c r="I18841" s="5"/>
      <c r="J18841" s="5"/>
      <c r="K18841" s="5"/>
    </row>
    <row r="18842" spans="1:11" x14ac:dyDescent="0.25">
      <c r="A18842" s="5">
        <f>18835</f>
      </c>
      <c r="B18842" s="5" t="s">
        <v>18850</v>
      </c>
      <c r="C18842" s="5">
        <v>122.8</v>
      </c>
      <c r="D18842" s="5">
        <v>0.1</v>
      </c>
      <c r="E18842" s="5">
        <v>122.9</v>
      </c>
      <c r="F18842" s="5">
        <v>244.1</v>
      </c>
      <c r="G18842" s="5">
        <v>121.4</v>
      </c>
      <c r="H18842" s="5">
        <v>121.2</v>
      </c>
      <c r="I18842" s="5"/>
      <c r="J18842" s="5"/>
      <c r="K18842" s="5"/>
    </row>
    <row r="18843" spans="1:11" x14ac:dyDescent="0.25">
      <c r="A18843" s="5">
        <f>18836</f>
      </c>
      <c r="B18843" s="5" t="s">
        <v>18851</v>
      </c>
      <c r="C18843" s="5">
        <v>122.8</v>
      </c>
      <c r="D18843" s="5">
        <v>0.1</v>
      </c>
      <c r="E18843" s="5">
        <v>122.9</v>
      </c>
      <c r="F18843" s="5">
        <v>244.1</v>
      </c>
      <c r="G18843" s="5">
        <v>121.4</v>
      </c>
      <c r="H18843" s="5">
        <v>121.2</v>
      </c>
      <c r="I18843" s="5"/>
      <c r="J18843" s="5"/>
      <c r="K18843" s="5"/>
    </row>
    <row r="18844" spans="1:11" x14ac:dyDescent="0.25">
      <c r="A18844" s="5">
        <f>18837</f>
      </c>
      <c r="B18844" s="5" t="s">
        <v>18852</v>
      </c>
      <c r="C18844" s="5">
        <v>122.8</v>
      </c>
      <c r="D18844" s="5">
        <v>0.1</v>
      </c>
      <c r="E18844" s="5">
        <v>122.9</v>
      </c>
      <c r="F18844" s="5">
        <v>244.1</v>
      </c>
      <c r="G18844" s="5">
        <v>121.4</v>
      </c>
      <c r="H18844" s="5">
        <v>121.2</v>
      </c>
      <c r="I18844" s="5"/>
      <c r="J18844" s="5"/>
      <c r="K18844" s="5"/>
    </row>
    <row r="18845" spans="1:11" x14ac:dyDescent="0.25">
      <c r="A18845" s="5">
        <f>18838</f>
      </c>
      <c r="B18845" s="5" t="s">
        <v>18853</v>
      </c>
      <c r="C18845" s="5">
        <v>122.8</v>
      </c>
      <c r="D18845" s="5">
        <v>0.1</v>
      </c>
      <c r="E18845" s="5">
        <v>122.9</v>
      </c>
      <c r="F18845" s="5">
        <v>244.1</v>
      </c>
      <c r="G18845" s="5">
        <v>121.4</v>
      </c>
      <c r="H18845" s="5">
        <v>121.2</v>
      </c>
      <c r="I18845" s="5"/>
      <c r="J18845" s="5"/>
      <c r="K18845" s="5"/>
    </row>
    <row r="18846" spans="1:11" x14ac:dyDescent="0.25">
      <c r="A18846" s="5">
        <f>18839</f>
      </c>
      <c r="B18846" s="5" t="s">
        <v>18854</v>
      </c>
      <c r="C18846" s="5">
        <v>123.1</v>
      </c>
      <c r="D18846" s="5">
        <v>0.1</v>
      </c>
      <c r="E18846" s="5">
        <v>123.2</v>
      </c>
      <c r="F18846" s="5">
        <v>244.9</v>
      </c>
      <c r="G18846" s="5">
        <v>121.8</v>
      </c>
      <c r="H18846" s="5">
        <v>121.6</v>
      </c>
      <c r="I18846" s="5"/>
      <c r="J18846" s="5"/>
      <c r="K18846" s="5"/>
    </row>
    <row r="18847" spans="1:11" x14ac:dyDescent="0.25">
      <c r="A18847" s="5">
        <f>18840</f>
      </c>
      <c r="B18847" s="5" t="s">
        <v>18855</v>
      </c>
      <c r="C18847" s="5">
        <v>123.1</v>
      </c>
      <c r="D18847" s="5">
        <v>0.1</v>
      </c>
      <c r="E18847" s="5">
        <v>123.2</v>
      </c>
      <c r="F18847" s="5">
        <v>244.9</v>
      </c>
      <c r="G18847" s="5">
        <v>121.8</v>
      </c>
      <c r="H18847" s="5">
        <v>121.6</v>
      </c>
      <c r="I18847" s="5"/>
      <c r="J18847" s="5"/>
      <c r="K18847" s="5"/>
    </row>
    <row r="18848" spans="1:11" x14ac:dyDescent="0.25">
      <c r="A18848" s="5">
        <f>18841</f>
      </c>
      <c r="B18848" s="5" t="s">
        <v>18856</v>
      </c>
      <c r="C18848" s="5">
        <v>122.7</v>
      </c>
      <c r="D18848" s="5">
        <v>0.1</v>
      </c>
      <c r="E18848" s="5">
        <v>122.8</v>
      </c>
      <c r="F18848" s="5">
        <v>244.2</v>
      </c>
      <c r="G18848" s="5">
        <v>121.4</v>
      </c>
      <c r="H18848" s="5">
        <v>121.2</v>
      </c>
      <c r="I18848" s="5"/>
      <c r="J18848" s="5"/>
      <c r="K18848" s="5"/>
    </row>
    <row r="18849" spans="1:11" x14ac:dyDescent="0.25">
      <c r="A18849" s="5">
        <f>18842</f>
      </c>
      <c r="B18849" s="5" t="s">
        <v>18857</v>
      </c>
      <c r="C18849" s="5">
        <v>122.7</v>
      </c>
      <c r="D18849" s="5">
        <v>0.1</v>
      </c>
      <c r="E18849" s="5">
        <v>122.8</v>
      </c>
      <c r="F18849" s="5">
        <v>244.2</v>
      </c>
      <c r="G18849" s="5">
        <v>121.4</v>
      </c>
      <c r="H18849" s="5">
        <v>121.2</v>
      </c>
      <c r="I18849" s="5"/>
      <c r="J18849" s="5"/>
      <c r="K18849" s="5"/>
    </row>
    <row r="18850" spans="1:11" x14ac:dyDescent="0.25">
      <c r="A18850" s="5">
        <f>18843</f>
      </c>
      <c r="B18850" s="5" t="s">
        <v>18858</v>
      </c>
      <c r="C18850" s="5">
        <v>123</v>
      </c>
      <c r="D18850" s="5">
        <v>0.1</v>
      </c>
      <c r="E18850" s="5">
        <v>123.1</v>
      </c>
      <c r="F18850" s="5">
        <v>244.6</v>
      </c>
      <c r="G18850" s="5">
        <v>121.6</v>
      </c>
      <c r="H18850" s="5">
        <v>121.5</v>
      </c>
      <c r="I18850" s="5"/>
      <c r="J18850" s="5"/>
      <c r="K18850" s="5"/>
    </row>
    <row r="18851" spans="1:11" x14ac:dyDescent="0.25">
      <c r="A18851" s="5">
        <f>18844</f>
      </c>
      <c r="B18851" s="5" t="s">
        <v>18859</v>
      </c>
      <c r="C18851" s="5">
        <v>123</v>
      </c>
      <c r="D18851" s="5">
        <v>0.1</v>
      </c>
      <c r="E18851" s="5">
        <v>123.1</v>
      </c>
      <c r="F18851" s="5">
        <v>244.6</v>
      </c>
      <c r="G18851" s="5">
        <v>121.6</v>
      </c>
      <c r="H18851" s="5">
        <v>121.5</v>
      </c>
      <c r="I18851" s="5"/>
      <c r="J18851" s="5"/>
      <c r="K18851" s="5"/>
    </row>
    <row r="18852" spans="1:11" x14ac:dyDescent="0.25">
      <c r="A18852" s="5">
        <f>18845</f>
      </c>
      <c r="B18852" s="5" t="s">
        <v>18860</v>
      </c>
      <c r="C18852" s="5">
        <v>122.6</v>
      </c>
      <c r="D18852" s="5">
        <v>0.1</v>
      </c>
      <c r="E18852" s="5">
        <v>122.8</v>
      </c>
      <c r="F18852" s="5">
        <v>243.8</v>
      </c>
      <c r="G18852" s="5">
        <v>121.2</v>
      </c>
      <c r="H18852" s="5">
        <v>121</v>
      </c>
      <c r="I18852" s="5"/>
      <c r="J18852" s="5"/>
      <c r="K18852" s="5"/>
    </row>
    <row r="18853" spans="1:11" x14ac:dyDescent="0.25">
      <c r="A18853" s="5">
        <f>18846</f>
      </c>
      <c r="B18853" s="5" t="s">
        <v>18861</v>
      </c>
      <c r="C18853" s="5">
        <v>122.6</v>
      </c>
      <c r="D18853" s="5">
        <v>0.1</v>
      </c>
      <c r="E18853" s="5">
        <v>122.8</v>
      </c>
      <c r="F18853" s="5">
        <v>243.8</v>
      </c>
      <c r="G18853" s="5">
        <v>121.2</v>
      </c>
      <c r="H18853" s="5">
        <v>121</v>
      </c>
      <c r="I18853" s="5"/>
      <c r="J18853" s="5"/>
      <c r="K18853" s="5"/>
    </row>
    <row r="18854" spans="1:11" x14ac:dyDescent="0.25">
      <c r="A18854" s="5">
        <f>18847</f>
      </c>
      <c r="B18854" s="5" t="s">
        <v>18862</v>
      </c>
      <c r="C18854" s="5">
        <v>122.6</v>
      </c>
      <c r="D18854" s="5">
        <v>0.1</v>
      </c>
      <c r="E18854" s="5">
        <v>122.8</v>
      </c>
      <c r="F18854" s="5">
        <v>243.8</v>
      </c>
      <c r="G18854" s="5">
        <v>121.2</v>
      </c>
      <c r="H18854" s="5">
        <v>121</v>
      </c>
      <c r="I18854" s="5"/>
      <c r="J18854" s="5"/>
      <c r="K18854" s="5"/>
    </row>
    <row r="18855" spans="1:11" x14ac:dyDescent="0.25">
      <c r="A18855" s="5">
        <f>18848</f>
      </c>
      <c r="B18855" s="5" t="s">
        <v>18863</v>
      </c>
      <c r="C18855" s="5">
        <v>122.6</v>
      </c>
      <c r="D18855" s="5">
        <v>0.1</v>
      </c>
      <c r="E18855" s="5">
        <v>122.8</v>
      </c>
      <c r="F18855" s="5">
        <v>244</v>
      </c>
      <c r="G18855" s="5">
        <v>121.3</v>
      </c>
      <c r="H18855" s="5">
        <v>121.1</v>
      </c>
      <c r="I18855" s="5"/>
      <c r="J18855" s="5"/>
      <c r="K18855" s="5"/>
    </row>
    <row r="18856" spans="1:11" x14ac:dyDescent="0.25">
      <c r="A18856" s="5">
        <f>18849</f>
      </c>
      <c r="B18856" s="5" t="s">
        <v>18864</v>
      </c>
      <c r="C18856" s="5">
        <v>122.7</v>
      </c>
      <c r="D18856" s="5">
        <v>0.1</v>
      </c>
      <c r="E18856" s="5">
        <v>122.8</v>
      </c>
      <c r="F18856" s="5">
        <v>244</v>
      </c>
      <c r="G18856" s="5">
        <v>121.3</v>
      </c>
      <c r="H18856" s="5">
        <v>121.1</v>
      </c>
      <c r="I18856" s="5"/>
      <c r="J18856" s="5"/>
      <c r="K18856" s="5"/>
    </row>
    <row r="18857" spans="1:11" x14ac:dyDescent="0.25">
      <c r="A18857" s="5">
        <f>18850</f>
      </c>
      <c r="B18857" s="5" t="s">
        <v>18865</v>
      </c>
      <c r="C18857" s="5">
        <v>122.7</v>
      </c>
      <c r="D18857" s="5">
        <v>0.1</v>
      </c>
      <c r="E18857" s="5">
        <v>122.8</v>
      </c>
      <c r="F18857" s="5">
        <v>244</v>
      </c>
      <c r="G18857" s="5">
        <v>121.2</v>
      </c>
      <c r="H18857" s="5">
        <v>121</v>
      </c>
      <c r="I18857" s="5"/>
      <c r="J18857" s="5"/>
      <c r="K18857" s="5"/>
    </row>
    <row r="18858" spans="1:11" x14ac:dyDescent="0.25">
      <c r="A18858" s="5">
        <f>18851</f>
      </c>
      <c r="B18858" s="5" t="s">
        <v>18866</v>
      </c>
      <c r="C18858" s="5">
        <v>122.8</v>
      </c>
      <c r="D18858" s="5">
        <v>0.1</v>
      </c>
      <c r="E18858" s="5">
        <v>123</v>
      </c>
      <c r="F18858" s="5">
        <v>243.7</v>
      </c>
      <c r="G18858" s="5">
        <v>121.2</v>
      </c>
      <c r="H18858" s="5">
        <v>121</v>
      </c>
      <c r="I18858" s="5"/>
      <c r="J18858" s="5"/>
      <c r="K18858" s="5"/>
    </row>
    <row r="18859" spans="1:11" x14ac:dyDescent="0.25">
      <c r="A18859" s="5">
        <f>18852</f>
      </c>
      <c r="B18859" s="5" t="s">
        <v>18867</v>
      </c>
      <c r="C18859" s="5">
        <v>122.8</v>
      </c>
      <c r="D18859" s="5">
        <v>0.1</v>
      </c>
      <c r="E18859" s="5">
        <v>123</v>
      </c>
      <c r="F18859" s="5">
        <v>243.7</v>
      </c>
      <c r="G18859" s="5">
        <v>121.1</v>
      </c>
      <c r="H18859" s="5">
        <v>120.9</v>
      </c>
      <c r="I18859" s="5"/>
      <c r="J18859" s="5"/>
      <c r="K18859" s="5"/>
    </row>
    <row r="18860" spans="1:11" x14ac:dyDescent="0.25">
      <c r="A18860" s="5">
        <f>18853</f>
      </c>
      <c r="B18860" s="5" t="s">
        <v>18868</v>
      </c>
      <c r="C18860" s="5">
        <v>122.3</v>
      </c>
      <c r="D18860" s="5">
        <v>0.1</v>
      </c>
      <c r="E18860" s="5">
        <v>122.5</v>
      </c>
      <c r="F18860" s="5">
        <v>243.5</v>
      </c>
      <c r="G18860" s="5">
        <v>121.1</v>
      </c>
      <c r="H18860" s="5">
        <v>120.9</v>
      </c>
      <c r="I18860" s="5"/>
      <c r="J18860" s="5"/>
      <c r="K18860" s="5"/>
    </row>
    <row r="18861" spans="1:11" x14ac:dyDescent="0.25">
      <c r="A18861" s="5">
        <f>18854</f>
      </c>
      <c r="B18861" s="5" t="s">
        <v>18869</v>
      </c>
      <c r="C18861" s="5">
        <v>122.3</v>
      </c>
      <c r="D18861" s="5">
        <v>0.1</v>
      </c>
      <c r="E18861" s="5">
        <v>122.5</v>
      </c>
      <c r="F18861" s="5">
        <v>243.5</v>
      </c>
      <c r="G18861" s="5">
        <v>121.1</v>
      </c>
      <c r="H18861" s="5">
        <v>117.3</v>
      </c>
      <c r="I18861" s="5"/>
      <c r="J18861" s="5"/>
      <c r="K18861" s="5"/>
    </row>
    <row r="18862" spans="1:11" x14ac:dyDescent="0.25">
      <c r="A18862" s="5">
        <f>18855</f>
      </c>
      <c r="B18862" s="5" t="s">
        <v>18870</v>
      </c>
      <c r="C18862" s="5">
        <v>118.6</v>
      </c>
      <c r="D18862" s="5">
        <v>0.1</v>
      </c>
      <c r="E18862" s="5">
        <v>118.8</v>
      </c>
      <c r="F18862" s="5">
        <v>236.2</v>
      </c>
      <c r="G18862" s="5">
        <v>117.4</v>
      </c>
      <c r="H18862" s="5">
        <v>117.3</v>
      </c>
      <c r="I18862" s="5"/>
      <c r="J18862" s="5"/>
      <c r="K18862" s="5"/>
    </row>
    <row r="18863" spans="1:11" x14ac:dyDescent="0.25">
      <c r="A18863" s="5">
        <f>18856</f>
      </c>
      <c r="B18863" s="5" t="s">
        <v>18871</v>
      </c>
      <c r="C18863" s="5">
        <v>118.6</v>
      </c>
      <c r="D18863" s="5">
        <v>0.1</v>
      </c>
      <c r="E18863" s="5">
        <v>118.8</v>
      </c>
      <c r="F18863" s="5">
        <v>236.2</v>
      </c>
      <c r="G18863" s="5">
        <v>117.4</v>
      </c>
      <c r="H18863" s="5">
        <v>117.3</v>
      </c>
      <c r="I18863" s="5"/>
      <c r="J18863" s="5"/>
      <c r="K18863" s="5"/>
    </row>
    <row r="18864" spans="1:11" x14ac:dyDescent="0.25">
      <c r="A18864" s="5">
        <f>18857</f>
      </c>
      <c r="B18864" s="5" t="s">
        <v>18872</v>
      </c>
      <c r="C18864" s="5">
        <v>118.6</v>
      </c>
      <c r="D18864" s="5">
        <v>0.1</v>
      </c>
      <c r="E18864" s="5">
        <v>118.8</v>
      </c>
      <c r="F18864" s="5">
        <v>236.2</v>
      </c>
      <c r="G18864" s="5">
        <v>117.4</v>
      </c>
      <c r="H18864" s="5">
        <v>117.3</v>
      </c>
      <c r="I18864" s="5"/>
      <c r="J18864" s="5"/>
      <c r="K18864" s="5"/>
    </row>
    <row r="18865" spans="1:11" x14ac:dyDescent="0.25">
      <c r="A18865" s="5">
        <f>18858</f>
      </c>
      <c r="B18865" s="5" t="s">
        <v>18873</v>
      </c>
      <c r="C18865" s="5">
        <v>117.7</v>
      </c>
      <c r="D18865" s="5">
        <v>0.1</v>
      </c>
      <c r="E18865" s="5">
        <v>118</v>
      </c>
      <c r="F18865" s="5">
        <v>234.4</v>
      </c>
      <c r="G18865" s="5">
        <v>116.5</v>
      </c>
      <c r="H18865" s="5">
        <v>116.4</v>
      </c>
      <c r="I18865" s="5"/>
      <c r="J18865" s="5"/>
      <c r="K18865" s="5"/>
    </row>
    <row r="18866" spans="1:11" x14ac:dyDescent="0.25">
      <c r="A18866" s="5">
        <f>18859</f>
      </c>
      <c r="B18866" s="5" t="s">
        <v>18874</v>
      </c>
      <c r="C18866" s="5">
        <v>117.7</v>
      </c>
      <c r="D18866" s="5">
        <v>0.1</v>
      </c>
      <c r="E18866" s="5">
        <v>118</v>
      </c>
      <c r="F18866" s="5">
        <v>234.4</v>
      </c>
      <c r="G18866" s="5">
        <v>116.5</v>
      </c>
      <c r="H18866" s="5">
        <v>116.4</v>
      </c>
      <c r="I18866" s="5"/>
      <c r="J18866" s="5"/>
      <c r="K18866" s="5"/>
    </row>
    <row r="18867" spans="1:11" x14ac:dyDescent="0.25">
      <c r="A18867" s="5">
        <f>18860</f>
      </c>
      <c r="B18867" s="5" t="s">
        <v>18875</v>
      </c>
      <c r="C18867" s="5">
        <v>117.9</v>
      </c>
      <c r="D18867" s="5">
        <v>0.1</v>
      </c>
      <c r="E18867" s="5">
        <v>118</v>
      </c>
      <c r="F18867" s="5">
        <v>234.3</v>
      </c>
      <c r="G18867" s="5">
        <v>116.5</v>
      </c>
      <c r="H18867" s="5">
        <v>116.4</v>
      </c>
      <c r="I18867" s="5"/>
      <c r="J18867" s="5"/>
      <c r="K18867" s="5"/>
    </row>
    <row r="18868" spans="1:11" x14ac:dyDescent="0.25">
      <c r="A18868" s="5">
        <f>18861</f>
      </c>
      <c r="B18868" s="5" t="s">
        <v>18876</v>
      </c>
      <c r="C18868" s="5">
        <v>117.9</v>
      </c>
      <c r="D18868" s="5">
        <v>0.1</v>
      </c>
      <c r="E18868" s="5">
        <v>118</v>
      </c>
      <c r="F18868" s="5">
        <v>234.3</v>
      </c>
      <c r="G18868" s="5">
        <v>116.5</v>
      </c>
      <c r="H18868" s="5">
        <v>116.4</v>
      </c>
      <c r="I18868" s="5"/>
      <c r="J18868" s="5"/>
      <c r="K18868" s="5"/>
    </row>
    <row r="18869" spans="1:11" x14ac:dyDescent="0.25">
      <c r="A18869" s="5">
        <f>18862</f>
      </c>
      <c r="B18869" s="5" t="s">
        <v>18877</v>
      </c>
      <c r="C18869" s="5">
        <v>117.8</v>
      </c>
      <c r="D18869" s="5">
        <v>0.1</v>
      </c>
      <c r="E18869" s="5">
        <v>118</v>
      </c>
      <c r="F18869" s="5">
        <v>234.3</v>
      </c>
      <c r="G18869" s="5">
        <v>116.5</v>
      </c>
      <c r="H18869" s="5">
        <v>116.4</v>
      </c>
      <c r="I18869" s="5"/>
      <c r="J18869" s="5"/>
      <c r="K18869" s="5"/>
    </row>
    <row r="18870" spans="1:11" x14ac:dyDescent="0.25">
      <c r="A18870" s="5">
        <f>18863</f>
      </c>
      <c r="B18870" s="5" t="s">
        <v>18878</v>
      </c>
      <c r="C18870" s="5">
        <v>117.8</v>
      </c>
      <c r="D18870" s="5">
        <v>0.1</v>
      </c>
      <c r="E18870" s="5">
        <v>118</v>
      </c>
      <c r="F18870" s="5">
        <v>234.4</v>
      </c>
      <c r="G18870" s="5">
        <v>116.6</v>
      </c>
      <c r="H18870" s="5">
        <v>116.4</v>
      </c>
      <c r="I18870" s="5"/>
      <c r="J18870" s="5"/>
      <c r="K18870" s="5"/>
    </row>
    <row r="18871" spans="1:11" x14ac:dyDescent="0.25">
      <c r="A18871" s="5">
        <f>18864</f>
      </c>
      <c r="B18871" s="5" t="s">
        <v>18879</v>
      </c>
      <c r="C18871" s="5">
        <v>117.9</v>
      </c>
      <c r="D18871" s="5">
        <v>0.1</v>
      </c>
      <c r="E18871" s="5">
        <v>118</v>
      </c>
      <c r="F18871" s="5">
        <v>234.4</v>
      </c>
      <c r="G18871" s="5">
        <v>116.6</v>
      </c>
      <c r="H18871" s="5">
        <v>116.4</v>
      </c>
      <c r="I18871" s="5"/>
      <c r="J18871" s="5"/>
      <c r="K18871" s="5"/>
    </row>
    <row r="18872" spans="1:11" x14ac:dyDescent="0.25">
      <c r="A18872" s="5">
        <f>18865</f>
      </c>
      <c r="B18872" s="5" t="s">
        <v>18880</v>
      </c>
      <c r="C18872" s="5">
        <v>117.9</v>
      </c>
      <c r="D18872" s="5">
        <v>0.1</v>
      </c>
      <c r="E18872" s="5">
        <v>118</v>
      </c>
      <c r="F18872" s="5">
        <v>234.6</v>
      </c>
      <c r="G18872" s="5">
        <v>116.6</v>
      </c>
      <c r="H18872" s="5">
        <v>116.5</v>
      </c>
      <c r="I18872" s="5"/>
      <c r="J18872" s="5"/>
      <c r="K18872" s="5"/>
    </row>
    <row r="18873" spans="1:11" x14ac:dyDescent="0.25">
      <c r="A18873" s="5">
        <f>18866</f>
      </c>
      <c r="B18873" s="5" t="s">
        <v>18881</v>
      </c>
      <c r="C18873" s="5">
        <v>117.9</v>
      </c>
      <c r="D18873" s="5">
        <v>0.1</v>
      </c>
      <c r="E18873" s="5">
        <v>118</v>
      </c>
      <c r="F18873" s="5">
        <v>234.6</v>
      </c>
      <c r="G18873" s="5">
        <v>116.6</v>
      </c>
      <c r="H18873" s="5">
        <v>116.5</v>
      </c>
      <c r="I18873" s="5"/>
      <c r="J18873" s="5"/>
      <c r="K18873" s="5"/>
    </row>
    <row r="18874" spans="1:11" x14ac:dyDescent="0.25">
      <c r="A18874" s="5">
        <f>18867</f>
      </c>
      <c r="B18874" s="5" t="s">
        <v>18882</v>
      </c>
      <c r="C18874" s="5">
        <v>117.9</v>
      </c>
      <c r="D18874" s="5">
        <v>0.1</v>
      </c>
      <c r="E18874" s="5">
        <v>118</v>
      </c>
      <c r="F18874" s="5">
        <v>234.6</v>
      </c>
      <c r="G18874" s="5">
        <v>116.6</v>
      </c>
      <c r="H18874" s="5">
        <v>116.5</v>
      </c>
      <c r="I18874" s="5"/>
      <c r="J18874" s="5"/>
      <c r="K18874" s="5"/>
    </row>
    <row r="18875" spans="1:11" x14ac:dyDescent="0.25">
      <c r="A18875" s="5">
        <f>18868</f>
      </c>
      <c r="B18875" s="5" t="s">
        <v>18883</v>
      </c>
      <c r="C18875" s="5">
        <v>117.9</v>
      </c>
      <c r="D18875" s="5">
        <v>0.1</v>
      </c>
      <c r="E18875" s="5">
        <v>118</v>
      </c>
      <c r="F18875" s="5">
        <v>234.6</v>
      </c>
      <c r="G18875" s="5">
        <v>116.6</v>
      </c>
      <c r="H18875" s="5">
        <v>116.5</v>
      </c>
      <c r="I18875" s="5"/>
      <c r="J18875" s="5"/>
      <c r="K18875" s="5"/>
    </row>
    <row r="18876" spans="1:11" x14ac:dyDescent="0.25">
      <c r="A18876" s="5">
        <f>18869</f>
      </c>
      <c r="B18876" s="5" t="s">
        <v>18884</v>
      </c>
      <c r="C18876" s="5">
        <v>118.1</v>
      </c>
      <c r="D18876" s="5">
        <v>0.1</v>
      </c>
      <c r="E18876" s="5">
        <v>118.3</v>
      </c>
      <c r="F18876" s="5">
        <v>235</v>
      </c>
      <c r="G18876" s="5">
        <v>116.8</v>
      </c>
      <c r="H18876" s="5">
        <v>116.7</v>
      </c>
      <c r="I18876" s="5"/>
      <c r="J18876" s="5"/>
      <c r="K18876" s="5"/>
    </row>
    <row r="18877" spans="1:11" x14ac:dyDescent="0.25">
      <c r="A18877" s="5">
        <f>18870</f>
      </c>
      <c r="B18877" s="5" t="s">
        <v>18885</v>
      </c>
      <c r="C18877" s="5">
        <v>118.1</v>
      </c>
      <c r="D18877" s="5">
        <v>0.1</v>
      </c>
      <c r="E18877" s="5">
        <v>118.3</v>
      </c>
      <c r="F18877" s="5">
        <v>235</v>
      </c>
      <c r="G18877" s="5">
        <v>116.8</v>
      </c>
      <c r="H18877" s="5">
        <v>116.7</v>
      </c>
      <c r="I18877" s="5"/>
      <c r="J18877" s="5"/>
      <c r="K18877" s="5"/>
    </row>
    <row r="18878" spans="1:11" x14ac:dyDescent="0.25">
      <c r="A18878" s="5">
        <f>18871</f>
      </c>
      <c r="B18878" s="5" t="s">
        <v>18886</v>
      </c>
      <c r="C18878" s="5">
        <v>118.3</v>
      </c>
      <c r="D18878" s="5">
        <v>0.1</v>
      </c>
      <c r="E18878" s="5">
        <v>118.4</v>
      </c>
      <c r="F18878" s="5">
        <v>235.4</v>
      </c>
      <c r="G18878" s="5">
        <v>117.1</v>
      </c>
      <c r="H18878" s="5">
        <v>116.9</v>
      </c>
      <c r="I18878" s="5"/>
      <c r="J18878" s="5"/>
      <c r="K18878" s="5"/>
    </row>
    <row r="18879" spans="1:11" x14ac:dyDescent="0.25">
      <c r="A18879" s="5">
        <f>18872</f>
      </c>
      <c r="B18879" s="5" t="s">
        <v>18887</v>
      </c>
      <c r="C18879" s="5">
        <v>118.3</v>
      </c>
      <c r="D18879" s="5">
        <v>0.1</v>
      </c>
      <c r="E18879" s="5">
        <v>118.4</v>
      </c>
      <c r="F18879" s="5">
        <v>235.4</v>
      </c>
      <c r="G18879" s="5">
        <v>117.1</v>
      </c>
      <c r="H18879" s="5">
        <v>116.9</v>
      </c>
      <c r="I18879" s="5"/>
      <c r="J18879" s="5"/>
      <c r="K18879" s="5"/>
    </row>
    <row r="18880" spans="1:11" x14ac:dyDescent="0.25">
      <c r="A18880" s="5">
        <f>18873</f>
      </c>
      <c r="B18880" s="5" t="s">
        <v>18888</v>
      </c>
      <c r="C18880" s="5">
        <v>118.1</v>
      </c>
      <c r="D18880" s="5">
        <v>0.1</v>
      </c>
      <c r="E18880" s="5">
        <v>118.3</v>
      </c>
      <c r="F18880" s="5">
        <v>234.9</v>
      </c>
      <c r="G18880" s="5">
        <v>116.8</v>
      </c>
      <c r="H18880" s="5">
        <v>116.6</v>
      </c>
      <c r="I18880" s="5"/>
      <c r="J18880" s="5"/>
      <c r="K18880" s="5"/>
    </row>
    <row r="18881" spans="1:11" x14ac:dyDescent="0.25">
      <c r="A18881" s="5">
        <f>18874</f>
      </c>
      <c r="B18881" s="5" t="s">
        <v>18889</v>
      </c>
      <c r="C18881" s="5">
        <v>118.1</v>
      </c>
      <c r="D18881" s="5">
        <v>0.1</v>
      </c>
      <c r="E18881" s="5">
        <v>118.3</v>
      </c>
      <c r="F18881" s="5">
        <v>234.9</v>
      </c>
      <c r="G18881" s="5">
        <v>116.8</v>
      </c>
      <c r="H18881" s="5">
        <v>116.6</v>
      </c>
      <c r="I18881" s="5"/>
      <c r="J18881" s="5"/>
      <c r="K18881" s="5"/>
    </row>
    <row r="18882" spans="1:11" x14ac:dyDescent="0.25">
      <c r="A18882" s="5">
        <f>18875</f>
      </c>
      <c r="B18882" s="5" t="s">
        <v>18890</v>
      </c>
      <c r="C18882" s="5">
        <v>118.1</v>
      </c>
      <c r="D18882" s="5">
        <v>0.1</v>
      </c>
      <c r="E18882" s="5">
        <v>118.3</v>
      </c>
      <c r="F18882" s="5">
        <v>235.2</v>
      </c>
      <c r="G18882" s="5">
        <v>116.9</v>
      </c>
      <c r="H18882" s="5">
        <v>116.8</v>
      </c>
      <c r="I18882" s="5"/>
      <c r="J18882" s="5"/>
      <c r="K18882" s="5"/>
    </row>
    <row r="18883" spans="1:11" x14ac:dyDescent="0.25">
      <c r="A18883" s="5">
        <f>18876</f>
      </c>
      <c r="B18883" s="5" t="s">
        <v>18891</v>
      </c>
      <c r="C18883" s="5">
        <v>118.1</v>
      </c>
      <c r="D18883" s="5">
        <v>0.1</v>
      </c>
      <c r="E18883" s="5">
        <v>118.3</v>
      </c>
      <c r="F18883" s="5">
        <v>235.2</v>
      </c>
      <c r="G18883" s="5">
        <v>116.9</v>
      </c>
      <c r="H18883" s="5">
        <v>116.8</v>
      </c>
      <c r="I18883" s="5"/>
      <c r="J18883" s="5"/>
      <c r="K18883" s="5"/>
    </row>
    <row r="18884" spans="1:11" x14ac:dyDescent="0.25">
      <c r="A18884" s="5">
        <f>18877</f>
      </c>
      <c r="B18884" s="5" t="s">
        <v>18892</v>
      </c>
      <c r="C18884" s="5">
        <v>118.1</v>
      </c>
      <c r="D18884" s="5">
        <v>0.1</v>
      </c>
      <c r="E18884" s="5">
        <v>118.3</v>
      </c>
      <c r="F18884" s="5">
        <v>235.2</v>
      </c>
      <c r="G18884" s="5">
        <v>116.9</v>
      </c>
      <c r="H18884" s="5">
        <v>116.8</v>
      </c>
      <c r="I18884" s="5"/>
      <c r="J18884" s="5"/>
      <c r="K18884" s="5"/>
    </row>
    <row r="18885" spans="1:11" x14ac:dyDescent="0.25">
      <c r="A18885" s="5">
        <f>18878</f>
      </c>
      <c r="B18885" s="5" t="s">
        <v>18893</v>
      </c>
      <c r="C18885" s="5">
        <v>118.1</v>
      </c>
      <c r="D18885" s="5">
        <v>0.1</v>
      </c>
      <c r="E18885" s="5">
        <v>118.3</v>
      </c>
      <c r="F18885" s="5">
        <v>235.2</v>
      </c>
      <c r="G18885" s="5">
        <v>116.8</v>
      </c>
      <c r="H18885" s="5">
        <v>116.6</v>
      </c>
      <c r="I18885" s="5"/>
      <c r="J18885" s="5"/>
      <c r="K18885" s="5"/>
    </row>
    <row r="18886" spans="1:11" x14ac:dyDescent="0.25">
      <c r="A18886" s="5">
        <f>18879</f>
      </c>
      <c r="B18886" s="5" t="s">
        <v>18894</v>
      </c>
      <c r="C18886" s="5">
        <v>117.9</v>
      </c>
      <c r="D18886" s="5">
        <v>0.1</v>
      </c>
      <c r="E18886" s="5">
        <v>118</v>
      </c>
      <c r="F18886" s="5">
        <v>235</v>
      </c>
      <c r="G18886" s="5">
        <v>116.8</v>
      </c>
      <c r="H18886" s="5">
        <v>116.6</v>
      </c>
      <c r="I18886" s="5"/>
      <c r="J18886" s="5"/>
      <c r="K18886" s="5"/>
    </row>
    <row r="18887" spans="1:11" x14ac:dyDescent="0.25">
      <c r="A18887" s="5">
        <f>18880</f>
      </c>
      <c r="B18887" s="5" t="s">
        <v>18895</v>
      </c>
      <c r="C18887" s="5">
        <v>117.9</v>
      </c>
      <c r="D18887" s="5">
        <v>0.1</v>
      </c>
      <c r="E18887" s="5">
        <v>118</v>
      </c>
      <c r="F18887" s="5">
        <v>235</v>
      </c>
      <c r="G18887" s="5">
        <v>116.9</v>
      </c>
      <c r="H18887" s="5">
        <v>116.7</v>
      </c>
      <c r="I18887" s="5"/>
      <c r="J18887" s="5"/>
      <c r="K18887" s="5"/>
    </row>
    <row r="18888" spans="1:11" x14ac:dyDescent="0.25">
      <c r="A18888" s="5">
        <f>18881</f>
      </c>
      <c r="B18888" s="5" t="s">
        <v>18896</v>
      </c>
      <c r="C18888" s="5">
        <v>118</v>
      </c>
      <c r="D18888" s="5">
        <v>0.1</v>
      </c>
      <c r="E18888" s="5">
        <v>118.2</v>
      </c>
      <c r="F18888" s="5">
        <v>235.1</v>
      </c>
      <c r="G18888" s="5">
        <v>116.9</v>
      </c>
      <c r="H18888" s="5">
        <v>116.7</v>
      </c>
      <c r="I18888" s="5"/>
      <c r="J18888" s="5"/>
      <c r="K18888" s="5"/>
    </row>
    <row r="18889" spans="1:11" x14ac:dyDescent="0.25">
      <c r="A18889" s="5">
        <f>18882</f>
      </c>
      <c r="B18889" s="5" t="s">
        <v>18897</v>
      </c>
      <c r="C18889" s="5">
        <v>118</v>
      </c>
      <c r="D18889" s="5">
        <v>0.1</v>
      </c>
      <c r="E18889" s="5">
        <v>118.2</v>
      </c>
      <c r="F18889" s="5">
        <v>235.1</v>
      </c>
      <c r="G18889" s="5">
        <v>116.9</v>
      </c>
      <c r="H18889" s="5">
        <v>117.2</v>
      </c>
      <c r="I18889" s="5"/>
      <c r="J18889" s="5"/>
      <c r="K18889" s="5"/>
    </row>
    <row r="18890" spans="1:11" x14ac:dyDescent="0.25">
      <c r="A18890" s="5">
        <f>18883</f>
      </c>
      <c r="B18890" s="5" t="s">
        <v>18898</v>
      </c>
      <c r="C18890" s="5">
        <v>118.6</v>
      </c>
      <c r="D18890" s="5">
        <v>0.1</v>
      </c>
      <c r="E18890" s="5">
        <v>118.7</v>
      </c>
      <c r="F18890" s="5">
        <v>235.9</v>
      </c>
      <c r="G18890" s="5">
        <v>117.3</v>
      </c>
      <c r="H18890" s="5">
        <v>117.2</v>
      </c>
      <c r="I18890" s="5"/>
      <c r="J18890" s="5"/>
      <c r="K18890" s="5"/>
    </row>
    <row r="18891" spans="1:11" x14ac:dyDescent="0.25">
      <c r="A18891" s="5">
        <f>18884</f>
      </c>
      <c r="B18891" s="5" t="s">
        <v>18899</v>
      </c>
      <c r="C18891" s="5">
        <v>118.6</v>
      </c>
      <c r="D18891" s="5">
        <v>0.1</v>
      </c>
      <c r="E18891" s="5">
        <v>118.7</v>
      </c>
      <c r="F18891" s="5">
        <v>235.9</v>
      </c>
      <c r="G18891" s="5">
        <v>117.3</v>
      </c>
      <c r="H18891" s="5">
        <v>117.2</v>
      </c>
      <c r="I18891" s="5"/>
      <c r="J18891" s="5"/>
      <c r="K18891" s="5"/>
    </row>
    <row r="18892" spans="1:11" x14ac:dyDescent="0.25">
      <c r="A18892" s="5">
        <f>18885</f>
      </c>
      <c r="B18892" s="5" t="s">
        <v>18900</v>
      </c>
      <c r="C18892" s="5">
        <v>118.5</v>
      </c>
      <c r="D18892" s="5">
        <v>0.1</v>
      </c>
      <c r="E18892" s="5">
        <v>118.6</v>
      </c>
      <c r="F18892" s="5">
        <v>235.6</v>
      </c>
      <c r="G18892" s="5">
        <v>117.2</v>
      </c>
      <c r="H18892" s="5">
        <v>117</v>
      </c>
      <c r="I18892" s="5"/>
      <c r="J18892" s="5"/>
      <c r="K18892" s="5"/>
    </row>
    <row r="18893" spans="1:11" x14ac:dyDescent="0.25">
      <c r="A18893" s="5">
        <f>18886</f>
      </c>
      <c r="B18893" s="5" t="s">
        <v>18901</v>
      </c>
      <c r="C18893" s="5">
        <v>118.5</v>
      </c>
      <c r="D18893" s="5">
        <v>0.1</v>
      </c>
      <c r="E18893" s="5">
        <v>118.6</v>
      </c>
      <c r="F18893" s="5">
        <v>235.6</v>
      </c>
      <c r="G18893" s="5">
        <v>117.2</v>
      </c>
      <c r="H18893" s="5">
        <v>117</v>
      </c>
      <c r="I18893" s="5"/>
      <c r="J18893" s="5"/>
      <c r="K18893" s="5"/>
    </row>
    <row r="18894" spans="1:11" x14ac:dyDescent="0.25">
      <c r="A18894" s="5">
        <f>18887</f>
      </c>
      <c r="B18894" s="5" t="s">
        <v>18902</v>
      </c>
      <c r="C18894" s="5">
        <v>118.5</v>
      </c>
      <c r="D18894" s="5">
        <v>0.1</v>
      </c>
      <c r="E18894" s="5">
        <v>118.6</v>
      </c>
      <c r="F18894" s="5">
        <v>235.6</v>
      </c>
      <c r="G18894" s="5">
        <v>117.2</v>
      </c>
      <c r="H18894" s="5">
        <v>117</v>
      </c>
      <c r="I18894" s="5"/>
      <c r="J18894" s="5"/>
      <c r="K18894" s="5"/>
    </row>
    <row r="18895" spans="1:11" x14ac:dyDescent="0.25">
      <c r="A18895" s="5">
        <f>18888</f>
      </c>
      <c r="B18895" s="5" t="s">
        <v>18903</v>
      </c>
      <c r="C18895" s="5">
        <v>118.2</v>
      </c>
      <c r="D18895" s="5">
        <v>0.1</v>
      </c>
      <c r="E18895" s="5">
        <v>118.3</v>
      </c>
      <c r="F18895" s="5">
        <v>235.2</v>
      </c>
      <c r="G18895" s="5">
        <v>116.9</v>
      </c>
      <c r="H18895" s="5">
        <v>116.8</v>
      </c>
      <c r="I18895" s="5"/>
      <c r="J18895" s="5"/>
      <c r="K18895" s="5"/>
    </row>
    <row r="18896" spans="1:11" x14ac:dyDescent="0.25">
      <c r="A18896" s="5">
        <f>18889</f>
      </c>
      <c r="B18896" s="5" t="s">
        <v>18904</v>
      </c>
      <c r="C18896" s="5">
        <v>118.2</v>
      </c>
      <c r="D18896" s="5">
        <v>0.1</v>
      </c>
      <c r="E18896" s="5">
        <v>118.3</v>
      </c>
      <c r="F18896" s="5">
        <v>235.2</v>
      </c>
      <c r="G18896" s="5">
        <v>116.9</v>
      </c>
      <c r="H18896" s="5">
        <v>116.8</v>
      </c>
      <c r="I18896" s="5"/>
      <c r="J18896" s="5"/>
      <c r="K18896" s="5"/>
    </row>
    <row r="18897" spans="1:11" x14ac:dyDescent="0.25">
      <c r="A18897" s="5">
        <f>18890</f>
      </c>
      <c r="B18897" s="5" t="s">
        <v>18905</v>
      </c>
      <c r="C18897" s="5">
        <v>118.6</v>
      </c>
      <c r="D18897" s="5">
        <v>0.1</v>
      </c>
      <c r="E18897" s="5">
        <v>118.7</v>
      </c>
      <c r="F18897" s="5">
        <v>235.8</v>
      </c>
      <c r="G18897" s="5">
        <v>117.3</v>
      </c>
      <c r="H18897" s="5">
        <v>117.1</v>
      </c>
      <c r="I18897" s="5"/>
      <c r="J18897" s="5"/>
      <c r="K18897" s="5"/>
    </row>
    <row r="18898" spans="1:11" x14ac:dyDescent="0.25">
      <c r="A18898" s="5">
        <f>18891</f>
      </c>
      <c r="B18898" s="5" t="s">
        <v>18906</v>
      </c>
      <c r="C18898" s="5">
        <v>118.6</v>
      </c>
      <c r="D18898" s="5">
        <v>0.1</v>
      </c>
      <c r="E18898" s="5">
        <v>118.7</v>
      </c>
      <c r="F18898" s="5">
        <v>235.8</v>
      </c>
      <c r="G18898" s="5">
        <v>117.3</v>
      </c>
      <c r="H18898" s="5">
        <v>117.1</v>
      </c>
      <c r="I18898" s="5"/>
      <c r="J18898" s="5"/>
      <c r="K18898" s="5"/>
    </row>
    <row r="18899" spans="1:11" x14ac:dyDescent="0.25">
      <c r="A18899" s="5">
        <f>18892</f>
      </c>
      <c r="B18899" s="5" t="s">
        <v>18907</v>
      </c>
      <c r="C18899" s="5">
        <v>118.3</v>
      </c>
      <c r="D18899" s="5">
        <v>0.1</v>
      </c>
      <c r="E18899" s="5">
        <v>118.5</v>
      </c>
      <c r="F18899" s="5">
        <v>235.7</v>
      </c>
      <c r="G18899" s="5">
        <v>117.2</v>
      </c>
      <c r="H18899" s="5">
        <v>117.1</v>
      </c>
      <c r="I18899" s="5"/>
      <c r="J18899" s="5"/>
      <c r="K18899" s="5"/>
    </row>
    <row r="18900" spans="1:11" x14ac:dyDescent="0.25">
      <c r="A18900" s="5">
        <f>18893</f>
      </c>
      <c r="B18900" s="5" t="s">
        <v>18908</v>
      </c>
      <c r="C18900" s="5">
        <v>118.3</v>
      </c>
      <c r="D18900" s="5">
        <v>0.1</v>
      </c>
      <c r="E18900" s="5">
        <v>118.5</v>
      </c>
      <c r="F18900" s="5">
        <v>235.7</v>
      </c>
      <c r="G18900" s="5">
        <v>117.2</v>
      </c>
      <c r="H18900" s="5">
        <v>117.1</v>
      </c>
      <c r="I18900" s="5"/>
      <c r="J18900" s="5"/>
      <c r="K18900" s="5"/>
    </row>
    <row r="18901" spans="1:11" x14ac:dyDescent="0.25">
      <c r="A18901" s="5">
        <f>18894</f>
      </c>
      <c r="B18901" s="5" t="s">
        <v>18909</v>
      </c>
      <c r="C18901" s="5">
        <v>118.3</v>
      </c>
      <c r="D18901" s="5">
        <v>0.1</v>
      </c>
      <c r="E18901" s="5">
        <v>118.4</v>
      </c>
      <c r="F18901" s="5">
        <v>235.7</v>
      </c>
      <c r="G18901" s="5">
        <v>117.2</v>
      </c>
      <c r="H18901" s="5">
        <v>117.1</v>
      </c>
      <c r="I18901" s="5"/>
      <c r="J18901" s="5"/>
      <c r="K18901" s="5"/>
    </row>
    <row r="18902" spans="1:11" x14ac:dyDescent="0.25">
      <c r="A18902" s="5">
        <f>18895</f>
      </c>
      <c r="B18902" s="5" t="s">
        <v>18910</v>
      </c>
      <c r="C18902" s="5">
        <v>118.3</v>
      </c>
      <c r="D18902" s="5">
        <v>0.1</v>
      </c>
      <c r="E18902" s="5">
        <v>118.4</v>
      </c>
      <c r="F18902" s="5">
        <v>235.7</v>
      </c>
      <c r="G18902" s="5">
        <v>117.2</v>
      </c>
      <c r="H18902" s="5">
        <v>117.1</v>
      </c>
      <c r="I18902" s="5"/>
      <c r="J18902" s="5"/>
      <c r="K18902" s="5"/>
    </row>
    <row r="18903" spans="1:11" x14ac:dyDescent="0.25">
      <c r="A18903" s="5">
        <f>18896</f>
      </c>
      <c r="B18903" s="5" t="s">
        <v>18911</v>
      </c>
      <c r="C18903" s="5">
        <v>118.3</v>
      </c>
      <c r="D18903" s="5">
        <v>0.1</v>
      </c>
      <c r="E18903" s="5">
        <v>118.4</v>
      </c>
      <c r="F18903" s="5">
        <v>235.7</v>
      </c>
      <c r="G18903" s="5">
        <v>117.2</v>
      </c>
      <c r="H18903" s="5">
        <v>117.1</v>
      </c>
      <c r="I18903" s="5"/>
      <c r="J18903" s="5"/>
      <c r="K18903" s="5"/>
    </row>
    <row r="18904" spans="1:11" x14ac:dyDescent="0.25">
      <c r="A18904" s="5">
        <f>18897</f>
      </c>
      <c r="B18904" s="5" t="s">
        <v>18912</v>
      </c>
      <c r="C18904" s="5">
        <v>118.3</v>
      </c>
      <c r="D18904" s="5">
        <v>0.1</v>
      </c>
      <c r="E18904" s="5">
        <v>118.4</v>
      </c>
      <c r="F18904" s="5">
        <v>235.7</v>
      </c>
      <c r="G18904" s="5">
        <v>117.2</v>
      </c>
      <c r="H18904" s="5">
        <v>117.1</v>
      </c>
      <c r="I18904" s="5"/>
      <c r="J18904" s="5"/>
      <c r="K18904" s="5"/>
    </row>
    <row r="18905" spans="1:11" x14ac:dyDescent="0.25">
      <c r="A18905" s="5">
        <f>18898</f>
      </c>
      <c r="B18905" s="5" t="s">
        <v>18913</v>
      </c>
      <c r="C18905" s="5">
        <v>118.4</v>
      </c>
      <c r="D18905" s="5">
        <v>0.1</v>
      </c>
      <c r="E18905" s="5">
        <v>118.6</v>
      </c>
      <c r="F18905" s="5">
        <v>235.3</v>
      </c>
      <c r="G18905" s="5">
        <v>117</v>
      </c>
      <c r="H18905" s="5">
        <v>116.8</v>
      </c>
      <c r="I18905" s="5"/>
      <c r="J18905" s="5"/>
      <c r="K18905" s="5"/>
    </row>
    <row r="18906" spans="1:11" x14ac:dyDescent="0.25">
      <c r="A18906" s="5">
        <f>18899</f>
      </c>
      <c r="B18906" s="5" t="s">
        <v>18914</v>
      </c>
      <c r="C18906" s="5">
        <v>118.4</v>
      </c>
      <c r="D18906" s="5">
        <v>0.1</v>
      </c>
      <c r="E18906" s="5">
        <v>118.6</v>
      </c>
      <c r="F18906" s="5">
        <v>235.3</v>
      </c>
      <c r="G18906" s="5">
        <v>117</v>
      </c>
      <c r="H18906" s="5">
        <v>116.8</v>
      </c>
      <c r="I18906" s="5"/>
      <c r="J18906" s="5"/>
      <c r="K18906" s="5"/>
    </row>
    <row r="18907" spans="1:11" x14ac:dyDescent="0.25">
      <c r="A18907" s="5">
        <f>18900</f>
      </c>
      <c r="B18907" s="5" t="s">
        <v>18915</v>
      </c>
      <c r="C18907" s="5">
        <v>117.8</v>
      </c>
      <c r="D18907" s="5">
        <v>0.1</v>
      </c>
      <c r="E18907" s="5">
        <v>118</v>
      </c>
      <c r="F18907" s="5">
        <v>234.9</v>
      </c>
      <c r="G18907" s="5">
        <v>116.8</v>
      </c>
      <c r="H18907" s="5">
        <v>116.6</v>
      </c>
      <c r="I18907" s="5"/>
      <c r="J18907" s="5"/>
      <c r="K18907" s="5"/>
    </row>
    <row r="18908" spans="1:11" x14ac:dyDescent="0.25">
      <c r="A18908" s="5">
        <f>18901</f>
      </c>
      <c r="B18908" s="5" t="s">
        <v>18916</v>
      </c>
      <c r="C18908" s="5">
        <v>117.8</v>
      </c>
      <c r="D18908" s="5">
        <v>0.1</v>
      </c>
      <c r="E18908" s="5">
        <v>118</v>
      </c>
      <c r="F18908" s="5">
        <v>234.9</v>
      </c>
      <c r="G18908" s="5">
        <v>116.8</v>
      </c>
      <c r="H18908" s="5">
        <v>116.6</v>
      </c>
      <c r="I18908" s="5"/>
      <c r="J18908" s="5"/>
      <c r="K18908" s="5"/>
    </row>
    <row r="18909" spans="1:11" x14ac:dyDescent="0.25">
      <c r="A18909" s="5">
        <f>18902</f>
      </c>
      <c r="B18909" s="5" t="s">
        <v>18917</v>
      </c>
      <c r="C18909" s="5">
        <v>117.8</v>
      </c>
      <c r="D18909" s="5">
        <v>0.1</v>
      </c>
      <c r="E18909" s="5">
        <v>118</v>
      </c>
      <c r="F18909" s="5">
        <v>234.9</v>
      </c>
      <c r="G18909" s="5">
        <v>116.8</v>
      </c>
      <c r="H18909" s="5">
        <v>116.6</v>
      </c>
      <c r="I18909" s="5"/>
      <c r="J18909" s="5"/>
      <c r="K18909" s="5"/>
    </row>
    <row r="18910" spans="1:11" x14ac:dyDescent="0.25">
      <c r="A18910" s="5">
        <f>18903</f>
      </c>
      <c r="B18910" s="5" t="s">
        <v>18918</v>
      </c>
      <c r="C18910" s="5">
        <v>117.8</v>
      </c>
      <c r="D18910" s="5">
        <v>0.1</v>
      </c>
      <c r="E18910" s="5">
        <v>118</v>
      </c>
      <c r="F18910" s="5">
        <v>234.9</v>
      </c>
      <c r="G18910" s="5">
        <v>116.8</v>
      </c>
      <c r="H18910" s="5">
        <v>116.6</v>
      </c>
      <c r="I18910" s="5"/>
      <c r="J18910" s="5"/>
      <c r="K18910" s="5"/>
    </row>
    <row r="18911" spans="1:11" x14ac:dyDescent="0.25">
      <c r="A18911" s="5">
        <f>18904</f>
      </c>
      <c r="B18911" s="5" t="s">
        <v>18919</v>
      </c>
      <c r="C18911" s="5">
        <v>118.1</v>
      </c>
      <c r="D18911" s="5">
        <v>0.1</v>
      </c>
      <c r="E18911" s="5">
        <v>118.3</v>
      </c>
      <c r="F18911" s="5">
        <v>235.4</v>
      </c>
      <c r="G18911" s="5">
        <v>117</v>
      </c>
      <c r="H18911" s="5">
        <v>116.8</v>
      </c>
      <c r="I18911" s="5"/>
      <c r="J18911" s="5"/>
      <c r="K18911" s="5"/>
    </row>
    <row r="18912" spans="1:11" x14ac:dyDescent="0.25">
      <c r="A18912" s="5">
        <f>18905</f>
      </c>
      <c r="B18912" s="5" t="s">
        <v>18920</v>
      </c>
      <c r="C18912" s="5">
        <v>118.1</v>
      </c>
      <c r="D18912" s="5">
        <v>0.1</v>
      </c>
      <c r="E18912" s="5">
        <v>118.3</v>
      </c>
      <c r="F18912" s="5">
        <v>235.4</v>
      </c>
      <c r="G18912" s="5">
        <v>117</v>
      </c>
      <c r="H18912" s="5">
        <v>116.8</v>
      </c>
      <c r="I18912" s="5"/>
      <c r="J18912" s="5"/>
      <c r="K18912" s="5"/>
    </row>
    <row r="18913" spans="1:11" x14ac:dyDescent="0.25">
      <c r="A18913" s="5">
        <f>18906</f>
      </c>
      <c r="B18913" s="5" t="s">
        <v>18921</v>
      </c>
      <c r="C18913" s="5">
        <v>118.1</v>
      </c>
      <c r="D18913" s="5">
        <v>0.1</v>
      </c>
      <c r="E18913" s="5">
        <v>118.3</v>
      </c>
      <c r="F18913" s="5">
        <v>235.4</v>
      </c>
      <c r="G18913" s="5">
        <v>117</v>
      </c>
      <c r="H18913" s="5">
        <v>116.8</v>
      </c>
      <c r="I18913" s="5"/>
      <c r="J18913" s="5"/>
      <c r="K18913" s="5"/>
    </row>
    <row r="18914" spans="1:11" x14ac:dyDescent="0.25">
      <c r="A18914" s="5">
        <f>18907</f>
      </c>
      <c r="B18914" s="5" t="s">
        <v>18922</v>
      </c>
      <c r="C18914" s="5">
        <v>118.1</v>
      </c>
      <c r="D18914" s="5">
        <v>0.1</v>
      </c>
      <c r="E18914" s="5">
        <v>118.3</v>
      </c>
      <c r="F18914" s="5">
        <v>235.4</v>
      </c>
      <c r="G18914" s="5">
        <v>117</v>
      </c>
      <c r="H18914" s="5">
        <v>116.8</v>
      </c>
      <c r="I18914" s="5"/>
      <c r="J18914" s="5"/>
      <c r="K18914" s="5"/>
    </row>
    <row r="18915" spans="1:11" x14ac:dyDescent="0.25">
      <c r="A18915" s="5">
        <f>18908</f>
      </c>
      <c r="B18915" s="5" t="s">
        <v>18923</v>
      </c>
      <c r="C18915" s="5">
        <v>118.3</v>
      </c>
      <c r="D18915" s="5">
        <v>0.1</v>
      </c>
      <c r="E18915" s="5">
        <v>118.4</v>
      </c>
      <c r="F18915" s="5">
        <v>235.2</v>
      </c>
      <c r="G18915" s="5">
        <v>116.9</v>
      </c>
      <c r="H18915" s="5">
        <v>116.7</v>
      </c>
      <c r="I18915" s="5"/>
      <c r="J18915" s="5"/>
      <c r="K18915" s="5"/>
    </row>
    <row r="18916" spans="1:11" x14ac:dyDescent="0.25">
      <c r="A18916" s="5">
        <f>18909</f>
      </c>
      <c r="B18916" s="5" t="s">
        <v>18924</v>
      </c>
      <c r="C18916" s="5">
        <v>118.3</v>
      </c>
      <c r="D18916" s="5">
        <v>0.1</v>
      </c>
      <c r="E18916" s="5">
        <v>118.4</v>
      </c>
      <c r="F18916" s="5">
        <v>235.2</v>
      </c>
      <c r="G18916" s="5">
        <v>116.9</v>
      </c>
      <c r="H18916" s="5">
        <v>116.7</v>
      </c>
      <c r="I18916" s="5"/>
      <c r="J18916" s="5"/>
      <c r="K18916" s="5"/>
    </row>
    <row r="18917" spans="1:11" x14ac:dyDescent="0.25">
      <c r="A18917" s="5">
        <f>18910</f>
      </c>
      <c r="B18917" s="5" t="s">
        <v>18925</v>
      </c>
      <c r="C18917" s="5">
        <v>117.9</v>
      </c>
      <c r="D18917" s="5">
        <v>0.1</v>
      </c>
      <c r="E18917" s="5">
        <v>118.1</v>
      </c>
      <c r="F18917" s="5">
        <v>235</v>
      </c>
      <c r="G18917" s="5">
        <v>116.9</v>
      </c>
      <c r="H18917" s="5">
        <v>116.7</v>
      </c>
      <c r="I18917" s="5"/>
      <c r="J18917" s="5"/>
      <c r="K18917" s="5"/>
    </row>
    <row r="18918" spans="1:11" x14ac:dyDescent="0.25">
      <c r="A18918" s="5">
        <f>18911</f>
      </c>
      <c r="B18918" s="5" t="s">
        <v>18926</v>
      </c>
      <c r="C18918" s="5">
        <v>117.9</v>
      </c>
      <c r="D18918" s="5">
        <v>0.1</v>
      </c>
      <c r="E18918" s="5">
        <v>118.1</v>
      </c>
      <c r="F18918" s="5">
        <v>235</v>
      </c>
      <c r="G18918" s="5">
        <v>116.9</v>
      </c>
      <c r="H18918" s="5">
        <v>116.7</v>
      </c>
      <c r="I18918" s="5"/>
      <c r="J18918" s="5"/>
      <c r="K18918" s="5"/>
    </row>
    <row r="18919" spans="1:11" x14ac:dyDescent="0.25">
      <c r="A18919" s="5">
        <f>18912</f>
      </c>
      <c r="B18919" s="5" t="s">
        <v>18927</v>
      </c>
      <c r="C18919" s="5">
        <v>117.9</v>
      </c>
      <c r="D18919" s="5">
        <v>0.1</v>
      </c>
      <c r="E18919" s="5">
        <v>118</v>
      </c>
      <c r="F18919" s="5">
        <v>235</v>
      </c>
      <c r="G18919" s="5">
        <v>116.8</v>
      </c>
      <c r="H18919" s="5">
        <v>116.7</v>
      </c>
      <c r="I18919" s="5"/>
      <c r="J18919" s="5"/>
      <c r="K18919" s="5"/>
    </row>
    <row r="18920" spans="1:11" x14ac:dyDescent="0.25">
      <c r="A18920" s="5">
        <f>18913</f>
      </c>
      <c r="B18920" s="5" t="s">
        <v>18928</v>
      </c>
      <c r="C18920" s="5">
        <v>117.9</v>
      </c>
      <c r="D18920" s="5">
        <v>0.1</v>
      </c>
      <c r="E18920" s="5">
        <v>118</v>
      </c>
      <c r="F18920" s="5">
        <v>235</v>
      </c>
      <c r="G18920" s="5">
        <v>116.8</v>
      </c>
      <c r="H18920" s="5">
        <v>116.7</v>
      </c>
      <c r="I18920" s="5"/>
      <c r="J18920" s="5"/>
      <c r="K18920" s="5"/>
    </row>
    <row r="18921" spans="1:11" x14ac:dyDescent="0.25">
      <c r="A18921" s="5">
        <f>18914</f>
      </c>
      <c r="B18921" s="5" t="s">
        <v>18929</v>
      </c>
      <c r="C18921" s="5">
        <v>117.9</v>
      </c>
      <c r="D18921" s="5">
        <v>0.1</v>
      </c>
      <c r="E18921" s="5">
        <v>118</v>
      </c>
      <c r="F18921" s="5">
        <v>235</v>
      </c>
      <c r="G18921" s="5">
        <v>116.8</v>
      </c>
      <c r="H18921" s="5">
        <v>116.7</v>
      </c>
      <c r="I18921" s="5"/>
      <c r="J18921" s="5"/>
      <c r="K18921" s="5"/>
    </row>
    <row r="18922" spans="1:11" x14ac:dyDescent="0.25">
      <c r="A18922" s="5">
        <f>18915</f>
      </c>
      <c r="B18922" s="5" t="s">
        <v>18930</v>
      </c>
      <c r="C18922" s="5">
        <v>117.9</v>
      </c>
      <c r="D18922" s="5">
        <v>0.1</v>
      </c>
      <c r="E18922" s="5">
        <v>118</v>
      </c>
      <c r="F18922" s="5">
        <v>235</v>
      </c>
      <c r="G18922" s="5">
        <v>116.8</v>
      </c>
      <c r="H18922" s="5">
        <v>116.7</v>
      </c>
      <c r="I18922" s="5"/>
      <c r="J18922" s="5"/>
      <c r="K18922" s="5"/>
    </row>
    <row r="18923" spans="1:11" x14ac:dyDescent="0.25">
      <c r="A18923" s="5">
        <f>18916</f>
      </c>
      <c r="B18923" s="5" t="s">
        <v>18931</v>
      </c>
      <c r="C18923" s="5">
        <v>117.9</v>
      </c>
      <c r="D18923" s="5">
        <v>0.1</v>
      </c>
      <c r="E18923" s="5">
        <v>118</v>
      </c>
      <c r="F18923" s="5">
        <v>235</v>
      </c>
      <c r="G18923" s="5">
        <v>116.8</v>
      </c>
      <c r="H18923" s="5">
        <v>116.7</v>
      </c>
      <c r="I18923" s="5"/>
      <c r="J18923" s="5"/>
      <c r="K18923" s="5"/>
    </row>
    <row r="18924" spans="1:11" x14ac:dyDescent="0.25">
      <c r="A18924" s="5">
        <f>18917</f>
      </c>
      <c r="B18924" s="5" t="s">
        <v>18932</v>
      </c>
      <c r="C18924" s="5">
        <v>117.9</v>
      </c>
      <c r="D18924" s="5">
        <v>0.1</v>
      </c>
      <c r="E18924" s="5">
        <v>118</v>
      </c>
      <c r="F18924" s="5">
        <v>235</v>
      </c>
      <c r="G18924" s="5">
        <v>116.8</v>
      </c>
      <c r="H18924" s="5">
        <v>116.7</v>
      </c>
      <c r="I18924" s="5"/>
      <c r="J18924" s="5"/>
      <c r="K18924" s="5"/>
    </row>
    <row r="18925" spans="1:11" x14ac:dyDescent="0.25">
      <c r="A18925" s="5">
        <f>18918</f>
      </c>
      <c r="B18925" s="5" t="s">
        <v>18933</v>
      </c>
      <c r="C18925" s="5">
        <v>118.7</v>
      </c>
      <c r="D18925" s="5">
        <v>0.1</v>
      </c>
      <c r="E18925" s="5">
        <v>119</v>
      </c>
      <c r="F18925" s="5">
        <v>235.9</v>
      </c>
      <c r="G18925" s="5">
        <v>117.3</v>
      </c>
      <c r="H18925" s="5">
        <v>117.1</v>
      </c>
      <c r="I18925" s="5"/>
      <c r="J18925" s="5"/>
      <c r="K18925" s="5"/>
    </row>
    <row r="18926" spans="1:11" x14ac:dyDescent="0.25">
      <c r="A18926" s="5">
        <f>18919</f>
      </c>
      <c r="B18926" s="5" t="s">
        <v>18934</v>
      </c>
      <c r="C18926" s="5">
        <v>118.7</v>
      </c>
      <c r="D18926" s="5">
        <v>0.1</v>
      </c>
      <c r="E18926" s="5">
        <v>119</v>
      </c>
      <c r="F18926" s="5">
        <v>235.9</v>
      </c>
      <c r="G18926" s="5">
        <v>117.3</v>
      </c>
      <c r="H18926" s="5">
        <v>117.1</v>
      </c>
      <c r="I18926" s="5"/>
      <c r="J18926" s="5"/>
      <c r="K18926" s="5"/>
    </row>
    <row r="18927" spans="1:11" x14ac:dyDescent="0.25">
      <c r="A18927" s="5">
        <f>18920</f>
      </c>
      <c r="B18927" s="5" t="s">
        <v>18935</v>
      </c>
      <c r="C18927" s="5">
        <v>118.2</v>
      </c>
      <c r="D18927" s="5">
        <v>0.1</v>
      </c>
      <c r="E18927" s="5">
        <v>119</v>
      </c>
      <c r="F18927" s="5">
        <v>236</v>
      </c>
      <c r="G18927" s="5">
        <v>117.3</v>
      </c>
      <c r="H18927" s="5">
        <v>117.1</v>
      </c>
      <c r="I18927" s="5"/>
      <c r="J18927" s="5"/>
      <c r="K18927" s="5"/>
    </row>
    <row r="18928" spans="1:11" x14ac:dyDescent="0.25">
      <c r="A18928" s="5">
        <f>18921</f>
      </c>
      <c r="B18928" s="5" t="s">
        <v>18936</v>
      </c>
      <c r="C18928" s="5">
        <v>118.2</v>
      </c>
      <c r="D18928" s="5">
        <v>0.1</v>
      </c>
      <c r="E18928" s="5">
        <v>118.3</v>
      </c>
      <c r="F18928" s="5">
        <v>236</v>
      </c>
      <c r="G18928" s="5">
        <v>117.3</v>
      </c>
      <c r="H18928" s="5">
        <v>117.1</v>
      </c>
      <c r="I18928" s="5"/>
      <c r="J18928" s="5"/>
      <c r="K18928" s="5"/>
    </row>
    <row r="18929" spans="1:11" x14ac:dyDescent="0.25">
      <c r="A18929" s="5">
        <f>18922</f>
      </c>
      <c r="B18929" s="5" t="s">
        <v>18937</v>
      </c>
      <c r="C18929" s="5">
        <v>118.4</v>
      </c>
      <c r="D18929" s="5">
        <v>0.1</v>
      </c>
      <c r="E18929" s="5">
        <v>118.3</v>
      </c>
      <c r="F18929" s="5">
        <v>236</v>
      </c>
      <c r="G18929" s="5">
        <v>117.3</v>
      </c>
      <c r="H18929" s="5">
        <v>117</v>
      </c>
      <c r="I18929" s="5"/>
      <c r="J18929" s="5"/>
      <c r="K18929" s="5"/>
    </row>
    <row r="18930" spans="1:11" x14ac:dyDescent="0.25">
      <c r="A18930" s="5">
        <f>18923</f>
      </c>
      <c r="B18930" s="5" t="s">
        <v>18938</v>
      </c>
      <c r="C18930" s="5">
        <v>118.4</v>
      </c>
      <c r="D18930" s="5">
        <v>0.1</v>
      </c>
      <c r="E18930" s="5">
        <v>118.6</v>
      </c>
      <c r="F18930" s="5">
        <v>235.7</v>
      </c>
      <c r="G18930" s="5">
        <v>117.2</v>
      </c>
      <c r="H18930" s="5">
        <v>117</v>
      </c>
      <c r="I18930" s="5"/>
      <c r="J18930" s="5"/>
      <c r="K18930" s="5"/>
    </row>
    <row r="18931" spans="1:11" x14ac:dyDescent="0.25">
      <c r="A18931" s="5">
        <f>18924</f>
      </c>
      <c r="B18931" s="5" t="s">
        <v>18939</v>
      </c>
      <c r="C18931" s="5">
        <v>118.3</v>
      </c>
      <c r="D18931" s="5">
        <v>0.1</v>
      </c>
      <c r="E18931" s="5">
        <v>118.6</v>
      </c>
      <c r="F18931" s="5">
        <v>235.7</v>
      </c>
      <c r="G18931" s="5">
        <v>117.2</v>
      </c>
      <c r="H18931" s="5">
        <v>117</v>
      </c>
      <c r="I18931" s="5"/>
      <c r="J18931" s="5"/>
      <c r="K18931" s="5"/>
    </row>
    <row r="18932" spans="1:11" x14ac:dyDescent="0.25">
      <c r="A18932" s="5">
        <f>18925</f>
      </c>
      <c r="B18932" s="5" t="s">
        <v>18940</v>
      </c>
      <c r="C18932" s="5">
        <v>118.3</v>
      </c>
      <c r="D18932" s="5">
        <v>0.1</v>
      </c>
      <c r="E18932" s="5">
        <v>118.4</v>
      </c>
      <c r="F18932" s="5">
        <v>235.8</v>
      </c>
      <c r="G18932" s="5">
        <v>117.2</v>
      </c>
      <c r="H18932" s="5">
        <v>117</v>
      </c>
      <c r="I18932" s="5"/>
      <c r="J18932" s="5"/>
      <c r="K18932" s="5"/>
    </row>
    <row r="18933" spans="1:11" x14ac:dyDescent="0.25">
      <c r="A18933" s="5">
        <f>18926</f>
      </c>
      <c r="B18933" s="5" t="s">
        <v>18941</v>
      </c>
      <c r="C18933" s="5">
        <v>118.3</v>
      </c>
      <c r="D18933" s="5">
        <v>0.1</v>
      </c>
      <c r="E18933" s="5">
        <v>118.4</v>
      </c>
      <c r="F18933" s="5">
        <v>235.8</v>
      </c>
      <c r="G18933" s="5">
        <v>117.2</v>
      </c>
      <c r="H18933" s="5">
        <v>117</v>
      </c>
      <c r="I18933" s="5"/>
      <c r="J18933" s="5"/>
      <c r="K18933" s="5"/>
    </row>
    <row r="18934" spans="1:11" x14ac:dyDescent="0.25">
      <c r="A18934" s="5">
        <f>18927</f>
      </c>
      <c r="B18934" s="5" t="s">
        <v>18942</v>
      </c>
      <c r="C18934" s="5">
        <v>118.3</v>
      </c>
      <c r="D18934" s="5">
        <v>0.1</v>
      </c>
      <c r="E18934" s="5">
        <v>118.4</v>
      </c>
      <c r="F18934" s="5">
        <v>235.8</v>
      </c>
      <c r="G18934" s="5">
        <v>117.2</v>
      </c>
      <c r="H18934" s="5">
        <v>117</v>
      </c>
      <c r="I18934" s="5"/>
      <c r="J18934" s="5"/>
      <c r="K18934" s="5"/>
    </row>
    <row r="18935" spans="1:11" x14ac:dyDescent="0.25">
      <c r="A18935" s="5">
        <f>18928</f>
      </c>
      <c r="B18935" s="5" t="s">
        <v>18943</v>
      </c>
      <c r="C18935" s="5">
        <v>118.6</v>
      </c>
      <c r="D18935" s="5">
        <v>0.1</v>
      </c>
      <c r="E18935" s="5">
        <v>118.7</v>
      </c>
      <c r="F18935" s="5">
        <v>235.7</v>
      </c>
      <c r="G18935" s="5">
        <v>117.2</v>
      </c>
      <c r="H18935" s="5">
        <v>117</v>
      </c>
      <c r="I18935" s="5"/>
      <c r="J18935" s="5"/>
      <c r="K18935" s="5"/>
    </row>
    <row r="18936" spans="1:11" x14ac:dyDescent="0.25">
      <c r="A18936" s="5">
        <f>18929</f>
      </c>
      <c r="B18936" s="5" t="s">
        <v>18944</v>
      </c>
      <c r="C18936" s="5">
        <v>118.6</v>
      </c>
      <c r="D18936" s="5">
        <v>0.1</v>
      </c>
      <c r="E18936" s="5">
        <v>118.7</v>
      </c>
      <c r="F18936" s="5">
        <v>235.7</v>
      </c>
      <c r="G18936" s="5">
        <v>117.2</v>
      </c>
      <c r="H18936" s="5">
        <v>117</v>
      </c>
      <c r="I18936" s="5"/>
      <c r="J18936" s="5"/>
      <c r="K18936" s="5"/>
    </row>
    <row r="18937" spans="1:11" x14ac:dyDescent="0.25">
      <c r="A18937" s="5">
        <f>18930</f>
      </c>
      <c r="B18937" s="5" t="s">
        <v>18945</v>
      </c>
      <c r="C18937" s="5">
        <v>118.3</v>
      </c>
      <c r="D18937" s="5">
        <v>0.1</v>
      </c>
      <c r="E18937" s="5">
        <v>118.4</v>
      </c>
      <c r="F18937" s="5">
        <v>235.5</v>
      </c>
      <c r="G18937" s="5">
        <v>117.1</v>
      </c>
      <c r="H18937" s="5">
        <v>116.9</v>
      </c>
      <c r="I18937" s="5"/>
      <c r="J18937" s="5"/>
      <c r="K18937" s="5"/>
    </row>
    <row r="18938" spans="1:11" x14ac:dyDescent="0.25">
      <c r="A18938" s="5">
        <f>18931</f>
      </c>
      <c r="B18938" s="5" t="s">
        <v>18946</v>
      </c>
      <c r="C18938" s="5">
        <v>118.3</v>
      </c>
      <c r="D18938" s="5">
        <v>0.1</v>
      </c>
      <c r="E18938" s="5">
        <v>118.4</v>
      </c>
      <c r="F18938" s="5">
        <v>235.5</v>
      </c>
      <c r="G18938" s="5">
        <v>117.1</v>
      </c>
      <c r="H18938" s="5">
        <v>116.9</v>
      </c>
      <c r="I18938" s="5"/>
      <c r="J18938" s="5"/>
      <c r="K18938" s="5"/>
    </row>
    <row r="18939" spans="1:11" x14ac:dyDescent="0.25">
      <c r="A18939" s="5">
        <f>18932</f>
      </c>
      <c r="B18939" s="5" t="s">
        <v>18947</v>
      </c>
      <c r="C18939" s="5">
        <v>118.6</v>
      </c>
      <c r="D18939" s="5">
        <v>0.1</v>
      </c>
      <c r="E18939" s="5">
        <v>118.7</v>
      </c>
      <c r="F18939" s="5">
        <v>235.7</v>
      </c>
      <c r="G18939" s="5">
        <v>117.2</v>
      </c>
      <c r="H18939" s="5">
        <v>117</v>
      </c>
      <c r="I18939" s="5"/>
      <c r="J18939" s="5"/>
      <c r="K18939" s="5"/>
    </row>
    <row r="18940" spans="1:11" x14ac:dyDescent="0.25">
      <c r="A18940" s="5">
        <f>18933</f>
      </c>
      <c r="B18940" s="5" t="s">
        <v>18948</v>
      </c>
      <c r="C18940" s="5">
        <v>118.6</v>
      </c>
      <c r="D18940" s="5">
        <v>0.1</v>
      </c>
      <c r="E18940" s="5">
        <v>118.7</v>
      </c>
      <c r="F18940" s="5">
        <v>235.7</v>
      </c>
      <c r="G18940" s="5">
        <v>117.2</v>
      </c>
      <c r="H18940" s="5">
        <v>117</v>
      </c>
      <c r="I18940" s="5"/>
      <c r="J18940" s="5"/>
      <c r="K18940" s="5"/>
    </row>
    <row r="18941" spans="1:11" x14ac:dyDescent="0.25">
      <c r="A18941" s="5">
        <f>18934</f>
      </c>
      <c r="B18941" s="5" t="s">
        <v>18949</v>
      </c>
      <c r="C18941" s="5">
        <v>118.6</v>
      </c>
      <c r="D18941" s="5">
        <v>0.1</v>
      </c>
      <c r="E18941" s="5">
        <v>118.6</v>
      </c>
      <c r="F18941" s="5">
        <v>235.5</v>
      </c>
      <c r="G18941" s="5">
        <v>117.1</v>
      </c>
      <c r="H18941" s="5">
        <v>116.9</v>
      </c>
      <c r="I18941" s="5"/>
      <c r="J18941" s="5"/>
      <c r="K18941" s="5"/>
    </row>
    <row r="18942" spans="1:11" x14ac:dyDescent="0.25">
      <c r="A18942" s="5">
        <f>18935</f>
      </c>
      <c r="B18942" s="5" t="s">
        <v>18950</v>
      </c>
      <c r="C18942" s="5">
        <v>118.5</v>
      </c>
      <c r="D18942" s="5">
        <v>0.1</v>
      </c>
      <c r="E18942" s="5">
        <v>118.6</v>
      </c>
      <c r="F18942" s="5">
        <v>235.5</v>
      </c>
      <c r="G18942" s="5">
        <v>117.1</v>
      </c>
      <c r="H18942" s="5">
        <v>116.9</v>
      </c>
      <c r="I18942" s="5"/>
      <c r="J18942" s="5"/>
      <c r="K18942" s="5"/>
    </row>
    <row r="18943" spans="1:11" x14ac:dyDescent="0.25">
      <c r="A18943" s="5">
        <f>18936</f>
      </c>
      <c r="B18943" s="5" t="s">
        <v>18951</v>
      </c>
      <c r="C18943" s="5">
        <v>118.5</v>
      </c>
      <c r="D18943" s="5">
        <v>0.1</v>
      </c>
      <c r="E18943" s="5">
        <v>118.6</v>
      </c>
      <c r="F18943" s="5">
        <v>235.5</v>
      </c>
      <c r="G18943" s="5">
        <v>117.1</v>
      </c>
      <c r="H18943" s="5">
        <v>116.9</v>
      </c>
      <c r="I18943" s="5"/>
      <c r="J18943" s="5"/>
      <c r="K18943" s="5"/>
    </row>
    <row r="18944" spans="1:11" x14ac:dyDescent="0.25">
      <c r="A18944" s="5">
        <f>18937</f>
      </c>
      <c r="B18944" s="5" t="s">
        <v>18952</v>
      </c>
      <c r="C18944" s="5">
        <v>118.5</v>
      </c>
      <c r="D18944" s="5">
        <v>0.1</v>
      </c>
      <c r="E18944" s="5">
        <v>118.6</v>
      </c>
      <c r="F18944" s="5">
        <v>235.5</v>
      </c>
      <c r="G18944" s="5">
        <v>117.1</v>
      </c>
      <c r="H18944" s="5">
        <v>116.9</v>
      </c>
      <c r="I18944" s="5"/>
      <c r="J18944" s="5"/>
      <c r="K18944" s="5"/>
    </row>
    <row r="18945" spans="1:11" x14ac:dyDescent="0.25">
      <c r="A18945" s="5">
        <f>18938</f>
      </c>
      <c r="B18945" s="5" t="s">
        <v>18953</v>
      </c>
      <c r="C18945" s="5">
        <v>118.2</v>
      </c>
      <c r="D18945" s="5">
        <v>0.1</v>
      </c>
      <c r="E18945" s="5">
        <v>118.3</v>
      </c>
      <c r="F18945" s="5">
        <v>235.3</v>
      </c>
      <c r="G18945" s="5">
        <v>117</v>
      </c>
      <c r="H18945" s="5">
        <v>116.8</v>
      </c>
      <c r="I18945" s="5"/>
      <c r="J18945" s="5"/>
      <c r="K18945" s="5"/>
    </row>
    <row r="18946" spans="1:11" x14ac:dyDescent="0.25">
      <c r="A18946" s="5">
        <f>18939</f>
      </c>
      <c r="B18946" s="5" t="s">
        <v>18954</v>
      </c>
      <c r="C18946" s="5">
        <v>118.2</v>
      </c>
      <c r="D18946" s="5">
        <v>0.1</v>
      </c>
      <c r="E18946" s="5">
        <v>118.3</v>
      </c>
      <c r="F18946" s="5">
        <v>235.3</v>
      </c>
      <c r="G18946" s="5">
        <v>117</v>
      </c>
      <c r="H18946" s="5">
        <v>116.8</v>
      </c>
      <c r="I18946" s="5"/>
      <c r="J18946" s="5"/>
      <c r="K18946" s="5"/>
    </row>
    <row r="18947" spans="1:11" x14ac:dyDescent="0.25">
      <c r="A18947" s="5">
        <f>18940</f>
      </c>
      <c r="B18947" s="5" t="s">
        <v>18955</v>
      </c>
      <c r="C18947" s="5">
        <v>118.3</v>
      </c>
      <c r="D18947" s="5">
        <v>0.1</v>
      </c>
      <c r="E18947" s="5">
        <v>118.5</v>
      </c>
      <c r="F18947" s="5">
        <v>235.2</v>
      </c>
      <c r="G18947" s="5">
        <v>116.9</v>
      </c>
      <c r="H18947" s="5">
        <v>116.8</v>
      </c>
      <c r="I18947" s="5"/>
      <c r="J18947" s="5"/>
      <c r="K18947" s="5"/>
    </row>
    <row r="18948" spans="1:11" x14ac:dyDescent="0.25">
      <c r="A18948" s="5">
        <f>18941</f>
      </c>
      <c r="B18948" s="5" t="s">
        <v>18956</v>
      </c>
      <c r="C18948" s="5">
        <v>118.3</v>
      </c>
      <c r="D18948" s="5">
        <v>0.1</v>
      </c>
      <c r="E18948" s="5">
        <v>118.5</v>
      </c>
      <c r="F18948" s="5">
        <v>235.2</v>
      </c>
      <c r="G18948" s="5">
        <v>116.9</v>
      </c>
      <c r="H18948" s="5">
        <v>116.8</v>
      </c>
      <c r="I18948" s="5"/>
      <c r="J18948" s="5"/>
      <c r="K18948" s="5"/>
    </row>
    <row r="18949" spans="1:11" x14ac:dyDescent="0.25">
      <c r="A18949" s="5">
        <f>18942</f>
      </c>
      <c r="B18949" s="5" t="s">
        <v>18957</v>
      </c>
      <c r="C18949" s="5">
        <v>118.3</v>
      </c>
      <c r="D18949" s="5">
        <v>0.1</v>
      </c>
      <c r="E18949" s="5">
        <v>118.5</v>
      </c>
      <c r="F18949" s="5">
        <v>235.1</v>
      </c>
      <c r="G18949" s="5">
        <v>116.9</v>
      </c>
      <c r="H18949" s="5">
        <v>116.7</v>
      </c>
      <c r="I18949" s="5"/>
      <c r="J18949" s="5"/>
      <c r="K18949" s="5"/>
    </row>
    <row r="18950" spans="1:11" x14ac:dyDescent="0.25">
      <c r="A18950" s="5">
        <f>18943</f>
      </c>
      <c r="B18950" s="5" t="s">
        <v>18958</v>
      </c>
      <c r="C18950" s="5">
        <v>118.3</v>
      </c>
      <c r="D18950" s="5">
        <v>0.1</v>
      </c>
      <c r="E18950" s="5">
        <v>118.5</v>
      </c>
      <c r="F18950" s="5">
        <v>235.1</v>
      </c>
      <c r="G18950" s="5">
        <v>116.9</v>
      </c>
      <c r="H18950" s="5">
        <v>116.7</v>
      </c>
      <c r="I18950" s="5"/>
      <c r="J18950" s="5"/>
      <c r="K18950" s="5"/>
    </row>
    <row r="18951" spans="1:11" x14ac:dyDescent="0.25">
      <c r="A18951" s="5">
        <f>18944</f>
      </c>
      <c r="B18951" s="5" t="s">
        <v>18959</v>
      </c>
      <c r="C18951" s="5">
        <v>118.2</v>
      </c>
      <c r="D18951" s="5">
        <v>0.1</v>
      </c>
      <c r="E18951" s="5">
        <v>118.3</v>
      </c>
      <c r="F18951" s="5">
        <v>235.3</v>
      </c>
      <c r="G18951" s="5">
        <v>117</v>
      </c>
      <c r="H18951" s="5">
        <v>116.7</v>
      </c>
      <c r="I18951" s="5"/>
      <c r="J18951" s="5"/>
      <c r="K18951" s="5"/>
    </row>
    <row r="18952" spans="1:11" x14ac:dyDescent="0.25">
      <c r="A18952" s="5">
        <f>18945</f>
      </c>
      <c r="B18952" s="5" t="s">
        <v>18960</v>
      </c>
      <c r="C18952" s="5">
        <v>118.2</v>
      </c>
      <c r="D18952" s="5">
        <v>0.1</v>
      </c>
      <c r="E18952" s="5">
        <v>118.3</v>
      </c>
      <c r="F18952" s="5">
        <v>235.3</v>
      </c>
      <c r="G18952" s="5">
        <v>117</v>
      </c>
      <c r="H18952" s="5">
        <v>116.7</v>
      </c>
      <c r="I18952" s="5"/>
      <c r="J18952" s="5"/>
      <c r="K18952" s="5"/>
    </row>
    <row r="18953" spans="1:11" x14ac:dyDescent="0.25">
      <c r="A18953" s="5">
        <f>18946</f>
      </c>
      <c r="B18953" s="5" t="s">
        <v>18961</v>
      </c>
      <c r="C18953" s="5">
        <v>118.2</v>
      </c>
      <c r="D18953" s="5">
        <v>0.1</v>
      </c>
      <c r="E18953" s="5">
        <v>118.3</v>
      </c>
      <c r="F18953" s="5">
        <v>235.3</v>
      </c>
      <c r="G18953" s="5">
        <v>117</v>
      </c>
      <c r="H18953" s="5">
        <v>116.7</v>
      </c>
      <c r="I18953" s="5"/>
      <c r="J18953" s="5"/>
      <c r="K18953" s="5"/>
    </row>
    <row r="18954" spans="1:11" x14ac:dyDescent="0.25">
      <c r="A18954" s="5">
        <f>18947</f>
      </c>
      <c r="B18954" s="5" t="s">
        <v>18962</v>
      </c>
      <c r="C18954" s="5">
        <v>118.2</v>
      </c>
      <c r="D18954" s="5">
        <v>0.1</v>
      </c>
      <c r="E18954" s="5">
        <v>118.3</v>
      </c>
      <c r="F18954" s="5">
        <v>235.3</v>
      </c>
      <c r="G18954" s="5">
        <v>117</v>
      </c>
      <c r="H18954" s="5">
        <v>116.7</v>
      </c>
      <c r="I18954" s="5"/>
      <c r="J18954" s="5"/>
      <c r="K18954" s="5"/>
    </row>
    <row r="18955" spans="1:11" x14ac:dyDescent="0.25">
      <c r="A18955" s="5">
        <f>18948</f>
      </c>
      <c r="B18955" s="5" t="s">
        <v>18963</v>
      </c>
      <c r="C18955" s="5">
        <v>118</v>
      </c>
      <c r="D18955" s="5">
        <v>0.1</v>
      </c>
      <c r="E18955" s="5">
        <v>118.2</v>
      </c>
      <c r="F18955" s="5">
        <v>235.2</v>
      </c>
      <c r="G18955" s="5">
        <v>116.9</v>
      </c>
      <c r="H18955" s="5">
        <v>116.8</v>
      </c>
      <c r="I18955" s="5"/>
      <c r="J18955" s="5"/>
      <c r="K18955" s="5"/>
    </row>
    <row r="18956" spans="1:11" x14ac:dyDescent="0.25">
      <c r="A18956" s="5">
        <f>18949</f>
      </c>
      <c r="B18956" s="5" t="s">
        <v>18964</v>
      </c>
      <c r="C18956" s="5">
        <v>118</v>
      </c>
      <c r="D18956" s="5">
        <v>0.1</v>
      </c>
      <c r="E18956" s="5">
        <v>118.2</v>
      </c>
      <c r="F18956" s="5">
        <v>235.2</v>
      </c>
      <c r="G18956" s="5">
        <v>116.9</v>
      </c>
      <c r="H18956" s="5">
        <v>116.8</v>
      </c>
      <c r="I18956" s="5"/>
      <c r="J18956" s="5"/>
      <c r="K18956" s="5"/>
    </row>
    <row r="18957" spans="1:11" x14ac:dyDescent="0.25">
      <c r="A18957" s="5">
        <f>18950</f>
      </c>
      <c r="B18957" s="5" t="s">
        <v>18965</v>
      </c>
      <c r="C18957" s="5">
        <v>118</v>
      </c>
      <c r="D18957" s="5">
        <v>0.1</v>
      </c>
      <c r="E18957" s="5">
        <v>118.2</v>
      </c>
      <c r="F18957" s="5">
        <v>235.2</v>
      </c>
      <c r="G18957" s="5">
        <v>116.9</v>
      </c>
      <c r="H18957" s="5">
        <v>116.8</v>
      </c>
      <c r="I18957" s="5"/>
      <c r="J18957" s="5"/>
      <c r="K18957" s="5"/>
    </row>
    <row r="18958" spans="1:11" x14ac:dyDescent="0.25">
      <c r="A18958" s="5">
        <f>18951</f>
      </c>
      <c r="B18958" s="5" t="s">
        <v>18966</v>
      </c>
      <c r="C18958" s="5">
        <v>118</v>
      </c>
      <c r="D18958" s="5">
        <v>0.1</v>
      </c>
      <c r="E18958" s="5">
        <v>118.2</v>
      </c>
      <c r="F18958" s="5">
        <v>235.2</v>
      </c>
      <c r="G18958" s="5">
        <v>116.9</v>
      </c>
      <c r="H18958" s="5">
        <v>116.8</v>
      </c>
      <c r="I18958" s="5"/>
      <c r="J18958" s="5"/>
      <c r="K18958" s="5"/>
    </row>
    <row r="18959" spans="1:11" x14ac:dyDescent="0.25">
      <c r="A18959" s="5">
        <f>18952</f>
      </c>
      <c r="B18959" s="5" t="s">
        <v>18967</v>
      </c>
      <c r="C18959" s="5">
        <v>117.7</v>
      </c>
      <c r="D18959" s="5">
        <v>0.1</v>
      </c>
      <c r="E18959" s="5">
        <v>117.9</v>
      </c>
      <c r="F18959" s="5">
        <v>234.8</v>
      </c>
      <c r="G18959" s="5">
        <v>116.8</v>
      </c>
      <c r="H18959" s="5">
        <v>116.6</v>
      </c>
      <c r="I18959" s="5"/>
      <c r="J18959" s="5"/>
      <c r="K18959" s="5"/>
    </row>
    <row r="18960" spans="1:11" x14ac:dyDescent="0.25">
      <c r="A18960" s="5">
        <f>18953</f>
      </c>
      <c r="B18960" s="5" t="s">
        <v>18968</v>
      </c>
      <c r="C18960" s="5">
        <v>117.7</v>
      </c>
      <c r="D18960" s="5">
        <v>0.1</v>
      </c>
      <c r="E18960" s="5">
        <v>117.9</v>
      </c>
      <c r="F18960" s="5">
        <v>234.8</v>
      </c>
      <c r="G18960" s="5">
        <v>116.8</v>
      </c>
      <c r="H18960" s="5">
        <v>116.6</v>
      </c>
      <c r="I18960" s="5"/>
      <c r="J18960" s="5"/>
      <c r="K18960" s="5"/>
    </row>
    <row r="18961" spans="1:11" x14ac:dyDescent="0.25">
      <c r="A18961" s="5">
        <f>18954</f>
      </c>
      <c r="B18961" s="5" t="s">
        <v>18969</v>
      </c>
      <c r="C18961" s="5">
        <v>117.8</v>
      </c>
      <c r="D18961" s="5">
        <v>0.1</v>
      </c>
      <c r="E18961" s="5">
        <v>118</v>
      </c>
      <c r="F18961" s="5">
        <v>234.5</v>
      </c>
      <c r="G18961" s="5">
        <v>116.6</v>
      </c>
      <c r="H18961" s="5">
        <v>116.4</v>
      </c>
      <c r="I18961" s="5"/>
      <c r="J18961" s="5"/>
      <c r="K18961" s="5"/>
    </row>
    <row r="18962" spans="1:11" x14ac:dyDescent="0.25">
      <c r="A18962" s="5">
        <f>18955</f>
      </c>
      <c r="B18962" s="5" t="s">
        <v>18970</v>
      </c>
      <c r="C18962" s="5">
        <v>117.8</v>
      </c>
      <c r="D18962" s="5">
        <v>0.1</v>
      </c>
      <c r="E18962" s="5">
        <v>118</v>
      </c>
      <c r="F18962" s="5">
        <v>234.5</v>
      </c>
      <c r="G18962" s="5">
        <v>116.6</v>
      </c>
      <c r="H18962" s="5">
        <v>116.4</v>
      </c>
      <c r="I18962" s="5"/>
      <c r="J18962" s="5"/>
      <c r="K18962" s="5"/>
    </row>
    <row r="18963" spans="1:11" x14ac:dyDescent="0.25">
      <c r="A18963" s="5">
        <f>18956</f>
      </c>
      <c r="B18963" s="5" t="s">
        <v>18971</v>
      </c>
      <c r="C18963" s="5">
        <v>117.8</v>
      </c>
      <c r="D18963" s="5">
        <v>0.1</v>
      </c>
      <c r="E18963" s="5">
        <v>118</v>
      </c>
      <c r="F18963" s="5">
        <v>234.5</v>
      </c>
      <c r="G18963" s="5">
        <v>116.6</v>
      </c>
      <c r="H18963" s="5">
        <v>116.4</v>
      </c>
      <c r="I18963" s="5"/>
      <c r="J18963" s="5"/>
      <c r="K18963" s="5"/>
    </row>
    <row r="18964" spans="1:11" x14ac:dyDescent="0.25">
      <c r="A18964" s="5">
        <f>18957</f>
      </c>
      <c r="B18964" s="5" t="s">
        <v>18972</v>
      </c>
      <c r="C18964" s="5">
        <v>117.8</v>
      </c>
      <c r="D18964" s="5">
        <v>0.1</v>
      </c>
      <c r="E18964" s="5">
        <v>118</v>
      </c>
      <c r="F18964" s="5">
        <v>234.5</v>
      </c>
      <c r="G18964" s="5">
        <v>116.6</v>
      </c>
      <c r="H18964" s="5">
        <v>116.4</v>
      </c>
      <c r="I18964" s="5"/>
      <c r="J18964" s="5"/>
      <c r="K18964" s="5"/>
    </row>
    <row r="18965" spans="1:11" x14ac:dyDescent="0.25">
      <c r="A18965" s="5">
        <f>18958</f>
      </c>
      <c r="B18965" s="5" t="s">
        <v>18973</v>
      </c>
      <c r="C18965" s="5">
        <v>118.1</v>
      </c>
      <c r="D18965" s="5">
        <v>0.1</v>
      </c>
      <c r="E18965" s="5">
        <v>118.3</v>
      </c>
      <c r="F18965" s="5">
        <v>235</v>
      </c>
      <c r="G18965" s="5">
        <v>116.8</v>
      </c>
      <c r="H18965" s="5">
        <v>116.6</v>
      </c>
      <c r="I18965" s="5"/>
      <c r="J18965" s="5"/>
      <c r="K18965" s="5"/>
    </row>
    <row r="18966" spans="1:11" x14ac:dyDescent="0.25">
      <c r="A18966" s="5">
        <f>18959</f>
      </c>
      <c r="B18966" s="5" t="s">
        <v>18974</v>
      </c>
      <c r="C18966" s="5">
        <v>118.1</v>
      </c>
      <c r="D18966" s="5">
        <v>0.1</v>
      </c>
      <c r="E18966" s="5">
        <v>118.3</v>
      </c>
      <c r="F18966" s="5">
        <v>235</v>
      </c>
      <c r="G18966" s="5">
        <v>116.8</v>
      </c>
      <c r="H18966" s="5">
        <v>116.6</v>
      </c>
      <c r="I18966" s="5"/>
      <c r="J18966" s="5"/>
      <c r="K18966" s="5"/>
    </row>
    <row r="18967" spans="1:11" x14ac:dyDescent="0.25">
      <c r="A18967" s="5">
        <f>18960</f>
      </c>
      <c r="B18967" s="5" t="s">
        <v>18975</v>
      </c>
      <c r="C18967" s="5">
        <v>118.4</v>
      </c>
      <c r="D18967" s="5">
        <v>0.1</v>
      </c>
      <c r="E18967" s="5">
        <v>118.6</v>
      </c>
      <c r="F18967" s="5">
        <v>235</v>
      </c>
      <c r="G18967" s="5">
        <v>116.8</v>
      </c>
      <c r="H18967" s="5">
        <v>116.6</v>
      </c>
      <c r="I18967" s="5"/>
      <c r="J18967" s="5"/>
      <c r="K18967" s="5"/>
    </row>
    <row r="18968" spans="1:11" x14ac:dyDescent="0.25">
      <c r="A18968" s="5">
        <f>18961</f>
      </c>
      <c r="B18968" s="5" t="s">
        <v>18976</v>
      </c>
      <c r="C18968" s="5">
        <v>118.4</v>
      </c>
      <c r="D18968" s="5">
        <v>0.1</v>
      </c>
      <c r="E18968" s="5">
        <v>118.6</v>
      </c>
      <c r="F18968" s="5">
        <v>235</v>
      </c>
      <c r="G18968" s="5">
        <v>116.8</v>
      </c>
      <c r="H18968" s="5">
        <v>116.6</v>
      </c>
      <c r="I18968" s="5"/>
      <c r="J18968" s="5"/>
      <c r="K18968" s="5"/>
    </row>
    <row r="18969" spans="1:11" x14ac:dyDescent="0.25">
      <c r="A18969" s="5">
        <f>18962</f>
      </c>
      <c r="B18969" s="5" t="s">
        <v>18977</v>
      </c>
      <c r="C18969" s="5">
        <v>118</v>
      </c>
      <c r="D18969" s="5">
        <v>0.1</v>
      </c>
      <c r="E18969" s="5">
        <v>118.2</v>
      </c>
      <c r="F18969" s="5">
        <v>234.8</v>
      </c>
      <c r="G18969" s="5">
        <v>116.8</v>
      </c>
      <c r="H18969" s="5">
        <v>116.6</v>
      </c>
      <c r="I18969" s="5"/>
      <c r="J18969" s="5"/>
      <c r="K18969" s="5"/>
    </row>
    <row r="18970" spans="1:11" x14ac:dyDescent="0.25">
      <c r="A18970" s="5">
        <f>18963</f>
      </c>
      <c r="B18970" s="5" t="s">
        <v>18978</v>
      </c>
      <c r="C18970" s="5">
        <v>118</v>
      </c>
      <c r="D18970" s="5">
        <v>0.1</v>
      </c>
      <c r="E18970" s="5">
        <v>118.2</v>
      </c>
      <c r="F18970" s="5">
        <v>234.8</v>
      </c>
      <c r="G18970" s="5">
        <v>116.8</v>
      </c>
      <c r="H18970" s="5">
        <v>116.6</v>
      </c>
      <c r="I18970" s="5"/>
      <c r="J18970" s="5"/>
      <c r="K18970" s="5"/>
    </row>
    <row r="18971" spans="1:11" x14ac:dyDescent="0.25">
      <c r="A18971" s="5">
        <f>18964</f>
      </c>
      <c r="B18971" s="5" t="s">
        <v>18979</v>
      </c>
      <c r="C18971" s="5">
        <v>118.3</v>
      </c>
      <c r="D18971" s="5">
        <v>0.1</v>
      </c>
      <c r="E18971" s="5">
        <v>118.5</v>
      </c>
      <c r="F18971" s="5">
        <v>234.9</v>
      </c>
      <c r="G18971" s="5">
        <v>116.8</v>
      </c>
      <c r="H18971" s="5">
        <v>116.6</v>
      </c>
      <c r="I18971" s="5"/>
      <c r="J18971" s="5"/>
      <c r="K18971" s="5"/>
    </row>
    <row r="18972" spans="1:11" x14ac:dyDescent="0.25">
      <c r="A18972" s="5">
        <f>18965</f>
      </c>
      <c r="B18972" s="5" t="s">
        <v>18980</v>
      </c>
      <c r="C18972" s="5">
        <v>118.3</v>
      </c>
      <c r="D18972" s="5">
        <v>0.1</v>
      </c>
      <c r="E18972" s="5">
        <v>118.5</v>
      </c>
      <c r="F18972" s="5">
        <v>234.9</v>
      </c>
      <c r="G18972" s="5">
        <v>116.8</v>
      </c>
      <c r="H18972" s="5">
        <v>116.6</v>
      </c>
      <c r="I18972" s="5"/>
      <c r="J18972" s="5"/>
      <c r="K18972" s="5"/>
    </row>
    <row r="18973" spans="1:11" x14ac:dyDescent="0.25">
      <c r="A18973" s="5">
        <f>18966</f>
      </c>
      <c r="B18973" s="5" t="s">
        <v>18981</v>
      </c>
      <c r="C18973" s="5">
        <v>118.3</v>
      </c>
      <c r="D18973" s="5">
        <v>0.1</v>
      </c>
      <c r="E18973" s="5">
        <v>118.5</v>
      </c>
      <c r="F18973" s="5">
        <v>234.9</v>
      </c>
      <c r="G18973" s="5">
        <v>116.8</v>
      </c>
      <c r="H18973" s="5">
        <v>116.6</v>
      </c>
      <c r="I18973" s="5"/>
      <c r="J18973" s="5"/>
      <c r="K18973" s="5"/>
    </row>
    <row r="18974" spans="1:11" x14ac:dyDescent="0.25">
      <c r="A18974" s="5">
        <f>18967</f>
      </c>
      <c r="B18974" s="5" t="s">
        <v>18982</v>
      </c>
      <c r="C18974" s="5">
        <v>118.3</v>
      </c>
      <c r="D18974" s="5">
        <v>0.1</v>
      </c>
      <c r="E18974" s="5">
        <v>118.5</v>
      </c>
      <c r="F18974" s="5">
        <v>234.9</v>
      </c>
      <c r="G18974" s="5">
        <v>116.8</v>
      </c>
      <c r="H18974" s="5">
        <v>116.6</v>
      </c>
      <c r="I18974" s="5"/>
      <c r="J18974" s="5"/>
      <c r="K18974" s="5"/>
    </row>
    <row r="18975" spans="1:11" x14ac:dyDescent="0.25">
      <c r="A18975" s="5">
        <f>18968</f>
      </c>
      <c r="B18975" s="5" t="s">
        <v>18983</v>
      </c>
      <c r="C18975" s="5">
        <v>118</v>
      </c>
      <c r="D18975" s="5">
        <v>0.1</v>
      </c>
      <c r="E18975" s="5">
        <v>118.1</v>
      </c>
      <c r="F18975" s="5">
        <v>234.6</v>
      </c>
      <c r="G18975" s="5">
        <v>116.6</v>
      </c>
      <c r="H18975" s="5">
        <v>116.5</v>
      </c>
      <c r="I18975" s="5"/>
      <c r="J18975" s="5"/>
      <c r="K18975" s="5"/>
    </row>
    <row r="18976" spans="1:11" x14ac:dyDescent="0.25">
      <c r="A18976" s="5">
        <f>18969</f>
      </c>
      <c r="B18976" s="5" t="s">
        <v>18984</v>
      </c>
      <c r="C18976" s="5">
        <v>118</v>
      </c>
      <c r="D18976" s="5">
        <v>0.1</v>
      </c>
      <c r="E18976" s="5">
        <v>118.1</v>
      </c>
      <c r="F18976" s="5">
        <v>234.6</v>
      </c>
      <c r="G18976" s="5">
        <v>116.6</v>
      </c>
      <c r="H18976" s="5">
        <v>116.5</v>
      </c>
      <c r="I18976" s="5"/>
      <c r="J18976" s="5"/>
      <c r="K18976" s="5"/>
    </row>
    <row r="18977" spans="1:11" x14ac:dyDescent="0.25">
      <c r="A18977" s="5">
        <f>18970</f>
      </c>
      <c r="B18977" s="5" t="s">
        <v>18985</v>
      </c>
      <c r="C18977" s="5">
        <v>117.7</v>
      </c>
      <c r="D18977" s="5">
        <v>0.1</v>
      </c>
      <c r="E18977" s="5">
        <v>117.8</v>
      </c>
      <c r="F18977" s="5">
        <v>234.3</v>
      </c>
      <c r="G18977" s="5">
        <v>116.4</v>
      </c>
      <c r="H18977" s="5">
        <v>116.3</v>
      </c>
      <c r="I18977" s="5"/>
      <c r="J18977" s="5"/>
      <c r="K18977" s="5"/>
    </row>
    <row r="18978" spans="1:11" x14ac:dyDescent="0.25">
      <c r="A18978" s="5">
        <f>18971</f>
      </c>
      <c r="B18978" s="5" t="s">
        <v>18986</v>
      </c>
      <c r="C18978" s="5">
        <v>117.7</v>
      </c>
      <c r="D18978" s="5">
        <v>0.1</v>
      </c>
      <c r="E18978" s="5">
        <v>117.8</v>
      </c>
      <c r="F18978" s="5">
        <v>234.3</v>
      </c>
      <c r="G18978" s="5">
        <v>116.4</v>
      </c>
      <c r="H18978" s="5">
        <v>116.3</v>
      </c>
      <c r="I18978" s="5"/>
      <c r="J18978" s="5"/>
      <c r="K18978" s="5"/>
    </row>
    <row r="18979" spans="1:11" x14ac:dyDescent="0.25">
      <c r="A18979" s="5">
        <f>18972</f>
      </c>
      <c r="B18979" s="5" t="s">
        <v>18987</v>
      </c>
      <c r="C18979" s="5">
        <v>118</v>
      </c>
      <c r="D18979" s="5">
        <v>0.1</v>
      </c>
      <c r="E18979" s="5">
        <v>118.1</v>
      </c>
      <c r="F18979" s="5">
        <v>234.6</v>
      </c>
      <c r="G18979" s="5">
        <v>116.7</v>
      </c>
      <c r="H18979" s="5">
        <v>116.5</v>
      </c>
      <c r="I18979" s="5"/>
      <c r="J18979" s="5"/>
      <c r="K18979" s="5"/>
    </row>
    <row r="18980" spans="1:11" x14ac:dyDescent="0.25">
      <c r="A18980" s="5">
        <f>18973</f>
      </c>
      <c r="B18980" s="5" t="s">
        <v>18988</v>
      </c>
      <c r="C18980" s="5">
        <v>118</v>
      </c>
      <c r="D18980" s="5">
        <v>0.1</v>
      </c>
      <c r="E18980" s="5">
        <v>118.1</v>
      </c>
      <c r="F18980" s="5">
        <v>234.6</v>
      </c>
      <c r="G18980" s="5">
        <v>116.7</v>
      </c>
      <c r="H18980" s="5">
        <v>116.5</v>
      </c>
      <c r="I18980" s="5"/>
      <c r="J18980" s="5"/>
      <c r="K18980" s="5"/>
    </row>
    <row r="18981" spans="1:11" x14ac:dyDescent="0.25">
      <c r="A18981" s="5">
        <f>18974</f>
      </c>
      <c r="B18981" s="5" t="s">
        <v>18989</v>
      </c>
      <c r="C18981" s="5">
        <v>118.1</v>
      </c>
      <c r="D18981" s="5">
        <v>0.1</v>
      </c>
      <c r="E18981" s="5">
        <v>118.3</v>
      </c>
      <c r="F18981" s="5">
        <v>234.6</v>
      </c>
      <c r="G18981" s="5">
        <v>116.6</v>
      </c>
      <c r="H18981" s="5">
        <v>116.5</v>
      </c>
      <c r="I18981" s="5"/>
      <c r="J18981" s="5"/>
      <c r="K18981" s="5"/>
    </row>
    <row r="18982" spans="1:11" x14ac:dyDescent="0.25">
      <c r="A18982" s="5">
        <f>18975</f>
      </c>
      <c r="B18982" s="5" t="s">
        <v>18990</v>
      </c>
      <c r="C18982" s="5">
        <v>118.1</v>
      </c>
      <c r="D18982" s="5">
        <v>0.1</v>
      </c>
      <c r="E18982" s="5">
        <v>118.3</v>
      </c>
      <c r="F18982" s="5">
        <v>234.6</v>
      </c>
      <c r="G18982" s="5">
        <v>116.6</v>
      </c>
      <c r="H18982" s="5">
        <v>116.5</v>
      </c>
      <c r="I18982" s="5"/>
      <c r="J18982" s="5"/>
      <c r="K18982" s="5"/>
    </row>
    <row r="18983" spans="1:11" x14ac:dyDescent="0.25">
      <c r="A18983" s="5">
        <f>18976</f>
      </c>
      <c r="B18983" s="5" t="s">
        <v>18991</v>
      </c>
      <c r="C18983" s="5">
        <v>118.1</v>
      </c>
      <c r="D18983" s="5">
        <v>0.1</v>
      </c>
      <c r="E18983" s="5">
        <v>118.3</v>
      </c>
      <c r="F18983" s="5">
        <v>234.6</v>
      </c>
      <c r="G18983" s="5">
        <v>116.6</v>
      </c>
      <c r="H18983" s="5">
        <v>116.5</v>
      </c>
      <c r="I18983" s="5"/>
      <c r="J18983" s="5"/>
      <c r="K18983" s="5"/>
    </row>
    <row r="18984" spans="1:11" x14ac:dyDescent="0.25">
      <c r="A18984" s="5">
        <f>18977</f>
      </c>
      <c r="B18984" s="5" t="s">
        <v>18992</v>
      </c>
      <c r="C18984" s="5">
        <v>118.1</v>
      </c>
      <c r="D18984" s="5">
        <v>0.1</v>
      </c>
      <c r="E18984" s="5">
        <v>118.3</v>
      </c>
      <c r="F18984" s="5">
        <v>234.6</v>
      </c>
      <c r="G18984" s="5">
        <v>116.6</v>
      </c>
      <c r="H18984" s="5">
        <v>116.5</v>
      </c>
      <c r="I18984" s="5"/>
      <c r="J18984" s="5"/>
      <c r="K18984" s="5"/>
    </row>
    <row r="18985" spans="1:11" x14ac:dyDescent="0.25">
      <c r="A18985" s="5">
        <f>18978</f>
      </c>
      <c r="B18985" s="5" t="s">
        <v>18993</v>
      </c>
      <c r="C18985" s="5">
        <v>118.1</v>
      </c>
      <c r="D18985" s="5">
        <v>0.1</v>
      </c>
      <c r="E18985" s="5">
        <v>118.3</v>
      </c>
      <c r="F18985" s="5">
        <v>234.6</v>
      </c>
      <c r="G18985" s="5">
        <v>116.6</v>
      </c>
      <c r="H18985" s="5">
        <v>116.5</v>
      </c>
      <c r="I18985" s="5"/>
      <c r="J18985" s="5"/>
      <c r="K18985" s="5"/>
    </row>
    <row r="18986" spans="1:11" x14ac:dyDescent="0.25">
      <c r="A18986" s="5">
        <f>18979</f>
      </c>
      <c r="B18986" s="5" t="s">
        <v>18994</v>
      </c>
      <c r="C18986" s="5">
        <v>118.1</v>
      </c>
      <c r="D18986" s="5">
        <v>0.1</v>
      </c>
      <c r="E18986" s="5">
        <v>118.3</v>
      </c>
      <c r="F18986" s="5">
        <v>234.6</v>
      </c>
      <c r="G18986" s="5">
        <v>116.6</v>
      </c>
      <c r="H18986" s="5">
        <v>116.5</v>
      </c>
      <c r="I18986" s="5"/>
      <c r="J18986" s="5"/>
      <c r="K18986" s="5"/>
    </row>
    <row r="18987" spans="1:11" x14ac:dyDescent="0.25">
      <c r="A18987" s="5">
        <f>18980</f>
      </c>
      <c r="B18987" s="5" t="s">
        <v>18995</v>
      </c>
      <c r="C18987" s="5">
        <v>118.5</v>
      </c>
      <c r="D18987" s="5">
        <v>0.1</v>
      </c>
      <c r="E18987" s="5">
        <v>118.7</v>
      </c>
      <c r="F18987" s="5">
        <v>235.6</v>
      </c>
      <c r="G18987" s="5">
        <v>117.1</v>
      </c>
      <c r="H18987" s="5">
        <v>117</v>
      </c>
      <c r="I18987" s="5"/>
      <c r="J18987" s="5"/>
      <c r="K18987" s="5"/>
    </row>
    <row r="18988" spans="1:11" x14ac:dyDescent="0.25">
      <c r="A18988" s="5">
        <f>18981</f>
      </c>
      <c r="B18988" s="5" t="s">
        <v>18996</v>
      </c>
      <c r="C18988" s="5">
        <v>118.6</v>
      </c>
      <c r="D18988" s="5">
        <v>0.1</v>
      </c>
      <c r="E18988" s="5">
        <v>118.7</v>
      </c>
      <c r="F18988" s="5">
        <v>235.1</v>
      </c>
      <c r="G18988" s="5">
        <v>116.9</v>
      </c>
      <c r="H18988" s="5">
        <v>116.7</v>
      </c>
      <c r="I18988" s="5"/>
      <c r="J18988" s="5"/>
      <c r="K18988" s="5"/>
    </row>
    <row r="18989" spans="1:11" x14ac:dyDescent="0.25">
      <c r="A18989" s="5">
        <f>18982</f>
      </c>
      <c r="B18989" s="5" t="s">
        <v>18997</v>
      </c>
      <c r="C18989" s="5">
        <v>118.6</v>
      </c>
      <c r="D18989" s="5">
        <v>0.1</v>
      </c>
      <c r="E18989" s="5">
        <v>118.7</v>
      </c>
      <c r="F18989" s="5">
        <v>235.1</v>
      </c>
      <c r="G18989" s="5">
        <v>117.1</v>
      </c>
      <c r="H18989" s="5">
        <v>116.9</v>
      </c>
      <c r="I18989" s="5"/>
      <c r="J18989" s="5"/>
      <c r="K18989" s="5"/>
    </row>
    <row r="18990" spans="1:11" x14ac:dyDescent="0.25">
      <c r="A18990" s="5">
        <f>18983</f>
      </c>
      <c r="B18990" s="5" t="s">
        <v>18998</v>
      </c>
      <c r="C18990" s="5">
        <v>118.7</v>
      </c>
      <c r="D18990" s="5">
        <v>0.1</v>
      </c>
      <c r="E18990" s="5">
        <v>118.9</v>
      </c>
      <c r="F18990" s="5">
        <v>235.5</v>
      </c>
      <c r="G18990" s="5">
        <v>117.1</v>
      </c>
      <c r="H18990" s="5">
        <v>116.9</v>
      </c>
      <c r="I18990" s="5"/>
      <c r="J18990" s="5"/>
      <c r="K18990" s="5"/>
    </row>
    <row r="18991" spans="1:11" x14ac:dyDescent="0.25">
      <c r="A18991" s="5">
        <f>18984</f>
      </c>
      <c r="B18991" s="5" t="s">
        <v>18999</v>
      </c>
      <c r="C18991" s="5">
        <v>118.7</v>
      </c>
      <c r="D18991" s="5">
        <v>0.1</v>
      </c>
      <c r="E18991" s="5">
        <v>118.9</v>
      </c>
      <c r="F18991" s="5">
        <v>235.5</v>
      </c>
      <c r="G18991" s="5">
        <v>117.1</v>
      </c>
      <c r="H18991" s="5">
        <v>116.9</v>
      </c>
      <c r="I18991" s="5"/>
      <c r="J18991" s="5"/>
      <c r="K18991" s="5"/>
    </row>
    <row r="18992" spans="1:11" x14ac:dyDescent="0.25">
      <c r="A18992" s="5">
        <f>18985</f>
      </c>
      <c r="B18992" s="5" t="s">
        <v>19000</v>
      </c>
      <c r="C18992" s="5">
        <v>118.7</v>
      </c>
      <c r="D18992" s="5">
        <v>0.1</v>
      </c>
      <c r="E18992" s="5">
        <v>118.9</v>
      </c>
      <c r="F18992" s="5">
        <v>235.5</v>
      </c>
      <c r="G18992" s="5">
        <v>117.1</v>
      </c>
      <c r="H18992" s="5">
        <v>116.9</v>
      </c>
      <c r="I18992" s="5"/>
      <c r="J18992" s="5"/>
      <c r="K18992" s="5"/>
    </row>
    <row r="18993" spans="1:11" x14ac:dyDescent="0.25">
      <c r="A18993" s="5">
        <f>18986</f>
      </c>
      <c r="B18993" s="5" t="s">
        <v>19001</v>
      </c>
      <c r="C18993" s="5">
        <v>118.3</v>
      </c>
      <c r="D18993" s="5">
        <v>0.1</v>
      </c>
      <c r="E18993" s="5">
        <v>118.4</v>
      </c>
      <c r="F18993" s="5">
        <v>235.7</v>
      </c>
      <c r="G18993" s="5">
        <v>117.2</v>
      </c>
      <c r="H18993" s="5">
        <v>117</v>
      </c>
      <c r="I18993" s="5"/>
      <c r="J18993" s="5"/>
      <c r="K18993" s="5"/>
    </row>
    <row r="18994" spans="1:11" x14ac:dyDescent="0.25">
      <c r="A18994" s="5">
        <f>18987</f>
      </c>
      <c r="B18994" s="5" t="s">
        <v>19002</v>
      </c>
      <c r="C18994" s="5">
        <v>118.3</v>
      </c>
      <c r="D18994" s="5">
        <v>0.1</v>
      </c>
      <c r="E18994" s="5">
        <v>118.4</v>
      </c>
      <c r="F18994" s="5">
        <v>235.7</v>
      </c>
      <c r="G18994" s="5">
        <v>117.2</v>
      </c>
      <c r="H18994" s="5">
        <v>117</v>
      </c>
      <c r="I18994" s="5"/>
      <c r="J18994" s="5"/>
      <c r="K18994" s="5"/>
    </row>
    <row r="18995" spans="1:11" x14ac:dyDescent="0.25">
      <c r="A18995" s="5">
        <f>18988</f>
      </c>
      <c r="B18995" s="5" t="s">
        <v>19003</v>
      </c>
      <c r="C18995" s="5">
        <v>118</v>
      </c>
      <c r="D18995" s="5">
        <v>0.1</v>
      </c>
      <c r="E18995" s="5">
        <v>118.2</v>
      </c>
      <c r="F18995" s="5">
        <v>235.3</v>
      </c>
      <c r="G18995" s="5">
        <v>117</v>
      </c>
      <c r="H18995" s="5">
        <v>116.8</v>
      </c>
      <c r="I18995" s="5"/>
      <c r="J18995" s="5"/>
      <c r="K18995" s="5"/>
    </row>
    <row r="18996" spans="1:11" x14ac:dyDescent="0.25">
      <c r="A18996" s="5">
        <f>18989</f>
      </c>
      <c r="B18996" s="5" t="s">
        <v>19004</v>
      </c>
      <c r="C18996" s="5">
        <v>118</v>
      </c>
      <c r="D18996" s="5">
        <v>0.1</v>
      </c>
      <c r="E18996" s="5">
        <v>118.2</v>
      </c>
      <c r="F18996" s="5">
        <v>235.3</v>
      </c>
      <c r="G18996" s="5">
        <v>117</v>
      </c>
      <c r="H18996" s="5">
        <v>116.8</v>
      </c>
      <c r="I18996" s="5"/>
      <c r="J18996" s="5"/>
      <c r="K18996" s="5"/>
    </row>
    <row r="18997" spans="1:11" x14ac:dyDescent="0.25">
      <c r="A18997" s="5">
        <f>18990</f>
      </c>
      <c r="B18997" s="5" t="s">
        <v>19005</v>
      </c>
      <c r="C18997" s="5">
        <v>118.2</v>
      </c>
      <c r="D18997" s="5">
        <v>0.1</v>
      </c>
      <c r="E18997" s="5">
        <v>118.3</v>
      </c>
      <c r="F18997" s="5">
        <v>235.2</v>
      </c>
      <c r="G18997" s="5">
        <v>116.9</v>
      </c>
      <c r="H18997" s="5">
        <v>116.8</v>
      </c>
      <c r="I18997" s="5"/>
      <c r="J18997" s="5"/>
      <c r="K18997" s="5"/>
    </row>
    <row r="18998" spans="1:11" x14ac:dyDescent="0.25">
      <c r="A18998" s="5">
        <f>18991</f>
      </c>
      <c r="B18998" s="5" t="s">
        <v>19006</v>
      </c>
      <c r="C18998" s="5">
        <v>118.2</v>
      </c>
      <c r="D18998" s="5">
        <v>0.1</v>
      </c>
      <c r="E18998" s="5">
        <v>118.3</v>
      </c>
      <c r="F18998" s="5">
        <v>235.2</v>
      </c>
      <c r="G18998" s="5">
        <v>116.9</v>
      </c>
      <c r="H18998" s="5">
        <v>116.8</v>
      </c>
      <c r="I18998" s="5"/>
      <c r="J18998" s="5"/>
      <c r="K18998" s="5"/>
    </row>
    <row r="18999" spans="1:11" x14ac:dyDescent="0.25">
      <c r="A18999" s="5">
        <f>18992</f>
      </c>
      <c r="B18999" s="5" t="s">
        <v>19007</v>
      </c>
      <c r="C18999" s="5">
        <v>117.8</v>
      </c>
      <c r="D18999" s="5">
        <v>0.1</v>
      </c>
      <c r="E18999" s="5">
        <v>118</v>
      </c>
      <c r="F18999" s="5">
        <v>234.8</v>
      </c>
      <c r="G18999" s="5">
        <v>116.7</v>
      </c>
      <c r="H18999" s="5">
        <v>116.6</v>
      </c>
      <c r="I18999" s="5"/>
      <c r="J18999" s="5"/>
      <c r="K18999" s="5"/>
    </row>
    <row r="19000" spans="1:11" x14ac:dyDescent="0.25">
      <c r="A19000" s="5">
        <f>18993</f>
      </c>
      <c r="B19000" s="5" t="s">
        <v>19008</v>
      </c>
      <c r="C19000" s="5">
        <v>117.8</v>
      </c>
      <c r="D19000" s="5">
        <v>0.1</v>
      </c>
      <c r="E19000" s="5">
        <v>118</v>
      </c>
      <c r="F19000" s="5">
        <v>234.8</v>
      </c>
      <c r="G19000" s="5">
        <v>116.7</v>
      </c>
      <c r="H19000" s="5">
        <v>116.6</v>
      </c>
      <c r="I19000" s="5"/>
      <c r="J19000" s="5"/>
      <c r="K19000" s="5"/>
    </row>
    <row r="19001" spans="1:11" x14ac:dyDescent="0.25">
      <c r="A19001" s="5">
        <f>18994</f>
      </c>
      <c r="B19001" s="5" t="s">
        <v>19009</v>
      </c>
      <c r="C19001" s="5">
        <v>117.8</v>
      </c>
      <c r="D19001" s="5">
        <v>0.1</v>
      </c>
      <c r="E19001" s="5">
        <v>118</v>
      </c>
      <c r="F19001" s="5">
        <v>234.8</v>
      </c>
      <c r="G19001" s="5">
        <v>116.7</v>
      </c>
      <c r="H19001" s="5">
        <v>116.6</v>
      </c>
      <c r="I19001" s="5"/>
      <c r="J19001" s="5"/>
      <c r="K19001" s="5"/>
    </row>
    <row r="19002" spans="1:11" x14ac:dyDescent="0.25">
      <c r="A19002" s="5">
        <f>18995</f>
      </c>
      <c r="B19002" s="5" t="s">
        <v>19010</v>
      </c>
      <c r="C19002" s="5">
        <v>117.8</v>
      </c>
      <c r="D19002" s="5">
        <v>0.1</v>
      </c>
      <c r="E19002" s="5">
        <v>118</v>
      </c>
      <c r="F19002" s="5">
        <v>234.8</v>
      </c>
      <c r="G19002" s="5">
        <v>116.7</v>
      </c>
      <c r="H19002" s="5">
        <v>116.6</v>
      </c>
      <c r="I19002" s="5"/>
      <c r="J19002" s="5"/>
      <c r="K19002" s="5"/>
    </row>
    <row r="19003" spans="1:11" x14ac:dyDescent="0.25">
      <c r="A19003" s="5">
        <f>18996</f>
      </c>
      <c r="B19003" s="5" t="s">
        <v>19011</v>
      </c>
      <c r="C19003" s="5">
        <v>118.3</v>
      </c>
      <c r="D19003" s="5">
        <v>0.1</v>
      </c>
      <c r="E19003" s="5">
        <v>118.5</v>
      </c>
      <c r="F19003" s="5">
        <v>235.5</v>
      </c>
      <c r="G19003" s="5">
        <v>117.1</v>
      </c>
      <c r="H19003" s="5">
        <v>116.9</v>
      </c>
      <c r="I19003" s="5"/>
      <c r="J19003" s="5"/>
      <c r="K19003" s="5"/>
    </row>
    <row r="19004" spans="1:11" x14ac:dyDescent="0.25">
      <c r="A19004" s="5">
        <f>18997</f>
      </c>
      <c r="B19004" s="5" t="s">
        <v>19012</v>
      </c>
      <c r="C19004" s="5">
        <v>118.3</v>
      </c>
      <c r="D19004" s="5">
        <v>0.1</v>
      </c>
      <c r="E19004" s="5">
        <v>118.5</v>
      </c>
      <c r="F19004" s="5">
        <v>235.5</v>
      </c>
      <c r="G19004" s="5">
        <v>117.1</v>
      </c>
      <c r="H19004" s="5">
        <v>116.9</v>
      </c>
      <c r="I19004" s="5"/>
      <c r="J19004" s="5"/>
      <c r="K19004" s="5"/>
    </row>
    <row r="19005" spans="1:11" x14ac:dyDescent="0.25">
      <c r="A19005" s="5">
        <f>18998</f>
      </c>
      <c r="B19005" s="5" t="s">
        <v>19013</v>
      </c>
      <c r="C19005" s="5">
        <v>118.3</v>
      </c>
      <c r="D19005" s="5">
        <v>0.1</v>
      </c>
      <c r="E19005" s="5">
        <v>118.4</v>
      </c>
      <c r="F19005" s="5">
        <v>235.5</v>
      </c>
      <c r="G19005" s="5">
        <v>117.1</v>
      </c>
      <c r="H19005" s="5">
        <v>116.9</v>
      </c>
      <c r="I19005" s="5"/>
      <c r="J19005" s="5"/>
      <c r="K19005" s="5"/>
    </row>
    <row r="19006" spans="1:11" x14ac:dyDescent="0.25">
      <c r="A19006" s="5">
        <f>18999</f>
      </c>
      <c r="B19006" s="5" t="s">
        <v>19014</v>
      </c>
      <c r="C19006" s="5">
        <v>118.3</v>
      </c>
      <c r="D19006" s="5">
        <v>0.1</v>
      </c>
      <c r="E19006" s="5">
        <v>118.4</v>
      </c>
      <c r="F19006" s="5">
        <v>235.5</v>
      </c>
      <c r="G19006" s="5">
        <v>117.1</v>
      </c>
      <c r="H19006" s="5">
        <v>116.9</v>
      </c>
      <c r="I19006" s="5"/>
      <c r="J19006" s="5"/>
      <c r="K19006" s="5"/>
    </row>
    <row r="19007" spans="1:11" x14ac:dyDescent="0.25">
      <c r="A19007" s="5">
        <f>19000</f>
      </c>
      <c r="B19007" s="5" t="s">
        <v>19015</v>
      </c>
      <c r="C19007" s="5">
        <v>118.6</v>
      </c>
      <c r="D19007" s="5">
        <v>0.1</v>
      </c>
      <c r="E19007" s="5">
        <v>118.8</v>
      </c>
      <c r="F19007" s="5">
        <v>235.4</v>
      </c>
      <c r="G19007" s="5">
        <v>117</v>
      </c>
      <c r="H19007" s="5">
        <v>116.8</v>
      </c>
      <c r="I19007" s="5"/>
      <c r="J19007" s="5"/>
      <c r="K19007" s="5"/>
    </row>
    <row r="19008" spans="1:11" x14ac:dyDescent="0.25">
      <c r="A19008" s="5">
        <f>19001</f>
      </c>
      <c r="B19008" s="5" t="s">
        <v>19016</v>
      </c>
      <c r="C19008" s="5">
        <v>118.6</v>
      </c>
      <c r="D19008" s="5">
        <v>0.1</v>
      </c>
      <c r="E19008" s="5">
        <v>118.8</v>
      </c>
      <c r="F19008" s="5">
        <v>235.4</v>
      </c>
      <c r="G19008" s="5">
        <v>117</v>
      </c>
      <c r="H19008" s="5">
        <v>116.8</v>
      </c>
      <c r="I19008" s="5"/>
      <c r="J19008" s="5"/>
      <c r="K19008" s="5"/>
    </row>
    <row r="19009" spans="1:11" x14ac:dyDescent="0.25">
      <c r="A19009" s="5">
        <f>19002</f>
      </c>
      <c r="B19009" s="5" t="s">
        <v>19017</v>
      </c>
      <c r="C19009" s="5">
        <v>118.5</v>
      </c>
      <c r="D19009" s="5">
        <v>0.1</v>
      </c>
      <c r="E19009" s="5">
        <v>118.7</v>
      </c>
      <c r="F19009" s="5">
        <v>235.6</v>
      </c>
      <c r="G19009" s="5">
        <v>117.1</v>
      </c>
      <c r="H19009" s="5">
        <v>117</v>
      </c>
      <c r="I19009" s="5"/>
      <c r="J19009" s="5"/>
      <c r="K19009" s="5"/>
    </row>
    <row r="19010" spans="1:11" x14ac:dyDescent="0.25">
      <c r="A19010" s="5">
        <f>19003</f>
      </c>
      <c r="B19010" s="5" t="s">
        <v>19018</v>
      </c>
      <c r="C19010" s="5">
        <v>118.5</v>
      </c>
      <c r="D19010" s="5">
        <v>0.1</v>
      </c>
      <c r="E19010" s="5">
        <v>118.7</v>
      </c>
      <c r="F19010" s="5">
        <v>235.6</v>
      </c>
      <c r="G19010" s="5">
        <v>117.1</v>
      </c>
      <c r="H19010" s="5">
        <v>117</v>
      </c>
      <c r="I19010" s="5"/>
      <c r="J19010" s="5"/>
      <c r="K19010" s="5"/>
    </row>
    <row r="19011" spans="1:11" x14ac:dyDescent="0.25">
      <c r="A19011" s="5">
        <f>19004</f>
      </c>
      <c r="B19011" s="5" t="s">
        <v>19019</v>
      </c>
      <c r="C19011" s="5">
        <v>118.5</v>
      </c>
      <c r="D19011" s="5">
        <v>0.1</v>
      </c>
      <c r="E19011" s="5">
        <v>118.7</v>
      </c>
      <c r="F19011" s="5">
        <v>235.6</v>
      </c>
      <c r="G19011" s="5">
        <v>117.1</v>
      </c>
      <c r="H19011" s="5">
        <v>117</v>
      </c>
      <c r="I19011" s="5"/>
      <c r="J19011" s="5"/>
      <c r="K19011" s="5"/>
    </row>
    <row r="19012" spans="1:11" x14ac:dyDescent="0.25">
      <c r="A19012" s="5">
        <f>19005</f>
      </c>
      <c r="B19012" s="5" t="s">
        <v>19020</v>
      </c>
      <c r="C19012" s="5">
        <v>118.5</v>
      </c>
      <c r="D19012" s="5">
        <v>0.1</v>
      </c>
      <c r="E19012" s="5">
        <v>118.7</v>
      </c>
      <c r="F19012" s="5">
        <v>235.6</v>
      </c>
      <c r="G19012" s="5">
        <v>117.1</v>
      </c>
      <c r="H19012" s="5">
        <v>117</v>
      </c>
      <c r="I19012" s="5"/>
      <c r="J19012" s="5"/>
      <c r="K19012" s="5"/>
    </row>
    <row r="19013" spans="1:11" x14ac:dyDescent="0.25">
      <c r="A19013" s="5">
        <f>19006</f>
      </c>
      <c r="B19013" s="5" t="s">
        <v>19021</v>
      </c>
      <c r="C19013" s="5">
        <v>118.5</v>
      </c>
      <c r="D19013" s="5">
        <v>0.1</v>
      </c>
      <c r="E19013" s="5">
        <v>118.6</v>
      </c>
      <c r="F19013" s="5">
        <v>235.5</v>
      </c>
      <c r="G19013" s="5">
        <v>117.1</v>
      </c>
      <c r="H19013" s="5">
        <v>116.9</v>
      </c>
      <c r="I19013" s="5"/>
      <c r="J19013" s="5"/>
      <c r="K19013" s="5"/>
    </row>
    <row r="19014" spans="1:11" x14ac:dyDescent="0.25">
      <c r="A19014" s="5">
        <f>19007</f>
      </c>
      <c r="B19014" s="5" t="s">
        <v>19022</v>
      </c>
      <c r="C19014" s="5">
        <v>118.5</v>
      </c>
      <c r="D19014" s="5">
        <v>0.1</v>
      </c>
      <c r="E19014" s="5">
        <v>118.6</v>
      </c>
      <c r="F19014" s="5">
        <v>235.5</v>
      </c>
      <c r="G19014" s="5">
        <v>117.1</v>
      </c>
      <c r="H19014" s="5">
        <v>116.9</v>
      </c>
      <c r="I19014" s="5"/>
      <c r="J19014" s="5"/>
      <c r="K19014" s="5"/>
    </row>
    <row r="19015" spans="1:11" x14ac:dyDescent="0.25">
      <c r="A19015" s="5">
        <f>19008</f>
      </c>
      <c r="B19015" s="5" t="s">
        <v>19023</v>
      </c>
      <c r="C19015" s="5">
        <v>118.6</v>
      </c>
      <c r="D19015" s="5">
        <v>0.1</v>
      </c>
      <c r="E19015" s="5">
        <v>118.7</v>
      </c>
      <c r="F19015" s="5">
        <v>235.8</v>
      </c>
      <c r="G19015" s="5">
        <v>117.2</v>
      </c>
      <c r="H19015" s="5">
        <v>117.1</v>
      </c>
      <c r="I19015" s="5"/>
      <c r="J19015" s="5"/>
      <c r="K19015" s="5"/>
    </row>
    <row r="19016" spans="1:11" x14ac:dyDescent="0.25">
      <c r="A19016" s="5">
        <f>19009</f>
      </c>
      <c r="B19016" s="5" t="s">
        <v>19024</v>
      </c>
      <c r="C19016" s="5">
        <v>118.6</v>
      </c>
      <c r="D19016" s="5">
        <v>0.1</v>
      </c>
      <c r="E19016" s="5">
        <v>118.7</v>
      </c>
      <c r="F19016" s="5">
        <v>235.8</v>
      </c>
      <c r="G19016" s="5">
        <v>117.2</v>
      </c>
      <c r="H19016" s="5">
        <v>117.1</v>
      </c>
      <c r="I19016" s="5"/>
      <c r="J19016" s="5"/>
      <c r="K19016" s="5"/>
    </row>
    <row r="19017" spans="1:11" x14ac:dyDescent="0.25">
      <c r="A19017" s="5">
        <f>19010</f>
      </c>
      <c r="B19017" s="5" t="s">
        <v>19025</v>
      </c>
      <c r="C19017" s="5">
        <v>118.1</v>
      </c>
      <c r="D19017" s="5">
        <v>0.1</v>
      </c>
      <c r="E19017" s="5">
        <v>118.3</v>
      </c>
      <c r="F19017" s="5">
        <v>235.3</v>
      </c>
      <c r="G19017" s="5">
        <v>117</v>
      </c>
      <c r="H19017" s="5">
        <v>116.9</v>
      </c>
      <c r="I19017" s="5"/>
      <c r="J19017" s="5"/>
      <c r="K19017" s="5"/>
    </row>
    <row r="19018" spans="1:11" x14ac:dyDescent="0.25">
      <c r="A19018" s="5">
        <f>19011</f>
      </c>
      <c r="B19018" s="5" t="s">
        <v>19026</v>
      </c>
      <c r="C19018" s="5">
        <v>118.1</v>
      </c>
      <c r="D19018" s="5">
        <v>0.1</v>
      </c>
      <c r="E19018" s="5">
        <v>118.3</v>
      </c>
      <c r="F19018" s="5">
        <v>235.3</v>
      </c>
      <c r="G19018" s="5">
        <v>117</v>
      </c>
      <c r="H19018" s="5">
        <v>116.9</v>
      </c>
      <c r="I19018" s="5"/>
      <c r="J19018" s="5"/>
      <c r="K19018" s="5"/>
    </row>
    <row r="19019" spans="1:11" x14ac:dyDescent="0.25">
      <c r="A19019" s="5">
        <f>19012</f>
      </c>
      <c r="B19019" s="5" t="s">
        <v>19027</v>
      </c>
      <c r="C19019" s="5">
        <v>118.7</v>
      </c>
      <c r="D19019" s="5">
        <v>0.1</v>
      </c>
      <c r="E19019" s="5">
        <v>118.9</v>
      </c>
      <c r="F19019" s="5">
        <v>236.1</v>
      </c>
      <c r="G19019" s="5">
        <v>117.4</v>
      </c>
      <c r="H19019" s="5">
        <v>117.2</v>
      </c>
      <c r="I19019" s="5"/>
      <c r="J19019" s="5"/>
      <c r="K19019" s="5"/>
    </row>
    <row r="19020" spans="1:11" x14ac:dyDescent="0.25">
      <c r="A19020" s="5">
        <f>19013</f>
      </c>
      <c r="B19020" s="5" t="s">
        <v>19028</v>
      </c>
      <c r="C19020" s="5">
        <v>118.7</v>
      </c>
      <c r="D19020" s="5">
        <v>0.1</v>
      </c>
      <c r="E19020" s="5">
        <v>118.9</v>
      </c>
      <c r="F19020" s="5">
        <v>236.1</v>
      </c>
      <c r="G19020" s="5">
        <v>117.4</v>
      </c>
      <c r="H19020" s="5">
        <v>117.2</v>
      </c>
      <c r="I19020" s="5"/>
      <c r="J19020" s="5"/>
      <c r="K19020" s="5"/>
    </row>
    <row r="19021" spans="1:11" x14ac:dyDescent="0.25">
      <c r="A19021" s="5">
        <f>19014</f>
      </c>
      <c r="B19021" s="5" t="s">
        <v>19029</v>
      </c>
      <c r="C19021" s="5">
        <v>118.7</v>
      </c>
      <c r="D19021" s="5">
        <v>0.1</v>
      </c>
      <c r="E19021" s="5">
        <v>118.9</v>
      </c>
      <c r="F19021" s="5">
        <v>236.1</v>
      </c>
      <c r="G19021" s="5">
        <v>117.4</v>
      </c>
      <c r="H19021" s="5">
        <v>117.2</v>
      </c>
      <c r="I19021" s="5"/>
      <c r="J19021" s="5"/>
      <c r="K19021" s="5"/>
    </row>
    <row r="19022" spans="1:11" x14ac:dyDescent="0.25">
      <c r="A19022" s="5">
        <f>19015</f>
      </c>
      <c r="B19022" s="5" t="s">
        <v>19030</v>
      </c>
      <c r="C19022" s="5">
        <v>118.7</v>
      </c>
      <c r="D19022" s="5">
        <v>0.1</v>
      </c>
      <c r="E19022" s="5">
        <v>118.9</v>
      </c>
      <c r="F19022" s="5">
        <v>236.1</v>
      </c>
      <c r="G19022" s="5">
        <v>117.4</v>
      </c>
      <c r="H19022" s="5">
        <v>117.2</v>
      </c>
      <c r="I19022" s="5"/>
      <c r="J19022" s="5"/>
      <c r="K19022" s="5"/>
    </row>
    <row r="19023" spans="1:11" x14ac:dyDescent="0.25">
      <c r="A19023" s="5">
        <f>19016</f>
      </c>
      <c r="B19023" s="5" t="s">
        <v>19031</v>
      </c>
      <c r="C19023" s="5">
        <v>118.3</v>
      </c>
      <c r="D19023" s="5">
        <v>0.1</v>
      </c>
      <c r="E19023" s="5">
        <v>118.5</v>
      </c>
      <c r="F19023" s="5">
        <v>235.2</v>
      </c>
      <c r="G19023" s="5">
        <v>116.9</v>
      </c>
      <c r="H19023" s="5">
        <v>116.8</v>
      </c>
      <c r="I19023" s="5"/>
      <c r="J19023" s="5"/>
      <c r="K19023" s="5"/>
    </row>
    <row r="19024" spans="1:11" x14ac:dyDescent="0.25">
      <c r="A19024" s="5">
        <f>19017</f>
      </c>
      <c r="B19024" s="5" t="s">
        <v>19032</v>
      </c>
      <c r="C19024" s="5">
        <v>118.3</v>
      </c>
      <c r="D19024" s="5">
        <v>0.1</v>
      </c>
      <c r="E19024" s="5">
        <v>118.5</v>
      </c>
      <c r="F19024" s="5">
        <v>235.2</v>
      </c>
      <c r="G19024" s="5">
        <v>116.9</v>
      </c>
      <c r="H19024" s="5">
        <v>116.8</v>
      </c>
      <c r="I19024" s="5"/>
      <c r="J19024" s="5"/>
      <c r="K19024" s="5"/>
    </row>
    <row r="19025" spans="1:11" x14ac:dyDescent="0.25">
      <c r="A19025" s="5">
        <f>19018</f>
      </c>
      <c r="B19025" s="5" t="s">
        <v>19033</v>
      </c>
      <c r="C19025" s="5">
        <v>118.2</v>
      </c>
      <c r="D19025" s="5">
        <v>0.1</v>
      </c>
      <c r="E19025" s="5">
        <v>118.3</v>
      </c>
      <c r="F19025" s="5">
        <v>235.8</v>
      </c>
      <c r="G19025" s="5">
        <v>117.2</v>
      </c>
      <c r="H19025" s="5">
        <v>117.1</v>
      </c>
      <c r="I19025" s="5"/>
      <c r="J19025" s="5"/>
      <c r="K19025" s="5"/>
    </row>
    <row r="19026" spans="1:11" x14ac:dyDescent="0.25">
      <c r="A19026" s="5">
        <f>19019</f>
      </c>
      <c r="B19026" s="5" t="s">
        <v>19034</v>
      </c>
      <c r="C19026" s="5">
        <v>118.2</v>
      </c>
      <c r="D19026" s="5">
        <v>0.1</v>
      </c>
      <c r="E19026" s="5">
        <v>118.3</v>
      </c>
      <c r="F19026" s="5">
        <v>235.8</v>
      </c>
      <c r="G19026" s="5">
        <v>117.2</v>
      </c>
      <c r="H19026" s="5">
        <v>117.1</v>
      </c>
      <c r="I19026" s="5"/>
      <c r="J19026" s="5"/>
      <c r="K19026" s="5"/>
    </row>
    <row r="19027" spans="1:11" x14ac:dyDescent="0.25">
      <c r="A19027" s="5">
        <f>19020</f>
      </c>
      <c r="B19027" s="5" t="s">
        <v>19035</v>
      </c>
      <c r="C19027" s="5">
        <v>118.9</v>
      </c>
      <c r="D19027" s="5">
        <v>0.1</v>
      </c>
      <c r="E19027" s="5">
        <v>119</v>
      </c>
      <c r="F19027" s="5">
        <v>235.7</v>
      </c>
      <c r="G19027" s="5">
        <v>117.1</v>
      </c>
      <c r="H19027" s="5">
        <v>117</v>
      </c>
      <c r="I19027" s="5"/>
      <c r="J19027" s="5"/>
      <c r="K19027" s="5"/>
    </row>
    <row r="19028" spans="1:11" x14ac:dyDescent="0.25">
      <c r="A19028" s="5">
        <f>19021</f>
      </c>
      <c r="B19028" s="5" t="s">
        <v>19036</v>
      </c>
      <c r="C19028" s="5">
        <v>118.9</v>
      </c>
      <c r="D19028" s="5">
        <v>0.1</v>
      </c>
      <c r="E19028" s="5">
        <v>119</v>
      </c>
      <c r="F19028" s="5">
        <v>235.7</v>
      </c>
      <c r="G19028" s="5">
        <v>117.1</v>
      </c>
      <c r="H19028" s="5">
        <v>117</v>
      </c>
      <c r="I19028" s="5"/>
      <c r="J19028" s="5"/>
      <c r="K19028" s="5"/>
    </row>
    <row r="19029" spans="1:11" x14ac:dyDescent="0.25">
      <c r="A19029" s="5">
        <f>19022</f>
      </c>
      <c r="B19029" s="5" t="s">
        <v>19037</v>
      </c>
      <c r="C19029" s="5">
        <v>118.4</v>
      </c>
      <c r="D19029" s="5">
        <v>0.1</v>
      </c>
      <c r="E19029" s="5">
        <v>118.6</v>
      </c>
      <c r="F19029" s="5">
        <v>236.1</v>
      </c>
      <c r="G19029" s="5">
        <v>117.4</v>
      </c>
      <c r="H19029" s="5">
        <v>117.2</v>
      </c>
      <c r="I19029" s="5"/>
      <c r="J19029" s="5"/>
      <c r="K19029" s="5"/>
    </row>
    <row r="19030" spans="1:11" x14ac:dyDescent="0.25">
      <c r="A19030" s="5">
        <f>19023</f>
      </c>
      <c r="B19030" s="5" t="s">
        <v>19038</v>
      </c>
      <c r="C19030" s="5">
        <v>118.4</v>
      </c>
      <c r="D19030" s="5">
        <v>0.1</v>
      </c>
      <c r="E19030" s="5">
        <v>118.6</v>
      </c>
      <c r="F19030" s="5">
        <v>236.1</v>
      </c>
      <c r="G19030" s="5">
        <v>117.4</v>
      </c>
      <c r="H19030" s="5">
        <v>117.2</v>
      </c>
      <c r="I19030" s="5"/>
      <c r="J19030" s="5"/>
      <c r="K19030" s="5"/>
    </row>
    <row r="19031" spans="1:11" x14ac:dyDescent="0.25">
      <c r="A19031" s="5">
        <f>19024</f>
      </c>
      <c r="B19031" s="5" t="s">
        <v>19039</v>
      </c>
      <c r="C19031" s="5">
        <v>118.4</v>
      </c>
      <c r="D19031" s="5">
        <v>0.1</v>
      </c>
      <c r="E19031" s="5">
        <v>118.6</v>
      </c>
      <c r="F19031" s="5">
        <v>236.1</v>
      </c>
      <c r="G19031" s="5">
        <v>117.4</v>
      </c>
      <c r="H19031" s="5">
        <v>117.2</v>
      </c>
      <c r="I19031" s="5"/>
      <c r="J19031" s="5"/>
      <c r="K19031" s="5"/>
    </row>
    <row r="19032" spans="1:11" x14ac:dyDescent="0.25">
      <c r="A19032" s="5">
        <f>19025</f>
      </c>
      <c r="B19032" s="5" t="s">
        <v>19040</v>
      </c>
      <c r="C19032" s="5">
        <v>118.4</v>
      </c>
      <c r="D19032" s="5">
        <v>0.1</v>
      </c>
      <c r="E19032" s="5">
        <v>118.6</v>
      </c>
      <c r="F19032" s="5">
        <v>236.1</v>
      </c>
      <c r="G19032" s="5">
        <v>117.4</v>
      </c>
      <c r="H19032" s="5">
        <v>117.2</v>
      </c>
      <c r="I19032" s="5"/>
      <c r="J19032" s="5"/>
      <c r="K19032" s="5"/>
    </row>
    <row r="19033" spans="1:11" x14ac:dyDescent="0.25">
      <c r="A19033" s="5">
        <f>19026</f>
      </c>
      <c r="B19033" s="5" t="s">
        <v>19041</v>
      </c>
      <c r="C19033" s="5">
        <v>118.4</v>
      </c>
      <c r="D19033" s="5">
        <v>0.1</v>
      </c>
      <c r="E19033" s="5">
        <v>118.6</v>
      </c>
      <c r="F19033" s="5">
        <v>235.8</v>
      </c>
      <c r="G19033" s="5">
        <v>117.2</v>
      </c>
      <c r="H19033" s="5">
        <v>117.1</v>
      </c>
      <c r="I19033" s="5"/>
      <c r="J19033" s="5"/>
      <c r="K19033" s="5"/>
    </row>
    <row r="19034" spans="1:11" x14ac:dyDescent="0.25">
      <c r="A19034" s="5">
        <f>19027</f>
      </c>
      <c r="B19034" s="5" t="s">
        <v>19042</v>
      </c>
      <c r="C19034" s="5">
        <v>118.4</v>
      </c>
      <c r="D19034" s="5">
        <v>0.1</v>
      </c>
      <c r="E19034" s="5">
        <v>118.6</v>
      </c>
      <c r="F19034" s="5">
        <v>235.8</v>
      </c>
      <c r="G19034" s="5">
        <v>117.2</v>
      </c>
      <c r="H19034" s="5">
        <v>117.1</v>
      </c>
      <c r="I19034" s="5"/>
      <c r="J19034" s="5"/>
      <c r="K19034" s="5"/>
    </row>
    <row r="19035" spans="1:11" x14ac:dyDescent="0.25">
      <c r="A19035" s="5">
        <f>19028</f>
      </c>
      <c r="B19035" s="5" t="s">
        <v>19043</v>
      </c>
      <c r="C19035" s="5">
        <v>118.5</v>
      </c>
      <c r="D19035" s="5">
        <v>0.1</v>
      </c>
      <c r="E19035" s="5">
        <v>118.6</v>
      </c>
      <c r="F19035" s="5">
        <v>235.7</v>
      </c>
      <c r="G19035" s="5">
        <v>117.2</v>
      </c>
      <c r="H19035" s="5">
        <v>117</v>
      </c>
      <c r="I19035" s="5"/>
      <c r="J19035" s="5"/>
      <c r="K19035" s="5"/>
    </row>
    <row r="19036" spans="1:11" x14ac:dyDescent="0.25">
      <c r="A19036" s="5">
        <f>19029</f>
      </c>
      <c r="B19036" s="5" t="s">
        <v>19044</v>
      </c>
      <c r="C19036" s="5">
        <v>118.5</v>
      </c>
      <c r="D19036" s="5">
        <v>0.1</v>
      </c>
      <c r="E19036" s="5">
        <v>118.6</v>
      </c>
      <c r="F19036" s="5">
        <v>235.7</v>
      </c>
      <c r="G19036" s="5">
        <v>117.2</v>
      </c>
      <c r="H19036" s="5">
        <v>117</v>
      </c>
      <c r="I19036" s="5"/>
      <c r="J19036" s="5"/>
      <c r="K19036" s="5"/>
    </row>
    <row r="19037" spans="1:11" x14ac:dyDescent="0.25">
      <c r="A19037" s="5">
        <f>19030</f>
      </c>
      <c r="B19037" s="5" t="s">
        <v>19045</v>
      </c>
      <c r="C19037" s="5">
        <v>118.4</v>
      </c>
      <c r="D19037" s="5">
        <v>0.1</v>
      </c>
      <c r="E19037" s="5">
        <v>118.6</v>
      </c>
      <c r="F19037" s="5">
        <v>236</v>
      </c>
      <c r="G19037" s="5">
        <v>117.3</v>
      </c>
      <c r="H19037" s="5">
        <v>117.1</v>
      </c>
      <c r="I19037" s="5"/>
      <c r="J19037" s="5"/>
      <c r="K19037" s="5"/>
    </row>
    <row r="19038" spans="1:11" x14ac:dyDescent="0.25">
      <c r="A19038" s="5">
        <f>19031</f>
      </c>
      <c r="B19038" s="5" t="s">
        <v>19046</v>
      </c>
      <c r="C19038" s="5">
        <v>118.4</v>
      </c>
      <c r="D19038" s="5">
        <v>0.1</v>
      </c>
      <c r="E19038" s="5">
        <v>118.6</v>
      </c>
      <c r="F19038" s="5">
        <v>236</v>
      </c>
      <c r="G19038" s="5">
        <v>117.3</v>
      </c>
      <c r="H19038" s="5">
        <v>117.1</v>
      </c>
      <c r="I19038" s="5"/>
      <c r="J19038" s="5"/>
      <c r="K19038" s="5"/>
    </row>
    <row r="19039" spans="1:11" x14ac:dyDescent="0.25">
      <c r="A19039" s="5">
        <f>19032</f>
      </c>
      <c r="B19039" s="5" t="s">
        <v>19047</v>
      </c>
      <c r="C19039" s="5">
        <v>118.5</v>
      </c>
      <c r="D19039" s="5">
        <v>0.1</v>
      </c>
      <c r="E19039" s="5">
        <v>118.6</v>
      </c>
      <c r="F19039" s="5">
        <v>235.8</v>
      </c>
      <c r="G19039" s="5">
        <v>117.2</v>
      </c>
      <c r="H19039" s="5">
        <v>117.1</v>
      </c>
      <c r="I19039" s="5"/>
      <c r="J19039" s="5"/>
      <c r="K19039" s="5"/>
    </row>
    <row r="19040" spans="1:11" x14ac:dyDescent="0.25">
      <c r="A19040" s="5">
        <f>19033</f>
      </c>
      <c r="B19040" s="5" t="s">
        <v>19048</v>
      </c>
      <c r="C19040" s="5">
        <v>118.5</v>
      </c>
      <c r="D19040" s="5">
        <v>0.1</v>
      </c>
      <c r="E19040" s="5">
        <v>118.6</v>
      </c>
      <c r="F19040" s="5">
        <v>235.8</v>
      </c>
      <c r="G19040" s="5">
        <v>117.2</v>
      </c>
      <c r="H19040" s="5">
        <v>117.1</v>
      </c>
      <c r="I19040" s="5"/>
      <c r="J19040" s="5"/>
      <c r="K19040" s="5"/>
    </row>
    <row r="19041" spans="1:11" x14ac:dyDescent="0.25">
      <c r="A19041" s="5">
        <f>19034</f>
      </c>
      <c r="B19041" s="5" t="s">
        <v>19049</v>
      </c>
      <c r="C19041" s="5">
        <v>118.5</v>
      </c>
      <c r="D19041" s="5">
        <v>0.1</v>
      </c>
      <c r="E19041" s="5">
        <v>118.6</v>
      </c>
      <c r="F19041" s="5">
        <v>235.8</v>
      </c>
      <c r="G19041" s="5">
        <v>117.2</v>
      </c>
      <c r="H19041" s="5">
        <v>117.1</v>
      </c>
      <c r="I19041" s="5"/>
      <c r="J19041" s="5"/>
      <c r="K19041" s="5"/>
    </row>
    <row r="19042" spans="1:11" x14ac:dyDescent="0.25">
      <c r="A19042" s="5">
        <f>19035</f>
      </c>
      <c r="B19042" s="5" t="s">
        <v>19050</v>
      </c>
      <c r="C19042" s="5">
        <v>118.5</v>
      </c>
      <c r="D19042" s="5">
        <v>0.1</v>
      </c>
      <c r="E19042" s="5">
        <v>118.6</v>
      </c>
      <c r="F19042" s="5">
        <v>235.8</v>
      </c>
      <c r="G19042" s="5">
        <v>117.2</v>
      </c>
      <c r="H19042" s="5">
        <v>117.1</v>
      </c>
      <c r="I19042" s="5"/>
      <c r="J19042" s="5"/>
      <c r="K19042" s="5"/>
    </row>
    <row r="19043" spans="1:11" x14ac:dyDescent="0.25">
      <c r="A19043" s="5">
        <f>19036</f>
      </c>
      <c r="B19043" s="5" t="s">
        <v>19051</v>
      </c>
      <c r="C19043" s="5">
        <v>118.8</v>
      </c>
      <c r="D19043" s="5">
        <v>0.1</v>
      </c>
      <c r="E19043" s="5">
        <v>119</v>
      </c>
      <c r="F19043" s="5">
        <v>236</v>
      </c>
      <c r="G19043" s="5">
        <v>117.3</v>
      </c>
      <c r="H19043" s="5">
        <v>117.1</v>
      </c>
      <c r="I19043" s="5"/>
      <c r="J19043" s="5"/>
      <c r="K19043" s="5"/>
    </row>
    <row r="19044" spans="1:11" x14ac:dyDescent="0.25">
      <c r="A19044" s="5">
        <f>19037</f>
      </c>
      <c r="B19044" s="5" t="s">
        <v>19052</v>
      </c>
      <c r="C19044" s="5">
        <v>118.8</v>
      </c>
      <c r="D19044" s="5">
        <v>0.1</v>
      </c>
      <c r="E19044" s="5">
        <v>119</v>
      </c>
      <c r="F19044" s="5">
        <v>236</v>
      </c>
      <c r="G19044" s="5">
        <v>117.3</v>
      </c>
      <c r="H19044" s="5">
        <v>117.1</v>
      </c>
      <c r="I19044" s="5"/>
      <c r="J19044" s="5"/>
      <c r="K19044" s="5"/>
    </row>
    <row r="19045" spans="1:11" x14ac:dyDescent="0.25">
      <c r="A19045" s="5">
        <f>19038</f>
      </c>
      <c r="B19045" s="5" t="s">
        <v>19053</v>
      </c>
      <c r="C19045" s="5">
        <v>118.6</v>
      </c>
      <c r="D19045" s="5">
        <v>0.1</v>
      </c>
      <c r="E19045" s="5">
        <v>118.8</v>
      </c>
      <c r="F19045" s="5">
        <v>236.3</v>
      </c>
      <c r="G19045" s="5">
        <v>117.4</v>
      </c>
      <c r="H19045" s="5">
        <v>117.2</v>
      </c>
      <c r="I19045" s="5"/>
      <c r="J19045" s="5"/>
      <c r="K19045" s="5"/>
    </row>
    <row r="19046" spans="1:11" x14ac:dyDescent="0.25">
      <c r="A19046" s="5">
        <f>19039</f>
      </c>
      <c r="B19046" s="5" t="s">
        <v>19054</v>
      </c>
      <c r="C19046" s="5">
        <v>118.6</v>
      </c>
      <c r="D19046" s="5">
        <v>0.1</v>
      </c>
      <c r="E19046" s="5">
        <v>118.8</v>
      </c>
      <c r="F19046" s="5">
        <v>236.3</v>
      </c>
      <c r="G19046" s="5">
        <v>117.4</v>
      </c>
      <c r="H19046" s="5">
        <v>117.2</v>
      </c>
      <c r="I19046" s="5"/>
      <c r="J19046" s="5"/>
      <c r="K19046" s="5"/>
    </row>
    <row r="19047" spans="1:11" x14ac:dyDescent="0.25">
      <c r="A19047" s="5">
        <f>19040</f>
      </c>
      <c r="B19047" s="5" t="s">
        <v>19055</v>
      </c>
      <c r="C19047" s="5">
        <v>118.8</v>
      </c>
      <c r="D19047" s="5">
        <v>0.1</v>
      </c>
      <c r="E19047" s="5">
        <v>119</v>
      </c>
      <c r="F19047" s="5">
        <v>236.3</v>
      </c>
      <c r="G19047" s="5">
        <v>117.3</v>
      </c>
      <c r="H19047" s="5">
        <v>117.1</v>
      </c>
      <c r="I19047" s="5"/>
      <c r="J19047" s="5"/>
      <c r="K19047" s="5"/>
    </row>
    <row r="19048" spans="1:11" x14ac:dyDescent="0.25">
      <c r="A19048" s="5">
        <f>19041</f>
      </c>
      <c r="B19048" s="5" t="s">
        <v>19056</v>
      </c>
      <c r="C19048" s="5">
        <v>118.8</v>
      </c>
      <c r="D19048" s="5">
        <v>0.1</v>
      </c>
      <c r="E19048" s="5">
        <v>119</v>
      </c>
      <c r="F19048" s="5">
        <v>236.3</v>
      </c>
      <c r="G19048" s="5">
        <v>117.3</v>
      </c>
      <c r="H19048" s="5">
        <v>117.1</v>
      </c>
      <c r="I19048" s="5"/>
      <c r="J19048" s="5"/>
      <c r="K19048" s="5"/>
    </row>
    <row r="19049" spans="1:11" x14ac:dyDescent="0.25">
      <c r="A19049" s="5">
        <f>19042</f>
      </c>
      <c r="B19049" s="5" t="s">
        <v>19057</v>
      </c>
      <c r="C19049" s="5">
        <v>118.9</v>
      </c>
      <c r="D19049" s="5">
        <v>0.1</v>
      </c>
      <c r="E19049" s="5">
        <v>119</v>
      </c>
      <c r="F19049" s="5">
        <v>235.9</v>
      </c>
      <c r="G19049" s="5">
        <v>117.3</v>
      </c>
      <c r="H19049" s="5">
        <v>117.1</v>
      </c>
      <c r="I19049" s="5"/>
      <c r="J19049" s="5"/>
      <c r="K19049" s="5"/>
    </row>
    <row r="19050" spans="1:11" x14ac:dyDescent="0.25">
      <c r="A19050" s="5">
        <f>19043</f>
      </c>
      <c r="B19050" s="5" t="s">
        <v>19058</v>
      </c>
      <c r="C19050" s="5">
        <v>118.9</v>
      </c>
      <c r="D19050" s="5">
        <v>0.1</v>
      </c>
      <c r="E19050" s="5">
        <v>119</v>
      </c>
      <c r="F19050" s="5">
        <v>235.9</v>
      </c>
      <c r="G19050" s="5">
        <v>117.3</v>
      </c>
      <c r="H19050" s="5">
        <v>117.1</v>
      </c>
      <c r="I19050" s="5"/>
      <c r="J19050" s="5"/>
      <c r="K19050" s="5"/>
    </row>
    <row r="19051" spans="1:11" x14ac:dyDescent="0.25">
      <c r="A19051" s="5">
        <f>19044</f>
      </c>
      <c r="B19051" s="5" t="s">
        <v>19059</v>
      </c>
      <c r="C19051" s="5">
        <v>118.6</v>
      </c>
      <c r="D19051" s="5">
        <v>0.1</v>
      </c>
      <c r="E19051" s="5">
        <v>118.8</v>
      </c>
      <c r="F19051" s="5">
        <v>236.2</v>
      </c>
      <c r="G19051" s="5">
        <v>117.4</v>
      </c>
      <c r="H19051" s="5">
        <v>117.2</v>
      </c>
      <c r="I19051" s="5"/>
      <c r="J19051" s="5"/>
      <c r="K19051" s="5"/>
    </row>
    <row r="19052" spans="1:11" x14ac:dyDescent="0.25">
      <c r="A19052" s="5">
        <f>19045</f>
      </c>
      <c r="B19052" s="5" t="s">
        <v>19060</v>
      </c>
      <c r="C19052" s="5">
        <v>118.6</v>
      </c>
      <c r="D19052" s="5">
        <v>0.1</v>
      </c>
      <c r="E19052" s="5">
        <v>118.8</v>
      </c>
      <c r="F19052" s="5">
        <v>236.2</v>
      </c>
      <c r="G19052" s="5">
        <v>117.4</v>
      </c>
      <c r="H19052" s="5">
        <v>117.2</v>
      </c>
      <c r="I19052" s="5"/>
      <c r="J19052" s="5"/>
      <c r="K19052" s="5"/>
    </row>
    <row r="19053" spans="1:11" x14ac:dyDescent="0.25">
      <c r="A19053" s="5">
        <f>19046</f>
      </c>
      <c r="B19053" s="5" t="s">
        <v>19061</v>
      </c>
      <c r="C19053" s="5">
        <v>118.7</v>
      </c>
      <c r="D19053" s="5">
        <v>0.1</v>
      </c>
      <c r="E19053" s="5">
        <v>118.9</v>
      </c>
      <c r="F19053" s="5">
        <v>235.5</v>
      </c>
      <c r="G19053" s="5">
        <v>117.1</v>
      </c>
      <c r="H19053" s="5">
        <v>116.9</v>
      </c>
      <c r="I19053" s="5"/>
      <c r="J19053" s="5"/>
      <c r="K19053" s="5"/>
    </row>
    <row r="19054" spans="1:11" x14ac:dyDescent="0.25">
      <c r="A19054" s="5">
        <f>19047</f>
      </c>
      <c r="B19054" s="5" t="s">
        <v>19062</v>
      </c>
      <c r="C19054" s="5">
        <v>118.7</v>
      </c>
      <c r="D19054" s="5">
        <v>0.1</v>
      </c>
      <c r="E19054" s="5">
        <v>118.9</v>
      </c>
      <c r="F19054" s="5">
        <v>235.5</v>
      </c>
      <c r="G19054" s="5">
        <v>117.1</v>
      </c>
      <c r="H19054" s="5">
        <v>116.9</v>
      </c>
      <c r="I19054" s="5"/>
      <c r="J19054" s="5"/>
      <c r="K19054" s="5"/>
    </row>
    <row r="19055" spans="1:11" x14ac:dyDescent="0.25">
      <c r="A19055" s="5">
        <f>19048</f>
      </c>
      <c r="B19055" s="5" t="s">
        <v>19063</v>
      </c>
      <c r="C19055" s="5">
        <v>118.4</v>
      </c>
      <c r="D19055" s="5">
        <v>0.1</v>
      </c>
      <c r="E19055" s="5">
        <v>118.6</v>
      </c>
      <c r="F19055" s="5">
        <v>235.4</v>
      </c>
      <c r="G19055" s="5">
        <v>117.1</v>
      </c>
      <c r="H19055" s="5">
        <v>116.9</v>
      </c>
      <c r="I19055" s="5"/>
      <c r="J19055" s="5"/>
      <c r="K19055" s="5"/>
    </row>
    <row r="19056" spans="1:11" x14ac:dyDescent="0.25">
      <c r="A19056" s="5">
        <f>19049</f>
      </c>
      <c r="B19056" s="5" t="s">
        <v>19064</v>
      </c>
      <c r="C19056" s="5">
        <v>118.4</v>
      </c>
      <c r="D19056" s="5">
        <v>0.1</v>
      </c>
      <c r="E19056" s="5">
        <v>118.6</v>
      </c>
      <c r="F19056" s="5">
        <v>235.4</v>
      </c>
      <c r="G19056" s="5">
        <v>117.1</v>
      </c>
      <c r="H19056" s="5">
        <v>116.9</v>
      </c>
      <c r="I19056" s="5"/>
      <c r="J19056" s="5"/>
      <c r="K19056" s="5"/>
    </row>
    <row r="19057" spans="1:11" x14ac:dyDescent="0.25">
      <c r="A19057" s="5">
        <f>19050</f>
      </c>
      <c r="B19057" s="5" t="s">
        <v>19065</v>
      </c>
      <c r="C19057" s="5">
        <v>118.5</v>
      </c>
      <c r="D19057" s="5">
        <v>0.1</v>
      </c>
      <c r="E19057" s="5">
        <v>118.6</v>
      </c>
      <c r="F19057" s="5">
        <v>235.8</v>
      </c>
      <c r="G19057" s="5">
        <v>117.2</v>
      </c>
      <c r="H19057" s="5">
        <v>117</v>
      </c>
      <c r="I19057" s="5"/>
      <c r="J19057" s="5"/>
      <c r="K19057" s="5"/>
    </row>
    <row r="19058" spans="1:11" x14ac:dyDescent="0.25">
      <c r="A19058" s="5">
        <f>19051</f>
      </c>
      <c r="B19058" s="5" t="s">
        <v>19066</v>
      </c>
      <c r="C19058" s="5">
        <v>118.5</v>
      </c>
      <c r="D19058" s="5">
        <v>0.1</v>
      </c>
      <c r="E19058" s="5">
        <v>118.6</v>
      </c>
      <c r="F19058" s="5">
        <v>235.8</v>
      </c>
      <c r="G19058" s="5">
        <v>117.2</v>
      </c>
      <c r="H19058" s="5">
        <v>117</v>
      </c>
      <c r="I19058" s="5"/>
      <c r="J19058" s="5"/>
      <c r="K19058" s="5"/>
    </row>
    <row r="19059" spans="1:11" x14ac:dyDescent="0.25">
      <c r="A19059" s="5">
        <f>19052</f>
      </c>
      <c r="B19059" s="5" t="s">
        <v>19067</v>
      </c>
      <c r="C19059" s="5">
        <v>118.5</v>
      </c>
      <c r="D19059" s="5">
        <v>0.1</v>
      </c>
      <c r="E19059" s="5">
        <v>118.6</v>
      </c>
      <c r="F19059" s="5">
        <v>235.8</v>
      </c>
      <c r="G19059" s="5">
        <v>117.2</v>
      </c>
      <c r="H19059" s="5">
        <v>117</v>
      </c>
      <c r="I19059" s="5"/>
      <c r="J19059" s="5"/>
      <c r="K19059" s="5"/>
    </row>
    <row r="19060" spans="1:11" x14ac:dyDescent="0.25">
      <c r="A19060" s="5">
        <f>19053</f>
      </c>
      <c r="B19060" s="5" t="s">
        <v>19068</v>
      </c>
      <c r="C19060" s="5">
        <v>118.5</v>
      </c>
      <c r="D19060" s="5">
        <v>0.1</v>
      </c>
      <c r="E19060" s="5">
        <v>118.6</v>
      </c>
      <c r="F19060" s="5">
        <v>235.8</v>
      </c>
      <c r="G19060" s="5">
        <v>117.2</v>
      </c>
      <c r="H19060" s="5">
        <v>117</v>
      </c>
      <c r="I19060" s="5"/>
      <c r="J19060" s="5"/>
      <c r="K19060" s="5"/>
    </row>
    <row r="19061" spans="1:11" x14ac:dyDescent="0.25">
      <c r="A19061" s="5">
        <f>19054</f>
      </c>
      <c r="B19061" s="5" t="s">
        <v>19069</v>
      </c>
      <c r="C19061" s="5">
        <v>118.3</v>
      </c>
      <c r="D19061" s="5">
        <v>0.1</v>
      </c>
      <c r="E19061" s="5">
        <v>118.5</v>
      </c>
      <c r="F19061" s="5">
        <v>234.8</v>
      </c>
      <c r="G19061" s="5">
        <v>116.7</v>
      </c>
      <c r="H19061" s="5">
        <v>116.6</v>
      </c>
      <c r="I19061" s="5"/>
      <c r="J19061" s="5"/>
      <c r="K19061" s="5"/>
    </row>
    <row r="19062" spans="1:11" x14ac:dyDescent="0.25">
      <c r="A19062" s="5">
        <f>19055</f>
      </c>
      <c r="B19062" s="5" t="s">
        <v>19070</v>
      </c>
      <c r="C19062" s="5">
        <v>118.3</v>
      </c>
      <c r="D19062" s="5">
        <v>0.1</v>
      </c>
      <c r="E19062" s="5">
        <v>118.5</v>
      </c>
      <c r="F19062" s="5">
        <v>234.8</v>
      </c>
      <c r="G19062" s="5">
        <v>116.7</v>
      </c>
      <c r="H19062" s="5">
        <v>116.6</v>
      </c>
      <c r="I19062" s="5"/>
      <c r="J19062" s="5"/>
      <c r="K19062" s="5"/>
    </row>
    <row r="19063" spans="1:11" x14ac:dyDescent="0.25">
      <c r="A19063" s="5">
        <f>19056</f>
      </c>
      <c r="B19063" s="5" t="s">
        <v>19071</v>
      </c>
      <c r="C19063" s="5">
        <v>118.2</v>
      </c>
      <c r="D19063" s="5">
        <v>0.1</v>
      </c>
      <c r="E19063" s="5">
        <v>118.3</v>
      </c>
      <c r="F19063" s="5">
        <v>235.2</v>
      </c>
      <c r="G19063" s="5">
        <v>116.9</v>
      </c>
      <c r="H19063" s="5">
        <v>116.8</v>
      </c>
      <c r="I19063" s="5"/>
      <c r="J19063" s="5"/>
      <c r="K19063" s="5"/>
    </row>
    <row r="19064" spans="1:11" x14ac:dyDescent="0.25">
      <c r="A19064" s="5">
        <f>19057</f>
      </c>
      <c r="B19064" s="5" t="s">
        <v>19072</v>
      </c>
      <c r="C19064" s="5">
        <v>118.2</v>
      </c>
      <c r="D19064" s="5">
        <v>0.1</v>
      </c>
      <c r="E19064" s="5">
        <v>118.3</v>
      </c>
      <c r="F19064" s="5">
        <v>235.2</v>
      </c>
      <c r="G19064" s="5">
        <v>116.9</v>
      </c>
      <c r="H19064" s="5">
        <v>116.8</v>
      </c>
      <c r="I19064" s="5"/>
      <c r="J19064" s="5"/>
      <c r="K19064" s="5"/>
    </row>
    <row r="19065" spans="1:11" x14ac:dyDescent="0.25">
      <c r="A19065" s="5">
        <f>19058</f>
      </c>
      <c r="B19065" s="5" t="s">
        <v>19073</v>
      </c>
      <c r="C19065" s="5">
        <v>118.1</v>
      </c>
      <c r="D19065" s="5">
        <v>0.1</v>
      </c>
      <c r="E19065" s="5">
        <v>118.3</v>
      </c>
      <c r="F19065" s="5">
        <v>235.5</v>
      </c>
      <c r="G19065" s="5">
        <v>117.1</v>
      </c>
      <c r="H19065" s="5">
        <v>116.9</v>
      </c>
      <c r="I19065" s="5"/>
      <c r="J19065" s="5"/>
      <c r="K19065" s="5"/>
    </row>
    <row r="19066" spans="1:11" x14ac:dyDescent="0.25">
      <c r="A19066" s="5">
        <f>19059</f>
      </c>
      <c r="B19066" s="5" t="s">
        <v>19074</v>
      </c>
      <c r="C19066" s="5">
        <v>118.1</v>
      </c>
      <c r="D19066" s="5">
        <v>0.1</v>
      </c>
      <c r="E19066" s="5">
        <v>118.3</v>
      </c>
      <c r="F19066" s="5">
        <v>235.5</v>
      </c>
      <c r="G19066" s="5">
        <v>117.1</v>
      </c>
      <c r="H19066" s="5">
        <v>116.9</v>
      </c>
      <c r="I19066" s="5"/>
      <c r="J19066" s="5"/>
      <c r="K19066" s="5"/>
    </row>
    <row r="19067" spans="1:11" x14ac:dyDescent="0.25">
      <c r="A19067" s="5">
        <f>19060</f>
      </c>
      <c r="B19067" s="5" t="s">
        <v>19075</v>
      </c>
      <c r="C19067" s="5">
        <v>118.4</v>
      </c>
      <c r="D19067" s="5">
        <v>0.1</v>
      </c>
      <c r="E19067" s="5">
        <v>118.6</v>
      </c>
      <c r="F19067" s="5">
        <v>235.6</v>
      </c>
      <c r="G19067" s="5">
        <v>117.1</v>
      </c>
      <c r="H19067" s="5">
        <v>117</v>
      </c>
      <c r="I19067" s="5"/>
      <c r="J19067" s="5"/>
      <c r="K19067" s="5"/>
    </row>
    <row r="19068" spans="1:11" x14ac:dyDescent="0.25">
      <c r="A19068" s="5">
        <f>19061</f>
      </c>
      <c r="B19068" s="5" t="s">
        <v>19076</v>
      </c>
      <c r="C19068" s="5">
        <v>118.4</v>
      </c>
      <c r="D19068" s="5">
        <v>0.1</v>
      </c>
      <c r="E19068" s="5">
        <v>118.6</v>
      </c>
      <c r="F19068" s="5">
        <v>235.6</v>
      </c>
      <c r="G19068" s="5">
        <v>117.1</v>
      </c>
      <c r="H19068" s="5">
        <v>117</v>
      </c>
      <c r="I19068" s="5"/>
      <c r="J19068" s="5"/>
      <c r="K19068" s="5"/>
    </row>
    <row r="19069" spans="1:11" x14ac:dyDescent="0.25">
      <c r="A19069" s="5">
        <f>19062</f>
      </c>
      <c r="B19069" s="5" t="s">
        <v>19077</v>
      </c>
      <c r="C19069" s="5">
        <v>118.4</v>
      </c>
      <c r="D19069" s="5">
        <v>0.1</v>
      </c>
      <c r="E19069" s="5">
        <v>118.6</v>
      </c>
      <c r="F19069" s="5">
        <v>235.6</v>
      </c>
      <c r="G19069" s="5">
        <v>117.1</v>
      </c>
      <c r="H19069" s="5">
        <v>117</v>
      </c>
      <c r="I19069" s="5"/>
      <c r="J19069" s="5"/>
      <c r="K19069" s="5"/>
    </row>
    <row r="19070" spans="1:11" x14ac:dyDescent="0.25">
      <c r="A19070" s="5">
        <f>19063</f>
      </c>
      <c r="B19070" s="5" t="s">
        <v>19078</v>
      </c>
      <c r="C19070" s="5">
        <v>118.4</v>
      </c>
      <c r="D19070" s="5">
        <v>0.1</v>
      </c>
      <c r="E19070" s="5">
        <v>118.6</v>
      </c>
      <c r="F19070" s="5">
        <v>235.5</v>
      </c>
      <c r="G19070" s="5">
        <v>117.1</v>
      </c>
      <c r="H19070" s="5">
        <v>116.9</v>
      </c>
      <c r="I19070" s="5"/>
      <c r="J19070" s="5"/>
      <c r="K19070" s="5"/>
    </row>
    <row r="19071" spans="1:11" x14ac:dyDescent="0.25">
      <c r="A19071" s="5">
        <f>19064</f>
      </c>
      <c r="B19071" s="5" t="s">
        <v>19079</v>
      </c>
      <c r="C19071" s="5">
        <v>118.4</v>
      </c>
      <c r="D19071" s="5">
        <v>0.1</v>
      </c>
      <c r="E19071" s="5">
        <v>118.6</v>
      </c>
      <c r="F19071" s="5">
        <v>235.5</v>
      </c>
      <c r="G19071" s="5">
        <v>117.1</v>
      </c>
      <c r="H19071" s="5">
        <v>116.9</v>
      </c>
      <c r="I19071" s="5"/>
      <c r="J19071" s="5"/>
      <c r="K19071" s="5"/>
    </row>
    <row r="19072" spans="1:11" x14ac:dyDescent="0.25">
      <c r="A19072" s="5">
        <f>19065</f>
      </c>
      <c r="B19072" s="5" t="s">
        <v>19080</v>
      </c>
      <c r="C19072" s="5">
        <v>118.6</v>
      </c>
      <c r="D19072" s="5">
        <v>0.1</v>
      </c>
      <c r="E19072" s="5">
        <v>118.8</v>
      </c>
      <c r="F19072" s="5">
        <v>236.1</v>
      </c>
      <c r="G19072" s="5">
        <v>117.4</v>
      </c>
      <c r="H19072" s="5">
        <v>117.2</v>
      </c>
      <c r="I19072" s="5"/>
      <c r="J19072" s="5"/>
      <c r="K19072" s="5"/>
    </row>
    <row r="19073" spans="1:11" x14ac:dyDescent="0.25">
      <c r="A19073" s="5">
        <f>19066</f>
      </c>
      <c r="B19073" s="5" t="s">
        <v>19081</v>
      </c>
      <c r="C19073" s="5">
        <v>118.6</v>
      </c>
      <c r="D19073" s="5">
        <v>0.1</v>
      </c>
      <c r="E19073" s="5">
        <v>118.8</v>
      </c>
      <c r="F19073" s="5">
        <v>236.1</v>
      </c>
      <c r="G19073" s="5">
        <v>117.4</v>
      </c>
      <c r="H19073" s="5">
        <v>117.2</v>
      </c>
      <c r="I19073" s="5"/>
      <c r="J19073" s="5"/>
      <c r="K19073" s="5"/>
    </row>
    <row r="19074" spans="1:11" x14ac:dyDescent="0.25">
      <c r="A19074" s="5">
        <f>19067</f>
      </c>
      <c r="B19074" s="5" t="s">
        <v>19082</v>
      </c>
      <c r="C19074" s="5">
        <v>118.5</v>
      </c>
      <c r="D19074" s="5">
        <v>0.1</v>
      </c>
      <c r="E19074" s="5">
        <v>118.6</v>
      </c>
      <c r="F19074" s="5">
        <v>235.7</v>
      </c>
      <c r="G19074" s="5">
        <v>117.2</v>
      </c>
      <c r="H19074" s="5">
        <v>117</v>
      </c>
      <c r="I19074" s="5"/>
      <c r="J19074" s="5"/>
      <c r="K19074" s="5"/>
    </row>
    <row r="19075" spans="1:11" x14ac:dyDescent="0.25">
      <c r="A19075" s="5">
        <f>19068</f>
      </c>
      <c r="B19075" s="5" t="s">
        <v>19083</v>
      </c>
      <c r="C19075" s="5">
        <v>118.5</v>
      </c>
      <c r="D19075" s="5">
        <v>0.1</v>
      </c>
      <c r="E19075" s="5">
        <v>118.6</v>
      </c>
      <c r="F19075" s="5">
        <v>235.7</v>
      </c>
      <c r="G19075" s="5">
        <v>117.2</v>
      </c>
      <c r="H19075" s="5">
        <v>117</v>
      </c>
      <c r="I19075" s="5"/>
      <c r="J19075" s="5"/>
      <c r="K19075" s="5"/>
    </row>
    <row r="19076" spans="1:11" x14ac:dyDescent="0.25">
      <c r="A19076" s="5">
        <f>19069</f>
      </c>
      <c r="B19076" s="5" t="s">
        <v>19084</v>
      </c>
      <c r="C19076" s="5">
        <v>118.5</v>
      </c>
      <c r="D19076" s="5">
        <v>0.1</v>
      </c>
      <c r="E19076" s="5">
        <v>118.6</v>
      </c>
      <c r="F19076" s="5">
        <v>235.7</v>
      </c>
      <c r="G19076" s="5">
        <v>117.2</v>
      </c>
      <c r="H19076" s="5">
        <v>117</v>
      </c>
      <c r="I19076" s="5"/>
      <c r="J19076" s="5"/>
      <c r="K19076" s="5"/>
    </row>
    <row r="19077" spans="1:11" x14ac:dyDescent="0.25">
      <c r="A19077" s="5">
        <f>19070</f>
      </c>
      <c r="B19077" s="5" t="s">
        <v>19085</v>
      </c>
      <c r="C19077" s="5">
        <v>118.5</v>
      </c>
      <c r="D19077" s="5">
        <v>0.1</v>
      </c>
      <c r="E19077" s="5">
        <v>118.6</v>
      </c>
      <c r="F19077" s="5">
        <v>235.7</v>
      </c>
      <c r="G19077" s="5">
        <v>117.2</v>
      </c>
      <c r="H19077" s="5">
        <v>117</v>
      </c>
      <c r="I19077" s="5"/>
      <c r="J19077" s="5"/>
      <c r="K19077" s="5"/>
    </row>
    <row r="19078" spans="1:11" x14ac:dyDescent="0.25">
      <c r="A19078" s="5">
        <f>19071</f>
      </c>
      <c r="B19078" s="5" t="s">
        <v>19086</v>
      </c>
      <c r="C19078" s="5">
        <v>118.5</v>
      </c>
      <c r="D19078" s="5">
        <v>0.1</v>
      </c>
      <c r="E19078" s="5">
        <v>118.6</v>
      </c>
      <c r="F19078" s="5">
        <v>235.7</v>
      </c>
      <c r="G19078" s="5">
        <v>117.2</v>
      </c>
      <c r="H19078" s="5">
        <v>117</v>
      </c>
      <c r="I19078" s="5"/>
      <c r="J19078" s="5"/>
      <c r="K19078" s="5"/>
    </row>
    <row r="19079" spans="1:11" x14ac:dyDescent="0.25">
      <c r="A19079" s="5">
        <f>19072</f>
      </c>
      <c r="B19079" s="5" t="s">
        <v>19087</v>
      </c>
      <c r="C19079" s="5">
        <v>118.5</v>
      </c>
      <c r="D19079" s="5">
        <v>0.1</v>
      </c>
      <c r="E19079" s="5">
        <v>118.6</v>
      </c>
      <c r="F19079" s="5">
        <v>235.7</v>
      </c>
      <c r="G19079" s="5">
        <v>117.2</v>
      </c>
      <c r="H19079" s="5">
        <v>117</v>
      </c>
      <c r="I19079" s="5"/>
      <c r="J19079" s="5"/>
      <c r="K19079" s="5"/>
    </row>
    <row r="19080" spans="1:11" x14ac:dyDescent="0.25">
      <c r="A19080" s="5">
        <f>19073</f>
      </c>
      <c r="B19080" s="5" t="s">
        <v>19088</v>
      </c>
      <c r="C19080" s="5">
        <v>118.6</v>
      </c>
      <c r="D19080" s="5">
        <v>0.1</v>
      </c>
      <c r="E19080" s="5">
        <v>118.8</v>
      </c>
      <c r="F19080" s="5">
        <v>236.1</v>
      </c>
      <c r="G19080" s="5">
        <v>117.4</v>
      </c>
      <c r="H19080" s="5">
        <v>117.2</v>
      </c>
      <c r="I19080" s="5"/>
      <c r="J19080" s="5"/>
      <c r="K19080" s="5"/>
    </row>
    <row r="19081" spans="1:11" x14ac:dyDescent="0.25">
      <c r="A19081" s="5">
        <f>19074</f>
      </c>
      <c r="B19081" s="5" t="s">
        <v>19089</v>
      </c>
      <c r="C19081" s="5">
        <v>118.6</v>
      </c>
      <c r="D19081" s="5">
        <v>0.1</v>
      </c>
      <c r="E19081" s="5">
        <v>118.8</v>
      </c>
      <c r="F19081" s="5">
        <v>236.1</v>
      </c>
      <c r="G19081" s="5">
        <v>117.4</v>
      </c>
      <c r="H19081" s="5">
        <v>117.2</v>
      </c>
      <c r="I19081" s="5"/>
      <c r="J19081" s="5"/>
      <c r="K19081" s="5"/>
    </row>
    <row r="19082" spans="1:11" x14ac:dyDescent="0.25">
      <c r="A19082" s="5">
        <f>19075</f>
      </c>
      <c r="B19082" s="5" t="s">
        <v>19090</v>
      </c>
      <c r="C19082" s="5">
        <v>119.1</v>
      </c>
      <c r="D19082" s="5">
        <v>0.1</v>
      </c>
      <c r="E19082" s="5">
        <v>119.3</v>
      </c>
      <c r="F19082" s="5">
        <v>236.8</v>
      </c>
      <c r="G19082" s="5">
        <v>117.7</v>
      </c>
      <c r="H19082" s="5">
        <v>117.6</v>
      </c>
      <c r="I19082" s="5"/>
      <c r="J19082" s="5"/>
      <c r="K19082" s="5"/>
    </row>
    <row r="19083" spans="1:11" x14ac:dyDescent="0.25">
      <c r="A19083" s="5">
        <f>19076</f>
      </c>
      <c r="B19083" s="5" t="s">
        <v>19091</v>
      </c>
      <c r="C19083" s="5">
        <v>119.1</v>
      </c>
      <c r="D19083" s="5">
        <v>0.1</v>
      </c>
      <c r="E19083" s="5">
        <v>119.3</v>
      </c>
      <c r="F19083" s="5">
        <v>236.8</v>
      </c>
      <c r="G19083" s="5">
        <v>117.7</v>
      </c>
      <c r="H19083" s="5">
        <v>117.6</v>
      </c>
      <c r="I19083" s="5"/>
      <c r="J19083" s="5"/>
      <c r="K19083" s="5"/>
    </row>
    <row r="19084" spans="1:11" x14ac:dyDescent="0.25">
      <c r="A19084" s="5">
        <f>19077</f>
      </c>
      <c r="B19084" s="5" t="s">
        <v>19092</v>
      </c>
      <c r="C19084" s="5">
        <v>118.9</v>
      </c>
      <c r="D19084" s="5">
        <v>0.1</v>
      </c>
      <c r="E19084" s="5">
        <v>119</v>
      </c>
      <c r="F19084" s="5">
        <v>236.4</v>
      </c>
      <c r="G19084" s="5">
        <v>117.6</v>
      </c>
      <c r="H19084" s="5">
        <v>117.4</v>
      </c>
      <c r="I19084" s="5"/>
      <c r="J19084" s="5"/>
      <c r="K19084" s="5"/>
    </row>
    <row r="19085" spans="1:11" x14ac:dyDescent="0.25">
      <c r="A19085" s="5">
        <f>19078</f>
      </c>
      <c r="B19085" s="5" t="s">
        <v>19093</v>
      </c>
      <c r="C19085" s="5">
        <v>118.9</v>
      </c>
      <c r="D19085" s="5">
        <v>0.1</v>
      </c>
      <c r="E19085" s="5">
        <v>119</v>
      </c>
      <c r="F19085" s="5">
        <v>236.4</v>
      </c>
      <c r="G19085" s="5">
        <v>117.6</v>
      </c>
      <c r="H19085" s="5">
        <v>117.4</v>
      </c>
      <c r="I19085" s="5"/>
      <c r="J19085" s="5"/>
      <c r="K19085" s="5"/>
    </row>
    <row r="19086" spans="1:11" x14ac:dyDescent="0.25">
      <c r="A19086" s="5">
        <f>19079</f>
      </c>
      <c r="B19086" s="5" t="s">
        <v>19094</v>
      </c>
      <c r="C19086" s="5">
        <v>118.9</v>
      </c>
      <c r="D19086" s="5">
        <v>0.1</v>
      </c>
      <c r="E19086" s="5">
        <v>119</v>
      </c>
      <c r="F19086" s="5">
        <v>236.4</v>
      </c>
      <c r="G19086" s="5">
        <v>117.6</v>
      </c>
      <c r="H19086" s="5">
        <v>117.4</v>
      </c>
      <c r="I19086" s="5"/>
      <c r="J19086" s="5"/>
      <c r="K19086" s="5"/>
    </row>
    <row r="19087" spans="1:11" x14ac:dyDescent="0.25">
      <c r="A19087" s="5">
        <f>19080</f>
      </c>
      <c r="B19087" s="5" t="s">
        <v>19095</v>
      </c>
      <c r="C19087" s="5">
        <v>118.9</v>
      </c>
      <c r="D19087" s="5">
        <v>0.1</v>
      </c>
      <c r="E19087" s="5">
        <v>119</v>
      </c>
      <c r="F19087" s="5">
        <v>236.4</v>
      </c>
      <c r="G19087" s="5">
        <v>117.6</v>
      </c>
      <c r="H19087" s="5">
        <v>117.4</v>
      </c>
      <c r="I19087" s="5"/>
      <c r="J19087" s="5"/>
      <c r="K19087" s="5"/>
    </row>
    <row r="19088" spans="1:11" x14ac:dyDescent="0.25">
      <c r="A19088" s="5">
        <f>19081</f>
      </c>
      <c r="B19088" s="5" t="s">
        <v>19096</v>
      </c>
      <c r="C19088" s="5">
        <v>118.6</v>
      </c>
      <c r="D19088" s="5">
        <v>0.1</v>
      </c>
      <c r="E19088" s="5">
        <v>118.7</v>
      </c>
      <c r="F19088" s="5">
        <v>236</v>
      </c>
      <c r="G19088" s="5">
        <v>117.3</v>
      </c>
      <c r="H19088" s="5">
        <v>117.2</v>
      </c>
      <c r="I19088" s="5"/>
      <c r="J19088" s="5"/>
      <c r="K19088" s="5"/>
    </row>
    <row r="19089" spans="1:11" x14ac:dyDescent="0.25">
      <c r="A19089" s="5">
        <f>19082</f>
      </c>
      <c r="B19089" s="5" t="s">
        <v>19097</v>
      </c>
      <c r="C19089" s="5">
        <v>118.6</v>
      </c>
      <c r="D19089" s="5">
        <v>0.1</v>
      </c>
      <c r="E19089" s="5">
        <v>118.7</v>
      </c>
      <c r="F19089" s="5">
        <v>236</v>
      </c>
      <c r="G19089" s="5">
        <v>117.3</v>
      </c>
      <c r="H19089" s="5">
        <v>117.2</v>
      </c>
      <c r="I19089" s="5"/>
      <c r="J19089" s="5"/>
      <c r="K19089" s="5"/>
    </row>
    <row r="19090" spans="1:11" x14ac:dyDescent="0.25">
      <c r="A19090" s="5">
        <f>19083</f>
      </c>
      <c r="B19090" s="5" t="s">
        <v>19098</v>
      </c>
      <c r="C19090" s="5">
        <v>118.5</v>
      </c>
      <c r="D19090" s="5">
        <v>0.1</v>
      </c>
      <c r="E19090" s="5">
        <v>118.6</v>
      </c>
      <c r="F19090" s="5">
        <v>236.1</v>
      </c>
      <c r="G19090" s="5">
        <v>117.4</v>
      </c>
      <c r="H19090" s="5">
        <v>117.2</v>
      </c>
      <c r="I19090" s="5"/>
      <c r="J19090" s="5"/>
      <c r="K19090" s="5"/>
    </row>
    <row r="19091" spans="1:11" x14ac:dyDescent="0.25">
      <c r="A19091" s="5">
        <f>19084</f>
      </c>
      <c r="B19091" s="5" t="s">
        <v>19099</v>
      </c>
      <c r="C19091" s="5">
        <v>118.5</v>
      </c>
      <c r="D19091" s="5">
        <v>0.1</v>
      </c>
      <c r="E19091" s="5">
        <v>118.6</v>
      </c>
      <c r="F19091" s="5">
        <v>236.1</v>
      </c>
      <c r="G19091" s="5">
        <v>117.4</v>
      </c>
      <c r="H19091" s="5">
        <v>117.2</v>
      </c>
      <c r="I19091" s="5"/>
      <c r="J19091" s="5"/>
      <c r="K19091" s="5"/>
    </row>
    <row r="19092" spans="1:11" x14ac:dyDescent="0.25">
      <c r="A19092" s="5">
        <f>19085</f>
      </c>
      <c r="B19092" s="5" t="s">
        <v>19100</v>
      </c>
      <c r="C19092" s="5">
        <v>118.6</v>
      </c>
      <c r="D19092" s="5">
        <v>0.1</v>
      </c>
      <c r="E19092" s="5">
        <v>118.9</v>
      </c>
      <c r="F19092" s="5">
        <v>235.6</v>
      </c>
      <c r="G19092" s="5">
        <v>117.1</v>
      </c>
      <c r="H19092" s="5">
        <v>117</v>
      </c>
      <c r="I19092" s="5"/>
      <c r="J19092" s="5"/>
      <c r="K19092" s="5"/>
    </row>
    <row r="19093" spans="1:11" x14ac:dyDescent="0.25">
      <c r="A19093" s="5">
        <f>19086</f>
      </c>
      <c r="B19093" s="5" t="s">
        <v>19101</v>
      </c>
      <c r="C19093" s="5">
        <v>118.6</v>
      </c>
      <c r="D19093" s="5">
        <v>0.1</v>
      </c>
      <c r="E19093" s="5">
        <v>118.9</v>
      </c>
      <c r="F19093" s="5">
        <v>235.6</v>
      </c>
      <c r="G19093" s="5">
        <v>117.1</v>
      </c>
      <c r="H19093" s="5">
        <v>117</v>
      </c>
      <c r="I19093" s="5"/>
      <c r="J19093" s="5"/>
      <c r="K19093" s="5"/>
    </row>
    <row r="19094" spans="1:11" x14ac:dyDescent="0.25">
      <c r="A19094" s="5">
        <f>19087</f>
      </c>
      <c r="B19094" s="5" t="s">
        <v>19102</v>
      </c>
      <c r="C19094" s="5">
        <v>118.7</v>
      </c>
      <c r="D19094" s="5">
        <v>0.1</v>
      </c>
      <c r="E19094" s="5">
        <v>118.9</v>
      </c>
      <c r="F19094" s="5">
        <v>235.8</v>
      </c>
      <c r="G19094" s="5">
        <v>117.2</v>
      </c>
      <c r="H19094" s="5">
        <v>117.1</v>
      </c>
      <c r="I19094" s="5"/>
      <c r="J19094" s="5"/>
      <c r="K19094" s="5"/>
    </row>
    <row r="19095" spans="1:11" x14ac:dyDescent="0.25">
      <c r="A19095" s="5">
        <f>19088</f>
      </c>
      <c r="B19095" s="5" t="s">
        <v>19103</v>
      </c>
      <c r="C19095" s="5">
        <v>118.7</v>
      </c>
      <c r="D19095" s="5">
        <v>0.1</v>
      </c>
      <c r="E19095" s="5">
        <v>118.9</v>
      </c>
      <c r="F19095" s="5">
        <v>235.8</v>
      </c>
      <c r="G19095" s="5">
        <v>117.2</v>
      </c>
      <c r="H19095" s="5">
        <v>117.1</v>
      </c>
      <c r="I19095" s="5"/>
      <c r="J19095" s="5"/>
      <c r="K19095" s="5"/>
    </row>
    <row r="19096" spans="1:11" x14ac:dyDescent="0.25">
      <c r="A19096" s="5">
        <f>19089</f>
      </c>
      <c r="B19096" s="5" t="s">
        <v>19104</v>
      </c>
      <c r="C19096" s="5">
        <v>118.7</v>
      </c>
      <c r="D19096" s="5">
        <v>0.1</v>
      </c>
      <c r="E19096" s="5">
        <v>118.9</v>
      </c>
      <c r="F19096" s="5">
        <v>235.8</v>
      </c>
      <c r="G19096" s="5">
        <v>117.2</v>
      </c>
      <c r="H19096" s="5">
        <v>117.1</v>
      </c>
      <c r="I19096" s="5"/>
      <c r="J19096" s="5"/>
      <c r="K19096" s="5"/>
    </row>
    <row r="19097" spans="1:11" x14ac:dyDescent="0.25">
      <c r="A19097" s="5">
        <f>19090</f>
      </c>
      <c r="B19097" s="5" t="s">
        <v>19105</v>
      </c>
      <c r="C19097" s="5">
        <v>118.7</v>
      </c>
      <c r="D19097" s="5">
        <v>0.1</v>
      </c>
      <c r="E19097" s="5">
        <v>118.9</v>
      </c>
      <c r="F19097" s="5">
        <v>235.8</v>
      </c>
      <c r="G19097" s="5">
        <v>117.2</v>
      </c>
      <c r="H19097" s="5">
        <v>117.1</v>
      </c>
      <c r="I19097" s="5"/>
      <c r="J19097" s="5"/>
      <c r="K19097" s="5"/>
    </row>
    <row r="19098" spans="1:11" x14ac:dyDescent="0.25">
      <c r="A19098" s="5">
        <f>19091</f>
      </c>
      <c r="B19098" s="5" t="s">
        <v>19106</v>
      </c>
      <c r="C19098" s="5">
        <v>119.1</v>
      </c>
      <c r="D19098" s="5">
        <v>0.1</v>
      </c>
      <c r="E19098" s="5">
        <v>119.3</v>
      </c>
      <c r="F19098" s="5">
        <v>236.4</v>
      </c>
      <c r="G19098" s="5">
        <v>117.5</v>
      </c>
      <c r="H19098" s="5">
        <v>117.4</v>
      </c>
      <c r="I19098" s="5"/>
      <c r="J19098" s="5"/>
      <c r="K19098" s="5"/>
    </row>
    <row r="19099" spans="1:11" x14ac:dyDescent="0.25">
      <c r="A19099" s="5">
        <f>19092</f>
      </c>
      <c r="B19099" s="5" t="s">
        <v>19107</v>
      </c>
      <c r="C19099" s="5">
        <v>118.7</v>
      </c>
      <c r="D19099" s="5">
        <v>0.1</v>
      </c>
      <c r="E19099" s="5">
        <v>118.9</v>
      </c>
      <c r="F19099" s="5">
        <v>236.2</v>
      </c>
      <c r="G19099" s="5">
        <v>117.4</v>
      </c>
      <c r="H19099" s="5">
        <v>117.2</v>
      </c>
      <c r="I19099" s="5"/>
      <c r="J19099" s="5"/>
      <c r="K19099" s="5"/>
    </row>
    <row r="19100" spans="1:11" x14ac:dyDescent="0.25">
      <c r="A19100" s="5">
        <f>19093</f>
      </c>
      <c r="B19100" s="5" t="s">
        <v>19108</v>
      </c>
      <c r="C19100" s="5">
        <v>118.7</v>
      </c>
      <c r="D19100" s="5">
        <v>0.1</v>
      </c>
      <c r="E19100" s="5">
        <v>118.9</v>
      </c>
      <c r="F19100" s="5">
        <v>236.2</v>
      </c>
      <c r="G19100" s="5">
        <v>117.4</v>
      </c>
      <c r="H19100" s="5">
        <v>117.3</v>
      </c>
      <c r="I19100" s="5"/>
      <c r="J19100" s="5"/>
      <c r="K19100" s="5"/>
    </row>
    <row r="19101" spans="1:11" x14ac:dyDescent="0.25">
      <c r="A19101" s="5">
        <f>19094</f>
      </c>
      <c r="B19101" s="5" t="s">
        <v>19109</v>
      </c>
      <c r="C19101" s="5">
        <v>118.7</v>
      </c>
      <c r="D19101" s="5">
        <v>0.1</v>
      </c>
      <c r="E19101" s="5">
        <v>118.9</v>
      </c>
      <c r="F19101" s="5">
        <v>236.2</v>
      </c>
      <c r="G19101" s="5">
        <v>117.4</v>
      </c>
      <c r="H19101" s="5">
        <v>117.3</v>
      </c>
      <c r="I19101" s="5"/>
      <c r="J19101" s="5"/>
      <c r="K19101" s="5"/>
    </row>
    <row r="19102" spans="1:11" x14ac:dyDescent="0.25">
      <c r="A19102" s="5">
        <f>19095</f>
      </c>
      <c r="B19102" s="5" t="s">
        <v>19110</v>
      </c>
      <c r="C19102" s="5">
        <v>118.7</v>
      </c>
      <c r="D19102" s="5">
        <v>0.1</v>
      </c>
      <c r="E19102" s="5">
        <v>118.6</v>
      </c>
      <c r="F19102" s="5">
        <v>236.1</v>
      </c>
      <c r="G19102" s="5">
        <v>117.4</v>
      </c>
      <c r="H19102" s="5">
        <v>117.2</v>
      </c>
      <c r="I19102" s="5"/>
      <c r="J19102" s="5"/>
      <c r="K19102" s="5"/>
    </row>
    <row r="19103" spans="1:11" x14ac:dyDescent="0.25">
      <c r="A19103" s="5">
        <f>19096</f>
      </c>
      <c r="B19103" s="5" t="s">
        <v>19111</v>
      </c>
      <c r="C19103" s="5">
        <v>118.5</v>
      </c>
      <c r="D19103" s="5">
        <v>0.1</v>
      </c>
      <c r="E19103" s="5">
        <v>118.6</v>
      </c>
      <c r="F19103" s="5">
        <v>236.1</v>
      </c>
      <c r="G19103" s="5">
        <v>117.4</v>
      </c>
      <c r="H19103" s="5">
        <v>117.2</v>
      </c>
      <c r="I19103" s="5"/>
      <c r="J19103" s="5"/>
      <c r="K19103" s="5"/>
    </row>
    <row r="19104" spans="1:11" x14ac:dyDescent="0.25">
      <c r="A19104" s="5">
        <f>19097</f>
      </c>
      <c r="B19104" s="5" t="s">
        <v>19112</v>
      </c>
      <c r="C19104" s="5">
        <v>118.5</v>
      </c>
      <c r="D19104" s="5">
        <v>0.1</v>
      </c>
      <c r="E19104" s="5">
        <v>118.6</v>
      </c>
      <c r="F19104" s="5">
        <v>236.1</v>
      </c>
      <c r="G19104" s="5">
        <v>117.4</v>
      </c>
      <c r="H19104" s="5">
        <v>117.2</v>
      </c>
      <c r="I19104" s="5"/>
      <c r="J19104" s="5"/>
      <c r="K19104" s="5"/>
    </row>
    <row r="19105" spans="1:11" x14ac:dyDescent="0.25">
      <c r="A19105" s="5">
        <f>19098</f>
      </c>
      <c r="B19105" s="5" t="s">
        <v>19113</v>
      </c>
      <c r="C19105" s="5">
        <v>118.5</v>
      </c>
      <c r="D19105" s="5">
        <v>0.1</v>
      </c>
      <c r="E19105" s="5">
        <v>118.6</v>
      </c>
      <c r="F19105" s="5">
        <v>236.1</v>
      </c>
      <c r="G19105" s="5">
        <v>117.4</v>
      </c>
      <c r="H19105" s="5">
        <v>117.2</v>
      </c>
      <c r="I19105" s="5"/>
      <c r="J19105" s="5"/>
      <c r="K19105" s="5"/>
    </row>
    <row r="19106" spans="1:11" x14ac:dyDescent="0.25">
      <c r="A19106" s="5">
        <f>19099</f>
      </c>
      <c r="B19106" s="5" t="s">
        <v>19114</v>
      </c>
      <c r="C19106" s="5">
        <v>119</v>
      </c>
      <c r="D19106" s="5">
        <v>0.1</v>
      </c>
      <c r="E19106" s="5">
        <v>119.2</v>
      </c>
      <c r="F19106" s="5">
        <v>235.6</v>
      </c>
      <c r="G19106" s="5">
        <v>117.1</v>
      </c>
      <c r="H19106" s="5">
        <v>117</v>
      </c>
      <c r="I19106" s="5"/>
      <c r="J19106" s="5"/>
      <c r="K19106" s="5"/>
    </row>
    <row r="19107" spans="1:11" x14ac:dyDescent="0.25">
      <c r="A19107" s="5">
        <f>19100</f>
      </c>
      <c r="B19107" s="5" t="s">
        <v>19115</v>
      </c>
      <c r="C19107" s="5">
        <v>119</v>
      </c>
      <c r="D19107" s="5">
        <v>0.1</v>
      </c>
      <c r="E19107" s="5">
        <v>119.2</v>
      </c>
      <c r="F19107" s="5">
        <v>235.6</v>
      </c>
      <c r="G19107" s="5">
        <v>117.1</v>
      </c>
      <c r="H19107" s="5">
        <v>117</v>
      </c>
      <c r="I19107" s="5"/>
      <c r="J19107" s="5"/>
      <c r="K19107" s="5"/>
    </row>
    <row r="19108" spans="1:11" x14ac:dyDescent="0.25">
      <c r="A19108" s="5">
        <f>19101</f>
      </c>
      <c r="B19108" s="5" t="s">
        <v>19116</v>
      </c>
      <c r="C19108" s="5">
        <v>118.9</v>
      </c>
      <c r="D19108" s="5">
        <v>0.1</v>
      </c>
      <c r="E19108" s="5">
        <v>119</v>
      </c>
      <c r="F19108" s="5">
        <v>236.5</v>
      </c>
      <c r="G19108" s="5">
        <v>117.6</v>
      </c>
      <c r="H19108" s="5">
        <v>117.4</v>
      </c>
      <c r="I19108" s="5"/>
      <c r="J19108" s="5"/>
      <c r="K19108" s="5"/>
    </row>
    <row r="19109" spans="1:11" x14ac:dyDescent="0.25">
      <c r="A19109" s="5">
        <f>19102</f>
      </c>
      <c r="B19109" s="5" t="s">
        <v>19117</v>
      </c>
      <c r="C19109" s="5">
        <v>118.9</v>
      </c>
      <c r="D19109" s="5">
        <v>0.1</v>
      </c>
      <c r="E19109" s="5">
        <v>119</v>
      </c>
      <c r="F19109" s="5">
        <v>236.5</v>
      </c>
      <c r="G19109" s="5">
        <v>117.6</v>
      </c>
      <c r="H19109" s="5">
        <v>117.4</v>
      </c>
      <c r="I19109" s="5"/>
      <c r="J19109" s="5"/>
      <c r="K19109" s="5"/>
    </row>
    <row r="19110" spans="1:11" x14ac:dyDescent="0.25">
      <c r="A19110" s="5">
        <f>19103</f>
      </c>
      <c r="B19110" s="5" t="s">
        <v>19118</v>
      </c>
      <c r="C19110" s="5">
        <v>118.9</v>
      </c>
      <c r="D19110" s="5">
        <v>0.1</v>
      </c>
      <c r="E19110" s="5">
        <v>119</v>
      </c>
      <c r="F19110" s="5">
        <v>236.5</v>
      </c>
      <c r="G19110" s="5">
        <v>117.6</v>
      </c>
      <c r="H19110" s="5">
        <v>117.4</v>
      </c>
      <c r="I19110" s="5"/>
      <c r="J19110" s="5"/>
      <c r="K19110" s="5"/>
    </row>
    <row r="19111" spans="1:11" x14ac:dyDescent="0.25">
      <c r="A19111" s="5">
        <f>19104</f>
      </c>
      <c r="B19111" s="5" t="s">
        <v>19119</v>
      </c>
      <c r="C19111" s="5">
        <v>118.9</v>
      </c>
      <c r="D19111" s="5">
        <v>0.1</v>
      </c>
      <c r="E19111" s="5">
        <v>119</v>
      </c>
      <c r="F19111" s="5">
        <v>236.5</v>
      </c>
      <c r="G19111" s="5">
        <v>117.6</v>
      </c>
      <c r="H19111" s="5">
        <v>117.4</v>
      </c>
      <c r="I19111" s="5"/>
      <c r="J19111" s="5"/>
      <c r="K19111" s="5"/>
    </row>
    <row r="19112" spans="1:11" x14ac:dyDescent="0.25">
      <c r="A19112" s="5">
        <f>19105</f>
      </c>
      <c r="B19112" s="5" t="s">
        <v>19120</v>
      </c>
      <c r="C19112" s="5">
        <v>119.1</v>
      </c>
      <c r="D19112" s="5">
        <v>0.1</v>
      </c>
      <c r="E19112" s="5">
        <v>119.3</v>
      </c>
      <c r="F19112" s="5">
        <v>236.3</v>
      </c>
      <c r="G19112" s="5">
        <v>117.5</v>
      </c>
      <c r="H19112" s="5">
        <v>117.3</v>
      </c>
      <c r="I19112" s="5"/>
      <c r="J19112" s="5"/>
      <c r="K19112" s="5"/>
    </row>
    <row r="19113" spans="1:11" x14ac:dyDescent="0.25">
      <c r="A19113" s="5">
        <f>19106</f>
      </c>
      <c r="B19113" s="5" t="s">
        <v>19121</v>
      </c>
      <c r="C19113" s="5">
        <v>119.1</v>
      </c>
      <c r="D19113" s="5">
        <v>0.1</v>
      </c>
      <c r="E19113" s="5">
        <v>119.3</v>
      </c>
      <c r="F19113" s="5">
        <v>236.3</v>
      </c>
      <c r="G19113" s="5">
        <v>117.5</v>
      </c>
      <c r="H19113" s="5">
        <v>117.3</v>
      </c>
      <c r="I19113" s="5"/>
      <c r="J19113" s="5"/>
      <c r="K19113" s="5"/>
    </row>
    <row r="19114" spans="1:11" x14ac:dyDescent="0.25">
      <c r="A19114" s="5">
        <f>19107</f>
      </c>
      <c r="B19114" s="5" t="s">
        <v>19122</v>
      </c>
      <c r="C19114" s="5">
        <v>119.1</v>
      </c>
      <c r="D19114" s="5">
        <v>0.1</v>
      </c>
      <c r="E19114" s="5">
        <v>119.3</v>
      </c>
      <c r="F19114" s="5">
        <v>236.3</v>
      </c>
      <c r="G19114" s="5">
        <v>117.5</v>
      </c>
      <c r="H19114" s="5">
        <v>117.3</v>
      </c>
      <c r="I19114" s="5"/>
      <c r="J19114" s="5"/>
      <c r="K19114" s="5"/>
    </row>
    <row r="19115" spans="1:11" x14ac:dyDescent="0.25">
      <c r="A19115" s="5">
        <f>19108</f>
      </c>
      <c r="B19115" s="5" t="s">
        <v>19123</v>
      </c>
      <c r="C19115" s="5">
        <v>119.1</v>
      </c>
      <c r="D19115" s="5">
        <v>0.1</v>
      </c>
      <c r="E19115" s="5">
        <v>119.3</v>
      </c>
      <c r="F19115" s="5">
        <v>236.3</v>
      </c>
      <c r="G19115" s="5">
        <v>117.5</v>
      </c>
      <c r="H19115" s="5">
        <v>117.3</v>
      </c>
      <c r="I19115" s="5"/>
      <c r="J19115" s="5"/>
      <c r="K19115" s="5"/>
    </row>
    <row r="19116" spans="1:11" x14ac:dyDescent="0.25">
      <c r="A19116" s="5">
        <f>19109</f>
      </c>
      <c r="B19116" s="5" t="s">
        <v>19124</v>
      </c>
      <c r="C19116" s="5">
        <v>118.1</v>
      </c>
      <c r="D19116" s="5">
        <v>0.1</v>
      </c>
      <c r="E19116" s="5">
        <v>118.3</v>
      </c>
      <c r="F19116" s="5">
        <v>235.6</v>
      </c>
      <c r="G19116" s="5">
        <v>117.1</v>
      </c>
      <c r="H19116" s="5">
        <v>117</v>
      </c>
      <c r="I19116" s="5"/>
      <c r="J19116" s="5"/>
      <c r="K19116" s="5"/>
    </row>
    <row r="19117" spans="1:11" x14ac:dyDescent="0.25">
      <c r="A19117" s="5">
        <f>19110</f>
      </c>
      <c r="B19117" s="5" t="s">
        <v>19125</v>
      </c>
      <c r="C19117" s="5">
        <v>118.1</v>
      </c>
      <c r="D19117" s="5">
        <v>0.1</v>
      </c>
      <c r="E19117" s="5">
        <v>118.3</v>
      </c>
      <c r="F19117" s="5">
        <v>235.6</v>
      </c>
      <c r="G19117" s="5">
        <v>117.1</v>
      </c>
      <c r="H19117" s="5">
        <v>117</v>
      </c>
      <c r="I19117" s="5"/>
      <c r="J19117" s="5"/>
      <c r="K19117" s="5"/>
    </row>
    <row r="19118" spans="1:11" x14ac:dyDescent="0.25">
      <c r="A19118" s="5">
        <f>19111</f>
      </c>
      <c r="B19118" s="5" t="s">
        <v>19126</v>
      </c>
      <c r="C19118" s="5">
        <v>118.1</v>
      </c>
      <c r="D19118" s="5">
        <v>0.1</v>
      </c>
      <c r="E19118" s="5">
        <v>118.3</v>
      </c>
      <c r="F19118" s="5">
        <v>235.6</v>
      </c>
      <c r="G19118" s="5">
        <v>117.1</v>
      </c>
      <c r="H19118" s="5">
        <v>117</v>
      </c>
      <c r="I19118" s="5"/>
      <c r="J19118" s="5"/>
      <c r="K19118" s="5"/>
    </row>
    <row r="19119" spans="1:11" x14ac:dyDescent="0.25">
      <c r="A19119" s="5">
        <f>19112</f>
      </c>
      <c r="B19119" s="5" t="s">
        <v>19127</v>
      </c>
      <c r="C19119" s="5">
        <v>118.1</v>
      </c>
      <c r="D19119" s="5">
        <v>0.1</v>
      </c>
      <c r="E19119" s="5">
        <v>118.3</v>
      </c>
      <c r="F19119" s="5">
        <v>235.6</v>
      </c>
      <c r="G19119" s="5">
        <v>117.1</v>
      </c>
      <c r="H19119" s="5">
        <v>117</v>
      </c>
      <c r="I19119" s="5"/>
      <c r="J19119" s="5"/>
      <c r="K19119" s="5"/>
    </row>
    <row r="19120" spans="1:11" x14ac:dyDescent="0.25">
      <c r="A19120" s="5">
        <f>19113</f>
      </c>
      <c r="B19120" s="5" t="s">
        <v>19128</v>
      </c>
      <c r="C19120" s="5">
        <v>118.3</v>
      </c>
      <c r="D19120" s="5">
        <v>0.1</v>
      </c>
      <c r="E19120" s="5">
        <v>118.4</v>
      </c>
      <c r="F19120" s="5">
        <v>235.7</v>
      </c>
      <c r="G19120" s="5">
        <v>117.2</v>
      </c>
      <c r="H19120" s="5">
        <v>117</v>
      </c>
      <c r="I19120" s="5"/>
      <c r="J19120" s="5"/>
      <c r="K19120" s="5"/>
    </row>
    <row r="19121" spans="1:11" x14ac:dyDescent="0.25">
      <c r="A19121" s="5">
        <f>19114</f>
      </c>
      <c r="B19121" s="5" t="s">
        <v>19129</v>
      </c>
      <c r="C19121" s="5">
        <v>118.3</v>
      </c>
      <c r="D19121" s="5">
        <v>0.1</v>
      </c>
      <c r="E19121" s="5">
        <v>118.4</v>
      </c>
      <c r="F19121" s="5">
        <v>235.7</v>
      </c>
      <c r="G19121" s="5">
        <v>117.2</v>
      </c>
      <c r="H19121" s="5">
        <v>117</v>
      </c>
      <c r="I19121" s="5"/>
      <c r="J19121" s="5"/>
      <c r="K19121" s="5"/>
    </row>
    <row r="19122" spans="1:11" x14ac:dyDescent="0.25">
      <c r="A19122" s="5">
        <f>19115</f>
      </c>
      <c r="B19122" s="5" t="s">
        <v>19130</v>
      </c>
      <c r="C19122" s="5">
        <v>118.2</v>
      </c>
      <c r="D19122" s="5">
        <v>0.1</v>
      </c>
      <c r="E19122" s="5">
        <v>118.3</v>
      </c>
      <c r="F19122" s="5">
        <v>235.2</v>
      </c>
      <c r="G19122" s="5">
        <v>116.9</v>
      </c>
      <c r="H19122" s="5">
        <v>116.7</v>
      </c>
      <c r="I19122" s="5"/>
      <c r="J19122" s="5"/>
      <c r="K19122" s="5"/>
    </row>
    <row r="19123" spans="1:11" x14ac:dyDescent="0.25">
      <c r="A19123" s="5">
        <f>19116</f>
      </c>
      <c r="B19123" s="5" t="s">
        <v>19131</v>
      </c>
      <c r="C19123" s="5">
        <v>118.2</v>
      </c>
      <c r="D19123" s="5">
        <v>0.1</v>
      </c>
      <c r="E19123" s="5">
        <v>118.3</v>
      </c>
      <c r="F19123" s="5">
        <v>235.2</v>
      </c>
      <c r="G19123" s="5">
        <v>116.9</v>
      </c>
      <c r="H19123" s="5">
        <v>116.7</v>
      </c>
      <c r="I19123" s="5"/>
      <c r="J19123" s="5"/>
      <c r="K19123" s="5"/>
    </row>
    <row r="19124" spans="1:11" x14ac:dyDescent="0.25">
      <c r="A19124" s="5">
        <f>19117</f>
      </c>
      <c r="B19124" s="5" t="s">
        <v>19132</v>
      </c>
      <c r="C19124" s="5">
        <v>118.2</v>
      </c>
      <c r="D19124" s="5">
        <v>0.1</v>
      </c>
      <c r="E19124" s="5">
        <v>118.3</v>
      </c>
      <c r="F19124" s="5">
        <v>235.2</v>
      </c>
      <c r="G19124" s="5">
        <v>116.9</v>
      </c>
      <c r="H19124" s="5">
        <v>116.7</v>
      </c>
      <c r="I19124" s="5"/>
      <c r="J19124" s="5"/>
      <c r="K19124" s="5"/>
    </row>
    <row r="19125" spans="1:11" x14ac:dyDescent="0.25">
      <c r="A19125" s="5">
        <f>19118</f>
      </c>
      <c r="B19125" s="5" t="s">
        <v>19133</v>
      </c>
      <c r="C19125" s="5">
        <v>118.2</v>
      </c>
      <c r="D19125" s="5">
        <v>0.1</v>
      </c>
      <c r="E19125" s="5">
        <v>118.3</v>
      </c>
      <c r="F19125" s="5">
        <v>235.2</v>
      </c>
      <c r="G19125" s="5">
        <v>116.9</v>
      </c>
      <c r="H19125" s="5">
        <v>116.7</v>
      </c>
      <c r="I19125" s="5"/>
      <c r="J19125" s="5"/>
      <c r="K19125" s="5"/>
    </row>
    <row r="19126" spans="1:11" x14ac:dyDescent="0.25">
      <c r="A19126" s="5">
        <f>19119</f>
      </c>
      <c r="B19126" s="5" t="s">
        <v>19134</v>
      </c>
      <c r="C19126" s="5">
        <v>117.8</v>
      </c>
      <c r="D19126" s="5">
        <v>0.1</v>
      </c>
      <c r="E19126" s="5">
        <v>118</v>
      </c>
      <c r="F19126" s="5">
        <v>234.8</v>
      </c>
      <c r="G19126" s="5">
        <v>116.8</v>
      </c>
      <c r="H19126" s="5">
        <v>116.6</v>
      </c>
      <c r="I19126" s="5"/>
      <c r="J19126" s="5"/>
      <c r="K19126" s="5"/>
    </row>
    <row r="19127" spans="1:11" x14ac:dyDescent="0.25">
      <c r="A19127" s="5">
        <f>19120</f>
      </c>
      <c r="B19127" s="5" t="s">
        <v>19135</v>
      </c>
      <c r="C19127" s="5">
        <v>117.8</v>
      </c>
      <c r="D19127" s="5">
        <v>0.1</v>
      </c>
      <c r="E19127" s="5">
        <v>118</v>
      </c>
      <c r="F19127" s="5">
        <v>234.8</v>
      </c>
      <c r="G19127" s="5">
        <v>116.8</v>
      </c>
      <c r="H19127" s="5">
        <v>116.6</v>
      </c>
      <c r="I19127" s="5"/>
      <c r="J19127" s="5"/>
      <c r="K19127" s="5"/>
    </row>
    <row r="19128" spans="1:11" x14ac:dyDescent="0.25">
      <c r="A19128" s="5">
        <f>19121</f>
      </c>
      <c r="B19128" s="5" t="s">
        <v>19136</v>
      </c>
      <c r="C19128" s="5">
        <v>117.6</v>
      </c>
      <c r="D19128" s="5">
        <v>0.1</v>
      </c>
      <c r="E19128" s="5">
        <v>117.7</v>
      </c>
      <c r="F19128" s="5">
        <v>234.4</v>
      </c>
      <c r="G19128" s="5">
        <v>116.5</v>
      </c>
      <c r="H19128" s="5">
        <v>116.4</v>
      </c>
      <c r="I19128" s="5"/>
      <c r="J19128" s="5"/>
      <c r="K19128" s="5"/>
    </row>
    <row r="19129" spans="1:11" x14ac:dyDescent="0.25">
      <c r="A19129" s="5">
        <f>19122</f>
      </c>
      <c r="B19129" s="5" t="s">
        <v>19137</v>
      </c>
      <c r="C19129" s="5">
        <v>117.8</v>
      </c>
      <c r="D19129" s="5">
        <v>0.1</v>
      </c>
      <c r="E19129" s="5">
        <v>118</v>
      </c>
      <c r="F19129" s="5">
        <v>234.7</v>
      </c>
      <c r="G19129" s="5">
        <v>116.7</v>
      </c>
      <c r="H19129" s="5">
        <v>116.6</v>
      </c>
      <c r="I19129" s="5"/>
      <c r="J19129" s="5"/>
      <c r="K19129" s="5"/>
    </row>
    <row r="19130" spans="1:11" x14ac:dyDescent="0.25">
      <c r="A19130" s="5">
        <f>19123</f>
      </c>
      <c r="B19130" s="5" t="s">
        <v>19138</v>
      </c>
      <c r="C19130" s="5">
        <v>117.8</v>
      </c>
      <c r="D19130" s="5">
        <v>0.1</v>
      </c>
      <c r="E19130" s="5">
        <v>118</v>
      </c>
      <c r="F19130" s="5">
        <v>234.7</v>
      </c>
      <c r="G19130" s="5">
        <v>116.7</v>
      </c>
      <c r="H19130" s="5">
        <v>116.6</v>
      </c>
      <c r="I19130" s="5"/>
      <c r="J19130" s="5"/>
      <c r="K19130" s="5"/>
    </row>
    <row r="19131" spans="1:11" x14ac:dyDescent="0.25">
      <c r="A19131" s="5">
        <f>19124</f>
      </c>
      <c r="B19131" s="5" t="s">
        <v>19139</v>
      </c>
      <c r="C19131" s="5">
        <v>117.8</v>
      </c>
      <c r="D19131" s="5">
        <v>0.1</v>
      </c>
      <c r="E19131" s="5">
        <v>118</v>
      </c>
      <c r="F19131" s="5">
        <v>234.4</v>
      </c>
      <c r="G19131" s="5">
        <v>116.6</v>
      </c>
      <c r="H19131" s="5">
        <v>116.4</v>
      </c>
      <c r="I19131" s="5"/>
      <c r="J19131" s="5"/>
      <c r="K19131" s="5"/>
    </row>
    <row r="19132" spans="1:11" x14ac:dyDescent="0.25">
      <c r="A19132" s="5">
        <f>19125</f>
      </c>
      <c r="B19132" s="5" t="s">
        <v>19140</v>
      </c>
      <c r="C19132" s="5">
        <v>117.8</v>
      </c>
      <c r="D19132" s="5">
        <v>0.1</v>
      </c>
      <c r="E19132" s="5">
        <v>118</v>
      </c>
      <c r="F19132" s="5">
        <v>234.4</v>
      </c>
      <c r="G19132" s="5">
        <v>116.6</v>
      </c>
      <c r="H19132" s="5">
        <v>116.4</v>
      </c>
      <c r="I19132" s="5"/>
      <c r="J19132" s="5"/>
      <c r="K19132" s="5"/>
    </row>
    <row r="19133" spans="1:11" x14ac:dyDescent="0.25">
      <c r="A19133" s="5">
        <f>19126</f>
      </c>
      <c r="B19133" s="5" t="s">
        <v>19141</v>
      </c>
      <c r="C19133" s="5">
        <v>118.1</v>
      </c>
      <c r="D19133" s="5">
        <v>0.1</v>
      </c>
      <c r="E19133" s="5">
        <v>118.3</v>
      </c>
      <c r="F19133" s="5">
        <v>234.4</v>
      </c>
      <c r="G19133" s="5">
        <v>116.6</v>
      </c>
      <c r="H19133" s="5">
        <v>116.6</v>
      </c>
      <c r="I19133" s="5"/>
      <c r="J19133" s="5"/>
      <c r="K19133" s="5"/>
    </row>
    <row r="19134" spans="1:11" x14ac:dyDescent="0.25">
      <c r="A19134" s="5">
        <f>19127</f>
      </c>
      <c r="B19134" s="5" t="s">
        <v>19142</v>
      </c>
      <c r="C19134" s="5">
        <v>118.1</v>
      </c>
      <c r="D19134" s="5">
        <v>0.1</v>
      </c>
      <c r="E19134" s="5">
        <v>118.3</v>
      </c>
      <c r="F19134" s="5">
        <v>234.4</v>
      </c>
      <c r="G19134" s="5">
        <v>116.6</v>
      </c>
      <c r="H19134" s="5">
        <v>116.6</v>
      </c>
      <c r="I19134" s="5"/>
      <c r="J19134" s="5"/>
      <c r="K19134" s="5"/>
    </row>
    <row r="19135" spans="1:11" x14ac:dyDescent="0.25">
      <c r="A19135" s="5">
        <f>19128</f>
      </c>
      <c r="B19135" s="5" t="s">
        <v>19143</v>
      </c>
      <c r="C19135" s="5">
        <v>118.1</v>
      </c>
      <c r="D19135" s="5">
        <v>0.1</v>
      </c>
      <c r="E19135" s="5">
        <v>118.3</v>
      </c>
      <c r="F19135" s="5">
        <v>234.4</v>
      </c>
      <c r="G19135" s="5">
        <v>116.6</v>
      </c>
      <c r="H19135" s="5">
        <v>116.6</v>
      </c>
      <c r="I19135" s="5"/>
      <c r="J19135" s="5"/>
      <c r="K19135" s="5"/>
    </row>
    <row r="19136" spans="1:11" x14ac:dyDescent="0.25">
      <c r="A19136" s="5">
        <f>19129</f>
      </c>
      <c r="B19136" s="5" t="s">
        <v>19144</v>
      </c>
      <c r="C19136" s="5">
        <v>118.1</v>
      </c>
      <c r="D19136" s="5">
        <v>0.1</v>
      </c>
      <c r="E19136" s="5">
        <v>118.3</v>
      </c>
      <c r="F19136" s="5">
        <v>234.4</v>
      </c>
      <c r="G19136" s="5">
        <v>116.6</v>
      </c>
      <c r="H19136" s="5">
        <v>116.6</v>
      </c>
      <c r="I19136" s="5"/>
      <c r="J19136" s="5"/>
      <c r="K19136" s="5"/>
    </row>
    <row r="19137" spans="1:11" x14ac:dyDescent="0.25">
      <c r="A19137" s="5">
        <f>19130</f>
      </c>
      <c r="B19137" s="5" t="s">
        <v>19145</v>
      </c>
      <c r="C19137" s="5">
        <v>117.5</v>
      </c>
      <c r="D19137" s="5">
        <v>0.1</v>
      </c>
      <c r="E19137" s="5">
        <v>117.7</v>
      </c>
      <c r="F19137" s="5">
        <v>234.2</v>
      </c>
      <c r="G19137" s="5">
        <v>116.5</v>
      </c>
      <c r="H19137" s="5">
        <v>116.3</v>
      </c>
      <c r="I19137" s="5"/>
      <c r="J19137" s="5"/>
      <c r="K19137" s="5"/>
    </row>
    <row r="19138" spans="1:11" x14ac:dyDescent="0.25">
      <c r="A19138" s="5">
        <f>19131</f>
      </c>
      <c r="B19138" s="5" t="s">
        <v>19146</v>
      </c>
      <c r="C19138" s="5">
        <v>117.5</v>
      </c>
      <c r="D19138" s="5">
        <v>0.1</v>
      </c>
      <c r="E19138" s="5">
        <v>117.7</v>
      </c>
      <c r="F19138" s="5">
        <v>234.2</v>
      </c>
      <c r="G19138" s="5">
        <v>116.5</v>
      </c>
      <c r="H19138" s="5">
        <v>116.3</v>
      </c>
      <c r="I19138" s="5"/>
      <c r="J19138" s="5"/>
      <c r="K19138" s="5"/>
    </row>
    <row r="19139" spans="1:11" x14ac:dyDescent="0.25">
      <c r="A19139" s="5">
        <f>19132</f>
      </c>
      <c r="B19139" s="5" t="s">
        <v>19147</v>
      </c>
      <c r="C19139" s="5">
        <v>117.9</v>
      </c>
      <c r="D19139" s="5">
        <v>0.1</v>
      </c>
      <c r="E19139" s="5">
        <v>118</v>
      </c>
      <c r="F19139" s="5">
        <v>234.7</v>
      </c>
      <c r="G19139" s="5">
        <v>116.7</v>
      </c>
      <c r="H19139" s="5">
        <v>116.5</v>
      </c>
      <c r="I19139" s="5"/>
      <c r="J19139" s="5"/>
      <c r="K19139" s="5"/>
    </row>
    <row r="19140" spans="1:11" x14ac:dyDescent="0.25">
      <c r="A19140" s="5">
        <f>19133</f>
      </c>
      <c r="B19140" s="5" t="s">
        <v>19148</v>
      </c>
      <c r="C19140" s="5">
        <v>117.9</v>
      </c>
      <c r="D19140" s="5">
        <v>0.1</v>
      </c>
      <c r="E19140" s="5">
        <v>118</v>
      </c>
      <c r="F19140" s="5">
        <v>234.7</v>
      </c>
      <c r="G19140" s="5">
        <v>116.7</v>
      </c>
      <c r="H19140" s="5">
        <v>116.5</v>
      </c>
      <c r="I19140" s="5"/>
      <c r="J19140" s="5"/>
      <c r="K19140" s="5"/>
    </row>
    <row r="19141" spans="1:11" x14ac:dyDescent="0.25">
      <c r="A19141" s="5">
        <f>19134</f>
      </c>
      <c r="B19141" s="5" t="s">
        <v>19149</v>
      </c>
      <c r="C19141" s="5">
        <v>118.7</v>
      </c>
      <c r="D19141" s="5">
        <v>0.1</v>
      </c>
      <c r="E19141" s="5">
        <v>118.9</v>
      </c>
      <c r="F19141" s="5">
        <v>235.4</v>
      </c>
      <c r="G19141" s="5">
        <v>117.1</v>
      </c>
      <c r="H19141" s="5">
        <v>116.9</v>
      </c>
      <c r="I19141" s="5"/>
      <c r="J19141" s="5"/>
      <c r="K19141" s="5"/>
    </row>
    <row r="19142" spans="1:11" x14ac:dyDescent="0.25">
      <c r="A19142" s="5">
        <f>19135</f>
      </c>
      <c r="B19142" s="5" t="s">
        <v>19150</v>
      </c>
      <c r="C19142" s="5">
        <v>118.7</v>
      </c>
      <c r="D19142" s="5">
        <v>0.1</v>
      </c>
      <c r="E19142" s="5">
        <v>118.9</v>
      </c>
      <c r="F19142" s="5">
        <v>235.4</v>
      </c>
      <c r="G19142" s="5">
        <v>117.1</v>
      </c>
      <c r="H19142" s="5">
        <v>116.9</v>
      </c>
      <c r="I19142" s="5"/>
      <c r="J19142" s="5"/>
      <c r="K19142" s="5"/>
    </row>
    <row r="19143" spans="1:11" x14ac:dyDescent="0.25">
      <c r="A19143" s="5">
        <f>19136</f>
      </c>
      <c r="B19143" s="5" t="s">
        <v>19151</v>
      </c>
      <c r="C19143" s="5">
        <v>117.7</v>
      </c>
      <c r="D19143" s="5">
        <v>0.1</v>
      </c>
      <c r="E19143" s="5">
        <v>117.9</v>
      </c>
      <c r="F19143" s="5">
        <v>234.8</v>
      </c>
      <c r="G19143" s="5">
        <v>116.8</v>
      </c>
      <c r="H19143" s="5">
        <v>116.6</v>
      </c>
      <c r="I19143" s="5"/>
      <c r="J19143" s="5"/>
      <c r="K19143" s="5"/>
    </row>
    <row r="19144" spans="1:11" x14ac:dyDescent="0.25">
      <c r="A19144" s="5">
        <f>19137</f>
      </c>
      <c r="B19144" s="5" t="s">
        <v>19152</v>
      </c>
      <c r="C19144" s="5">
        <v>118.3</v>
      </c>
      <c r="D19144" s="5">
        <v>0.1</v>
      </c>
      <c r="E19144" s="5">
        <v>118.4</v>
      </c>
      <c r="F19144" s="5">
        <v>235.2</v>
      </c>
      <c r="G19144" s="5">
        <v>117</v>
      </c>
      <c r="H19144" s="5">
        <v>116.8</v>
      </c>
      <c r="I19144" s="5"/>
      <c r="J19144" s="5"/>
      <c r="K19144" s="5"/>
    </row>
    <row r="19145" spans="1:11" x14ac:dyDescent="0.25">
      <c r="A19145" s="5">
        <f>19138</f>
      </c>
      <c r="B19145" s="5" t="s">
        <v>19153</v>
      </c>
      <c r="C19145" s="5">
        <v>118.5</v>
      </c>
      <c r="D19145" s="5">
        <v>0.1</v>
      </c>
      <c r="E19145" s="5">
        <v>118.6</v>
      </c>
      <c r="F19145" s="5">
        <v>235.4</v>
      </c>
      <c r="G19145" s="5">
        <v>117</v>
      </c>
      <c r="H19145" s="5">
        <v>116.9</v>
      </c>
      <c r="I19145" s="5"/>
      <c r="J19145" s="5"/>
      <c r="K19145" s="5"/>
    </row>
    <row r="19146" spans="1:11" x14ac:dyDescent="0.25">
      <c r="A19146" s="5">
        <f>19139</f>
      </c>
      <c r="B19146" s="5" t="s">
        <v>19154</v>
      </c>
      <c r="C19146" s="5">
        <v>118.5</v>
      </c>
      <c r="D19146" s="5">
        <v>0.1</v>
      </c>
      <c r="E19146" s="5">
        <v>118.6</v>
      </c>
      <c r="F19146" s="5">
        <v>235.4</v>
      </c>
      <c r="G19146" s="5">
        <v>117</v>
      </c>
      <c r="H19146" s="5">
        <v>116.9</v>
      </c>
      <c r="I19146" s="5"/>
      <c r="J19146" s="5"/>
      <c r="K19146" s="5"/>
    </row>
    <row r="19147" spans="1:11" x14ac:dyDescent="0.25">
      <c r="A19147" s="5">
        <f>19140</f>
      </c>
      <c r="B19147" s="5" t="s">
        <v>19155</v>
      </c>
      <c r="C19147" s="5">
        <v>118.5</v>
      </c>
      <c r="D19147" s="5">
        <v>0.1</v>
      </c>
      <c r="E19147" s="5">
        <v>118.6</v>
      </c>
      <c r="F19147" s="5">
        <v>235.4</v>
      </c>
      <c r="G19147" s="5">
        <v>117</v>
      </c>
      <c r="H19147" s="5">
        <v>116.9</v>
      </c>
      <c r="I19147" s="5"/>
      <c r="J19147" s="5"/>
      <c r="K19147" s="5"/>
    </row>
    <row r="19148" spans="1:11" x14ac:dyDescent="0.25">
      <c r="A19148" s="5">
        <f>19141</f>
      </c>
      <c r="B19148" s="5" t="s">
        <v>19156</v>
      </c>
      <c r="C19148" s="5">
        <v>118.5</v>
      </c>
      <c r="D19148" s="5">
        <v>0.1</v>
      </c>
      <c r="E19148" s="5">
        <v>118.6</v>
      </c>
      <c r="F19148" s="5">
        <v>235.4</v>
      </c>
      <c r="G19148" s="5">
        <v>117</v>
      </c>
      <c r="H19148" s="5">
        <v>116.9</v>
      </c>
      <c r="I19148" s="5"/>
      <c r="J19148" s="5"/>
      <c r="K19148" s="5"/>
    </row>
    <row r="19149" spans="1:11" x14ac:dyDescent="0.25">
      <c r="A19149" s="5">
        <f>19142</f>
      </c>
      <c r="B19149" s="5" t="s">
        <v>19157</v>
      </c>
      <c r="C19149" s="5">
        <v>117.9</v>
      </c>
      <c r="D19149" s="5">
        <v>0.1</v>
      </c>
      <c r="E19149" s="5">
        <v>118</v>
      </c>
      <c r="F19149" s="5">
        <v>235.2</v>
      </c>
      <c r="G19149" s="5">
        <v>117</v>
      </c>
      <c r="H19149" s="5">
        <v>116.8</v>
      </c>
      <c r="I19149" s="5"/>
      <c r="J19149" s="5"/>
      <c r="K19149" s="5"/>
    </row>
    <row r="19150" spans="1:11" x14ac:dyDescent="0.25">
      <c r="A19150" s="5">
        <f>19143</f>
      </c>
      <c r="B19150" s="5" t="s">
        <v>19158</v>
      </c>
      <c r="C19150" s="5">
        <v>117.9</v>
      </c>
      <c r="D19150" s="5">
        <v>0.1</v>
      </c>
      <c r="E19150" s="5">
        <v>118</v>
      </c>
      <c r="F19150" s="5">
        <v>235.2</v>
      </c>
      <c r="G19150" s="5">
        <v>117</v>
      </c>
      <c r="H19150" s="5">
        <v>116.8</v>
      </c>
      <c r="I19150" s="5"/>
      <c r="J19150" s="5"/>
      <c r="K19150" s="5"/>
    </row>
    <row r="19151" spans="1:11" x14ac:dyDescent="0.25">
      <c r="A19151" s="5">
        <f>19144</f>
      </c>
      <c r="B19151" s="5" t="s">
        <v>19159</v>
      </c>
      <c r="C19151" s="5">
        <v>118.2</v>
      </c>
      <c r="D19151" s="5">
        <v>0.1</v>
      </c>
      <c r="E19151" s="5">
        <v>118.3</v>
      </c>
      <c r="F19151" s="5">
        <v>235.4</v>
      </c>
      <c r="G19151" s="5">
        <v>117</v>
      </c>
      <c r="H19151" s="5">
        <v>116.9</v>
      </c>
      <c r="I19151" s="5"/>
      <c r="J19151" s="5"/>
      <c r="K19151" s="5"/>
    </row>
    <row r="19152" spans="1:11" x14ac:dyDescent="0.25">
      <c r="A19152" s="5">
        <f>19145</f>
      </c>
      <c r="B19152" s="5" t="s">
        <v>19160</v>
      </c>
      <c r="C19152" s="5">
        <v>118.2</v>
      </c>
      <c r="D19152" s="5">
        <v>0.1</v>
      </c>
      <c r="E19152" s="5">
        <v>118.3</v>
      </c>
      <c r="F19152" s="5">
        <v>235.4</v>
      </c>
      <c r="G19152" s="5">
        <v>117</v>
      </c>
      <c r="H19152" s="5">
        <v>116.9</v>
      </c>
      <c r="I19152" s="5"/>
      <c r="J19152" s="5"/>
      <c r="K19152" s="5"/>
    </row>
    <row r="19153" spans="1:11" x14ac:dyDescent="0.25">
      <c r="A19153" s="5">
        <f>19146</f>
      </c>
      <c r="B19153" s="5" t="s">
        <v>19161</v>
      </c>
      <c r="C19153" s="5">
        <v>118.4</v>
      </c>
      <c r="D19153" s="5">
        <v>0.1</v>
      </c>
      <c r="E19153" s="5">
        <v>118.6</v>
      </c>
      <c r="F19153" s="5">
        <v>235</v>
      </c>
      <c r="G19153" s="5">
        <v>116.9</v>
      </c>
      <c r="H19153" s="5">
        <v>116.7</v>
      </c>
      <c r="I19153" s="5"/>
      <c r="J19153" s="5"/>
      <c r="K19153" s="5"/>
    </row>
    <row r="19154" spans="1:11" x14ac:dyDescent="0.25">
      <c r="A19154" s="5">
        <f>19147</f>
      </c>
      <c r="B19154" s="5" t="s">
        <v>19162</v>
      </c>
      <c r="C19154" s="5">
        <v>118.4</v>
      </c>
      <c r="D19154" s="5">
        <v>0.1</v>
      </c>
      <c r="E19154" s="5">
        <v>118.6</v>
      </c>
      <c r="F19154" s="5">
        <v>235</v>
      </c>
      <c r="G19154" s="5">
        <v>116.9</v>
      </c>
      <c r="H19154" s="5">
        <v>116.7</v>
      </c>
      <c r="I19154" s="5"/>
      <c r="J19154" s="5"/>
      <c r="K19154" s="5"/>
    </row>
    <row r="19155" spans="1:11" x14ac:dyDescent="0.25">
      <c r="A19155" s="5">
        <f>19148</f>
      </c>
      <c r="B19155" s="5" t="s">
        <v>19163</v>
      </c>
      <c r="C19155" s="5">
        <v>117.7</v>
      </c>
      <c r="D19155" s="5">
        <v>0.1</v>
      </c>
      <c r="E19155" s="5">
        <v>117.9</v>
      </c>
      <c r="F19155" s="5">
        <v>234.9</v>
      </c>
      <c r="G19155" s="5">
        <v>116.8</v>
      </c>
      <c r="H19155" s="5">
        <v>116.6</v>
      </c>
      <c r="I19155" s="5"/>
      <c r="J19155" s="5"/>
      <c r="K19155" s="5"/>
    </row>
    <row r="19156" spans="1:11" x14ac:dyDescent="0.25">
      <c r="A19156" s="5">
        <f>19149</f>
      </c>
      <c r="B19156" s="5" t="s">
        <v>19164</v>
      </c>
      <c r="C19156" s="5">
        <v>117.7</v>
      </c>
      <c r="D19156" s="5">
        <v>0.1</v>
      </c>
      <c r="E19156" s="5">
        <v>117.9</v>
      </c>
      <c r="F19156" s="5">
        <v>234.9</v>
      </c>
      <c r="G19156" s="5">
        <v>116.8</v>
      </c>
      <c r="H19156" s="5">
        <v>116.6</v>
      </c>
      <c r="I19156" s="5"/>
      <c r="J19156" s="5"/>
      <c r="K19156" s="5"/>
    </row>
    <row r="19157" spans="1:11" x14ac:dyDescent="0.25">
      <c r="A19157" s="5">
        <f>19150</f>
      </c>
      <c r="B19157" s="5" t="s">
        <v>19165</v>
      </c>
      <c r="C19157" s="5">
        <v>117.7</v>
      </c>
      <c r="D19157" s="5">
        <v>0.1</v>
      </c>
      <c r="E19157" s="5">
        <v>117.9</v>
      </c>
      <c r="F19157" s="5">
        <v>234.9</v>
      </c>
      <c r="G19157" s="5">
        <v>116.8</v>
      </c>
      <c r="H19157" s="5">
        <v>116.6</v>
      </c>
      <c r="I19157" s="5"/>
      <c r="J19157" s="5"/>
      <c r="K19157" s="5"/>
    </row>
    <row r="19158" spans="1:11" x14ac:dyDescent="0.25">
      <c r="A19158" s="5">
        <f>19151</f>
      </c>
      <c r="B19158" s="5" t="s">
        <v>19166</v>
      </c>
      <c r="C19158" s="5">
        <v>118.6</v>
      </c>
      <c r="D19158" s="5">
        <v>0.1</v>
      </c>
      <c r="E19158" s="5">
        <v>118.7</v>
      </c>
      <c r="F19158" s="5">
        <v>235.2</v>
      </c>
      <c r="G19158" s="5">
        <v>117</v>
      </c>
      <c r="H19158" s="5">
        <v>116.8</v>
      </c>
      <c r="I19158" s="5"/>
      <c r="J19158" s="5"/>
      <c r="K19158" s="5"/>
    </row>
    <row r="19159" spans="1:11" x14ac:dyDescent="0.25">
      <c r="A19159" s="5">
        <f>19152</f>
      </c>
      <c r="B19159" s="5" t="s">
        <v>19167</v>
      </c>
      <c r="C19159" s="5">
        <v>118.6</v>
      </c>
      <c r="D19159" s="5">
        <v>0.1</v>
      </c>
      <c r="E19159" s="5">
        <v>118.7</v>
      </c>
      <c r="F19159" s="5">
        <v>235.2</v>
      </c>
      <c r="G19159" s="5">
        <v>117</v>
      </c>
      <c r="H19159" s="5">
        <v>116.8</v>
      </c>
      <c r="I19159" s="5"/>
      <c r="J19159" s="5"/>
      <c r="K19159" s="5"/>
    </row>
    <row r="19160" spans="1:11" x14ac:dyDescent="0.25">
      <c r="A19160" s="5">
        <f>19153</f>
      </c>
      <c r="B19160" s="5" t="s">
        <v>19168</v>
      </c>
      <c r="C19160" s="5">
        <v>118.3</v>
      </c>
      <c r="D19160" s="5">
        <v>0.1</v>
      </c>
      <c r="E19160" s="5">
        <v>118.4</v>
      </c>
      <c r="F19160" s="5">
        <v>235.8</v>
      </c>
      <c r="G19160" s="5">
        <v>117.3</v>
      </c>
      <c r="H19160" s="5">
        <v>117.1</v>
      </c>
      <c r="I19160" s="5"/>
      <c r="J19160" s="5"/>
      <c r="K19160" s="5"/>
    </row>
    <row r="19161" spans="1:11" x14ac:dyDescent="0.25">
      <c r="A19161" s="5">
        <f>19154</f>
      </c>
      <c r="B19161" s="5" t="s">
        <v>19169</v>
      </c>
      <c r="C19161" s="5">
        <v>118.3</v>
      </c>
      <c r="D19161" s="5">
        <v>0.1</v>
      </c>
      <c r="E19161" s="5">
        <v>118.4</v>
      </c>
      <c r="F19161" s="5">
        <v>235.8</v>
      </c>
      <c r="G19161" s="5">
        <v>117.3</v>
      </c>
      <c r="H19161" s="5">
        <v>117.1</v>
      </c>
      <c r="I19161" s="5"/>
      <c r="J19161" s="5"/>
      <c r="K19161" s="5"/>
    </row>
    <row r="19162" spans="1:11" x14ac:dyDescent="0.25">
      <c r="A19162" s="5">
        <f>19155</f>
      </c>
      <c r="B19162" s="5" t="s">
        <v>19170</v>
      </c>
      <c r="C19162" s="5">
        <v>118.3</v>
      </c>
      <c r="D19162" s="5">
        <v>0.1</v>
      </c>
      <c r="E19162" s="5">
        <v>118.5</v>
      </c>
      <c r="F19162" s="5">
        <v>235.6</v>
      </c>
      <c r="G19162" s="5">
        <v>117.1</v>
      </c>
      <c r="H19162" s="5">
        <v>116.9</v>
      </c>
      <c r="I19162" s="5"/>
      <c r="J19162" s="5"/>
      <c r="K19162" s="5"/>
    </row>
    <row r="19163" spans="1:11" x14ac:dyDescent="0.25">
      <c r="A19163" s="5">
        <f>19156</f>
      </c>
      <c r="B19163" s="5" t="s">
        <v>19171</v>
      </c>
      <c r="C19163" s="5">
        <v>118.3</v>
      </c>
      <c r="D19163" s="5">
        <v>0.1</v>
      </c>
      <c r="E19163" s="5">
        <v>118.5</v>
      </c>
      <c r="F19163" s="5">
        <v>235.6</v>
      </c>
      <c r="G19163" s="5">
        <v>117.1</v>
      </c>
      <c r="H19163" s="5">
        <v>116.9</v>
      </c>
      <c r="I19163" s="5"/>
      <c r="J19163" s="5"/>
      <c r="K19163" s="5"/>
    </row>
    <row r="19164" spans="1:11" x14ac:dyDescent="0.25">
      <c r="A19164" s="5">
        <f>19157</f>
      </c>
      <c r="B19164" s="5" t="s">
        <v>19172</v>
      </c>
      <c r="C19164" s="5">
        <v>119.3</v>
      </c>
      <c r="D19164" s="5">
        <v>0.1</v>
      </c>
      <c r="E19164" s="5">
        <v>119.4</v>
      </c>
      <c r="F19164" s="5">
        <v>236.6</v>
      </c>
      <c r="G19164" s="5">
        <v>117.7</v>
      </c>
      <c r="H19164" s="5">
        <v>117.5</v>
      </c>
      <c r="I19164" s="5"/>
      <c r="J19164" s="5"/>
      <c r="K19164" s="5"/>
    </row>
    <row r="19165" spans="1:11" x14ac:dyDescent="0.25">
      <c r="A19165" s="5">
        <f>19158</f>
      </c>
      <c r="B19165" s="5" t="s">
        <v>19173</v>
      </c>
      <c r="C19165" s="5">
        <v>119.3</v>
      </c>
      <c r="D19165" s="5">
        <v>0.1</v>
      </c>
      <c r="E19165" s="5">
        <v>119.4</v>
      </c>
      <c r="F19165" s="5">
        <v>236.6</v>
      </c>
      <c r="G19165" s="5">
        <v>117.7</v>
      </c>
      <c r="H19165" s="5">
        <v>117.5</v>
      </c>
      <c r="I19165" s="5"/>
      <c r="J19165" s="5"/>
      <c r="K19165" s="5"/>
    </row>
    <row r="19166" spans="1:11" x14ac:dyDescent="0.25">
      <c r="A19166" s="5">
        <f>19159</f>
      </c>
      <c r="B19166" s="5" t="s">
        <v>19174</v>
      </c>
      <c r="C19166" s="5">
        <v>119.3</v>
      </c>
      <c r="D19166" s="5">
        <v>0.1</v>
      </c>
      <c r="E19166" s="5">
        <v>119.4</v>
      </c>
      <c r="F19166" s="5">
        <v>236.6</v>
      </c>
      <c r="G19166" s="5">
        <v>117.7</v>
      </c>
      <c r="H19166" s="5">
        <v>117.5</v>
      </c>
      <c r="I19166" s="5"/>
      <c r="J19166" s="5"/>
      <c r="K19166" s="5"/>
    </row>
    <row r="19167" spans="1:11" x14ac:dyDescent="0.25">
      <c r="A19167" s="5">
        <f>19160</f>
      </c>
      <c r="B19167" s="5" t="s">
        <v>19175</v>
      </c>
      <c r="C19167" s="5">
        <v>119.3</v>
      </c>
      <c r="D19167" s="5">
        <v>0.1</v>
      </c>
      <c r="E19167" s="5">
        <v>119.4</v>
      </c>
      <c r="F19167" s="5">
        <v>236.6</v>
      </c>
      <c r="G19167" s="5">
        <v>117.7</v>
      </c>
      <c r="H19167" s="5">
        <v>117.5</v>
      </c>
      <c r="I19167" s="5"/>
      <c r="J19167" s="5"/>
      <c r="K19167" s="5"/>
    </row>
    <row r="19168" spans="1:11" x14ac:dyDescent="0.25">
      <c r="A19168" s="5">
        <f>19161</f>
      </c>
      <c r="B19168" s="5" t="s">
        <v>19176</v>
      </c>
      <c r="C19168" s="5">
        <v>118.9</v>
      </c>
      <c r="D19168" s="5">
        <v>0.1</v>
      </c>
      <c r="E19168" s="5">
        <v>119</v>
      </c>
      <c r="F19168" s="5">
        <v>236.1</v>
      </c>
      <c r="G19168" s="5">
        <v>117.4</v>
      </c>
      <c r="H19168" s="5">
        <v>117.3</v>
      </c>
      <c r="I19168" s="5"/>
      <c r="J19168" s="5"/>
      <c r="K19168" s="5"/>
    </row>
    <row r="19169" spans="1:11" x14ac:dyDescent="0.25">
      <c r="A19169" s="5">
        <f>19162</f>
      </c>
      <c r="B19169" s="5" t="s">
        <v>19177</v>
      </c>
      <c r="C19169" s="5">
        <v>118.9</v>
      </c>
      <c r="D19169" s="5">
        <v>0.1</v>
      </c>
      <c r="E19169" s="5">
        <v>119</v>
      </c>
      <c r="F19169" s="5">
        <v>236.1</v>
      </c>
      <c r="G19169" s="5">
        <v>117.4</v>
      </c>
      <c r="H19169" s="5">
        <v>117.3</v>
      </c>
      <c r="I19169" s="5"/>
      <c r="J19169" s="5"/>
      <c r="K19169" s="5"/>
    </row>
    <row r="19170" spans="1:11" x14ac:dyDescent="0.25">
      <c r="A19170" s="5">
        <f>19163</f>
      </c>
      <c r="B19170" s="5" t="s">
        <v>19178</v>
      </c>
      <c r="C19170" s="5">
        <v>118.1</v>
      </c>
      <c r="D19170" s="5">
        <v>0.1</v>
      </c>
      <c r="E19170" s="5">
        <v>118.3</v>
      </c>
      <c r="F19170" s="5">
        <v>235.8</v>
      </c>
      <c r="G19170" s="5">
        <v>117.3</v>
      </c>
      <c r="H19170" s="5">
        <v>117.1</v>
      </c>
      <c r="I19170" s="5"/>
      <c r="J19170" s="5"/>
      <c r="K19170" s="5"/>
    </row>
    <row r="19171" spans="1:11" x14ac:dyDescent="0.25">
      <c r="A19171" s="5">
        <f>19164</f>
      </c>
      <c r="B19171" s="5" t="s">
        <v>19179</v>
      </c>
      <c r="C19171" s="5">
        <v>118.1</v>
      </c>
      <c r="D19171" s="5">
        <v>0.1</v>
      </c>
      <c r="E19171" s="5">
        <v>118.3</v>
      </c>
      <c r="F19171" s="5">
        <v>235.8</v>
      </c>
      <c r="G19171" s="5">
        <v>117.3</v>
      </c>
      <c r="H19171" s="5">
        <v>117.1</v>
      </c>
      <c r="I19171" s="5"/>
      <c r="J19171" s="5"/>
      <c r="K19171" s="5"/>
    </row>
    <row r="19172" spans="1:11" x14ac:dyDescent="0.25">
      <c r="A19172" s="5">
        <f>19165</f>
      </c>
      <c r="B19172" s="5" t="s">
        <v>19180</v>
      </c>
      <c r="C19172" s="5">
        <v>118.4</v>
      </c>
      <c r="D19172" s="5">
        <v>0.1</v>
      </c>
      <c r="E19172" s="5">
        <v>118.6</v>
      </c>
      <c r="F19172" s="5">
        <v>236.1</v>
      </c>
      <c r="G19172" s="5">
        <v>117.4</v>
      </c>
      <c r="H19172" s="5">
        <v>117.2</v>
      </c>
      <c r="I19172" s="5"/>
      <c r="J19172" s="5"/>
      <c r="K19172" s="5"/>
    </row>
    <row r="19173" spans="1:11" x14ac:dyDescent="0.25">
      <c r="A19173" s="5">
        <f>19166</f>
      </c>
      <c r="B19173" s="5" t="s">
        <v>19181</v>
      </c>
      <c r="C19173" s="5">
        <v>118.4</v>
      </c>
      <c r="D19173" s="5">
        <v>0.1</v>
      </c>
      <c r="E19173" s="5">
        <v>118.6</v>
      </c>
      <c r="F19173" s="5">
        <v>236.1</v>
      </c>
      <c r="G19173" s="5">
        <v>117.4</v>
      </c>
      <c r="H19173" s="5">
        <v>117.2</v>
      </c>
      <c r="I19173" s="5"/>
      <c r="J19173" s="5"/>
      <c r="K19173" s="5"/>
    </row>
    <row r="19174" spans="1:11" x14ac:dyDescent="0.25">
      <c r="A19174" s="5">
        <f>19167</f>
      </c>
      <c r="B19174" s="5" t="s">
        <v>19182</v>
      </c>
      <c r="C19174" s="5">
        <v>119.1</v>
      </c>
      <c r="D19174" s="5">
        <v>0.1</v>
      </c>
      <c r="E19174" s="5">
        <v>119.3</v>
      </c>
      <c r="F19174" s="5">
        <v>236.2</v>
      </c>
      <c r="G19174" s="5">
        <v>117.5</v>
      </c>
      <c r="H19174" s="5">
        <v>117.4</v>
      </c>
      <c r="I19174" s="5"/>
      <c r="J19174" s="5"/>
      <c r="K19174" s="5"/>
    </row>
    <row r="19175" spans="1:11" x14ac:dyDescent="0.25">
      <c r="A19175" s="5">
        <f>19168</f>
      </c>
      <c r="B19175" s="5" t="s">
        <v>19183</v>
      </c>
      <c r="C19175" s="5">
        <v>119.1</v>
      </c>
      <c r="D19175" s="5">
        <v>0.1</v>
      </c>
      <c r="E19175" s="5">
        <v>119.3</v>
      </c>
      <c r="F19175" s="5">
        <v>236.2</v>
      </c>
      <c r="G19175" s="5">
        <v>117.5</v>
      </c>
      <c r="H19175" s="5">
        <v>117.4</v>
      </c>
      <c r="I19175" s="5"/>
      <c r="J19175" s="5"/>
      <c r="K19175" s="5"/>
    </row>
    <row r="19176" spans="1:11" x14ac:dyDescent="0.25">
      <c r="A19176" s="5">
        <f>19169</f>
      </c>
      <c r="B19176" s="5" t="s">
        <v>19184</v>
      </c>
      <c r="C19176" s="5">
        <v>119.1</v>
      </c>
      <c r="D19176" s="5">
        <v>0.1</v>
      </c>
      <c r="E19176" s="5">
        <v>119.3</v>
      </c>
      <c r="F19176" s="5">
        <v>236.2</v>
      </c>
      <c r="G19176" s="5">
        <v>117.5</v>
      </c>
      <c r="H19176" s="5">
        <v>117.4</v>
      </c>
      <c r="I19176" s="5"/>
      <c r="J19176" s="5"/>
      <c r="K19176" s="5"/>
    </row>
    <row r="19177" spans="1:11" x14ac:dyDescent="0.25">
      <c r="A19177" s="5">
        <f>19170</f>
      </c>
      <c r="B19177" s="5" t="s">
        <v>19185</v>
      </c>
      <c r="C19177" s="5">
        <v>119.1</v>
      </c>
      <c r="D19177" s="5">
        <v>0.1</v>
      </c>
      <c r="E19177" s="5">
        <v>119.3</v>
      </c>
      <c r="F19177" s="5">
        <v>236.2</v>
      </c>
      <c r="G19177" s="5">
        <v>117.5</v>
      </c>
      <c r="H19177" s="5">
        <v>117.4</v>
      </c>
      <c r="I19177" s="5"/>
      <c r="J19177" s="5"/>
      <c r="K19177" s="5"/>
    </row>
    <row r="19178" spans="1:11" x14ac:dyDescent="0.25">
      <c r="A19178" s="5">
        <f>19171</f>
      </c>
      <c r="B19178" s="5" t="s">
        <v>19186</v>
      </c>
      <c r="C19178" s="5">
        <v>118.6</v>
      </c>
      <c r="D19178" s="5">
        <v>0.1</v>
      </c>
      <c r="E19178" s="5">
        <v>118.8</v>
      </c>
      <c r="F19178" s="5">
        <v>235.6</v>
      </c>
      <c r="G19178" s="5">
        <v>117.1</v>
      </c>
      <c r="H19178" s="5">
        <v>117</v>
      </c>
      <c r="I19178" s="5"/>
      <c r="J19178" s="5"/>
      <c r="K19178" s="5"/>
    </row>
    <row r="19179" spans="1:11" x14ac:dyDescent="0.25">
      <c r="A19179" s="5">
        <f>19172</f>
      </c>
      <c r="B19179" s="5" t="s">
        <v>19187</v>
      </c>
      <c r="C19179" s="5">
        <v>118.6</v>
      </c>
      <c r="D19179" s="5">
        <v>0.1</v>
      </c>
      <c r="E19179" s="5">
        <v>118.8</v>
      </c>
      <c r="F19179" s="5">
        <v>235.6</v>
      </c>
      <c r="G19179" s="5">
        <v>117.1</v>
      </c>
      <c r="H19179" s="5">
        <v>117</v>
      </c>
      <c r="I19179" s="5"/>
      <c r="J19179" s="5"/>
      <c r="K19179" s="5"/>
    </row>
    <row r="19180" spans="1:11" x14ac:dyDescent="0.25">
      <c r="A19180" s="5">
        <f>19173</f>
      </c>
      <c r="B19180" s="5" t="s">
        <v>19188</v>
      </c>
      <c r="C19180" s="5">
        <v>118.2</v>
      </c>
      <c r="D19180" s="5">
        <v>0.1</v>
      </c>
      <c r="E19180" s="5">
        <v>118.3</v>
      </c>
      <c r="F19180" s="5">
        <v>235.9</v>
      </c>
      <c r="G19180" s="5">
        <v>117.3</v>
      </c>
      <c r="H19180" s="5">
        <v>117.2</v>
      </c>
      <c r="I19180" s="5"/>
      <c r="J19180" s="5"/>
      <c r="K19180" s="5"/>
    </row>
    <row r="19181" spans="1:11" x14ac:dyDescent="0.25">
      <c r="A19181" s="5">
        <f>19174</f>
      </c>
      <c r="B19181" s="5" t="s">
        <v>19189</v>
      </c>
      <c r="C19181" s="5">
        <v>118.2</v>
      </c>
      <c r="D19181" s="5">
        <v>0.1</v>
      </c>
      <c r="E19181" s="5">
        <v>118.3</v>
      </c>
      <c r="F19181" s="5">
        <v>235.9</v>
      </c>
      <c r="G19181" s="5">
        <v>117.3</v>
      </c>
      <c r="H19181" s="5">
        <v>117.2</v>
      </c>
      <c r="I19181" s="5"/>
      <c r="J19181" s="5"/>
      <c r="K19181" s="5"/>
    </row>
    <row r="19182" spans="1:11" x14ac:dyDescent="0.25">
      <c r="A19182" s="5">
        <f>19175</f>
      </c>
      <c r="B19182" s="5" t="s">
        <v>19190</v>
      </c>
      <c r="C19182" s="5">
        <v>118.7</v>
      </c>
      <c r="D19182" s="5">
        <v>0.1</v>
      </c>
      <c r="E19182" s="5">
        <v>118.9</v>
      </c>
      <c r="F19182" s="5">
        <v>236.1</v>
      </c>
      <c r="G19182" s="5">
        <v>117.4</v>
      </c>
      <c r="H19182" s="5">
        <v>117.2</v>
      </c>
      <c r="I19182" s="5"/>
      <c r="J19182" s="5"/>
      <c r="K19182" s="5"/>
    </row>
    <row r="19183" spans="1:11" x14ac:dyDescent="0.25">
      <c r="A19183" s="5">
        <f>19176</f>
      </c>
      <c r="B19183" s="5" t="s">
        <v>19191</v>
      </c>
      <c r="C19183" s="5">
        <v>118.7</v>
      </c>
      <c r="D19183" s="5">
        <v>0.1</v>
      </c>
      <c r="E19183" s="5">
        <v>118.9</v>
      </c>
      <c r="F19183" s="5">
        <v>236.1</v>
      </c>
      <c r="G19183" s="5">
        <v>117.4</v>
      </c>
      <c r="H19183" s="5">
        <v>117.2</v>
      </c>
      <c r="I19183" s="5"/>
      <c r="J19183" s="5"/>
      <c r="K19183" s="5"/>
    </row>
    <row r="19184" spans="1:11" x14ac:dyDescent="0.25">
      <c r="A19184" s="5">
        <f>19177</f>
      </c>
      <c r="B19184" s="5" t="s">
        <v>19192</v>
      </c>
      <c r="C19184" s="5">
        <v>118.5</v>
      </c>
      <c r="D19184" s="5">
        <v>0.1</v>
      </c>
      <c r="E19184" s="5">
        <v>118.6</v>
      </c>
      <c r="F19184" s="5">
        <v>235.2</v>
      </c>
      <c r="G19184" s="5">
        <v>117</v>
      </c>
      <c r="H19184" s="5">
        <v>116.8</v>
      </c>
      <c r="I19184" s="5"/>
      <c r="J19184" s="5"/>
      <c r="K19184" s="5"/>
    </row>
    <row r="19185" spans="1:11" x14ac:dyDescent="0.25">
      <c r="A19185" s="5">
        <f>19178</f>
      </c>
      <c r="B19185" s="5" t="s">
        <v>19193</v>
      </c>
      <c r="C19185" s="5">
        <v>118.5</v>
      </c>
      <c r="D19185" s="5">
        <v>0.1</v>
      </c>
      <c r="E19185" s="5">
        <v>118.6</v>
      </c>
      <c r="F19185" s="5">
        <v>235.2</v>
      </c>
      <c r="G19185" s="5">
        <v>117</v>
      </c>
      <c r="H19185" s="5">
        <v>116.8</v>
      </c>
      <c r="I19185" s="5"/>
      <c r="J19185" s="5"/>
      <c r="K19185" s="5"/>
    </row>
    <row r="19186" spans="1:11" x14ac:dyDescent="0.25">
      <c r="A19186" s="5">
        <f>19179</f>
      </c>
      <c r="B19186" s="5" t="s">
        <v>19194</v>
      </c>
      <c r="C19186" s="5">
        <v>118.5</v>
      </c>
      <c r="D19186" s="5">
        <v>0.1</v>
      </c>
      <c r="E19186" s="5">
        <v>118.6</v>
      </c>
      <c r="F19186" s="5">
        <v>235.2</v>
      </c>
      <c r="G19186" s="5">
        <v>117</v>
      </c>
      <c r="H19186" s="5">
        <v>116.8</v>
      </c>
      <c r="I19186" s="5"/>
      <c r="J19186" s="5"/>
      <c r="K19186" s="5"/>
    </row>
    <row r="19187" spans="1:11" x14ac:dyDescent="0.25">
      <c r="A19187" s="5">
        <f>19180</f>
      </c>
      <c r="B19187" s="5" t="s">
        <v>19195</v>
      </c>
      <c r="C19187" s="5">
        <v>118.5</v>
      </c>
      <c r="D19187" s="5">
        <v>0.1</v>
      </c>
      <c r="E19187" s="5">
        <v>118.6</v>
      </c>
      <c r="F19187" s="5">
        <v>235.2</v>
      </c>
      <c r="G19187" s="5">
        <v>117</v>
      </c>
      <c r="H19187" s="5">
        <v>116.8</v>
      </c>
      <c r="I19187" s="5"/>
      <c r="J19187" s="5"/>
      <c r="K19187" s="5"/>
    </row>
    <row r="19188" spans="1:11" x14ac:dyDescent="0.25">
      <c r="A19188" s="5">
        <f>19181</f>
      </c>
      <c r="B19188" s="5" t="s">
        <v>19196</v>
      </c>
      <c r="C19188" s="5">
        <v>118.4</v>
      </c>
      <c r="D19188" s="5">
        <v>0.1</v>
      </c>
      <c r="E19188" s="5">
        <v>118.6</v>
      </c>
      <c r="F19188" s="5">
        <v>235.6</v>
      </c>
      <c r="G19188" s="5">
        <v>117.1</v>
      </c>
      <c r="H19188" s="5">
        <v>117</v>
      </c>
      <c r="I19188" s="5"/>
      <c r="J19188" s="5"/>
      <c r="K19188" s="5"/>
    </row>
    <row r="19189" spans="1:11" x14ac:dyDescent="0.25">
      <c r="A19189" s="5">
        <f>19182</f>
      </c>
      <c r="B19189" s="5" t="s">
        <v>19197</v>
      </c>
      <c r="C19189" s="5">
        <v>118.4</v>
      </c>
      <c r="D19189" s="5">
        <v>0.1</v>
      </c>
      <c r="E19189" s="5">
        <v>118.6</v>
      </c>
      <c r="F19189" s="5">
        <v>235.6</v>
      </c>
      <c r="G19189" s="5">
        <v>117.1</v>
      </c>
      <c r="H19189" s="5">
        <v>117</v>
      </c>
      <c r="I19189" s="5"/>
      <c r="J19189" s="5"/>
      <c r="K19189" s="5"/>
    </row>
    <row r="19190" spans="1:11" x14ac:dyDescent="0.25">
      <c r="A19190" s="5">
        <f>19183</f>
      </c>
      <c r="B19190" s="5" t="s">
        <v>19198</v>
      </c>
      <c r="C19190" s="5">
        <v>118.6</v>
      </c>
      <c r="D19190" s="5">
        <v>0.1</v>
      </c>
      <c r="E19190" s="5">
        <v>118.7</v>
      </c>
      <c r="F19190" s="5">
        <v>235.8</v>
      </c>
      <c r="G19190" s="5">
        <v>117.3</v>
      </c>
      <c r="H19190" s="5">
        <v>117.1</v>
      </c>
      <c r="I19190" s="5"/>
      <c r="J19190" s="5"/>
      <c r="K19190" s="5"/>
    </row>
    <row r="19191" spans="1:11" x14ac:dyDescent="0.25">
      <c r="A19191" s="5">
        <f>19184</f>
      </c>
      <c r="B19191" s="5" t="s">
        <v>19199</v>
      </c>
      <c r="C19191" s="5">
        <v>118.6</v>
      </c>
      <c r="D19191" s="5">
        <v>0.1</v>
      </c>
      <c r="E19191" s="5">
        <v>118.7</v>
      </c>
      <c r="F19191" s="5">
        <v>235.8</v>
      </c>
      <c r="G19191" s="5">
        <v>117.3</v>
      </c>
      <c r="H19191" s="5">
        <v>117.1</v>
      </c>
      <c r="I19191" s="5"/>
      <c r="J19191" s="5"/>
      <c r="K19191" s="5"/>
    </row>
    <row r="19192" spans="1:11" x14ac:dyDescent="0.25">
      <c r="A19192" s="5">
        <f>19185</f>
      </c>
      <c r="B19192" s="5" t="s">
        <v>19200</v>
      </c>
      <c r="C19192" s="5">
        <v>118.5</v>
      </c>
      <c r="D19192" s="5">
        <v>0.1</v>
      </c>
      <c r="E19192" s="5">
        <v>118.7</v>
      </c>
      <c r="F19192" s="5">
        <v>235.9</v>
      </c>
      <c r="G19192" s="5">
        <v>117.3</v>
      </c>
      <c r="H19192" s="5">
        <v>117.2</v>
      </c>
      <c r="I19192" s="5"/>
      <c r="J19192" s="5"/>
      <c r="K19192" s="5"/>
    </row>
    <row r="19193" spans="1:11" x14ac:dyDescent="0.25">
      <c r="A19193" s="5">
        <f>19186</f>
      </c>
      <c r="B19193" s="5" t="s">
        <v>19201</v>
      </c>
      <c r="C19193" s="5">
        <v>118.5</v>
      </c>
      <c r="D19193" s="5">
        <v>0.1</v>
      </c>
      <c r="E19193" s="5">
        <v>118.7</v>
      </c>
      <c r="F19193" s="5">
        <v>235.9</v>
      </c>
      <c r="G19193" s="5">
        <v>117.3</v>
      </c>
      <c r="H19193" s="5">
        <v>117.2</v>
      </c>
      <c r="I19193" s="5"/>
      <c r="J19193" s="5"/>
      <c r="K19193" s="5"/>
    </row>
    <row r="19194" spans="1:11" x14ac:dyDescent="0.25">
      <c r="A19194" s="5">
        <f>19187</f>
      </c>
      <c r="B19194" s="5" t="s">
        <v>19202</v>
      </c>
      <c r="C19194" s="5">
        <v>118.5</v>
      </c>
      <c r="D19194" s="5">
        <v>0.1</v>
      </c>
      <c r="E19194" s="5">
        <v>118.6</v>
      </c>
      <c r="F19194" s="5">
        <v>235.6</v>
      </c>
      <c r="G19194" s="5">
        <v>117.2</v>
      </c>
      <c r="H19194" s="5">
        <v>117</v>
      </c>
      <c r="I19194" s="5"/>
      <c r="J19194" s="5"/>
      <c r="K19194" s="5"/>
    </row>
    <row r="19195" spans="1:11" x14ac:dyDescent="0.25">
      <c r="A19195" s="5">
        <f>19188</f>
      </c>
      <c r="B19195" s="5" t="s">
        <v>19203</v>
      </c>
      <c r="C19195" s="5">
        <v>118.5</v>
      </c>
      <c r="D19195" s="5">
        <v>0.1</v>
      </c>
      <c r="E19195" s="5">
        <v>118.6</v>
      </c>
      <c r="F19195" s="5">
        <v>235.6</v>
      </c>
      <c r="G19195" s="5">
        <v>117.2</v>
      </c>
      <c r="H19195" s="5">
        <v>117</v>
      </c>
      <c r="I19195" s="5"/>
      <c r="J19195" s="5"/>
      <c r="K19195" s="5"/>
    </row>
    <row r="19196" spans="1:11" x14ac:dyDescent="0.25">
      <c r="A19196" s="5">
        <f>19189</f>
      </c>
      <c r="B19196" s="5" t="s">
        <v>19204</v>
      </c>
      <c r="C19196" s="5">
        <v>118.5</v>
      </c>
      <c r="D19196" s="5">
        <v>0.1</v>
      </c>
      <c r="E19196" s="5">
        <v>118.6</v>
      </c>
      <c r="F19196" s="5">
        <v>235.6</v>
      </c>
      <c r="G19196" s="5">
        <v>117.2</v>
      </c>
      <c r="H19196" s="5">
        <v>117</v>
      </c>
      <c r="I19196" s="5"/>
      <c r="J19196" s="5"/>
      <c r="K19196" s="5"/>
    </row>
    <row r="19197" spans="1:11" x14ac:dyDescent="0.25">
      <c r="A19197" s="5">
        <f>19190</f>
      </c>
      <c r="B19197" s="5" t="s">
        <v>19205</v>
      </c>
      <c r="C19197" s="5">
        <v>118.5</v>
      </c>
      <c r="D19197" s="5">
        <v>0.1</v>
      </c>
      <c r="E19197" s="5">
        <v>118.6</v>
      </c>
      <c r="F19197" s="5">
        <v>235.6</v>
      </c>
      <c r="G19197" s="5">
        <v>117.2</v>
      </c>
      <c r="H19197" s="5">
        <v>117</v>
      </c>
      <c r="I19197" s="5"/>
      <c r="J19197" s="5"/>
      <c r="K19197" s="5"/>
    </row>
    <row r="19198" spans="1:11" x14ac:dyDescent="0.25">
      <c r="A19198" s="5">
        <f>19191</f>
      </c>
      <c r="B19198" s="5" t="s">
        <v>19206</v>
      </c>
      <c r="C19198" s="5">
        <v>118.6</v>
      </c>
      <c r="D19198" s="5">
        <v>0.1</v>
      </c>
      <c r="E19198" s="5">
        <v>118.7</v>
      </c>
      <c r="F19198" s="5">
        <v>236</v>
      </c>
      <c r="G19198" s="5">
        <v>117.3</v>
      </c>
      <c r="H19198" s="5">
        <v>117.1</v>
      </c>
      <c r="I19198" s="5"/>
      <c r="J19198" s="5"/>
      <c r="K19198" s="5"/>
    </row>
    <row r="19199" spans="1:11" x14ac:dyDescent="0.25">
      <c r="A19199" s="5">
        <f>19192</f>
      </c>
      <c r="B19199" s="5" t="s">
        <v>19207</v>
      </c>
      <c r="C19199" s="5">
        <v>118.6</v>
      </c>
      <c r="D19199" s="5">
        <v>0.1</v>
      </c>
      <c r="E19199" s="5">
        <v>118.7</v>
      </c>
      <c r="F19199" s="5">
        <v>236</v>
      </c>
      <c r="G19199" s="5">
        <v>117.3</v>
      </c>
      <c r="H19199" s="5">
        <v>117.1</v>
      </c>
      <c r="I19199" s="5"/>
      <c r="J19199" s="5"/>
      <c r="K19199" s="5"/>
    </row>
    <row r="19200" spans="1:11" x14ac:dyDescent="0.25">
      <c r="A19200" s="5">
        <f>19193</f>
      </c>
      <c r="B19200" s="5" t="s">
        <v>19208</v>
      </c>
      <c r="C19200" s="5">
        <v>118.3</v>
      </c>
      <c r="D19200" s="5">
        <v>0.1</v>
      </c>
      <c r="E19200" s="5">
        <v>118.5</v>
      </c>
      <c r="F19200" s="5">
        <v>235.1</v>
      </c>
      <c r="G19200" s="5">
        <v>116.9</v>
      </c>
      <c r="H19200" s="5">
        <v>116.7</v>
      </c>
      <c r="I19200" s="5"/>
      <c r="J19200" s="5"/>
      <c r="K19200" s="5"/>
    </row>
    <row r="19201" spans="1:11" x14ac:dyDescent="0.25">
      <c r="A19201" s="5">
        <f>19194</f>
      </c>
      <c r="B19201" s="5" t="s">
        <v>19209</v>
      </c>
      <c r="C19201" s="5">
        <v>118.3</v>
      </c>
      <c r="D19201" s="5">
        <v>0.1</v>
      </c>
      <c r="E19201" s="5">
        <v>118.5</v>
      </c>
      <c r="F19201" s="5">
        <v>235.1</v>
      </c>
      <c r="G19201" s="5">
        <v>116.9</v>
      </c>
      <c r="H19201" s="5">
        <v>116.7</v>
      </c>
      <c r="I19201" s="5"/>
      <c r="J19201" s="5"/>
      <c r="K19201" s="5"/>
    </row>
    <row r="19202" spans="1:11" x14ac:dyDescent="0.25">
      <c r="A19202" s="5">
        <f>19195</f>
      </c>
      <c r="B19202" s="5" t="s">
        <v>19210</v>
      </c>
      <c r="C19202" s="5">
        <v>118</v>
      </c>
      <c r="D19202" s="5">
        <v>0.1</v>
      </c>
      <c r="E19202" s="5">
        <v>118.3</v>
      </c>
      <c r="F19202" s="5">
        <v>235.1</v>
      </c>
      <c r="G19202" s="5">
        <v>116.9</v>
      </c>
      <c r="H19202" s="5">
        <v>116.7</v>
      </c>
      <c r="I19202" s="5"/>
      <c r="J19202" s="5"/>
      <c r="K19202" s="5"/>
    </row>
    <row r="19203" spans="1:11" x14ac:dyDescent="0.25">
      <c r="A19203" s="5">
        <f>19196</f>
      </c>
      <c r="B19203" s="5" t="s">
        <v>19211</v>
      </c>
      <c r="C19203" s="5">
        <v>118</v>
      </c>
      <c r="D19203" s="5">
        <v>0.1</v>
      </c>
      <c r="E19203" s="5">
        <v>118.3</v>
      </c>
      <c r="F19203" s="5">
        <v>235.1</v>
      </c>
      <c r="G19203" s="5">
        <v>116.9</v>
      </c>
      <c r="H19203" s="5">
        <v>116.7</v>
      </c>
      <c r="I19203" s="5"/>
      <c r="J19203" s="5"/>
      <c r="K19203" s="5"/>
    </row>
    <row r="19204" spans="1:11" x14ac:dyDescent="0.25">
      <c r="A19204" s="5">
        <f>19197</f>
      </c>
      <c r="B19204" s="5" t="s">
        <v>19212</v>
      </c>
      <c r="C19204" s="5">
        <v>118</v>
      </c>
      <c r="D19204" s="5">
        <v>0.1</v>
      </c>
      <c r="E19204" s="5">
        <v>118.2</v>
      </c>
      <c r="F19204" s="5">
        <v>234.9</v>
      </c>
      <c r="G19204" s="5">
        <v>116.8</v>
      </c>
      <c r="H19204" s="5">
        <v>116.7</v>
      </c>
      <c r="I19204" s="5"/>
      <c r="J19204" s="5"/>
      <c r="K19204" s="5"/>
    </row>
    <row r="19205" spans="1:11" x14ac:dyDescent="0.25">
      <c r="A19205" s="5">
        <f>19198</f>
      </c>
      <c r="B19205" s="5" t="s">
        <v>19213</v>
      </c>
      <c r="C19205" s="5">
        <v>118</v>
      </c>
      <c r="D19205" s="5">
        <v>0.1</v>
      </c>
      <c r="E19205" s="5">
        <v>118.2</v>
      </c>
      <c r="F19205" s="5">
        <v>234.9</v>
      </c>
      <c r="G19205" s="5">
        <v>116.8</v>
      </c>
      <c r="H19205" s="5">
        <v>116.7</v>
      </c>
      <c r="I19205" s="5"/>
      <c r="J19205" s="5"/>
      <c r="K19205" s="5"/>
    </row>
    <row r="19206" spans="1:11" x14ac:dyDescent="0.25">
      <c r="A19206" s="5">
        <f>19199</f>
      </c>
      <c r="B19206" s="5" t="s">
        <v>19214</v>
      </c>
      <c r="C19206" s="5">
        <v>118</v>
      </c>
      <c r="D19206" s="5">
        <v>0.1</v>
      </c>
      <c r="E19206" s="5">
        <v>118.2</v>
      </c>
      <c r="F19206" s="5">
        <v>234.9</v>
      </c>
      <c r="G19206" s="5">
        <v>116.8</v>
      </c>
      <c r="H19206" s="5">
        <v>116.7</v>
      </c>
      <c r="I19206" s="5"/>
      <c r="J19206" s="5"/>
      <c r="K19206" s="5"/>
    </row>
    <row r="19207" spans="1:11" x14ac:dyDescent="0.25">
      <c r="A19207" s="5">
        <f>19200</f>
      </c>
      <c r="B19207" s="5" t="s">
        <v>19215</v>
      </c>
      <c r="C19207" s="5">
        <v>118</v>
      </c>
      <c r="D19207" s="5">
        <v>0.1</v>
      </c>
      <c r="E19207" s="5">
        <v>118.2</v>
      </c>
      <c r="F19207" s="5">
        <v>234.9</v>
      </c>
      <c r="G19207" s="5">
        <v>116.8</v>
      </c>
      <c r="H19207" s="5">
        <v>116.7</v>
      </c>
      <c r="I19207" s="5"/>
      <c r="J19207" s="5"/>
      <c r="K19207" s="5"/>
    </row>
    <row r="19208" spans="1:11" x14ac:dyDescent="0.25">
      <c r="A19208" s="5">
        <f>19201</f>
      </c>
      <c r="B19208" s="5" t="s">
        <v>19216</v>
      </c>
      <c r="C19208" s="5">
        <v>117.8</v>
      </c>
      <c r="D19208" s="5">
        <v>0.1</v>
      </c>
      <c r="E19208" s="5">
        <v>118</v>
      </c>
      <c r="F19208" s="5">
        <v>234.7</v>
      </c>
      <c r="G19208" s="5">
        <v>116.7</v>
      </c>
      <c r="H19208" s="5">
        <v>116.5</v>
      </c>
      <c r="I19208" s="5"/>
      <c r="J19208" s="5"/>
      <c r="K19208" s="5"/>
    </row>
    <row r="19209" spans="1:11" x14ac:dyDescent="0.25">
      <c r="A19209" s="5">
        <f>19202</f>
      </c>
      <c r="B19209" s="5" t="s">
        <v>19217</v>
      </c>
      <c r="C19209" s="5">
        <v>117.8</v>
      </c>
      <c r="D19209" s="5">
        <v>0.1</v>
      </c>
      <c r="E19209" s="5">
        <v>118</v>
      </c>
      <c r="F19209" s="5">
        <v>234.7</v>
      </c>
      <c r="G19209" s="5">
        <v>116.7</v>
      </c>
      <c r="H19209" s="5">
        <v>116.5</v>
      </c>
      <c r="I19209" s="5"/>
      <c r="J19209" s="5"/>
      <c r="K19209" s="5"/>
    </row>
    <row r="19210" spans="1:11" x14ac:dyDescent="0.25">
      <c r="A19210" s="5">
        <f>19203</f>
      </c>
      <c r="B19210" s="5" t="s">
        <v>19218</v>
      </c>
      <c r="C19210" s="5">
        <v>118.1</v>
      </c>
      <c r="D19210" s="5">
        <v>0.1</v>
      </c>
      <c r="E19210" s="5">
        <v>118.3</v>
      </c>
      <c r="F19210" s="5">
        <v>234.8</v>
      </c>
      <c r="G19210" s="5">
        <v>116.8</v>
      </c>
      <c r="H19210" s="5">
        <v>116.6</v>
      </c>
      <c r="I19210" s="5"/>
      <c r="J19210" s="5"/>
      <c r="K19210" s="5"/>
    </row>
    <row r="19211" spans="1:11" x14ac:dyDescent="0.25">
      <c r="A19211" s="5">
        <f>19204</f>
      </c>
      <c r="B19211" s="5" t="s">
        <v>19219</v>
      </c>
      <c r="C19211" s="5">
        <v>118.1</v>
      </c>
      <c r="D19211" s="5">
        <v>0.1</v>
      </c>
      <c r="E19211" s="5">
        <v>118.3</v>
      </c>
      <c r="F19211" s="5">
        <v>234.8</v>
      </c>
      <c r="G19211" s="5">
        <v>116.8</v>
      </c>
      <c r="H19211" s="5">
        <v>116.6</v>
      </c>
      <c r="I19211" s="5"/>
      <c r="J19211" s="5"/>
      <c r="K19211" s="5"/>
    </row>
    <row r="19212" spans="1:11" x14ac:dyDescent="0.25">
      <c r="A19212" s="5">
        <f>19205</f>
      </c>
      <c r="B19212" s="5" t="s">
        <v>19220</v>
      </c>
      <c r="C19212" s="5">
        <v>117.8</v>
      </c>
      <c r="D19212" s="5">
        <v>0.1</v>
      </c>
      <c r="E19212" s="5">
        <v>118</v>
      </c>
      <c r="F19212" s="5">
        <v>234.3</v>
      </c>
      <c r="G19212" s="5">
        <v>116.5</v>
      </c>
      <c r="H19212" s="5">
        <v>116.3</v>
      </c>
      <c r="I19212" s="5"/>
      <c r="J19212" s="5"/>
      <c r="K19212" s="5"/>
    </row>
    <row r="19213" spans="1:11" x14ac:dyDescent="0.25">
      <c r="A19213" s="5">
        <f>19206</f>
      </c>
      <c r="B19213" s="5" t="s">
        <v>19221</v>
      </c>
      <c r="C19213" s="5">
        <v>117.8</v>
      </c>
      <c r="D19213" s="5">
        <v>0.1</v>
      </c>
      <c r="E19213" s="5">
        <v>118</v>
      </c>
      <c r="F19213" s="5">
        <v>234.3</v>
      </c>
      <c r="G19213" s="5">
        <v>116.5</v>
      </c>
      <c r="H19213" s="5">
        <v>116.3</v>
      </c>
      <c r="I19213" s="5"/>
      <c r="J19213" s="5"/>
      <c r="K19213" s="5"/>
    </row>
    <row r="19214" spans="1:11" x14ac:dyDescent="0.25">
      <c r="A19214" s="5">
        <f>19207</f>
      </c>
      <c r="B19214" s="5" t="s">
        <v>19222</v>
      </c>
      <c r="C19214" s="5">
        <v>118</v>
      </c>
      <c r="D19214" s="5">
        <v>0.1</v>
      </c>
      <c r="E19214" s="5">
        <v>118.2</v>
      </c>
      <c r="F19214" s="5">
        <v>234.9</v>
      </c>
      <c r="G19214" s="5">
        <v>116.8</v>
      </c>
      <c r="H19214" s="5">
        <v>116.6</v>
      </c>
      <c r="I19214" s="5"/>
      <c r="J19214" s="5"/>
      <c r="K19214" s="5"/>
    </row>
    <row r="19215" spans="1:11" x14ac:dyDescent="0.25">
      <c r="A19215" s="5">
        <f>19208</f>
      </c>
      <c r="B19215" s="5" t="s">
        <v>19223</v>
      </c>
      <c r="C19215" s="5">
        <v>118</v>
      </c>
      <c r="D19215" s="5">
        <v>0.1</v>
      </c>
      <c r="E19215" s="5">
        <v>118.2</v>
      </c>
      <c r="F19215" s="5">
        <v>234.9</v>
      </c>
      <c r="G19215" s="5">
        <v>116.8</v>
      </c>
      <c r="H19215" s="5">
        <v>116.6</v>
      </c>
      <c r="I19215" s="5"/>
      <c r="J19215" s="5"/>
      <c r="K19215" s="5"/>
    </row>
    <row r="19216" spans="1:11" x14ac:dyDescent="0.25">
      <c r="A19216" s="5">
        <f>19209</f>
      </c>
      <c r="B19216" s="5" t="s">
        <v>19224</v>
      </c>
      <c r="C19216" s="5">
        <v>118</v>
      </c>
      <c r="D19216" s="5">
        <v>0.1</v>
      </c>
      <c r="E19216" s="5">
        <v>118.2</v>
      </c>
      <c r="F19216" s="5">
        <v>234.9</v>
      </c>
      <c r="G19216" s="5">
        <v>116.8</v>
      </c>
      <c r="H19216" s="5">
        <v>116.6</v>
      </c>
      <c r="I19216" s="5"/>
      <c r="J19216" s="5"/>
      <c r="K19216" s="5"/>
    </row>
    <row r="19217" spans="1:11" x14ac:dyDescent="0.25">
      <c r="A19217" s="5">
        <f>19210</f>
      </c>
      <c r="B19217" s="5" t="s">
        <v>19225</v>
      </c>
      <c r="C19217" s="5">
        <v>118</v>
      </c>
      <c r="D19217" s="5">
        <v>0.1</v>
      </c>
      <c r="E19217" s="5">
        <v>118.2</v>
      </c>
      <c r="F19217" s="5">
        <v>234.9</v>
      </c>
      <c r="G19217" s="5">
        <v>116.8</v>
      </c>
      <c r="H19217" s="5">
        <v>116.6</v>
      </c>
      <c r="I19217" s="5"/>
      <c r="J19217" s="5"/>
      <c r="K19217" s="5"/>
    </row>
    <row r="19218" spans="1:11" x14ac:dyDescent="0.25">
      <c r="A19218" s="5">
        <f>19211</f>
      </c>
      <c r="B19218" s="5" t="s">
        <v>19226</v>
      </c>
      <c r="C19218" s="5">
        <v>118</v>
      </c>
      <c r="D19218" s="5">
        <v>0.1</v>
      </c>
      <c r="E19218" s="5">
        <v>118.1</v>
      </c>
      <c r="F19218" s="5">
        <v>234.9</v>
      </c>
      <c r="G19218" s="5">
        <v>116.8</v>
      </c>
      <c r="H19218" s="5">
        <v>116.6</v>
      </c>
      <c r="I19218" s="5"/>
      <c r="J19218" s="5"/>
      <c r="K19218" s="5"/>
    </row>
    <row r="19219" spans="1:11" x14ac:dyDescent="0.25">
      <c r="A19219" s="5">
        <f>19212</f>
      </c>
      <c r="B19219" s="5" t="s">
        <v>19227</v>
      </c>
      <c r="C19219" s="5">
        <v>118</v>
      </c>
      <c r="D19219" s="5">
        <v>0.1</v>
      </c>
      <c r="E19219" s="5">
        <v>118.1</v>
      </c>
      <c r="F19219" s="5">
        <v>234.9</v>
      </c>
      <c r="G19219" s="5">
        <v>116.8</v>
      </c>
      <c r="H19219" s="5">
        <v>116.6</v>
      </c>
      <c r="I19219" s="5"/>
      <c r="J19219" s="5"/>
      <c r="K19219" s="5"/>
    </row>
    <row r="19220" spans="1:11" x14ac:dyDescent="0.25">
      <c r="A19220" s="5">
        <f>19213</f>
      </c>
      <c r="B19220" s="5" t="s">
        <v>19228</v>
      </c>
      <c r="C19220" s="5">
        <v>118.3</v>
      </c>
      <c r="D19220" s="5">
        <v>0.1</v>
      </c>
      <c r="E19220" s="5">
        <v>118.5</v>
      </c>
      <c r="F19220" s="5">
        <v>235</v>
      </c>
      <c r="G19220" s="5">
        <v>116.9</v>
      </c>
      <c r="H19220" s="5">
        <v>116.7</v>
      </c>
      <c r="I19220" s="5"/>
      <c r="J19220" s="5"/>
      <c r="K19220" s="5"/>
    </row>
    <row r="19221" spans="1:11" x14ac:dyDescent="0.25">
      <c r="A19221" s="5">
        <f>19214</f>
      </c>
      <c r="B19221" s="5" t="s">
        <v>19229</v>
      </c>
      <c r="C19221" s="5">
        <v>118.3</v>
      </c>
      <c r="D19221" s="5">
        <v>0.1</v>
      </c>
      <c r="E19221" s="5">
        <v>118.5</v>
      </c>
      <c r="F19221" s="5">
        <v>235</v>
      </c>
      <c r="G19221" s="5">
        <v>116.9</v>
      </c>
      <c r="H19221" s="5">
        <v>116.7</v>
      </c>
      <c r="I19221" s="5"/>
      <c r="J19221" s="5"/>
      <c r="K19221" s="5"/>
    </row>
    <row r="19222" spans="1:11" x14ac:dyDescent="0.25">
      <c r="A19222" s="5">
        <f>19215</f>
      </c>
      <c r="B19222" s="5" t="s">
        <v>19230</v>
      </c>
      <c r="C19222" s="5">
        <v>118.3</v>
      </c>
      <c r="D19222" s="5">
        <v>0.1</v>
      </c>
      <c r="E19222" s="5">
        <v>118.5</v>
      </c>
      <c r="F19222" s="5">
        <v>234.8</v>
      </c>
      <c r="G19222" s="5">
        <v>116.8</v>
      </c>
      <c r="H19222" s="5">
        <v>116.6</v>
      </c>
      <c r="I19222" s="5"/>
      <c r="J19222" s="5"/>
      <c r="K19222" s="5"/>
    </row>
    <row r="19223" spans="1:11" x14ac:dyDescent="0.25">
      <c r="A19223" s="5">
        <f>19216</f>
      </c>
      <c r="B19223" s="5" t="s">
        <v>19231</v>
      </c>
      <c r="C19223" s="5">
        <v>118.3</v>
      </c>
      <c r="D19223" s="5">
        <v>0.1</v>
      </c>
      <c r="E19223" s="5">
        <v>118.5</v>
      </c>
      <c r="F19223" s="5">
        <v>234.8</v>
      </c>
      <c r="G19223" s="5">
        <v>116.8</v>
      </c>
      <c r="H19223" s="5">
        <v>116.6</v>
      </c>
      <c r="I19223" s="5"/>
      <c r="J19223" s="5"/>
      <c r="K19223" s="5"/>
    </row>
    <row r="19224" spans="1:11" x14ac:dyDescent="0.25">
      <c r="A19224" s="5">
        <f>19217</f>
      </c>
      <c r="B19224" s="5" t="s">
        <v>19232</v>
      </c>
      <c r="C19224" s="5">
        <v>118.1</v>
      </c>
      <c r="D19224" s="5">
        <v>0.1</v>
      </c>
      <c r="E19224" s="5">
        <v>118.3</v>
      </c>
      <c r="F19224" s="5">
        <v>234.9</v>
      </c>
      <c r="G19224" s="5">
        <v>116.8</v>
      </c>
      <c r="H19224" s="5">
        <v>116.7</v>
      </c>
      <c r="I19224" s="5"/>
      <c r="J19224" s="5"/>
      <c r="K19224" s="5"/>
    </row>
    <row r="19225" spans="1:11" x14ac:dyDescent="0.25">
      <c r="A19225" s="5">
        <f>19218</f>
      </c>
      <c r="B19225" s="5" t="s">
        <v>19233</v>
      </c>
      <c r="C19225" s="5">
        <v>118.1</v>
      </c>
      <c r="D19225" s="5">
        <v>0.1</v>
      </c>
      <c r="E19225" s="5">
        <v>118.3</v>
      </c>
      <c r="F19225" s="5">
        <v>234.9</v>
      </c>
      <c r="G19225" s="5">
        <v>116.8</v>
      </c>
      <c r="H19225" s="5">
        <v>116.7</v>
      </c>
      <c r="I19225" s="5"/>
      <c r="J19225" s="5"/>
      <c r="K19225" s="5"/>
    </row>
    <row r="19226" spans="1:11" x14ac:dyDescent="0.25">
      <c r="A19226" s="5">
        <f>19219</f>
      </c>
      <c r="B19226" s="5" t="s">
        <v>19234</v>
      </c>
      <c r="C19226" s="5">
        <v>118.1</v>
      </c>
      <c r="D19226" s="5">
        <v>0.1</v>
      </c>
      <c r="E19226" s="5">
        <v>118.3</v>
      </c>
      <c r="F19226" s="5">
        <v>234.9</v>
      </c>
      <c r="G19226" s="5">
        <v>116.8</v>
      </c>
      <c r="H19226" s="5">
        <v>116.7</v>
      </c>
      <c r="I19226" s="5"/>
      <c r="J19226" s="5"/>
      <c r="K19226" s="5"/>
    </row>
    <row r="19227" spans="1:11" x14ac:dyDescent="0.25">
      <c r="A19227" s="5">
        <f>19220</f>
      </c>
      <c r="B19227" s="5" t="s">
        <v>19235</v>
      </c>
      <c r="C19227" s="5">
        <v>118.1</v>
      </c>
      <c r="D19227" s="5">
        <v>0.1</v>
      </c>
      <c r="E19227" s="5">
        <v>118.3</v>
      </c>
      <c r="F19227" s="5">
        <v>234.9</v>
      </c>
      <c r="G19227" s="5">
        <v>116.8</v>
      </c>
      <c r="H19227" s="5">
        <v>116.7</v>
      </c>
      <c r="I19227" s="5"/>
      <c r="J19227" s="5"/>
      <c r="K19227" s="5"/>
    </row>
    <row r="19228" spans="1:11" x14ac:dyDescent="0.25">
      <c r="A19228" s="5">
        <f>19221</f>
      </c>
      <c r="B19228" s="5" t="s">
        <v>19236</v>
      </c>
      <c r="C19228" s="5">
        <v>118</v>
      </c>
      <c r="D19228" s="5">
        <v>0.1</v>
      </c>
      <c r="E19228" s="5">
        <v>118.1</v>
      </c>
      <c r="F19228" s="5">
        <v>235</v>
      </c>
      <c r="G19228" s="5">
        <v>116.9</v>
      </c>
      <c r="H19228" s="5">
        <v>116.7</v>
      </c>
      <c r="I19228" s="5"/>
      <c r="J19228" s="5"/>
      <c r="K19228" s="5"/>
    </row>
    <row r="19229" spans="1:11" x14ac:dyDescent="0.25">
      <c r="A19229" s="5">
        <f>19222</f>
      </c>
      <c r="B19229" s="5" t="s">
        <v>19237</v>
      </c>
      <c r="C19229" s="5">
        <v>118</v>
      </c>
      <c r="D19229" s="5">
        <v>0.1</v>
      </c>
      <c r="E19229" s="5">
        <v>118.1</v>
      </c>
      <c r="F19229" s="5">
        <v>235</v>
      </c>
      <c r="G19229" s="5">
        <v>116.9</v>
      </c>
      <c r="H19229" s="5">
        <v>116.7</v>
      </c>
      <c r="I19229" s="5"/>
      <c r="J19229" s="5"/>
      <c r="K19229" s="5"/>
    </row>
    <row r="19230" spans="1:11" x14ac:dyDescent="0.25">
      <c r="A19230" s="5">
        <f>19223</f>
      </c>
      <c r="B19230" s="5" t="s">
        <v>19238</v>
      </c>
      <c r="C19230" s="5">
        <v>117.9</v>
      </c>
      <c r="D19230" s="5">
        <v>0.1</v>
      </c>
      <c r="E19230" s="5">
        <v>118</v>
      </c>
      <c r="F19230" s="5">
        <v>235</v>
      </c>
      <c r="G19230" s="5">
        <v>116.9</v>
      </c>
      <c r="H19230" s="5">
        <v>116.7</v>
      </c>
      <c r="I19230" s="5"/>
      <c r="J19230" s="5"/>
      <c r="K19230" s="5"/>
    </row>
    <row r="19231" spans="1:11" x14ac:dyDescent="0.25">
      <c r="A19231" s="5">
        <f>19224</f>
      </c>
      <c r="B19231" s="5" t="s">
        <v>19239</v>
      </c>
      <c r="C19231" s="5">
        <v>117.9</v>
      </c>
      <c r="D19231" s="5">
        <v>0.1</v>
      </c>
      <c r="E19231" s="5">
        <v>118</v>
      </c>
      <c r="F19231" s="5">
        <v>235</v>
      </c>
      <c r="G19231" s="5">
        <v>116.9</v>
      </c>
      <c r="H19231" s="5">
        <v>116.7</v>
      </c>
      <c r="I19231" s="5"/>
      <c r="J19231" s="5"/>
      <c r="K19231" s="5"/>
    </row>
    <row r="19232" spans="1:11" x14ac:dyDescent="0.25">
      <c r="A19232" s="5">
        <f>19225</f>
      </c>
      <c r="B19232" s="5" t="s">
        <v>19240</v>
      </c>
      <c r="C19232" s="5">
        <v>118.3</v>
      </c>
      <c r="D19232" s="5">
        <v>0.1</v>
      </c>
      <c r="E19232" s="5">
        <v>118.4</v>
      </c>
      <c r="F19232" s="5">
        <v>235.3</v>
      </c>
      <c r="G19232" s="5">
        <v>117</v>
      </c>
      <c r="H19232" s="5">
        <v>116.8</v>
      </c>
      <c r="I19232" s="5"/>
      <c r="J19232" s="5"/>
      <c r="K19232" s="5"/>
    </row>
    <row r="19233" spans="1:11" x14ac:dyDescent="0.25">
      <c r="A19233" s="5">
        <f>19226</f>
      </c>
      <c r="B19233" s="5" t="s">
        <v>19241</v>
      </c>
      <c r="C19233" s="5">
        <v>118.3</v>
      </c>
      <c r="D19233" s="5">
        <v>0.1</v>
      </c>
      <c r="E19233" s="5">
        <v>118.4</v>
      </c>
      <c r="F19233" s="5">
        <v>235.3</v>
      </c>
      <c r="G19233" s="5">
        <v>117</v>
      </c>
      <c r="H19233" s="5">
        <v>116.8</v>
      </c>
      <c r="I19233" s="5"/>
      <c r="J19233" s="5"/>
      <c r="K19233" s="5"/>
    </row>
    <row r="19234" spans="1:11" x14ac:dyDescent="0.25">
      <c r="A19234" s="5">
        <f>19227</f>
      </c>
      <c r="B19234" s="5" t="s">
        <v>19242</v>
      </c>
      <c r="C19234" s="5">
        <v>118.2</v>
      </c>
      <c r="D19234" s="5">
        <v>0.1</v>
      </c>
      <c r="E19234" s="5">
        <v>118.3</v>
      </c>
      <c r="F19234" s="5">
        <v>235.2</v>
      </c>
      <c r="G19234" s="5">
        <v>116.9</v>
      </c>
      <c r="H19234" s="5">
        <v>116.8</v>
      </c>
      <c r="I19234" s="5"/>
      <c r="J19234" s="5"/>
      <c r="K19234" s="5"/>
    </row>
    <row r="19235" spans="1:11" x14ac:dyDescent="0.25">
      <c r="A19235" s="5">
        <f>19228</f>
      </c>
      <c r="B19235" s="5" t="s">
        <v>19243</v>
      </c>
      <c r="C19235" s="5">
        <v>118.2</v>
      </c>
      <c r="D19235" s="5">
        <v>0.1</v>
      </c>
      <c r="E19235" s="5">
        <v>118.3</v>
      </c>
      <c r="F19235" s="5">
        <v>235.2</v>
      </c>
      <c r="G19235" s="5">
        <v>116.9</v>
      </c>
      <c r="H19235" s="5">
        <v>116.8</v>
      </c>
      <c r="I19235" s="5"/>
      <c r="J19235" s="5"/>
      <c r="K19235" s="5"/>
    </row>
    <row r="19236" spans="1:11" x14ac:dyDescent="0.25">
      <c r="A19236" s="5">
        <f>19229</f>
      </c>
      <c r="B19236" s="5" t="s">
        <v>19244</v>
      </c>
      <c r="C19236" s="5">
        <v>118.2</v>
      </c>
      <c r="D19236" s="5">
        <v>0.1</v>
      </c>
      <c r="E19236" s="5">
        <v>118.3</v>
      </c>
      <c r="F19236" s="5">
        <v>235.2</v>
      </c>
      <c r="G19236" s="5">
        <v>116.9</v>
      </c>
      <c r="H19236" s="5">
        <v>116.8</v>
      </c>
      <c r="I19236" s="5"/>
      <c r="J19236" s="5"/>
      <c r="K19236" s="5"/>
    </row>
    <row r="19237" spans="1:11" x14ac:dyDescent="0.25">
      <c r="A19237" s="5">
        <f>19230</f>
      </c>
      <c r="B19237" s="5" t="s">
        <v>19245</v>
      </c>
      <c r="C19237" s="5">
        <v>118.2</v>
      </c>
      <c r="D19237" s="5">
        <v>0.1</v>
      </c>
      <c r="E19237" s="5">
        <v>118.3</v>
      </c>
      <c r="F19237" s="5">
        <v>235.2</v>
      </c>
      <c r="G19237" s="5">
        <v>117</v>
      </c>
      <c r="H19237" s="5">
        <v>116.8</v>
      </c>
      <c r="I19237" s="5"/>
      <c r="J19237" s="5"/>
      <c r="K19237" s="5"/>
    </row>
    <row r="19238" spans="1:11" x14ac:dyDescent="0.25">
      <c r="A19238" s="5">
        <f>19231</f>
      </c>
      <c r="B19238" s="5" t="s">
        <v>19246</v>
      </c>
      <c r="C19238" s="5">
        <v>118.5</v>
      </c>
      <c r="D19238" s="5">
        <v>0.1</v>
      </c>
      <c r="E19238" s="5">
        <v>118.6</v>
      </c>
      <c r="F19238" s="5">
        <v>235.2</v>
      </c>
      <c r="G19238" s="5">
        <v>117</v>
      </c>
      <c r="H19238" s="5">
        <v>116.8</v>
      </c>
      <c r="I19238" s="5"/>
      <c r="J19238" s="5"/>
      <c r="K19238" s="5"/>
    </row>
    <row r="19239" spans="1:11" x14ac:dyDescent="0.25">
      <c r="A19239" s="5">
        <f>19232</f>
      </c>
      <c r="B19239" s="5" t="s">
        <v>19247</v>
      </c>
      <c r="C19239" s="5">
        <v>118.5</v>
      </c>
      <c r="D19239" s="5">
        <v>0.1</v>
      </c>
      <c r="E19239" s="5">
        <v>118.6</v>
      </c>
      <c r="F19239" s="5">
        <v>235.5</v>
      </c>
      <c r="G19239" s="5">
        <v>117.1</v>
      </c>
      <c r="H19239" s="5">
        <v>116.9</v>
      </c>
      <c r="I19239" s="5"/>
      <c r="J19239" s="5"/>
      <c r="K19239" s="5"/>
    </row>
    <row r="19240" spans="1:11" x14ac:dyDescent="0.25">
      <c r="A19240" s="5">
        <f>19233</f>
      </c>
      <c r="B19240" s="5" t="s">
        <v>19248</v>
      </c>
      <c r="C19240" s="5">
        <v>118.4</v>
      </c>
      <c r="D19240" s="5">
        <v>0.1</v>
      </c>
      <c r="E19240" s="5">
        <v>118.6</v>
      </c>
      <c r="F19240" s="5">
        <v>235.5</v>
      </c>
      <c r="G19240" s="5">
        <v>117.1</v>
      </c>
      <c r="H19240" s="5">
        <v>116.9</v>
      </c>
      <c r="I19240" s="5"/>
      <c r="J19240" s="5"/>
      <c r="K19240" s="5"/>
    </row>
    <row r="19241" spans="1:11" x14ac:dyDescent="0.25">
      <c r="A19241" s="5">
        <f>19234</f>
      </c>
      <c r="B19241" s="5" t="s">
        <v>19249</v>
      </c>
      <c r="C19241" s="5">
        <v>118.4</v>
      </c>
      <c r="D19241" s="5">
        <v>0.1</v>
      </c>
      <c r="E19241" s="5">
        <v>118.6</v>
      </c>
      <c r="F19241" s="5">
        <v>235.5</v>
      </c>
      <c r="G19241" s="5">
        <v>117.1</v>
      </c>
      <c r="H19241" s="5">
        <v>116.7</v>
      </c>
      <c r="I19241" s="5"/>
      <c r="J19241" s="5"/>
      <c r="K19241" s="5"/>
    </row>
    <row r="19242" spans="1:11" x14ac:dyDescent="0.25">
      <c r="A19242" s="5">
        <f>19235</f>
      </c>
      <c r="B19242" s="5" t="s">
        <v>19250</v>
      </c>
      <c r="C19242" s="5">
        <v>118.3</v>
      </c>
      <c r="D19242" s="5">
        <v>0.1</v>
      </c>
      <c r="E19242" s="5">
        <v>118.5</v>
      </c>
      <c r="F19242" s="5">
        <v>235</v>
      </c>
      <c r="G19242" s="5">
        <v>116.8</v>
      </c>
      <c r="H19242" s="5">
        <v>116.7</v>
      </c>
      <c r="I19242" s="5"/>
      <c r="J19242" s="5"/>
      <c r="K19242" s="5"/>
    </row>
    <row r="19243" spans="1:11" x14ac:dyDescent="0.25">
      <c r="A19243" s="5">
        <f>19236</f>
      </c>
      <c r="B19243" s="5" t="s">
        <v>19251</v>
      </c>
      <c r="C19243" s="5">
        <v>118.3</v>
      </c>
      <c r="D19243" s="5">
        <v>0.1</v>
      </c>
      <c r="E19243" s="5">
        <v>118.5</v>
      </c>
      <c r="F19243" s="5">
        <v>235</v>
      </c>
      <c r="G19243" s="5">
        <v>116.9</v>
      </c>
      <c r="H19243" s="5">
        <v>116.8</v>
      </c>
      <c r="I19243" s="5"/>
      <c r="J19243" s="5"/>
      <c r="K19243" s="5"/>
    </row>
    <row r="19244" spans="1:11" x14ac:dyDescent="0.25">
      <c r="A19244" s="5">
        <f>19237</f>
      </c>
      <c r="B19244" s="5" t="s">
        <v>19252</v>
      </c>
      <c r="C19244" s="5">
        <v>118.2</v>
      </c>
      <c r="D19244" s="5">
        <v>0.1</v>
      </c>
      <c r="E19244" s="5">
        <v>118.3</v>
      </c>
      <c r="F19244" s="5">
        <v>235</v>
      </c>
      <c r="G19244" s="5">
        <v>116.9</v>
      </c>
      <c r="H19244" s="5">
        <v>116.8</v>
      </c>
      <c r="I19244" s="5"/>
      <c r="J19244" s="5"/>
      <c r="K19244" s="5"/>
    </row>
    <row r="19245" spans="1:11" x14ac:dyDescent="0.25">
      <c r="A19245" s="5">
        <f>19238</f>
      </c>
      <c r="B19245" s="5" t="s">
        <v>19253</v>
      </c>
      <c r="C19245" s="5">
        <v>118.2</v>
      </c>
      <c r="D19245" s="5">
        <v>0.1</v>
      </c>
      <c r="E19245" s="5">
        <v>118.3</v>
      </c>
      <c r="F19245" s="5">
        <v>235</v>
      </c>
      <c r="G19245" s="5">
        <v>116.9</v>
      </c>
      <c r="H19245" s="5">
        <v>116.8</v>
      </c>
      <c r="I19245" s="5"/>
      <c r="J19245" s="5"/>
      <c r="K19245" s="5"/>
    </row>
    <row r="19246" spans="1:11" x14ac:dyDescent="0.25">
      <c r="A19246" s="5">
        <f>19239</f>
      </c>
      <c r="B19246" s="5" t="s">
        <v>19254</v>
      </c>
      <c r="C19246" s="5">
        <v>118.2</v>
      </c>
      <c r="D19246" s="5">
        <v>0.1</v>
      </c>
      <c r="E19246" s="5">
        <v>118.3</v>
      </c>
      <c r="F19246" s="5">
        <v>235</v>
      </c>
      <c r="G19246" s="5">
        <v>116.9</v>
      </c>
      <c r="H19246" s="5">
        <v>116.8</v>
      </c>
      <c r="I19246" s="5"/>
      <c r="J19246" s="5"/>
      <c r="K19246" s="5"/>
    </row>
    <row r="19247" spans="1:11" x14ac:dyDescent="0.25">
      <c r="A19247" s="5">
        <f>19240</f>
      </c>
      <c r="B19247" s="5" t="s">
        <v>19255</v>
      </c>
      <c r="C19247" s="5">
        <v>118</v>
      </c>
      <c r="D19247" s="5">
        <v>0.1</v>
      </c>
      <c r="E19247" s="5">
        <v>118.2</v>
      </c>
      <c r="F19247" s="5">
        <v>234.8</v>
      </c>
      <c r="G19247" s="5">
        <v>116.8</v>
      </c>
      <c r="H19247" s="5">
        <v>116.8</v>
      </c>
      <c r="I19247" s="5"/>
      <c r="J19247" s="5"/>
      <c r="K19247" s="5"/>
    </row>
    <row r="19248" spans="1:11" x14ac:dyDescent="0.25">
      <c r="A19248" s="5">
        <f>19241</f>
      </c>
      <c r="B19248" s="5" t="s">
        <v>19256</v>
      </c>
      <c r="C19248" s="5">
        <v>118</v>
      </c>
      <c r="D19248" s="5">
        <v>0.1</v>
      </c>
      <c r="E19248" s="5">
        <v>118.2</v>
      </c>
      <c r="F19248" s="5">
        <v>234.8</v>
      </c>
      <c r="G19248" s="5">
        <v>116.8</v>
      </c>
      <c r="H19248" s="5">
        <v>116.7</v>
      </c>
      <c r="I19248" s="5"/>
      <c r="J19248" s="5"/>
      <c r="K19248" s="5"/>
    </row>
    <row r="19249" spans="1:11" x14ac:dyDescent="0.25">
      <c r="A19249" s="5">
        <f>19242</f>
      </c>
      <c r="B19249" s="5" t="s">
        <v>19257</v>
      </c>
      <c r="C19249" s="5">
        <v>118</v>
      </c>
      <c r="D19249" s="5">
        <v>0.1</v>
      </c>
      <c r="E19249" s="5">
        <v>118.2</v>
      </c>
      <c r="F19249" s="5">
        <v>234.8</v>
      </c>
      <c r="G19249" s="5">
        <v>116.8</v>
      </c>
      <c r="H19249" s="5">
        <v>116.7</v>
      </c>
      <c r="I19249" s="5"/>
      <c r="J19249" s="5"/>
      <c r="K19249" s="5"/>
    </row>
    <row r="19250" spans="1:11" x14ac:dyDescent="0.25">
      <c r="A19250" s="5">
        <f>19243</f>
      </c>
      <c r="B19250" s="5" t="s">
        <v>19258</v>
      </c>
      <c r="C19250" s="5">
        <v>118</v>
      </c>
      <c r="D19250" s="5">
        <v>0.1</v>
      </c>
      <c r="E19250" s="5">
        <v>118.1</v>
      </c>
      <c r="F19250" s="5">
        <v>235</v>
      </c>
      <c r="G19250" s="5">
        <v>116.8</v>
      </c>
      <c r="H19250" s="5">
        <v>116.7</v>
      </c>
      <c r="I19250" s="5"/>
      <c r="J19250" s="5"/>
      <c r="K19250" s="5"/>
    </row>
    <row r="19251" spans="1:11" x14ac:dyDescent="0.25">
      <c r="A19251" s="5">
        <f>19244</f>
      </c>
      <c r="B19251" s="5" t="s">
        <v>19259</v>
      </c>
      <c r="C19251" s="5">
        <v>118</v>
      </c>
      <c r="D19251" s="5">
        <v>0.1</v>
      </c>
      <c r="E19251" s="5">
        <v>118.1</v>
      </c>
      <c r="F19251" s="5">
        <v>235</v>
      </c>
      <c r="G19251" s="5">
        <v>116.8</v>
      </c>
      <c r="H19251" s="5">
        <v>116.7</v>
      </c>
      <c r="I19251" s="5"/>
      <c r="J19251" s="5"/>
      <c r="K19251" s="5"/>
    </row>
    <row r="19252" spans="1:11" x14ac:dyDescent="0.25">
      <c r="A19252" s="5">
        <f>19245</f>
      </c>
      <c r="B19252" s="5" t="s">
        <v>19260</v>
      </c>
      <c r="C19252" s="5">
        <v>118</v>
      </c>
      <c r="D19252" s="5">
        <v>0.1</v>
      </c>
      <c r="E19252" s="5">
        <v>118.2</v>
      </c>
      <c r="F19252" s="5">
        <v>234.5</v>
      </c>
      <c r="G19252" s="5">
        <v>116.6</v>
      </c>
      <c r="H19252" s="5">
        <v>116.4</v>
      </c>
      <c r="I19252" s="5"/>
      <c r="J19252" s="5"/>
      <c r="K19252" s="5"/>
    </row>
    <row r="19253" spans="1:11" x14ac:dyDescent="0.25">
      <c r="A19253" s="5">
        <f>19246</f>
      </c>
      <c r="B19253" s="5" t="s">
        <v>19261</v>
      </c>
      <c r="C19253" s="5">
        <v>118</v>
      </c>
      <c r="D19253" s="5">
        <v>0.1</v>
      </c>
      <c r="E19253" s="5">
        <v>118.2</v>
      </c>
      <c r="F19253" s="5">
        <v>234.5</v>
      </c>
      <c r="G19253" s="5">
        <v>116.6</v>
      </c>
      <c r="H19253" s="5">
        <v>116.4</v>
      </c>
      <c r="I19253" s="5"/>
      <c r="J19253" s="5"/>
      <c r="K19253" s="5"/>
    </row>
    <row r="19254" spans="1:11" x14ac:dyDescent="0.25">
      <c r="A19254" s="5">
        <f>19247</f>
      </c>
      <c r="B19254" s="5" t="s">
        <v>19262</v>
      </c>
      <c r="C19254" s="5">
        <v>117.7</v>
      </c>
      <c r="D19254" s="5">
        <v>0.1</v>
      </c>
      <c r="E19254" s="5">
        <v>117.8</v>
      </c>
      <c r="F19254" s="5">
        <v>234.9</v>
      </c>
      <c r="G19254" s="5">
        <v>116.8</v>
      </c>
      <c r="H19254" s="5">
        <v>116.7</v>
      </c>
      <c r="I19254" s="5"/>
      <c r="J19254" s="5"/>
      <c r="K19254" s="5"/>
    </row>
    <row r="19255" spans="1:11" x14ac:dyDescent="0.25">
      <c r="A19255" s="5">
        <f>19248</f>
      </c>
      <c r="B19255" s="5" t="s">
        <v>19263</v>
      </c>
      <c r="C19255" s="5">
        <v>117.7</v>
      </c>
      <c r="D19255" s="5">
        <v>0.1</v>
      </c>
      <c r="E19255" s="5">
        <v>117.8</v>
      </c>
      <c r="F19255" s="5">
        <v>234.9</v>
      </c>
      <c r="G19255" s="5">
        <v>116.8</v>
      </c>
      <c r="H19255" s="5">
        <v>116.7</v>
      </c>
      <c r="I19255" s="5"/>
      <c r="J19255" s="5"/>
      <c r="K19255" s="5"/>
    </row>
    <row r="19256" spans="1:11" x14ac:dyDescent="0.25">
      <c r="A19256" s="5">
        <f>19249</f>
      </c>
      <c r="B19256" s="5" t="s">
        <v>19264</v>
      </c>
      <c r="C19256" s="5">
        <v>117.7</v>
      </c>
      <c r="D19256" s="5">
        <v>0.1</v>
      </c>
      <c r="E19256" s="5">
        <v>117.8</v>
      </c>
      <c r="F19256" s="5">
        <v>234.9</v>
      </c>
      <c r="G19256" s="5">
        <v>116.8</v>
      </c>
      <c r="H19256" s="5">
        <v>116.7</v>
      </c>
      <c r="I19256" s="5"/>
      <c r="J19256" s="5"/>
      <c r="K19256" s="5"/>
    </row>
    <row r="19257" spans="1:11" x14ac:dyDescent="0.25">
      <c r="A19257" s="5">
        <f>19250</f>
      </c>
      <c r="B19257" s="5" t="s">
        <v>19265</v>
      </c>
      <c r="C19257" s="5">
        <v>117.7</v>
      </c>
      <c r="D19257" s="5">
        <v>0.1</v>
      </c>
      <c r="E19257" s="5">
        <v>117.8</v>
      </c>
      <c r="F19257" s="5">
        <v>234.9</v>
      </c>
      <c r="G19257" s="5">
        <v>116.8</v>
      </c>
      <c r="H19257" s="5">
        <v>116.7</v>
      </c>
      <c r="I19257" s="5"/>
      <c r="J19257" s="5"/>
      <c r="K19257" s="5"/>
    </row>
    <row r="19258" spans="1:11" x14ac:dyDescent="0.25">
      <c r="A19258" s="5">
        <f>19251</f>
      </c>
      <c r="B19258" s="5" t="s">
        <v>19266</v>
      </c>
      <c r="C19258" s="5">
        <v>118.3</v>
      </c>
      <c r="D19258" s="5">
        <v>0.1</v>
      </c>
      <c r="E19258" s="5">
        <v>118.5</v>
      </c>
      <c r="F19258" s="5">
        <v>235</v>
      </c>
      <c r="G19258" s="5">
        <v>116.8</v>
      </c>
      <c r="H19258" s="5">
        <v>116.7</v>
      </c>
      <c r="I19258" s="5"/>
      <c r="J19258" s="5"/>
      <c r="K19258" s="5"/>
    </row>
    <row r="19259" spans="1:11" x14ac:dyDescent="0.25">
      <c r="A19259" s="5">
        <f>19252</f>
      </c>
      <c r="B19259" s="5" t="s">
        <v>19267</v>
      </c>
      <c r="C19259" s="5">
        <v>118.3</v>
      </c>
      <c r="D19259" s="5">
        <v>0.1</v>
      </c>
      <c r="E19259" s="5">
        <v>118.5</v>
      </c>
      <c r="F19259" s="5">
        <v>235</v>
      </c>
      <c r="G19259" s="5">
        <v>116.8</v>
      </c>
      <c r="H19259" s="5">
        <v>116.7</v>
      </c>
      <c r="I19259" s="5"/>
      <c r="J19259" s="5"/>
      <c r="K19259" s="5"/>
    </row>
    <row r="19260" spans="1:11" x14ac:dyDescent="0.25">
      <c r="A19260" s="5">
        <f>19253</f>
      </c>
      <c r="B19260" s="5" t="s">
        <v>19268</v>
      </c>
      <c r="C19260" s="5">
        <v>118</v>
      </c>
      <c r="D19260" s="5">
        <v>0.1</v>
      </c>
      <c r="E19260" s="5">
        <v>118.2</v>
      </c>
      <c r="F19260" s="5">
        <v>235.2</v>
      </c>
      <c r="G19260" s="5">
        <v>117</v>
      </c>
      <c r="H19260" s="5">
        <v>116.8</v>
      </c>
      <c r="I19260" s="5"/>
      <c r="J19260" s="5"/>
      <c r="K19260" s="5"/>
    </row>
    <row r="19261" spans="1:11" x14ac:dyDescent="0.25">
      <c r="A19261" s="5">
        <f>19254</f>
      </c>
      <c r="B19261" s="5" t="s">
        <v>19269</v>
      </c>
      <c r="C19261" s="5">
        <v>118</v>
      </c>
      <c r="D19261" s="5">
        <v>0.1</v>
      </c>
      <c r="E19261" s="5">
        <v>118.2</v>
      </c>
      <c r="F19261" s="5">
        <v>235.2</v>
      </c>
      <c r="G19261" s="5">
        <v>117</v>
      </c>
      <c r="H19261" s="5">
        <v>116.8</v>
      </c>
      <c r="I19261" s="5"/>
      <c r="J19261" s="5"/>
      <c r="K19261" s="5"/>
    </row>
    <row r="19262" spans="1:11" x14ac:dyDescent="0.25">
      <c r="A19262" s="5">
        <f>19255</f>
      </c>
      <c r="B19262" s="5" t="s">
        <v>19270</v>
      </c>
      <c r="C19262" s="5">
        <v>118.3</v>
      </c>
      <c r="D19262" s="5">
        <v>0.1</v>
      </c>
      <c r="E19262" s="5">
        <v>118.4</v>
      </c>
      <c r="F19262" s="5">
        <v>235.5</v>
      </c>
      <c r="G19262" s="5">
        <v>117.1</v>
      </c>
      <c r="H19262" s="5">
        <v>117</v>
      </c>
      <c r="I19262" s="5"/>
      <c r="J19262" s="5"/>
      <c r="K19262" s="5"/>
    </row>
    <row r="19263" spans="1:11" x14ac:dyDescent="0.25">
      <c r="A19263" s="5">
        <f>19256</f>
      </c>
      <c r="B19263" s="5" t="s">
        <v>19271</v>
      </c>
      <c r="C19263" s="5">
        <v>118.3</v>
      </c>
      <c r="D19263" s="5">
        <v>0.1</v>
      </c>
      <c r="E19263" s="5">
        <v>118.4</v>
      </c>
      <c r="F19263" s="5">
        <v>235.5</v>
      </c>
      <c r="G19263" s="5">
        <v>117.1</v>
      </c>
      <c r="H19263" s="5">
        <v>117</v>
      </c>
      <c r="I19263" s="5"/>
      <c r="J19263" s="5"/>
      <c r="K19263" s="5"/>
    </row>
    <row r="19264" spans="1:11" x14ac:dyDescent="0.25">
      <c r="A19264" s="5">
        <f>19257</f>
      </c>
      <c r="B19264" s="5" t="s">
        <v>19272</v>
      </c>
      <c r="C19264" s="5">
        <v>118.3</v>
      </c>
      <c r="D19264" s="5">
        <v>0.1</v>
      </c>
      <c r="E19264" s="5">
        <v>118.6</v>
      </c>
      <c r="F19264" s="5">
        <v>235.5</v>
      </c>
      <c r="G19264" s="5">
        <v>117.1</v>
      </c>
      <c r="H19264" s="5">
        <v>117</v>
      </c>
      <c r="I19264" s="5"/>
      <c r="J19264" s="5"/>
      <c r="K19264" s="5"/>
    </row>
    <row r="19265" spans="1:11" x14ac:dyDescent="0.25">
      <c r="A19265" s="5">
        <f>19258</f>
      </c>
      <c r="B19265" s="5" t="s">
        <v>19273</v>
      </c>
      <c r="C19265" s="5">
        <v>118.3</v>
      </c>
      <c r="D19265" s="5">
        <v>0.1</v>
      </c>
      <c r="E19265" s="5">
        <v>118.6</v>
      </c>
      <c r="F19265" s="5">
        <v>235.5</v>
      </c>
      <c r="G19265" s="5">
        <v>117.1</v>
      </c>
      <c r="H19265" s="5">
        <v>117</v>
      </c>
      <c r="I19265" s="5"/>
      <c r="J19265" s="5"/>
      <c r="K19265" s="5"/>
    </row>
    <row r="19266" spans="1:11" x14ac:dyDescent="0.25">
      <c r="A19266" s="5">
        <f>19259</f>
      </c>
      <c r="B19266" s="5" t="s">
        <v>19274</v>
      </c>
      <c r="C19266" s="5">
        <v>118.3</v>
      </c>
      <c r="D19266" s="5">
        <v>0.1</v>
      </c>
      <c r="E19266" s="5">
        <v>118.6</v>
      </c>
      <c r="F19266" s="5">
        <v>235.5</v>
      </c>
      <c r="G19266" s="5">
        <v>117.1</v>
      </c>
      <c r="H19266" s="5">
        <v>117</v>
      </c>
      <c r="I19266" s="5"/>
      <c r="J19266" s="5"/>
      <c r="K19266" s="5"/>
    </row>
    <row r="19267" spans="1:11" x14ac:dyDescent="0.25">
      <c r="A19267" s="5">
        <f>19260</f>
      </c>
      <c r="B19267" s="5" t="s">
        <v>19275</v>
      </c>
      <c r="C19267" s="5">
        <v>118.3</v>
      </c>
      <c r="D19267" s="5">
        <v>0.1</v>
      </c>
      <c r="E19267" s="5">
        <v>118.6</v>
      </c>
      <c r="F19267" s="5">
        <v>235.5</v>
      </c>
      <c r="G19267" s="5">
        <v>117.1</v>
      </c>
      <c r="H19267" s="5">
        <v>117</v>
      </c>
      <c r="I19267" s="5"/>
      <c r="J19267" s="5"/>
      <c r="K19267" s="5"/>
    </row>
    <row r="19268" spans="1:11" x14ac:dyDescent="0.25">
      <c r="A19268" s="5">
        <f>19261</f>
      </c>
      <c r="B19268" s="5" t="s">
        <v>19276</v>
      </c>
      <c r="C19268" s="5">
        <v>118.5</v>
      </c>
      <c r="D19268" s="5">
        <v>0.1</v>
      </c>
      <c r="E19268" s="5">
        <v>118.6</v>
      </c>
      <c r="F19268" s="5">
        <v>235.2</v>
      </c>
      <c r="G19268" s="5">
        <v>117</v>
      </c>
      <c r="H19268" s="5">
        <v>116.8</v>
      </c>
      <c r="I19268" s="5"/>
      <c r="J19268" s="5"/>
      <c r="K19268" s="5"/>
    </row>
    <row r="19269" spans="1:11" x14ac:dyDescent="0.25">
      <c r="A19269" s="5">
        <f>19262</f>
      </c>
      <c r="B19269" s="5" t="s">
        <v>19277</v>
      </c>
      <c r="C19269" s="5">
        <v>118.5</v>
      </c>
      <c r="D19269" s="5">
        <v>0.1</v>
      </c>
      <c r="E19269" s="5">
        <v>118.6</v>
      </c>
      <c r="F19269" s="5">
        <v>235.2</v>
      </c>
      <c r="G19269" s="5">
        <v>117</v>
      </c>
      <c r="H19269" s="5">
        <v>116.8</v>
      </c>
      <c r="I19269" s="5"/>
      <c r="J19269" s="5"/>
      <c r="K19269" s="5"/>
    </row>
    <row r="19270" spans="1:11" x14ac:dyDescent="0.25">
      <c r="A19270" s="5">
        <f>19263</f>
      </c>
      <c r="B19270" s="5" t="s">
        <v>19278</v>
      </c>
      <c r="C19270" s="5">
        <v>118.3</v>
      </c>
      <c r="D19270" s="5">
        <v>0.1</v>
      </c>
      <c r="E19270" s="5">
        <v>118.3</v>
      </c>
      <c r="F19270" s="5">
        <v>235.4</v>
      </c>
      <c r="G19270" s="5">
        <v>117.1</v>
      </c>
      <c r="H19270" s="5">
        <v>116.9</v>
      </c>
      <c r="I19270" s="5"/>
      <c r="J19270" s="5"/>
      <c r="K19270" s="5"/>
    </row>
    <row r="19271" spans="1:11" x14ac:dyDescent="0.25">
      <c r="A19271" s="5">
        <f>19264</f>
      </c>
      <c r="B19271" s="5" t="s">
        <v>19279</v>
      </c>
      <c r="C19271" s="5">
        <v>118.3</v>
      </c>
      <c r="D19271" s="5">
        <v>0.1</v>
      </c>
      <c r="E19271" s="5">
        <v>118.3</v>
      </c>
      <c r="F19271" s="5">
        <v>235.4</v>
      </c>
      <c r="G19271" s="5">
        <v>117.1</v>
      </c>
      <c r="H19271" s="5">
        <v>116.9</v>
      </c>
      <c r="I19271" s="5"/>
      <c r="J19271" s="5"/>
      <c r="K19271" s="5"/>
    </row>
    <row r="19272" spans="1:11" x14ac:dyDescent="0.25">
      <c r="A19272" s="5">
        <f>19265</f>
      </c>
      <c r="B19272" s="5" t="s">
        <v>19280</v>
      </c>
      <c r="C19272" s="5">
        <v>118.3</v>
      </c>
      <c r="D19272" s="5">
        <v>0.1</v>
      </c>
      <c r="E19272" s="5">
        <v>118.4</v>
      </c>
      <c r="F19272" s="5">
        <v>235.2</v>
      </c>
      <c r="G19272" s="5">
        <v>116.9</v>
      </c>
      <c r="H19272" s="5">
        <v>116.8</v>
      </c>
      <c r="I19272" s="5"/>
      <c r="J19272" s="5"/>
      <c r="K19272" s="5"/>
    </row>
    <row r="19273" spans="1:11" x14ac:dyDescent="0.25">
      <c r="A19273" s="5">
        <f>19266</f>
      </c>
      <c r="B19273" s="5" t="s">
        <v>19281</v>
      </c>
      <c r="C19273" s="5">
        <v>118.3</v>
      </c>
      <c r="D19273" s="5">
        <v>0.1</v>
      </c>
      <c r="E19273" s="5">
        <v>118.4</v>
      </c>
      <c r="F19273" s="5">
        <v>235.2</v>
      </c>
      <c r="G19273" s="5">
        <v>116.9</v>
      </c>
      <c r="H19273" s="5">
        <v>116.8</v>
      </c>
      <c r="I19273" s="5"/>
      <c r="J19273" s="5"/>
      <c r="K19273" s="5"/>
    </row>
    <row r="19274" spans="1:11" x14ac:dyDescent="0.25">
      <c r="A19274" s="5">
        <f>19267</f>
      </c>
      <c r="B19274" s="5" t="s">
        <v>19282</v>
      </c>
      <c r="C19274" s="5">
        <v>118.5</v>
      </c>
      <c r="D19274" s="5">
        <v>0.1</v>
      </c>
      <c r="E19274" s="5">
        <v>118.7</v>
      </c>
      <c r="F19274" s="5">
        <v>235.5</v>
      </c>
      <c r="G19274" s="5">
        <v>117.1</v>
      </c>
      <c r="H19274" s="5">
        <v>116.9</v>
      </c>
      <c r="I19274" s="5"/>
      <c r="J19274" s="5"/>
      <c r="K19274" s="5"/>
    </row>
    <row r="19275" spans="1:11" x14ac:dyDescent="0.25">
      <c r="A19275" s="5">
        <f>19268</f>
      </c>
      <c r="B19275" s="5" t="s">
        <v>19283</v>
      </c>
      <c r="C19275" s="5">
        <v>118.5</v>
      </c>
      <c r="D19275" s="5">
        <v>0.1</v>
      </c>
      <c r="E19275" s="5">
        <v>118.7</v>
      </c>
      <c r="F19275" s="5">
        <v>235.5</v>
      </c>
      <c r="G19275" s="5">
        <v>117.1</v>
      </c>
      <c r="H19275" s="5">
        <v>116.9</v>
      </c>
      <c r="I19275" s="5"/>
      <c r="J19275" s="5"/>
      <c r="K19275" s="5"/>
    </row>
    <row r="19276" spans="1:11" x14ac:dyDescent="0.25">
      <c r="A19276" s="5">
        <f>19269</f>
      </c>
      <c r="B19276" s="5" t="s">
        <v>19284</v>
      </c>
      <c r="C19276" s="5">
        <v>118.5</v>
      </c>
      <c r="D19276" s="5">
        <v>0.1</v>
      </c>
      <c r="E19276" s="5">
        <v>118.7</v>
      </c>
      <c r="F19276" s="5">
        <v>235.5</v>
      </c>
      <c r="G19276" s="5">
        <v>117.1</v>
      </c>
      <c r="H19276" s="5">
        <v>116.9</v>
      </c>
      <c r="I19276" s="5"/>
      <c r="J19276" s="5"/>
      <c r="K19276" s="5"/>
    </row>
    <row r="19277" spans="1:11" x14ac:dyDescent="0.25">
      <c r="A19277" s="5">
        <f>19270</f>
      </c>
      <c r="B19277" s="5" t="s">
        <v>19285</v>
      </c>
      <c r="C19277" s="5">
        <v>118.4</v>
      </c>
      <c r="D19277" s="5">
        <v>0.1</v>
      </c>
      <c r="E19277" s="5">
        <v>118.6</v>
      </c>
      <c r="F19277" s="5">
        <v>235.7</v>
      </c>
      <c r="G19277" s="5">
        <v>117.2</v>
      </c>
      <c r="H19277" s="5">
        <v>117.1</v>
      </c>
      <c r="I19277" s="5"/>
      <c r="J19277" s="5"/>
      <c r="K19277" s="5"/>
    </row>
    <row r="19278" spans="1:11" x14ac:dyDescent="0.25">
      <c r="A19278" s="5">
        <f>19271</f>
      </c>
      <c r="B19278" s="5" t="s">
        <v>19286</v>
      </c>
      <c r="C19278" s="5">
        <v>118.4</v>
      </c>
      <c r="D19278" s="5">
        <v>0.1</v>
      </c>
      <c r="E19278" s="5">
        <v>118.6</v>
      </c>
      <c r="F19278" s="5">
        <v>235.7</v>
      </c>
      <c r="G19278" s="5">
        <v>117.2</v>
      </c>
      <c r="H19278" s="5">
        <v>117.1</v>
      </c>
      <c r="I19278" s="5"/>
      <c r="J19278" s="5"/>
      <c r="K19278" s="5"/>
    </row>
    <row r="19279" spans="1:11" x14ac:dyDescent="0.25">
      <c r="A19279" s="5">
        <f>19272</f>
      </c>
      <c r="B19279" s="5" t="s">
        <v>19287</v>
      </c>
      <c r="C19279" s="5">
        <v>118.4</v>
      </c>
      <c r="D19279" s="5">
        <v>0.1</v>
      </c>
      <c r="E19279" s="5">
        <v>118.6</v>
      </c>
      <c r="F19279" s="5">
        <v>235.8</v>
      </c>
      <c r="G19279" s="5">
        <v>117.2</v>
      </c>
      <c r="H19279" s="5">
        <v>117.1</v>
      </c>
      <c r="I19279" s="5"/>
      <c r="J19279" s="5"/>
      <c r="K19279" s="5"/>
    </row>
    <row r="19280" spans="1:11" x14ac:dyDescent="0.25">
      <c r="A19280" s="5">
        <f>19273</f>
      </c>
      <c r="B19280" s="5" t="s">
        <v>19288</v>
      </c>
      <c r="C19280" s="5">
        <v>118.4</v>
      </c>
      <c r="D19280" s="5">
        <v>0.1</v>
      </c>
      <c r="E19280" s="5">
        <v>118.6</v>
      </c>
      <c r="F19280" s="5">
        <v>235.8</v>
      </c>
      <c r="G19280" s="5">
        <v>117.2</v>
      </c>
      <c r="H19280" s="5">
        <v>117.1</v>
      </c>
      <c r="I19280" s="5"/>
      <c r="J19280" s="5"/>
      <c r="K19280" s="5"/>
    </row>
    <row r="19281" spans="1:11" x14ac:dyDescent="0.25">
      <c r="A19281" s="5">
        <f>19274</f>
      </c>
      <c r="B19281" s="5" t="s">
        <v>19289</v>
      </c>
      <c r="C19281" s="5">
        <v>118.3</v>
      </c>
      <c r="D19281" s="5">
        <v>0.1</v>
      </c>
      <c r="E19281" s="5">
        <v>118.5</v>
      </c>
      <c r="F19281" s="5">
        <v>235.4</v>
      </c>
      <c r="G19281" s="5">
        <v>117.1</v>
      </c>
      <c r="H19281" s="5">
        <v>116.9</v>
      </c>
      <c r="I19281" s="5"/>
      <c r="J19281" s="5"/>
      <c r="K19281" s="5"/>
    </row>
    <row r="19282" spans="1:11" x14ac:dyDescent="0.25">
      <c r="A19282" s="5">
        <f>19275</f>
      </c>
      <c r="B19282" s="5" t="s">
        <v>19290</v>
      </c>
      <c r="C19282" s="5">
        <v>118.3</v>
      </c>
      <c r="D19282" s="5">
        <v>0.1</v>
      </c>
      <c r="E19282" s="5">
        <v>118.5</v>
      </c>
      <c r="F19282" s="5">
        <v>235.4</v>
      </c>
      <c r="G19282" s="5">
        <v>117.1</v>
      </c>
      <c r="H19282" s="5">
        <v>116.9</v>
      </c>
      <c r="I19282" s="5"/>
      <c r="J19282" s="5"/>
      <c r="K19282" s="5"/>
    </row>
    <row r="19283" spans="1:11" x14ac:dyDescent="0.25">
      <c r="A19283" s="5">
        <f>19276</f>
      </c>
      <c r="B19283" s="5" t="s">
        <v>19291</v>
      </c>
      <c r="C19283" s="5">
        <v>118.6</v>
      </c>
      <c r="D19283" s="5">
        <v>0.1</v>
      </c>
      <c r="E19283" s="5">
        <v>118.7</v>
      </c>
      <c r="F19283" s="5">
        <v>235.8</v>
      </c>
      <c r="G19283" s="5">
        <v>117.3</v>
      </c>
      <c r="H19283" s="5">
        <v>117.1</v>
      </c>
      <c r="I19283" s="5"/>
      <c r="J19283" s="5"/>
      <c r="K19283" s="5"/>
    </row>
    <row r="19284" spans="1:11" x14ac:dyDescent="0.25">
      <c r="A19284" s="5">
        <f>19277</f>
      </c>
      <c r="B19284" s="5" t="s">
        <v>19292</v>
      </c>
      <c r="C19284" s="5">
        <v>118.6</v>
      </c>
      <c r="D19284" s="5">
        <v>0.1</v>
      </c>
      <c r="E19284" s="5">
        <v>118.7</v>
      </c>
      <c r="F19284" s="5">
        <v>235.8</v>
      </c>
      <c r="G19284" s="5">
        <v>117.3</v>
      </c>
      <c r="H19284" s="5">
        <v>117.1</v>
      </c>
      <c r="I19284" s="5"/>
      <c r="J19284" s="5"/>
      <c r="K19284" s="5"/>
    </row>
    <row r="19285" spans="1:11" x14ac:dyDescent="0.25">
      <c r="A19285" s="5">
        <f>19278</f>
      </c>
      <c r="B19285" s="5" t="s">
        <v>19293</v>
      </c>
      <c r="C19285" s="5">
        <v>118.6</v>
      </c>
      <c r="D19285" s="5">
        <v>0.1</v>
      </c>
      <c r="E19285" s="5">
        <v>118.7</v>
      </c>
      <c r="F19285" s="5">
        <v>235.8</v>
      </c>
      <c r="G19285" s="5">
        <v>117.3</v>
      </c>
      <c r="H19285" s="5">
        <v>117.1</v>
      </c>
      <c r="I19285" s="5"/>
      <c r="J19285" s="5"/>
      <c r="K19285" s="5"/>
    </row>
    <row r="19286" spans="1:11" x14ac:dyDescent="0.25">
      <c r="A19286" s="5">
        <f>19279</f>
      </c>
      <c r="B19286" s="5" t="s">
        <v>19294</v>
      </c>
      <c r="C19286" s="5">
        <v>118.6</v>
      </c>
      <c r="D19286" s="5">
        <v>0.1</v>
      </c>
      <c r="E19286" s="5">
        <v>118.7</v>
      </c>
      <c r="F19286" s="5">
        <v>235.8</v>
      </c>
      <c r="G19286" s="5">
        <v>117.3</v>
      </c>
      <c r="H19286" s="5">
        <v>117.1</v>
      </c>
      <c r="I19286" s="5"/>
      <c r="J19286" s="5"/>
      <c r="K19286" s="5"/>
    </row>
    <row r="19287" spans="1:11" x14ac:dyDescent="0.25">
      <c r="A19287" s="5">
        <f>19280</f>
      </c>
      <c r="B19287" s="5" t="s">
        <v>19295</v>
      </c>
      <c r="C19287" s="5">
        <v>118.3</v>
      </c>
      <c r="D19287" s="5">
        <v>0.1</v>
      </c>
      <c r="E19287" s="5">
        <v>118.4</v>
      </c>
      <c r="F19287" s="5">
        <v>235.8</v>
      </c>
      <c r="G19287" s="5">
        <v>117.3</v>
      </c>
      <c r="H19287" s="5">
        <v>117.1</v>
      </c>
      <c r="I19287" s="5"/>
      <c r="J19287" s="5"/>
      <c r="K19287" s="5"/>
    </row>
    <row r="19288" spans="1:11" x14ac:dyDescent="0.25">
      <c r="A19288" s="5">
        <f>19281</f>
      </c>
      <c r="B19288" s="5" t="s">
        <v>19296</v>
      </c>
      <c r="C19288" s="5">
        <v>118.3</v>
      </c>
      <c r="D19288" s="5">
        <v>0.1</v>
      </c>
      <c r="E19288" s="5">
        <v>118.4</v>
      </c>
      <c r="F19288" s="5">
        <v>235.3</v>
      </c>
      <c r="G19288" s="5">
        <v>116.9</v>
      </c>
      <c r="H19288" s="5">
        <v>116.7</v>
      </c>
      <c r="I19288" s="5"/>
      <c r="J19288" s="5"/>
      <c r="K19288" s="5"/>
    </row>
    <row r="19289" spans="1:11" x14ac:dyDescent="0.25">
      <c r="A19289" s="5">
        <f>19282</f>
      </c>
      <c r="B19289" s="5" t="s">
        <v>19297</v>
      </c>
      <c r="C19289" s="5">
        <v>118.2</v>
      </c>
      <c r="D19289" s="5">
        <v>0.1</v>
      </c>
      <c r="E19289" s="5">
        <v>118.4</v>
      </c>
      <c r="F19289" s="5">
        <v>235.5</v>
      </c>
      <c r="G19289" s="5">
        <v>117.1</v>
      </c>
      <c r="H19289" s="5">
        <v>117</v>
      </c>
      <c r="I19289" s="5"/>
      <c r="J19289" s="5"/>
      <c r="K19289" s="5"/>
    </row>
    <row r="19290" spans="1:11" x14ac:dyDescent="0.25">
      <c r="A19290" s="5">
        <f>19283</f>
      </c>
      <c r="B19290" s="5" t="s">
        <v>19298</v>
      </c>
      <c r="C19290" s="5">
        <v>118.2</v>
      </c>
      <c r="D19290" s="5">
        <v>0.1</v>
      </c>
      <c r="E19290" s="5">
        <v>118.4</v>
      </c>
      <c r="F19290" s="5">
        <v>235.5</v>
      </c>
      <c r="G19290" s="5">
        <v>117.1</v>
      </c>
      <c r="H19290" s="5">
        <v>117</v>
      </c>
      <c r="I19290" s="5"/>
      <c r="J19290" s="5"/>
      <c r="K19290" s="5"/>
    </row>
    <row r="19291" spans="1:11" x14ac:dyDescent="0.25">
      <c r="A19291" s="5">
        <f>19284</f>
      </c>
      <c r="B19291" s="5" t="s">
        <v>19299</v>
      </c>
      <c r="C19291" s="5">
        <v>118.4</v>
      </c>
      <c r="D19291" s="5">
        <v>0.1</v>
      </c>
      <c r="E19291" s="5">
        <v>118.6</v>
      </c>
      <c r="F19291" s="5">
        <v>235.3</v>
      </c>
      <c r="G19291" s="5">
        <v>117</v>
      </c>
      <c r="H19291" s="5">
        <v>116.8</v>
      </c>
      <c r="I19291" s="5"/>
      <c r="J19291" s="5"/>
      <c r="K19291" s="5"/>
    </row>
    <row r="19292" spans="1:11" x14ac:dyDescent="0.25">
      <c r="A19292" s="5">
        <f>19285</f>
      </c>
      <c r="B19292" s="5" t="s">
        <v>19300</v>
      </c>
      <c r="C19292" s="5">
        <v>118.4</v>
      </c>
      <c r="D19292" s="5">
        <v>0.1</v>
      </c>
      <c r="E19292" s="5">
        <v>118.6</v>
      </c>
      <c r="F19292" s="5">
        <v>235.3</v>
      </c>
      <c r="G19292" s="5">
        <v>117</v>
      </c>
      <c r="H19292" s="5">
        <v>116.8</v>
      </c>
      <c r="I19292" s="5"/>
      <c r="J19292" s="5"/>
      <c r="K19292" s="5"/>
    </row>
    <row r="19293" spans="1:11" x14ac:dyDescent="0.25">
      <c r="A19293" s="5">
        <f>19286</f>
      </c>
      <c r="B19293" s="5" t="s">
        <v>19301</v>
      </c>
      <c r="C19293" s="5">
        <v>122.2</v>
      </c>
      <c r="D19293" s="5">
        <v>0.1</v>
      </c>
      <c r="E19293" s="5">
        <v>122.4</v>
      </c>
      <c r="F19293" s="5">
        <v>243.7</v>
      </c>
      <c r="G19293" s="5">
        <v>121.2</v>
      </c>
      <c r="H19293" s="5">
        <v>121</v>
      </c>
      <c r="I19293" s="5"/>
      <c r="J19293" s="5"/>
      <c r="K19293" s="5"/>
    </row>
    <row r="19294" spans="1:11" x14ac:dyDescent="0.25">
      <c r="A19294" s="5">
        <f>19287</f>
      </c>
      <c r="B19294" s="5" t="s">
        <v>19302</v>
      </c>
      <c r="C19294" s="5">
        <v>122.2</v>
      </c>
      <c r="D19294" s="5">
        <v>0.1</v>
      </c>
      <c r="E19294" s="5">
        <v>122.4</v>
      </c>
      <c r="F19294" s="5">
        <v>243.7</v>
      </c>
      <c r="G19294" s="5">
        <v>121.2</v>
      </c>
      <c r="H19294" s="5">
        <v>121</v>
      </c>
      <c r="I19294" s="5"/>
      <c r="J19294" s="5"/>
      <c r="K19294" s="5"/>
    </row>
    <row r="19295" spans="1:11" x14ac:dyDescent="0.25">
      <c r="A19295" s="5">
        <f>19288</f>
      </c>
      <c r="B19295" s="5" t="s">
        <v>19303</v>
      </c>
      <c r="C19295" s="5">
        <v>122.2</v>
      </c>
      <c r="D19295" s="5">
        <v>0.1</v>
      </c>
      <c r="E19295" s="5">
        <v>122.4</v>
      </c>
      <c r="F19295" s="5">
        <v>243.7</v>
      </c>
      <c r="G19295" s="5">
        <v>121.2</v>
      </c>
      <c r="H19295" s="5">
        <v>121</v>
      </c>
      <c r="I19295" s="5"/>
      <c r="J19295" s="5"/>
      <c r="K19295" s="5"/>
    </row>
    <row r="19296" spans="1:11" x14ac:dyDescent="0.25">
      <c r="A19296" s="5">
        <f>19289</f>
      </c>
      <c r="B19296" s="5" t="s">
        <v>19304</v>
      </c>
      <c r="C19296" s="5">
        <v>122.2</v>
      </c>
      <c r="D19296" s="5">
        <v>0.1</v>
      </c>
      <c r="E19296" s="5">
        <v>122.4</v>
      </c>
      <c r="F19296" s="5">
        <v>243.7</v>
      </c>
      <c r="G19296" s="5">
        <v>121.2</v>
      </c>
      <c r="H19296" s="5">
        <v>121</v>
      </c>
      <c r="I19296" s="5"/>
      <c r="J19296" s="5"/>
      <c r="K19296" s="5"/>
    </row>
    <row r="19297" spans="1:11" x14ac:dyDescent="0.25">
      <c r="A19297" s="5">
        <f>19290</f>
      </c>
      <c r="B19297" s="5" t="s">
        <v>19305</v>
      </c>
      <c r="C19297" s="5">
        <v>122.7</v>
      </c>
      <c r="D19297" s="5">
        <v>0.1</v>
      </c>
      <c r="E19297" s="5">
        <v>122.8</v>
      </c>
      <c r="F19297" s="5">
        <v>243.9</v>
      </c>
      <c r="G19297" s="5">
        <v>121.3</v>
      </c>
      <c r="H19297" s="5">
        <v>121.1</v>
      </c>
      <c r="I19297" s="5"/>
      <c r="J19297" s="5"/>
      <c r="K19297" s="5"/>
    </row>
    <row r="19298" spans="1:11" x14ac:dyDescent="0.25">
      <c r="A19298" s="5">
        <f>19291</f>
      </c>
      <c r="B19298" s="5" t="s">
        <v>19306</v>
      </c>
      <c r="C19298" s="5">
        <v>122.7</v>
      </c>
      <c r="D19298" s="5">
        <v>0.1</v>
      </c>
      <c r="E19298" s="5">
        <v>122.8</v>
      </c>
      <c r="F19298" s="5">
        <v>243.9</v>
      </c>
      <c r="G19298" s="5">
        <v>121.3</v>
      </c>
      <c r="H19298" s="5">
        <v>121.1</v>
      </c>
      <c r="I19298" s="5"/>
      <c r="J19298" s="5"/>
      <c r="K19298" s="5"/>
    </row>
    <row r="19299" spans="1:11" x14ac:dyDescent="0.25">
      <c r="A19299" s="5">
        <f>19292</f>
      </c>
      <c r="B19299" s="5" t="s">
        <v>19307</v>
      </c>
      <c r="C19299" s="5">
        <v>122.6</v>
      </c>
      <c r="D19299" s="5">
        <v>0.1</v>
      </c>
      <c r="E19299" s="5">
        <v>122.8</v>
      </c>
      <c r="F19299" s="5">
        <v>244.1</v>
      </c>
      <c r="G19299" s="5">
        <v>121.4</v>
      </c>
      <c r="H19299" s="5">
        <v>121.2</v>
      </c>
      <c r="I19299" s="5"/>
      <c r="J19299" s="5"/>
      <c r="K19299" s="5"/>
    </row>
    <row r="19300" spans="1:11" x14ac:dyDescent="0.25">
      <c r="A19300" s="5">
        <f>19293</f>
      </c>
      <c r="B19300" s="5" t="s">
        <v>19308</v>
      </c>
      <c r="C19300" s="5">
        <v>122.6</v>
      </c>
      <c r="D19300" s="5">
        <v>0.1</v>
      </c>
      <c r="E19300" s="5">
        <v>122.8</v>
      </c>
      <c r="F19300" s="5">
        <v>244.1</v>
      </c>
      <c r="G19300" s="5">
        <v>121.4</v>
      </c>
      <c r="H19300" s="5">
        <v>121.2</v>
      </c>
      <c r="I19300" s="5"/>
      <c r="J19300" s="5"/>
      <c r="K19300" s="5"/>
    </row>
    <row r="19301" spans="1:11" x14ac:dyDescent="0.25">
      <c r="A19301" s="5">
        <f>19294</f>
      </c>
      <c r="B19301" s="5" t="s">
        <v>19309</v>
      </c>
      <c r="C19301" s="5">
        <v>122.8</v>
      </c>
      <c r="D19301" s="5">
        <v>0.1</v>
      </c>
      <c r="E19301" s="5">
        <v>123</v>
      </c>
      <c r="F19301" s="5">
        <v>244.4</v>
      </c>
      <c r="G19301" s="5">
        <v>121.5</v>
      </c>
      <c r="H19301" s="5">
        <v>121.3</v>
      </c>
      <c r="I19301" s="5"/>
      <c r="J19301" s="5"/>
      <c r="K19301" s="5"/>
    </row>
    <row r="19302" spans="1:11" x14ac:dyDescent="0.25">
      <c r="A19302" s="5">
        <f>19295</f>
      </c>
      <c r="B19302" s="5" t="s">
        <v>19310</v>
      </c>
      <c r="C19302" s="5">
        <v>122.8</v>
      </c>
      <c r="D19302" s="5">
        <v>0.1</v>
      </c>
      <c r="E19302" s="5">
        <v>123</v>
      </c>
      <c r="F19302" s="5">
        <v>244.4</v>
      </c>
      <c r="G19302" s="5">
        <v>121.5</v>
      </c>
      <c r="H19302" s="5">
        <v>121.3</v>
      </c>
      <c r="I19302" s="5"/>
      <c r="J19302" s="5"/>
      <c r="K19302" s="5"/>
    </row>
    <row r="19303" spans="1:11" x14ac:dyDescent="0.25">
      <c r="A19303" s="5">
        <f>19296</f>
      </c>
      <c r="B19303" s="5" t="s">
        <v>19311</v>
      </c>
      <c r="C19303" s="5">
        <v>122.8</v>
      </c>
      <c r="D19303" s="5">
        <v>0.1</v>
      </c>
      <c r="E19303" s="5">
        <v>122.9</v>
      </c>
      <c r="F19303" s="5">
        <v>244.5</v>
      </c>
      <c r="G19303" s="5">
        <v>121.6</v>
      </c>
      <c r="H19303" s="5">
        <v>121.4</v>
      </c>
      <c r="I19303" s="5"/>
      <c r="J19303" s="5"/>
      <c r="K19303" s="5"/>
    </row>
    <row r="19304" spans="1:11" x14ac:dyDescent="0.25">
      <c r="A19304" s="5">
        <f>19297</f>
      </c>
      <c r="B19304" s="5" t="s">
        <v>19312</v>
      </c>
      <c r="C19304" s="5">
        <v>122.8</v>
      </c>
      <c r="D19304" s="5">
        <v>0.1</v>
      </c>
      <c r="E19304" s="5">
        <v>122.9</v>
      </c>
      <c r="F19304" s="5">
        <v>244.5</v>
      </c>
      <c r="G19304" s="5">
        <v>121.6</v>
      </c>
      <c r="H19304" s="5">
        <v>121.4</v>
      </c>
      <c r="I19304" s="5"/>
      <c r="J19304" s="5"/>
      <c r="K19304" s="5"/>
    </row>
    <row r="19305" spans="1:11" x14ac:dyDescent="0.25">
      <c r="A19305" s="5">
        <f>19298</f>
      </c>
      <c r="B19305" s="5" t="s">
        <v>19313</v>
      </c>
      <c r="C19305" s="5">
        <v>122.8</v>
      </c>
      <c r="D19305" s="5">
        <v>0.1</v>
      </c>
      <c r="E19305" s="5">
        <v>122.9</v>
      </c>
      <c r="F19305" s="5">
        <v>244.5</v>
      </c>
      <c r="G19305" s="5">
        <v>121.6</v>
      </c>
      <c r="H19305" s="5">
        <v>121.4</v>
      </c>
      <c r="I19305" s="5"/>
      <c r="J19305" s="5"/>
      <c r="K19305" s="5"/>
    </row>
    <row r="19306" spans="1:11" x14ac:dyDescent="0.25">
      <c r="A19306" s="5">
        <f>19299</f>
      </c>
      <c r="B19306" s="5" t="s">
        <v>19314</v>
      </c>
      <c r="C19306" s="5">
        <v>122.8</v>
      </c>
      <c r="D19306" s="5">
        <v>0.1</v>
      </c>
      <c r="E19306" s="5">
        <v>122.9</v>
      </c>
      <c r="F19306" s="5">
        <v>244.5</v>
      </c>
      <c r="G19306" s="5">
        <v>121.6</v>
      </c>
      <c r="H19306" s="5">
        <v>121.4</v>
      </c>
      <c r="I19306" s="5"/>
      <c r="J19306" s="5"/>
      <c r="K19306" s="5"/>
    </row>
    <row r="19307" spans="1:11" x14ac:dyDescent="0.25">
      <c r="A19307" s="5">
        <f>19300</f>
      </c>
      <c r="B19307" s="5" t="s">
        <v>19315</v>
      </c>
      <c r="C19307" s="5">
        <v>122.8</v>
      </c>
      <c r="D19307" s="5">
        <v>0.1</v>
      </c>
      <c r="E19307" s="5">
        <v>123</v>
      </c>
      <c r="F19307" s="5">
        <v>244.1</v>
      </c>
      <c r="G19307" s="5">
        <v>121.4</v>
      </c>
      <c r="H19307" s="5">
        <v>121.3</v>
      </c>
      <c r="I19307" s="5"/>
      <c r="J19307" s="5"/>
      <c r="K19307" s="5"/>
    </row>
    <row r="19308" spans="1:11" x14ac:dyDescent="0.25">
      <c r="A19308" s="5">
        <f>19301</f>
      </c>
      <c r="B19308" s="5" t="s">
        <v>19316</v>
      </c>
      <c r="C19308" s="5">
        <v>122.8</v>
      </c>
      <c r="D19308" s="5">
        <v>0.1</v>
      </c>
      <c r="E19308" s="5">
        <v>123</v>
      </c>
      <c r="F19308" s="5">
        <v>244.1</v>
      </c>
      <c r="G19308" s="5">
        <v>121.4</v>
      </c>
      <c r="H19308" s="5">
        <v>121.3</v>
      </c>
      <c r="I19308" s="5"/>
      <c r="J19308" s="5"/>
      <c r="K19308" s="5"/>
    </row>
    <row r="19309" spans="1:11" x14ac:dyDescent="0.25">
      <c r="A19309" s="5">
        <f>19302</f>
      </c>
      <c r="B19309" s="5" t="s">
        <v>19317</v>
      </c>
      <c r="C19309" s="5">
        <v>122.8</v>
      </c>
      <c r="D19309" s="5">
        <v>0.1</v>
      </c>
      <c r="E19309" s="5">
        <v>123</v>
      </c>
      <c r="F19309" s="5">
        <v>243.8</v>
      </c>
      <c r="G19309" s="5">
        <v>121.3</v>
      </c>
      <c r="H19309" s="5">
        <v>121.1</v>
      </c>
      <c r="I19309" s="5"/>
      <c r="J19309" s="5"/>
      <c r="K19309" s="5"/>
    </row>
    <row r="19310" spans="1:11" x14ac:dyDescent="0.25">
      <c r="A19310" s="5">
        <f>19303</f>
      </c>
      <c r="B19310" s="5" t="s">
        <v>19318</v>
      </c>
      <c r="C19310" s="5">
        <v>122.8</v>
      </c>
      <c r="D19310" s="5">
        <v>0.1</v>
      </c>
      <c r="E19310" s="5">
        <v>123</v>
      </c>
      <c r="F19310" s="5">
        <v>243.8</v>
      </c>
      <c r="G19310" s="5">
        <v>121.3</v>
      </c>
      <c r="H19310" s="5">
        <v>121.1</v>
      </c>
      <c r="I19310" s="5"/>
      <c r="J19310" s="5"/>
      <c r="K19310" s="5"/>
    </row>
    <row r="19311" spans="1:11" x14ac:dyDescent="0.25">
      <c r="A19311" s="5">
        <f>19304</f>
      </c>
      <c r="B19311" s="5" t="s">
        <v>19319</v>
      </c>
      <c r="C19311" s="5">
        <v>122.6</v>
      </c>
      <c r="D19311" s="5">
        <v>0.1</v>
      </c>
      <c r="E19311" s="5">
        <v>122.8</v>
      </c>
      <c r="F19311" s="5">
        <v>244.3</v>
      </c>
      <c r="G19311" s="5">
        <v>121.5</v>
      </c>
      <c r="H19311" s="5">
        <v>121.3</v>
      </c>
      <c r="I19311" s="5"/>
      <c r="J19311" s="5"/>
      <c r="K19311" s="5"/>
    </row>
    <row r="19312" spans="1:11" x14ac:dyDescent="0.25">
      <c r="A19312" s="5">
        <f>19305</f>
      </c>
      <c r="B19312" s="5" t="s">
        <v>19320</v>
      </c>
      <c r="C19312" s="5">
        <v>122.6</v>
      </c>
      <c r="D19312" s="5">
        <v>0.1</v>
      </c>
      <c r="E19312" s="5">
        <v>122.8</v>
      </c>
      <c r="F19312" s="5">
        <v>244.3</v>
      </c>
      <c r="G19312" s="5">
        <v>121.5</v>
      </c>
      <c r="H19312" s="5">
        <v>121.3</v>
      </c>
      <c r="I19312" s="5"/>
      <c r="J19312" s="5"/>
      <c r="K19312" s="5"/>
    </row>
    <row r="19313" spans="1:11" x14ac:dyDescent="0.25">
      <c r="A19313" s="5">
        <f>19306</f>
      </c>
      <c r="B19313" s="5" t="s">
        <v>19321</v>
      </c>
      <c r="C19313" s="5">
        <v>122.7</v>
      </c>
      <c r="D19313" s="5">
        <v>0.1</v>
      </c>
      <c r="E19313" s="5">
        <v>122.8</v>
      </c>
      <c r="F19313" s="5">
        <v>244.4</v>
      </c>
      <c r="G19313" s="5">
        <v>121.5</v>
      </c>
      <c r="H19313" s="5">
        <v>121.3</v>
      </c>
      <c r="I19313" s="5"/>
      <c r="J19313" s="5"/>
      <c r="K19313" s="5"/>
    </row>
    <row r="19314" spans="1:11" x14ac:dyDescent="0.25">
      <c r="A19314" s="5">
        <f>19307</f>
      </c>
      <c r="B19314" s="5" t="s">
        <v>19322</v>
      </c>
      <c r="C19314" s="5">
        <v>122.7</v>
      </c>
      <c r="D19314" s="5">
        <v>0.1</v>
      </c>
      <c r="E19314" s="5">
        <v>122.8</v>
      </c>
      <c r="F19314" s="5">
        <v>244.4</v>
      </c>
      <c r="G19314" s="5">
        <v>121.5</v>
      </c>
      <c r="H19314" s="5">
        <v>121.3</v>
      </c>
      <c r="I19314" s="5"/>
      <c r="J19314" s="5"/>
      <c r="K19314" s="5"/>
    </row>
    <row r="19315" spans="1:11" x14ac:dyDescent="0.25">
      <c r="A19315" s="5">
        <f>19308</f>
      </c>
      <c r="B19315" s="5" t="s">
        <v>19323</v>
      </c>
      <c r="C19315" s="5">
        <v>122.7</v>
      </c>
      <c r="D19315" s="5">
        <v>0.1</v>
      </c>
      <c r="E19315" s="5">
        <v>122.8</v>
      </c>
      <c r="F19315" s="5">
        <v>244.4</v>
      </c>
      <c r="G19315" s="5">
        <v>121.5</v>
      </c>
      <c r="H19315" s="5">
        <v>121.3</v>
      </c>
      <c r="I19315" s="5"/>
      <c r="J19315" s="5"/>
      <c r="K19315" s="5"/>
    </row>
    <row r="19316" spans="1:11" x14ac:dyDescent="0.25">
      <c r="A19316" s="5">
        <f>19309</f>
      </c>
      <c r="B19316" s="5" t="s">
        <v>19324</v>
      </c>
      <c r="C19316" s="5">
        <v>122.7</v>
      </c>
      <c r="D19316" s="5">
        <v>0.1</v>
      </c>
      <c r="E19316" s="5">
        <v>122.8</v>
      </c>
      <c r="F19316" s="5">
        <v>244.4</v>
      </c>
      <c r="G19316" s="5">
        <v>121.5</v>
      </c>
      <c r="H19316" s="5">
        <v>121.3</v>
      </c>
      <c r="I19316" s="5"/>
      <c r="J19316" s="5"/>
      <c r="K19316" s="5"/>
    </row>
    <row r="19317" spans="1:11" x14ac:dyDescent="0.25">
      <c r="A19317" s="5">
        <f>19310</f>
      </c>
      <c r="B19317" s="5" t="s">
        <v>19325</v>
      </c>
      <c r="C19317" s="5">
        <v>122.7</v>
      </c>
      <c r="D19317" s="5">
        <v>0.1</v>
      </c>
      <c r="E19317" s="5">
        <v>122.8</v>
      </c>
      <c r="F19317" s="5">
        <v>244.3</v>
      </c>
      <c r="G19317" s="5">
        <v>121.5</v>
      </c>
      <c r="H19317" s="5">
        <v>121.3</v>
      </c>
      <c r="I19317" s="5"/>
      <c r="J19317" s="5"/>
      <c r="K19317" s="5"/>
    </row>
    <row r="19318" spans="1:11" x14ac:dyDescent="0.25">
      <c r="A19318" s="5">
        <f>19311</f>
      </c>
      <c r="B19318" s="5" t="s">
        <v>19326</v>
      </c>
      <c r="C19318" s="5">
        <v>122.7</v>
      </c>
      <c r="D19318" s="5">
        <v>0.1</v>
      </c>
      <c r="E19318" s="5">
        <v>122.8</v>
      </c>
      <c r="F19318" s="5">
        <v>244.3</v>
      </c>
      <c r="G19318" s="5">
        <v>121.5</v>
      </c>
      <c r="H19318" s="5">
        <v>121.3</v>
      </c>
      <c r="I19318" s="5"/>
      <c r="J19318" s="5"/>
      <c r="K19318" s="5"/>
    </row>
    <row r="19319" spans="1:11" x14ac:dyDescent="0.25">
      <c r="A19319" s="5">
        <f>19312</f>
      </c>
      <c r="B19319" s="5" t="s">
        <v>19327</v>
      </c>
      <c r="C19319" s="5">
        <v>123.1</v>
      </c>
      <c r="D19319" s="5">
        <v>0.1</v>
      </c>
      <c r="E19319" s="5">
        <v>123.2</v>
      </c>
      <c r="F19319" s="5">
        <v>244.8</v>
      </c>
      <c r="G19319" s="5">
        <v>121.8</v>
      </c>
      <c r="H19319" s="5">
        <v>121.6</v>
      </c>
      <c r="I19319" s="5"/>
      <c r="J19319" s="5"/>
      <c r="K19319" s="5"/>
    </row>
    <row r="19320" spans="1:11" x14ac:dyDescent="0.25">
      <c r="A19320" s="5">
        <f>19313</f>
      </c>
      <c r="B19320" s="5" t="s">
        <v>19328</v>
      </c>
      <c r="C19320" s="5">
        <v>123.1</v>
      </c>
      <c r="D19320" s="5">
        <v>0.1</v>
      </c>
      <c r="E19320" s="5">
        <v>123.2</v>
      </c>
      <c r="F19320" s="5">
        <v>244.8</v>
      </c>
      <c r="G19320" s="5">
        <v>121.8</v>
      </c>
      <c r="H19320" s="5">
        <v>121.6</v>
      </c>
      <c r="I19320" s="5"/>
      <c r="J19320" s="5"/>
      <c r="K19320" s="5"/>
    </row>
    <row r="19321" spans="1:11" x14ac:dyDescent="0.25">
      <c r="A19321" s="5">
        <f>19314</f>
      </c>
      <c r="B19321" s="5" t="s">
        <v>19329</v>
      </c>
      <c r="C19321" s="5">
        <v>122.8</v>
      </c>
      <c r="D19321" s="5">
        <v>0.1</v>
      </c>
      <c r="E19321" s="5">
        <v>122.9</v>
      </c>
      <c r="F19321" s="5">
        <v>244.4</v>
      </c>
      <c r="G19321" s="5">
        <v>121.6</v>
      </c>
      <c r="H19321" s="5">
        <v>121.4</v>
      </c>
      <c r="I19321" s="5"/>
      <c r="J19321" s="5"/>
      <c r="K19321" s="5"/>
    </row>
    <row r="19322" spans="1:11" x14ac:dyDescent="0.25">
      <c r="A19322" s="5">
        <f>19315</f>
      </c>
      <c r="B19322" s="5" t="s">
        <v>19330</v>
      </c>
      <c r="C19322" s="5">
        <v>122.8</v>
      </c>
      <c r="D19322" s="5">
        <v>0.1</v>
      </c>
      <c r="E19322" s="5">
        <v>122.9</v>
      </c>
      <c r="F19322" s="5">
        <v>244.4</v>
      </c>
      <c r="G19322" s="5">
        <v>121.6</v>
      </c>
      <c r="H19322" s="5">
        <v>121.4</v>
      </c>
      <c r="I19322" s="5"/>
      <c r="J19322" s="5"/>
      <c r="K19322" s="5"/>
    </row>
    <row r="19323" spans="1:11" x14ac:dyDescent="0.25">
      <c r="A19323" s="5">
        <f>19316</f>
      </c>
      <c r="B19323" s="5" t="s">
        <v>19331</v>
      </c>
      <c r="C19323" s="5">
        <v>123</v>
      </c>
      <c r="D19323" s="5">
        <v>0.1</v>
      </c>
      <c r="E19323" s="5">
        <v>123.2</v>
      </c>
      <c r="F19323" s="5">
        <v>244.8</v>
      </c>
      <c r="G19323" s="5">
        <v>121.7</v>
      </c>
      <c r="H19323" s="5">
        <v>121.6</v>
      </c>
      <c r="I19323" s="5"/>
      <c r="J19323" s="5"/>
      <c r="K19323" s="5"/>
    </row>
    <row r="19324" spans="1:11" x14ac:dyDescent="0.25">
      <c r="A19324" s="5">
        <f>19317</f>
      </c>
      <c r="B19324" s="5" t="s">
        <v>19332</v>
      </c>
      <c r="C19324" s="5">
        <v>123</v>
      </c>
      <c r="D19324" s="5">
        <v>0.1</v>
      </c>
      <c r="E19324" s="5">
        <v>123.2</v>
      </c>
      <c r="F19324" s="5">
        <v>244.8</v>
      </c>
      <c r="G19324" s="5">
        <v>121.7</v>
      </c>
      <c r="H19324" s="5">
        <v>121.6</v>
      </c>
      <c r="I19324" s="5"/>
      <c r="J19324" s="5"/>
      <c r="K19324" s="5"/>
    </row>
    <row r="19325" spans="1:11" x14ac:dyDescent="0.25">
      <c r="A19325" s="5">
        <f>19318</f>
      </c>
      <c r="B19325" s="5" t="s">
        <v>19333</v>
      </c>
      <c r="C19325" s="5">
        <v>123</v>
      </c>
      <c r="D19325" s="5">
        <v>0.1</v>
      </c>
      <c r="E19325" s="5">
        <v>123.2</v>
      </c>
      <c r="F19325" s="5">
        <v>244.8</v>
      </c>
      <c r="G19325" s="5">
        <v>121.7</v>
      </c>
      <c r="H19325" s="5">
        <v>121.6</v>
      </c>
      <c r="I19325" s="5"/>
      <c r="J19325" s="5"/>
      <c r="K19325" s="5"/>
    </row>
    <row r="19326" spans="1:11" x14ac:dyDescent="0.25">
      <c r="A19326" s="5">
        <f>19319</f>
      </c>
      <c r="B19326" s="5" t="s">
        <v>19334</v>
      </c>
      <c r="C19326" s="5">
        <v>123</v>
      </c>
      <c r="D19326" s="5">
        <v>0.1</v>
      </c>
      <c r="E19326" s="5">
        <v>123.2</v>
      </c>
      <c r="F19326" s="5">
        <v>244.8</v>
      </c>
      <c r="G19326" s="5">
        <v>121.7</v>
      </c>
      <c r="H19326" s="5">
        <v>121.6</v>
      </c>
      <c r="I19326" s="5"/>
      <c r="J19326" s="5"/>
      <c r="K19326" s="5"/>
    </row>
    <row r="19327" spans="1:11" x14ac:dyDescent="0.25">
      <c r="A19327" s="5">
        <f>19320</f>
      </c>
      <c r="B19327" s="5" t="s">
        <v>19335</v>
      </c>
      <c r="C19327" s="5">
        <v>123</v>
      </c>
      <c r="D19327" s="5">
        <v>0.1</v>
      </c>
      <c r="E19327" s="5">
        <v>123.1</v>
      </c>
      <c r="F19327" s="5">
        <v>244.3</v>
      </c>
      <c r="G19327" s="5">
        <v>121.5</v>
      </c>
      <c r="H19327" s="5">
        <v>121.4</v>
      </c>
      <c r="I19327" s="5"/>
      <c r="J19327" s="5"/>
      <c r="K19327" s="5"/>
    </row>
    <row r="19328" spans="1:11" x14ac:dyDescent="0.25">
      <c r="A19328" s="5">
        <f>19321</f>
      </c>
      <c r="B19328" s="5" t="s">
        <v>19336</v>
      </c>
      <c r="C19328" s="5">
        <v>123</v>
      </c>
      <c r="D19328" s="5">
        <v>0.1</v>
      </c>
      <c r="E19328" s="5">
        <v>123.1</v>
      </c>
      <c r="F19328" s="5">
        <v>244.3</v>
      </c>
      <c r="G19328" s="5">
        <v>121.5</v>
      </c>
      <c r="H19328" s="5">
        <v>121.4</v>
      </c>
      <c r="I19328" s="5"/>
      <c r="J19328" s="5"/>
      <c r="K19328" s="5"/>
    </row>
    <row r="19329" spans="1:11" x14ac:dyDescent="0.25">
      <c r="A19329" s="5">
        <f>19322</f>
      </c>
      <c r="B19329" s="5" t="s">
        <v>19337</v>
      </c>
      <c r="C19329" s="5">
        <v>122.8</v>
      </c>
      <c r="D19329" s="5">
        <v>0.1</v>
      </c>
      <c r="E19329" s="5">
        <v>123</v>
      </c>
      <c r="F19329" s="5">
        <v>244.4</v>
      </c>
      <c r="G19329" s="5">
        <v>121.5</v>
      </c>
      <c r="H19329" s="5">
        <v>121.3</v>
      </c>
      <c r="I19329" s="5"/>
      <c r="J19329" s="5"/>
      <c r="K19329" s="5"/>
    </row>
    <row r="19330" spans="1:11" x14ac:dyDescent="0.25">
      <c r="A19330" s="5">
        <f>19323</f>
      </c>
      <c r="B19330" s="5" t="s">
        <v>19338</v>
      </c>
      <c r="C19330" s="5">
        <v>122.8</v>
      </c>
      <c r="D19330" s="5">
        <v>0.1</v>
      </c>
      <c r="E19330" s="5">
        <v>123</v>
      </c>
      <c r="F19330" s="5">
        <v>244.4</v>
      </c>
      <c r="G19330" s="5">
        <v>121.5</v>
      </c>
      <c r="H19330" s="5">
        <v>121.3</v>
      </c>
      <c r="I19330" s="5"/>
      <c r="J19330" s="5"/>
      <c r="K19330" s="5"/>
    </row>
    <row r="19331" spans="1:11" x14ac:dyDescent="0.25">
      <c r="A19331" s="5">
        <f>19324</f>
      </c>
      <c r="B19331" s="5" t="s">
        <v>19339</v>
      </c>
      <c r="C19331" s="5">
        <v>122.7</v>
      </c>
      <c r="D19331" s="5">
        <v>0.1</v>
      </c>
      <c r="E19331" s="5">
        <v>122.9</v>
      </c>
      <c r="F19331" s="5">
        <v>244.7</v>
      </c>
      <c r="G19331" s="5">
        <v>121.7</v>
      </c>
      <c r="H19331" s="5">
        <v>121.4</v>
      </c>
      <c r="I19331" s="5"/>
      <c r="J19331" s="5"/>
      <c r="K19331" s="5"/>
    </row>
    <row r="19332" spans="1:11" x14ac:dyDescent="0.25">
      <c r="A19332" s="5">
        <f>19325</f>
      </c>
      <c r="B19332" s="5" t="s">
        <v>19340</v>
      </c>
      <c r="C19332" s="5">
        <v>122.7</v>
      </c>
      <c r="D19332" s="5">
        <v>0.1</v>
      </c>
      <c r="E19332" s="5">
        <v>122.9</v>
      </c>
      <c r="F19332" s="5">
        <v>244.7</v>
      </c>
      <c r="G19332" s="5">
        <v>121.7</v>
      </c>
      <c r="H19332" s="5">
        <v>121.4</v>
      </c>
      <c r="I19332" s="5"/>
      <c r="J19332" s="5"/>
      <c r="K19332" s="5"/>
    </row>
    <row r="19333" spans="1:11" x14ac:dyDescent="0.25">
      <c r="A19333" s="5">
        <f>19326</f>
      </c>
      <c r="B19333" s="5" t="s">
        <v>19341</v>
      </c>
      <c r="C19333" s="5">
        <v>122.7</v>
      </c>
      <c r="D19333" s="5">
        <v>0.1</v>
      </c>
      <c r="E19333" s="5">
        <v>122.8</v>
      </c>
      <c r="F19333" s="5">
        <v>244.2</v>
      </c>
      <c r="G19333" s="5">
        <v>121.4</v>
      </c>
      <c r="H19333" s="5">
        <v>121.2</v>
      </c>
      <c r="I19333" s="5"/>
      <c r="J19333" s="5"/>
      <c r="K19333" s="5"/>
    </row>
    <row r="19334" spans="1:11" x14ac:dyDescent="0.25">
      <c r="A19334" s="5">
        <f>19327</f>
      </c>
      <c r="B19334" s="5" t="s">
        <v>19342</v>
      </c>
      <c r="C19334" s="5">
        <v>122.7</v>
      </c>
      <c r="D19334" s="5">
        <v>0.1</v>
      </c>
      <c r="E19334" s="5">
        <v>122.8</v>
      </c>
      <c r="F19334" s="5">
        <v>244.2</v>
      </c>
      <c r="G19334" s="5">
        <v>121.4</v>
      </c>
      <c r="H19334" s="5">
        <v>121.2</v>
      </c>
      <c r="I19334" s="5"/>
      <c r="J19334" s="5"/>
      <c r="K19334" s="5"/>
    </row>
    <row r="19335" spans="1:11" x14ac:dyDescent="0.25">
      <c r="A19335" s="5">
        <f>19328</f>
      </c>
      <c r="B19335" s="5" t="s">
        <v>19343</v>
      </c>
      <c r="C19335" s="5">
        <v>122.7</v>
      </c>
      <c r="D19335" s="5">
        <v>0.1</v>
      </c>
      <c r="E19335" s="5">
        <v>122.8</v>
      </c>
      <c r="F19335" s="5">
        <v>244.2</v>
      </c>
      <c r="G19335" s="5">
        <v>121.4</v>
      </c>
      <c r="H19335" s="5">
        <v>121.2</v>
      </c>
      <c r="I19335" s="5"/>
      <c r="J19335" s="5"/>
      <c r="K19335" s="5"/>
    </row>
    <row r="19336" spans="1:11" x14ac:dyDescent="0.25">
      <c r="A19336" s="5">
        <f>19329</f>
      </c>
      <c r="B19336" s="5" t="s">
        <v>19344</v>
      </c>
      <c r="C19336" s="5">
        <v>122.7</v>
      </c>
      <c r="D19336" s="5">
        <v>0.1</v>
      </c>
      <c r="E19336" s="5">
        <v>122.8</v>
      </c>
      <c r="F19336" s="5">
        <v>244.2</v>
      </c>
      <c r="G19336" s="5">
        <v>121.4</v>
      </c>
      <c r="H19336" s="5">
        <v>121.2</v>
      </c>
      <c r="I19336" s="5"/>
      <c r="J19336" s="5"/>
      <c r="K19336" s="5"/>
    </row>
    <row r="19337" spans="1:11" x14ac:dyDescent="0.25">
      <c r="A19337" s="5">
        <f>19330</f>
      </c>
      <c r="B19337" s="5" t="s">
        <v>19345</v>
      </c>
      <c r="C19337" s="5">
        <v>122.9</v>
      </c>
      <c r="D19337" s="5">
        <v>0.1</v>
      </c>
      <c r="E19337" s="5">
        <v>123.1</v>
      </c>
      <c r="F19337" s="5">
        <v>244.3</v>
      </c>
      <c r="G19337" s="5">
        <v>121.5</v>
      </c>
      <c r="H19337" s="5">
        <v>121.3</v>
      </c>
      <c r="I19337" s="5"/>
      <c r="J19337" s="5"/>
      <c r="K19337" s="5"/>
    </row>
    <row r="19338" spans="1:11" x14ac:dyDescent="0.25">
      <c r="A19338" s="5">
        <f>19331</f>
      </c>
      <c r="B19338" s="5" t="s">
        <v>19346</v>
      </c>
      <c r="C19338" s="5">
        <v>122.9</v>
      </c>
      <c r="D19338" s="5">
        <v>0.1</v>
      </c>
      <c r="E19338" s="5">
        <v>123.1</v>
      </c>
      <c r="F19338" s="5">
        <v>244.3</v>
      </c>
      <c r="G19338" s="5">
        <v>121.5</v>
      </c>
      <c r="H19338" s="5">
        <v>121.3</v>
      </c>
      <c r="I19338" s="5"/>
      <c r="J19338" s="5"/>
      <c r="K19338" s="5"/>
    </row>
    <row r="19339" spans="1:11" x14ac:dyDescent="0.25">
      <c r="A19339" s="5">
        <f>19332</f>
      </c>
      <c r="B19339" s="5" t="s">
        <v>19347</v>
      </c>
      <c r="C19339" s="5">
        <v>122.8</v>
      </c>
      <c r="D19339" s="5">
        <v>0.1</v>
      </c>
      <c r="E19339" s="5">
        <v>123</v>
      </c>
      <c r="F19339" s="5">
        <v>244.4</v>
      </c>
      <c r="G19339" s="5">
        <v>121.5</v>
      </c>
      <c r="H19339" s="5">
        <v>121.4</v>
      </c>
      <c r="I19339" s="5"/>
      <c r="J19339" s="5"/>
      <c r="K19339" s="5"/>
    </row>
    <row r="19340" spans="1:11" x14ac:dyDescent="0.25">
      <c r="A19340" s="5">
        <f>19333</f>
      </c>
      <c r="B19340" s="5" t="s">
        <v>19348</v>
      </c>
      <c r="C19340" s="5">
        <v>122.8</v>
      </c>
      <c r="D19340" s="5">
        <v>0.1</v>
      </c>
      <c r="E19340" s="5">
        <v>123</v>
      </c>
      <c r="F19340" s="5">
        <v>244.4</v>
      </c>
      <c r="G19340" s="5">
        <v>121.5</v>
      </c>
      <c r="H19340" s="5">
        <v>121.4</v>
      </c>
      <c r="I19340" s="5"/>
      <c r="J19340" s="5"/>
      <c r="K19340" s="5"/>
    </row>
    <row r="19341" spans="1:11" x14ac:dyDescent="0.25">
      <c r="A19341" s="5">
        <f>19334</f>
      </c>
      <c r="B19341" s="5" t="s">
        <v>19349</v>
      </c>
      <c r="C19341" s="5">
        <v>122.8</v>
      </c>
      <c r="D19341" s="5">
        <v>0.1</v>
      </c>
      <c r="E19341" s="5">
        <v>123.1</v>
      </c>
      <c r="F19341" s="5">
        <v>244.6</v>
      </c>
      <c r="G19341" s="5">
        <v>121.6</v>
      </c>
      <c r="H19341" s="5">
        <v>121.5</v>
      </c>
      <c r="I19341" s="5"/>
      <c r="J19341" s="5"/>
      <c r="K19341" s="5"/>
    </row>
    <row r="19342" spans="1:11" x14ac:dyDescent="0.25">
      <c r="A19342" s="5">
        <f>19335</f>
      </c>
      <c r="B19342" s="5" t="s">
        <v>19350</v>
      </c>
      <c r="C19342" s="5">
        <v>122.8</v>
      </c>
      <c r="D19342" s="5">
        <v>0.1</v>
      </c>
      <c r="E19342" s="5">
        <v>123.1</v>
      </c>
      <c r="F19342" s="5">
        <v>244.6</v>
      </c>
      <c r="G19342" s="5">
        <v>121.6</v>
      </c>
      <c r="H19342" s="5">
        <v>121.5</v>
      </c>
      <c r="I19342" s="5"/>
      <c r="J19342" s="5"/>
      <c r="K19342" s="5"/>
    </row>
    <row r="19343" spans="1:11" x14ac:dyDescent="0.25">
      <c r="A19343" s="5">
        <f>19336</f>
      </c>
      <c r="B19343" s="5" t="s">
        <v>19351</v>
      </c>
      <c r="C19343" s="5">
        <v>122.8</v>
      </c>
      <c r="D19343" s="5">
        <v>0.1</v>
      </c>
      <c r="E19343" s="5">
        <v>123.1</v>
      </c>
      <c r="F19343" s="5">
        <v>244.4</v>
      </c>
      <c r="G19343" s="5">
        <v>121.5</v>
      </c>
      <c r="H19343" s="5">
        <v>121.4</v>
      </c>
      <c r="I19343" s="5"/>
      <c r="J19343" s="5"/>
      <c r="K19343" s="5"/>
    </row>
    <row r="19344" spans="1:11" x14ac:dyDescent="0.25">
      <c r="A19344" s="5">
        <f>19337</f>
      </c>
      <c r="B19344" s="5" t="s">
        <v>19352</v>
      </c>
      <c r="C19344" s="5">
        <v>122.8</v>
      </c>
      <c r="D19344" s="5">
        <v>0.1</v>
      </c>
      <c r="E19344" s="5">
        <v>123.1</v>
      </c>
      <c r="F19344" s="5">
        <v>244.4</v>
      </c>
      <c r="G19344" s="5">
        <v>121.5</v>
      </c>
      <c r="H19344" s="5">
        <v>121.4</v>
      </c>
      <c r="I19344" s="5"/>
      <c r="J19344" s="5"/>
      <c r="K19344" s="5"/>
    </row>
    <row r="19345" spans="1:11" x14ac:dyDescent="0.25">
      <c r="A19345" s="5">
        <f>19338</f>
      </c>
      <c r="B19345" s="5" t="s">
        <v>19353</v>
      </c>
      <c r="C19345" s="5">
        <v>122.8</v>
      </c>
      <c r="D19345" s="5">
        <v>0.1</v>
      </c>
      <c r="E19345" s="5">
        <v>123.1</v>
      </c>
      <c r="F19345" s="5">
        <v>244.4</v>
      </c>
      <c r="G19345" s="5">
        <v>121.5</v>
      </c>
      <c r="H19345" s="5">
        <v>121.4</v>
      </c>
      <c r="I19345" s="5"/>
      <c r="J19345" s="5"/>
      <c r="K19345" s="5"/>
    </row>
    <row r="19346" spans="1:11" x14ac:dyDescent="0.25">
      <c r="A19346" s="5">
        <f>19339</f>
      </c>
      <c r="B19346" s="5" t="s">
        <v>19354</v>
      </c>
      <c r="C19346" s="5">
        <v>122.8</v>
      </c>
      <c r="D19346" s="5">
        <v>0.1</v>
      </c>
      <c r="E19346" s="5">
        <v>123.1</v>
      </c>
      <c r="F19346" s="5">
        <v>244.4</v>
      </c>
      <c r="G19346" s="5">
        <v>121.5</v>
      </c>
      <c r="H19346" s="5">
        <v>121.4</v>
      </c>
      <c r="I19346" s="5"/>
      <c r="J19346" s="5"/>
      <c r="K19346" s="5"/>
    </row>
    <row r="19347" spans="1:11" x14ac:dyDescent="0.25">
      <c r="A19347" s="5">
        <f>19340</f>
      </c>
      <c r="B19347" s="5" t="s">
        <v>19355</v>
      </c>
      <c r="C19347" s="5">
        <v>122.8</v>
      </c>
      <c r="D19347" s="5">
        <v>0.1</v>
      </c>
      <c r="E19347" s="5">
        <v>122.9</v>
      </c>
      <c r="F19347" s="5">
        <v>244.1</v>
      </c>
      <c r="G19347" s="5">
        <v>121.4</v>
      </c>
      <c r="H19347" s="5">
        <v>121.3</v>
      </c>
      <c r="I19347" s="5"/>
      <c r="J19347" s="5"/>
      <c r="K19347" s="5"/>
    </row>
    <row r="19348" spans="1:11" x14ac:dyDescent="0.25">
      <c r="A19348" s="5">
        <f>19341</f>
      </c>
      <c r="B19348" s="5" t="s">
        <v>19356</v>
      </c>
      <c r="C19348" s="5">
        <v>122.8</v>
      </c>
      <c r="D19348" s="5">
        <v>0.1</v>
      </c>
      <c r="E19348" s="5">
        <v>122.9</v>
      </c>
      <c r="F19348" s="5">
        <v>244.1</v>
      </c>
      <c r="G19348" s="5">
        <v>121.4</v>
      </c>
      <c r="H19348" s="5">
        <v>121.3</v>
      </c>
      <c r="I19348" s="5"/>
      <c r="J19348" s="5"/>
      <c r="K19348" s="5"/>
    </row>
    <row r="19349" spans="1:11" x14ac:dyDescent="0.25">
      <c r="A19349" s="5">
        <f>19342</f>
      </c>
      <c r="B19349" s="5" t="s">
        <v>19357</v>
      </c>
      <c r="C19349" s="5">
        <v>122.8</v>
      </c>
      <c r="D19349" s="5">
        <v>0.1</v>
      </c>
      <c r="E19349" s="5">
        <v>122.9</v>
      </c>
      <c r="F19349" s="5">
        <v>244.5</v>
      </c>
      <c r="G19349" s="5">
        <v>121.6</v>
      </c>
      <c r="H19349" s="5">
        <v>121.4</v>
      </c>
      <c r="I19349" s="5"/>
      <c r="J19349" s="5"/>
      <c r="K19349" s="5"/>
    </row>
    <row r="19350" spans="1:11" x14ac:dyDescent="0.25">
      <c r="A19350" s="5">
        <f>19343</f>
      </c>
      <c r="B19350" s="5" t="s">
        <v>19358</v>
      </c>
      <c r="C19350" s="5">
        <v>122.8</v>
      </c>
      <c r="D19350" s="5">
        <v>0.1</v>
      </c>
      <c r="E19350" s="5">
        <v>122.9</v>
      </c>
      <c r="F19350" s="5">
        <v>244.5</v>
      </c>
      <c r="G19350" s="5">
        <v>121.6</v>
      </c>
      <c r="H19350" s="5">
        <v>121.4</v>
      </c>
      <c r="I19350" s="5"/>
      <c r="J19350" s="5"/>
      <c r="K19350" s="5"/>
    </row>
    <row r="19351" spans="1:11" x14ac:dyDescent="0.25">
      <c r="A19351" s="5">
        <f>19344</f>
      </c>
      <c r="B19351" s="5" t="s">
        <v>19359</v>
      </c>
      <c r="C19351" s="5">
        <v>122.8</v>
      </c>
      <c r="D19351" s="5">
        <v>0.1</v>
      </c>
      <c r="E19351" s="5">
        <v>123</v>
      </c>
      <c r="F19351" s="5">
        <v>244.1</v>
      </c>
      <c r="G19351" s="5">
        <v>121.4</v>
      </c>
      <c r="H19351" s="5">
        <v>121.2</v>
      </c>
      <c r="I19351" s="5"/>
      <c r="J19351" s="5"/>
      <c r="K19351" s="5"/>
    </row>
    <row r="19352" spans="1:11" x14ac:dyDescent="0.25">
      <c r="A19352" s="5">
        <f>19345</f>
      </c>
      <c r="B19352" s="5" t="s">
        <v>19360</v>
      </c>
      <c r="C19352" s="5">
        <v>122.8</v>
      </c>
      <c r="D19352" s="5">
        <v>0.1</v>
      </c>
      <c r="E19352" s="5">
        <v>123</v>
      </c>
      <c r="F19352" s="5">
        <v>244.1</v>
      </c>
      <c r="G19352" s="5">
        <v>121.4</v>
      </c>
      <c r="H19352" s="5">
        <v>121.2</v>
      </c>
      <c r="I19352" s="5"/>
      <c r="J19352" s="5"/>
      <c r="K19352" s="5"/>
    </row>
    <row r="19353" spans="1:11" x14ac:dyDescent="0.25">
      <c r="A19353" s="5">
        <f>19346</f>
      </c>
      <c r="B19353" s="5" t="s">
        <v>19361</v>
      </c>
      <c r="C19353" s="5">
        <v>122.4</v>
      </c>
      <c r="D19353" s="5">
        <v>0.1</v>
      </c>
      <c r="E19353" s="5">
        <v>122.5</v>
      </c>
      <c r="F19353" s="5">
        <v>243.3</v>
      </c>
      <c r="G19353" s="5">
        <v>121</v>
      </c>
      <c r="H19353" s="5">
        <v>120.8</v>
      </c>
      <c r="I19353" s="5"/>
      <c r="J19353" s="5"/>
      <c r="K19353" s="5"/>
    </row>
    <row r="19354" spans="1:11" x14ac:dyDescent="0.25">
      <c r="A19354" s="5">
        <f>19347</f>
      </c>
      <c r="B19354" s="5" t="s">
        <v>19362</v>
      </c>
      <c r="C19354" s="5">
        <v>122.4</v>
      </c>
      <c r="D19354" s="5">
        <v>0.1</v>
      </c>
      <c r="E19354" s="5">
        <v>122.5</v>
      </c>
      <c r="F19354" s="5">
        <v>243.3</v>
      </c>
      <c r="G19354" s="5">
        <v>121</v>
      </c>
      <c r="H19354" s="5">
        <v>120.8</v>
      </c>
      <c r="I19354" s="5"/>
      <c r="J19354" s="5"/>
      <c r="K19354" s="5"/>
    </row>
    <row r="19355" spans="1:11" x14ac:dyDescent="0.25">
      <c r="A19355" s="5">
        <f>19348</f>
      </c>
      <c r="B19355" s="5" t="s">
        <v>19363</v>
      </c>
      <c r="C19355" s="5">
        <v>122.4</v>
      </c>
      <c r="D19355" s="5">
        <v>0.1</v>
      </c>
      <c r="E19355" s="5">
        <v>122.5</v>
      </c>
      <c r="F19355" s="5">
        <v>243.3</v>
      </c>
      <c r="G19355" s="5">
        <v>121</v>
      </c>
      <c r="H19355" s="5">
        <v>120.8</v>
      </c>
      <c r="I19355" s="5"/>
      <c r="J19355" s="5"/>
      <c r="K19355" s="5"/>
    </row>
    <row r="19356" spans="1:11" x14ac:dyDescent="0.25">
      <c r="A19356" s="5">
        <f>19349</f>
      </c>
      <c r="B19356" s="5" t="s">
        <v>19364</v>
      </c>
      <c r="C19356" s="5">
        <v>122.4</v>
      </c>
      <c r="D19356" s="5">
        <v>0.1</v>
      </c>
      <c r="E19356" s="5">
        <v>122.5</v>
      </c>
      <c r="F19356" s="5">
        <v>243.3</v>
      </c>
      <c r="G19356" s="5">
        <v>121</v>
      </c>
      <c r="H19356" s="5">
        <v>120.8</v>
      </c>
      <c r="I19356" s="5"/>
      <c r="J19356" s="5"/>
      <c r="K19356" s="5"/>
    </row>
    <row r="19357" spans="1:11" x14ac:dyDescent="0.25">
      <c r="A19357" s="5">
        <f>19350</f>
      </c>
      <c r="B19357" s="5" t="s">
        <v>19365</v>
      </c>
      <c r="C19357" s="5">
        <v>122.4</v>
      </c>
      <c r="D19357" s="5">
        <v>0.1</v>
      </c>
      <c r="E19357" s="5">
        <v>122.6</v>
      </c>
      <c r="F19357" s="5">
        <v>243.8</v>
      </c>
      <c r="G19357" s="5">
        <v>121.3</v>
      </c>
      <c r="H19357" s="5">
        <v>121.1</v>
      </c>
      <c r="I19357" s="5"/>
      <c r="J19357" s="5"/>
      <c r="K19357" s="5"/>
    </row>
    <row r="19358" spans="1:11" x14ac:dyDescent="0.25">
      <c r="A19358" s="5">
        <f>19351</f>
      </c>
      <c r="B19358" s="5" t="s">
        <v>19366</v>
      </c>
      <c r="C19358" s="5">
        <v>122.4</v>
      </c>
      <c r="D19358" s="5">
        <v>0.1</v>
      </c>
      <c r="E19358" s="5">
        <v>122.6</v>
      </c>
      <c r="F19358" s="5">
        <v>243.8</v>
      </c>
      <c r="G19358" s="5">
        <v>121.3</v>
      </c>
      <c r="H19358" s="5">
        <v>121.1</v>
      </c>
      <c r="I19358" s="5"/>
      <c r="J19358" s="5"/>
      <c r="K19358" s="5"/>
    </row>
    <row r="19359" spans="1:11" x14ac:dyDescent="0.25">
      <c r="A19359" s="5">
        <f>19352</f>
      </c>
      <c r="B19359" s="5" t="s">
        <v>19367</v>
      </c>
      <c r="C19359" s="5">
        <v>122.3</v>
      </c>
      <c r="D19359" s="5">
        <v>0.1</v>
      </c>
      <c r="E19359" s="5">
        <v>122.5</v>
      </c>
      <c r="F19359" s="5">
        <v>243.6</v>
      </c>
      <c r="G19359" s="5">
        <v>121.1</v>
      </c>
      <c r="H19359" s="5">
        <v>120.9</v>
      </c>
      <c r="I19359" s="5"/>
      <c r="J19359" s="5"/>
      <c r="K19359" s="5"/>
    </row>
    <row r="19360" spans="1:11" x14ac:dyDescent="0.25">
      <c r="A19360" s="5">
        <f>19353</f>
      </c>
      <c r="B19360" s="5" t="s">
        <v>19368</v>
      </c>
      <c r="C19360" s="5">
        <v>122.3</v>
      </c>
      <c r="D19360" s="5">
        <v>0.1</v>
      </c>
      <c r="E19360" s="5">
        <v>122.5</v>
      </c>
      <c r="F19360" s="5">
        <v>243.6</v>
      </c>
      <c r="G19360" s="5">
        <v>121.1</v>
      </c>
      <c r="H19360" s="5">
        <v>120.9</v>
      </c>
      <c r="I19360" s="5"/>
      <c r="J19360" s="5"/>
      <c r="K19360" s="5"/>
    </row>
    <row r="19361" spans="1:11" x14ac:dyDescent="0.25">
      <c r="A19361" s="5">
        <f>19354</f>
      </c>
      <c r="B19361" s="5" t="s">
        <v>19369</v>
      </c>
      <c r="C19361" s="5">
        <v>122.2</v>
      </c>
      <c r="D19361" s="5">
        <v>0.1</v>
      </c>
      <c r="E19361" s="5">
        <v>122.4</v>
      </c>
      <c r="F19361" s="5">
        <v>243.2</v>
      </c>
      <c r="G19361" s="5">
        <v>120.9</v>
      </c>
      <c r="H19361" s="5">
        <v>120.8</v>
      </c>
      <c r="I19361" s="5"/>
      <c r="J19361" s="5"/>
      <c r="K19361" s="5"/>
    </row>
    <row r="19362" spans="1:11" x14ac:dyDescent="0.25">
      <c r="A19362" s="5">
        <f>19355</f>
      </c>
      <c r="B19362" s="5" t="s">
        <v>19370</v>
      </c>
      <c r="C19362" s="5">
        <v>122.2</v>
      </c>
      <c r="D19362" s="5">
        <v>0.1</v>
      </c>
      <c r="E19362" s="5">
        <v>122.4</v>
      </c>
      <c r="F19362" s="5">
        <v>243.2</v>
      </c>
      <c r="G19362" s="5">
        <v>120.9</v>
      </c>
      <c r="H19362" s="5">
        <v>120.8</v>
      </c>
      <c r="I19362" s="5"/>
      <c r="J19362" s="5"/>
      <c r="K19362" s="5"/>
    </row>
    <row r="19363" spans="1:11" x14ac:dyDescent="0.25">
      <c r="A19363" s="5">
        <f>19356</f>
      </c>
      <c r="B19363" s="5" t="s">
        <v>19371</v>
      </c>
      <c r="C19363" s="5">
        <v>122.2</v>
      </c>
      <c r="D19363" s="5">
        <v>0.1</v>
      </c>
      <c r="E19363" s="5">
        <v>122.4</v>
      </c>
      <c r="F19363" s="5">
        <v>243.1</v>
      </c>
      <c r="G19363" s="5">
        <v>120.8</v>
      </c>
      <c r="H19363" s="5">
        <v>120.7</v>
      </c>
      <c r="I19363" s="5"/>
      <c r="J19363" s="5"/>
      <c r="K19363" s="5"/>
    </row>
    <row r="19364" spans="1:11" x14ac:dyDescent="0.25">
      <c r="A19364" s="5">
        <f>19357</f>
      </c>
      <c r="B19364" s="5" t="s">
        <v>19372</v>
      </c>
      <c r="C19364" s="5">
        <v>122.2</v>
      </c>
      <c r="D19364" s="5">
        <v>0.1</v>
      </c>
      <c r="E19364" s="5">
        <v>122.4</v>
      </c>
      <c r="F19364" s="5">
        <v>243.1</v>
      </c>
      <c r="G19364" s="5">
        <v>120.8</v>
      </c>
      <c r="H19364" s="5">
        <v>120.7</v>
      </c>
      <c r="I19364" s="5"/>
      <c r="J19364" s="5"/>
      <c r="K19364" s="5"/>
    </row>
    <row r="19365" spans="1:11" x14ac:dyDescent="0.25">
      <c r="A19365" s="5">
        <f>19358</f>
      </c>
      <c r="B19365" s="5" t="s">
        <v>19373</v>
      </c>
      <c r="C19365" s="5">
        <v>122.2</v>
      </c>
      <c r="D19365" s="5">
        <v>0.1</v>
      </c>
      <c r="E19365" s="5">
        <v>122.4</v>
      </c>
      <c r="F19365" s="5">
        <v>243.1</v>
      </c>
      <c r="G19365" s="5">
        <v>120.8</v>
      </c>
      <c r="H19365" s="5">
        <v>120.7</v>
      </c>
      <c r="I19365" s="5"/>
      <c r="J19365" s="5"/>
      <c r="K19365" s="5"/>
    </row>
    <row r="19366" spans="1:11" x14ac:dyDescent="0.25">
      <c r="A19366" s="5">
        <f>19359</f>
      </c>
      <c r="B19366" s="5" t="s">
        <v>19374</v>
      </c>
      <c r="C19366" s="5">
        <v>122.2</v>
      </c>
      <c r="D19366" s="5">
        <v>0.1</v>
      </c>
      <c r="E19366" s="5">
        <v>122.5</v>
      </c>
      <c r="F19366" s="5">
        <v>243.1</v>
      </c>
      <c r="G19366" s="5">
        <v>120.8</v>
      </c>
      <c r="H19366" s="5">
        <v>120.7</v>
      </c>
      <c r="I19366" s="5"/>
      <c r="J19366" s="5"/>
      <c r="K19366" s="5"/>
    </row>
    <row r="19367" spans="1:11" x14ac:dyDescent="0.25">
      <c r="A19367" s="5">
        <f>19360</f>
      </c>
      <c r="B19367" s="5" t="s">
        <v>19375</v>
      </c>
      <c r="C19367" s="5">
        <v>122.3</v>
      </c>
      <c r="D19367" s="5">
        <v>0.1</v>
      </c>
      <c r="E19367" s="5">
        <v>122.5</v>
      </c>
      <c r="F19367" s="5">
        <v>243.3</v>
      </c>
      <c r="G19367" s="5">
        <v>121</v>
      </c>
      <c r="H19367" s="5">
        <v>120.8</v>
      </c>
      <c r="I19367" s="5"/>
      <c r="J19367" s="5"/>
      <c r="K19367" s="5"/>
    </row>
    <row r="19368" spans="1:11" x14ac:dyDescent="0.25">
      <c r="A19368" s="5">
        <f>19361</f>
      </c>
      <c r="B19368" s="5" t="s">
        <v>19376</v>
      </c>
      <c r="C19368" s="5">
        <v>122.3</v>
      </c>
      <c r="D19368" s="5">
        <v>0.1</v>
      </c>
      <c r="E19368" s="5">
        <v>122.5</v>
      </c>
      <c r="F19368" s="5">
        <v>243.3</v>
      </c>
      <c r="G19368" s="5">
        <v>121</v>
      </c>
      <c r="H19368" s="5">
        <v>120.8</v>
      </c>
      <c r="I19368" s="5"/>
      <c r="J19368" s="5"/>
      <c r="K19368" s="5"/>
    </row>
    <row r="19369" spans="1:11" x14ac:dyDescent="0.25">
      <c r="A19369" s="5">
        <f>19362</f>
      </c>
      <c r="B19369" s="5" t="s">
        <v>19377</v>
      </c>
      <c r="C19369" s="5">
        <v>122.2</v>
      </c>
      <c r="D19369" s="5">
        <v>0.1</v>
      </c>
      <c r="E19369" s="5">
        <v>122.4</v>
      </c>
      <c r="F19369" s="5">
        <v>243.4</v>
      </c>
      <c r="G19369" s="5">
        <v>120.9</v>
      </c>
      <c r="H19369" s="5">
        <v>120.8</v>
      </c>
      <c r="I19369" s="5"/>
      <c r="J19369" s="5"/>
      <c r="K19369" s="5"/>
    </row>
    <row r="19370" spans="1:11" x14ac:dyDescent="0.25">
      <c r="A19370" s="5">
        <f>19363</f>
      </c>
      <c r="B19370" s="5" t="s">
        <v>19378</v>
      </c>
      <c r="C19370" s="5">
        <v>122.2</v>
      </c>
      <c r="D19370" s="5">
        <v>0.1</v>
      </c>
      <c r="E19370" s="5">
        <v>122.4</v>
      </c>
      <c r="F19370" s="5">
        <v>243.4</v>
      </c>
      <c r="G19370" s="5">
        <v>120.9</v>
      </c>
      <c r="H19370" s="5">
        <v>120.8</v>
      </c>
      <c r="I19370" s="5"/>
      <c r="J19370" s="5"/>
      <c r="K19370" s="5"/>
    </row>
    <row r="19371" spans="1:11" x14ac:dyDescent="0.25">
      <c r="A19371" s="5">
        <f>19364</f>
      </c>
      <c r="B19371" s="5" t="s">
        <v>19379</v>
      </c>
      <c r="C19371" s="5">
        <v>122.1</v>
      </c>
      <c r="D19371" s="5">
        <v>0.1</v>
      </c>
      <c r="E19371" s="5">
        <v>122.3</v>
      </c>
      <c r="F19371" s="5">
        <v>243.4</v>
      </c>
      <c r="G19371" s="5">
        <v>121</v>
      </c>
      <c r="H19371" s="5">
        <v>120.7</v>
      </c>
      <c r="I19371" s="5"/>
      <c r="J19371" s="5"/>
      <c r="K19371" s="5"/>
    </row>
    <row r="19372" spans="1:11" x14ac:dyDescent="0.25">
      <c r="A19372" s="5">
        <f>19365</f>
      </c>
      <c r="B19372" s="5" t="s">
        <v>19380</v>
      </c>
      <c r="C19372" s="5">
        <v>122.1</v>
      </c>
      <c r="D19372" s="5">
        <v>0.1</v>
      </c>
      <c r="E19372" s="5">
        <v>122.3</v>
      </c>
      <c r="F19372" s="5">
        <v>243.4</v>
      </c>
      <c r="G19372" s="5">
        <v>121</v>
      </c>
      <c r="H19372" s="5">
        <v>120.7</v>
      </c>
      <c r="I19372" s="5"/>
      <c r="J19372" s="5"/>
      <c r="K19372" s="5"/>
    </row>
    <row r="19373" spans="1:11" x14ac:dyDescent="0.25">
      <c r="A19373" s="5">
        <f>19366</f>
      </c>
      <c r="B19373" s="5" t="s">
        <v>19381</v>
      </c>
      <c r="C19373" s="5">
        <v>122.8</v>
      </c>
      <c r="D19373" s="5">
        <v>0.1</v>
      </c>
      <c r="E19373" s="5">
        <v>123</v>
      </c>
      <c r="F19373" s="5">
        <v>243.8</v>
      </c>
      <c r="G19373" s="5">
        <v>121.2</v>
      </c>
      <c r="H19373" s="5">
        <v>121</v>
      </c>
      <c r="I19373" s="5"/>
      <c r="J19373" s="5"/>
      <c r="K19373" s="5"/>
    </row>
    <row r="19374" spans="1:11" x14ac:dyDescent="0.25">
      <c r="A19374" s="5">
        <f>19367</f>
      </c>
      <c r="B19374" s="5" t="s">
        <v>19382</v>
      </c>
      <c r="C19374" s="5">
        <v>122.8</v>
      </c>
      <c r="D19374" s="5">
        <v>0.1</v>
      </c>
      <c r="E19374" s="5">
        <v>123</v>
      </c>
      <c r="F19374" s="5">
        <v>243.8</v>
      </c>
      <c r="G19374" s="5">
        <v>121.2</v>
      </c>
      <c r="H19374" s="5">
        <v>121</v>
      </c>
      <c r="I19374" s="5"/>
      <c r="J19374" s="5"/>
      <c r="K19374" s="5"/>
    </row>
    <row r="19375" spans="1:11" x14ac:dyDescent="0.25">
      <c r="A19375" s="5">
        <f>19368</f>
      </c>
      <c r="B19375" s="5" t="s">
        <v>19383</v>
      </c>
      <c r="C19375" s="5">
        <v>122.8</v>
      </c>
      <c r="D19375" s="5">
        <v>0.1</v>
      </c>
      <c r="E19375" s="5">
        <v>123</v>
      </c>
      <c r="F19375" s="5">
        <v>243.8</v>
      </c>
      <c r="G19375" s="5">
        <v>121.2</v>
      </c>
      <c r="H19375" s="5">
        <v>121</v>
      </c>
      <c r="I19375" s="5"/>
      <c r="J19375" s="5"/>
      <c r="K19375" s="5"/>
    </row>
    <row r="19376" spans="1:11" x14ac:dyDescent="0.25">
      <c r="A19376" s="5">
        <f>19369</f>
      </c>
      <c r="B19376" s="5" t="s">
        <v>19384</v>
      </c>
      <c r="C19376" s="5">
        <v>122.8</v>
      </c>
      <c r="D19376" s="5">
        <v>0.1</v>
      </c>
      <c r="E19376" s="5">
        <v>123</v>
      </c>
      <c r="F19376" s="5">
        <v>243.8</v>
      </c>
      <c r="G19376" s="5">
        <v>121.2</v>
      </c>
      <c r="H19376" s="5">
        <v>121</v>
      </c>
      <c r="I19376" s="5"/>
      <c r="J19376" s="5"/>
      <c r="K19376" s="5"/>
    </row>
    <row r="19377" spans="1:11" x14ac:dyDescent="0.25">
      <c r="A19377" s="5">
        <f>19370</f>
      </c>
      <c r="B19377" s="5" t="s">
        <v>19385</v>
      </c>
      <c r="C19377" s="5">
        <v>122.5</v>
      </c>
      <c r="D19377" s="5">
        <v>0.1</v>
      </c>
      <c r="E19377" s="5">
        <v>122.7</v>
      </c>
      <c r="F19377" s="5">
        <v>243.4</v>
      </c>
      <c r="G19377" s="5">
        <v>121</v>
      </c>
      <c r="H19377" s="5">
        <v>120.9</v>
      </c>
      <c r="I19377" s="5"/>
      <c r="J19377" s="5"/>
      <c r="K19377" s="5"/>
    </row>
    <row r="19378" spans="1:11" x14ac:dyDescent="0.25">
      <c r="A19378" s="5">
        <f>19371</f>
      </c>
      <c r="B19378" s="5" t="s">
        <v>19386</v>
      </c>
      <c r="C19378" s="5">
        <v>122.5</v>
      </c>
      <c r="D19378" s="5">
        <v>0.1</v>
      </c>
      <c r="E19378" s="5">
        <v>122.7</v>
      </c>
      <c r="F19378" s="5">
        <v>243.4</v>
      </c>
      <c r="G19378" s="5">
        <v>121</v>
      </c>
      <c r="H19378" s="5">
        <v>120.9</v>
      </c>
      <c r="I19378" s="5"/>
      <c r="J19378" s="5"/>
      <c r="K19378" s="5"/>
    </row>
    <row r="19379" spans="1:11" x14ac:dyDescent="0.25">
      <c r="A19379" s="5">
        <f>19372</f>
      </c>
      <c r="B19379" s="5" t="s">
        <v>19387</v>
      </c>
      <c r="C19379" s="5">
        <v>122.5</v>
      </c>
      <c r="D19379" s="5">
        <v>0.1</v>
      </c>
      <c r="E19379" s="5">
        <v>122.6</v>
      </c>
      <c r="F19379" s="5">
        <v>243.5</v>
      </c>
      <c r="G19379" s="5">
        <v>121.1</v>
      </c>
      <c r="H19379" s="5">
        <v>120.9</v>
      </c>
      <c r="I19379" s="5"/>
      <c r="J19379" s="5"/>
      <c r="K19379" s="5"/>
    </row>
    <row r="19380" spans="1:11" x14ac:dyDescent="0.25">
      <c r="A19380" s="5">
        <f>19373</f>
      </c>
      <c r="B19380" s="5" t="s">
        <v>19388</v>
      </c>
      <c r="C19380" s="5">
        <v>122.5</v>
      </c>
      <c r="D19380" s="5">
        <v>0.1</v>
      </c>
      <c r="E19380" s="5">
        <v>122.6</v>
      </c>
      <c r="F19380" s="5">
        <v>243.5</v>
      </c>
      <c r="G19380" s="5">
        <v>121.1</v>
      </c>
      <c r="H19380" s="5">
        <v>120.9</v>
      </c>
      <c r="I19380" s="5"/>
      <c r="J19380" s="5"/>
      <c r="K19380" s="5"/>
    </row>
    <row r="19381" spans="1:11" x14ac:dyDescent="0.25">
      <c r="A19381" s="5">
        <f>19374</f>
      </c>
      <c r="B19381" s="5" t="s">
        <v>19389</v>
      </c>
      <c r="C19381" s="5">
        <v>122.5</v>
      </c>
      <c r="D19381" s="5">
        <v>0.1</v>
      </c>
      <c r="E19381" s="5">
        <v>122.8</v>
      </c>
      <c r="F19381" s="5">
        <v>243.9</v>
      </c>
      <c r="G19381" s="5">
        <v>121.3</v>
      </c>
      <c r="H19381" s="5">
        <v>121.1</v>
      </c>
      <c r="I19381" s="5"/>
      <c r="J19381" s="5"/>
      <c r="K19381" s="5"/>
    </row>
    <row r="19382" spans="1:11" x14ac:dyDescent="0.25">
      <c r="A19382" s="5">
        <f>19375</f>
      </c>
      <c r="B19382" s="5" t="s">
        <v>19390</v>
      </c>
      <c r="C19382" s="5">
        <v>122.5</v>
      </c>
      <c r="D19382" s="5">
        <v>0.1</v>
      </c>
      <c r="E19382" s="5">
        <v>122.8</v>
      </c>
      <c r="F19382" s="5">
        <v>243.9</v>
      </c>
      <c r="G19382" s="5">
        <v>121.3</v>
      </c>
      <c r="H19382" s="5">
        <v>121.1</v>
      </c>
      <c r="I19382" s="5"/>
      <c r="J19382" s="5"/>
      <c r="K19382" s="5"/>
    </row>
    <row r="19383" spans="1:11" x14ac:dyDescent="0.25">
      <c r="A19383" s="5">
        <f>19376</f>
      </c>
      <c r="B19383" s="5" t="s">
        <v>19391</v>
      </c>
      <c r="C19383" s="5">
        <v>122.5</v>
      </c>
      <c r="D19383" s="5">
        <v>0.1</v>
      </c>
      <c r="E19383" s="5">
        <v>122.6</v>
      </c>
      <c r="F19383" s="5">
        <v>243.4</v>
      </c>
      <c r="G19383" s="5">
        <v>121</v>
      </c>
      <c r="H19383" s="5">
        <v>120.9</v>
      </c>
      <c r="I19383" s="5"/>
      <c r="J19383" s="5"/>
      <c r="K19383" s="5"/>
    </row>
    <row r="19384" spans="1:11" x14ac:dyDescent="0.25">
      <c r="A19384" s="5">
        <f>19377</f>
      </c>
      <c r="B19384" s="5" t="s">
        <v>19392</v>
      </c>
      <c r="C19384" s="5">
        <v>122.5</v>
      </c>
      <c r="D19384" s="5">
        <v>0.1</v>
      </c>
      <c r="E19384" s="5">
        <v>122.6</v>
      </c>
      <c r="F19384" s="5">
        <v>243.4</v>
      </c>
      <c r="G19384" s="5">
        <v>121</v>
      </c>
      <c r="H19384" s="5">
        <v>120.9</v>
      </c>
      <c r="I19384" s="5"/>
      <c r="J19384" s="5"/>
      <c r="K19384" s="5"/>
    </row>
    <row r="19385" spans="1:11" x14ac:dyDescent="0.25">
      <c r="A19385" s="5">
        <f>19378</f>
      </c>
      <c r="B19385" s="5" t="s">
        <v>19393</v>
      </c>
      <c r="C19385" s="5">
        <v>122.5</v>
      </c>
      <c r="D19385" s="5">
        <v>0.1</v>
      </c>
      <c r="E19385" s="5">
        <v>122.6</v>
      </c>
      <c r="F19385" s="5">
        <v>243.4</v>
      </c>
      <c r="G19385" s="5">
        <v>121</v>
      </c>
      <c r="H19385" s="5">
        <v>120.9</v>
      </c>
      <c r="I19385" s="5"/>
      <c r="J19385" s="5"/>
      <c r="K19385" s="5"/>
    </row>
    <row r="19386" spans="1:11" x14ac:dyDescent="0.25">
      <c r="A19386" s="5">
        <f>19379</f>
      </c>
      <c r="B19386" s="5" t="s">
        <v>19394</v>
      </c>
      <c r="C19386" s="5">
        <v>122.5</v>
      </c>
      <c r="D19386" s="5">
        <v>0.1</v>
      </c>
      <c r="E19386" s="5">
        <v>122.6</v>
      </c>
      <c r="F19386" s="5">
        <v>243.4</v>
      </c>
      <c r="G19386" s="5">
        <v>121</v>
      </c>
      <c r="H19386" s="5">
        <v>120.9</v>
      </c>
      <c r="I19386" s="5"/>
      <c r="J19386" s="5"/>
      <c r="K19386" s="5"/>
    </row>
    <row r="19387" spans="1:11" x14ac:dyDescent="0.25">
      <c r="A19387" s="5">
        <f>19380</f>
      </c>
      <c r="B19387" s="5" t="s">
        <v>19395</v>
      </c>
      <c r="C19387" s="5">
        <v>122.5</v>
      </c>
      <c r="D19387" s="5">
        <v>0.1</v>
      </c>
      <c r="E19387" s="5">
        <v>122.8</v>
      </c>
      <c r="F19387" s="5">
        <v>244</v>
      </c>
      <c r="G19387" s="5">
        <v>121.3</v>
      </c>
      <c r="H19387" s="5">
        <v>121.1</v>
      </c>
      <c r="I19387" s="5"/>
      <c r="J19387" s="5"/>
      <c r="K19387" s="5"/>
    </row>
    <row r="19388" spans="1:11" x14ac:dyDescent="0.25">
      <c r="A19388" s="5">
        <f>19381</f>
      </c>
      <c r="B19388" s="5" t="s">
        <v>19396</v>
      </c>
      <c r="C19388" s="5">
        <v>122.5</v>
      </c>
      <c r="D19388" s="5">
        <v>0.1</v>
      </c>
      <c r="E19388" s="5">
        <v>122.8</v>
      </c>
      <c r="F19388" s="5">
        <v>244</v>
      </c>
      <c r="G19388" s="5">
        <v>121.3</v>
      </c>
      <c r="H19388" s="5">
        <v>121.1</v>
      </c>
      <c r="I19388" s="5"/>
      <c r="J19388" s="5"/>
      <c r="K19388" s="5"/>
    </row>
    <row r="19389" spans="1:11" x14ac:dyDescent="0.25">
      <c r="A19389" s="5">
        <f>19382</f>
      </c>
      <c r="B19389" s="5" t="s">
        <v>19397</v>
      </c>
      <c r="C19389" s="5">
        <v>122.8</v>
      </c>
      <c r="D19389" s="5">
        <v>0.1</v>
      </c>
      <c r="E19389" s="5">
        <v>122.9</v>
      </c>
      <c r="F19389" s="5">
        <v>244.2</v>
      </c>
      <c r="G19389" s="5">
        <v>121.5</v>
      </c>
      <c r="H19389" s="5">
        <v>121.2</v>
      </c>
      <c r="I19389" s="5"/>
      <c r="J19389" s="5"/>
      <c r="K19389" s="5"/>
    </row>
    <row r="19390" spans="1:11" x14ac:dyDescent="0.25">
      <c r="A19390" s="5">
        <f>19383</f>
      </c>
      <c r="B19390" s="5" t="s">
        <v>19398</v>
      </c>
      <c r="C19390" s="5">
        <v>122.8</v>
      </c>
      <c r="D19390" s="5">
        <v>0.1</v>
      </c>
      <c r="E19390" s="5">
        <v>122.9</v>
      </c>
      <c r="F19390" s="5">
        <v>244.2</v>
      </c>
      <c r="G19390" s="5">
        <v>121.5</v>
      </c>
      <c r="H19390" s="5">
        <v>121.2</v>
      </c>
      <c r="I19390" s="5"/>
      <c r="J19390" s="5"/>
      <c r="K19390" s="5"/>
    </row>
    <row r="19391" spans="1:11" x14ac:dyDescent="0.25">
      <c r="A19391" s="5">
        <f>19384</f>
      </c>
      <c r="B19391" s="5" t="s">
        <v>19399</v>
      </c>
      <c r="C19391" s="5">
        <v>122.8</v>
      </c>
      <c r="D19391" s="5">
        <v>0.1</v>
      </c>
      <c r="E19391" s="5">
        <v>123</v>
      </c>
      <c r="F19391" s="5">
        <v>244.5</v>
      </c>
      <c r="G19391" s="5">
        <v>121.6</v>
      </c>
      <c r="H19391" s="5">
        <v>121.3</v>
      </c>
      <c r="I19391" s="5"/>
      <c r="J19391" s="5"/>
      <c r="K19391" s="5"/>
    </row>
    <row r="19392" spans="1:11" x14ac:dyDescent="0.25">
      <c r="A19392" s="5">
        <f>19385</f>
      </c>
      <c r="B19392" s="5" t="s">
        <v>19400</v>
      </c>
      <c r="C19392" s="5">
        <v>122.8</v>
      </c>
      <c r="D19392" s="5">
        <v>0.1</v>
      </c>
      <c r="E19392" s="5">
        <v>123</v>
      </c>
      <c r="F19392" s="5">
        <v>244.5</v>
      </c>
      <c r="G19392" s="5">
        <v>121.6</v>
      </c>
      <c r="H19392" s="5">
        <v>121.3</v>
      </c>
      <c r="I19392" s="5"/>
      <c r="J19392" s="5"/>
      <c r="K19392" s="5"/>
    </row>
    <row r="19393" spans="1:11" x14ac:dyDescent="0.25">
      <c r="A19393" s="5">
        <f>19386</f>
      </c>
      <c r="B19393" s="5" t="s">
        <v>19401</v>
      </c>
      <c r="C19393" s="5">
        <v>122.8</v>
      </c>
      <c r="D19393" s="5">
        <v>0.1</v>
      </c>
      <c r="E19393" s="5">
        <v>122.9</v>
      </c>
      <c r="F19393" s="5">
        <v>244</v>
      </c>
      <c r="G19393" s="5">
        <v>121.3</v>
      </c>
      <c r="H19393" s="5">
        <v>121.1</v>
      </c>
      <c r="I19393" s="5"/>
      <c r="J19393" s="5"/>
      <c r="K19393" s="5"/>
    </row>
    <row r="19394" spans="1:11" x14ac:dyDescent="0.25">
      <c r="A19394" s="5">
        <f>19387</f>
      </c>
      <c r="B19394" s="5" t="s">
        <v>19402</v>
      </c>
      <c r="C19394" s="5">
        <v>122.8</v>
      </c>
      <c r="D19394" s="5">
        <v>0.1</v>
      </c>
      <c r="E19394" s="5">
        <v>122.9</v>
      </c>
      <c r="F19394" s="5">
        <v>244</v>
      </c>
      <c r="G19394" s="5">
        <v>121.3</v>
      </c>
      <c r="H19394" s="5">
        <v>121.1</v>
      </c>
      <c r="I19394" s="5"/>
      <c r="J19394" s="5"/>
      <c r="K19394" s="5"/>
    </row>
    <row r="19395" spans="1:11" x14ac:dyDescent="0.25">
      <c r="A19395" s="5">
        <f>19388</f>
      </c>
      <c r="B19395" s="5" t="s">
        <v>19403</v>
      </c>
      <c r="C19395" s="5">
        <v>122.8</v>
      </c>
      <c r="D19395" s="5">
        <v>0.1</v>
      </c>
      <c r="E19395" s="5">
        <v>122.9</v>
      </c>
      <c r="F19395" s="5">
        <v>244</v>
      </c>
      <c r="G19395" s="5">
        <v>121.3</v>
      </c>
      <c r="H19395" s="5">
        <v>121.1</v>
      </c>
      <c r="I19395" s="5"/>
      <c r="J19395" s="5"/>
      <c r="K19395" s="5"/>
    </row>
    <row r="19396" spans="1:11" x14ac:dyDescent="0.25">
      <c r="A19396" s="5">
        <f>19389</f>
      </c>
      <c r="B19396" s="5" t="s">
        <v>19404</v>
      </c>
      <c r="C19396" s="5">
        <v>122.8</v>
      </c>
      <c r="D19396" s="5">
        <v>0.1</v>
      </c>
      <c r="E19396" s="5">
        <v>122.9</v>
      </c>
      <c r="F19396" s="5">
        <v>244.1</v>
      </c>
      <c r="G19396" s="5">
        <v>121.4</v>
      </c>
      <c r="H19396" s="5">
        <v>121.2</v>
      </c>
      <c r="I19396" s="5"/>
      <c r="J19396" s="5"/>
      <c r="K19396" s="5"/>
    </row>
    <row r="19397" spans="1:11" x14ac:dyDescent="0.25">
      <c r="A19397" s="5">
        <f>19390</f>
      </c>
      <c r="B19397" s="5" t="s">
        <v>19405</v>
      </c>
      <c r="C19397" s="5">
        <v>122.8</v>
      </c>
      <c r="D19397" s="5">
        <v>0.1</v>
      </c>
      <c r="E19397" s="5">
        <v>122.9</v>
      </c>
      <c r="F19397" s="5">
        <v>244.1</v>
      </c>
      <c r="G19397" s="5">
        <v>121.4</v>
      </c>
      <c r="H19397" s="5">
        <v>121.2</v>
      </c>
      <c r="I19397" s="5"/>
      <c r="J19397" s="5"/>
      <c r="K19397" s="5"/>
    </row>
    <row r="19398" spans="1:11" x14ac:dyDescent="0.25">
      <c r="A19398" s="5">
        <f>19391</f>
      </c>
      <c r="B19398" s="5" t="s">
        <v>19406</v>
      </c>
      <c r="C19398" s="5">
        <v>122.8</v>
      </c>
      <c r="D19398" s="5">
        <v>0.1</v>
      </c>
      <c r="E19398" s="5">
        <v>123.1</v>
      </c>
      <c r="F19398" s="5">
        <v>244.1</v>
      </c>
      <c r="G19398" s="5">
        <v>121.4</v>
      </c>
      <c r="H19398" s="5">
        <v>121.3</v>
      </c>
      <c r="I19398" s="5"/>
      <c r="J19398" s="5"/>
      <c r="K19398" s="5"/>
    </row>
    <row r="19399" spans="1:11" x14ac:dyDescent="0.25">
      <c r="A19399" s="5">
        <f>19392</f>
      </c>
      <c r="B19399" s="5" t="s">
        <v>19407</v>
      </c>
      <c r="C19399" s="5">
        <v>122.9</v>
      </c>
      <c r="D19399" s="5">
        <v>0.1</v>
      </c>
      <c r="E19399" s="5">
        <v>123.1</v>
      </c>
      <c r="F19399" s="5">
        <v>244.1</v>
      </c>
      <c r="G19399" s="5">
        <v>121.4</v>
      </c>
      <c r="H19399" s="5">
        <v>121.3</v>
      </c>
      <c r="I19399" s="5"/>
      <c r="J19399" s="5"/>
      <c r="K19399" s="5"/>
    </row>
    <row r="19400" spans="1:11" x14ac:dyDescent="0.25">
      <c r="A19400" s="5">
        <f>19393</f>
      </c>
      <c r="B19400" s="5" t="s">
        <v>19408</v>
      </c>
      <c r="C19400" s="5">
        <v>122.9</v>
      </c>
      <c r="D19400" s="5">
        <v>0.1</v>
      </c>
      <c r="E19400" s="5">
        <v>123.1</v>
      </c>
      <c r="F19400" s="5">
        <v>243.9</v>
      </c>
      <c r="G19400" s="5">
        <v>121.3</v>
      </c>
      <c r="H19400" s="5">
        <v>121.1</v>
      </c>
      <c r="I19400" s="5"/>
      <c r="J19400" s="5"/>
      <c r="K19400" s="5"/>
    </row>
    <row r="19401" spans="1:11" x14ac:dyDescent="0.25">
      <c r="A19401" s="5">
        <f>19394</f>
      </c>
      <c r="B19401" s="5" t="s">
        <v>19409</v>
      </c>
      <c r="C19401" s="5">
        <v>122.8</v>
      </c>
      <c r="D19401" s="5">
        <v>0.1</v>
      </c>
      <c r="E19401" s="5">
        <v>122.9</v>
      </c>
      <c r="F19401" s="5">
        <v>243.9</v>
      </c>
      <c r="G19401" s="5">
        <v>121.3</v>
      </c>
      <c r="H19401" s="5">
        <v>121.1</v>
      </c>
      <c r="I19401" s="5"/>
      <c r="J19401" s="5"/>
      <c r="K19401" s="5"/>
    </row>
    <row r="19402" spans="1:11" x14ac:dyDescent="0.25">
      <c r="A19402" s="5">
        <f>19395</f>
      </c>
      <c r="B19402" s="5" t="s">
        <v>19410</v>
      </c>
      <c r="C19402" s="5">
        <v>122.8</v>
      </c>
      <c r="D19402" s="5">
        <v>0.1</v>
      </c>
      <c r="E19402" s="5">
        <v>122.9</v>
      </c>
      <c r="F19402" s="5">
        <v>243.9</v>
      </c>
      <c r="G19402" s="5">
        <v>121.2</v>
      </c>
      <c r="H19402" s="5">
        <v>121.1</v>
      </c>
      <c r="I19402" s="5"/>
      <c r="J19402" s="5"/>
      <c r="K19402" s="5"/>
    </row>
    <row r="19403" spans="1:11" x14ac:dyDescent="0.25">
      <c r="A19403" s="5">
        <f>19396</f>
      </c>
      <c r="B19403" s="5" t="s">
        <v>19411</v>
      </c>
      <c r="C19403" s="5">
        <v>122.3</v>
      </c>
      <c r="D19403" s="5">
        <v>0.1</v>
      </c>
      <c r="E19403" s="5">
        <v>122.5</v>
      </c>
      <c r="F19403" s="5">
        <v>244</v>
      </c>
      <c r="G19403" s="5">
        <v>121.2</v>
      </c>
      <c r="H19403" s="5">
        <v>121.1</v>
      </c>
      <c r="I19403" s="5"/>
      <c r="J19403" s="5"/>
      <c r="K19403" s="5"/>
    </row>
    <row r="19404" spans="1:11" x14ac:dyDescent="0.25">
      <c r="A19404" s="5">
        <f>19397</f>
      </c>
      <c r="B19404" s="5" t="s">
        <v>19412</v>
      </c>
      <c r="C19404" s="5">
        <v>122.3</v>
      </c>
      <c r="D19404" s="5">
        <v>0.1</v>
      </c>
      <c r="E19404" s="5">
        <v>122.5</v>
      </c>
      <c r="F19404" s="5">
        <v>244</v>
      </c>
      <c r="G19404" s="5">
        <v>121.2</v>
      </c>
      <c r="H19404" s="5">
        <v>121.1</v>
      </c>
      <c r="I19404" s="5"/>
      <c r="J19404" s="5"/>
      <c r="K19404" s="5"/>
    </row>
    <row r="19405" spans="1:11" x14ac:dyDescent="0.25">
      <c r="A19405" s="5">
        <f>19398</f>
      </c>
      <c r="B19405" s="5" t="s">
        <v>19413</v>
      </c>
      <c r="C19405" s="5">
        <v>122.3</v>
      </c>
      <c r="D19405" s="5">
        <v>0.1</v>
      </c>
      <c r="E19405" s="5">
        <v>122.5</v>
      </c>
      <c r="F19405" s="5">
        <v>244</v>
      </c>
      <c r="G19405" s="5">
        <v>121.2</v>
      </c>
      <c r="H19405" s="5">
        <v>121.1</v>
      </c>
      <c r="I19405" s="5"/>
      <c r="J19405" s="5"/>
      <c r="K19405" s="5"/>
    </row>
    <row r="19406" spans="1:11" x14ac:dyDescent="0.25">
      <c r="A19406" s="5">
        <f>19399</f>
      </c>
      <c r="B19406" s="5" t="s">
        <v>19414</v>
      </c>
      <c r="C19406" s="5">
        <v>122.1</v>
      </c>
      <c r="D19406" s="5">
        <v>0.1</v>
      </c>
      <c r="E19406" s="5">
        <v>122.3</v>
      </c>
      <c r="F19406" s="5">
        <v>243.3</v>
      </c>
      <c r="G19406" s="5">
        <v>120.9</v>
      </c>
      <c r="H19406" s="5">
        <v>120.8</v>
      </c>
      <c r="I19406" s="5"/>
      <c r="J19406" s="5"/>
      <c r="K19406" s="5"/>
    </row>
    <row r="19407" spans="1:11" x14ac:dyDescent="0.25">
      <c r="A19407" s="5">
        <f>19400</f>
      </c>
      <c r="B19407" s="5" t="s">
        <v>19415</v>
      </c>
      <c r="C19407" s="5">
        <v>122.1</v>
      </c>
      <c r="D19407" s="5">
        <v>0.1</v>
      </c>
      <c r="E19407" s="5">
        <v>122.3</v>
      </c>
      <c r="F19407" s="5">
        <v>243.3</v>
      </c>
      <c r="G19407" s="5">
        <v>120.9</v>
      </c>
      <c r="H19407" s="5">
        <v>120.8</v>
      </c>
      <c r="I19407" s="5"/>
      <c r="J19407" s="5"/>
      <c r="K19407" s="5"/>
    </row>
    <row r="19408" spans="1:11" x14ac:dyDescent="0.25">
      <c r="A19408" s="5">
        <f>19401</f>
      </c>
      <c r="B19408" s="5" t="s">
        <v>19416</v>
      </c>
      <c r="C19408" s="5">
        <v>122.5</v>
      </c>
      <c r="D19408" s="5">
        <v>0.1</v>
      </c>
      <c r="E19408" s="5">
        <v>122.8</v>
      </c>
      <c r="F19408" s="5">
        <v>243.8</v>
      </c>
      <c r="G19408" s="5">
        <v>121.3</v>
      </c>
      <c r="H19408" s="5">
        <v>121.1</v>
      </c>
      <c r="I19408" s="5"/>
      <c r="J19408" s="5"/>
      <c r="K19408" s="5"/>
    </row>
    <row r="19409" spans="1:11" x14ac:dyDescent="0.25">
      <c r="A19409" s="5">
        <f>19402</f>
      </c>
      <c r="B19409" s="5" t="s">
        <v>19417</v>
      </c>
      <c r="C19409" s="5">
        <v>122.5</v>
      </c>
      <c r="D19409" s="5">
        <v>0.1</v>
      </c>
      <c r="E19409" s="5">
        <v>122.8</v>
      </c>
      <c r="F19409" s="5">
        <v>243.8</v>
      </c>
      <c r="G19409" s="5">
        <v>121.3</v>
      </c>
      <c r="H19409" s="5">
        <v>121.1</v>
      </c>
      <c r="I19409" s="5"/>
      <c r="J19409" s="5"/>
      <c r="K19409" s="5"/>
    </row>
    <row r="19410" spans="1:11" x14ac:dyDescent="0.25">
      <c r="A19410" s="5">
        <f>19403</f>
      </c>
      <c r="B19410" s="5" t="s">
        <v>19418</v>
      </c>
      <c r="C19410" s="5">
        <v>122.6</v>
      </c>
      <c r="D19410" s="5">
        <v>0.1</v>
      </c>
      <c r="E19410" s="5">
        <v>122.8</v>
      </c>
      <c r="F19410" s="5">
        <v>244.1</v>
      </c>
      <c r="G19410" s="5">
        <v>121.4</v>
      </c>
      <c r="H19410" s="5">
        <v>121.1</v>
      </c>
      <c r="I19410" s="5"/>
      <c r="J19410" s="5"/>
      <c r="K19410" s="5"/>
    </row>
    <row r="19411" spans="1:11" x14ac:dyDescent="0.25">
      <c r="A19411" s="5">
        <f>19404</f>
      </c>
      <c r="B19411" s="5" t="s">
        <v>19419</v>
      </c>
      <c r="C19411" s="5">
        <v>122.6</v>
      </c>
      <c r="D19411" s="5">
        <v>0.1</v>
      </c>
      <c r="E19411" s="5">
        <v>122.8</v>
      </c>
      <c r="F19411" s="5">
        <v>244.1</v>
      </c>
      <c r="G19411" s="5">
        <v>121.4</v>
      </c>
      <c r="H19411" s="5">
        <v>121.2</v>
      </c>
      <c r="I19411" s="5"/>
      <c r="J19411" s="5"/>
      <c r="K19411" s="5"/>
    </row>
    <row r="19412" spans="1:11" x14ac:dyDescent="0.25">
      <c r="A19412" s="5">
        <f>19405</f>
      </c>
      <c r="B19412" s="5" t="s">
        <v>19420</v>
      </c>
      <c r="C19412" s="5">
        <v>122.8</v>
      </c>
      <c r="D19412" s="5">
        <v>0.1</v>
      </c>
      <c r="E19412" s="5">
        <v>122.9</v>
      </c>
      <c r="F19412" s="5">
        <v>244.1</v>
      </c>
      <c r="G19412" s="5">
        <v>121.4</v>
      </c>
      <c r="H19412" s="5">
        <v>121.2</v>
      </c>
      <c r="I19412" s="5"/>
      <c r="J19412" s="5"/>
      <c r="K19412" s="5"/>
    </row>
    <row r="19413" spans="1:11" x14ac:dyDescent="0.25">
      <c r="A19413" s="5">
        <f>19406</f>
      </c>
      <c r="B19413" s="5" t="s">
        <v>19421</v>
      </c>
      <c r="C19413" s="5">
        <v>122.8</v>
      </c>
      <c r="D19413" s="5">
        <v>0.1</v>
      </c>
      <c r="E19413" s="5">
        <v>122.9</v>
      </c>
      <c r="F19413" s="5">
        <v>244.2</v>
      </c>
      <c r="G19413" s="5">
        <v>121.4</v>
      </c>
      <c r="H19413" s="5">
        <v>121.2</v>
      </c>
      <c r="I19413" s="5"/>
      <c r="J19413" s="5"/>
      <c r="K19413" s="5"/>
    </row>
    <row r="19414" spans="1:11" x14ac:dyDescent="0.25">
      <c r="A19414" s="5">
        <f>19407</f>
      </c>
      <c r="B19414" s="5" t="s">
        <v>19422</v>
      </c>
      <c r="C19414" s="5">
        <v>122.8</v>
      </c>
      <c r="D19414" s="5">
        <v>0.1</v>
      </c>
      <c r="E19414" s="5">
        <v>122.9</v>
      </c>
      <c r="F19414" s="5">
        <v>244.2</v>
      </c>
      <c r="G19414" s="5">
        <v>121.4</v>
      </c>
      <c r="H19414" s="5">
        <v>121.2</v>
      </c>
      <c r="I19414" s="5"/>
      <c r="J19414" s="5"/>
      <c r="K19414" s="5"/>
    </row>
    <row r="19415" spans="1:11" x14ac:dyDescent="0.25">
      <c r="A19415" s="5">
        <f>19408</f>
      </c>
      <c r="B19415" s="5" t="s">
        <v>19423</v>
      </c>
      <c r="C19415" s="5">
        <v>122.8</v>
      </c>
      <c r="D19415" s="5">
        <v>0.1</v>
      </c>
      <c r="E19415" s="5">
        <v>122.9</v>
      </c>
      <c r="F19415" s="5">
        <v>244.2</v>
      </c>
      <c r="G19415" s="5">
        <v>121.4</v>
      </c>
      <c r="H19415" s="5">
        <v>121.2</v>
      </c>
      <c r="I19415" s="5"/>
      <c r="J19415" s="5"/>
      <c r="K19415" s="5"/>
    </row>
    <row r="19416" spans="1:11" x14ac:dyDescent="0.25">
      <c r="A19416" s="5">
        <f>19409</f>
      </c>
      <c r="B19416" s="5" t="s">
        <v>19424</v>
      </c>
      <c r="C19416" s="5">
        <v>122.4</v>
      </c>
      <c r="D19416" s="5">
        <v>0.1</v>
      </c>
      <c r="E19416" s="5">
        <v>122.9</v>
      </c>
      <c r="F19416" s="5">
        <v>244.2</v>
      </c>
      <c r="G19416" s="5">
        <v>121.4</v>
      </c>
      <c r="H19416" s="5">
        <v>121.2</v>
      </c>
      <c r="I19416" s="5"/>
      <c r="J19416" s="5"/>
      <c r="K19416" s="5"/>
    </row>
    <row r="19417" spans="1:11" x14ac:dyDescent="0.25">
      <c r="A19417" s="5">
        <f>19410</f>
      </c>
      <c r="B19417" s="5" t="s">
        <v>19425</v>
      </c>
      <c r="C19417" s="5">
        <v>122.4</v>
      </c>
      <c r="D19417" s="5">
        <v>0.1</v>
      </c>
      <c r="E19417" s="5">
        <v>122.5</v>
      </c>
      <c r="F19417" s="5">
        <v>243.6</v>
      </c>
      <c r="G19417" s="5">
        <v>121.1</v>
      </c>
      <c r="H19417" s="5">
        <v>120.9</v>
      </c>
      <c r="I19417" s="5"/>
      <c r="J19417" s="5"/>
      <c r="K19417" s="5"/>
    </row>
    <row r="19418" spans="1:11" x14ac:dyDescent="0.25">
      <c r="A19418" s="5">
        <f>19411</f>
      </c>
      <c r="B19418" s="5" t="s">
        <v>19426</v>
      </c>
      <c r="C19418" s="5">
        <v>122.5</v>
      </c>
      <c r="D19418" s="5">
        <v>0.1</v>
      </c>
      <c r="E19418" s="5">
        <v>122.5</v>
      </c>
      <c r="F19418" s="5">
        <v>243.6</v>
      </c>
      <c r="G19418" s="5">
        <v>121.1</v>
      </c>
      <c r="H19418" s="5">
        <v>120.9</v>
      </c>
      <c r="I19418" s="5"/>
      <c r="J19418" s="5"/>
      <c r="K19418" s="5"/>
    </row>
    <row r="19419" spans="1:11" x14ac:dyDescent="0.25">
      <c r="A19419" s="5">
        <f>19412</f>
      </c>
      <c r="B19419" s="5" t="s">
        <v>19427</v>
      </c>
      <c r="C19419" s="5">
        <v>122.5</v>
      </c>
      <c r="D19419" s="5">
        <v>0.1</v>
      </c>
      <c r="E19419" s="5">
        <v>122.8</v>
      </c>
      <c r="F19419" s="5">
        <v>243.8</v>
      </c>
      <c r="G19419" s="5">
        <v>121.2</v>
      </c>
      <c r="H19419" s="5">
        <v>121</v>
      </c>
      <c r="I19419" s="5"/>
      <c r="J19419" s="5"/>
      <c r="K19419" s="5"/>
    </row>
    <row r="19420" spans="1:11" x14ac:dyDescent="0.25">
      <c r="A19420" s="5">
        <f>19413</f>
      </c>
      <c r="B19420" s="5" t="s">
        <v>19428</v>
      </c>
      <c r="C19420" s="5">
        <v>122.5</v>
      </c>
      <c r="D19420" s="5">
        <v>0.1</v>
      </c>
      <c r="E19420" s="5">
        <v>122.8</v>
      </c>
      <c r="F19420" s="5">
        <v>243.8</v>
      </c>
      <c r="G19420" s="5">
        <v>121.2</v>
      </c>
      <c r="H19420" s="5">
        <v>121</v>
      </c>
      <c r="I19420" s="5"/>
      <c r="J19420" s="5"/>
      <c r="K19420" s="5"/>
    </row>
    <row r="19421" spans="1:11" x14ac:dyDescent="0.25">
      <c r="A19421" s="5">
        <f>19414</f>
      </c>
      <c r="B19421" s="5" t="s">
        <v>19429</v>
      </c>
      <c r="C19421" s="5">
        <v>121.9</v>
      </c>
      <c r="D19421" s="5">
        <v>0.1</v>
      </c>
      <c r="E19421" s="5">
        <v>122.1</v>
      </c>
      <c r="F19421" s="5">
        <v>244.1</v>
      </c>
      <c r="G19421" s="5">
        <v>121.3</v>
      </c>
      <c r="H19421" s="5">
        <v>121.1</v>
      </c>
      <c r="I19421" s="5"/>
      <c r="J19421" s="5"/>
      <c r="K19421" s="5"/>
    </row>
    <row r="19422" spans="1:11" x14ac:dyDescent="0.25">
      <c r="A19422" s="5">
        <f>19415</f>
      </c>
      <c r="B19422" s="5" t="s">
        <v>19430</v>
      </c>
      <c r="C19422" s="5">
        <v>121.9</v>
      </c>
      <c r="D19422" s="5">
        <v>0.1</v>
      </c>
      <c r="E19422" s="5">
        <v>122.1</v>
      </c>
      <c r="F19422" s="5">
        <v>244.1</v>
      </c>
      <c r="G19422" s="5">
        <v>121.3</v>
      </c>
      <c r="H19422" s="5">
        <v>121.1</v>
      </c>
      <c r="I19422" s="5"/>
      <c r="J19422" s="5"/>
      <c r="K19422" s="5"/>
    </row>
    <row r="19423" spans="1:11" x14ac:dyDescent="0.25">
      <c r="A19423" s="5">
        <f>19416</f>
      </c>
      <c r="B19423" s="5" t="s">
        <v>19431</v>
      </c>
      <c r="C19423" s="5">
        <v>122.8</v>
      </c>
      <c r="D19423" s="5">
        <v>0.1</v>
      </c>
      <c r="E19423" s="5">
        <v>123</v>
      </c>
      <c r="F19423" s="5">
        <v>243.9</v>
      </c>
      <c r="G19423" s="5">
        <v>121.3</v>
      </c>
      <c r="H19423" s="5">
        <v>121.1</v>
      </c>
      <c r="I19423" s="5"/>
      <c r="J19423" s="5"/>
      <c r="K19423" s="5"/>
    </row>
    <row r="19424" spans="1:11" x14ac:dyDescent="0.25">
      <c r="A19424" s="5">
        <f>19417</f>
      </c>
      <c r="B19424" s="5" t="s">
        <v>19432</v>
      </c>
      <c r="C19424" s="5">
        <v>122.8</v>
      </c>
      <c r="D19424" s="5">
        <v>0.1</v>
      </c>
      <c r="E19424" s="5">
        <v>123</v>
      </c>
      <c r="F19424" s="5">
        <v>243.9</v>
      </c>
      <c r="G19424" s="5">
        <v>121.3</v>
      </c>
      <c r="H19424" s="5">
        <v>121.1</v>
      </c>
      <c r="I19424" s="5"/>
      <c r="J19424" s="5"/>
      <c r="K19424" s="5"/>
    </row>
    <row r="19425" spans="1:11" x14ac:dyDescent="0.25">
      <c r="A19425" s="5">
        <f>19418</f>
      </c>
      <c r="B19425" s="5" t="s">
        <v>19433</v>
      </c>
      <c r="C19425" s="5">
        <v>122.8</v>
      </c>
      <c r="D19425" s="5">
        <v>0.1</v>
      </c>
      <c r="E19425" s="5">
        <v>123</v>
      </c>
      <c r="F19425" s="5">
        <v>243.9</v>
      </c>
      <c r="G19425" s="5">
        <v>121.3</v>
      </c>
      <c r="H19425" s="5">
        <v>121.1</v>
      </c>
      <c r="I19425" s="5"/>
      <c r="J19425" s="5"/>
      <c r="K19425" s="5"/>
    </row>
    <row r="19426" spans="1:11" x14ac:dyDescent="0.25">
      <c r="A19426" s="5">
        <f>19419</f>
      </c>
      <c r="B19426" s="5" t="s">
        <v>19434</v>
      </c>
      <c r="C19426" s="5">
        <v>122.8</v>
      </c>
      <c r="D19426" s="5">
        <v>0.1</v>
      </c>
      <c r="E19426" s="5">
        <v>123</v>
      </c>
      <c r="F19426" s="5">
        <v>243.9</v>
      </c>
      <c r="G19426" s="5">
        <v>121.4</v>
      </c>
      <c r="H19426" s="5">
        <v>121.1</v>
      </c>
      <c r="I19426" s="5"/>
      <c r="J19426" s="5"/>
      <c r="K19426" s="5"/>
    </row>
    <row r="19427" spans="1:11" x14ac:dyDescent="0.25">
      <c r="A19427" s="5">
        <f>19420</f>
      </c>
      <c r="B19427" s="5" t="s">
        <v>19435</v>
      </c>
      <c r="C19427" s="5">
        <v>122.9</v>
      </c>
      <c r="D19427" s="5">
        <v>0.1</v>
      </c>
      <c r="E19427" s="5">
        <v>123.1</v>
      </c>
      <c r="F19427" s="5">
        <v>244</v>
      </c>
      <c r="G19427" s="5">
        <v>121.4</v>
      </c>
      <c r="H19427" s="5">
        <v>121.1</v>
      </c>
      <c r="I19427" s="5"/>
      <c r="J19427" s="5"/>
      <c r="K19427" s="5"/>
    </row>
    <row r="19428" spans="1:11" x14ac:dyDescent="0.25">
      <c r="A19428" s="5">
        <f>19421</f>
      </c>
      <c r="B19428" s="5" t="s">
        <v>19436</v>
      </c>
      <c r="C19428" s="5">
        <v>122.9</v>
      </c>
      <c r="D19428" s="5">
        <v>0.1</v>
      </c>
      <c r="E19428" s="5">
        <v>123.1</v>
      </c>
      <c r="F19428" s="5">
        <v>244</v>
      </c>
      <c r="G19428" s="5">
        <v>121.2</v>
      </c>
      <c r="H19428" s="5">
        <v>121.1</v>
      </c>
      <c r="I19428" s="5"/>
      <c r="J19428" s="5"/>
      <c r="K19428" s="5"/>
    </row>
    <row r="19429" spans="1:11" x14ac:dyDescent="0.25">
      <c r="A19429" s="5">
        <f>19422</f>
      </c>
      <c r="B19429" s="5" t="s">
        <v>19437</v>
      </c>
      <c r="C19429" s="5">
        <v>122.1</v>
      </c>
      <c r="D19429" s="5">
        <v>0.1</v>
      </c>
      <c r="E19429" s="5">
        <v>122.3</v>
      </c>
      <c r="F19429" s="5">
        <v>244</v>
      </c>
      <c r="G19429" s="5">
        <v>121.2</v>
      </c>
      <c r="H19429" s="5">
        <v>121.1</v>
      </c>
      <c r="I19429" s="5"/>
      <c r="J19429" s="5"/>
      <c r="K19429" s="5"/>
    </row>
    <row r="19430" spans="1:11" x14ac:dyDescent="0.25">
      <c r="A19430" s="5">
        <f>19423</f>
      </c>
      <c r="B19430" s="5" t="s">
        <v>19438</v>
      </c>
      <c r="C19430" s="5">
        <v>122.1</v>
      </c>
      <c r="D19430" s="5">
        <v>0.1</v>
      </c>
      <c r="E19430" s="5">
        <v>122.3</v>
      </c>
      <c r="F19430" s="5">
        <v>244</v>
      </c>
      <c r="G19430" s="5">
        <v>121.2</v>
      </c>
      <c r="H19430" s="5">
        <v>121</v>
      </c>
      <c r="I19430" s="5"/>
      <c r="J19430" s="5"/>
      <c r="K19430" s="5"/>
    </row>
    <row r="19431" spans="1:11" x14ac:dyDescent="0.25">
      <c r="A19431" s="5">
        <f>19424</f>
      </c>
      <c r="B19431" s="5" t="s">
        <v>19439</v>
      </c>
      <c r="C19431" s="5">
        <v>122.3</v>
      </c>
      <c r="D19431" s="5">
        <v>0.1</v>
      </c>
      <c r="E19431" s="5">
        <v>122.5</v>
      </c>
      <c r="F19431" s="5">
        <v>243.8</v>
      </c>
      <c r="G19431" s="5">
        <v>121.3</v>
      </c>
      <c r="H19431" s="5">
        <v>121</v>
      </c>
      <c r="I19431" s="5"/>
      <c r="J19431" s="5"/>
      <c r="K19431" s="5"/>
    </row>
    <row r="19432" spans="1:11" x14ac:dyDescent="0.25">
      <c r="A19432" s="5">
        <f>19425</f>
      </c>
      <c r="B19432" s="5" t="s">
        <v>19440</v>
      </c>
      <c r="C19432" s="5">
        <v>122.3</v>
      </c>
      <c r="D19432" s="5">
        <v>0.1</v>
      </c>
      <c r="E19432" s="5">
        <v>122.5</v>
      </c>
      <c r="F19432" s="5">
        <v>243.8</v>
      </c>
      <c r="G19432" s="5">
        <v>121.3</v>
      </c>
      <c r="H19432" s="5">
        <v>121</v>
      </c>
      <c r="I19432" s="5"/>
      <c r="J19432" s="5"/>
      <c r="K19432" s="5"/>
    </row>
    <row r="19433" spans="1:11" x14ac:dyDescent="0.25">
      <c r="A19433" s="5">
        <f>19426</f>
      </c>
      <c r="B19433" s="5" t="s">
        <v>19441</v>
      </c>
      <c r="C19433" s="5">
        <v>123</v>
      </c>
      <c r="D19433" s="5">
        <v>0.1</v>
      </c>
      <c r="E19433" s="5">
        <v>123.1</v>
      </c>
      <c r="F19433" s="5">
        <v>244</v>
      </c>
      <c r="G19433" s="5">
        <v>121.3</v>
      </c>
      <c r="H19433" s="5">
        <v>121.1</v>
      </c>
      <c r="I19433" s="5"/>
      <c r="J19433" s="5"/>
      <c r="K19433" s="5"/>
    </row>
    <row r="19434" spans="1:11" x14ac:dyDescent="0.25">
      <c r="A19434" s="5">
        <f>19427</f>
      </c>
      <c r="B19434" s="5" t="s">
        <v>19442</v>
      </c>
      <c r="C19434" s="5">
        <v>123</v>
      </c>
      <c r="D19434" s="5">
        <v>0.1</v>
      </c>
      <c r="E19434" s="5">
        <v>123.1</v>
      </c>
      <c r="F19434" s="5">
        <v>244</v>
      </c>
      <c r="G19434" s="5">
        <v>121.3</v>
      </c>
      <c r="H19434" s="5">
        <v>121.1</v>
      </c>
      <c r="I19434" s="5"/>
      <c r="J19434" s="5"/>
      <c r="K19434" s="5"/>
    </row>
    <row r="19435" spans="1:11" x14ac:dyDescent="0.25">
      <c r="A19435" s="5">
        <f>19428</f>
      </c>
      <c r="B19435" s="5" t="s">
        <v>19443</v>
      </c>
      <c r="C19435" s="5">
        <v>123</v>
      </c>
      <c r="D19435" s="5">
        <v>0.1</v>
      </c>
      <c r="E19435" s="5">
        <v>123.1</v>
      </c>
      <c r="F19435" s="5">
        <v>244</v>
      </c>
      <c r="G19435" s="5">
        <v>121.3</v>
      </c>
      <c r="H19435" s="5">
        <v>121.1</v>
      </c>
      <c r="I19435" s="5"/>
      <c r="J19435" s="5"/>
      <c r="K19435" s="5"/>
    </row>
    <row r="19436" spans="1:11" x14ac:dyDescent="0.25">
      <c r="A19436" s="5">
        <f>19429</f>
      </c>
      <c r="B19436" s="5" t="s">
        <v>19444</v>
      </c>
      <c r="C19436" s="5">
        <v>122.7</v>
      </c>
      <c r="D19436" s="5">
        <v>0.1</v>
      </c>
      <c r="E19436" s="5">
        <v>122.8</v>
      </c>
      <c r="F19436" s="5">
        <v>244.1</v>
      </c>
      <c r="G19436" s="5">
        <v>121.3</v>
      </c>
      <c r="H19436" s="5">
        <v>121.2</v>
      </c>
      <c r="I19436" s="5"/>
      <c r="J19436" s="5"/>
      <c r="K19436" s="5"/>
    </row>
    <row r="19437" spans="1:11" x14ac:dyDescent="0.25">
      <c r="A19437" s="5">
        <f>19430</f>
      </c>
      <c r="B19437" s="5" t="s">
        <v>19445</v>
      </c>
      <c r="C19437" s="5">
        <v>122.7</v>
      </c>
      <c r="D19437" s="5">
        <v>0.1</v>
      </c>
      <c r="E19437" s="5">
        <v>122.8</v>
      </c>
      <c r="F19437" s="5">
        <v>244.1</v>
      </c>
      <c r="G19437" s="5">
        <v>121.3</v>
      </c>
      <c r="H19437" s="5">
        <v>121.2</v>
      </c>
      <c r="I19437" s="5"/>
      <c r="J19437" s="5"/>
      <c r="K19437" s="5"/>
    </row>
    <row r="19438" spans="1:11" x14ac:dyDescent="0.25">
      <c r="A19438" s="5">
        <f>19431</f>
      </c>
      <c r="B19438" s="5" t="s">
        <v>19446</v>
      </c>
      <c r="C19438" s="5">
        <v>122.7</v>
      </c>
      <c r="D19438" s="5">
        <v>0.1</v>
      </c>
      <c r="E19438" s="5">
        <v>122.8</v>
      </c>
      <c r="F19438" s="5">
        <v>244</v>
      </c>
      <c r="G19438" s="5">
        <v>121.3</v>
      </c>
      <c r="H19438" s="5">
        <v>121.1</v>
      </c>
      <c r="I19438" s="5"/>
      <c r="J19438" s="5"/>
      <c r="K19438" s="5"/>
    </row>
    <row r="19439" spans="1:11" x14ac:dyDescent="0.25">
      <c r="A19439" s="5">
        <f>19432</f>
      </c>
      <c r="B19439" s="5" t="s">
        <v>19447</v>
      </c>
      <c r="C19439" s="5">
        <v>122.7</v>
      </c>
      <c r="D19439" s="5">
        <v>0.1</v>
      </c>
      <c r="E19439" s="5">
        <v>122.8</v>
      </c>
      <c r="F19439" s="5">
        <v>244</v>
      </c>
      <c r="G19439" s="5">
        <v>121.3</v>
      </c>
      <c r="H19439" s="5">
        <v>121.1</v>
      </c>
      <c r="I19439" s="5"/>
      <c r="J19439" s="5"/>
      <c r="K19439" s="5"/>
    </row>
    <row r="19440" spans="1:11" x14ac:dyDescent="0.25">
      <c r="A19440" s="5">
        <f>19433</f>
      </c>
      <c r="B19440" s="5" t="s">
        <v>19448</v>
      </c>
      <c r="C19440" s="5">
        <v>122.7</v>
      </c>
      <c r="D19440" s="5">
        <v>0.1</v>
      </c>
      <c r="E19440" s="5">
        <v>122.8</v>
      </c>
      <c r="F19440" s="5">
        <v>243.6</v>
      </c>
      <c r="G19440" s="5">
        <v>121.2</v>
      </c>
      <c r="H19440" s="5">
        <v>121</v>
      </c>
      <c r="I19440" s="5"/>
      <c r="J19440" s="5"/>
      <c r="K19440" s="5"/>
    </row>
    <row r="19441" spans="1:11" x14ac:dyDescent="0.25">
      <c r="A19441" s="5">
        <f>19434</f>
      </c>
      <c r="B19441" s="5" t="s">
        <v>19449</v>
      </c>
      <c r="C19441" s="5">
        <v>122.7</v>
      </c>
      <c r="D19441" s="5">
        <v>0.1</v>
      </c>
      <c r="E19441" s="5">
        <v>122.8</v>
      </c>
      <c r="F19441" s="5">
        <v>243.6</v>
      </c>
      <c r="G19441" s="5">
        <v>121.2</v>
      </c>
      <c r="H19441" s="5">
        <v>121</v>
      </c>
      <c r="I19441" s="5"/>
      <c r="J19441" s="5"/>
      <c r="K19441" s="5"/>
    </row>
    <row r="19442" spans="1:11" x14ac:dyDescent="0.25">
      <c r="A19442" s="5">
        <f>19435</f>
      </c>
      <c r="B19442" s="5" t="s">
        <v>19450</v>
      </c>
      <c r="C19442" s="5">
        <v>122.9</v>
      </c>
      <c r="D19442" s="5">
        <v>0.1</v>
      </c>
      <c r="E19442" s="5">
        <v>123.1</v>
      </c>
      <c r="F19442" s="5">
        <v>243.7</v>
      </c>
      <c r="G19442" s="5">
        <v>121.2</v>
      </c>
      <c r="H19442" s="5">
        <v>121</v>
      </c>
      <c r="I19442" s="5"/>
      <c r="J19442" s="5"/>
      <c r="K19442" s="5"/>
    </row>
    <row r="19443" spans="1:11" x14ac:dyDescent="0.25">
      <c r="A19443" s="5">
        <f>19436</f>
      </c>
      <c r="B19443" s="5" t="s">
        <v>19451</v>
      </c>
      <c r="C19443" s="5">
        <v>122.9</v>
      </c>
      <c r="D19443" s="5">
        <v>0.1</v>
      </c>
      <c r="E19443" s="5">
        <v>123.1</v>
      </c>
      <c r="F19443" s="5">
        <v>243.7</v>
      </c>
      <c r="G19443" s="5">
        <v>121.2</v>
      </c>
      <c r="H19443" s="5">
        <v>121</v>
      </c>
      <c r="I19443" s="5"/>
      <c r="J19443" s="5"/>
      <c r="K19443" s="5"/>
    </row>
    <row r="19444" spans="1:11" x14ac:dyDescent="0.25">
      <c r="A19444" s="5">
        <f>19437</f>
      </c>
      <c r="B19444" s="5" t="s">
        <v>19452</v>
      </c>
      <c r="C19444" s="5">
        <v>122.9</v>
      </c>
      <c r="D19444" s="5">
        <v>0.1</v>
      </c>
      <c r="E19444" s="5">
        <v>123.1</v>
      </c>
      <c r="F19444" s="5">
        <v>243.7</v>
      </c>
      <c r="G19444" s="5">
        <v>121.2</v>
      </c>
      <c r="H19444" s="5">
        <v>121</v>
      </c>
      <c r="I19444" s="5"/>
      <c r="J19444" s="5"/>
      <c r="K19444" s="5"/>
    </row>
    <row r="19445" spans="1:11" x14ac:dyDescent="0.25">
      <c r="A19445" s="5">
        <f>19438</f>
      </c>
      <c r="B19445" s="5" t="s">
        <v>19453</v>
      </c>
      <c r="C19445" s="5">
        <v>122.9</v>
      </c>
      <c r="D19445" s="5">
        <v>0.1</v>
      </c>
      <c r="E19445" s="5">
        <v>123.1</v>
      </c>
      <c r="F19445" s="5">
        <v>243.7</v>
      </c>
      <c r="G19445" s="5">
        <v>121.2</v>
      </c>
      <c r="H19445" s="5">
        <v>121</v>
      </c>
      <c r="I19445" s="5"/>
      <c r="J19445" s="5"/>
      <c r="K19445" s="5"/>
    </row>
    <row r="19446" spans="1:11" x14ac:dyDescent="0.25">
      <c r="A19446" s="5">
        <f>19439</f>
      </c>
      <c r="B19446" s="5" t="s">
        <v>19454</v>
      </c>
      <c r="C19446" s="5">
        <v>122.7</v>
      </c>
      <c r="D19446" s="5">
        <v>0.1</v>
      </c>
      <c r="E19446" s="5">
        <v>122.8</v>
      </c>
      <c r="F19446" s="5">
        <v>243.9</v>
      </c>
      <c r="G19446" s="5">
        <v>121.1</v>
      </c>
      <c r="H19446" s="5">
        <v>121</v>
      </c>
      <c r="I19446" s="5"/>
      <c r="J19446" s="5"/>
      <c r="K19446" s="5"/>
    </row>
    <row r="19447" spans="1:11" x14ac:dyDescent="0.25">
      <c r="A19447" s="5">
        <f>19440</f>
      </c>
      <c r="B19447" s="5" t="s">
        <v>19455</v>
      </c>
      <c r="C19447" s="5">
        <v>122.7</v>
      </c>
      <c r="D19447" s="5">
        <v>0.1</v>
      </c>
      <c r="E19447" s="5">
        <v>122.8</v>
      </c>
      <c r="F19447" s="5">
        <v>243.9</v>
      </c>
      <c r="G19447" s="5">
        <v>121.1</v>
      </c>
      <c r="H19447" s="5">
        <v>121</v>
      </c>
      <c r="I19447" s="5"/>
      <c r="J19447" s="5"/>
      <c r="K19447" s="5"/>
    </row>
    <row r="19448" spans="1:11" x14ac:dyDescent="0.25">
      <c r="A19448" s="5">
        <f>19441</f>
      </c>
      <c r="B19448" s="5" t="s">
        <v>19456</v>
      </c>
      <c r="C19448" s="5">
        <v>122.6</v>
      </c>
      <c r="D19448" s="5">
        <v>0.1</v>
      </c>
      <c r="E19448" s="5">
        <v>122.8</v>
      </c>
      <c r="F19448" s="5">
        <v>243.6</v>
      </c>
      <c r="G19448" s="5">
        <v>120.9</v>
      </c>
      <c r="H19448" s="5">
        <v>120.7</v>
      </c>
      <c r="I19448" s="5"/>
      <c r="J19448" s="5"/>
      <c r="K19448" s="5"/>
    </row>
    <row r="19449" spans="1:11" x14ac:dyDescent="0.25">
      <c r="A19449" s="5">
        <f>19442</f>
      </c>
      <c r="B19449" s="5" t="s">
        <v>19457</v>
      </c>
      <c r="C19449" s="5">
        <v>122.6</v>
      </c>
      <c r="D19449" s="5">
        <v>0.1</v>
      </c>
      <c r="E19449" s="5">
        <v>122.8</v>
      </c>
      <c r="F19449" s="5">
        <v>243.6</v>
      </c>
      <c r="G19449" s="5">
        <v>120.9</v>
      </c>
      <c r="H19449" s="5">
        <v>120.7</v>
      </c>
      <c r="I19449" s="5"/>
      <c r="J19449" s="5"/>
      <c r="K19449" s="5"/>
    </row>
    <row r="19450" spans="1:11" x14ac:dyDescent="0.25">
      <c r="A19450" s="5">
        <f>19443</f>
      </c>
      <c r="B19450" s="5" t="s">
        <v>19458</v>
      </c>
      <c r="C19450" s="5">
        <v>122.6</v>
      </c>
      <c r="D19450" s="5">
        <v>0.1</v>
      </c>
      <c r="E19450" s="5">
        <v>122.8</v>
      </c>
      <c r="F19450" s="5">
        <v>244</v>
      </c>
      <c r="G19450" s="5">
        <v>121.1</v>
      </c>
      <c r="H19450" s="5">
        <v>120.9</v>
      </c>
      <c r="I19450" s="5"/>
      <c r="J19450" s="5"/>
      <c r="K19450" s="5"/>
    </row>
    <row r="19451" spans="1:11" x14ac:dyDescent="0.25">
      <c r="A19451" s="5">
        <f>19444</f>
      </c>
      <c r="B19451" s="5" t="s">
        <v>19459</v>
      </c>
      <c r="C19451" s="5">
        <v>122.6</v>
      </c>
      <c r="D19451" s="5">
        <v>0.1</v>
      </c>
      <c r="E19451" s="5">
        <v>122.8</v>
      </c>
      <c r="F19451" s="5">
        <v>244</v>
      </c>
      <c r="G19451" s="5">
        <v>121.1</v>
      </c>
      <c r="H19451" s="5">
        <v>120.9</v>
      </c>
      <c r="I19451" s="5"/>
      <c r="J19451" s="5"/>
      <c r="K19451" s="5"/>
    </row>
    <row r="19452" spans="1:11" x14ac:dyDescent="0.25">
      <c r="A19452" s="5">
        <f>19445</f>
      </c>
      <c r="B19452" s="5" t="s">
        <v>19460</v>
      </c>
      <c r="C19452" s="5">
        <v>122.8</v>
      </c>
      <c r="D19452" s="5">
        <v>0.1</v>
      </c>
      <c r="E19452" s="5">
        <v>123</v>
      </c>
      <c r="F19452" s="5">
        <v>244</v>
      </c>
      <c r="G19452" s="5">
        <v>121.1</v>
      </c>
      <c r="H19452" s="5">
        <v>120.9</v>
      </c>
      <c r="I19452" s="5"/>
      <c r="J19452" s="5"/>
      <c r="K19452" s="5"/>
    </row>
    <row r="19453" spans="1:11" x14ac:dyDescent="0.25">
      <c r="A19453" s="5">
        <f>19446</f>
      </c>
      <c r="B19453" s="5" t="s">
        <v>19461</v>
      </c>
      <c r="C19453" s="5">
        <v>122.8</v>
      </c>
      <c r="D19453" s="5">
        <v>0.1</v>
      </c>
      <c r="E19453" s="5">
        <v>123</v>
      </c>
      <c r="F19453" s="5">
        <v>244</v>
      </c>
      <c r="G19453" s="5">
        <v>121.1</v>
      </c>
      <c r="H19453" s="5">
        <v>120.9</v>
      </c>
      <c r="I19453" s="5"/>
      <c r="J19453" s="5"/>
      <c r="K19453" s="5"/>
    </row>
    <row r="19454" spans="1:11" x14ac:dyDescent="0.25">
      <c r="A19454" s="5">
        <f>19447</f>
      </c>
      <c r="B19454" s="5" t="s">
        <v>19462</v>
      </c>
      <c r="C19454" s="5">
        <v>122.8</v>
      </c>
      <c r="D19454" s="5">
        <v>0.1</v>
      </c>
      <c r="E19454" s="5">
        <v>123</v>
      </c>
      <c r="F19454" s="5">
        <v>244</v>
      </c>
      <c r="G19454" s="5">
        <v>121.1</v>
      </c>
      <c r="H19454" s="5">
        <v>120.9</v>
      </c>
      <c r="I19454" s="5"/>
      <c r="J19454" s="5"/>
      <c r="K19454" s="5"/>
    </row>
    <row r="19455" spans="1:11" x14ac:dyDescent="0.25">
      <c r="A19455" s="5">
        <f>19448</f>
      </c>
      <c r="B19455" s="5" t="s">
        <v>19463</v>
      </c>
      <c r="C19455" s="5">
        <v>122.8</v>
      </c>
      <c r="D19455" s="5">
        <v>0.1</v>
      </c>
      <c r="E19455" s="5">
        <v>123</v>
      </c>
      <c r="F19455" s="5">
        <v>244</v>
      </c>
      <c r="G19455" s="5">
        <v>121.1</v>
      </c>
      <c r="H19455" s="5">
        <v>120.9</v>
      </c>
      <c r="I19455" s="5"/>
      <c r="J19455" s="5"/>
      <c r="K19455" s="5"/>
    </row>
    <row r="19456" spans="1:11" x14ac:dyDescent="0.25">
      <c r="A19456" s="5">
        <f>19449</f>
      </c>
      <c r="B19456" s="5" t="s">
        <v>19464</v>
      </c>
      <c r="C19456" s="5">
        <v>122.8</v>
      </c>
      <c r="D19456" s="5">
        <v>0.1</v>
      </c>
      <c r="E19456" s="5">
        <v>123</v>
      </c>
      <c r="F19456" s="5">
        <v>243.6</v>
      </c>
      <c r="G19456" s="5">
        <v>120.9</v>
      </c>
      <c r="H19456" s="5">
        <v>120.7</v>
      </c>
      <c r="I19456" s="5"/>
      <c r="J19456" s="5"/>
      <c r="K19456" s="5"/>
    </row>
    <row r="19457" spans="1:11" x14ac:dyDescent="0.25">
      <c r="A19457" s="5">
        <f>19450</f>
      </c>
      <c r="B19457" s="5" t="s">
        <v>19465</v>
      </c>
      <c r="C19457" s="5">
        <v>122.8</v>
      </c>
      <c r="D19457" s="5">
        <v>0.1</v>
      </c>
      <c r="E19457" s="5">
        <v>123</v>
      </c>
      <c r="F19457" s="5">
        <v>243.6</v>
      </c>
      <c r="G19457" s="5">
        <v>120.9</v>
      </c>
      <c r="H19457" s="5">
        <v>120.7</v>
      </c>
      <c r="I19457" s="5"/>
      <c r="J19457" s="5"/>
      <c r="K19457" s="5"/>
    </row>
    <row r="19458" spans="1:11" x14ac:dyDescent="0.25">
      <c r="A19458" s="5">
        <f>19451</f>
      </c>
      <c r="B19458" s="5" t="s">
        <v>19466</v>
      </c>
      <c r="C19458" s="5">
        <v>122.7</v>
      </c>
      <c r="D19458" s="5">
        <v>0.1</v>
      </c>
      <c r="E19458" s="5">
        <v>122.8</v>
      </c>
      <c r="F19458" s="5">
        <v>243.4</v>
      </c>
      <c r="G19458" s="5">
        <v>120.7</v>
      </c>
      <c r="H19458" s="5">
        <v>120.6</v>
      </c>
      <c r="I19458" s="5"/>
      <c r="J19458" s="5"/>
      <c r="K19458" s="5"/>
    </row>
    <row r="19459" spans="1:11" x14ac:dyDescent="0.25">
      <c r="A19459" s="5">
        <f>19452</f>
      </c>
      <c r="B19459" s="5" t="s">
        <v>19467</v>
      </c>
      <c r="C19459" s="5">
        <v>122.7</v>
      </c>
      <c r="D19459" s="5">
        <v>0.1</v>
      </c>
      <c r="E19459" s="5">
        <v>122.8</v>
      </c>
      <c r="F19459" s="5">
        <v>243.4</v>
      </c>
      <c r="G19459" s="5">
        <v>120.7</v>
      </c>
      <c r="H19459" s="5">
        <v>120.6</v>
      </c>
      <c r="I19459" s="5"/>
      <c r="J19459" s="5"/>
      <c r="K19459" s="5"/>
    </row>
    <row r="19460" spans="1:11" x14ac:dyDescent="0.25">
      <c r="A19460" s="5">
        <f>19453</f>
      </c>
      <c r="B19460" s="5" t="s">
        <v>19468</v>
      </c>
      <c r="C19460" s="5">
        <v>122.6</v>
      </c>
      <c r="D19460" s="5">
        <v>0.1</v>
      </c>
      <c r="E19460" s="5">
        <v>122.8</v>
      </c>
      <c r="F19460" s="5">
        <v>243.7</v>
      </c>
      <c r="G19460" s="5">
        <v>120.8</v>
      </c>
      <c r="H19460" s="5">
        <v>120.7</v>
      </c>
      <c r="I19460" s="5"/>
      <c r="J19460" s="5"/>
      <c r="K19460" s="5"/>
    </row>
    <row r="19461" spans="1:11" x14ac:dyDescent="0.25">
      <c r="A19461" s="5">
        <f>19454</f>
      </c>
      <c r="B19461" s="5" t="s">
        <v>19469</v>
      </c>
      <c r="C19461" s="5">
        <v>122.6</v>
      </c>
      <c r="D19461" s="5">
        <v>0.1</v>
      </c>
      <c r="E19461" s="5">
        <v>122.8</v>
      </c>
      <c r="F19461" s="5">
        <v>243.7</v>
      </c>
      <c r="G19461" s="5">
        <v>120.8</v>
      </c>
      <c r="H19461" s="5">
        <v>120.7</v>
      </c>
      <c r="I19461" s="5"/>
      <c r="J19461" s="5"/>
      <c r="K19461" s="5"/>
    </row>
    <row r="19462" spans="1:11" x14ac:dyDescent="0.25">
      <c r="A19462" s="5">
        <f>19455</f>
      </c>
      <c r="B19462" s="5" t="s">
        <v>19470</v>
      </c>
      <c r="C19462" s="5">
        <v>122.9</v>
      </c>
      <c r="D19462" s="5">
        <v>0.1</v>
      </c>
      <c r="E19462" s="5">
        <v>123.1</v>
      </c>
      <c r="F19462" s="5">
        <v>243.4</v>
      </c>
      <c r="G19462" s="5">
        <v>120.7</v>
      </c>
      <c r="H19462" s="5">
        <v>120.7</v>
      </c>
      <c r="I19462" s="5"/>
      <c r="J19462" s="5"/>
      <c r="K19462" s="5"/>
    </row>
    <row r="19463" spans="1:11" x14ac:dyDescent="0.25">
      <c r="A19463" s="5">
        <f>19456</f>
      </c>
      <c r="B19463" s="5" t="s">
        <v>19471</v>
      </c>
      <c r="C19463" s="5">
        <v>122.9</v>
      </c>
      <c r="D19463" s="5">
        <v>0.1</v>
      </c>
      <c r="E19463" s="5">
        <v>123.1</v>
      </c>
      <c r="F19463" s="5">
        <v>243.4</v>
      </c>
      <c r="G19463" s="5">
        <v>120.7</v>
      </c>
      <c r="H19463" s="5">
        <v>120.5</v>
      </c>
      <c r="I19463" s="5"/>
      <c r="J19463" s="5"/>
      <c r="K19463" s="5"/>
    </row>
    <row r="19464" spans="1:11" x14ac:dyDescent="0.25">
      <c r="A19464" s="5">
        <f>19457</f>
      </c>
      <c r="B19464" s="5" t="s">
        <v>19472</v>
      </c>
      <c r="C19464" s="5">
        <v>122.9</v>
      </c>
      <c r="D19464" s="5">
        <v>0.1</v>
      </c>
      <c r="E19464" s="5">
        <v>123.1</v>
      </c>
      <c r="F19464" s="5">
        <v>243.4</v>
      </c>
      <c r="G19464" s="5">
        <v>120.7</v>
      </c>
      <c r="H19464" s="5">
        <v>120.5</v>
      </c>
      <c r="I19464" s="5"/>
      <c r="J19464" s="5"/>
      <c r="K19464" s="5"/>
    </row>
    <row r="19465" spans="1:11" x14ac:dyDescent="0.25">
      <c r="A19465" s="5">
        <f>19458</f>
      </c>
      <c r="B19465" s="5" t="s">
        <v>19473</v>
      </c>
      <c r="C19465" s="5">
        <v>122.9</v>
      </c>
      <c r="D19465" s="5">
        <v>0.1</v>
      </c>
      <c r="E19465" s="5">
        <v>123.1</v>
      </c>
      <c r="F19465" s="5">
        <v>243.4</v>
      </c>
      <c r="G19465" s="5">
        <v>120.7</v>
      </c>
      <c r="H19465" s="5">
        <v>120.5</v>
      </c>
      <c r="I19465" s="5"/>
      <c r="J19465" s="5"/>
      <c r="K19465" s="5"/>
    </row>
    <row r="19466" spans="1:11" x14ac:dyDescent="0.25">
      <c r="A19466" s="5">
        <f>19459</f>
      </c>
      <c r="B19466" s="5" t="s">
        <v>19474</v>
      </c>
      <c r="C19466" s="5">
        <v>122.6</v>
      </c>
      <c r="D19466" s="5">
        <v>0.1</v>
      </c>
      <c r="E19466" s="5">
        <v>122.8</v>
      </c>
      <c r="F19466" s="5">
        <v>243.5</v>
      </c>
      <c r="G19466" s="5">
        <v>120.7</v>
      </c>
      <c r="H19466" s="5">
        <v>120.5</v>
      </c>
      <c r="I19466" s="5"/>
      <c r="J19466" s="5"/>
      <c r="K19466" s="5"/>
    </row>
    <row r="19467" spans="1:11" x14ac:dyDescent="0.25">
      <c r="A19467" s="5">
        <f>19460</f>
      </c>
      <c r="B19467" s="5" t="s">
        <v>19475</v>
      </c>
      <c r="C19467" s="5">
        <v>122.6</v>
      </c>
      <c r="D19467" s="5">
        <v>0.1</v>
      </c>
      <c r="E19467" s="5">
        <v>122.8</v>
      </c>
      <c r="F19467" s="5">
        <v>243.5</v>
      </c>
      <c r="G19467" s="5">
        <v>120.7</v>
      </c>
      <c r="H19467" s="5">
        <v>120.5</v>
      </c>
      <c r="I19467" s="5"/>
      <c r="J19467" s="5"/>
      <c r="K19467" s="5"/>
    </row>
    <row r="19468" spans="1:11" x14ac:dyDescent="0.25">
      <c r="A19468" s="5">
        <f>19461</f>
      </c>
      <c r="B19468" s="5" t="s">
        <v>19476</v>
      </c>
      <c r="C19468" s="5">
        <v>122.9</v>
      </c>
      <c r="D19468" s="5">
        <v>0.1</v>
      </c>
      <c r="E19468" s="5">
        <v>123.1</v>
      </c>
      <c r="F19468" s="5">
        <v>243.6</v>
      </c>
      <c r="G19468" s="5">
        <v>120.7</v>
      </c>
      <c r="H19468" s="5">
        <v>120.5</v>
      </c>
      <c r="I19468" s="5"/>
      <c r="J19468" s="5"/>
      <c r="K19468" s="5"/>
    </row>
    <row r="19469" spans="1:11" x14ac:dyDescent="0.25">
      <c r="A19469" s="5">
        <f>19462</f>
      </c>
      <c r="B19469" s="5" t="s">
        <v>19477</v>
      </c>
      <c r="C19469" s="5">
        <v>122.9</v>
      </c>
      <c r="D19469" s="5">
        <v>0.1</v>
      </c>
      <c r="E19469" s="5">
        <v>123.1</v>
      </c>
      <c r="F19469" s="5">
        <v>243.6</v>
      </c>
      <c r="G19469" s="5">
        <v>120.7</v>
      </c>
      <c r="H19469" s="5">
        <v>120.5</v>
      </c>
      <c r="I19469" s="5"/>
      <c r="J19469" s="5"/>
      <c r="K19469" s="5"/>
    </row>
    <row r="19470" spans="1:11" x14ac:dyDescent="0.25">
      <c r="A19470" s="5">
        <f>19463</f>
      </c>
      <c r="B19470" s="5" t="s">
        <v>19478</v>
      </c>
      <c r="C19470" s="5">
        <v>122.7</v>
      </c>
      <c r="D19470" s="5">
        <v>0.1</v>
      </c>
      <c r="E19470" s="5">
        <v>122.9</v>
      </c>
      <c r="F19470" s="5">
        <v>243.5</v>
      </c>
      <c r="G19470" s="5">
        <v>120.7</v>
      </c>
      <c r="H19470" s="5">
        <v>120.5</v>
      </c>
      <c r="I19470" s="5"/>
      <c r="J19470" s="5"/>
      <c r="K19470" s="5"/>
    </row>
    <row r="19471" spans="1:11" x14ac:dyDescent="0.25">
      <c r="A19471" s="5">
        <f>19464</f>
      </c>
      <c r="B19471" s="5" t="s">
        <v>19479</v>
      </c>
      <c r="C19471" s="5">
        <v>122.7</v>
      </c>
      <c r="D19471" s="5">
        <v>0.1</v>
      </c>
      <c r="E19471" s="5">
        <v>122.9</v>
      </c>
      <c r="F19471" s="5">
        <v>243.5</v>
      </c>
      <c r="G19471" s="5">
        <v>120.7</v>
      </c>
      <c r="H19471" s="5">
        <v>120.5</v>
      </c>
      <c r="I19471" s="5"/>
      <c r="J19471" s="5"/>
      <c r="K19471" s="5"/>
    </row>
    <row r="19472" spans="1:11" x14ac:dyDescent="0.25">
      <c r="A19472" s="5">
        <f>19465</f>
      </c>
      <c r="B19472" s="5" t="s">
        <v>19480</v>
      </c>
      <c r="C19472" s="5">
        <v>122.9</v>
      </c>
      <c r="D19472" s="5">
        <v>0.1</v>
      </c>
      <c r="E19472" s="5">
        <v>123.1</v>
      </c>
      <c r="F19472" s="5">
        <v>243.9</v>
      </c>
      <c r="G19472" s="5">
        <v>120.8</v>
      </c>
      <c r="H19472" s="5">
        <v>120.6</v>
      </c>
      <c r="I19472" s="5"/>
      <c r="J19472" s="5"/>
      <c r="K19472" s="5"/>
    </row>
    <row r="19473" spans="1:11" x14ac:dyDescent="0.25">
      <c r="A19473" s="5">
        <f>19466</f>
      </c>
      <c r="B19473" s="5" t="s">
        <v>19481</v>
      </c>
      <c r="C19473" s="5">
        <v>122.9</v>
      </c>
      <c r="D19473" s="5">
        <v>0.1</v>
      </c>
      <c r="E19473" s="5">
        <v>123.1</v>
      </c>
      <c r="F19473" s="5">
        <v>243.9</v>
      </c>
      <c r="G19473" s="5">
        <v>120.8</v>
      </c>
      <c r="H19473" s="5">
        <v>120.6</v>
      </c>
      <c r="I19473" s="5"/>
      <c r="J19473" s="5"/>
      <c r="K19473" s="5"/>
    </row>
    <row r="19474" spans="1:11" x14ac:dyDescent="0.25">
      <c r="A19474" s="5">
        <f>19467</f>
      </c>
      <c r="B19474" s="5" t="s">
        <v>19482</v>
      </c>
      <c r="C19474" s="5">
        <v>122.9</v>
      </c>
      <c r="D19474" s="5">
        <v>0.1</v>
      </c>
      <c r="E19474" s="5">
        <v>123.1</v>
      </c>
      <c r="F19474" s="5">
        <v>243.9</v>
      </c>
      <c r="G19474" s="5">
        <v>120.8</v>
      </c>
      <c r="H19474" s="5">
        <v>120.6</v>
      </c>
      <c r="I19474" s="5"/>
      <c r="J19474" s="5"/>
      <c r="K19474" s="5"/>
    </row>
    <row r="19475" spans="1:11" x14ac:dyDescent="0.25">
      <c r="A19475" s="5">
        <f>19468</f>
      </c>
      <c r="B19475" s="5" t="s">
        <v>19483</v>
      </c>
      <c r="C19475" s="5">
        <v>122.9</v>
      </c>
      <c r="D19475" s="5">
        <v>0.1</v>
      </c>
      <c r="E19475" s="5">
        <v>123.1</v>
      </c>
      <c r="F19475" s="5">
        <v>243.9</v>
      </c>
      <c r="G19475" s="5">
        <v>120.8</v>
      </c>
      <c r="H19475" s="5">
        <v>120.6</v>
      </c>
      <c r="I19475" s="5"/>
      <c r="J19475" s="5"/>
      <c r="K19475" s="5"/>
    </row>
    <row r="19476" spans="1:11" x14ac:dyDescent="0.25">
      <c r="A19476" s="5">
        <f>19469</f>
      </c>
      <c r="B19476" s="5" t="s">
        <v>19484</v>
      </c>
      <c r="C19476" s="5">
        <v>122.9</v>
      </c>
      <c r="D19476" s="5">
        <v>0.1</v>
      </c>
      <c r="E19476" s="5">
        <v>123.1</v>
      </c>
      <c r="F19476" s="5">
        <v>244.2</v>
      </c>
      <c r="G19476" s="5">
        <v>121.3</v>
      </c>
      <c r="H19476" s="5">
        <v>121.1</v>
      </c>
      <c r="I19476" s="5"/>
      <c r="J19476" s="5"/>
      <c r="K19476" s="5"/>
    </row>
    <row r="19477" spans="1:11" x14ac:dyDescent="0.25">
      <c r="A19477" s="5">
        <f>19470</f>
      </c>
      <c r="B19477" s="5" t="s">
        <v>19485</v>
      </c>
      <c r="C19477" s="5">
        <v>122.9</v>
      </c>
      <c r="D19477" s="5">
        <v>0.1</v>
      </c>
      <c r="E19477" s="5">
        <v>123.1</v>
      </c>
      <c r="F19477" s="5">
        <v>244.2</v>
      </c>
      <c r="G19477" s="5">
        <v>121.3</v>
      </c>
      <c r="H19477" s="5">
        <v>121.1</v>
      </c>
      <c r="I19477" s="5"/>
      <c r="J19477" s="5"/>
      <c r="K19477" s="5"/>
    </row>
    <row r="19478" spans="1:11" x14ac:dyDescent="0.25">
      <c r="A19478" s="5">
        <f>19471</f>
      </c>
      <c r="B19478" s="5" t="s">
        <v>19486</v>
      </c>
      <c r="C19478" s="5">
        <v>123.1</v>
      </c>
      <c r="D19478" s="5">
        <v>0.1</v>
      </c>
      <c r="E19478" s="5">
        <v>123.3</v>
      </c>
      <c r="F19478" s="5">
        <v>244.2</v>
      </c>
      <c r="G19478" s="5">
        <v>121.3</v>
      </c>
      <c r="H19478" s="5">
        <v>121</v>
      </c>
      <c r="I19478" s="5"/>
      <c r="J19478" s="5"/>
      <c r="K19478" s="5"/>
    </row>
    <row r="19479" spans="1:11" x14ac:dyDescent="0.25">
      <c r="A19479" s="5">
        <f>19472</f>
      </c>
      <c r="B19479" s="5" t="s">
        <v>19487</v>
      </c>
      <c r="C19479" s="5">
        <v>123.1</v>
      </c>
      <c r="D19479" s="5">
        <v>0.1</v>
      </c>
      <c r="E19479" s="5">
        <v>123.3</v>
      </c>
      <c r="F19479" s="5">
        <v>244.2</v>
      </c>
      <c r="G19479" s="5">
        <v>121.3</v>
      </c>
      <c r="H19479" s="5">
        <v>121</v>
      </c>
      <c r="I19479" s="5"/>
      <c r="J19479" s="5"/>
      <c r="K19479" s="5"/>
    </row>
    <row r="19480" spans="1:11" x14ac:dyDescent="0.25">
      <c r="A19480" s="5">
        <f>19473</f>
      </c>
      <c r="B19480" s="5" t="s">
        <v>19488</v>
      </c>
      <c r="C19480" s="5">
        <v>123.3</v>
      </c>
      <c r="D19480" s="5">
        <v>0.1</v>
      </c>
      <c r="E19480" s="5">
        <v>123.4</v>
      </c>
      <c r="F19480" s="5">
        <v>244.5</v>
      </c>
      <c r="G19480" s="5">
        <v>121.4</v>
      </c>
      <c r="H19480" s="5">
        <v>121.2</v>
      </c>
      <c r="I19480" s="5"/>
      <c r="J19480" s="5"/>
      <c r="K19480" s="5"/>
    </row>
    <row r="19481" spans="1:11" x14ac:dyDescent="0.25">
      <c r="A19481" s="5">
        <f>19474</f>
      </c>
      <c r="B19481" s="5" t="s">
        <v>19489</v>
      </c>
      <c r="C19481" s="5">
        <v>123.3</v>
      </c>
      <c r="D19481" s="5">
        <v>0.1</v>
      </c>
      <c r="E19481" s="5">
        <v>123.4</v>
      </c>
      <c r="F19481" s="5">
        <v>244.5</v>
      </c>
      <c r="G19481" s="5">
        <v>121.4</v>
      </c>
      <c r="H19481" s="5">
        <v>121.2</v>
      </c>
      <c r="I19481" s="5"/>
      <c r="J19481" s="5"/>
      <c r="K19481" s="5"/>
    </row>
    <row r="19482" spans="1:11" x14ac:dyDescent="0.25">
      <c r="A19482" s="5">
        <f>19475</f>
      </c>
      <c r="B19482" s="5" t="s">
        <v>19490</v>
      </c>
      <c r="C19482" s="5">
        <v>123.3</v>
      </c>
      <c r="D19482" s="5">
        <v>0.1</v>
      </c>
      <c r="E19482" s="5">
        <v>123.4</v>
      </c>
      <c r="F19482" s="5">
        <v>244.6</v>
      </c>
      <c r="G19482" s="5">
        <v>121.5</v>
      </c>
      <c r="H19482" s="5">
        <v>121.3</v>
      </c>
      <c r="I19482" s="5"/>
      <c r="J19482" s="5"/>
      <c r="K19482" s="5"/>
    </row>
    <row r="19483" spans="1:11" x14ac:dyDescent="0.25">
      <c r="A19483" s="5">
        <f>19476</f>
      </c>
      <c r="B19483" s="5" t="s">
        <v>19491</v>
      </c>
      <c r="C19483" s="5">
        <v>123.3</v>
      </c>
      <c r="D19483" s="5">
        <v>0.1</v>
      </c>
      <c r="E19483" s="5">
        <v>123.4</v>
      </c>
      <c r="F19483" s="5">
        <v>244.6</v>
      </c>
      <c r="G19483" s="5">
        <v>121.5</v>
      </c>
      <c r="H19483" s="5">
        <v>121.3</v>
      </c>
      <c r="I19483" s="5"/>
      <c r="J19483" s="5"/>
      <c r="K19483" s="5"/>
    </row>
    <row r="19484" spans="1:11" x14ac:dyDescent="0.25">
      <c r="A19484" s="5">
        <f>19477</f>
      </c>
      <c r="B19484" s="5" t="s">
        <v>19492</v>
      </c>
      <c r="C19484" s="5">
        <v>123.3</v>
      </c>
      <c r="D19484" s="5">
        <v>0.1</v>
      </c>
      <c r="E19484" s="5">
        <v>123.4</v>
      </c>
      <c r="F19484" s="5">
        <v>244.6</v>
      </c>
      <c r="G19484" s="5">
        <v>121.5</v>
      </c>
      <c r="H19484" s="5">
        <v>121.3</v>
      </c>
      <c r="I19484" s="5"/>
      <c r="J19484" s="5"/>
      <c r="K19484" s="5"/>
    </row>
    <row r="19485" spans="1:11" x14ac:dyDescent="0.25">
      <c r="A19485" s="5">
        <f>19478</f>
      </c>
      <c r="B19485" s="5" t="s">
        <v>19493</v>
      </c>
      <c r="C19485" s="5">
        <v>123.3</v>
      </c>
      <c r="D19485" s="5">
        <v>0.1</v>
      </c>
      <c r="E19485" s="5">
        <v>123.4</v>
      </c>
      <c r="F19485" s="5">
        <v>244.6</v>
      </c>
      <c r="G19485" s="5">
        <v>121.5</v>
      </c>
      <c r="H19485" s="5">
        <v>121.3</v>
      </c>
      <c r="I19485" s="5"/>
      <c r="J19485" s="5"/>
      <c r="K19485" s="5"/>
    </row>
    <row r="19486" spans="1:11" x14ac:dyDescent="0.25">
      <c r="A19486" s="5">
        <f>19479</f>
      </c>
      <c r="B19486" s="5" t="s">
        <v>19494</v>
      </c>
      <c r="C19486" s="5">
        <v>122.6</v>
      </c>
      <c r="D19486" s="5">
        <v>0.1</v>
      </c>
      <c r="E19486" s="5">
        <v>122.8</v>
      </c>
      <c r="F19486" s="5">
        <v>243.7</v>
      </c>
      <c r="G19486" s="5">
        <v>121</v>
      </c>
      <c r="H19486" s="5">
        <v>120.8</v>
      </c>
      <c r="I19486" s="5"/>
      <c r="J19486" s="5"/>
      <c r="K19486" s="5"/>
    </row>
    <row r="19487" spans="1:11" x14ac:dyDescent="0.25">
      <c r="A19487" s="5">
        <f>19480</f>
      </c>
      <c r="B19487" s="5" t="s">
        <v>19495</v>
      </c>
      <c r="C19487" s="5">
        <v>122.6</v>
      </c>
      <c r="D19487" s="5">
        <v>0.1</v>
      </c>
      <c r="E19487" s="5">
        <v>122.8</v>
      </c>
      <c r="F19487" s="5">
        <v>243.7</v>
      </c>
      <c r="G19487" s="5">
        <v>121</v>
      </c>
      <c r="H19487" s="5">
        <v>120.8</v>
      </c>
      <c r="I19487" s="5"/>
      <c r="J19487" s="5"/>
      <c r="K19487" s="5"/>
    </row>
    <row r="19488" spans="1:11" x14ac:dyDescent="0.25">
      <c r="A19488" s="5">
        <f>19481</f>
      </c>
      <c r="B19488" s="5" t="s">
        <v>19496</v>
      </c>
      <c r="C19488" s="5">
        <v>122.9</v>
      </c>
      <c r="D19488" s="5">
        <v>0.1</v>
      </c>
      <c r="E19488" s="5">
        <v>123.1</v>
      </c>
      <c r="F19488" s="5">
        <v>244</v>
      </c>
      <c r="G19488" s="5">
        <v>121.1</v>
      </c>
      <c r="H19488" s="5">
        <v>120.9</v>
      </c>
      <c r="I19488" s="5"/>
      <c r="J19488" s="5"/>
      <c r="K19488" s="5"/>
    </row>
    <row r="19489" spans="1:11" x14ac:dyDescent="0.25">
      <c r="A19489" s="5">
        <f>19482</f>
      </c>
      <c r="B19489" s="5" t="s">
        <v>19497</v>
      </c>
      <c r="C19489" s="5">
        <v>122.9</v>
      </c>
      <c r="D19489" s="5">
        <v>0.1</v>
      </c>
      <c r="E19489" s="5">
        <v>123.1</v>
      </c>
      <c r="F19489" s="5">
        <v>244</v>
      </c>
      <c r="G19489" s="5">
        <v>121.1</v>
      </c>
      <c r="H19489" s="5">
        <v>120.9</v>
      </c>
      <c r="I19489" s="5"/>
      <c r="J19489" s="5"/>
      <c r="K19489" s="5"/>
    </row>
    <row r="19490" spans="1:11" x14ac:dyDescent="0.25">
      <c r="A19490" s="5">
        <f>19483</f>
      </c>
      <c r="B19490" s="5" t="s">
        <v>19498</v>
      </c>
      <c r="C19490" s="5">
        <v>122.8</v>
      </c>
      <c r="D19490" s="5">
        <v>0.1</v>
      </c>
      <c r="E19490" s="5">
        <v>123</v>
      </c>
      <c r="F19490" s="5">
        <v>244.2</v>
      </c>
      <c r="G19490" s="5">
        <v>121.2</v>
      </c>
      <c r="H19490" s="5">
        <v>121</v>
      </c>
      <c r="I19490" s="5"/>
      <c r="J19490" s="5"/>
      <c r="K19490" s="5"/>
    </row>
    <row r="19491" spans="1:11" x14ac:dyDescent="0.25">
      <c r="A19491" s="5">
        <f>19484</f>
      </c>
      <c r="B19491" s="5" t="s">
        <v>19499</v>
      </c>
      <c r="C19491" s="5">
        <v>122.8</v>
      </c>
      <c r="D19491" s="5">
        <v>0.1</v>
      </c>
      <c r="E19491" s="5">
        <v>123</v>
      </c>
      <c r="F19491" s="5">
        <v>244.2</v>
      </c>
      <c r="G19491" s="5">
        <v>121.2</v>
      </c>
      <c r="H19491" s="5">
        <v>121</v>
      </c>
      <c r="I19491" s="5"/>
      <c r="J19491" s="5"/>
      <c r="K19491" s="5"/>
    </row>
    <row r="19492" spans="1:11" x14ac:dyDescent="0.25">
      <c r="A19492" s="5">
        <f>19485</f>
      </c>
      <c r="B19492" s="5" t="s">
        <v>19500</v>
      </c>
      <c r="C19492" s="5">
        <v>123.1</v>
      </c>
      <c r="D19492" s="5">
        <v>0.1</v>
      </c>
      <c r="E19492" s="5">
        <v>123.2</v>
      </c>
      <c r="F19492" s="5">
        <v>244.3</v>
      </c>
      <c r="G19492" s="5">
        <v>121.1</v>
      </c>
      <c r="H19492" s="5">
        <v>121</v>
      </c>
      <c r="I19492" s="5"/>
      <c r="J19492" s="5"/>
      <c r="K19492" s="5"/>
    </row>
    <row r="19493" spans="1:11" x14ac:dyDescent="0.25">
      <c r="A19493" s="5">
        <f>19486</f>
      </c>
      <c r="B19493" s="5" t="s">
        <v>19501</v>
      </c>
      <c r="C19493" s="5">
        <v>123.1</v>
      </c>
      <c r="D19493" s="5">
        <v>0.1</v>
      </c>
      <c r="E19493" s="5">
        <v>123.2</v>
      </c>
      <c r="F19493" s="5">
        <v>244.3</v>
      </c>
      <c r="G19493" s="5">
        <v>121.1</v>
      </c>
      <c r="H19493" s="5">
        <v>121</v>
      </c>
      <c r="I19493" s="5"/>
      <c r="J19493" s="5"/>
      <c r="K19493" s="5"/>
    </row>
    <row r="19494" spans="1:11" x14ac:dyDescent="0.25">
      <c r="A19494" s="5">
        <f>19487</f>
      </c>
      <c r="B19494" s="5" t="s">
        <v>19502</v>
      </c>
      <c r="C19494" s="5">
        <v>123.1</v>
      </c>
      <c r="D19494" s="5">
        <v>0.1</v>
      </c>
      <c r="E19494" s="5">
        <v>123.2</v>
      </c>
      <c r="F19494" s="5">
        <v>244.3</v>
      </c>
      <c r="G19494" s="5">
        <v>121.1</v>
      </c>
      <c r="H19494" s="5">
        <v>121</v>
      </c>
      <c r="I19494" s="5"/>
      <c r="J19494" s="5"/>
      <c r="K19494" s="5"/>
    </row>
    <row r="19495" spans="1:11" x14ac:dyDescent="0.25">
      <c r="A19495" s="5">
        <f>19488</f>
      </c>
      <c r="B19495" s="5" t="s">
        <v>19503</v>
      </c>
      <c r="C19495" s="5">
        <v>123.1</v>
      </c>
      <c r="D19495" s="5">
        <v>0.1</v>
      </c>
      <c r="E19495" s="5">
        <v>123.2</v>
      </c>
      <c r="F19495" s="5">
        <v>244.3</v>
      </c>
      <c r="G19495" s="5">
        <v>121.1</v>
      </c>
      <c r="H19495" s="5">
        <v>121</v>
      </c>
      <c r="I19495" s="5"/>
      <c r="J19495" s="5"/>
      <c r="K19495" s="5"/>
    </row>
    <row r="19496" spans="1:11" x14ac:dyDescent="0.25">
      <c r="A19496" s="5">
        <f>19489</f>
      </c>
      <c r="B19496" s="5" t="s">
        <v>19504</v>
      </c>
      <c r="C19496" s="5">
        <v>123.1</v>
      </c>
      <c r="D19496" s="5">
        <v>0.1</v>
      </c>
      <c r="E19496" s="5">
        <v>123.4</v>
      </c>
      <c r="F19496" s="5">
        <v>244.3</v>
      </c>
      <c r="G19496" s="5">
        <v>121.2</v>
      </c>
      <c r="H19496" s="5">
        <v>121</v>
      </c>
      <c r="I19496" s="5"/>
      <c r="J19496" s="5"/>
      <c r="K19496" s="5"/>
    </row>
    <row r="19497" spans="1:11" x14ac:dyDescent="0.25">
      <c r="A19497" s="5">
        <f>19490</f>
      </c>
      <c r="B19497" s="5" t="s">
        <v>19505</v>
      </c>
      <c r="C19497" s="5">
        <v>123.1</v>
      </c>
      <c r="D19497" s="5">
        <v>0.1</v>
      </c>
      <c r="E19497" s="5">
        <v>123.4</v>
      </c>
      <c r="F19497" s="5">
        <v>244.3</v>
      </c>
      <c r="G19497" s="5">
        <v>121.2</v>
      </c>
      <c r="H19497" s="5">
        <v>121</v>
      </c>
      <c r="I19497" s="5"/>
      <c r="J19497" s="5"/>
      <c r="K19497" s="5"/>
    </row>
    <row r="19498" spans="1:11" x14ac:dyDescent="0.25">
      <c r="A19498" s="5">
        <f>19491</f>
      </c>
      <c r="B19498" s="5" t="s">
        <v>19506</v>
      </c>
      <c r="C19498" s="5">
        <v>122.9</v>
      </c>
      <c r="D19498" s="5">
        <v>0.1</v>
      </c>
      <c r="E19498" s="5">
        <v>123.1</v>
      </c>
      <c r="F19498" s="5">
        <v>244.1</v>
      </c>
      <c r="G19498" s="5">
        <v>121.1</v>
      </c>
      <c r="H19498" s="5">
        <v>121</v>
      </c>
      <c r="I19498" s="5"/>
      <c r="J19498" s="5"/>
      <c r="K19498" s="5"/>
    </row>
    <row r="19499" spans="1:11" x14ac:dyDescent="0.25">
      <c r="A19499" s="5">
        <f>19492</f>
      </c>
      <c r="B19499" s="5" t="s">
        <v>19507</v>
      </c>
      <c r="C19499" s="5">
        <v>122.9</v>
      </c>
      <c r="D19499" s="5">
        <v>0.1</v>
      </c>
      <c r="E19499" s="5">
        <v>123.1</v>
      </c>
      <c r="F19499" s="5">
        <v>244.1</v>
      </c>
      <c r="G19499" s="5">
        <v>121.1</v>
      </c>
      <c r="H19499" s="5">
        <v>121</v>
      </c>
      <c r="I19499" s="5"/>
      <c r="J19499" s="5"/>
      <c r="K19499" s="5"/>
    </row>
    <row r="19500" spans="1:11" x14ac:dyDescent="0.25">
      <c r="A19500" s="5">
        <f>19493</f>
      </c>
      <c r="B19500" s="5" t="s">
        <v>19508</v>
      </c>
      <c r="C19500" s="5">
        <v>123</v>
      </c>
      <c r="D19500" s="5">
        <v>0.1</v>
      </c>
      <c r="E19500" s="5">
        <v>123.1</v>
      </c>
      <c r="F19500" s="5">
        <v>244</v>
      </c>
      <c r="G19500" s="5">
        <v>121.1</v>
      </c>
      <c r="H19500" s="5">
        <v>120.9</v>
      </c>
      <c r="I19500" s="5"/>
      <c r="J19500" s="5"/>
      <c r="K19500" s="5"/>
    </row>
    <row r="19501" spans="1:11" x14ac:dyDescent="0.25">
      <c r="A19501" s="5">
        <f>19494</f>
      </c>
      <c r="B19501" s="5" t="s">
        <v>19509</v>
      </c>
      <c r="C19501" s="5">
        <v>123</v>
      </c>
      <c r="D19501" s="5">
        <v>0.1</v>
      </c>
      <c r="E19501" s="5">
        <v>123.1</v>
      </c>
      <c r="F19501" s="5">
        <v>244</v>
      </c>
      <c r="G19501" s="5">
        <v>121.1</v>
      </c>
      <c r="H19501" s="5">
        <v>120.9</v>
      </c>
      <c r="I19501" s="5"/>
      <c r="J19501" s="5"/>
      <c r="K19501" s="5"/>
    </row>
    <row r="19502" spans="1:11" x14ac:dyDescent="0.25">
      <c r="A19502" s="5">
        <f>19495</f>
      </c>
      <c r="B19502" s="5" t="s">
        <v>19510</v>
      </c>
      <c r="C19502" s="5">
        <v>122.6</v>
      </c>
      <c r="D19502" s="5">
        <v>0.1</v>
      </c>
      <c r="E19502" s="5">
        <v>122.8</v>
      </c>
      <c r="F19502" s="5">
        <v>243.8</v>
      </c>
      <c r="G19502" s="5">
        <v>121</v>
      </c>
      <c r="H19502" s="5">
        <v>120.8</v>
      </c>
      <c r="I19502" s="5"/>
      <c r="J19502" s="5"/>
      <c r="K19502" s="5"/>
    </row>
    <row r="19503" spans="1:11" x14ac:dyDescent="0.25">
      <c r="A19503" s="5">
        <f>19496</f>
      </c>
      <c r="B19503" s="5" t="s">
        <v>19511</v>
      </c>
      <c r="C19503" s="5">
        <v>122.6</v>
      </c>
      <c r="D19503" s="5">
        <v>0.1</v>
      </c>
      <c r="E19503" s="5">
        <v>122.8</v>
      </c>
      <c r="F19503" s="5">
        <v>243.8</v>
      </c>
      <c r="G19503" s="5">
        <v>121</v>
      </c>
      <c r="H19503" s="5">
        <v>120.8</v>
      </c>
      <c r="I19503" s="5"/>
      <c r="J19503" s="5"/>
      <c r="K19503" s="5"/>
    </row>
    <row r="19504" spans="1:11" x14ac:dyDescent="0.25">
      <c r="A19504" s="5">
        <f>19497</f>
      </c>
      <c r="B19504" s="5" t="s">
        <v>19512</v>
      </c>
      <c r="C19504" s="5">
        <v>122.6</v>
      </c>
      <c r="D19504" s="5">
        <v>0.1</v>
      </c>
      <c r="E19504" s="5">
        <v>122.8</v>
      </c>
      <c r="F19504" s="5">
        <v>243.8</v>
      </c>
      <c r="G19504" s="5">
        <v>121</v>
      </c>
      <c r="H19504" s="5">
        <v>120.8</v>
      </c>
      <c r="I19504" s="5"/>
      <c r="J19504" s="5"/>
      <c r="K19504" s="5"/>
    </row>
    <row r="19505" spans="1:11" x14ac:dyDescent="0.25">
      <c r="A19505" s="5">
        <f>19498</f>
      </c>
      <c r="B19505" s="5" t="s">
        <v>19513</v>
      </c>
      <c r="C19505" s="5">
        <v>122.6</v>
      </c>
      <c r="D19505" s="5">
        <v>0.1</v>
      </c>
      <c r="E19505" s="5">
        <v>122.8</v>
      </c>
      <c r="F19505" s="5">
        <v>243.8</v>
      </c>
      <c r="G19505" s="5">
        <v>121</v>
      </c>
      <c r="H19505" s="5">
        <v>120.8</v>
      </c>
      <c r="I19505" s="5"/>
      <c r="J19505" s="5"/>
      <c r="K19505" s="5"/>
    </row>
    <row r="19506" spans="1:11" x14ac:dyDescent="0.25">
      <c r="A19506" s="5">
        <f>19499</f>
      </c>
      <c r="B19506" s="5" t="s">
        <v>19514</v>
      </c>
      <c r="C19506" s="5">
        <v>118.9</v>
      </c>
      <c r="D19506" s="5">
        <v>0.1</v>
      </c>
      <c r="E19506" s="5">
        <v>119</v>
      </c>
      <c r="F19506" s="5">
        <v>235.6</v>
      </c>
      <c r="G19506" s="5">
        <v>116.9</v>
      </c>
      <c r="H19506" s="5">
        <v>116.8</v>
      </c>
      <c r="I19506" s="5"/>
      <c r="J19506" s="5"/>
      <c r="K19506" s="5"/>
    </row>
    <row r="19507" spans="1:11" x14ac:dyDescent="0.25">
      <c r="A19507" s="5">
        <f>19500</f>
      </c>
      <c r="B19507" s="5" t="s">
        <v>19515</v>
      </c>
      <c r="C19507" s="5">
        <v>118.9</v>
      </c>
      <c r="D19507" s="5">
        <v>0.1</v>
      </c>
      <c r="E19507" s="5">
        <v>119</v>
      </c>
      <c r="F19507" s="5">
        <v>235.6</v>
      </c>
      <c r="G19507" s="5">
        <v>116.9</v>
      </c>
      <c r="H19507" s="5">
        <v>116.8</v>
      </c>
      <c r="I19507" s="5"/>
      <c r="J19507" s="5"/>
      <c r="K19507" s="5"/>
    </row>
    <row r="19508" spans="1:11" x14ac:dyDescent="0.25">
      <c r="A19508" s="5">
        <f>19501</f>
      </c>
      <c r="B19508" s="5" t="s">
        <v>19516</v>
      </c>
      <c r="C19508" s="5">
        <v>118.9</v>
      </c>
      <c r="D19508" s="5">
        <v>0.1</v>
      </c>
      <c r="E19508" s="5">
        <v>119</v>
      </c>
      <c r="F19508" s="5">
        <v>235.5</v>
      </c>
      <c r="G19508" s="5">
        <v>116.8</v>
      </c>
      <c r="H19508" s="5">
        <v>116.7</v>
      </c>
      <c r="I19508" s="5"/>
      <c r="J19508" s="5"/>
      <c r="K19508" s="5"/>
    </row>
    <row r="19509" spans="1:11" x14ac:dyDescent="0.25">
      <c r="A19509" s="5">
        <f>19502</f>
      </c>
      <c r="B19509" s="5" t="s">
        <v>19517</v>
      </c>
      <c r="C19509" s="5">
        <v>118.9</v>
      </c>
      <c r="D19509" s="5">
        <v>0.1</v>
      </c>
      <c r="E19509" s="5">
        <v>119</v>
      </c>
      <c r="F19509" s="5">
        <v>235.5</v>
      </c>
      <c r="G19509" s="5">
        <v>116.8</v>
      </c>
      <c r="H19509" s="5">
        <v>116.7</v>
      </c>
      <c r="I19509" s="5"/>
      <c r="J19509" s="5"/>
      <c r="K19509" s="5"/>
    </row>
    <row r="19510" spans="1:11" x14ac:dyDescent="0.25">
      <c r="A19510" s="5">
        <f>19503</f>
      </c>
      <c r="B19510" s="5" t="s">
        <v>19518</v>
      </c>
      <c r="C19510" s="5">
        <v>118.2</v>
      </c>
      <c r="D19510" s="5">
        <v>0.1</v>
      </c>
      <c r="E19510" s="5">
        <v>118.3</v>
      </c>
      <c r="F19510" s="5">
        <v>234.4</v>
      </c>
      <c r="G19510" s="5">
        <v>116.3</v>
      </c>
      <c r="H19510" s="5">
        <v>116.2</v>
      </c>
      <c r="I19510" s="5"/>
      <c r="J19510" s="5"/>
      <c r="K19510" s="5"/>
    </row>
    <row r="19511" spans="1:11" x14ac:dyDescent="0.25">
      <c r="A19511" s="5">
        <f>19504</f>
      </c>
      <c r="B19511" s="5" t="s">
        <v>19519</v>
      </c>
      <c r="C19511" s="5">
        <v>118.2</v>
      </c>
      <c r="D19511" s="5">
        <v>0.1</v>
      </c>
      <c r="E19511" s="5">
        <v>118.3</v>
      </c>
      <c r="F19511" s="5">
        <v>234.4</v>
      </c>
      <c r="G19511" s="5">
        <v>116.3</v>
      </c>
      <c r="H19511" s="5">
        <v>116.2</v>
      </c>
      <c r="I19511" s="5"/>
      <c r="J19511" s="5"/>
      <c r="K19511" s="5"/>
    </row>
    <row r="19512" spans="1:11" x14ac:dyDescent="0.25">
      <c r="A19512" s="5">
        <f>19505</f>
      </c>
      <c r="B19512" s="5" t="s">
        <v>19520</v>
      </c>
      <c r="C19512" s="5">
        <v>117.8</v>
      </c>
      <c r="D19512" s="5">
        <v>0.1</v>
      </c>
      <c r="E19512" s="5">
        <v>118</v>
      </c>
      <c r="F19512" s="5">
        <v>233.9</v>
      </c>
      <c r="G19512" s="5">
        <v>116.1</v>
      </c>
      <c r="H19512" s="5">
        <v>116</v>
      </c>
      <c r="I19512" s="5"/>
      <c r="J19512" s="5"/>
      <c r="K19512" s="5"/>
    </row>
    <row r="19513" spans="1:11" x14ac:dyDescent="0.25">
      <c r="A19513" s="5">
        <f>19506</f>
      </c>
      <c r="B19513" s="5" t="s">
        <v>19521</v>
      </c>
      <c r="C19513" s="5">
        <v>117.8</v>
      </c>
      <c r="D19513" s="5">
        <v>0.1</v>
      </c>
      <c r="E19513" s="5">
        <v>118</v>
      </c>
      <c r="F19513" s="5">
        <v>233.9</v>
      </c>
      <c r="G19513" s="5">
        <v>116.1</v>
      </c>
      <c r="H19513" s="5">
        <v>116</v>
      </c>
      <c r="I19513" s="5"/>
      <c r="J19513" s="5"/>
      <c r="K19513" s="5"/>
    </row>
    <row r="19514" spans="1:11" x14ac:dyDescent="0.25">
      <c r="A19514" s="5">
        <f>19507</f>
      </c>
      <c r="B19514" s="5" t="s">
        <v>19522</v>
      </c>
      <c r="C19514" s="5">
        <v>117.8</v>
      </c>
      <c r="D19514" s="5">
        <v>0.1</v>
      </c>
      <c r="E19514" s="5">
        <v>118</v>
      </c>
      <c r="F19514" s="5">
        <v>233.9</v>
      </c>
      <c r="G19514" s="5">
        <v>116.1</v>
      </c>
      <c r="H19514" s="5">
        <v>116</v>
      </c>
      <c r="I19514" s="5"/>
      <c r="J19514" s="5"/>
      <c r="K19514" s="5"/>
    </row>
    <row r="19515" spans="1:11" x14ac:dyDescent="0.25">
      <c r="A19515" s="5">
        <f>19508</f>
      </c>
      <c r="B19515" s="5" t="s">
        <v>19523</v>
      </c>
      <c r="C19515" s="5">
        <v>117.8</v>
      </c>
      <c r="D19515" s="5">
        <v>0.1</v>
      </c>
      <c r="E19515" s="5">
        <v>118</v>
      </c>
      <c r="F19515" s="5">
        <v>233.9</v>
      </c>
      <c r="G19515" s="5">
        <v>116.1</v>
      </c>
      <c r="H19515" s="5">
        <v>116</v>
      </c>
      <c r="I19515" s="5"/>
      <c r="J19515" s="5"/>
      <c r="K19515" s="5"/>
    </row>
    <row r="19516" spans="1:11" x14ac:dyDescent="0.25">
      <c r="A19516" s="5">
        <f>19509</f>
      </c>
      <c r="B19516" s="5" t="s">
        <v>19524</v>
      </c>
      <c r="C19516" s="5">
        <v>118.5</v>
      </c>
      <c r="D19516" s="5">
        <v>0.1</v>
      </c>
      <c r="E19516" s="5">
        <v>118.7</v>
      </c>
      <c r="F19516" s="5">
        <v>234.9</v>
      </c>
      <c r="G19516" s="5">
        <v>116.5</v>
      </c>
      <c r="H19516" s="5">
        <v>116.3</v>
      </c>
      <c r="I19516" s="5"/>
      <c r="J19516" s="5"/>
      <c r="K19516" s="5"/>
    </row>
    <row r="19517" spans="1:11" x14ac:dyDescent="0.25">
      <c r="A19517" s="5">
        <f>19510</f>
      </c>
      <c r="B19517" s="5" t="s">
        <v>19525</v>
      </c>
      <c r="C19517" s="5">
        <v>118.5</v>
      </c>
      <c r="D19517" s="5">
        <v>0.1</v>
      </c>
      <c r="E19517" s="5">
        <v>118.7</v>
      </c>
      <c r="F19517" s="5">
        <v>234.9</v>
      </c>
      <c r="G19517" s="5">
        <v>116.5</v>
      </c>
      <c r="H19517" s="5">
        <v>116.3</v>
      </c>
      <c r="I19517" s="5"/>
      <c r="J19517" s="5"/>
      <c r="K19517" s="5"/>
    </row>
    <row r="19518" spans="1:11" x14ac:dyDescent="0.25">
      <c r="A19518" s="5">
        <f>19511</f>
      </c>
      <c r="B19518" s="5" t="s">
        <v>19526</v>
      </c>
      <c r="C19518" s="5">
        <v>118.8</v>
      </c>
      <c r="D19518" s="5">
        <v>0.1</v>
      </c>
      <c r="E19518" s="5">
        <v>119</v>
      </c>
      <c r="F19518" s="5">
        <v>235.6</v>
      </c>
      <c r="G19518" s="5">
        <v>116.9</v>
      </c>
      <c r="H19518" s="5">
        <v>116.7</v>
      </c>
      <c r="I19518" s="5"/>
      <c r="J19518" s="5"/>
      <c r="K19518" s="5"/>
    </row>
    <row r="19519" spans="1:11" x14ac:dyDescent="0.25">
      <c r="A19519" s="5">
        <f>19512</f>
      </c>
      <c r="B19519" s="5" t="s">
        <v>19527</v>
      </c>
      <c r="C19519" s="5">
        <v>118.8</v>
      </c>
      <c r="D19519" s="5">
        <v>0.1</v>
      </c>
      <c r="E19519" s="5">
        <v>119</v>
      </c>
      <c r="F19519" s="5">
        <v>235.6</v>
      </c>
      <c r="G19519" s="5">
        <v>116.9</v>
      </c>
      <c r="H19519" s="5">
        <v>116.7</v>
      </c>
      <c r="I19519" s="5"/>
      <c r="J19519" s="5"/>
      <c r="K19519" s="5"/>
    </row>
    <row r="19520" spans="1:11" x14ac:dyDescent="0.25">
      <c r="A19520" s="5">
        <f>19513</f>
      </c>
      <c r="B19520" s="5" t="s">
        <v>19528</v>
      </c>
      <c r="C19520" s="5">
        <v>118.7</v>
      </c>
      <c r="D19520" s="5">
        <v>0.1</v>
      </c>
      <c r="E19520" s="5">
        <v>118.9</v>
      </c>
      <c r="F19520" s="5">
        <v>235.4</v>
      </c>
      <c r="G19520" s="5">
        <v>116.8</v>
      </c>
      <c r="H19520" s="5">
        <v>116.6</v>
      </c>
      <c r="I19520" s="5"/>
      <c r="J19520" s="5"/>
      <c r="K19520" s="5"/>
    </row>
    <row r="19521" spans="1:11" x14ac:dyDescent="0.25">
      <c r="A19521" s="5">
        <f>19514</f>
      </c>
      <c r="B19521" s="5" t="s">
        <v>19529</v>
      </c>
      <c r="C19521" s="5">
        <v>118.7</v>
      </c>
      <c r="D19521" s="5">
        <v>0.1</v>
      </c>
      <c r="E19521" s="5">
        <v>118.9</v>
      </c>
      <c r="F19521" s="5">
        <v>235.4</v>
      </c>
      <c r="G19521" s="5">
        <v>116.8</v>
      </c>
      <c r="H19521" s="5">
        <v>116.6</v>
      </c>
      <c r="I19521" s="5"/>
      <c r="J19521" s="5"/>
      <c r="K19521" s="5"/>
    </row>
    <row r="19522" spans="1:11" x14ac:dyDescent="0.25">
      <c r="A19522" s="5">
        <f>19515</f>
      </c>
      <c r="B19522" s="5" t="s">
        <v>19530</v>
      </c>
      <c r="C19522" s="5">
        <v>118.5</v>
      </c>
      <c r="D19522" s="5">
        <v>0.1</v>
      </c>
      <c r="E19522" s="5">
        <v>118.6</v>
      </c>
      <c r="F19522" s="5">
        <v>235.7</v>
      </c>
      <c r="G19522" s="5">
        <v>116.9</v>
      </c>
      <c r="H19522" s="5">
        <v>116.7</v>
      </c>
      <c r="I19522" s="5"/>
      <c r="J19522" s="5"/>
      <c r="K19522" s="5"/>
    </row>
    <row r="19523" spans="1:11" x14ac:dyDescent="0.25">
      <c r="A19523" s="5">
        <f>19516</f>
      </c>
      <c r="B19523" s="5" t="s">
        <v>19531</v>
      </c>
      <c r="C19523" s="5">
        <v>118.5</v>
      </c>
      <c r="D19523" s="5">
        <v>0.1</v>
      </c>
      <c r="E19523" s="5">
        <v>118.6</v>
      </c>
      <c r="F19523" s="5">
        <v>235.7</v>
      </c>
      <c r="G19523" s="5">
        <v>116.9</v>
      </c>
      <c r="H19523" s="5">
        <v>116.7</v>
      </c>
      <c r="I19523" s="5"/>
      <c r="J19523" s="5"/>
      <c r="K19523" s="5"/>
    </row>
    <row r="19524" spans="1:11" x14ac:dyDescent="0.25">
      <c r="A19524" s="5">
        <f>19517</f>
      </c>
      <c r="B19524" s="5" t="s">
        <v>19532</v>
      </c>
      <c r="C19524" s="5">
        <v>118.5</v>
      </c>
      <c r="D19524" s="5">
        <v>0.1</v>
      </c>
      <c r="E19524" s="5">
        <v>118.6</v>
      </c>
      <c r="F19524" s="5">
        <v>235.7</v>
      </c>
      <c r="G19524" s="5">
        <v>116.9</v>
      </c>
      <c r="H19524" s="5">
        <v>116.7</v>
      </c>
      <c r="I19524" s="5"/>
      <c r="J19524" s="5"/>
      <c r="K19524" s="5"/>
    </row>
    <row r="19525" spans="1:11" x14ac:dyDescent="0.25">
      <c r="A19525" s="5">
        <f>19518</f>
      </c>
      <c r="B19525" s="5" t="s">
        <v>19533</v>
      </c>
      <c r="C19525" s="5">
        <v>118.6</v>
      </c>
      <c r="D19525" s="5">
        <v>0.1</v>
      </c>
      <c r="E19525" s="5">
        <v>118.7</v>
      </c>
      <c r="F19525" s="5">
        <v>235.7</v>
      </c>
      <c r="G19525" s="5">
        <v>117.1</v>
      </c>
      <c r="H19525" s="5">
        <v>116.9</v>
      </c>
      <c r="I19525" s="5"/>
      <c r="J19525" s="5"/>
      <c r="K19525" s="5"/>
    </row>
    <row r="19526" spans="1:11" x14ac:dyDescent="0.25">
      <c r="A19526" s="5">
        <f>19519</f>
      </c>
      <c r="B19526" s="5" t="s">
        <v>19534</v>
      </c>
      <c r="C19526" s="5">
        <v>118.6</v>
      </c>
      <c r="D19526" s="5">
        <v>0.1</v>
      </c>
      <c r="E19526" s="5">
        <v>118.7</v>
      </c>
      <c r="F19526" s="5">
        <v>235.7</v>
      </c>
      <c r="G19526" s="5">
        <v>117.1</v>
      </c>
      <c r="H19526" s="5">
        <v>116.9</v>
      </c>
      <c r="I19526" s="5"/>
      <c r="J19526" s="5"/>
      <c r="K19526" s="5"/>
    </row>
    <row r="19527" spans="1:11" x14ac:dyDescent="0.25">
      <c r="A19527" s="5">
        <f>19520</f>
      </c>
      <c r="B19527" s="5" t="s">
        <v>19535</v>
      </c>
      <c r="C19527" s="5">
        <v>118.6</v>
      </c>
      <c r="D19527" s="5">
        <v>0.1</v>
      </c>
      <c r="E19527" s="5">
        <v>118.8</v>
      </c>
      <c r="F19527" s="5">
        <v>235.7</v>
      </c>
      <c r="G19527" s="5">
        <v>117.1</v>
      </c>
      <c r="H19527" s="5">
        <v>116.9</v>
      </c>
      <c r="I19527" s="5"/>
      <c r="J19527" s="5"/>
      <c r="K19527" s="5"/>
    </row>
    <row r="19528" spans="1:11" x14ac:dyDescent="0.25">
      <c r="A19528" s="5">
        <f>19521</f>
      </c>
      <c r="B19528" s="5" t="s">
        <v>19536</v>
      </c>
      <c r="C19528" s="5">
        <v>118.6</v>
      </c>
      <c r="D19528" s="5">
        <v>0.1</v>
      </c>
      <c r="E19528" s="5">
        <v>118.8</v>
      </c>
      <c r="F19528" s="5">
        <v>235.8</v>
      </c>
      <c r="G19528" s="5">
        <v>117.1</v>
      </c>
      <c r="H19528" s="5">
        <v>116.9</v>
      </c>
      <c r="I19528" s="5"/>
      <c r="J19528" s="5"/>
      <c r="K19528" s="5"/>
    </row>
    <row r="19529" spans="1:11" x14ac:dyDescent="0.25">
      <c r="A19529" s="5">
        <f>19522</f>
      </c>
      <c r="B19529" s="5" t="s">
        <v>19537</v>
      </c>
      <c r="C19529" s="5">
        <v>118.6</v>
      </c>
      <c r="D19529" s="5">
        <v>0.1</v>
      </c>
      <c r="E19529" s="5">
        <v>118.8</v>
      </c>
      <c r="F19529" s="5">
        <v>235.8</v>
      </c>
      <c r="G19529" s="5">
        <v>117.1</v>
      </c>
      <c r="H19529" s="5">
        <v>116.9</v>
      </c>
      <c r="I19529" s="5"/>
      <c r="J19529" s="5"/>
      <c r="K19529" s="5"/>
    </row>
    <row r="19530" spans="1:11" x14ac:dyDescent="0.25">
      <c r="A19530" s="5">
        <f>19523</f>
      </c>
      <c r="B19530" s="5" t="s">
        <v>19538</v>
      </c>
      <c r="C19530" s="5">
        <v>118.8</v>
      </c>
      <c r="D19530" s="5">
        <v>0.1</v>
      </c>
      <c r="E19530" s="5">
        <v>119</v>
      </c>
      <c r="F19530" s="5">
        <v>235.8</v>
      </c>
      <c r="G19530" s="5">
        <v>117.1</v>
      </c>
      <c r="H19530" s="5">
        <v>116.9</v>
      </c>
      <c r="I19530" s="5"/>
      <c r="J19530" s="5"/>
      <c r="K19530" s="5"/>
    </row>
    <row r="19531" spans="1:11" x14ac:dyDescent="0.25">
      <c r="A19531" s="5">
        <f>19524</f>
      </c>
      <c r="B19531" s="5" t="s">
        <v>19539</v>
      </c>
      <c r="C19531" s="5">
        <v>118.8</v>
      </c>
      <c r="D19531" s="5">
        <v>0.1</v>
      </c>
      <c r="E19531" s="5">
        <v>119</v>
      </c>
      <c r="F19531" s="5">
        <v>235.8</v>
      </c>
      <c r="G19531" s="5">
        <v>117.1</v>
      </c>
      <c r="H19531" s="5">
        <v>116.9</v>
      </c>
      <c r="I19531" s="5"/>
      <c r="J19531" s="5"/>
      <c r="K19531" s="5"/>
    </row>
    <row r="19532" spans="1:11" x14ac:dyDescent="0.25">
      <c r="A19532" s="5">
        <f>19525</f>
      </c>
      <c r="B19532" s="5" t="s">
        <v>19540</v>
      </c>
      <c r="C19532" s="5">
        <v>118.8</v>
      </c>
      <c r="D19532" s="5">
        <v>0.1</v>
      </c>
      <c r="E19532" s="5">
        <v>119</v>
      </c>
      <c r="F19532" s="5">
        <v>235.7</v>
      </c>
      <c r="G19532" s="5">
        <v>117</v>
      </c>
      <c r="H19532" s="5">
        <v>116.8</v>
      </c>
      <c r="I19532" s="5"/>
      <c r="J19532" s="5"/>
      <c r="K19532" s="5"/>
    </row>
    <row r="19533" spans="1:11" x14ac:dyDescent="0.25">
      <c r="A19533" s="5">
        <f>19526</f>
      </c>
      <c r="B19533" s="5" t="s">
        <v>19541</v>
      </c>
      <c r="C19533" s="5">
        <v>118.8</v>
      </c>
      <c r="D19533" s="5">
        <v>0.1</v>
      </c>
      <c r="E19533" s="5">
        <v>119</v>
      </c>
      <c r="F19533" s="5">
        <v>235.7</v>
      </c>
      <c r="G19533" s="5">
        <v>117</v>
      </c>
      <c r="H19533" s="5">
        <v>116.8</v>
      </c>
      <c r="I19533" s="5"/>
      <c r="J19533" s="5"/>
      <c r="K19533" s="5"/>
    </row>
    <row r="19534" spans="1:11" x14ac:dyDescent="0.25">
      <c r="A19534" s="5">
        <f>19527</f>
      </c>
      <c r="B19534" s="5" t="s">
        <v>19542</v>
      </c>
      <c r="C19534" s="5">
        <v>118.8</v>
      </c>
      <c r="D19534" s="5">
        <v>0.1</v>
      </c>
      <c r="E19534" s="5">
        <v>119</v>
      </c>
      <c r="F19534" s="5">
        <v>235.7</v>
      </c>
      <c r="G19534" s="5">
        <v>117</v>
      </c>
      <c r="H19534" s="5">
        <v>116.8</v>
      </c>
      <c r="I19534" s="5"/>
      <c r="J19534" s="5"/>
      <c r="K19534" s="5"/>
    </row>
    <row r="19535" spans="1:11" x14ac:dyDescent="0.25">
      <c r="A19535" s="5">
        <f>19528</f>
      </c>
      <c r="B19535" s="5" t="s">
        <v>19543</v>
      </c>
      <c r="C19535" s="5">
        <v>118.8</v>
      </c>
      <c r="D19535" s="5">
        <v>0.1</v>
      </c>
      <c r="E19535" s="5">
        <v>119</v>
      </c>
      <c r="F19535" s="5">
        <v>235.7</v>
      </c>
      <c r="G19535" s="5">
        <v>117</v>
      </c>
      <c r="H19535" s="5">
        <v>116.8</v>
      </c>
      <c r="I19535" s="5"/>
      <c r="J19535" s="5"/>
      <c r="K19535" s="5"/>
    </row>
    <row r="19536" spans="1:11" x14ac:dyDescent="0.25">
      <c r="A19536" s="5">
        <f>19529</f>
      </c>
      <c r="B19536" s="5" t="s">
        <v>19544</v>
      </c>
      <c r="C19536" s="5">
        <v>118.7</v>
      </c>
      <c r="D19536" s="5">
        <v>0.1</v>
      </c>
      <c r="E19536" s="5">
        <v>118.9</v>
      </c>
      <c r="F19536" s="5">
        <v>236.1</v>
      </c>
      <c r="G19536" s="5">
        <v>117.2</v>
      </c>
      <c r="H19536" s="5">
        <v>117</v>
      </c>
      <c r="I19536" s="5"/>
      <c r="J19536" s="5"/>
      <c r="K19536" s="5"/>
    </row>
    <row r="19537" spans="1:11" x14ac:dyDescent="0.25">
      <c r="A19537" s="5">
        <f>19530</f>
      </c>
      <c r="B19537" s="5" t="s">
        <v>19545</v>
      </c>
      <c r="C19537" s="5">
        <v>118.7</v>
      </c>
      <c r="D19537" s="5">
        <v>0.1</v>
      </c>
      <c r="E19537" s="5">
        <v>118.9</v>
      </c>
      <c r="F19537" s="5">
        <v>236.1</v>
      </c>
      <c r="G19537" s="5">
        <v>117.2</v>
      </c>
      <c r="H19537" s="5">
        <v>117</v>
      </c>
      <c r="I19537" s="5"/>
      <c r="J19537" s="5"/>
      <c r="K19537" s="5"/>
    </row>
    <row r="19538" spans="1:11" x14ac:dyDescent="0.25">
      <c r="A19538" s="5">
        <f>19531</f>
      </c>
      <c r="B19538" s="5" t="s">
        <v>19546</v>
      </c>
      <c r="C19538" s="5">
        <v>119.2</v>
      </c>
      <c r="D19538" s="5">
        <v>0.1</v>
      </c>
      <c r="E19538" s="5">
        <v>119.3</v>
      </c>
      <c r="F19538" s="5">
        <v>236.3</v>
      </c>
      <c r="G19538" s="5">
        <v>117.3</v>
      </c>
      <c r="H19538" s="5">
        <v>117.1</v>
      </c>
      <c r="I19538" s="5"/>
      <c r="J19538" s="5"/>
      <c r="K19538" s="5"/>
    </row>
    <row r="19539" spans="1:11" x14ac:dyDescent="0.25">
      <c r="A19539" s="5">
        <f>19532</f>
      </c>
      <c r="B19539" s="5" t="s">
        <v>19547</v>
      </c>
      <c r="C19539" s="5">
        <v>119.2</v>
      </c>
      <c r="D19539" s="5">
        <v>0.1</v>
      </c>
      <c r="E19539" s="5">
        <v>119.3</v>
      </c>
      <c r="F19539" s="5">
        <v>236.3</v>
      </c>
      <c r="G19539" s="5">
        <v>117.3</v>
      </c>
      <c r="H19539" s="5">
        <v>117.1</v>
      </c>
      <c r="I19539" s="5"/>
      <c r="J19539" s="5"/>
      <c r="K19539" s="5"/>
    </row>
    <row r="19540" spans="1:11" x14ac:dyDescent="0.25">
      <c r="A19540" s="5">
        <f>19533</f>
      </c>
      <c r="B19540" s="5" t="s">
        <v>19548</v>
      </c>
      <c r="C19540" s="5">
        <v>119.4</v>
      </c>
      <c r="D19540" s="5">
        <v>0.1</v>
      </c>
      <c r="E19540" s="5">
        <v>119.6</v>
      </c>
      <c r="F19540" s="5">
        <v>236.6</v>
      </c>
      <c r="G19540" s="5">
        <v>117.4</v>
      </c>
      <c r="H19540" s="5">
        <v>117.2</v>
      </c>
      <c r="I19540" s="5"/>
      <c r="J19540" s="5"/>
      <c r="K19540" s="5"/>
    </row>
    <row r="19541" spans="1:11" x14ac:dyDescent="0.25">
      <c r="A19541" s="5">
        <f>19534</f>
      </c>
      <c r="B19541" s="5" t="s">
        <v>19549</v>
      </c>
      <c r="C19541" s="5">
        <v>119.4</v>
      </c>
      <c r="D19541" s="5">
        <v>0.1</v>
      </c>
      <c r="E19541" s="5">
        <v>119.6</v>
      </c>
      <c r="F19541" s="5">
        <v>236.6</v>
      </c>
      <c r="G19541" s="5">
        <v>117.4</v>
      </c>
      <c r="H19541" s="5">
        <v>117.2</v>
      </c>
      <c r="I19541" s="5"/>
      <c r="J19541" s="5"/>
      <c r="K19541" s="5"/>
    </row>
    <row r="19542" spans="1:11" x14ac:dyDescent="0.25">
      <c r="A19542" s="5">
        <f>19535</f>
      </c>
      <c r="B19542" s="5" t="s">
        <v>19550</v>
      </c>
      <c r="C19542" s="5">
        <v>119.1</v>
      </c>
      <c r="D19542" s="5">
        <v>0.1</v>
      </c>
      <c r="E19542" s="5">
        <v>119.3</v>
      </c>
      <c r="F19542" s="5">
        <v>236.3</v>
      </c>
      <c r="G19542" s="5">
        <v>117.2</v>
      </c>
      <c r="H19542" s="5">
        <v>117.1</v>
      </c>
      <c r="I19542" s="5"/>
      <c r="J19542" s="5"/>
      <c r="K19542" s="5"/>
    </row>
    <row r="19543" spans="1:11" x14ac:dyDescent="0.25">
      <c r="A19543" s="5">
        <f>19536</f>
      </c>
      <c r="B19543" s="5" t="s">
        <v>19551</v>
      </c>
      <c r="C19543" s="5">
        <v>119.1</v>
      </c>
      <c r="D19543" s="5">
        <v>0.1</v>
      </c>
      <c r="E19543" s="5">
        <v>119.3</v>
      </c>
      <c r="F19543" s="5">
        <v>236.3</v>
      </c>
      <c r="G19543" s="5">
        <v>117.2</v>
      </c>
      <c r="H19543" s="5">
        <v>117.1</v>
      </c>
      <c r="I19543" s="5"/>
      <c r="J19543" s="5"/>
      <c r="K19543" s="5"/>
    </row>
    <row r="19544" spans="1:11" x14ac:dyDescent="0.25">
      <c r="A19544" s="5">
        <f>19537</f>
      </c>
      <c r="B19544" s="5" t="s">
        <v>19552</v>
      </c>
      <c r="C19544" s="5">
        <v>119.1</v>
      </c>
      <c r="D19544" s="5">
        <v>0.1</v>
      </c>
      <c r="E19544" s="5">
        <v>119.3</v>
      </c>
      <c r="F19544" s="5">
        <v>236.3</v>
      </c>
      <c r="G19544" s="5">
        <v>117.2</v>
      </c>
      <c r="H19544" s="5">
        <v>117.1</v>
      </c>
      <c r="I19544" s="5"/>
      <c r="J19544" s="5"/>
      <c r="K19544" s="5"/>
    </row>
    <row r="19545" spans="1:11" x14ac:dyDescent="0.25">
      <c r="A19545" s="5">
        <f>19538</f>
      </c>
      <c r="B19545" s="5" t="s">
        <v>19553</v>
      </c>
      <c r="C19545" s="5">
        <v>119.1</v>
      </c>
      <c r="D19545" s="5">
        <v>0.1</v>
      </c>
      <c r="E19545" s="5">
        <v>119.3</v>
      </c>
      <c r="F19545" s="5">
        <v>236.3</v>
      </c>
      <c r="G19545" s="5">
        <v>117.2</v>
      </c>
      <c r="H19545" s="5">
        <v>117.1</v>
      </c>
      <c r="I19545" s="5"/>
      <c r="J19545" s="5"/>
      <c r="K19545" s="5"/>
    </row>
    <row r="19546" spans="1:11" x14ac:dyDescent="0.25">
      <c r="A19546" s="5">
        <f>19539</f>
      </c>
      <c r="B19546" s="5" t="s">
        <v>19554</v>
      </c>
      <c r="C19546" s="5">
        <v>119.2</v>
      </c>
      <c r="D19546" s="5">
        <v>0.1</v>
      </c>
      <c r="E19546" s="5">
        <v>119.3</v>
      </c>
      <c r="F19546" s="5">
        <v>236.1</v>
      </c>
      <c r="G19546" s="5">
        <v>117.2</v>
      </c>
      <c r="H19546" s="5">
        <v>117</v>
      </c>
      <c r="I19546" s="5"/>
      <c r="J19546" s="5"/>
      <c r="K19546" s="5"/>
    </row>
    <row r="19547" spans="1:11" x14ac:dyDescent="0.25">
      <c r="A19547" s="5">
        <f>19540</f>
      </c>
      <c r="B19547" s="5" t="s">
        <v>19555</v>
      </c>
      <c r="C19547" s="5">
        <v>119.2</v>
      </c>
      <c r="D19547" s="5">
        <v>0.1</v>
      </c>
      <c r="E19547" s="5">
        <v>119.3</v>
      </c>
      <c r="F19547" s="5">
        <v>236.1</v>
      </c>
      <c r="G19547" s="5">
        <v>117.2</v>
      </c>
      <c r="H19547" s="5">
        <v>117</v>
      </c>
      <c r="I19547" s="5"/>
      <c r="J19547" s="5"/>
      <c r="K19547" s="5"/>
    </row>
    <row r="19548" spans="1:11" x14ac:dyDescent="0.25">
      <c r="A19548" s="5">
        <f>19541</f>
      </c>
      <c r="B19548" s="5" t="s">
        <v>19556</v>
      </c>
      <c r="C19548" s="5">
        <v>119.3</v>
      </c>
      <c r="D19548" s="5">
        <v>0.1</v>
      </c>
      <c r="E19548" s="5">
        <v>119.4</v>
      </c>
      <c r="F19548" s="5">
        <v>235.9</v>
      </c>
      <c r="G19548" s="5">
        <v>117</v>
      </c>
      <c r="H19548" s="5">
        <v>116.9</v>
      </c>
      <c r="I19548" s="5"/>
      <c r="J19548" s="5"/>
      <c r="K19548" s="5"/>
    </row>
    <row r="19549" spans="1:11" x14ac:dyDescent="0.25">
      <c r="A19549" s="5">
        <f>19542</f>
      </c>
      <c r="B19549" s="5" t="s">
        <v>19557</v>
      </c>
      <c r="C19549" s="5">
        <v>119.3</v>
      </c>
      <c r="D19549" s="5">
        <v>0.1</v>
      </c>
      <c r="E19549" s="5">
        <v>119.4</v>
      </c>
      <c r="F19549" s="5">
        <v>235.9</v>
      </c>
      <c r="G19549" s="5">
        <v>117</v>
      </c>
      <c r="H19549" s="5">
        <v>116.9</v>
      </c>
      <c r="I19549" s="5"/>
      <c r="J19549" s="5"/>
      <c r="K19549" s="5"/>
    </row>
    <row r="19550" spans="1:11" x14ac:dyDescent="0.25">
      <c r="A19550" s="5">
        <f>19543</f>
      </c>
      <c r="B19550" s="5" t="s">
        <v>19558</v>
      </c>
      <c r="C19550" s="5">
        <v>119.1</v>
      </c>
      <c r="D19550" s="5">
        <v>0.1</v>
      </c>
      <c r="E19550" s="5">
        <v>119.3</v>
      </c>
      <c r="F19550" s="5">
        <v>236.4</v>
      </c>
      <c r="G19550" s="5">
        <v>117.3</v>
      </c>
      <c r="H19550" s="5">
        <v>117.1</v>
      </c>
      <c r="I19550" s="5"/>
      <c r="J19550" s="5"/>
      <c r="K19550" s="5"/>
    </row>
    <row r="19551" spans="1:11" x14ac:dyDescent="0.25">
      <c r="A19551" s="5">
        <f>19544</f>
      </c>
      <c r="B19551" s="5" t="s">
        <v>19559</v>
      </c>
      <c r="C19551" s="5">
        <v>119.1</v>
      </c>
      <c r="D19551" s="5">
        <v>0.1</v>
      </c>
      <c r="E19551" s="5">
        <v>119.3</v>
      </c>
      <c r="F19551" s="5">
        <v>236.4</v>
      </c>
      <c r="G19551" s="5">
        <v>117.3</v>
      </c>
      <c r="H19551" s="5">
        <v>117.1</v>
      </c>
      <c r="I19551" s="5"/>
      <c r="J19551" s="5"/>
      <c r="K19551" s="5"/>
    </row>
    <row r="19552" spans="1:11" x14ac:dyDescent="0.25">
      <c r="A19552" s="5">
        <f>19545</f>
      </c>
      <c r="B19552" s="5" t="s">
        <v>19560</v>
      </c>
      <c r="C19552" s="5">
        <v>119.3</v>
      </c>
      <c r="D19552" s="5">
        <v>0.1</v>
      </c>
      <c r="E19552" s="5">
        <v>119.5</v>
      </c>
      <c r="F19552" s="5">
        <v>236.2</v>
      </c>
      <c r="G19552" s="5">
        <v>117.2</v>
      </c>
      <c r="H19552" s="5">
        <v>117.1</v>
      </c>
      <c r="I19552" s="5"/>
      <c r="J19552" s="5"/>
      <c r="K19552" s="5"/>
    </row>
    <row r="19553" spans="1:11" x14ac:dyDescent="0.25">
      <c r="A19553" s="5">
        <f>19546</f>
      </c>
      <c r="B19553" s="5" t="s">
        <v>19561</v>
      </c>
      <c r="C19553" s="5">
        <v>119.3</v>
      </c>
      <c r="D19553" s="5">
        <v>0.1</v>
      </c>
      <c r="E19553" s="5">
        <v>119.5</v>
      </c>
      <c r="F19553" s="5">
        <v>236.2</v>
      </c>
      <c r="G19553" s="5">
        <v>117.2</v>
      </c>
      <c r="H19553" s="5">
        <v>117.1</v>
      </c>
      <c r="I19553" s="5"/>
      <c r="J19553" s="5"/>
      <c r="K19553" s="5"/>
    </row>
    <row r="19554" spans="1:11" x14ac:dyDescent="0.25">
      <c r="A19554" s="5">
        <f>19547</f>
      </c>
      <c r="B19554" s="5" t="s">
        <v>19562</v>
      </c>
      <c r="C19554" s="5">
        <v>119.3</v>
      </c>
      <c r="D19554" s="5">
        <v>0.1</v>
      </c>
      <c r="E19554" s="5">
        <v>119.5</v>
      </c>
      <c r="F19554" s="5">
        <v>236.2</v>
      </c>
      <c r="G19554" s="5">
        <v>117.2</v>
      </c>
      <c r="H19554" s="5">
        <v>117.1</v>
      </c>
      <c r="I19554" s="5"/>
      <c r="J19554" s="5"/>
      <c r="K19554" s="5"/>
    </row>
    <row r="19555" spans="1:11" x14ac:dyDescent="0.25">
      <c r="A19555" s="5">
        <f>19548</f>
      </c>
      <c r="B19555" s="5" t="s">
        <v>19563</v>
      </c>
      <c r="C19555" s="5">
        <v>119.3</v>
      </c>
      <c r="D19555" s="5">
        <v>0.1</v>
      </c>
      <c r="E19555" s="5">
        <v>118.7</v>
      </c>
      <c r="F19555" s="5">
        <v>236.2</v>
      </c>
      <c r="G19555" s="5">
        <v>117.2</v>
      </c>
      <c r="H19555" s="5">
        <v>117</v>
      </c>
      <c r="I19555" s="5"/>
      <c r="J19555" s="5"/>
      <c r="K19555" s="5"/>
    </row>
    <row r="19556" spans="1:11" x14ac:dyDescent="0.25">
      <c r="A19556" s="5">
        <f>19549</f>
      </c>
      <c r="B19556" s="5" t="s">
        <v>19564</v>
      </c>
      <c r="C19556" s="5">
        <v>118.6</v>
      </c>
      <c r="D19556" s="5">
        <v>0.1</v>
      </c>
      <c r="E19556" s="5">
        <v>118.7</v>
      </c>
      <c r="F19556" s="5">
        <v>236.2</v>
      </c>
      <c r="G19556" s="5">
        <v>117.2</v>
      </c>
      <c r="H19556" s="5">
        <v>117</v>
      </c>
      <c r="I19556" s="5"/>
      <c r="J19556" s="5"/>
      <c r="K19556" s="5"/>
    </row>
    <row r="19557" spans="1:11" x14ac:dyDescent="0.25">
      <c r="A19557" s="5">
        <f>19550</f>
      </c>
      <c r="B19557" s="5" t="s">
        <v>19565</v>
      </c>
      <c r="C19557" s="5">
        <v>118.6</v>
      </c>
      <c r="D19557" s="5">
        <v>0.1</v>
      </c>
      <c r="E19557" s="5">
        <v>118.7</v>
      </c>
      <c r="F19557" s="5">
        <v>236.7</v>
      </c>
      <c r="G19557" s="5">
        <v>117.4</v>
      </c>
      <c r="H19557" s="5">
        <v>117.3</v>
      </c>
      <c r="I19557" s="5"/>
      <c r="J19557" s="5"/>
      <c r="K19557" s="5"/>
    </row>
    <row r="19558" spans="1:11" x14ac:dyDescent="0.25">
      <c r="A19558" s="5">
        <f>19551</f>
      </c>
      <c r="B19558" s="5" t="s">
        <v>19566</v>
      </c>
      <c r="C19558" s="5">
        <v>118.9</v>
      </c>
      <c r="D19558" s="5">
        <v>0.1</v>
      </c>
      <c r="E19558" s="5">
        <v>119</v>
      </c>
      <c r="F19558" s="5">
        <v>236.7</v>
      </c>
      <c r="G19558" s="5">
        <v>117.4</v>
      </c>
      <c r="H19558" s="5">
        <v>117.3</v>
      </c>
      <c r="I19558" s="5"/>
      <c r="J19558" s="5"/>
      <c r="K19558" s="5"/>
    </row>
    <row r="19559" spans="1:11" x14ac:dyDescent="0.25">
      <c r="A19559" s="5">
        <f>19552</f>
      </c>
      <c r="B19559" s="5" t="s">
        <v>19567</v>
      </c>
      <c r="C19559" s="5">
        <v>118.9</v>
      </c>
      <c r="D19559" s="5">
        <v>0.1</v>
      </c>
      <c r="E19559" s="5">
        <v>119</v>
      </c>
      <c r="F19559" s="5">
        <v>236.7</v>
      </c>
      <c r="G19559" s="5">
        <v>117.7</v>
      </c>
      <c r="H19559" s="5">
        <v>117.5</v>
      </c>
      <c r="I19559" s="5"/>
      <c r="J19559" s="5"/>
      <c r="K19559" s="5"/>
    </row>
    <row r="19560" spans="1:11" x14ac:dyDescent="0.25">
      <c r="A19560" s="5">
        <f>19553</f>
      </c>
      <c r="B19560" s="5" t="s">
        <v>19568</v>
      </c>
      <c r="C19560" s="5">
        <v>119.4</v>
      </c>
      <c r="D19560" s="5">
        <v>0.1</v>
      </c>
      <c r="E19560" s="5">
        <v>119.6</v>
      </c>
      <c r="F19560" s="5">
        <v>237.1</v>
      </c>
      <c r="G19560" s="5">
        <v>117.7</v>
      </c>
      <c r="H19560" s="5">
        <v>117.5</v>
      </c>
      <c r="I19560" s="5"/>
      <c r="J19560" s="5"/>
      <c r="K19560" s="5"/>
    </row>
    <row r="19561" spans="1:11" x14ac:dyDescent="0.25">
      <c r="A19561" s="5">
        <f>19554</f>
      </c>
      <c r="B19561" s="5" t="s">
        <v>19569</v>
      </c>
      <c r="C19561" s="5">
        <v>119.4</v>
      </c>
      <c r="D19561" s="5">
        <v>0.1</v>
      </c>
      <c r="E19561" s="5">
        <v>119.6</v>
      </c>
      <c r="F19561" s="5">
        <v>237.1</v>
      </c>
      <c r="G19561" s="5">
        <v>117.7</v>
      </c>
      <c r="H19561" s="5">
        <v>117.5</v>
      </c>
      <c r="I19561" s="5"/>
      <c r="J19561" s="5"/>
      <c r="K19561" s="5"/>
    </row>
    <row r="19562" spans="1:11" x14ac:dyDescent="0.25">
      <c r="A19562" s="5">
        <f>19555</f>
      </c>
      <c r="B19562" s="5" t="s">
        <v>19570</v>
      </c>
      <c r="C19562" s="5">
        <v>119.5</v>
      </c>
      <c r="D19562" s="5">
        <v>0.1</v>
      </c>
      <c r="E19562" s="5">
        <v>119.6</v>
      </c>
      <c r="F19562" s="5">
        <v>237.2</v>
      </c>
      <c r="G19562" s="5">
        <v>117.7</v>
      </c>
      <c r="H19562" s="5">
        <v>117.5</v>
      </c>
      <c r="I19562" s="5"/>
      <c r="J19562" s="5"/>
      <c r="K19562" s="5"/>
    </row>
    <row r="19563" spans="1:11" x14ac:dyDescent="0.25">
      <c r="A19563" s="5">
        <f>19556</f>
      </c>
      <c r="B19563" s="5" t="s">
        <v>19571</v>
      </c>
      <c r="C19563" s="5">
        <v>119.5</v>
      </c>
      <c r="D19563" s="5">
        <v>0.1</v>
      </c>
      <c r="E19563" s="5">
        <v>119.6</v>
      </c>
      <c r="F19563" s="5">
        <v>237.2</v>
      </c>
      <c r="G19563" s="5">
        <v>117.7</v>
      </c>
      <c r="H19563" s="5">
        <v>117.5</v>
      </c>
      <c r="I19563" s="5"/>
      <c r="J19563" s="5"/>
      <c r="K19563" s="5"/>
    </row>
    <row r="19564" spans="1:11" x14ac:dyDescent="0.25">
      <c r="A19564" s="5">
        <f>19557</f>
      </c>
      <c r="B19564" s="5" t="s">
        <v>19572</v>
      </c>
      <c r="C19564" s="5">
        <v>119.5</v>
      </c>
      <c r="D19564" s="5">
        <v>0.1</v>
      </c>
      <c r="E19564" s="5">
        <v>119.6</v>
      </c>
      <c r="F19564" s="5">
        <v>237.2</v>
      </c>
      <c r="G19564" s="5">
        <v>117.7</v>
      </c>
      <c r="H19564" s="5">
        <v>117.5</v>
      </c>
      <c r="I19564" s="5"/>
      <c r="J19564" s="5"/>
      <c r="K19564" s="5"/>
    </row>
    <row r="19565" spans="1:11" x14ac:dyDescent="0.25">
      <c r="A19565" s="5">
        <f>19558</f>
      </c>
      <c r="B19565" s="5" t="s">
        <v>19573</v>
      </c>
      <c r="C19565" s="5">
        <v>119.4</v>
      </c>
      <c r="D19565" s="5">
        <v>0.1</v>
      </c>
      <c r="E19565" s="5">
        <v>119.6</v>
      </c>
      <c r="F19565" s="5">
        <v>237.1</v>
      </c>
      <c r="G19565" s="5">
        <v>117.6</v>
      </c>
      <c r="H19565" s="5">
        <v>117.5</v>
      </c>
      <c r="I19565" s="5"/>
      <c r="J19565" s="5"/>
      <c r="K19565" s="5"/>
    </row>
    <row r="19566" spans="1:11" x14ac:dyDescent="0.25">
      <c r="A19566" s="5">
        <f>19559</f>
      </c>
      <c r="B19566" s="5" t="s">
        <v>19574</v>
      </c>
      <c r="C19566" s="5">
        <v>119.4</v>
      </c>
      <c r="D19566" s="5">
        <v>0.1</v>
      </c>
      <c r="E19566" s="5">
        <v>119.6</v>
      </c>
      <c r="F19566" s="5">
        <v>237.1</v>
      </c>
      <c r="G19566" s="5">
        <v>117.6</v>
      </c>
      <c r="H19566" s="5">
        <v>117.5</v>
      </c>
      <c r="I19566" s="5"/>
      <c r="J19566" s="5"/>
      <c r="K19566" s="5"/>
    </row>
    <row r="19567" spans="1:11" x14ac:dyDescent="0.25">
      <c r="A19567" s="5">
        <f>19560</f>
      </c>
      <c r="B19567" s="5" t="s">
        <v>19575</v>
      </c>
      <c r="C19567" s="5">
        <v>119.3</v>
      </c>
      <c r="D19567" s="5">
        <v>0.1</v>
      </c>
      <c r="E19567" s="5">
        <v>119.6</v>
      </c>
      <c r="F19567" s="5">
        <v>236.8</v>
      </c>
      <c r="G19567" s="5">
        <v>117.5</v>
      </c>
      <c r="H19567" s="5">
        <v>117.4</v>
      </c>
      <c r="I19567" s="5"/>
      <c r="J19567" s="5"/>
      <c r="K19567" s="5"/>
    </row>
    <row r="19568" spans="1:11" x14ac:dyDescent="0.25">
      <c r="A19568" s="5">
        <f>19561</f>
      </c>
      <c r="B19568" s="5" t="s">
        <v>19576</v>
      </c>
      <c r="C19568" s="5">
        <v>119.3</v>
      </c>
      <c r="D19568" s="5">
        <v>0.1</v>
      </c>
      <c r="E19568" s="5">
        <v>119.6</v>
      </c>
      <c r="F19568" s="5">
        <v>236.8</v>
      </c>
      <c r="G19568" s="5">
        <v>117.5</v>
      </c>
      <c r="H19568" s="5">
        <v>117.4</v>
      </c>
      <c r="I19568" s="5"/>
      <c r="J19568" s="5"/>
      <c r="K19568" s="5"/>
    </row>
    <row r="19569" spans="1:11" x14ac:dyDescent="0.25">
      <c r="A19569" s="5">
        <f>19562</f>
      </c>
      <c r="B19569" s="5" t="s">
        <v>19577</v>
      </c>
      <c r="C19569" s="5">
        <v>119.4</v>
      </c>
      <c r="D19569" s="5">
        <v>0.1</v>
      </c>
      <c r="E19569" s="5">
        <v>119.6</v>
      </c>
      <c r="F19569" s="5">
        <v>236.9</v>
      </c>
      <c r="G19569" s="5">
        <v>117.6</v>
      </c>
      <c r="H19569" s="5">
        <v>117.4</v>
      </c>
      <c r="I19569" s="5"/>
      <c r="J19569" s="5"/>
      <c r="K19569" s="5"/>
    </row>
    <row r="19570" spans="1:11" x14ac:dyDescent="0.25">
      <c r="A19570" s="5">
        <f>19563</f>
      </c>
      <c r="B19570" s="5" t="s">
        <v>19578</v>
      </c>
      <c r="C19570" s="5">
        <v>119.4</v>
      </c>
      <c r="D19570" s="5">
        <v>0.1</v>
      </c>
      <c r="E19570" s="5">
        <v>119.6</v>
      </c>
      <c r="F19570" s="5">
        <v>236.9</v>
      </c>
      <c r="G19570" s="5">
        <v>117.6</v>
      </c>
      <c r="H19570" s="5">
        <v>117.4</v>
      </c>
      <c r="I19570" s="5"/>
      <c r="J19570" s="5"/>
      <c r="K19570" s="5"/>
    </row>
    <row r="19571" spans="1:11" x14ac:dyDescent="0.25">
      <c r="A19571" s="5">
        <f>19564</f>
      </c>
      <c r="B19571" s="5" t="s">
        <v>19579</v>
      </c>
      <c r="C19571" s="5">
        <v>118.8</v>
      </c>
      <c r="D19571" s="5">
        <v>0.1</v>
      </c>
      <c r="E19571" s="5">
        <v>119</v>
      </c>
      <c r="F19571" s="5">
        <v>236.7</v>
      </c>
      <c r="G19571" s="5">
        <v>118.1</v>
      </c>
      <c r="H19571" s="5">
        <v>117.9</v>
      </c>
      <c r="I19571" s="5"/>
      <c r="J19571" s="5"/>
      <c r="K19571" s="5"/>
    </row>
    <row r="19572" spans="1:11" x14ac:dyDescent="0.25">
      <c r="A19572" s="5">
        <f>19565</f>
      </c>
      <c r="B19572" s="5" t="s">
        <v>19580</v>
      </c>
      <c r="C19572" s="5">
        <v>118.8</v>
      </c>
      <c r="D19572" s="5">
        <v>0.1</v>
      </c>
      <c r="E19572" s="5">
        <v>119</v>
      </c>
      <c r="F19572" s="5">
        <v>236.7</v>
      </c>
      <c r="G19572" s="5">
        <v>118.1</v>
      </c>
      <c r="H19572" s="5">
        <v>117.9</v>
      </c>
      <c r="I19572" s="5"/>
      <c r="J19572" s="5"/>
      <c r="K19572" s="5"/>
    </row>
    <row r="19573" spans="1:11" x14ac:dyDescent="0.25">
      <c r="A19573" s="5">
        <f>19566</f>
      </c>
      <c r="B19573" s="5" t="s">
        <v>19581</v>
      </c>
      <c r="C19573" s="5">
        <v>118.8</v>
      </c>
      <c r="D19573" s="5">
        <v>0.1</v>
      </c>
      <c r="E19573" s="5">
        <v>119</v>
      </c>
      <c r="F19573" s="5">
        <v>236.7</v>
      </c>
      <c r="G19573" s="5">
        <v>118.1</v>
      </c>
      <c r="H19573" s="5">
        <v>117.9</v>
      </c>
      <c r="I19573" s="5"/>
      <c r="J19573" s="5"/>
      <c r="K19573" s="5"/>
    </row>
    <row r="19574" spans="1:11" x14ac:dyDescent="0.25">
      <c r="A19574" s="5">
        <f>19567</f>
      </c>
      <c r="B19574" s="5" t="s">
        <v>19582</v>
      </c>
      <c r="C19574" s="5">
        <v>118.8</v>
      </c>
      <c r="D19574" s="5">
        <v>0.1</v>
      </c>
      <c r="E19574" s="5">
        <v>119</v>
      </c>
      <c r="F19574" s="5">
        <v>236.7</v>
      </c>
      <c r="G19574" s="5">
        <v>118.1</v>
      </c>
      <c r="H19574" s="5">
        <v>117.9</v>
      </c>
      <c r="I19574" s="5"/>
      <c r="J19574" s="5"/>
      <c r="K19574" s="5"/>
    </row>
    <row r="19575" spans="1:11" x14ac:dyDescent="0.25">
      <c r="A19575" s="5">
        <f>19568</f>
      </c>
      <c r="B19575" s="5" t="s">
        <v>19583</v>
      </c>
      <c r="C19575" s="5">
        <v>118</v>
      </c>
      <c r="D19575" s="5">
        <v>0.1</v>
      </c>
      <c r="E19575" s="5">
        <v>118.2</v>
      </c>
      <c r="F19575" s="5">
        <v>235.8</v>
      </c>
      <c r="G19575" s="5">
        <v>117.7</v>
      </c>
      <c r="H19575" s="5">
        <v>117.5</v>
      </c>
      <c r="I19575" s="5"/>
      <c r="J19575" s="5"/>
      <c r="K19575" s="5"/>
    </row>
    <row r="19576" spans="1:11" x14ac:dyDescent="0.25">
      <c r="A19576" s="5">
        <f>19569</f>
      </c>
      <c r="B19576" s="5" t="s">
        <v>19584</v>
      </c>
      <c r="C19576" s="5">
        <v>118</v>
      </c>
      <c r="D19576" s="5">
        <v>0.1</v>
      </c>
      <c r="E19576" s="5">
        <v>118.2</v>
      </c>
      <c r="F19576" s="5">
        <v>235.8</v>
      </c>
      <c r="G19576" s="5">
        <v>117.7</v>
      </c>
      <c r="H19576" s="5">
        <v>117.5</v>
      </c>
      <c r="I19576" s="5"/>
      <c r="J19576" s="5"/>
      <c r="K19576" s="5"/>
    </row>
    <row r="19577" spans="1:11" x14ac:dyDescent="0.25">
      <c r="A19577" s="5">
        <f>19570</f>
      </c>
      <c r="B19577" s="5" t="s">
        <v>19585</v>
      </c>
      <c r="C19577" s="5">
        <v>118.3</v>
      </c>
      <c r="D19577" s="5">
        <v>0.1</v>
      </c>
      <c r="E19577" s="5">
        <v>118.4</v>
      </c>
      <c r="F19577" s="5">
        <v>236.6</v>
      </c>
      <c r="G19577" s="5">
        <v>118</v>
      </c>
      <c r="H19577" s="5">
        <v>117.8</v>
      </c>
      <c r="I19577" s="5"/>
      <c r="J19577" s="5"/>
      <c r="K19577" s="5"/>
    </row>
    <row r="19578" spans="1:11" x14ac:dyDescent="0.25">
      <c r="A19578" s="5">
        <f>19571</f>
      </c>
      <c r="B19578" s="5" t="s">
        <v>19586</v>
      </c>
      <c r="C19578" s="5">
        <v>118.3</v>
      </c>
      <c r="D19578" s="5">
        <v>0.1</v>
      </c>
      <c r="E19578" s="5">
        <v>118.4</v>
      </c>
      <c r="F19578" s="5">
        <v>236.6</v>
      </c>
      <c r="G19578" s="5">
        <v>118</v>
      </c>
      <c r="H19578" s="5">
        <v>117.8</v>
      </c>
      <c r="I19578" s="5"/>
      <c r="J19578" s="5"/>
      <c r="K19578" s="5"/>
    </row>
    <row r="19579" spans="1:11" x14ac:dyDescent="0.25">
      <c r="A19579" s="5">
        <f>19572</f>
      </c>
      <c r="B19579" s="5" t="s">
        <v>19587</v>
      </c>
      <c r="C19579" s="5">
        <v>118.6</v>
      </c>
      <c r="D19579" s="5">
        <v>0.1</v>
      </c>
      <c r="E19579" s="5">
        <v>118.7</v>
      </c>
      <c r="F19579" s="5">
        <v>236.5</v>
      </c>
      <c r="G19579" s="5">
        <v>118</v>
      </c>
      <c r="H19579" s="5">
        <v>117.9</v>
      </c>
      <c r="I19579" s="5"/>
      <c r="J19579" s="5"/>
      <c r="K19579" s="5"/>
    </row>
    <row r="19580" spans="1:11" x14ac:dyDescent="0.25">
      <c r="A19580" s="5">
        <f>19573</f>
      </c>
      <c r="B19580" s="5" t="s">
        <v>19588</v>
      </c>
      <c r="C19580" s="5">
        <v>118.6</v>
      </c>
      <c r="D19580" s="5">
        <v>0.1</v>
      </c>
      <c r="E19580" s="5">
        <v>118.7</v>
      </c>
      <c r="F19580" s="5">
        <v>236.5</v>
      </c>
      <c r="G19580" s="5">
        <v>118</v>
      </c>
      <c r="H19580" s="5">
        <v>117.9</v>
      </c>
      <c r="I19580" s="5"/>
      <c r="J19580" s="5"/>
      <c r="K19580" s="5"/>
    </row>
    <row r="19581" spans="1:11" x14ac:dyDescent="0.25">
      <c r="A19581" s="5">
        <f>19574</f>
      </c>
      <c r="B19581" s="5" t="s">
        <v>19589</v>
      </c>
      <c r="C19581" s="5">
        <v>118.5</v>
      </c>
      <c r="D19581" s="5">
        <v>0.1</v>
      </c>
      <c r="E19581" s="5">
        <v>118.6</v>
      </c>
      <c r="F19581" s="5">
        <v>236.7</v>
      </c>
      <c r="G19581" s="5">
        <v>118</v>
      </c>
      <c r="H19581" s="5">
        <v>117.9</v>
      </c>
      <c r="I19581" s="5"/>
      <c r="J19581" s="5"/>
      <c r="K19581" s="5"/>
    </row>
    <row r="19582" spans="1:11" x14ac:dyDescent="0.25">
      <c r="A19582" s="5">
        <f>19575</f>
      </c>
      <c r="B19582" s="5" t="s">
        <v>19590</v>
      </c>
      <c r="C19582" s="5">
        <v>118.5</v>
      </c>
      <c r="D19582" s="5">
        <v>0.1</v>
      </c>
      <c r="E19582" s="5">
        <v>118.6</v>
      </c>
      <c r="F19582" s="5">
        <v>236.7</v>
      </c>
      <c r="G19582" s="5">
        <v>118.1</v>
      </c>
      <c r="H19582" s="5">
        <v>118</v>
      </c>
      <c r="I19582" s="5"/>
      <c r="J19582" s="5"/>
      <c r="K19582" s="5"/>
    </row>
    <row r="19583" spans="1:11" x14ac:dyDescent="0.25">
      <c r="A19583" s="5">
        <f>19576</f>
      </c>
      <c r="B19583" s="5" t="s">
        <v>19591</v>
      </c>
      <c r="C19583" s="5">
        <v>118.5</v>
      </c>
      <c r="D19583" s="5">
        <v>0.1</v>
      </c>
      <c r="E19583" s="5">
        <v>118.6</v>
      </c>
      <c r="F19583" s="5">
        <v>236.7</v>
      </c>
      <c r="G19583" s="5">
        <v>118.1</v>
      </c>
      <c r="H19583" s="5">
        <v>118</v>
      </c>
      <c r="I19583" s="5"/>
      <c r="J19583" s="5"/>
      <c r="K19583" s="5"/>
    </row>
    <row r="19584" spans="1:11" x14ac:dyDescent="0.25">
      <c r="A19584" s="5">
        <f>19577</f>
      </c>
      <c r="B19584" s="5" t="s">
        <v>19592</v>
      </c>
      <c r="C19584" s="5">
        <v>118.5</v>
      </c>
      <c r="D19584" s="5">
        <v>0.1</v>
      </c>
      <c r="E19584" s="5">
        <v>118.6</v>
      </c>
      <c r="F19584" s="5">
        <v>236.7</v>
      </c>
      <c r="G19584" s="5">
        <v>118.1</v>
      </c>
      <c r="H19584" s="5">
        <v>118</v>
      </c>
      <c r="I19584" s="5"/>
      <c r="J19584" s="5"/>
      <c r="K19584" s="5"/>
    </row>
    <row r="19585" spans="1:11" x14ac:dyDescent="0.25">
      <c r="A19585" s="5">
        <f>19578</f>
      </c>
      <c r="B19585" s="5" t="s">
        <v>19593</v>
      </c>
      <c r="C19585" s="5">
        <v>118.2</v>
      </c>
      <c r="D19585" s="5">
        <v>0.1</v>
      </c>
      <c r="E19585" s="5">
        <v>118.3</v>
      </c>
      <c r="F19585" s="5">
        <v>236.1</v>
      </c>
      <c r="G19585" s="5">
        <v>117.8</v>
      </c>
      <c r="H19585" s="5">
        <v>117.7</v>
      </c>
      <c r="I19585" s="5"/>
      <c r="J19585" s="5"/>
      <c r="K19585" s="5"/>
    </row>
    <row r="19586" spans="1:11" x14ac:dyDescent="0.25">
      <c r="A19586" s="5">
        <f>19579</f>
      </c>
      <c r="B19586" s="5" t="s">
        <v>19594</v>
      </c>
      <c r="C19586" s="5">
        <v>118.2</v>
      </c>
      <c r="D19586" s="5">
        <v>0.1</v>
      </c>
      <c r="E19586" s="5">
        <v>118.3</v>
      </c>
      <c r="F19586" s="5">
        <v>236.1</v>
      </c>
      <c r="G19586" s="5">
        <v>117.8</v>
      </c>
      <c r="H19586" s="5">
        <v>117.7</v>
      </c>
      <c r="I19586" s="5"/>
      <c r="J19586" s="5"/>
      <c r="K19586" s="5"/>
    </row>
    <row r="19587" spans="1:11" x14ac:dyDescent="0.25">
      <c r="A19587" s="5">
        <f>19580</f>
      </c>
      <c r="B19587" s="5" t="s">
        <v>19595</v>
      </c>
      <c r="C19587" s="5">
        <v>118.2</v>
      </c>
      <c r="D19587" s="5">
        <v>0.1</v>
      </c>
      <c r="E19587" s="5">
        <v>118.3</v>
      </c>
      <c r="F19587" s="5">
        <v>236.1</v>
      </c>
      <c r="G19587" s="5">
        <v>117.9</v>
      </c>
      <c r="H19587" s="5">
        <v>117.7</v>
      </c>
      <c r="I19587" s="5"/>
      <c r="J19587" s="5"/>
      <c r="K19587" s="5"/>
    </row>
    <row r="19588" spans="1:11" x14ac:dyDescent="0.25">
      <c r="A19588" s="5">
        <f>19581</f>
      </c>
      <c r="B19588" s="5" t="s">
        <v>19596</v>
      </c>
      <c r="C19588" s="5">
        <v>118.2</v>
      </c>
      <c r="D19588" s="5">
        <v>0.1</v>
      </c>
      <c r="E19588" s="5">
        <v>118.3</v>
      </c>
      <c r="F19588" s="5">
        <v>236.3</v>
      </c>
      <c r="G19588" s="5">
        <v>117.9</v>
      </c>
      <c r="H19588" s="5">
        <v>117.7</v>
      </c>
      <c r="I19588" s="5"/>
      <c r="J19588" s="5"/>
      <c r="K19588" s="5"/>
    </row>
    <row r="19589" spans="1:11" x14ac:dyDescent="0.25">
      <c r="A19589" s="5">
        <f>19582</f>
      </c>
      <c r="B19589" s="5" t="s">
        <v>19597</v>
      </c>
      <c r="C19589" s="5">
        <v>118.2</v>
      </c>
      <c r="D19589" s="5">
        <v>0.1</v>
      </c>
      <c r="E19589" s="5">
        <v>118.3</v>
      </c>
      <c r="F19589" s="5">
        <v>236.3</v>
      </c>
      <c r="G19589" s="5">
        <v>117.9</v>
      </c>
      <c r="H19589" s="5">
        <v>117.7</v>
      </c>
      <c r="I19589" s="5"/>
      <c r="J19589" s="5"/>
      <c r="K19589" s="5"/>
    </row>
    <row r="19590" spans="1:11" x14ac:dyDescent="0.25">
      <c r="A19590" s="5">
        <f>19583</f>
      </c>
      <c r="B19590" s="5" t="s">
        <v>19598</v>
      </c>
      <c r="C19590" s="5">
        <v>118.4</v>
      </c>
      <c r="D19590" s="5">
        <v>0.1</v>
      </c>
      <c r="E19590" s="5">
        <v>118.6</v>
      </c>
      <c r="F19590" s="5">
        <v>236.5</v>
      </c>
      <c r="G19590" s="5">
        <v>118</v>
      </c>
      <c r="H19590" s="5">
        <v>117.9</v>
      </c>
      <c r="I19590" s="5"/>
      <c r="J19590" s="5"/>
      <c r="K19590" s="5"/>
    </row>
    <row r="19591" spans="1:11" x14ac:dyDescent="0.25">
      <c r="A19591" s="5">
        <f>19584</f>
      </c>
      <c r="B19591" s="5" t="s">
        <v>19599</v>
      </c>
      <c r="C19591" s="5">
        <v>118.4</v>
      </c>
      <c r="D19591" s="5">
        <v>0.1</v>
      </c>
      <c r="E19591" s="5">
        <v>118.6</v>
      </c>
      <c r="F19591" s="5">
        <v>236.5</v>
      </c>
      <c r="G19591" s="5">
        <v>118</v>
      </c>
      <c r="H19591" s="5">
        <v>117.9</v>
      </c>
      <c r="I19591" s="5"/>
      <c r="J19591" s="5"/>
      <c r="K19591" s="5"/>
    </row>
    <row r="19592" spans="1:11" x14ac:dyDescent="0.25">
      <c r="A19592" s="5">
        <f>19585</f>
      </c>
      <c r="B19592" s="5" t="s">
        <v>19600</v>
      </c>
      <c r="C19592" s="5">
        <v>118.5</v>
      </c>
      <c r="D19592" s="5">
        <v>0.1</v>
      </c>
      <c r="E19592" s="5">
        <v>118.6</v>
      </c>
      <c r="F19592" s="5">
        <v>236.3</v>
      </c>
      <c r="G19592" s="5">
        <v>117.9</v>
      </c>
      <c r="H19592" s="5">
        <v>117.8</v>
      </c>
      <c r="I19592" s="5"/>
      <c r="J19592" s="5"/>
      <c r="K19592" s="5"/>
    </row>
    <row r="19593" spans="1:11" x14ac:dyDescent="0.25">
      <c r="A19593" s="5">
        <f>19586</f>
      </c>
      <c r="B19593" s="5" t="s">
        <v>19601</v>
      </c>
      <c r="C19593" s="5">
        <v>118.5</v>
      </c>
      <c r="D19593" s="5">
        <v>0.1</v>
      </c>
      <c r="E19593" s="5">
        <v>118.6</v>
      </c>
      <c r="F19593" s="5">
        <v>236.3</v>
      </c>
      <c r="G19593" s="5">
        <v>117.9</v>
      </c>
      <c r="H19593" s="5">
        <v>117.8</v>
      </c>
      <c r="I19593" s="5"/>
      <c r="J19593" s="5"/>
      <c r="K19593" s="5"/>
    </row>
    <row r="19594" spans="1:11" x14ac:dyDescent="0.25">
      <c r="A19594" s="5">
        <f>19587</f>
      </c>
      <c r="B19594" s="5" t="s">
        <v>19602</v>
      </c>
      <c r="C19594" s="5">
        <v>118.5</v>
      </c>
      <c r="D19594" s="5">
        <v>0.1</v>
      </c>
      <c r="E19594" s="5">
        <v>118.6</v>
      </c>
      <c r="F19594" s="5">
        <v>236.3</v>
      </c>
      <c r="G19594" s="5">
        <v>117.9</v>
      </c>
      <c r="H19594" s="5">
        <v>117.8</v>
      </c>
      <c r="I19594" s="5"/>
      <c r="J19594" s="5"/>
      <c r="K19594" s="5"/>
    </row>
    <row r="19595" spans="1:11" x14ac:dyDescent="0.25">
      <c r="A19595" s="5">
        <f>19588</f>
      </c>
      <c r="B19595" s="5" t="s">
        <v>19603</v>
      </c>
      <c r="C19595" s="5">
        <v>118.2</v>
      </c>
      <c r="D19595" s="5">
        <v>0.1</v>
      </c>
      <c r="E19595" s="5">
        <v>118.3</v>
      </c>
      <c r="F19595" s="5">
        <v>235.9</v>
      </c>
      <c r="G19595" s="5">
        <v>117.7</v>
      </c>
      <c r="H19595" s="5">
        <v>117.5</v>
      </c>
      <c r="I19595" s="5"/>
      <c r="J19595" s="5"/>
      <c r="K19595" s="5"/>
    </row>
    <row r="19596" spans="1:11" x14ac:dyDescent="0.25">
      <c r="A19596" s="5">
        <f>19589</f>
      </c>
      <c r="B19596" s="5" t="s">
        <v>19604</v>
      </c>
      <c r="C19596" s="5">
        <v>118.2</v>
      </c>
      <c r="D19596" s="5">
        <v>0.1</v>
      </c>
      <c r="E19596" s="5">
        <v>118.3</v>
      </c>
      <c r="F19596" s="5">
        <v>235.9</v>
      </c>
      <c r="G19596" s="5">
        <v>117.7</v>
      </c>
      <c r="H19596" s="5">
        <v>117.5</v>
      </c>
      <c r="I19596" s="5"/>
      <c r="J19596" s="5"/>
      <c r="K19596" s="5"/>
    </row>
    <row r="19597" spans="1:11" x14ac:dyDescent="0.25">
      <c r="A19597" s="5">
        <f>19590</f>
      </c>
      <c r="B19597" s="5" t="s">
        <v>19605</v>
      </c>
      <c r="C19597" s="5">
        <v>117.8</v>
      </c>
      <c r="D19597" s="5">
        <v>0.1</v>
      </c>
      <c r="E19597" s="5">
        <v>118</v>
      </c>
      <c r="F19597" s="5">
        <v>235.3</v>
      </c>
      <c r="G19597" s="5">
        <v>117.4</v>
      </c>
      <c r="H19597" s="5">
        <v>117.3</v>
      </c>
      <c r="I19597" s="5"/>
      <c r="J19597" s="5"/>
      <c r="K19597" s="5"/>
    </row>
    <row r="19598" spans="1:11" x14ac:dyDescent="0.25">
      <c r="A19598" s="5">
        <f>19591</f>
      </c>
      <c r="B19598" s="5" t="s">
        <v>19606</v>
      </c>
      <c r="C19598" s="5">
        <v>117.8</v>
      </c>
      <c r="D19598" s="5">
        <v>0.1</v>
      </c>
      <c r="E19598" s="5">
        <v>118</v>
      </c>
      <c r="F19598" s="5">
        <v>235.3</v>
      </c>
      <c r="G19598" s="5">
        <v>117.4</v>
      </c>
      <c r="H19598" s="5">
        <v>117.3</v>
      </c>
      <c r="I19598" s="5"/>
      <c r="J19598" s="5"/>
      <c r="K19598" s="5"/>
    </row>
    <row r="19599" spans="1:11" x14ac:dyDescent="0.25">
      <c r="A19599" s="5">
        <f>19592</f>
      </c>
      <c r="B19599" s="5" t="s">
        <v>19607</v>
      </c>
      <c r="C19599" s="5">
        <v>117.9</v>
      </c>
      <c r="D19599" s="5">
        <v>0.1</v>
      </c>
      <c r="E19599" s="5">
        <v>118</v>
      </c>
      <c r="F19599" s="5">
        <v>235.4</v>
      </c>
      <c r="G19599" s="5">
        <v>117.5</v>
      </c>
      <c r="H19599" s="5">
        <v>117.3</v>
      </c>
      <c r="I19599" s="5"/>
      <c r="J19599" s="5"/>
      <c r="K19599" s="5"/>
    </row>
    <row r="19600" spans="1:11" x14ac:dyDescent="0.25">
      <c r="A19600" s="5">
        <f>19593</f>
      </c>
      <c r="B19600" s="5" t="s">
        <v>19608</v>
      </c>
      <c r="C19600" s="5">
        <v>117.9</v>
      </c>
      <c r="D19600" s="5">
        <v>0.1</v>
      </c>
      <c r="E19600" s="5">
        <v>118</v>
      </c>
      <c r="F19600" s="5">
        <v>235.4</v>
      </c>
      <c r="G19600" s="5">
        <v>117.5</v>
      </c>
      <c r="H19600" s="5">
        <v>117.3</v>
      </c>
      <c r="I19600" s="5"/>
      <c r="J19600" s="5"/>
      <c r="K19600" s="5"/>
    </row>
    <row r="19601" spans="1:11" x14ac:dyDescent="0.25">
      <c r="A19601" s="5">
        <f>19594</f>
      </c>
      <c r="B19601" s="5" t="s">
        <v>19609</v>
      </c>
      <c r="C19601" s="5">
        <v>117.9</v>
      </c>
      <c r="D19601" s="5">
        <v>0.1</v>
      </c>
      <c r="E19601" s="5">
        <v>118</v>
      </c>
      <c r="F19601" s="5">
        <v>235.4</v>
      </c>
      <c r="G19601" s="5">
        <v>117.5</v>
      </c>
      <c r="H19601" s="5">
        <v>117.3</v>
      </c>
      <c r="I19601" s="5"/>
      <c r="J19601" s="5"/>
      <c r="K19601" s="5"/>
    </row>
    <row r="19602" spans="1:11" x14ac:dyDescent="0.25">
      <c r="A19602" s="5">
        <f>19595</f>
      </c>
      <c r="B19602" s="5" t="s">
        <v>19610</v>
      </c>
      <c r="C19602" s="5">
        <v>117.9</v>
      </c>
      <c r="D19602" s="5">
        <v>0.1</v>
      </c>
      <c r="E19602" s="5">
        <v>118</v>
      </c>
      <c r="F19602" s="5">
        <v>235.4</v>
      </c>
      <c r="G19602" s="5">
        <v>117.5</v>
      </c>
      <c r="H19602" s="5">
        <v>117.3</v>
      </c>
      <c r="I19602" s="5"/>
      <c r="J19602" s="5"/>
      <c r="K19602" s="5"/>
    </row>
    <row r="19603" spans="1:11" x14ac:dyDescent="0.25">
      <c r="A19603" s="5">
        <f>19596</f>
      </c>
      <c r="B19603" s="5" t="s">
        <v>19611</v>
      </c>
      <c r="C19603" s="5">
        <v>117.9</v>
      </c>
      <c r="D19603" s="5">
        <v>0.1</v>
      </c>
      <c r="E19603" s="5">
        <v>118</v>
      </c>
      <c r="F19603" s="5">
        <v>235.4</v>
      </c>
      <c r="G19603" s="5">
        <v>117.5</v>
      </c>
      <c r="H19603" s="5">
        <v>117.3</v>
      </c>
      <c r="I19603" s="5"/>
      <c r="J19603" s="5"/>
      <c r="K19603" s="5"/>
    </row>
    <row r="19604" spans="1:11" x14ac:dyDescent="0.25">
      <c r="A19604" s="5">
        <f>19597</f>
      </c>
      <c r="B19604" s="5" t="s">
        <v>19612</v>
      </c>
      <c r="C19604" s="5">
        <v>117.9</v>
      </c>
      <c r="D19604" s="5">
        <v>0.1</v>
      </c>
      <c r="E19604" s="5">
        <v>118</v>
      </c>
      <c r="F19604" s="5">
        <v>235.4</v>
      </c>
      <c r="G19604" s="5">
        <v>117.5</v>
      </c>
      <c r="H19604" s="5">
        <v>117.3</v>
      </c>
      <c r="I19604" s="5"/>
      <c r="J19604" s="5"/>
      <c r="K19604" s="5"/>
    </row>
    <row r="19605" spans="1:11" x14ac:dyDescent="0.25">
      <c r="A19605" s="5">
        <f>19598</f>
      </c>
      <c r="B19605" s="5" t="s">
        <v>19613</v>
      </c>
      <c r="C19605" s="5">
        <v>117.9</v>
      </c>
      <c r="D19605" s="5">
        <v>0.1</v>
      </c>
      <c r="E19605" s="5">
        <v>118.1</v>
      </c>
      <c r="F19605" s="5">
        <v>235.6</v>
      </c>
      <c r="G19605" s="5">
        <v>117.6</v>
      </c>
      <c r="H19605" s="5">
        <v>117.4</v>
      </c>
      <c r="I19605" s="5"/>
      <c r="J19605" s="5"/>
      <c r="K19605" s="5"/>
    </row>
    <row r="19606" spans="1:11" x14ac:dyDescent="0.25">
      <c r="A19606" s="5">
        <f>19599</f>
      </c>
      <c r="B19606" s="5" t="s">
        <v>19614</v>
      </c>
      <c r="C19606" s="5">
        <v>117.9</v>
      </c>
      <c r="D19606" s="5">
        <v>0.1</v>
      </c>
      <c r="E19606" s="5">
        <v>118.1</v>
      </c>
      <c r="F19606" s="5">
        <v>235.6</v>
      </c>
      <c r="G19606" s="5">
        <v>117.6</v>
      </c>
      <c r="H19606" s="5">
        <v>117.4</v>
      </c>
      <c r="I19606" s="5"/>
      <c r="J19606" s="5"/>
      <c r="K19606" s="5"/>
    </row>
    <row r="19607" spans="1:11" x14ac:dyDescent="0.25">
      <c r="A19607" s="5">
        <f>19600</f>
      </c>
      <c r="B19607" s="5" t="s">
        <v>19615</v>
      </c>
      <c r="C19607" s="5">
        <v>117.9</v>
      </c>
      <c r="D19607" s="5">
        <v>0.1</v>
      </c>
      <c r="E19607" s="5">
        <v>118</v>
      </c>
      <c r="F19607" s="5">
        <v>235.3</v>
      </c>
      <c r="G19607" s="5">
        <v>117.4</v>
      </c>
      <c r="H19607" s="5">
        <v>117.2</v>
      </c>
      <c r="I19607" s="5"/>
      <c r="J19607" s="5"/>
      <c r="K19607" s="5"/>
    </row>
    <row r="19608" spans="1:11" x14ac:dyDescent="0.25">
      <c r="A19608" s="5">
        <f>19601</f>
      </c>
      <c r="B19608" s="5" t="s">
        <v>19616</v>
      </c>
      <c r="C19608" s="5">
        <v>117.9</v>
      </c>
      <c r="D19608" s="5">
        <v>0.1</v>
      </c>
      <c r="E19608" s="5">
        <v>118</v>
      </c>
      <c r="F19608" s="5">
        <v>235.3</v>
      </c>
      <c r="G19608" s="5">
        <v>117.4</v>
      </c>
      <c r="H19608" s="5">
        <v>117.2</v>
      </c>
      <c r="I19608" s="5"/>
      <c r="J19608" s="5"/>
      <c r="K19608" s="5"/>
    </row>
    <row r="19609" spans="1:11" x14ac:dyDescent="0.25">
      <c r="A19609" s="5">
        <f>19602</f>
      </c>
      <c r="B19609" s="5" t="s">
        <v>19617</v>
      </c>
      <c r="C19609" s="5">
        <v>117.7</v>
      </c>
      <c r="D19609" s="5">
        <v>0.1</v>
      </c>
      <c r="E19609" s="5">
        <v>117.8</v>
      </c>
      <c r="F19609" s="5">
        <v>235.4</v>
      </c>
      <c r="G19609" s="5">
        <v>117.4</v>
      </c>
      <c r="H19609" s="5">
        <v>117.3</v>
      </c>
      <c r="I19609" s="5"/>
      <c r="J19609" s="5"/>
      <c r="K19609" s="5"/>
    </row>
    <row r="19610" spans="1:11" x14ac:dyDescent="0.25">
      <c r="A19610" s="5">
        <f>19603</f>
      </c>
      <c r="B19610" s="5" t="s">
        <v>19618</v>
      </c>
      <c r="C19610" s="5">
        <v>117.7</v>
      </c>
      <c r="D19610" s="5">
        <v>0.1</v>
      </c>
      <c r="E19610" s="5">
        <v>117.8</v>
      </c>
      <c r="F19610" s="5">
        <v>235.4</v>
      </c>
      <c r="G19610" s="5">
        <v>117.4</v>
      </c>
      <c r="H19610" s="5">
        <v>117.3</v>
      </c>
      <c r="I19610" s="5"/>
      <c r="J19610" s="5"/>
      <c r="K19610" s="5"/>
    </row>
    <row r="19611" spans="1:11" x14ac:dyDescent="0.25">
      <c r="A19611" s="5">
        <f>19604</f>
      </c>
      <c r="B19611" s="5" t="s">
        <v>19619</v>
      </c>
      <c r="C19611" s="5">
        <v>118.3</v>
      </c>
      <c r="D19611" s="5">
        <v>0.1</v>
      </c>
      <c r="E19611" s="5">
        <v>118.4</v>
      </c>
      <c r="F19611" s="5">
        <v>235.7</v>
      </c>
      <c r="G19611" s="5">
        <v>117.6</v>
      </c>
      <c r="H19611" s="5">
        <v>117.5</v>
      </c>
      <c r="I19611" s="5"/>
      <c r="J19611" s="5"/>
      <c r="K19611" s="5"/>
    </row>
    <row r="19612" spans="1:11" x14ac:dyDescent="0.25">
      <c r="A19612" s="5">
        <f>19605</f>
      </c>
      <c r="B19612" s="5" t="s">
        <v>19620</v>
      </c>
      <c r="C19612" s="5">
        <v>118.3</v>
      </c>
      <c r="D19612" s="5">
        <v>0.1</v>
      </c>
      <c r="E19612" s="5">
        <v>118.4</v>
      </c>
      <c r="F19612" s="5">
        <v>235.7</v>
      </c>
      <c r="G19612" s="5">
        <v>117.6</v>
      </c>
      <c r="H19612" s="5">
        <v>117.5</v>
      </c>
      <c r="I19612" s="5"/>
      <c r="J19612" s="5"/>
      <c r="K19612" s="5"/>
    </row>
    <row r="19613" spans="1:11" x14ac:dyDescent="0.25">
      <c r="A19613" s="5">
        <f>19606</f>
      </c>
      <c r="B19613" s="5" t="s">
        <v>19621</v>
      </c>
      <c r="C19613" s="5">
        <v>118.3</v>
      </c>
      <c r="D19613" s="5">
        <v>0.1</v>
      </c>
      <c r="E19613" s="5">
        <v>118.4</v>
      </c>
      <c r="F19613" s="5">
        <v>235.7</v>
      </c>
      <c r="G19613" s="5">
        <v>117.6</v>
      </c>
      <c r="H19613" s="5">
        <v>117.5</v>
      </c>
      <c r="I19613" s="5"/>
      <c r="J19613" s="5"/>
      <c r="K19613" s="5"/>
    </row>
    <row r="19614" spans="1:11" x14ac:dyDescent="0.25">
      <c r="A19614" s="5">
        <f>19607</f>
      </c>
      <c r="B19614" s="5" t="s">
        <v>19622</v>
      </c>
      <c r="C19614" s="5">
        <v>118.3</v>
      </c>
      <c r="D19614" s="5">
        <v>0.1</v>
      </c>
      <c r="E19614" s="5">
        <v>118.4</v>
      </c>
      <c r="F19614" s="5">
        <v>235.7</v>
      </c>
      <c r="G19614" s="5">
        <v>117.6</v>
      </c>
      <c r="H19614" s="5">
        <v>117.5</v>
      </c>
      <c r="I19614" s="5"/>
      <c r="J19614" s="5"/>
      <c r="K19614" s="5"/>
    </row>
    <row r="19615" spans="1:11" x14ac:dyDescent="0.25">
      <c r="A19615" s="5">
        <f>19608</f>
      </c>
      <c r="B19615" s="5" t="s">
        <v>19623</v>
      </c>
      <c r="C19615" s="5">
        <v>118.3</v>
      </c>
      <c r="D19615" s="5">
        <v>0.1</v>
      </c>
      <c r="E19615" s="5">
        <v>118.4</v>
      </c>
      <c r="F19615" s="5">
        <v>236.1</v>
      </c>
      <c r="G19615" s="5">
        <v>117.8</v>
      </c>
      <c r="H19615" s="5">
        <v>117.6</v>
      </c>
      <c r="I19615" s="5"/>
      <c r="J19615" s="5"/>
      <c r="K19615" s="5"/>
    </row>
    <row r="19616" spans="1:11" x14ac:dyDescent="0.25">
      <c r="A19616" s="5">
        <f>19609</f>
      </c>
      <c r="B19616" s="5" t="s">
        <v>19624</v>
      </c>
      <c r="C19616" s="5">
        <v>118.3</v>
      </c>
      <c r="D19616" s="5">
        <v>0.1</v>
      </c>
      <c r="E19616" s="5">
        <v>118.4</v>
      </c>
      <c r="F19616" s="5">
        <v>236.1</v>
      </c>
      <c r="G19616" s="5">
        <v>117.8</v>
      </c>
      <c r="H19616" s="5">
        <v>117.6</v>
      </c>
      <c r="I19616" s="5"/>
      <c r="J19616" s="5"/>
      <c r="K19616" s="5"/>
    </row>
    <row r="19617" spans="1:11" x14ac:dyDescent="0.25">
      <c r="A19617" s="5">
        <f>19610</f>
      </c>
      <c r="B19617" s="5" t="s">
        <v>19625</v>
      </c>
      <c r="C19617" s="5">
        <v>118.3</v>
      </c>
      <c r="D19617" s="5">
        <v>0.1</v>
      </c>
      <c r="E19617" s="5">
        <v>118.4</v>
      </c>
      <c r="F19617" s="5">
        <v>236.2</v>
      </c>
      <c r="G19617" s="5">
        <v>117.9</v>
      </c>
      <c r="H19617" s="5">
        <v>117.7</v>
      </c>
      <c r="I19617" s="5"/>
      <c r="J19617" s="5"/>
      <c r="K19617" s="5"/>
    </row>
    <row r="19618" spans="1:11" x14ac:dyDescent="0.25">
      <c r="A19618" s="5">
        <f>19611</f>
      </c>
      <c r="B19618" s="5" t="s">
        <v>19626</v>
      </c>
      <c r="C19618" s="5">
        <v>118.3</v>
      </c>
      <c r="D19618" s="5">
        <v>0.1</v>
      </c>
      <c r="E19618" s="5">
        <v>118.4</v>
      </c>
      <c r="F19618" s="5">
        <v>236.2</v>
      </c>
      <c r="G19618" s="5">
        <v>117.9</v>
      </c>
      <c r="H19618" s="5">
        <v>117.7</v>
      </c>
      <c r="I19618" s="5"/>
      <c r="J19618" s="5"/>
      <c r="K19618" s="5"/>
    </row>
    <row r="19619" spans="1:11" x14ac:dyDescent="0.25">
      <c r="A19619" s="5">
        <f>19612</f>
      </c>
      <c r="B19619" s="5" t="s">
        <v>19627</v>
      </c>
      <c r="C19619" s="5">
        <v>118.2</v>
      </c>
      <c r="D19619" s="5">
        <v>0.1</v>
      </c>
      <c r="E19619" s="5">
        <v>118.3</v>
      </c>
      <c r="F19619" s="5">
        <v>236.2</v>
      </c>
      <c r="G19619" s="5">
        <v>117.8</v>
      </c>
      <c r="H19619" s="5">
        <v>117.7</v>
      </c>
      <c r="I19619" s="5"/>
      <c r="J19619" s="5"/>
      <c r="K19619" s="5"/>
    </row>
    <row r="19620" spans="1:11" x14ac:dyDescent="0.25">
      <c r="A19620" s="5">
        <f>19613</f>
      </c>
      <c r="B19620" s="5" t="s">
        <v>19628</v>
      </c>
      <c r="C19620" s="5">
        <v>118.2</v>
      </c>
      <c r="D19620" s="5">
        <v>0.1</v>
      </c>
      <c r="E19620" s="5">
        <v>118.3</v>
      </c>
      <c r="F19620" s="5">
        <v>236.2</v>
      </c>
      <c r="G19620" s="5">
        <v>117.8</v>
      </c>
      <c r="H19620" s="5">
        <v>117.7</v>
      </c>
      <c r="I19620" s="5"/>
      <c r="J19620" s="5"/>
      <c r="K19620" s="5"/>
    </row>
    <row r="19621" spans="1:11" x14ac:dyDescent="0.25">
      <c r="A19621" s="5">
        <f>19614</f>
      </c>
      <c r="B19621" s="5" t="s">
        <v>19629</v>
      </c>
      <c r="C19621" s="5">
        <v>118.3</v>
      </c>
      <c r="D19621" s="5">
        <v>0.1</v>
      </c>
      <c r="E19621" s="5">
        <v>118.4</v>
      </c>
      <c r="F19621" s="5">
        <v>236.3</v>
      </c>
      <c r="G19621" s="5">
        <v>117.9</v>
      </c>
      <c r="H19621" s="5">
        <v>117.7</v>
      </c>
      <c r="I19621" s="5"/>
      <c r="J19621" s="5"/>
      <c r="K19621" s="5"/>
    </row>
    <row r="19622" spans="1:11" x14ac:dyDescent="0.25">
      <c r="A19622" s="5">
        <f>19615</f>
      </c>
      <c r="B19622" s="5" t="s">
        <v>19630</v>
      </c>
      <c r="C19622" s="5">
        <v>118.3</v>
      </c>
      <c r="D19622" s="5">
        <v>0.1</v>
      </c>
      <c r="E19622" s="5">
        <v>118.4</v>
      </c>
      <c r="F19622" s="5">
        <v>236.3</v>
      </c>
      <c r="G19622" s="5">
        <v>117.9</v>
      </c>
      <c r="H19622" s="5">
        <v>117.7</v>
      </c>
      <c r="I19622" s="5"/>
      <c r="J19622" s="5"/>
      <c r="K19622" s="5"/>
    </row>
    <row r="19623" spans="1:11" x14ac:dyDescent="0.25">
      <c r="A19623" s="5">
        <f>19616</f>
      </c>
      <c r="B19623" s="5" t="s">
        <v>19631</v>
      </c>
      <c r="C19623" s="5">
        <v>118.3</v>
      </c>
      <c r="D19623" s="5">
        <v>0.1</v>
      </c>
      <c r="E19623" s="5">
        <v>118.4</v>
      </c>
      <c r="F19623" s="5">
        <v>236.3</v>
      </c>
      <c r="G19623" s="5">
        <v>117.9</v>
      </c>
      <c r="H19623" s="5">
        <v>117.7</v>
      </c>
      <c r="I19623" s="5"/>
      <c r="J19623" s="5"/>
      <c r="K19623" s="5"/>
    </row>
    <row r="19624" spans="1:11" x14ac:dyDescent="0.25">
      <c r="A19624" s="5">
        <f>19617</f>
      </c>
      <c r="B19624" s="5" t="s">
        <v>19632</v>
      </c>
      <c r="C19624" s="5">
        <v>118.3</v>
      </c>
      <c r="D19624" s="5">
        <v>0.1</v>
      </c>
      <c r="E19624" s="5">
        <v>118.4</v>
      </c>
      <c r="F19624" s="5">
        <v>236.3</v>
      </c>
      <c r="G19624" s="5">
        <v>117.9</v>
      </c>
      <c r="H19624" s="5">
        <v>117.7</v>
      </c>
      <c r="I19624" s="5"/>
      <c r="J19624" s="5"/>
      <c r="K19624" s="5"/>
    </row>
    <row r="19625" spans="1:11" x14ac:dyDescent="0.25">
      <c r="A19625" s="5">
        <f>19618</f>
      </c>
      <c r="B19625" s="5" t="s">
        <v>19633</v>
      </c>
      <c r="C19625" s="5">
        <v>118.6</v>
      </c>
      <c r="D19625" s="5">
        <v>0.1</v>
      </c>
      <c r="E19625" s="5">
        <v>118.7</v>
      </c>
      <c r="F19625" s="5">
        <v>236.6</v>
      </c>
      <c r="G19625" s="5">
        <v>118.1</v>
      </c>
      <c r="H19625" s="5">
        <v>117.9</v>
      </c>
      <c r="I19625" s="5"/>
      <c r="J19625" s="5"/>
      <c r="K19625" s="5"/>
    </row>
    <row r="19626" spans="1:11" x14ac:dyDescent="0.25">
      <c r="A19626" s="5">
        <f>19619</f>
      </c>
      <c r="B19626" s="5" t="s">
        <v>19634</v>
      </c>
      <c r="C19626" s="5">
        <v>118.6</v>
      </c>
      <c r="D19626" s="5">
        <v>0.1</v>
      </c>
      <c r="E19626" s="5">
        <v>118.7</v>
      </c>
      <c r="F19626" s="5">
        <v>236.6</v>
      </c>
      <c r="G19626" s="5">
        <v>118.1</v>
      </c>
      <c r="H19626" s="5">
        <v>117.9</v>
      </c>
      <c r="I19626" s="5"/>
      <c r="J19626" s="5"/>
      <c r="K19626" s="5"/>
    </row>
    <row r="19627" spans="1:11" x14ac:dyDescent="0.25">
      <c r="A19627" s="5">
        <f>19620</f>
      </c>
      <c r="B19627" s="5" t="s">
        <v>19635</v>
      </c>
      <c r="C19627" s="5">
        <v>118.4</v>
      </c>
      <c r="D19627" s="5">
        <v>0.1</v>
      </c>
      <c r="E19627" s="5">
        <v>118.6</v>
      </c>
      <c r="F19627" s="5">
        <v>236.3</v>
      </c>
      <c r="G19627" s="5">
        <v>118</v>
      </c>
      <c r="H19627" s="5">
        <v>117.8</v>
      </c>
      <c r="I19627" s="5"/>
      <c r="J19627" s="5"/>
      <c r="K19627" s="5"/>
    </row>
    <row r="19628" spans="1:11" x14ac:dyDescent="0.25">
      <c r="A19628" s="5">
        <f>19621</f>
      </c>
      <c r="B19628" s="5" t="s">
        <v>19636</v>
      </c>
      <c r="C19628" s="5">
        <v>118.4</v>
      </c>
      <c r="D19628" s="5">
        <v>0.1</v>
      </c>
      <c r="E19628" s="5">
        <v>118.6</v>
      </c>
      <c r="F19628" s="5">
        <v>236.3</v>
      </c>
      <c r="G19628" s="5">
        <v>118</v>
      </c>
      <c r="H19628" s="5">
        <v>117.8</v>
      </c>
      <c r="I19628" s="5"/>
      <c r="J19628" s="5"/>
      <c r="K19628" s="5"/>
    </row>
    <row r="19629" spans="1:11" x14ac:dyDescent="0.25">
      <c r="A19629" s="5">
        <f>19622</f>
      </c>
      <c r="B19629" s="5" t="s">
        <v>19637</v>
      </c>
      <c r="C19629" s="5">
        <v>118.3</v>
      </c>
      <c r="D19629" s="5">
        <v>0.1</v>
      </c>
      <c r="E19629" s="5">
        <v>118.5</v>
      </c>
      <c r="F19629" s="5">
        <v>236.5</v>
      </c>
      <c r="G19629" s="5">
        <v>117.9</v>
      </c>
      <c r="H19629" s="5">
        <v>117.7</v>
      </c>
      <c r="I19629" s="5"/>
      <c r="J19629" s="5"/>
      <c r="K19629" s="5"/>
    </row>
    <row r="19630" spans="1:11" x14ac:dyDescent="0.25">
      <c r="A19630" s="5">
        <f>19623</f>
      </c>
      <c r="B19630" s="5" t="s">
        <v>19638</v>
      </c>
      <c r="C19630" s="5">
        <v>118.3</v>
      </c>
      <c r="D19630" s="5">
        <v>0.1</v>
      </c>
      <c r="E19630" s="5">
        <v>118.5</v>
      </c>
      <c r="F19630" s="5">
        <v>236.5</v>
      </c>
      <c r="G19630" s="5">
        <v>117.9</v>
      </c>
      <c r="H19630" s="5">
        <v>117.7</v>
      </c>
      <c r="I19630" s="5"/>
      <c r="J19630" s="5"/>
      <c r="K19630" s="5"/>
    </row>
    <row r="19631" spans="1:11" x14ac:dyDescent="0.25">
      <c r="A19631" s="5">
        <f>19624</f>
      </c>
      <c r="B19631" s="5" t="s">
        <v>19639</v>
      </c>
      <c r="C19631" s="5">
        <v>118.1</v>
      </c>
      <c r="D19631" s="5">
        <v>0.1</v>
      </c>
      <c r="E19631" s="5">
        <v>118.3</v>
      </c>
      <c r="F19631" s="5">
        <v>236.2</v>
      </c>
      <c r="G19631" s="5">
        <v>117.8</v>
      </c>
      <c r="H19631" s="5">
        <v>117.7</v>
      </c>
      <c r="I19631" s="5"/>
      <c r="J19631" s="5"/>
      <c r="K19631" s="5"/>
    </row>
    <row r="19632" spans="1:11" x14ac:dyDescent="0.25">
      <c r="A19632" s="5">
        <f>19625</f>
      </c>
      <c r="B19632" s="5" t="s">
        <v>19640</v>
      </c>
      <c r="C19632" s="5">
        <v>118.1</v>
      </c>
      <c r="D19632" s="5">
        <v>0.1</v>
      </c>
      <c r="E19632" s="5">
        <v>118.3</v>
      </c>
      <c r="F19632" s="5">
        <v>236.2</v>
      </c>
      <c r="G19632" s="5">
        <v>117.8</v>
      </c>
      <c r="H19632" s="5">
        <v>117.7</v>
      </c>
      <c r="I19632" s="5"/>
      <c r="J19632" s="5"/>
      <c r="K19632" s="5"/>
    </row>
    <row r="19633" spans="1:11" x14ac:dyDescent="0.25">
      <c r="A19633" s="5">
        <f>19626</f>
      </c>
      <c r="B19633" s="5" t="s">
        <v>19641</v>
      </c>
      <c r="C19633" s="5">
        <v>118.1</v>
      </c>
      <c r="D19633" s="5">
        <v>0.1</v>
      </c>
      <c r="E19633" s="5">
        <v>118.3</v>
      </c>
      <c r="F19633" s="5">
        <v>236.2</v>
      </c>
      <c r="G19633" s="5">
        <v>117.8</v>
      </c>
      <c r="H19633" s="5">
        <v>117.7</v>
      </c>
      <c r="I19633" s="5"/>
      <c r="J19633" s="5"/>
      <c r="K19633" s="5"/>
    </row>
    <row r="19634" spans="1:11" x14ac:dyDescent="0.25">
      <c r="A19634" s="5">
        <f>19627</f>
      </c>
      <c r="B19634" s="5" t="s">
        <v>19642</v>
      </c>
      <c r="C19634" s="5">
        <v>118.1</v>
      </c>
      <c r="D19634" s="5">
        <v>0.1</v>
      </c>
      <c r="E19634" s="5">
        <v>118.3</v>
      </c>
      <c r="F19634" s="5">
        <v>236.2</v>
      </c>
      <c r="G19634" s="5">
        <v>117.8</v>
      </c>
      <c r="H19634" s="5">
        <v>117.7</v>
      </c>
      <c r="I19634" s="5"/>
      <c r="J19634" s="5"/>
      <c r="K19634" s="5"/>
    </row>
    <row r="19635" spans="1:11" x14ac:dyDescent="0.25">
      <c r="A19635" s="5">
        <f>19628</f>
      </c>
      <c r="B19635" s="5" t="s">
        <v>19643</v>
      </c>
      <c r="C19635" s="5">
        <v>118.2</v>
      </c>
      <c r="D19635" s="5">
        <v>0.1</v>
      </c>
      <c r="E19635" s="5">
        <v>118.3</v>
      </c>
      <c r="F19635" s="5">
        <v>236.2</v>
      </c>
      <c r="G19635" s="5">
        <v>117.9</v>
      </c>
      <c r="H19635" s="5">
        <v>117.7</v>
      </c>
      <c r="I19635" s="5"/>
      <c r="J19635" s="5"/>
      <c r="K19635" s="5"/>
    </row>
    <row r="19636" spans="1:11" x14ac:dyDescent="0.25">
      <c r="A19636" s="5">
        <f>19629</f>
      </c>
      <c r="B19636" s="5" t="s">
        <v>19644</v>
      </c>
      <c r="C19636" s="5">
        <v>118.2</v>
      </c>
      <c r="D19636" s="5">
        <v>0.1</v>
      </c>
      <c r="E19636" s="5">
        <v>118.3</v>
      </c>
      <c r="F19636" s="5">
        <v>236.2</v>
      </c>
      <c r="G19636" s="5">
        <v>117.9</v>
      </c>
      <c r="H19636" s="5">
        <v>117.7</v>
      </c>
      <c r="I19636" s="5"/>
      <c r="J19636" s="5"/>
      <c r="K19636" s="5"/>
    </row>
    <row r="19637" spans="1:11" x14ac:dyDescent="0.25">
      <c r="A19637" s="5">
        <f>19630</f>
      </c>
      <c r="B19637" s="5" t="s">
        <v>19645</v>
      </c>
      <c r="C19637" s="5">
        <v>118.2</v>
      </c>
      <c r="D19637" s="5">
        <v>0.1</v>
      </c>
      <c r="E19637" s="5">
        <v>118.3</v>
      </c>
      <c r="F19637" s="5">
        <v>236.3</v>
      </c>
      <c r="G19637" s="5">
        <v>117.9</v>
      </c>
      <c r="H19637" s="5">
        <v>117.7</v>
      </c>
      <c r="I19637" s="5"/>
      <c r="J19637" s="5"/>
      <c r="K19637" s="5"/>
    </row>
    <row r="19638" spans="1:11" x14ac:dyDescent="0.25">
      <c r="A19638" s="5">
        <f>19631</f>
      </c>
      <c r="B19638" s="5" t="s">
        <v>19646</v>
      </c>
      <c r="C19638" s="5">
        <v>118.2</v>
      </c>
      <c r="D19638" s="5">
        <v>0.1</v>
      </c>
      <c r="E19638" s="5">
        <v>118.3</v>
      </c>
      <c r="F19638" s="5">
        <v>236.3</v>
      </c>
      <c r="G19638" s="5">
        <v>117.9</v>
      </c>
      <c r="H19638" s="5">
        <v>117.7</v>
      </c>
      <c r="I19638" s="5"/>
      <c r="J19638" s="5"/>
      <c r="K19638" s="5"/>
    </row>
    <row r="19639" spans="1:11" x14ac:dyDescent="0.25">
      <c r="A19639" s="5">
        <f>19632</f>
      </c>
      <c r="B19639" s="5" t="s">
        <v>19647</v>
      </c>
      <c r="C19639" s="5">
        <v>118.3</v>
      </c>
      <c r="D19639" s="5">
        <v>0.1</v>
      </c>
      <c r="E19639" s="5">
        <v>118.4</v>
      </c>
      <c r="F19639" s="5">
        <v>236.2</v>
      </c>
      <c r="G19639" s="5">
        <v>117.9</v>
      </c>
      <c r="H19639" s="5">
        <v>117.7</v>
      </c>
      <c r="I19639" s="5"/>
      <c r="J19639" s="5"/>
      <c r="K19639" s="5"/>
    </row>
    <row r="19640" spans="1:11" x14ac:dyDescent="0.25">
      <c r="A19640" s="5">
        <f>19633</f>
      </c>
      <c r="B19640" s="5" t="s">
        <v>19648</v>
      </c>
      <c r="C19640" s="5">
        <v>118.3</v>
      </c>
      <c r="D19640" s="5">
        <v>0.1</v>
      </c>
      <c r="E19640" s="5">
        <v>118.4</v>
      </c>
      <c r="F19640" s="5">
        <v>236.2</v>
      </c>
      <c r="G19640" s="5">
        <v>117.9</v>
      </c>
      <c r="H19640" s="5">
        <v>117.7</v>
      </c>
      <c r="I19640" s="5"/>
      <c r="J19640" s="5"/>
      <c r="K19640" s="5"/>
    </row>
    <row r="19641" spans="1:11" x14ac:dyDescent="0.25">
      <c r="A19641" s="5">
        <f>19634</f>
      </c>
      <c r="B19641" s="5" t="s">
        <v>19649</v>
      </c>
      <c r="C19641" s="5">
        <v>118.5</v>
      </c>
      <c r="D19641" s="5">
        <v>0.1</v>
      </c>
      <c r="E19641" s="5">
        <v>118.6</v>
      </c>
      <c r="F19641" s="5">
        <v>236.2</v>
      </c>
      <c r="G19641" s="5">
        <v>117.8</v>
      </c>
      <c r="H19641" s="5">
        <v>117.7</v>
      </c>
      <c r="I19641" s="5"/>
      <c r="J19641" s="5"/>
      <c r="K19641" s="5"/>
    </row>
    <row r="19642" spans="1:11" x14ac:dyDescent="0.25">
      <c r="A19642" s="5">
        <f>19635</f>
      </c>
      <c r="B19642" s="5" t="s">
        <v>19650</v>
      </c>
      <c r="C19642" s="5">
        <v>118.5</v>
      </c>
      <c r="D19642" s="5">
        <v>0.1</v>
      </c>
      <c r="E19642" s="5">
        <v>118.6</v>
      </c>
      <c r="F19642" s="5">
        <v>236.2</v>
      </c>
      <c r="G19642" s="5">
        <v>117.8</v>
      </c>
      <c r="H19642" s="5">
        <v>117.7</v>
      </c>
      <c r="I19642" s="5"/>
      <c r="J19642" s="5"/>
      <c r="K19642" s="5"/>
    </row>
    <row r="19643" spans="1:11" x14ac:dyDescent="0.25">
      <c r="A19643" s="5">
        <f>19636</f>
      </c>
      <c r="B19643" s="5" t="s">
        <v>19651</v>
      </c>
      <c r="C19643" s="5">
        <v>118.5</v>
      </c>
      <c r="D19643" s="5">
        <v>0.1</v>
      </c>
      <c r="E19643" s="5">
        <v>118.6</v>
      </c>
      <c r="F19643" s="5">
        <v>236.2</v>
      </c>
      <c r="G19643" s="5">
        <v>117.8</v>
      </c>
      <c r="H19643" s="5">
        <v>117.7</v>
      </c>
      <c r="I19643" s="5"/>
      <c r="J19643" s="5"/>
      <c r="K19643" s="5"/>
    </row>
    <row r="19644" spans="1:11" x14ac:dyDescent="0.25">
      <c r="A19644" s="5">
        <f>19637</f>
      </c>
      <c r="B19644" s="5" t="s">
        <v>19652</v>
      </c>
      <c r="C19644" s="5">
        <v>118.5</v>
      </c>
      <c r="D19644" s="5">
        <v>0.1</v>
      </c>
      <c r="E19644" s="5">
        <v>118.6</v>
      </c>
      <c r="F19644" s="5">
        <v>236.2</v>
      </c>
      <c r="G19644" s="5">
        <v>117.8</v>
      </c>
      <c r="H19644" s="5">
        <v>117.7</v>
      </c>
      <c r="I19644" s="5"/>
      <c r="J19644" s="5"/>
      <c r="K19644" s="5"/>
    </row>
    <row r="19645" spans="1:11" x14ac:dyDescent="0.25">
      <c r="A19645" s="5">
        <f>19638</f>
      </c>
      <c r="B19645" s="5" t="s">
        <v>19653</v>
      </c>
      <c r="C19645" s="5">
        <v>118.3</v>
      </c>
      <c r="D19645" s="5">
        <v>0.1</v>
      </c>
      <c r="E19645" s="5">
        <v>118.5</v>
      </c>
      <c r="F19645" s="5">
        <v>236.5</v>
      </c>
      <c r="G19645" s="5">
        <v>118.1</v>
      </c>
      <c r="H19645" s="5">
        <v>117.9</v>
      </c>
      <c r="I19645" s="5"/>
      <c r="J19645" s="5"/>
      <c r="K19645" s="5"/>
    </row>
    <row r="19646" spans="1:11" x14ac:dyDescent="0.25">
      <c r="A19646" s="5">
        <f>19639</f>
      </c>
      <c r="B19646" s="5" t="s">
        <v>19654</v>
      </c>
      <c r="C19646" s="5">
        <v>118.3</v>
      </c>
      <c r="D19646" s="5">
        <v>0.1</v>
      </c>
      <c r="E19646" s="5">
        <v>118.5</v>
      </c>
      <c r="F19646" s="5">
        <v>236.5</v>
      </c>
      <c r="G19646" s="5">
        <v>118.1</v>
      </c>
      <c r="H19646" s="5">
        <v>117.9</v>
      </c>
      <c r="I19646" s="5"/>
      <c r="J19646" s="5"/>
      <c r="K19646" s="5"/>
    </row>
    <row r="19647" spans="1:11" x14ac:dyDescent="0.25">
      <c r="A19647" s="5">
        <f>19640</f>
      </c>
      <c r="B19647" s="5" t="s">
        <v>19655</v>
      </c>
      <c r="C19647" s="5">
        <v>118.6</v>
      </c>
      <c r="D19647" s="5">
        <v>0.1</v>
      </c>
      <c r="E19647" s="5">
        <v>118.7</v>
      </c>
      <c r="F19647" s="5">
        <v>236.8</v>
      </c>
      <c r="G19647" s="5">
        <v>118.2</v>
      </c>
      <c r="H19647" s="5">
        <v>118</v>
      </c>
      <c r="I19647" s="5"/>
      <c r="J19647" s="5"/>
      <c r="K19647" s="5"/>
    </row>
    <row r="19648" spans="1:11" x14ac:dyDescent="0.25">
      <c r="A19648" s="5">
        <f>19641</f>
      </c>
      <c r="B19648" s="5" t="s">
        <v>19656</v>
      </c>
      <c r="C19648" s="5">
        <v>118.6</v>
      </c>
      <c r="D19648" s="5">
        <v>0.1</v>
      </c>
      <c r="E19648" s="5">
        <v>118.7</v>
      </c>
      <c r="F19648" s="5">
        <v>236.8</v>
      </c>
      <c r="G19648" s="5">
        <v>118.2</v>
      </c>
      <c r="H19648" s="5">
        <v>118</v>
      </c>
      <c r="I19648" s="5"/>
      <c r="J19648" s="5"/>
      <c r="K19648" s="5"/>
    </row>
    <row r="19649" spans="1:11" x14ac:dyDescent="0.25">
      <c r="A19649" s="5">
        <f>19642</f>
      </c>
      <c r="B19649" s="5" t="s">
        <v>19657</v>
      </c>
      <c r="C19649" s="5">
        <v>118.3</v>
      </c>
      <c r="D19649" s="5">
        <v>0.1</v>
      </c>
      <c r="E19649" s="5">
        <v>118.5</v>
      </c>
      <c r="F19649" s="5">
        <v>236.5</v>
      </c>
      <c r="G19649" s="5">
        <v>118</v>
      </c>
      <c r="H19649" s="5">
        <v>117.8</v>
      </c>
      <c r="I19649" s="5"/>
      <c r="J19649" s="5"/>
      <c r="K19649" s="5"/>
    </row>
    <row r="19650" spans="1:11" x14ac:dyDescent="0.25">
      <c r="A19650" s="5">
        <f>19643</f>
      </c>
      <c r="B19650" s="5" t="s">
        <v>19658</v>
      </c>
      <c r="C19650" s="5">
        <v>118.3</v>
      </c>
      <c r="D19650" s="5">
        <v>0.1</v>
      </c>
      <c r="E19650" s="5">
        <v>118.5</v>
      </c>
      <c r="F19650" s="5">
        <v>236.5</v>
      </c>
      <c r="G19650" s="5">
        <v>118</v>
      </c>
      <c r="H19650" s="5">
        <v>117.8</v>
      </c>
      <c r="I19650" s="5"/>
      <c r="J19650" s="5"/>
      <c r="K19650" s="5"/>
    </row>
    <row r="19651" spans="1:11" x14ac:dyDescent="0.25">
      <c r="A19651" s="5">
        <f>19644</f>
      </c>
      <c r="B19651" s="5" t="s">
        <v>19659</v>
      </c>
      <c r="C19651" s="5">
        <v>118.3</v>
      </c>
      <c r="D19651" s="5">
        <v>0.1</v>
      </c>
      <c r="E19651" s="5">
        <v>118.5</v>
      </c>
      <c r="F19651" s="5">
        <v>236.6</v>
      </c>
      <c r="G19651" s="5">
        <v>118.1</v>
      </c>
      <c r="H19651" s="5">
        <v>117.9</v>
      </c>
      <c r="I19651" s="5"/>
      <c r="J19651" s="5"/>
      <c r="K19651" s="5"/>
    </row>
    <row r="19652" spans="1:11" x14ac:dyDescent="0.25">
      <c r="A19652" s="5">
        <f>19645</f>
      </c>
      <c r="B19652" s="5" t="s">
        <v>19660</v>
      </c>
      <c r="C19652" s="5">
        <v>118.3</v>
      </c>
      <c r="D19652" s="5">
        <v>0.1</v>
      </c>
      <c r="E19652" s="5">
        <v>118.5</v>
      </c>
      <c r="F19652" s="5">
        <v>236.6</v>
      </c>
      <c r="G19652" s="5">
        <v>118.1</v>
      </c>
      <c r="H19652" s="5">
        <v>117.9</v>
      </c>
      <c r="I19652" s="5"/>
      <c r="J19652" s="5"/>
      <c r="K19652" s="5"/>
    </row>
    <row r="19653" spans="1:11" x14ac:dyDescent="0.25">
      <c r="A19653" s="5">
        <f>19646</f>
      </c>
      <c r="B19653" s="5" t="s">
        <v>19661</v>
      </c>
      <c r="C19653" s="5">
        <v>118.3</v>
      </c>
      <c r="D19653" s="5">
        <v>0.1</v>
      </c>
      <c r="E19653" s="5">
        <v>118.5</v>
      </c>
      <c r="F19653" s="5">
        <v>236.6</v>
      </c>
      <c r="G19653" s="5">
        <v>118.1</v>
      </c>
      <c r="H19653" s="5">
        <v>117.9</v>
      </c>
      <c r="I19653" s="5"/>
      <c r="J19653" s="5"/>
      <c r="K19653" s="5"/>
    </row>
    <row r="19654" spans="1:11" x14ac:dyDescent="0.25">
      <c r="A19654" s="5">
        <f>19647</f>
      </c>
      <c r="B19654" s="5" t="s">
        <v>19662</v>
      </c>
      <c r="C19654" s="5">
        <v>118.3</v>
      </c>
      <c r="D19654" s="5">
        <v>0.1</v>
      </c>
      <c r="E19654" s="5">
        <v>118.5</v>
      </c>
      <c r="F19654" s="5">
        <v>236.6</v>
      </c>
      <c r="G19654" s="5">
        <v>118.1</v>
      </c>
      <c r="H19654" s="5">
        <v>117.9</v>
      </c>
      <c r="I19654" s="5"/>
      <c r="J19654" s="5"/>
      <c r="K19654" s="5"/>
    </row>
    <row r="19655" spans="1:11" x14ac:dyDescent="0.25">
      <c r="A19655" s="5">
        <f>19648</f>
      </c>
      <c r="B19655" s="5" t="s">
        <v>19663</v>
      </c>
      <c r="C19655" s="5">
        <v>118</v>
      </c>
      <c r="D19655" s="5">
        <v>0.1</v>
      </c>
      <c r="E19655" s="5">
        <v>118.2</v>
      </c>
      <c r="F19655" s="5">
        <v>235.9</v>
      </c>
      <c r="G19655" s="5">
        <v>117.7</v>
      </c>
      <c r="H19655" s="5">
        <v>117.5</v>
      </c>
      <c r="I19655" s="5"/>
      <c r="J19655" s="5"/>
      <c r="K19655" s="5"/>
    </row>
    <row r="19656" spans="1:11" x14ac:dyDescent="0.25">
      <c r="A19656" s="5">
        <f>19649</f>
      </c>
      <c r="B19656" s="5" t="s">
        <v>19664</v>
      </c>
      <c r="C19656" s="5">
        <v>118</v>
      </c>
      <c r="D19656" s="5">
        <v>0.1</v>
      </c>
      <c r="E19656" s="5">
        <v>118.2</v>
      </c>
      <c r="F19656" s="5">
        <v>235.9</v>
      </c>
      <c r="G19656" s="5">
        <v>117.7</v>
      </c>
      <c r="H19656" s="5">
        <v>117.5</v>
      </c>
      <c r="I19656" s="5"/>
      <c r="J19656" s="5"/>
      <c r="K19656" s="5"/>
    </row>
    <row r="19657" spans="1:11" x14ac:dyDescent="0.25">
      <c r="A19657" s="5">
        <f>19650</f>
      </c>
      <c r="B19657" s="5" t="s">
        <v>19665</v>
      </c>
      <c r="C19657" s="5">
        <v>117.9</v>
      </c>
      <c r="D19657" s="5">
        <v>0.1</v>
      </c>
      <c r="E19657" s="5">
        <v>118</v>
      </c>
      <c r="F19657" s="5">
        <v>235.5</v>
      </c>
      <c r="G19657" s="5">
        <v>117.5</v>
      </c>
      <c r="H19657" s="5">
        <v>117.3</v>
      </c>
      <c r="I19657" s="5"/>
      <c r="J19657" s="5"/>
      <c r="K19657" s="5"/>
    </row>
    <row r="19658" spans="1:11" x14ac:dyDescent="0.25">
      <c r="A19658" s="5">
        <f>19651</f>
      </c>
      <c r="B19658" s="5" t="s">
        <v>19666</v>
      </c>
      <c r="C19658" s="5">
        <v>117.9</v>
      </c>
      <c r="D19658" s="5">
        <v>0.1</v>
      </c>
      <c r="E19658" s="5">
        <v>118</v>
      </c>
      <c r="F19658" s="5">
        <v>235.5</v>
      </c>
      <c r="G19658" s="5">
        <v>117.5</v>
      </c>
      <c r="H19658" s="5">
        <v>117.3</v>
      </c>
      <c r="I19658" s="5"/>
      <c r="J19658" s="5"/>
      <c r="K19658" s="5"/>
    </row>
    <row r="19659" spans="1:11" x14ac:dyDescent="0.25">
      <c r="A19659" s="5">
        <f>19652</f>
      </c>
      <c r="B19659" s="5" t="s">
        <v>19667</v>
      </c>
      <c r="C19659" s="5">
        <v>118.1</v>
      </c>
      <c r="D19659" s="5">
        <v>0.1</v>
      </c>
      <c r="E19659" s="5">
        <v>118.3</v>
      </c>
      <c r="F19659" s="5">
        <v>235.7</v>
      </c>
      <c r="G19659" s="5">
        <v>117.6</v>
      </c>
      <c r="H19659" s="5">
        <v>117.5</v>
      </c>
      <c r="I19659" s="5"/>
      <c r="J19659" s="5"/>
      <c r="K19659" s="5"/>
    </row>
    <row r="19660" spans="1:11" x14ac:dyDescent="0.25">
      <c r="A19660" s="5">
        <f>19653</f>
      </c>
      <c r="B19660" s="5" t="s">
        <v>19668</v>
      </c>
      <c r="C19660" s="5">
        <v>118.1</v>
      </c>
      <c r="D19660" s="5">
        <v>0.1</v>
      </c>
      <c r="E19660" s="5">
        <v>118.3</v>
      </c>
      <c r="F19660" s="5">
        <v>235.7</v>
      </c>
      <c r="G19660" s="5">
        <v>117.6</v>
      </c>
      <c r="H19660" s="5">
        <v>117.5</v>
      </c>
      <c r="I19660" s="5"/>
      <c r="J19660" s="5"/>
      <c r="K19660" s="5"/>
    </row>
    <row r="19661" spans="1:11" x14ac:dyDescent="0.25">
      <c r="A19661" s="5">
        <f>19654</f>
      </c>
      <c r="B19661" s="5" t="s">
        <v>19669</v>
      </c>
      <c r="C19661" s="5">
        <v>118.2</v>
      </c>
      <c r="D19661" s="5">
        <v>0.1</v>
      </c>
      <c r="E19661" s="5">
        <v>118.3</v>
      </c>
      <c r="F19661" s="5">
        <v>235.8</v>
      </c>
      <c r="G19661" s="5">
        <v>117.7</v>
      </c>
      <c r="H19661" s="5">
        <v>117.5</v>
      </c>
      <c r="I19661" s="5"/>
      <c r="J19661" s="5"/>
      <c r="K19661" s="5"/>
    </row>
    <row r="19662" spans="1:11" x14ac:dyDescent="0.25">
      <c r="A19662" s="5">
        <f>19655</f>
      </c>
      <c r="B19662" s="5" t="s">
        <v>19670</v>
      </c>
      <c r="C19662" s="5">
        <v>118.2</v>
      </c>
      <c r="D19662" s="5">
        <v>0.1</v>
      </c>
      <c r="E19662" s="5">
        <v>118.3</v>
      </c>
      <c r="F19662" s="5">
        <v>235.8</v>
      </c>
      <c r="G19662" s="5">
        <v>117.7</v>
      </c>
      <c r="H19662" s="5">
        <v>117.5</v>
      </c>
      <c r="I19662" s="5"/>
      <c r="J19662" s="5"/>
      <c r="K19662" s="5"/>
    </row>
    <row r="19663" spans="1:11" x14ac:dyDescent="0.25">
      <c r="A19663" s="5">
        <f>19656</f>
      </c>
      <c r="B19663" s="5" t="s">
        <v>19671</v>
      </c>
      <c r="C19663" s="5">
        <v>118.2</v>
      </c>
      <c r="D19663" s="5">
        <v>0.1</v>
      </c>
      <c r="E19663" s="5">
        <v>118.3</v>
      </c>
      <c r="F19663" s="5">
        <v>235.8</v>
      </c>
      <c r="G19663" s="5">
        <v>117.7</v>
      </c>
      <c r="H19663" s="5">
        <v>117.5</v>
      </c>
      <c r="I19663" s="5"/>
      <c r="J19663" s="5"/>
      <c r="K19663" s="5"/>
    </row>
    <row r="19664" spans="1:11" x14ac:dyDescent="0.25">
      <c r="A19664" s="5">
        <f>19657</f>
      </c>
      <c r="B19664" s="5" t="s">
        <v>19672</v>
      </c>
      <c r="C19664" s="5">
        <v>118.2</v>
      </c>
      <c r="D19664" s="5">
        <v>0.1</v>
      </c>
      <c r="E19664" s="5">
        <v>118.3</v>
      </c>
      <c r="F19664" s="5">
        <v>235.8</v>
      </c>
      <c r="G19664" s="5">
        <v>117.7</v>
      </c>
      <c r="H19664" s="5">
        <v>117.5</v>
      </c>
      <c r="I19664" s="5"/>
      <c r="J19664" s="5"/>
      <c r="K19664" s="5"/>
    </row>
    <row r="19665" spans="1:11" x14ac:dyDescent="0.25">
      <c r="A19665" s="5">
        <f>19658</f>
      </c>
      <c r="B19665" s="5" t="s">
        <v>19673</v>
      </c>
      <c r="C19665" s="5">
        <v>118.2</v>
      </c>
      <c r="D19665" s="5">
        <v>0.1</v>
      </c>
      <c r="E19665" s="5">
        <v>118.3</v>
      </c>
      <c r="F19665" s="5">
        <v>235.8</v>
      </c>
      <c r="G19665" s="5">
        <v>117.7</v>
      </c>
      <c r="H19665" s="5">
        <v>117.5</v>
      </c>
      <c r="I19665" s="5"/>
      <c r="J19665" s="5"/>
      <c r="K19665" s="5"/>
    </row>
    <row r="19666" spans="1:11" x14ac:dyDescent="0.25">
      <c r="A19666" s="5">
        <f>19659</f>
      </c>
      <c r="B19666" s="5" t="s">
        <v>19674</v>
      </c>
      <c r="C19666" s="5">
        <v>118.2</v>
      </c>
      <c r="D19666" s="5">
        <v>0.1</v>
      </c>
      <c r="E19666" s="5">
        <v>118.3</v>
      </c>
      <c r="F19666" s="5">
        <v>235.8</v>
      </c>
      <c r="G19666" s="5">
        <v>117.7</v>
      </c>
      <c r="H19666" s="5">
        <v>117.5</v>
      </c>
      <c r="I19666" s="5"/>
      <c r="J19666" s="5"/>
      <c r="K19666" s="5"/>
    </row>
    <row r="19667" spans="1:11" x14ac:dyDescent="0.25">
      <c r="A19667" s="5">
        <f>19660</f>
      </c>
      <c r="B19667" s="5" t="s">
        <v>19675</v>
      </c>
      <c r="C19667" s="5">
        <v>118.2</v>
      </c>
      <c r="D19667" s="5">
        <v>0.1</v>
      </c>
      <c r="E19667" s="5">
        <v>118.3</v>
      </c>
      <c r="F19667" s="5">
        <v>235.8</v>
      </c>
      <c r="G19667" s="5">
        <v>117.7</v>
      </c>
      <c r="H19667" s="5">
        <v>117.5</v>
      </c>
      <c r="I19667" s="5"/>
      <c r="J19667" s="5"/>
      <c r="K19667" s="5"/>
    </row>
    <row r="19668" spans="1:11" x14ac:dyDescent="0.25">
      <c r="A19668" s="5">
        <f>19661</f>
      </c>
      <c r="B19668" s="5" t="s">
        <v>19676</v>
      </c>
      <c r="C19668" s="5">
        <v>118.2</v>
      </c>
      <c r="D19668" s="5">
        <v>0.1</v>
      </c>
      <c r="E19668" s="5">
        <v>118.3</v>
      </c>
      <c r="F19668" s="5">
        <v>235.8</v>
      </c>
      <c r="G19668" s="5">
        <v>117.7</v>
      </c>
      <c r="H19668" s="5">
        <v>117.5</v>
      </c>
      <c r="I19668" s="5"/>
      <c r="J19668" s="5"/>
      <c r="K19668" s="5"/>
    </row>
    <row r="19669" spans="1:11" x14ac:dyDescent="0.25">
      <c r="A19669" s="5">
        <f>19662</f>
      </c>
      <c r="B19669" s="5" t="s">
        <v>19677</v>
      </c>
      <c r="C19669" s="5">
        <v>117.9</v>
      </c>
      <c r="D19669" s="5">
        <v>0.1</v>
      </c>
      <c r="E19669" s="5">
        <v>118</v>
      </c>
      <c r="F19669" s="5">
        <v>236</v>
      </c>
      <c r="G19669" s="5">
        <v>117.8</v>
      </c>
      <c r="H19669" s="5">
        <v>117.6</v>
      </c>
      <c r="I19669" s="5"/>
      <c r="J19669" s="5"/>
      <c r="K19669" s="5"/>
    </row>
    <row r="19670" spans="1:11" x14ac:dyDescent="0.25">
      <c r="A19670" s="5">
        <f>19663</f>
      </c>
      <c r="B19670" s="5" t="s">
        <v>19678</v>
      </c>
      <c r="C19670" s="5">
        <v>117.9</v>
      </c>
      <c r="D19670" s="5">
        <v>0.1</v>
      </c>
      <c r="E19670" s="5">
        <v>118</v>
      </c>
      <c r="F19670" s="5">
        <v>236</v>
      </c>
      <c r="G19670" s="5">
        <v>117.8</v>
      </c>
      <c r="H19670" s="5">
        <v>117.6</v>
      </c>
      <c r="I19670" s="5"/>
      <c r="J19670" s="5"/>
      <c r="K19670" s="5"/>
    </row>
    <row r="19671" spans="1:11" x14ac:dyDescent="0.25">
      <c r="A19671" s="5">
        <f>19664</f>
      </c>
      <c r="B19671" s="5" t="s">
        <v>19679</v>
      </c>
      <c r="C19671" s="5">
        <v>118.3</v>
      </c>
      <c r="D19671" s="5">
        <v>0.1</v>
      </c>
      <c r="E19671" s="5">
        <v>118.4</v>
      </c>
      <c r="F19671" s="5">
        <v>236.2</v>
      </c>
      <c r="G19671" s="5">
        <v>117.9</v>
      </c>
      <c r="H19671" s="5">
        <v>117.7</v>
      </c>
      <c r="I19671" s="5"/>
      <c r="J19671" s="5"/>
      <c r="K19671" s="5"/>
    </row>
    <row r="19672" spans="1:11" x14ac:dyDescent="0.25">
      <c r="A19672" s="5">
        <f>19665</f>
      </c>
      <c r="B19672" s="5" t="s">
        <v>19680</v>
      </c>
      <c r="C19672" s="5">
        <v>118.3</v>
      </c>
      <c r="D19672" s="5">
        <v>0.1</v>
      </c>
      <c r="E19672" s="5">
        <v>118.4</v>
      </c>
      <c r="F19672" s="5">
        <v>236.2</v>
      </c>
      <c r="G19672" s="5">
        <v>117.9</v>
      </c>
      <c r="H19672" s="5">
        <v>117.7</v>
      </c>
      <c r="I19672" s="5"/>
      <c r="J19672" s="5"/>
      <c r="K19672" s="5"/>
    </row>
    <row r="19673" spans="1:11" x14ac:dyDescent="0.25">
      <c r="A19673" s="5">
        <f>19666</f>
      </c>
      <c r="B19673" s="5" t="s">
        <v>19681</v>
      </c>
      <c r="C19673" s="5">
        <v>118.3</v>
      </c>
      <c r="D19673" s="5">
        <v>0.1</v>
      </c>
      <c r="E19673" s="5">
        <v>118.4</v>
      </c>
      <c r="F19673" s="5">
        <v>236.2</v>
      </c>
      <c r="G19673" s="5">
        <v>117.9</v>
      </c>
      <c r="H19673" s="5">
        <v>117.7</v>
      </c>
      <c r="I19673" s="5"/>
      <c r="J19673" s="5"/>
      <c r="K19673" s="5"/>
    </row>
    <row r="19674" spans="1:11" x14ac:dyDescent="0.25">
      <c r="A19674" s="5">
        <f>19667</f>
      </c>
      <c r="B19674" s="5" t="s">
        <v>19682</v>
      </c>
      <c r="C19674" s="5">
        <v>118.3</v>
      </c>
      <c r="D19674" s="5">
        <v>0.1</v>
      </c>
      <c r="E19674" s="5">
        <v>118.6</v>
      </c>
      <c r="F19674" s="5">
        <v>236.3</v>
      </c>
      <c r="G19674" s="5">
        <v>117.9</v>
      </c>
      <c r="H19674" s="5">
        <v>117.7</v>
      </c>
      <c r="I19674" s="5"/>
      <c r="J19674" s="5"/>
      <c r="K19674" s="5"/>
    </row>
    <row r="19675" spans="1:11" x14ac:dyDescent="0.25">
      <c r="A19675" s="5">
        <f>19668</f>
      </c>
      <c r="B19675" s="5" t="s">
        <v>19683</v>
      </c>
      <c r="C19675" s="5">
        <v>118.4</v>
      </c>
      <c r="D19675" s="5">
        <v>0.1</v>
      </c>
      <c r="E19675" s="5">
        <v>118.6</v>
      </c>
      <c r="F19675" s="5">
        <v>236.3</v>
      </c>
      <c r="G19675" s="5">
        <v>117.9</v>
      </c>
      <c r="H19675" s="5">
        <v>117.7</v>
      </c>
      <c r="I19675" s="5"/>
      <c r="J19675" s="5"/>
      <c r="K19675" s="5"/>
    </row>
    <row r="19676" spans="1:11" x14ac:dyDescent="0.25">
      <c r="A19676" s="5">
        <f>19669</f>
      </c>
      <c r="B19676" s="5" t="s">
        <v>19684</v>
      </c>
      <c r="C19676" s="5">
        <v>118.4</v>
      </c>
      <c r="D19676" s="5">
        <v>0.1</v>
      </c>
      <c r="E19676" s="5">
        <v>118.6</v>
      </c>
      <c r="F19676" s="5">
        <v>236.3</v>
      </c>
      <c r="G19676" s="5">
        <v>117.8</v>
      </c>
      <c r="H19676" s="5">
        <v>117.7</v>
      </c>
      <c r="I19676" s="5"/>
      <c r="J19676" s="5"/>
      <c r="K19676" s="5"/>
    </row>
    <row r="19677" spans="1:11" x14ac:dyDescent="0.25">
      <c r="A19677" s="5">
        <f>19670</f>
      </c>
      <c r="B19677" s="5" t="s">
        <v>19685</v>
      </c>
      <c r="C19677" s="5">
        <v>118.3</v>
      </c>
      <c r="D19677" s="5">
        <v>0.1</v>
      </c>
      <c r="E19677" s="5">
        <v>118.4</v>
      </c>
      <c r="F19677" s="5">
        <v>236.1</v>
      </c>
      <c r="G19677" s="5">
        <v>117.8</v>
      </c>
      <c r="H19677" s="5">
        <v>117.7</v>
      </c>
      <c r="I19677" s="5"/>
      <c r="J19677" s="5"/>
      <c r="K19677" s="5"/>
    </row>
    <row r="19678" spans="1:11" x14ac:dyDescent="0.25">
      <c r="A19678" s="5">
        <f>19671</f>
      </c>
      <c r="B19678" s="5" t="s">
        <v>19686</v>
      </c>
      <c r="C19678" s="5">
        <v>118.3</v>
      </c>
      <c r="D19678" s="5">
        <v>0.1</v>
      </c>
      <c r="E19678" s="5">
        <v>118.4</v>
      </c>
      <c r="F19678" s="5">
        <v>236.1</v>
      </c>
      <c r="G19678" s="5">
        <v>117.9</v>
      </c>
      <c r="H19678" s="5">
        <v>117.8</v>
      </c>
      <c r="I19678" s="5"/>
      <c r="J19678" s="5"/>
      <c r="K19678" s="5"/>
    </row>
    <row r="19679" spans="1:11" x14ac:dyDescent="0.25">
      <c r="A19679" s="5">
        <f>19672</f>
      </c>
      <c r="B19679" s="5" t="s">
        <v>19687</v>
      </c>
      <c r="C19679" s="5">
        <v>118.5</v>
      </c>
      <c r="D19679" s="5">
        <v>0.1</v>
      </c>
      <c r="E19679" s="5">
        <v>118.6</v>
      </c>
      <c r="F19679" s="5">
        <v>236.3</v>
      </c>
      <c r="G19679" s="5">
        <v>117.9</v>
      </c>
      <c r="H19679" s="5">
        <v>117.8</v>
      </c>
      <c r="I19679" s="5"/>
      <c r="J19679" s="5"/>
      <c r="K19679" s="5"/>
    </row>
    <row r="19680" spans="1:11" x14ac:dyDescent="0.25">
      <c r="A19680" s="5">
        <f>19673</f>
      </c>
      <c r="B19680" s="5" t="s">
        <v>19688</v>
      </c>
      <c r="C19680" s="5">
        <v>118.5</v>
      </c>
      <c r="D19680" s="5">
        <v>0.1</v>
      </c>
      <c r="E19680" s="5">
        <v>118.6</v>
      </c>
      <c r="F19680" s="5">
        <v>236.3</v>
      </c>
      <c r="G19680" s="5">
        <v>117.9</v>
      </c>
      <c r="H19680" s="5">
        <v>118</v>
      </c>
      <c r="I19680" s="5"/>
      <c r="J19680" s="5"/>
      <c r="K19680" s="5"/>
    </row>
    <row r="19681" spans="1:11" x14ac:dyDescent="0.25">
      <c r="A19681" s="5">
        <f>19674</f>
      </c>
      <c r="B19681" s="5" t="s">
        <v>19689</v>
      </c>
      <c r="C19681" s="5">
        <v>118.3</v>
      </c>
      <c r="D19681" s="5">
        <v>0.1</v>
      </c>
      <c r="E19681" s="5">
        <v>118.5</v>
      </c>
      <c r="F19681" s="5">
        <v>236.8</v>
      </c>
      <c r="G19681" s="5">
        <v>118.1</v>
      </c>
      <c r="H19681" s="5">
        <v>118</v>
      </c>
      <c r="I19681" s="5"/>
      <c r="J19681" s="5"/>
      <c r="K19681" s="5"/>
    </row>
    <row r="19682" spans="1:11" x14ac:dyDescent="0.25">
      <c r="A19682" s="5">
        <f>19675</f>
      </c>
      <c r="B19682" s="5" t="s">
        <v>19690</v>
      </c>
      <c r="C19682" s="5">
        <v>118.3</v>
      </c>
      <c r="D19682" s="5">
        <v>0.1</v>
      </c>
      <c r="E19682" s="5">
        <v>118.5</v>
      </c>
      <c r="F19682" s="5">
        <v>236.8</v>
      </c>
      <c r="G19682" s="5">
        <v>118.1</v>
      </c>
      <c r="H19682" s="5">
        <v>118</v>
      </c>
      <c r="I19682" s="5"/>
      <c r="J19682" s="5"/>
      <c r="K19682" s="5"/>
    </row>
    <row r="19683" spans="1:11" x14ac:dyDescent="0.25">
      <c r="A19683" s="5">
        <f>19676</f>
      </c>
      <c r="B19683" s="5" t="s">
        <v>19691</v>
      </c>
      <c r="C19683" s="5">
        <v>118.3</v>
      </c>
      <c r="D19683" s="5">
        <v>0.1</v>
      </c>
      <c r="E19683" s="5">
        <v>118.5</v>
      </c>
      <c r="F19683" s="5">
        <v>236.8</v>
      </c>
      <c r="G19683" s="5">
        <v>118.1</v>
      </c>
      <c r="H19683" s="5">
        <v>118</v>
      </c>
      <c r="I19683" s="5"/>
      <c r="J19683" s="5"/>
      <c r="K19683" s="5"/>
    </row>
    <row r="19684" spans="1:11" x14ac:dyDescent="0.25">
      <c r="A19684" s="5">
        <f>19677</f>
      </c>
      <c r="B19684" s="5" t="s">
        <v>19692</v>
      </c>
      <c r="C19684" s="5">
        <v>118.6</v>
      </c>
      <c r="D19684" s="5">
        <v>0.1</v>
      </c>
      <c r="E19684" s="5">
        <v>118.7</v>
      </c>
      <c r="F19684" s="5">
        <v>236.8</v>
      </c>
      <c r="G19684" s="5">
        <v>118.1</v>
      </c>
      <c r="H19684" s="5">
        <v>118</v>
      </c>
      <c r="I19684" s="5"/>
      <c r="J19684" s="5"/>
      <c r="K19684" s="5"/>
    </row>
    <row r="19685" spans="1:11" x14ac:dyDescent="0.25">
      <c r="A19685" s="5">
        <f>19678</f>
      </c>
      <c r="B19685" s="5" t="s">
        <v>19693</v>
      </c>
      <c r="C19685" s="5">
        <v>118.6</v>
      </c>
      <c r="D19685" s="5">
        <v>0.1</v>
      </c>
      <c r="E19685" s="5">
        <v>118.7</v>
      </c>
      <c r="F19685" s="5">
        <v>236.7</v>
      </c>
      <c r="G19685" s="5">
        <v>118.1</v>
      </c>
      <c r="H19685" s="5">
        <v>117.9</v>
      </c>
      <c r="I19685" s="5"/>
      <c r="J19685" s="5"/>
      <c r="K19685" s="5"/>
    </row>
    <row r="19686" spans="1:11" x14ac:dyDescent="0.25">
      <c r="A19686" s="5">
        <f>19679</f>
      </c>
      <c r="B19686" s="5" t="s">
        <v>19694</v>
      </c>
      <c r="C19686" s="5">
        <v>116.6</v>
      </c>
      <c r="D19686" s="5">
        <v>0.1</v>
      </c>
      <c r="E19686" s="5">
        <v>116.7</v>
      </c>
      <c r="F19686" s="5">
        <v>236.7</v>
      </c>
      <c r="G19686" s="5">
        <v>118.1</v>
      </c>
      <c r="H19686" s="5">
        <v>117.9</v>
      </c>
      <c r="I19686" s="5"/>
      <c r="J19686" s="5"/>
      <c r="K19686" s="5"/>
    </row>
    <row r="19687" spans="1:11" x14ac:dyDescent="0.25">
      <c r="A19687" s="5">
        <f>19680</f>
      </c>
      <c r="B19687" s="5" t="s">
        <v>19695</v>
      </c>
      <c r="C19687" s="5">
        <v>116.6</v>
      </c>
      <c r="D19687" s="5">
        <v>0.1</v>
      </c>
      <c r="E19687" s="5">
        <v>116.7</v>
      </c>
      <c r="F19687" s="5">
        <v>232.8</v>
      </c>
      <c r="G19687" s="5">
        <v>116.2</v>
      </c>
      <c r="H19687" s="5">
        <v>116</v>
      </c>
      <c r="I19687" s="5"/>
      <c r="J19687" s="5"/>
      <c r="K19687" s="5"/>
    </row>
    <row r="19688" spans="1:11" x14ac:dyDescent="0.25">
      <c r="A19688" s="5">
        <f>19681</f>
      </c>
      <c r="B19688" s="5" t="s">
        <v>19696</v>
      </c>
      <c r="C19688" s="5">
        <v>116.7</v>
      </c>
      <c r="D19688" s="5">
        <v>0.1</v>
      </c>
      <c r="E19688" s="5">
        <v>116.7</v>
      </c>
      <c r="F19688" s="5">
        <v>232.8</v>
      </c>
      <c r="G19688" s="5">
        <v>116.2</v>
      </c>
      <c r="H19688" s="5">
        <v>116</v>
      </c>
      <c r="I19688" s="5"/>
      <c r="J19688" s="5"/>
      <c r="K19688" s="5"/>
    </row>
    <row r="19689" spans="1:11" x14ac:dyDescent="0.25">
      <c r="A19689" s="5">
        <f>19682</f>
      </c>
      <c r="B19689" s="5" t="s">
        <v>19697</v>
      </c>
      <c r="C19689" s="5">
        <v>116.7</v>
      </c>
      <c r="D19689" s="5">
        <v>0.1</v>
      </c>
      <c r="E19689" s="5">
        <v>116.9</v>
      </c>
      <c r="F19689" s="5">
        <v>233.1</v>
      </c>
      <c r="G19689" s="5">
        <v>116.3</v>
      </c>
      <c r="H19689" s="5">
        <v>116.2</v>
      </c>
      <c r="I19689" s="5"/>
      <c r="J19689" s="5"/>
      <c r="K19689" s="5"/>
    </row>
    <row r="19690" spans="1:11" x14ac:dyDescent="0.25">
      <c r="A19690" s="5">
        <f>19683</f>
      </c>
      <c r="B19690" s="5" t="s">
        <v>19698</v>
      </c>
      <c r="C19690" s="5">
        <v>117.3</v>
      </c>
      <c r="D19690" s="5">
        <v>0.1</v>
      </c>
      <c r="E19690" s="5">
        <v>116.9</v>
      </c>
      <c r="F19690" s="5">
        <v>233.1</v>
      </c>
      <c r="G19690" s="5">
        <v>116.3</v>
      </c>
      <c r="H19690" s="5">
        <v>116.2</v>
      </c>
      <c r="I19690" s="5"/>
      <c r="J19690" s="5"/>
      <c r="K19690" s="5"/>
    </row>
    <row r="19691" spans="1:11" x14ac:dyDescent="0.25">
      <c r="A19691" s="5">
        <f>19684</f>
      </c>
      <c r="B19691" s="5" t="s">
        <v>19699</v>
      </c>
      <c r="C19691" s="5">
        <v>117.3</v>
      </c>
      <c r="D19691" s="5">
        <v>0.1</v>
      </c>
      <c r="E19691" s="5">
        <v>117.4</v>
      </c>
      <c r="F19691" s="5">
        <v>234.2</v>
      </c>
      <c r="G19691" s="5">
        <v>116.9</v>
      </c>
      <c r="H19691" s="5">
        <v>116.7</v>
      </c>
      <c r="I19691" s="5"/>
      <c r="J19691" s="5"/>
      <c r="K19691" s="5"/>
    </row>
    <row r="19692" spans="1:11" x14ac:dyDescent="0.25">
      <c r="A19692" s="5">
        <f>19685</f>
      </c>
      <c r="B19692" s="5" t="s">
        <v>19700</v>
      </c>
      <c r="C19692" s="5">
        <v>117.3</v>
      </c>
      <c r="D19692" s="5">
        <v>0.1</v>
      </c>
      <c r="E19692" s="5">
        <v>117.4</v>
      </c>
      <c r="F19692" s="5">
        <v>234.2</v>
      </c>
      <c r="G19692" s="5">
        <v>116.9</v>
      </c>
      <c r="H19692" s="5">
        <v>116.7</v>
      </c>
      <c r="I19692" s="5"/>
      <c r="J19692" s="5"/>
      <c r="K19692" s="5"/>
    </row>
    <row r="19693" spans="1:11" x14ac:dyDescent="0.25">
      <c r="A19693" s="5">
        <f>19686</f>
      </c>
      <c r="B19693" s="5" t="s">
        <v>19701</v>
      </c>
      <c r="C19693" s="5">
        <v>117.3</v>
      </c>
      <c r="D19693" s="5">
        <v>0.1</v>
      </c>
      <c r="E19693" s="5">
        <v>117.4</v>
      </c>
      <c r="F19693" s="5">
        <v>234.2</v>
      </c>
      <c r="G19693" s="5">
        <v>116.9</v>
      </c>
      <c r="H19693" s="5">
        <v>116.7</v>
      </c>
      <c r="I19693" s="5"/>
      <c r="J19693" s="5"/>
      <c r="K19693" s="5"/>
    </row>
    <row r="19694" spans="1:11" x14ac:dyDescent="0.25">
      <c r="A19694" s="5">
        <f>19687</f>
      </c>
      <c r="B19694" s="5" t="s">
        <v>19702</v>
      </c>
      <c r="C19694" s="5">
        <v>117.3</v>
      </c>
      <c r="D19694" s="5">
        <v>0.1</v>
      </c>
      <c r="E19694" s="5">
        <v>117.4</v>
      </c>
      <c r="F19694" s="5">
        <v>234.2</v>
      </c>
      <c r="G19694" s="5">
        <v>116.9</v>
      </c>
      <c r="H19694" s="5">
        <v>116.7</v>
      </c>
      <c r="I19694" s="5"/>
      <c r="J19694" s="5"/>
      <c r="K19694" s="5"/>
    </row>
    <row r="19695" spans="1:11" x14ac:dyDescent="0.25">
      <c r="A19695" s="5">
        <f>19688</f>
      </c>
      <c r="B19695" s="5" t="s">
        <v>19703</v>
      </c>
      <c r="C19695" s="5">
        <v>117.4</v>
      </c>
      <c r="D19695" s="5">
        <v>0.1</v>
      </c>
      <c r="E19695" s="5">
        <v>117.6</v>
      </c>
      <c r="F19695" s="5">
        <v>234.9</v>
      </c>
      <c r="G19695" s="5">
        <v>117.2</v>
      </c>
      <c r="H19695" s="5">
        <v>117.1</v>
      </c>
      <c r="I19695" s="5"/>
      <c r="J19695" s="5"/>
      <c r="K19695" s="5"/>
    </row>
    <row r="19696" spans="1:11" x14ac:dyDescent="0.25">
      <c r="A19696" s="5">
        <f>19689</f>
      </c>
      <c r="B19696" s="5" t="s">
        <v>19704</v>
      </c>
      <c r="C19696" s="5">
        <v>117.4</v>
      </c>
      <c r="D19696" s="5">
        <v>0.1</v>
      </c>
      <c r="E19696" s="5">
        <v>117.6</v>
      </c>
      <c r="F19696" s="5">
        <v>234.9</v>
      </c>
      <c r="G19696" s="5">
        <v>117.2</v>
      </c>
      <c r="H19696" s="5">
        <v>117.1</v>
      </c>
      <c r="I19696" s="5"/>
      <c r="J19696" s="5"/>
      <c r="K19696" s="5"/>
    </row>
    <row r="19697" spans="1:11" x14ac:dyDescent="0.25">
      <c r="A19697" s="5">
        <f>19690</f>
      </c>
      <c r="B19697" s="5" t="s">
        <v>19705</v>
      </c>
      <c r="C19697" s="5">
        <v>118.8</v>
      </c>
      <c r="D19697" s="5">
        <v>0.1</v>
      </c>
      <c r="E19697" s="5">
        <v>119</v>
      </c>
      <c r="F19697" s="5">
        <v>237</v>
      </c>
      <c r="G19697" s="5">
        <v>118.3</v>
      </c>
      <c r="H19697" s="5">
        <v>118.1</v>
      </c>
      <c r="I19697" s="5"/>
      <c r="J19697" s="5"/>
      <c r="K19697" s="5"/>
    </row>
    <row r="19698" spans="1:11" x14ac:dyDescent="0.25">
      <c r="A19698" s="5">
        <f>19691</f>
      </c>
      <c r="B19698" s="5" t="s">
        <v>19706</v>
      </c>
      <c r="C19698" s="5">
        <v>118.8</v>
      </c>
      <c r="D19698" s="5">
        <v>0.1</v>
      </c>
      <c r="E19698" s="5">
        <v>119</v>
      </c>
      <c r="F19698" s="5">
        <v>237</v>
      </c>
      <c r="G19698" s="5">
        <v>118.3</v>
      </c>
      <c r="H19698" s="5">
        <v>118.1</v>
      </c>
      <c r="I19698" s="5"/>
      <c r="J19698" s="5"/>
      <c r="K19698" s="5"/>
    </row>
    <row r="19699" spans="1:11" x14ac:dyDescent="0.25">
      <c r="A19699" s="5">
        <f>19692</f>
      </c>
      <c r="B19699" s="5" t="s">
        <v>19707</v>
      </c>
      <c r="C19699" s="5">
        <v>118.9</v>
      </c>
      <c r="D19699" s="5">
        <v>0.1</v>
      </c>
      <c r="E19699" s="5">
        <v>119</v>
      </c>
      <c r="F19699" s="5">
        <v>236.9</v>
      </c>
      <c r="G19699" s="5">
        <v>118.2</v>
      </c>
      <c r="H19699" s="5">
        <v>118.1</v>
      </c>
      <c r="I19699" s="5"/>
      <c r="J19699" s="5"/>
      <c r="K19699" s="5"/>
    </row>
    <row r="19700" spans="1:11" x14ac:dyDescent="0.25">
      <c r="A19700" s="5">
        <f>19693</f>
      </c>
      <c r="B19700" s="5" t="s">
        <v>19708</v>
      </c>
      <c r="C19700" s="5">
        <v>118.9</v>
      </c>
      <c r="D19700" s="5">
        <v>0.1</v>
      </c>
      <c r="E19700" s="5">
        <v>119</v>
      </c>
      <c r="F19700" s="5">
        <v>236.9</v>
      </c>
      <c r="G19700" s="5">
        <v>118.2</v>
      </c>
      <c r="H19700" s="5">
        <v>118.1</v>
      </c>
      <c r="I19700" s="5"/>
      <c r="J19700" s="5"/>
      <c r="K19700" s="5"/>
    </row>
    <row r="19701" spans="1:11" x14ac:dyDescent="0.25">
      <c r="A19701" s="5">
        <f>19694</f>
      </c>
      <c r="B19701" s="5" t="s">
        <v>19709</v>
      </c>
      <c r="C19701" s="5">
        <v>119.2</v>
      </c>
      <c r="D19701" s="5">
        <v>0.1</v>
      </c>
      <c r="E19701" s="5">
        <v>119.3</v>
      </c>
      <c r="F19701" s="5">
        <v>237.2</v>
      </c>
      <c r="G19701" s="5">
        <v>118.4</v>
      </c>
      <c r="H19701" s="5">
        <v>118.3</v>
      </c>
      <c r="I19701" s="5"/>
      <c r="J19701" s="5"/>
      <c r="K19701" s="5"/>
    </row>
    <row r="19702" spans="1:11" x14ac:dyDescent="0.25">
      <c r="A19702" s="5">
        <f>19695</f>
      </c>
      <c r="B19702" s="5" t="s">
        <v>19710</v>
      </c>
      <c r="C19702" s="5">
        <v>119.2</v>
      </c>
      <c r="D19702" s="5">
        <v>0.1</v>
      </c>
      <c r="E19702" s="5">
        <v>119.3</v>
      </c>
      <c r="F19702" s="5">
        <v>237.2</v>
      </c>
      <c r="G19702" s="5">
        <v>118.4</v>
      </c>
      <c r="H19702" s="5">
        <v>118.3</v>
      </c>
      <c r="I19702" s="5"/>
      <c r="J19702" s="5"/>
      <c r="K19702" s="5"/>
    </row>
    <row r="19703" spans="1:11" x14ac:dyDescent="0.25">
      <c r="A19703" s="5">
        <f>19696</f>
      </c>
      <c r="B19703" s="5" t="s">
        <v>19711</v>
      </c>
      <c r="C19703" s="5">
        <v>119.2</v>
      </c>
      <c r="D19703" s="5">
        <v>0.1</v>
      </c>
      <c r="E19703" s="5">
        <v>119.3</v>
      </c>
      <c r="F19703" s="5">
        <v>237.2</v>
      </c>
      <c r="G19703" s="5">
        <v>118.4</v>
      </c>
      <c r="H19703" s="5">
        <v>118.3</v>
      </c>
      <c r="I19703" s="5"/>
      <c r="J19703" s="5"/>
      <c r="K19703" s="5"/>
    </row>
    <row r="19704" spans="1:11" x14ac:dyDescent="0.25">
      <c r="A19704" s="5">
        <f>19697</f>
      </c>
      <c r="B19704" s="5" t="s">
        <v>19712</v>
      </c>
      <c r="C19704" s="5">
        <v>119.2</v>
      </c>
      <c r="D19704" s="5">
        <v>0.1</v>
      </c>
      <c r="E19704" s="5">
        <v>119.3</v>
      </c>
      <c r="F19704" s="5">
        <v>237.2</v>
      </c>
      <c r="G19704" s="5">
        <v>118.4</v>
      </c>
      <c r="H19704" s="5">
        <v>118.3</v>
      </c>
      <c r="I19704" s="5"/>
      <c r="J19704" s="5"/>
      <c r="K19704" s="5"/>
    </row>
    <row r="19705" spans="1:11" x14ac:dyDescent="0.25">
      <c r="A19705" s="5">
        <f>19698</f>
      </c>
      <c r="B19705" s="5" t="s">
        <v>19713</v>
      </c>
      <c r="C19705" s="5">
        <v>118.4</v>
      </c>
      <c r="D19705" s="5">
        <v>0.1</v>
      </c>
      <c r="E19705" s="5">
        <v>118.6</v>
      </c>
      <c r="F19705" s="5">
        <v>237</v>
      </c>
      <c r="G19705" s="5">
        <v>118.2</v>
      </c>
      <c r="H19705" s="5">
        <v>118</v>
      </c>
      <c r="I19705" s="5"/>
      <c r="J19705" s="5"/>
      <c r="K19705" s="5"/>
    </row>
    <row r="19706" spans="1:11" x14ac:dyDescent="0.25">
      <c r="A19706" s="5">
        <f>19699</f>
      </c>
      <c r="B19706" s="5" t="s">
        <v>19714</v>
      </c>
      <c r="C19706" s="5">
        <v>118.4</v>
      </c>
      <c r="D19706" s="5">
        <v>0.1</v>
      </c>
      <c r="E19706" s="5">
        <v>118.6</v>
      </c>
      <c r="F19706" s="5">
        <v>237</v>
      </c>
      <c r="G19706" s="5">
        <v>118.2</v>
      </c>
      <c r="H19706" s="5">
        <v>118</v>
      </c>
      <c r="I19706" s="5"/>
      <c r="J19706" s="5"/>
      <c r="K19706" s="5"/>
    </row>
    <row r="19707" spans="1:11" x14ac:dyDescent="0.25">
      <c r="A19707" s="5">
        <f>19700</f>
      </c>
      <c r="B19707" s="5" t="s">
        <v>19715</v>
      </c>
      <c r="C19707" s="5">
        <v>122.8</v>
      </c>
      <c r="D19707" s="5">
        <v>0.1</v>
      </c>
      <c r="E19707" s="5">
        <v>123</v>
      </c>
      <c r="F19707" s="5">
        <v>245.3</v>
      </c>
      <c r="G19707" s="5">
        <v>122.4</v>
      </c>
      <c r="H19707" s="5">
        <v>122.2</v>
      </c>
      <c r="I19707" s="5"/>
      <c r="J19707" s="5"/>
      <c r="K19707" s="5"/>
    </row>
    <row r="19708" spans="1:11" x14ac:dyDescent="0.25">
      <c r="A19708" s="5">
        <f>19701</f>
      </c>
      <c r="B19708" s="5" t="s">
        <v>19716</v>
      </c>
      <c r="C19708" s="5">
        <v>122.8</v>
      </c>
      <c r="D19708" s="5">
        <v>0.1</v>
      </c>
      <c r="E19708" s="5">
        <v>123</v>
      </c>
      <c r="F19708" s="5">
        <v>245.3</v>
      </c>
      <c r="G19708" s="5">
        <v>122.4</v>
      </c>
      <c r="H19708" s="5">
        <v>122.2</v>
      </c>
      <c r="I19708" s="5"/>
      <c r="J19708" s="5"/>
      <c r="K19708" s="5"/>
    </row>
    <row r="19709" spans="1:11" x14ac:dyDescent="0.25">
      <c r="A19709" s="5">
        <f>19702</f>
      </c>
      <c r="B19709" s="5" t="s">
        <v>19717</v>
      </c>
      <c r="C19709" s="5">
        <v>122.9</v>
      </c>
      <c r="D19709" s="5">
        <v>0.1</v>
      </c>
      <c r="E19709" s="5">
        <v>123.1</v>
      </c>
      <c r="F19709" s="5">
        <v>245.2</v>
      </c>
      <c r="G19709" s="5">
        <v>122.4</v>
      </c>
      <c r="H19709" s="5">
        <v>122.3</v>
      </c>
      <c r="I19709" s="5"/>
      <c r="J19709" s="5"/>
      <c r="K19709" s="5"/>
    </row>
    <row r="19710" spans="1:11" x14ac:dyDescent="0.25">
      <c r="A19710" s="5">
        <f>19703</f>
      </c>
      <c r="B19710" s="5" t="s">
        <v>19718</v>
      </c>
      <c r="C19710" s="5">
        <v>122.9</v>
      </c>
      <c r="D19710" s="5">
        <v>0.1</v>
      </c>
      <c r="E19710" s="5">
        <v>123.1</v>
      </c>
      <c r="F19710" s="5">
        <v>245.2</v>
      </c>
      <c r="G19710" s="5">
        <v>122.4</v>
      </c>
      <c r="H19710" s="5">
        <v>122.3</v>
      </c>
      <c r="I19710" s="5"/>
      <c r="J19710" s="5"/>
      <c r="K19710" s="5"/>
    </row>
    <row r="19711" spans="1:11" x14ac:dyDescent="0.25">
      <c r="A19711" s="5">
        <f>19704</f>
      </c>
      <c r="B19711" s="5" t="s">
        <v>19719</v>
      </c>
      <c r="C19711" s="5">
        <v>122.6</v>
      </c>
      <c r="D19711" s="5">
        <v>0.1</v>
      </c>
      <c r="E19711" s="5">
        <v>122.8</v>
      </c>
      <c r="F19711" s="5">
        <v>245</v>
      </c>
      <c r="G19711" s="5">
        <v>122.3</v>
      </c>
      <c r="H19711" s="5">
        <v>122.1</v>
      </c>
      <c r="I19711" s="5"/>
      <c r="J19711" s="5"/>
      <c r="K19711" s="5"/>
    </row>
    <row r="19712" spans="1:11" x14ac:dyDescent="0.25">
      <c r="A19712" s="5">
        <f>19705</f>
      </c>
      <c r="B19712" s="5" t="s">
        <v>19720</v>
      </c>
      <c r="C19712" s="5">
        <v>122.6</v>
      </c>
      <c r="D19712" s="5">
        <v>0.1</v>
      </c>
      <c r="E19712" s="5">
        <v>122.8</v>
      </c>
      <c r="F19712" s="5">
        <v>245</v>
      </c>
      <c r="G19712" s="5">
        <v>122.3</v>
      </c>
      <c r="H19712" s="5">
        <v>122.1</v>
      </c>
      <c r="I19712" s="5"/>
      <c r="J19712" s="5"/>
      <c r="K19712" s="5"/>
    </row>
    <row r="19713" spans="1:11" x14ac:dyDescent="0.25">
      <c r="A19713" s="5">
        <f>19706</f>
      </c>
      <c r="B19713" s="5" t="s">
        <v>19721</v>
      </c>
      <c r="C19713" s="5">
        <v>122.6</v>
      </c>
      <c r="D19713" s="5">
        <v>0.1</v>
      </c>
      <c r="E19713" s="5">
        <v>122.8</v>
      </c>
      <c r="F19713" s="5">
        <v>245</v>
      </c>
      <c r="G19713" s="5">
        <v>122.3</v>
      </c>
      <c r="H19713" s="5">
        <v>122.1</v>
      </c>
      <c r="I19713" s="5"/>
      <c r="J19713" s="5"/>
      <c r="K19713" s="5"/>
    </row>
    <row r="19714" spans="1:11" x14ac:dyDescent="0.25">
      <c r="A19714" s="5">
        <f>19707</f>
      </c>
      <c r="B19714" s="5" t="s">
        <v>19722</v>
      </c>
      <c r="C19714" s="5">
        <v>122.8</v>
      </c>
      <c r="D19714" s="5">
        <v>0.1</v>
      </c>
      <c r="E19714" s="5">
        <v>122.9</v>
      </c>
      <c r="F19714" s="5">
        <v>244.6</v>
      </c>
      <c r="G19714" s="5">
        <v>122.1</v>
      </c>
      <c r="H19714" s="5">
        <v>121.9</v>
      </c>
      <c r="I19714" s="5"/>
      <c r="J19714" s="5"/>
      <c r="K19714" s="5"/>
    </row>
    <row r="19715" spans="1:11" x14ac:dyDescent="0.25">
      <c r="A19715" s="5">
        <f>19708</f>
      </c>
      <c r="B19715" s="5" t="s">
        <v>19723</v>
      </c>
      <c r="C19715" s="5">
        <v>122.8</v>
      </c>
      <c r="D19715" s="5">
        <v>0.1</v>
      </c>
      <c r="E19715" s="5">
        <v>122.9</v>
      </c>
      <c r="F19715" s="5">
        <v>244.6</v>
      </c>
      <c r="G19715" s="5">
        <v>122.1</v>
      </c>
      <c r="H19715" s="5">
        <v>121.9</v>
      </c>
      <c r="I19715" s="5"/>
      <c r="J19715" s="5"/>
      <c r="K19715" s="5"/>
    </row>
    <row r="19716" spans="1:11" x14ac:dyDescent="0.25">
      <c r="A19716" s="5">
        <f>19709</f>
      </c>
      <c r="B19716" s="5" t="s">
        <v>19724</v>
      </c>
      <c r="C19716" s="5">
        <v>122.3</v>
      </c>
      <c r="D19716" s="5">
        <v>0.1</v>
      </c>
      <c r="E19716" s="5">
        <v>122.5</v>
      </c>
      <c r="F19716" s="5">
        <v>244.7</v>
      </c>
      <c r="G19716" s="5">
        <v>122.1</v>
      </c>
      <c r="H19716" s="5">
        <v>121.9</v>
      </c>
      <c r="I19716" s="5"/>
      <c r="J19716" s="5"/>
      <c r="K19716" s="5"/>
    </row>
    <row r="19717" spans="1:11" x14ac:dyDescent="0.25">
      <c r="A19717" s="5">
        <f>19710</f>
      </c>
      <c r="B19717" s="5" t="s">
        <v>19725</v>
      </c>
      <c r="C19717" s="5">
        <v>122.3</v>
      </c>
      <c r="D19717" s="5">
        <v>0.1</v>
      </c>
      <c r="E19717" s="5">
        <v>122.5</v>
      </c>
      <c r="F19717" s="5">
        <v>244.7</v>
      </c>
      <c r="G19717" s="5">
        <v>122.1</v>
      </c>
      <c r="H19717" s="5">
        <v>121.9</v>
      </c>
      <c r="I19717" s="5"/>
      <c r="J19717" s="5"/>
      <c r="K19717" s="5"/>
    </row>
    <row r="19718" spans="1:11" x14ac:dyDescent="0.25">
      <c r="A19718" s="5">
        <f>19711</f>
      </c>
      <c r="B19718" s="5" t="s">
        <v>19726</v>
      </c>
      <c r="C19718" s="5">
        <v>121.8</v>
      </c>
      <c r="D19718" s="5">
        <v>0.1</v>
      </c>
      <c r="E19718" s="5">
        <v>122</v>
      </c>
      <c r="F19718" s="5">
        <v>243.7</v>
      </c>
      <c r="G19718" s="5">
        <v>121.7</v>
      </c>
      <c r="H19718" s="5">
        <v>121.5</v>
      </c>
      <c r="I19718" s="5"/>
      <c r="J19718" s="5"/>
      <c r="K19718" s="5"/>
    </row>
    <row r="19719" spans="1:11" x14ac:dyDescent="0.25">
      <c r="A19719" s="5">
        <f>19712</f>
      </c>
      <c r="B19719" s="5" t="s">
        <v>19727</v>
      </c>
      <c r="C19719" s="5">
        <v>121.8</v>
      </c>
      <c r="D19719" s="5">
        <v>0.1</v>
      </c>
      <c r="E19719" s="5">
        <v>122</v>
      </c>
      <c r="F19719" s="5">
        <v>243.7</v>
      </c>
      <c r="G19719" s="5">
        <v>121.7</v>
      </c>
      <c r="H19719" s="5">
        <v>121.5</v>
      </c>
      <c r="I19719" s="5"/>
      <c r="J19719" s="5"/>
      <c r="K19719" s="5"/>
    </row>
    <row r="19720" spans="1:11" x14ac:dyDescent="0.25">
      <c r="A19720" s="5">
        <f>19713</f>
      </c>
      <c r="B19720" s="5" t="s">
        <v>19728</v>
      </c>
      <c r="C19720" s="5">
        <v>122.4</v>
      </c>
      <c r="D19720" s="5">
        <v>0.1</v>
      </c>
      <c r="E19720" s="5">
        <v>122.6</v>
      </c>
      <c r="F19720" s="5">
        <v>243.9</v>
      </c>
      <c r="G19720" s="5">
        <v>121.8</v>
      </c>
      <c r="H19720" s="5">
        <v>121.6</v>
      </c>
      <c r="I19720" s="5"/>
      <c r="J19720" s="5"/>
      <c r="K19720" s="5"/>
    </row>
    <row r="19721" spans="1:11" x14ac:dyDescent="0.25">
      <c r="A19721" s="5">
        <f>19714</f>
      </c>
      <c r="B19721" s="5" t="s">
        <v>19729</v>
      </c>
      <c r="C19721" s="5">
        <v>122.4</v>
      </c>
      <c r="D19721" s="5">
        <v>0.1</v>
      </c>
      <c r="E19721" s="5">
        <v>122.6</v>
      </c>
      <c r="F19721" s="5">
        <v>243.9</v>
      </c>
      <c r="G19721" s="5">
        <v>121.8</v>
      </c>
      <c r="H19721" s="5">
        <v>121.6</v>
      </c>
      <c r="I19721" s="5"/>
      <c r="J19721" s="5"/>
      <c r="K19721" s="5"/>
    </row>
    <row r="19722" spans="1:11" x14ac:dyDescent="0.25">
      <c r="A19722" s="5">
        <f>19715</f>
      </c>
      <c r="B19722" s="5" t="s">
        <v>19730</v>
      </c>
      <c r="C19722" s="5">
        <v>122.4</v>
      </c>
      <c r="D19722" s="5">
        <v>0.1</v>
      </c>
      <c r="E19722" s="5">
        <v>122.6</v>
      </c>
      <c r="F19722" s="5">
        <v>243.9</v>
      </c>
      <c r="G19722" s="5">
        <v>121.8</v>
      </c>
      <c r="H19722" s="5">
        <v>121.6</v>
      </c>
      <c r="I19722" s="5"/>
      <c r="J19722" s="5"/>
      <c r="K19722" s="5"/>
    </row>
    <row r="19723" spans="1:11" x14ac:dyDescent="0.25">
      <c r="A19723" s="5">
        <f>19716</f>
      </c>
      <c r="B19723" s="5" t="s">
        <v>19731</v>
      </c>
      <c r="C19723" s="5">
        <v>122.4</v>
      </c>
      <c r="D19723" s="5">
        <v>0.1</v>
      </c>
      <c r="E19723" s="5">
        <v>122.6</v>
      </c>
      <c r="F19723" s="5">
        <v>243.9</v>
      </c>
      <c r="G19723" s="5">
        <v>121.8</v>
      </c>
      <c r="H19723" s="5">
        <v>121.6</v>
      </c>
      <c r="I19723" s="5"/>
      <c r="J19723" s="5"/>
      <c r="K19723" s="5"/>
    </row>
    <row r="19724" spans="1:11" x14ac:dyDescent="0.25">
      <c r="A19724" s="5">
        <f>19717</f>
      </c>
      <c r="B19724" s="5" t="s">
        <v>19732</v>
      </c>
      <c r="C19724" s="5">
        <v>122.4</v>
      </c>
      <c r="D19724" s="5">
        <v>0.1</v>
      </c>
      <c r="E19724" s="5">
        <v>122.6</v>
      </c>
      <c r="F19724" s="5">
        <v>243.9</v>
      </c>
      <c r="G19724" s="5">
        <v>121.8</v>
      </c>
      <c r="H19724" s="5">
        <v>121.6</v>
      </c>
      <c r="I19724" s="5"/>
      <c r="J19724" s="5"/>
      <c r="K19724" s="5"/>
    </row>
    <row r="19725" spans="1:11" x14ac:dyDescent="0.25">
      <c r="A19725" s="5">
        <f>19718</f>
      </c>
      <c r="B19725" s="5" t="s">
        <v>19733</v>
      </c>
      <c r="C19725" s="5">
        <v>122.4</v>
      </c>
      <c r="D19725" s="5">
        <v>0.1</v>
      </c>
      <c r="E19725" s="5">
        <v>122.6</v>
      </c>
      <c r="F19725" s="5">
        <v>243.9</v>
      </c>
      <c r="G19725" s="5">
        <v>121.8</v>
      </c>
      <c r="H19725" s="5">
        <v>121.6</v>
      </c>
      <c r="I19725" s="5"/>
      <c r="J19725" s="5"/>
      <c r="K19725" s="5"/>
    </row>
    <row r="19726" spans="1:11" x14ac:dyDescent="0.25">
      <c r="A19726" s="5">
        <f>19719</f>
      </c>
      <c r="B19726" s="5" t="s">
        <v>19734</v>
      </c>
      <c r="C19726" s="5">
        <v>122.8</v>
      </c>
      <c r="D19726" s="5">
        <v>0.1</v>
      </c>
      <c r="E19726" s="5">
        <v>122.9</v>
      </c>
      <c r="F19726" s="5">
        <v>245.7</v>
      </c>
      <c r="G19726" s="5">
        <v>122.6</v>
      </c>
      <c r="H19726" s="5">
        <v>122.4</v>
      </c>
      <c r="I19726" s="5"/>
      <c r="J19726" s="5"/>
      <c r="K19726" s="5"/>
    </row>
    <row r="19727" spans="1:11" x14ac:dyDescent="0.25">
      <c r="A19727" s="5">
        <f>19720</f>
      </c>
      <c r="B19727" s="5" t="s">
        <v>19735</v>
      </c>
      <c r="C19727" s="5">
        <v>122.8</v>
      </c>
      <c r="D19727" s="5">
        <v>0.1</v>
      </c>
      <c r="E19727" s="5">
        <v>122.9</v>
      </c>
      <c r="F19727" s="5">
        <v>245.7</v>
      </c>
      <c r="G19727" s="5">
        <v>122.6</v>
      </c>
      <c r="H19727" s="5">
        <v>122.4</v>
      </c>
      <c r="I19727" s="5"/>
      <c r="J19727" s="5"/>
      <c r="K19727" s="5"/>
    </row>
    <row r="19728" spans="1:11" x14ac:dyDescent="0.25">
      <c r="A19728" s="5">
        <f>19721</f>
      </c>
      <c r="B19728" s="5" t="s">
        <v>19736</v>
      </c>
      <c r="C19728" s="5">
        <v>122.6</v>
      </c>
      <c r="D19728" s="5">
        <v>0.1</v>
      </c>
      <c r="E19728" s="5">
        <v>122.8</v>
      </c>
      <c r="F19728" s="5">
        <v>245.7</v>
      </c>
      <c r="G19728" s="5">
        <v>122.6</v>
      </c>
      <c r="H19728" s="5">
        <v>122.4</v>
      </c>
      <c r="I19728" s="5"/>
      <c r="J19728" s="5"/>
      <c r="K19728" s="5"/>
    </row>
    <row r="19729" spans="1:11" x14ac:dyDescent="0.25">
      <c r="A19729" s="5">
        <f>19722</f>
      </c>
      <c r="B19729" s="5" t="s">
        <v>19737</v>
      </c>
      <c r="C19729" s="5">
        <v>122.6</v>
      </c>
      <c r="D19729" s="5">
        <v>0.1</v>
      </c>
      <c r="E19729" s="5">
        <v>122.8</v>
      </c>
      <c r="F19729" s="5">
        <v>245.7</v>
      </c>
      <c r="G19729" s="5">
        <v>122.6</v>
      </c>
      <c r="H19729" s="5">
        <v>122.4</v>
      </c>
      <c r="I19729" s="5"/>
      <c r="J19729" s="5"/>
      <c r="K19729" s="5"/>
    </row>
    <row r="19730" spans="1:11" x14ac:dyDescent="0.25">
      <c r="A19730" s="5">
        <f>19723</f>
      </c>
      <c r="B19730" s="5" t="s">
        <v>19738</v>
      </c>
      <c r="C19730" s="5">
        <v>122.5</v>
      </c>
      <c r="D19730" s="5">
        <v>0.1</v>
      </c>
      <c r="E19730" s="5">
        <v>122.7</v>
      </c>
      <c r="F19730" s="5">
        <v>245.2</v>
      </c>
      <c r="G19730" s="5">
        <v>122.3</v>
      </c>
      <c r="H19730" s="5">
        <v>122.1</v>
      </c>
      <c r="I19730" s="5"/>
      <c r="J19730" s="5"/>
      <c r="K19730" s="5"/>
    </row>
    <row r="19731" spans="1:11" x14ac:dyDescent="0.25">
      <c r="A19731" s="5">
        <f>19724</f>
      </c>
      <c r="B19731" s="5" t="s">
        <v>19739</v>
      </c>
      <c r="C19731" s="5">
        <v>122.5</v>
      </c>
      <c r="D19731" s="5">
        <v>0.1</v>
      </c>
      <c r="E19731" s="5">
        <v>122.7</v>
      </c>
      <c r="F19731" s="5">
        <v>245.2</v>
      </c>
      <c r="G19731" s="5">
        <v>122.3</v>
      </c>
      <c r="H19731" s="5">
        <v>122.1</v>
      </c>
      <c r="I19731" s="5"/>
      <c r="J19731" s="5"/>
      <c r="K19731" s="5"/>
    </row>
    <row r="19732" spans="1:11" x14ac:dyDescent="0.25">
      <c r="A19732" s="5">
        <f>19725</f>
      </c>
      <c r="B19732" s="5" t="s">
        <v>19740</v>
      </c>
      <c r="C19732" s="5">
        <v>122.5</v>
      </c>
      <c r="D19732" s="5">
        <v>0.1</v>
      </c>
      <c r="E19732" s="5">
        <v>122.7</v>
      </c>
      <c r="F19732" s="5">
        <v>245.2</v>
      </c>
      <c r="G19732" s="5">
        <v>122.3</v>
      </c>
      <c r="H19732" s="5">
        <v>122.1</v>
      </c>
      <c r="I19732" s="5"/>
      <c r="J19732" s="5"/>
      <c r="K19732" s="5"/>
    </row>
    <row r="19733" spans="1:11" x14ac:dyDescent="0.25">
      <c r="A19733" s="5">
        <f>19726</f>
      </c>
      <c r="B19733" s="5" t="s">
        <v>19741</v>
      </c>
      <c r="C19733" s="5">
        <v>122.5</v>
      </c>
      <c r="D19733" s="5">
        <v>0.1</v>
      </c>
      <c r="E19733" s="5">
        <v>122.7</v>
      </c>
      <c r="F19733" s="5">
        <v>245.2</v>
      </c>
      <c r="G19733" s="5">
        <v>122.3</v>
      </c>
      <c r="H19733" s="5">
        <v>122.1</v>
      </c>
      <c r="I19733" s="5"/>
      <c r="J19733" s="5"/>
      <c r="K19733" s="5"/>
    </row>
    <row r="19734" spans="1:11" x14ac:dyDescent="0.25">
      <c r="A19734" s="5">
        <f>19727</f>
      </c>
      <c r="B19734" s="5" t="s">
        <v>19742</v>
      </c>
      <c r="C19734" s="5">
        <v>122.8</v>
      </c>
      <c r="D19734" s="5">
        <v>0.1</v>
      </c>
      <c r="E19734" s="5">
        <v>122.9</v>
      </c>
      <c r="F19734" s="5">
        <v>244.8</v>
      </c>
      <c r="G19734" s="5">
        <v>122.2</v>
      </c>
      <c r="H19734" s="5">
        <v>122</v>
      </c>
      <c r="I19734" s="5"/>
      <c r="J19734" s="5"/>
      <c r="K19734" s="5"/>
    </row>
    <row r="19735" spans="1:11" x14ac:dyDescent="0.25">
      <c r="A19735" s="5">
        <f>19728</f>
      </c>
      <c r="B19735" s="5" t="s">
        <v>19743</v>
      </c>
      <c r="C19735" s="5">
        <v>122.8</v>
      </c>
      <c r="D19735" s="5">
        <v>0.1</v>
      </c>
      <c r="E19735" s="5">
        <v>122.9</v>
      </c>
      <c r="F19735" s="5">
        <v>244.8</v>
      </c>
      <c r="G19735" s="5">
        <v>122.2</v>
      </c>
      <c r="H19735" s="5">
        <v>122</v>
      </c>
      <c r="I19735" s="5"/>
      <c r="J19735" s="5"/>
      <c r="K19735" s="5"/>
    </row>
    <row r="19736" spans="1:11" x14ac:dyDescent="0.25">
      <c r="A19736" s="5">
        <f>19729</f>
      </c>
      <c r="B19736" s="5" t="s">
        <v>19744</v>
      </c>
      <c r="C19736" s="5">
        <v>122.5</v>
      </c>
      <c r="D19736" s="5">
        <v>0.1</v>
      </c>
      <c r="E19736" s="5">
        <v>122.7</v>
      </c>
      <c r="F19736" s="5">
        <v>244.6</v>
      </c>
      <c r="G19736" s="5">
        <v>122.1</v>
      </c>
      <c r="H19736" s="5">
        <v>121.9</v>
      </c>
      <c r="I19736" s="5"/>
      <c r="J19736" s="5"/>
      <c r="K19736" s="5"/>
    </row>
    <row r="19737" spans="1:11" x14ac:dyDescent="0.25">
      <c r="A19737" s="5">
        <f>19730</f>
      </c>
      <c r="B19737" s="5" t="s">
        <v>19745</v>
      </c>
      <c r="C19737" s="5">
        <v>122.5</v>
      </c>
      <c r="D19737" s="5">
        <v>0.1</v>
      </c>
      <c r="E19737" s="5">
        <v>122.7</v>
      </c>
      <c r="F19737" s="5">
        <v>244.6</v>
      </c>
      <c r="G19737" s="5">
        <v>122.1</v>
      </c>
      <c r="H19737" s="5">
        <v>121.9</v>
      </c>
      <c r="I19737" s="5"/>
      <c r="J19737" s="5"/>
      <c r="K19737" s="5"/>
    </row>
    <row r="19738" spans="1:11" x14ac:dyDescent="0.25">
      <c r="A19738" s="5">
        <f>19731</f>
      </c>
      <c r="B19738" s="5" t="s">
        <v>19746</v>
      </c>
      <c r="C19738" s="5">
        <v>122.3</v>
      </c>
      <c r="D19738" s="5">
        <v>0.1</v>
      </c>
      <c r="E19738" s="5">
        <v>122.5</v>
      </c>
      <c r="F19738" s="5">
        <v>244.5</v>
      </c>
      <c r="G19738" s="5">
        <v>122</v>
      </c>
      <c r="H19738" s="5">
        <v>121.8</v>
      </c>
      <c r="I19738" s="5"/>
      <c r="J19738" s="5"/>
      <c r="K19738" s="5"/>
    </row>
    <row r="19739" spans="1:11" x14ac:dyDescent="0.25">
      <c r="A19739" s="5">
        <f>19732</f>
      </c>
      <c r="B19739" s="5" t="s">
        <v>19747</v>
      </c>
      <c r="C19739" s="5">
        <v>122.3</v>
      </c>
      <c r="D19739" s="5">
        <v>0.1</v>
      </c>
      <c r="E19739" s="5">
        <v>122.5</v>
      </c>
      <c r="F19739" s="5">
        <v>244.5</v>
      </c>
      <c r="G19739" s="5">
        <v>122</v>
      </c>
      <c r="H19739" s="5">
        <v>121.8</v>
      </c>
      <c r="I19739" s="5"/>
      <c r="J19739" s="5"/>
      <c r="K19739" s="5"/>
    </row>
    <row r="19740" spans="1:11" x14ac:dyDescent="0.25">
      <c r="A19740" s="5">
        <f>19733</f>
      </c>
      <c r="B19740" s="5" t="s">
        <v>19748</v>
      </c>
      <c r="C19740" s="5">
        <v>122.5</v>
      </c>
      <c r="D19740" s="5">
        <v>0.1</v>
      </c>
      <c r="E19740" s="5">
        <v>122.7</v>
      </c>
      <c r="F19740" s="5">
        <v>244.9</v>
      </c>
      <c r="G19740" s="5">
        <v>122.2</v>
      </c>
      <c r="H19740" s="5">
        <v>122.1</v>
      </c>
      <c r="I19740" s="5"/>
      <c r="J19740" s="5"/>
      <c r="K19740" s="5"/>
    </row>
    <row r="19741" spans="1:11" x14ac:dyDescent="0.25">
      <c r="A19741" s="5">
        <f>19734</f>
      </c>
      <c r="B19741" s="5" t="s">
        <v>19749</v>
      </c>
      <c r="C19741" s="5">
        <v>122.5</v>
      </c>
      <c r="D19741" s="5">
        <v>0.1</v>
      </c>
      <c r="E19741" s="5">
        <v>122.7</v>
      </c>
      <c r="F19741" s="5">
        <v>244.9</v>
      </c>
      <c r="G19741" s="5">
        <v>122.2</v>
      </c>
      <c r="H19741" s="5">
        <v>122.1</v>
      </c>
      <c r="I19741" s="5"/>
      <c r="J19741" s="5"/>
      <c r="K19741" s="5"/>
    </row>
    <row r="19742" spans="1:11" x14ac:dyDescent="0.25">
      <c r="A19742" s="5">
        <f>19735</f>
      </c>
      <c r="B19742" s="5" t="s">
        <v>19750</v>
      </c>
      <c r="C19742" s="5">
        <v>122.5</v>
      </c>
      <c r="D19742" s="5">
        <v>0.1</v>
      </c>
      <c r="E19742" s="5">
        <v>122.7</v>
      </c>
      <c r="F19742" s="5">
        <v>244.9</v>
      </c>
      <c r="G19742" s="5">
        <v>122.2</v>
      </c>
      <c r="H19742" s="5">
        <v>122.1</v>
      </c>
      <c r="I19742" s="5"/>
      <c r="J19742" s="5"/>
      <c r="K19742" s="5"/>
    </row>
    <row r="19743" spans="1:11" x14ac:dyDescent="0.25">
      <c r="A19743" s="5">
        <f>19736</f>
      </c>
      <c r="B19743" s="5" t="s">
        <v>19751</v>
      </c>
      <c r="C19743" s="5">
        <v>122.5</v>
      </c>
      <c r="D19743" s="5">
        <v>0.1</v>
      </c>
      <c r="E19743" s="5">
        <v>122.7</v>
      </c>
      <c r="F19743" s="5">
        <v>244.9</v>
      </c>
      <c r="G19743" s="5">
        <v>122.2</v>
      </c>
      <c r="H19743" s="5">
        <v>122.1</v>
      </c>
      <c r="I19743" s="5"/>
      <c r="J19743" s="5"/>
      <c r="K19743" s="5"/>
    </row>
    <row r="19744" spans="1:11" x14ac:dyDescent="0.25">
      <c r="A19744" s="5">
        <f>19737</f>
      </c>
      <c r="B19744" s="5" t="s">
        <v>19752</v>
      </c>
      <c r="C19744" s="5">
        <v>122.8</v>
      </c>
      <c r="D19744" s="5">
        <v>0.1</v>
      </c>
      <c r="E19744" s="5">
        <v>122.9</v>
      </c>
      <c r="F19744" s="5">
        <v>244.8</v>
      </c>
      <c r="G19744" s="5">
        <v>122.2</v>
      </c>
      <c r="H19744" s="5">
        <v>122</v>
      </c>
      <c r="I19744" s="5"/>
      <c r="J19744" s="5"/>
      <c r="K19744" s="5"/>
    </row>
    <row r="19745" spans="1:11" x14ac:dyDescent="0.25">
      <c r="A19745" s="5">
        <f>19738</f>
      </c>
      <c r="B19745" s="5" t="s">
        <v>19753</v>
      </c>
      <c r="C19745" s="5">
        <v>122.8</v>
      </c>
      <c r="D19745" s="5">
        <v>0.1</v>
      </c>
      <c r="E19745" s="5">
        <v>122.9</v>
      </c>
      <c r="F19745" s="5">
        <v>244.8</v>
      </c>
      <c r="G19745" s="5">
        <v>122.2</v>
      </c>
      <c r="H19745" s="5">
        <v>122</v>
      </c>
      <c r="I19745" s="5"/>
      <c r="J19745" s="5"/>
      <c r="K19745" s="5"/>
    </row>
    <row r="19746" spans="1:11" x14ac:dyDescent="0.25">
      <c r="A19746" s="5">
        <f>19739</f>
      </c>
      <c r="B19746" s="5" t="s">
        <v>19754</v>
      </c>
      <c r="C19746" s="5">
        <v>122.4</v>
      </c>
      <c r="D19746" s="5">
        <v>0.1</v>
      </c>
      <c r="E19746" s="5">
        <v>122.5</v>
      </c>
      <c r="F19746" s="5">
        <v>244.6</v>
      </c>
      <c r="G19746" s="5">
        <v>122.1</v>
      </c>
      <c r="H19746" s="5">
        <v>121.9</v>
      </c>
      <c r="I19746" s="5"/>
      <c r="J19746" s="5"/>
      <c r="K19746" s="5"/>
    </row>
    <row r="19747" spans="1:11" x14ac:dyDescent="0.25">
      <c r="A19747" s="5">
        <f>19740</f>
      </c>
      <c r="B19747" s="5" t="s">
        <v>19755</v>
      </c>
      <c r="C19747" s="5">
        <v>122.4</v>
      </c>
      <c r="D19747" s="5">
        <v>0.1</v>
      </c>
      <c r="E19747" s="5">
        <v>122.5</v>
      </c>
      <c r="F19747" s="5">
        <v>244.6</v>
      </c>
      <c r="G19747" s="5">
        <v>122.1</v>
      </c>
      <c r="H19747" s="5">
        <v>121.9</v>
      </c>
      <c r="I19747" s="5"/>
      <c r="J19747" s="5"/>
      <c r="K19747" s="5"/>
    </row>
    <row r="19748" spans="1:11" x14ac:dyDescent="0.25">
      <c r="A19748" s="5">
        <f>19741</f>
      </c>
      <c r="B19748" s="5" t="s">
        <v>19756</v>
      </c>
      <c r="C19748" s="5">
        <v>122.1</v>
      </c>
      <c r="D19748" s="5">
        <v>0.1</v>
      </c>
      <c r="E19748" s="5">
        <v>122.3</v>
      </c>
      <c r="F19748" s="5">
        <v>244.7</v>
      </c>
      <c r="G19748" s="5">
        <v>122.1</v>
      </c>
      <c r="H19748" s="5">
        <v>121.9</v>
      </c>
      <c r="I19748" s="5"/>
      <c r="J19748" s="5"/>
      <c r="K19748" s="5"/>
    </row>
    <row r="19749" spans="1:11" x14ac:dyDescent="0.25">
      <c r="A19749" s="5">
        <f>19742</f>
      </c>
      <c r="B19749" s="5" t="s">
        <v>19757</v>
      </c>
      <c r="C19749" s="5">
        <v>122.1</v>
      </c>
      <c r="D19749" s="5">
        <v>0.1</v>
      </c>
      <c r="E19749" s="5">
        <v>122.3</v>
      </c>
      <c r="F19749" s="5">
        <v>244.7</v>
      </c>
      <c r="G19749" s="5">
        <v>122.1</v>
      </c>
      <c r="H19749" s="5">
        <v>121.9</v>
      </c>
      <c r="I19749" s="5"/>
      <c r="J19749" s="5"/>
      <c r="K19749" s="5"/>
    </row>
    <row r="19750" spans="1:11" x14ac:dyDescent="0.25">
      <c r="A19750" s="5">
        <f>19743</f>
      </c>
      <c r="B19750" s="5" t="s">
        <v>19758</v>
      </c>
      <c r="C19750" s="5">
        <v>122.1</v>
      </c>
      <c r="D19750" s="5">
        <v>0.1</v>
      </c>
      <c r="E19750" s="5">
        <v>122.5</v>
      </c>
      <c r="F19750" s="5">
        <v>244.3</v>
      </c>
      <c r="G19750" s="5">
        <v>121.9</v>
      </c>
      <c r="H19750" s="5">
        <v>121.7</v>
      </c>
      <c r="I19750" s="5"/>
      <c r="J19750" s="5"/>
      <c r="K19750" s="5"/>
    </row>
    <row r="19751" spans="1:11" x14ac:dyDescent="0.25">
      <c r="A19751" s="5">
        <f>19744</f>
      </c>
      <c r="B19751" s="5" t="s">
        <v>19759</v>
      </c>
      <c r="C19751" s="5">
        <v>122.4</v>
      </c>
      <c r="D19751" s="5">
        <v>0.1</v>
      </c>
      <c r="E19751" s="5">
        <v>122.5</v>
      </c>
      <c r="F19751" s="5">
        <v>244.3</v>
      </c>
      <c r="G19751" s="5">
        <v>121.9</v>
      </c>
      <c r="H19751" s="5">
        <v>121.7</v>
      </c>
      <c r="I19751" s="5"/>
      <c r="J19751" s="5"/>
      <c r="K19751" s="5"/>
    </row>
    <row r="19752" spans="1:11" x14ac:dyDescent="0.25">
      <c r="A19752" s="5">
        <f>19745</f>
      </c>
      <c r="B19752" s="5" t="s">
        <v>19760</v>
      </c>
      <c r="C19752" s="5">
        <v>122.4</v>
      </c>
      <c r="D19752" s="5">
        <v>0.1</v>
      </c>
      <c r="E19752" s="5">
        <v>122.5</v>
      </c>
      <c r="F19752" s="5">
        <v>244.3</v>
      </c>
      <c r="G19752" s="5">
        <v>121.9</v>
      </c>
      <c r="H19752" s="5">
        <v>121.7</v>
      </c>
      <c r="I19752" s="5"/>
      <c r="J19752" s="5"/>
      <c r="K19752" s="5"/>
    </row>
    <row r="19753" spans="1:11" x14ac:dyDescent="0.25">
      <c r="A19753" s="5">
        <f>19746</f>
      </c>
      <c r="B19753" s="5" t="s">
        <v>19761</v>
      </c>
      <c r="C19753" s="5">
        <v>122.4</v>
      </c>
      <c r="D19753" s="5">
        <v>0.1</v>
      </c>
      <c r="E19753" s="5">
        <v>122.5</v>
      </c>
      <c r="F19753" s="5">
        <v>244.3</v>
      </c>
      <c r="G19753" s="5">
        <v>121.9</v>
      </c>
      <c r="H19753" s="5">
        <v>121.7</v>
      </c>
      <c r="I19753" s="5"/>
      <c r="J19753" s="5"/>
      <c r="K19753" s="5"/>
    </row>
    <row r="19754" spans="1:11" x14ac:dyDescent="0.25">
      <c r="A19754" s="5">
        <f>19747</f>
      </c>
      <c r="B19754" s="5" t="s">
        <v>19762</v>
      </c>
      <c r="C19754" s="5">
        <v>122.5</v>
      </c>
      <c r="D19754" s="5">
        <v>0.1</v>
      </c>
      <c r="E19754" s="5">
        <v>122.7</v>
      </c>
      <c r="F19754" s="5">
        <v>244.4</v>
      </c>
      <c r="G19754" s="5">
        <v>122</v>
      </c>
      <c r="H19754" s="5">
        <v>121.8</v>
      </c>
      <c r="I19754" s="5"/>
      <c r="J19754" s="5"/>
      <c r="K19754" s="5"/>
    </row>
    <row r="19755" spans="1:11" x14ac:dyDescent="0.25">
      <c r="A19755" s="5">
        <f>19748</f>
      </c>
      <c r="B19755" s="5" t="s">
        <v>19763</v>
      </c>
      <c r="C19755" s="5">
        <v>122.5</v>
      </c>
      <c r="D19755" s="5">
        <v>0.1</v>
      </c>
      <c r="E19755" s="5">
        <v>122.7</v>
      </c>
      <c r="F19755" s="5">
        <v>244.4</v>
      </c>
      <c r="G19755" s="5">
        <v>122</v>
      </c>
      <c r="H19755" s="5">
        <v>121.8</v>
      </c>
      <c r="I19755" s="5"/>
      <c r="J19755" s="5"/>
      <c r="K19755" s="5"/>
    </row>
    <row r="19756" spans="1:11" x14ac:dyDescent="0.25">
      <c r="A19756" s="5">
        <f>19749</f>
      </c>
      <c r="B19756" s="5" t="s">
        <v>19764</v>
      </c>
      <c r="C19756" s="5">
        <v>122.5</v>
      </c>
      <c r="D19756" s="5">
        <v>0.1</v>
      </c>
      <c r="E19756" s="5">
        <v>122.6</v>
      </c>
      <c r="F19756" s="5">
        <v>244.2</v>
      </c>
      <c r="G19756" s="5">
        <v>121.9</v>
      </c>
      <c r="H19756" s="5">
        <v>121.7</v>
      </c>
      <c r="I19756" s="5"/>
      <c r="J19756" s="5"/>
      <c r="K19756" s="5"/>
    </row>
    <row r="19757" spans="1:11" x14ac:dyDescent="0.25">
      <c r="A19757" s="5">
        <f>19750</f>
      </c>
      <c r="B19757" s="5" t="s">
        <v>19765</v>
      </c>
      <c r="C19757" s="5">
        <v>122.5</v>
      </c>
      <c r="D19757" s="5">
        <v>0.1</v>
      </c>
      <c r="E19757" s="5">
        <v>122.6</v>
      </c>
      <c r="F19757" s="5">
        <v>244.2</v>
      </c>
      <c r="G19757" s="5">
        <v>121.9</v>
      </c>
      <c r="H19757" s="5">
        <v>121.7</v>
      </c>
      <c r="I19757" s="5"/>
      <c r="J19757" s="5"/>
      <c r="K19757" s="5"/>
    </row>
    <row r="19758" spans="1:11" x14ac:dyDescent="0.25">
      <c r="A19758" s="5">
        <f>19751</f>
      </c>
      <c r="B19758" s="5" t="s">
        <v>19766</v>
      </c>
      <c r="C19758" s="5">
        <v>122.2</v>
      </c>
      <c r="D19758" s="5">
        <v>0.1</v>
      </c>
      <c r="E19758" s="5">
        <v>122.4</v>
      </c>
      <c r="F19758" s="5">
        <v>244.2</v>
      </c>
      <c r="G19758" s="5">
        <v>121.9</v>
      </c>
      <c r="H19758" s="5">
        <v>121.7</v>
      </c>
      <c r="I19758" s="5"/>
      <c r="J19758" s="5"/>
      <c r="K19758" s="5"/>
    </row>
    <row r="19759" spans="1:11" x14ac:dyDescent="0.25">
      <c r="A19759" s="5">
        <f>19752</f>
      </c>
      <c r="B19759" s="5" t="s">
        <v>19767</v>
      </c>
      <c r="C19759" s="5">
        <v>122.2</v>
      </c>
      <c r="D19759" s="5">
        <v>0.1</v>
      </c>
      <c r="E19759" s="5">
        <v>122.4</v>
      </c>
      <c r="F19759" s="5">
        <v>244.2</v>
      </c>
      <c r="G19759" s="5">
        <v>121.9</v>
      </c>
      <c r="H19759" s="5">
        <v>121.7</v>
      </c>
      <c r="I19759" s="5"/>
      <c r="J19759" s="5"/>
      <c r="K19759" s="5"/>
    </row>
    <row r="19760" spans="1:11" x14ac:dyDescent="0.25">
      <c r="A19760" s="5">
        <f>19753</f>
      </c>
      <c r="B19760" s="5" t="s">
        <v>19768</v>
      </c>
      <c r="C19760" s="5">
        <v>122.3</v>
      </c>
      <c r="D19760" s="5">
        <v>0.1</v>
      </c>
      <c r="E19760" s="5">
        <v>122.5</v>
      </c>
      <c r="F19760" s="5">
        <v>244.4</v>
      </c>
      <c r="G19760" s="5">
        <v>121.9</v>
      </c>
      <c r="H19760" s="5">
        <v>121.7</v>
      </c>
      <c r="I19760" s="5"/>
      <c r="J19760" s="5"/>
      <c r="K19760" s="5"/>
    </row>
    <row r="19761" spans="1:11" x14ac:dyDescent="0.25">
      <c r="A19761" s="5">
        <f>19754</f>
      </c>
      <c r="B19761" s="5" t="s">
        <v>19769</v>
      </c>
      <c r="C19761" s="5">
        <v>122.3</v>
      </c>
      <c r="D19761" s="5">
        <v>0.1</v>
      </c>
      <c r="E19761" s="5">
        <v>122.5</v>
      </c>
      <c r="F19761" s="5">
        <v>244.4</v>
      </c>
      <c r="G19761" s="5">
        <v>121.9</v>
      </c>
      <c r="H19761" s="5">
        <v>121.7</v>
      </c>
      <c r="I19761" s="5"/>
      <c r="J19761" s="5"/>
      <c r="K19761" s="5"/>
    </row>
    <row r="19762" spans="1:11" x14ac:dyDescent="0.25">
      <c r="A19762" s="5">
        <f>19755</f>
      </c>
      <c r="B19762" s="5" t="s">
        <v>19770</v>
      </c>
      <c r="C19762" s="5">
        <v>122.3</v>
      </c>
      <c r="D19762" s="5">
        <v>0.1</v>
      </c>
      <c r="E19762" s="5">
        <v>122.5</v>
      </c>
      <c r="F19762" s="5">
        <v>244.4</v>
      </c>
      <c r="G19762" s="5">
        <v>121.9</v>
      </c>
      <c r="H19762" s="5">
        <v>121.7</v>
      </c>
      <c r="I19762" s="5"/>
      <c r="J19762" s="5"/>
      <c r="K19762" s="5"/>
    </row>
    <row r="19763" spans="1:11" x14ac:dyDescent="0.25">
      <c r="A19763" s="5">
        <f>19756</f>
      </c>
      <c r="B19763" s="5" t="s">
        <v>19771</v>
      </c>
      <c r="C19763" s="5">
        <v>122.3</v>
      </c>
      <c r="D19763" s="5">
        <v>0.1</v>
      </c>
      <c r="E19763" s="5">
        <v>122.5</v>
      </c>
      <c r="F19763" s="5">
        <v>244.4</v>
      </c>
      <c r="G19763" s="5">
        <v>121.9</v>
      </c>
      <c r="H19763" s="5">
        <v>121.7</v>
      </c>
      <c r="I19763" s="5"/>
      <c r="J19763" s="5"/>
      <c r="K19763" s="5"/>
    </row>
    <row r="19764" spans="1:11" x14ac:dyDescent="0.25">
      <c r="A19764" s="5">
        <f>19757</f>
      </c>
      <c r="B19764" s="5" t="s">
        <v>19772</v>
      </c>
      <c r="C19764" s="5">
        <v>122.5</v>
      </c>
      <c r="D19764" s="5">
        <v>0.1</v>
      </c>
      <c r="E19764" s="5">
        <v>122.6</v>
      </c>
      <c r="F19764" s="5">
        <v>244.3</v>
      </c>
      <c r="G19764" s="5">
        <v>121.9</v>
      </c>
      <c r="H19764" s="5">
        <v>121.8</v>
      </c>
      <c r="I19764" s="5"/>
      <c r="J19764" s="5"/>
      <c r="K19764" s="5"/>
    </row>
    <row r="19765" spans="1:11" x14ac:dyDescent="0.25">
      <c r="A19765" s="5">
        <f>19758</f>
      </c>
      <c r="B19765" s="5" t="s">
        <v>19773</v>
      </c>
      <c r="C19765" s="5">
        <v>122.5</v>
      </c>
      <c r="D19765" s="5">
        <v>0.1</v>
      </c>
      <c r="E19765" s="5">
        <v>122.6</v>
      </c>
      <c r="F19765" s="5">
        <v>244.3</v>
      </c>
      <c r="G19765" s="5">
        <v>121.9</v>
      </c>
      <c r="H19765" s="5">
        <v>121.8</v>
      </c>
      <c r="I19765" s="5"/>
      <c r="J19765" s="5"/>
      <c r="K19765" s="5"/>
    </row>
    <row r="19766" spans="1:11" x14ac:dyDescent="0.25">
      <c r="A19766" s="5">
        <f>19759</f>
      </c>
      <c r="B19766" s="5" t="s">
        <v>19774</v>
      </c>
      <c r="C19766" s="5">
        <v>122.3</v>
      </c>
      <c r="D19766" s="5">
        <v>0.1</v>
      </c>
      <c r="E19766" s="5">
        <v>122.5</v>
      </c>
      <c r="F19766" s="5">
        <v>244.6</v>
      </c>
      <c r="G19766" s="5">
        <v>122.1</v>
      </c>
      <c r="H19766" s="5">
        <v>121.9</v>
      </c>
      <c r="I19766" s="5"/>
      <c r="J19766" s="5"/>
      <c r="K19766" s="5"/>
    </row>
    <row r="19767" spans="1:11" x14ac:dyDescent="0.25">
      <c r="A19767" s="5">
        <f>19760</f>
      </c>
      <c r="B19767" s="5" t="s">
        <v>19775</v>
      </c>
      <c r="C19767" s="5">
        <v>122.3</v>
      </c>
      <c r="D19767" s="5">
        <v>0.1</v>
      </c>
      <c r="E19767" s="5">
        <v>122.5</v>
      </c>
      <c r="F19767" s="5">
        <v>244.6</v>
      </c>
      <c r="G19767" s="5">
        <v>122.1</v>
      </c>
      <c r="H19767" s="5">
        <v>121.9</v>
      </c>
      <c r="I19767" s="5"/>
      <c r="J19767" s="5"/>
      <c r="K19767" s="5"/>
    </row>
    <row r="19768" spans="1:11" x14ac:dyDescent="0.25">
      <c r="A19768" s="5">
        <f>19761</f>
      </c>
      <c r="B19768" s="5" t="s">
        <v>19776</v>
      </c>
      <c r="C19768" s="5">
        <v>122.8</v>
      </c>
      <c r="D19768" s="5">
        <v>0.1</v>
      </c>
      <c r="E19768" s="5">
        <v>123</v>
      </c>
      <c r="F19768" s="5">
        <v>244.5</v>
      </c>
      <c r="G19768" s="5">
        <v>122.1</v>
      </c>
      <c r="H19768" s="5">
        <v>121.9</v>
      </c>
      <c r="I19768" s="5"/>
      <c r="J19768" s="5"/>
      <c r="K19768" s="5"/>
    </row>
    <row r="19769" spans="1:11" x14ac:dyDescent="0.25">
      <c r="A19769" s="5">
        <f>19762</f>
      </c>
      <c r="B19769" s="5" t="s">
        <v>19777</v>
      </c>
      <c r="C19769" s="5">
        <v>122.8</v>
      </c>
      <c r="D19769" s="5">
        <v>0.1</v>
      </c>
      <c r="E19769" s="5">
        <v>123</v>
      </c>
      <c r="F19769" s="5">
        <v>244.5</v>
      </c>
      <c r="G19769" s="5">
        <v>122.1</v>
      </c>
      <c r="H19769" s="5">
        <v>121.9</v>
      </c>
      <c r="I19769" s="5"/>
      <c r="J19769" s="5"/>
      <c r="K19769" s="5"/>
    </row>
    <row r="19770" spans="1:11" x14ac:dyDescent="0.25">
      <c r="A19770" s="5">
        <f>19763</f>
      </c>
      <c r="B19770" s="5" t="s">
        <v>19778</v>
      </c>
      <c r="C19770" s="5">
        <v>122.8</v>
      </c>
      <c r="D19770" s="5">
        <v>0.1</v>
      </c>
      <c r="E19770" s="5">
        <v>123</v>
      </c>
      <c r="F19770" s="5">
        <v>244.5</v>
      </c>
      <c r="G19770" s="5">
        <v>122</v>
      </c>
      <c r="H19770" s="5">
        <v>121.9</v>
      </c>
      <c r="I19770" s="5"/>
      <c r="J19770" s="5"/>
      <c r="K19770" s="5"/>
    </row>
    <row r="19771" spans="1:11" x14ac:dyDescent="0.25">
      <c r="A19771" s="5">
        <f>19764</f>
      </c>
      <c r="B19771" s="5" t="s">
        <v>19779</v>
      </c>
      <c r="C19771" s="5">
        <v>122.8</v>
      </c>
      <c r="D19771" s="5">
        <v>0.1</v>
      </c>
      <c r="E19771" s="5">
        <v>123</v>
      </c>
      <c r="F19771" s="5">
        <v>244.5</v>
      </c>
      <c r="G19771" s="5">
        <v>122</v>
      </c>
      <c r="H19771" s="5">
        <v>121.9</v>
      </c>
      <c r="I19771" s="5"/>
      <c r="J19771" s="5"/>
      <c r="K19771" s="5"/>
    </row>
    <row r="19772" spans="1:11" x14ac:dyDescent="0.25">
      <c r="A19772" s="5">
        <f>19765</f>
      </c>
      <c r="B19772" s="5" t="s">
        <v>19780</v>
      </c>
      <c r="C19772" s="5">
        <v>122.8</v>
      </c>
      <c r="D19772" s="5">
        <v>0.1</v>
      </c>
      <c r="E19772" s="5">
        <v>123</v>
      </c>
      <c r="F19772" s="5">
        <v>244.5</v>
      </c>
      <c r="G19772" s="5">
        <v>122</v>
      </c>
      <c r="H19772" s="5">
        <v>121.9</v>
      </c>
      <c r="I19772" s="5"/>
      <c r="J19772" s="5"/>
      <c r="K19772" s="5"/>
    </row>
    <row r="19773" spans="1:11" x14ac:dyDescent="0.25">
      <c r="A19773" s="5">
        <f>19766</f>
      </c>
      <c r="B19773" s="5" t="s">
        <v>19781</v>
      </c>
      <c r="C19773" s="5">
        <v>122.8</v>
      </c>
      <c r="D19773" s="5">
        <v>0.1</v>
      </c>
      <c r="E19773" s="5">
        <v>123</v>
      </c>
      <c r="F19773" s="5">
        <v>244.5</v>
      </c>
      <c r="G19773" s="5">
        <v>122</v>
      </c>
      <c r="H19773" s="5">
        <v>121.9</v>
      </c>
      <c r="I19773" s="5"/>
      <c r="J19773" s="5"/>
      <c r="K19773" s="5"/>
    </row>
    <row r="19774" spans="1:11" x14ac:dyDescent="0.25">
      <c r="A19774" s="5">
        <f>19767</f>
      </c>
      <c r="B19774" s="5" t="s">
        <v>19782</v>
      </c>
      <c r="C19774" s="5">
        <v>122.7</v>
      </c>
      <c r="D19774" s="5">
        <v>0.1</v>
      </c>
      <c r="E19774" s="5">
        <v>122.9</v>
      </c>
      <c r="F19774" s="5">
        <v>244.7</v>
      </c>
      <c r="G19774" s="5">
        <v>122.1</v>
      </c>
      <c r="H19774" s="5">
        <v>122</v>
      </c>
      <c r="I19774" s="5"/>
      <c r="J19774" s="5"/>
      <c r="K19774" s="5"/>
    </row>
    <row r="19775" spans="1:11" x14ac:dyDescent="0.25">
      <c r="A19775" s="5">
        <f>19768</f>
      </c>
      <c r="B19775" s="5" t="s">
        <v>19783</v>
      </c>
      <c r="C19775" s="5">
        <v>122.7</v>
      </c>
      <c r="D19775" s="5">
        <v>0.1</v>
      </c>
      <c r="E19775" s="5">
        <v>122.9</v>
      </c>
      <c r="F19775" s="5">
        <v>244.7</v>
      </c>
      <c r="G19775" s="5">
        <v>122.1</v>
      </c>
      <c r="H19775" s="5">
        <v>122</v>
      </c>
      <c r="I19775" s="5"/>
      <c r="J19775" s="5"/>
      <c r="K19775" s="5"/>
    </row>
    <row r="19776" spans="1:11" x14ac:dyDescent="0.25">
      <c r="A19776" s="5">
        <f>19769</f>
      </c>
      <c r="B19776" s="5" t="s">
        <v>19784</v>
      </c>
      <c r="C19776" s="5">
        <v>122.5</v>
      </c>
      <c r="D19776" s="5">
        <v>0.1</v>
      </c>
      <c r="E19776" s="5">
        <v>122.7</v>
      </c>
      <c r="F19776" s="5">
        <v>244.4</v>
      </c>
      <c r="G19776" s="5">
        <v>121.9</v>
      </c>
      <c r="H19776" s="5">
        <v>121.7</v>
      </c>
      <c r="I19776" s="5"/>
      <c r="J19776" s="5"/>
      <c r="K19776" s="5"/>
    </row>
    <row r="19777" spans="1:11" x14ac:dyDescent="0.25">
      <c r="A19777" s="5">
        <f>19770</f>
      </c>
      <c r="B19777" s="5" t="s">
        <v>19785</v>
      </c>
      <c r="C19777" s="5">
        <v>122.5</v>
      </c>
      <c r="D19777" s="5">
        <v>0.1</v>
      </c>
      <c r="E19777" s="5">
        <v>122.7</v>
      </c>
      <c r="F19777" s="5">
        <v>244.4</v>
      </c>
      <c r="G19777" s="5">
        <v>121.9</v>
      </c>
      <c r="H19777" s="5">
        <v>121.7</v>
      </c>
      <c r="I19777" s="5"/>
      <c r="J19777" s="5"/>
      <c r="K19777" s="5"/>
    </row>
    <row r="19778" spans="1:11" x14ac:dyDescent="0.25">
      <c r="A19778" s="5">
        <f>19771</f>
      </c>
      <c r="B19778" s="5" t="s">
        <v>19786</v>
      </c>
      <c r="C19778" s="5">
        <v>122.4</v>
      </c>
      <c r="D19778" s="5">
        <v>0.1</v>
      </c>
      <c r="E19778" s="5">
        <v>122.6</v>
      </c>
      <c r="F19778" s="5">
        <v>244.5</v>
      </c>
      <c r="G19778" s="5">
        <v>122</v>
      </c>
      <c r="H19778" s="5">
        <v>121.8</v>
      </c>
      <c r="I19778" s="5"/>
      <c r="J19778" s="5"/>
      <c r="K19778" s="5"/>
    </row>
    <row r="19779" spans="1:11" x14ac:dyDescent="0.25">
      <c r="A19779" s="5">
        <f>19772</f>
      </c>
      <c r="B19779" s="5" t="s">
        <v>19787</v>
      </c>
      <c r="C19779" s="5">
        <v>122.4</v>
      </c>
      <c r="D19779" s="5">
        <v>0.1</v>
      </c>
      <c r="E19779" s="5">
        <v>122.6</v>
      </c>
      <c r="F19779" s="5">
        <v>244.5</v>
      </c>
      <c r="G19779" s="5">
        <v>122</v>
      </c>
      <c r="H19779" s="5">
        <v>121.8</v>
      </c>
      <c r="I19779" s="5"/>
      <c r="J19779" s="5"/>
      <c r="K19779" s="5"/>
    </row>
    <row r="19780" spans="1:11" x14ac:dyDescent="0.25">
      <c r="A19780" s="5">
        <f>19773</f>
      </c>
      <c r="B19780" s="5" t="s">
        <v>19788</v>
      </c>
      <c r="C19780" s="5">
        <v>122.7</v>
      </c>
      <c r="D19780" s="5">
        <v>0.1</v>
      </c>
      <c r="E19780" s="5">
        <v>122.8</v>
      </c>
      <c r="F19780" s="5">
        <v>244.9</v>
      </c>
      <c r="G19780" s="5">
        <v>122.2</v>
      </c>
      <c r="H19780" s="5">
        <v>122.1</v>
      </c>
      <c r="I19780" s="5"/>
      <c r="J19780" s="5"/>
      <c r="K19780" s="5"/>
    </row>
    <row r="19781" spans="1:11" x14ac:dyDescent="0.25">
      <c r="A19781" s="5">
        <f>19774</f>
      </c>
      <c r="B19781" s="5" t="s">
        <v>19789</v>
      </c>
      <c r="C19781" s="5">
        <v>122.7</v>
      </c>
      <c r="D19781" s="5">
        <v>0.1</v>
      </c>
      <c r="E19781" s="5">
        <v>122.8</v>
      </c>
      <c r="F19781" s="5">
        <v>244.9</v>
      </c>
      <c r="G19781" s="5">
        <v>122.2</v>
      </c>
      <c r="H19781" s="5">
        <v>122.1</v>
      </c>
      <c r="I19781" s="5"/>
      <c r="J19781" s="5"/>
      <c r="K19781" s="5"/>
    </row>
    <row r="19782" spans="1:11" x14ac:dyDescent="0.25">
      <c r="A19782" s="5">
        <f>19775</f>
      </c>
      <c r="B19782" s="5" t="s">
        <v>19790</v>
      </c>
      <c r="C19782" s="5">
        <v>122.7</v>
      </c>
      <c r="D19782" s="5">
        <v>0.1</v>
      </c>
      <c r="E19782" s="5">
        <v>122.8</v>
      </c>
      <c r="F19782" s="5">
        <v>244.9</v>
      </c>
      <c r="G19782" s="5">
        <v>122.2</v>
      </c>
      <c r="H19782" s="5">
        <v>122.1</v>
      </c>
      <c r="I19782" s="5"/>
      <c r="J19782" s="5"/>
      <c r="K19782" s="5"/>
    </row>
    <row r="19783" spans="1:11" x14ac:dyDescent="0.25">
      <c r="A19783" s="5">
        <f>19776</f>
      </c>
      <c r="B19783" s="5" t="s">
        <v>19791</v>
      </c>
      <c r="C19783" s="5">
        <v>122.7</v>
      </c>
      <c r="D19783" s="5">
        <v>0.1</v>
      </c>
      <c r="E19783" s="5">
        <v>122.8</v>
      </c>
      <c r="F19783" s="5">
        <v>244.9</v>
      </c>
      <c r="G19783" s="5">
        <v>122.2</v>
      </c>
      <c r="H19783" s="5">
        <v>122.1</v>
      </c>
      <c r="I19783" s="5"/>
      <c r="J19783" s="5"/>
      <c r="K19783" s="5"/>
    </row>
    <row r="19784" spans="1:11" x14ac:dyDescent="0.25">
      <c r="A19784" s="5">
        <f>19777</f>
      </c>
      <c r="B19784" s="5" t="s">
        <v>19792</v>
      </c>
      <c r="C19784" s="5">
        <v>122.9</v>
      </c>
      <c r="D19784" s="5">
        <v>0.1</v>
      </c>
      <c r="E19784" s="5">
        <v>123.1</v>
      </c>
      <c r="F19784" s="5">
        <v>245</v>
      </c>
      <c r="G19784" s="5">
        <v>122.3</v>
      </c>
      <c r="H19784" s="5">
        <v>122.2</v>
      </c>
      <c r="I19784" s="5"/>
      <c r="J19784" s="5"/>
      <c r="K19784" s="5"/>
    </row>
    <row r="19785" spans="1:11" x14ac:dyDescent="0.25">
      <c r="A19785" s="5">
        <f>19778</f>
      </c>
      <c r="B19785" s="5" t="s">
        <v>19793</v>
      </c>
      <c r="C19785" s="5">
        <v>122.9</v>
      </c>
      <c r="D19785" s="5">
        <v>0.1</v>
      </c>
      <c r="E19785" s="5">
        <v>123.1</v>
      </c>
      <c r="F19785" s="5">
        <v>245</v>
      </c>
      <c r="G19785" s="5">
        <v>122.3</v>
      </c>
      <c r="H19785" s="5">
        <v>122.2</v>
      </c>
      <c r="I19785" s="5"/>
      <c r="J19785" s="5"/>
      <c r="K19785" s="5"/>
    </row>
    <row r="19786" spans="1:11" x14ac:dyDescent="0.25">
      <c r="A19786" s="5">
        <f>19779</f>
      </c>
      <c r="B19786" s="5" t="s">
        <v>19794</v>
      </c>
      <c r="C19786" s="5">
        <v>122.8</v>
      </c>
      <c r="D19786" s="5">
        <v>0.1</v>
      </c>
      <c r="E19786" s="5">
        <v>123.1</v>
      </c>
      <c r="F19786" s="5">
        <v>245.2</v>
      </c>
      <c r="G19786" s="5">
        <v>122.4</v>
      </c>
      <c r="H19786" s="5">
        <v>122.2</v>
      </c>
      <c r="I19786" s="5"/>
      <c r="J19786" s="5"/>
      <c r="K19786" s="5"/>
    </row>
    <row r="19787" spans="1:11" x14ac:dyDescent="0.25">
      <c r="A19787" s="5">
        <f>19780</f>
      </c>
      <c r="B19787" s="5" t="s">
        <v>19795</v>
      </c>
      <c r="C19787" s="5">
        <v>122.8</v>
      </c>
      <c r="D19787" s="5">
        <v>0.1</v>
      </c>
      <c r="E19787" s="5">
        <v>123.1</v>
      </c>
      <c r="F19787" s="5">
        <v>245.2</v>
      </c>
      <c r="G19787" s="5">
        <v>122.4</v>
      </c>
      <c r="H19787" s="5">
        <v>122.2</v>
      </c>
      <c r="I19787" s="5"/>
      <c r="J19787" s="5"/>
      <c r="K19787" s="5"/>
    </row>
    <row r="19788" spans="1:11" x14ac:dyDescent="0.25">
      <c r="A19788" s="5">
        <f>19781</f>
      </c>
      <c r="B19788" s="5" t="s">
        <v>19796</v>
      </c>
      <c r="C19788" s="5">
        <v>122.5</v>
      </c>
      <c r="D19788" s="5">
        <v>0.1</v>
      </c>
      <c r="E19788" s="5">
        <v>122.7</v>
      </c>
      <c r="F19788" s="5">
        <v>244.9</v>
      </c>
      <c r="G19788" s="5">
        <v>122.2</v>
      </c>
      <c r="H19788" s="5">
        <v>122</v>
      </c>
      <c r="I19788" s="5"/>
      <c r="J19788" s="5"/>
      <c r="K19788" s="5"/>
    </row>
    <row r="19789" spans="1:11" x14ac:dyDescent="0.25">
      <c r="A19789" s="5">
        <f>19782</f>
      </c>
      <c r="B19789" s="5" t="s">
        <v>19797</v>
      </c>
      <c r="C19789" s="5">
        <v>122.5</v>
      </c>
      <c r="D19789" s="5">
        <v>0.1</v>
      </c>
      <c r="E19789" s="5">
        <v>122.7</v>
      </c>
      <c r="F19789" s="5">
        <v>244.9</v>
      </c>
      <c r="G19789" s="5">
        <v>122.2</v>
      </c>
      <c r="H19789" s="5">
        <v>122</v>
      </c>
      <c r="I19789" s="5"/>
      <c r="J19789" s="5"/>
      <c r="K19789" s="5"/>
    </row>
    <row r="19790" spans="1:11" x14ac:dyDescent="0.25">
      <c r="A19790" s="5">
        <f>19783</f>
      </c>
      <c r="B19790" s="5" t="s">
        <v>19798</v>
      </c>
      <c r="C19790" s="5">
        <v>122.6</v>
      </c>
      <c r="D19790" s="5">
        <v>0.1</v>
      </c>
      <c r="E19790" s="5">
        <v>122.8</v>
      </c>
      <c r="F19790" s="5">
        <v>245.2</v>
      </c>
      <c r="G19790" s="5">
        <v>122.3</v>
      </c>
      <c r="H19790" s="5">
        <v>122.1</v>
      </c>
      <c r="I19790" s="5"/>
      <c r="J19790" s="5"/>
      <c r="K19790" s="5"/>
    </row>
    <row r="19791" spans="1:11" x14ac:dyDescent="0.25">
      <c r="A19791" s="5">
        <f>19784</f>
      </c>
      <c r="B19791" s="5" t="s">
        <v>19799</v>
      </c>
      <c r="C19791" s="5">
        <v>122.6</v>
      </c>
      <c r="D19791" s="5">
        <v>0.1</v>
      </c>
      <c r="E19791" s="5">
        <v>122.8</v>
      </c>
      <c r="F19791" s="5">
        <v>245.2</v>
      </c>
      <c r="G19791" s="5">
        <v>122.3</v>
      </c>
      <c r="H19791" s="5">
        <v>122.1</v>
      </c>
      <c r="I19791" s="5"/>
      <c r="J19791" s="5"/>
      <c r="K19791" s="5"/>
    </row>
    <row r="19792" spans="1:11" x14ac:dyDescent="0.25">
      <c r="A19792" s="5">
        <f>19785</f>
      </c>
      <c r="B19792" s="5" t="s">
        <v>19800</v>
      </c>
      <c r="C19792" s="5">
        <v>122.6</v>
      </c>
      <c r="D19792" s="5">
        <v>0.1</v>
      </c>
      <c r="E19792" s="5">
        <v>122.8</v>
      </c>
      <c r="F19792" s="5">
        <v>245.2</v>
      </c>
      <c r="G19792" s="5">
        <v>122.3</v>
      </c>
      <c r="H19792" s="5">
        <v>122.1</v>
      </c>
      <c r="I19792" s="5"/>
      <c r="J19792" s="5"/>
      <c r="K19792" s="5"/>
    </row>
    <row r="19793" spans="1:11" x14ac:dyDescent="0.25">
      <c r="A19793" s="5">
        <f>19786</f>
      </c>
      <c r="B19793" s="5" t="s">
        <v>19801</v>
      </c>
      <c r="C19793" s="5">
        <v>122.6</v>
      </c>
      <c r="D19793" s="5">
        <v>0.1</v>
      </c>
      <c r="E19793" s="5">
        <v>122.8</v>
      </c>
      <c r="F19793" s="5">
        <v>245.2</v>
      </c>
      <c r="G19793" s="5">
        <v>122.3</v>
      </c>
      <c r="H19793" s="5">
        <v>122.1</v>
      </c>
      <c r="I19793" s="5"/>
      <c r="J19793" s="5"/>
      <c r="K19793" s="5"/>
    </row>
    <row r="19794" spans="1:11" x14ac:dyDescent="0.25">
      <c r="A19794" s="5">
        <f>19787</f>
      </c>
      <c r="B19794" s="5" t="s">
        <v>19802</v>
      </c>
      <c r="C19794" s="5">
        <v>122.1</v>
      </c>
      <c r="D19794" s="5">
        <v>0.1</v>
      </c>
      <c r="E19794" s="5">
        <v>122.3</v>
      </c>
      <c r="F19794" s="5">
        <v>244</v>
      </c>
      <c r="G19794" s="5">
        <v>121.8</v>
      </c>
      <c r="H19794" s="5">
        <v>121.6</v>
      </c>
      <c r="I19794" s="5"/>
      <c r="J19794" s="5"/>
      <c r="K19794" s="5"/>
    </row>
    <row r="19795" spans="1:11" x14ac:dyDescent="0.25">
      <c r="A19795" s="5">
        <f>19788</f>
      </c>
      <c r="B19795" s="5" t="s">
        <v>19803</v>
      </c>
      <c r="C19795" s="5">
        <v>122.1</v>
      </c>
      <c r="D19795" s="5">
        <v>0.1</v>
      </c>
      <c r="E19795" s="5">
        <v>122.3</v>
      </c>
      <c r="F19795" s="5">
        <v>244</v>
      </c>
      <c r="G19795" s="5">
        <v>121.8</v>
      </c>
      <c r="H19795" s="5">
        <v>121.6</v>
      </c>
      <c r="I19795" s="5"/>
      <c r="J19795" s="5"/>
      <c r="K19795" s="5"/>
    </row>
    <row r="19796" spans="1:11" x14ac:dyDescent="0.25">
      <c r="A19796" s="5">
        <f>19789</f>
      </c>
      <c r="B19796" s="5" t="s">
        <v>19804</v>
      </c>
      <c r="C19796" s="5">
        <v>122.2</v>
      </c>
      <c r="D19796" s="5">
        <v>0.1</v>
      </c>
      <c r="E19796" s="5">
        <v>122.4</v>
      </c>
      <c r="F19796" s="5">
        <v>244.2</v>
      </c>
      <c r="G19796" s="5">
        <v>121.9</v>
      </c>
      <c r="H19796" s="5">
        <v>121.7</v>
      </c>
      <c r="I19796" s="5"/>
      <c r="J19796" s="5"/>
      <c r="K19796" s="5"/>
    </row>
    <row r="19797" spans="1:11" x14ac:dyDescent="0.25">
      <c r="A19797" s="5">
        <f>19790</f>
      </c>
      <c r="B19797" s="5" t="s">
        <v>19805</v>
      </c>
      <c r="C19797" s="5">
        <v>122.2</v>
      </c>
      <c r="D19797" s="5">
        <v>0.1</v>
      </c>
      <c r="E19797" s="5">
        <v>122.4</v>
      </c>
      <c r="F19797" s="5">
        <v>244.2</v>
      </c>
      <c r="G19797" s="5">
        <v>121.9</v>
      </c>
      <c r="H19797" s="5">
        <v>121.7</v>
      </c>
      <c r="I19797" s="5"/>
      <c r="J19797" s="5"/>
      <c r="K19797" s="5"/>
    </row>
    <row r="19798" spans="1:11" x14ac:dyDescent="0.25">
      <c r="A19798" s="5">
        <f>19791</f>
      </c>
      <c r="B19798" s="5" t="s">
        <v>19806</v>
      </c>
      <c r="C19798" s="5">
        <v>122.2</v>
      </c>
      <c r="D19798" s="5">
        <v>0.1</v>
      </c>
      <c r="E19798" s="5">
        <v>122.5</v>
      </c>
      <c r="F19798" s="5">
        <v>244.1</v>
      </c>
      <c r="G19798" s="5">
        <v>121.9</v>
      </c>
      <c r="H19798" s="5">
        <v>121.7</v>
      </c>
      <c r="I19798" s="5"/>
      <c r="J19798" s="5"/>
      <c r="K19798" s="5"/>
    </row>
    <row r="19799" spans="1:11" x14ac:dyDescent="0.25">
      <c r="A19799" s="5">
        <f>19792</f>
      </c>
      <c r="B19799" s="5" t="s">
        <v>19807</v>
      </c>
      <c r="C19799" s="5">
        <v>122.2</v>
      </c>
      <c r="D19799" s="5">
        <v>0.1</v>
      </c>
      <c r="E19799" s="5">
        <v>122.5</v>
      </c>
      <c r="F19799" s="5">
        <v>244.1</v>
      </c>
      <c r="G19799" s="5">
        <v>121.9</v>
      </c>
      <c r="H19799" s="5">
        <v>121.7</v>
      </c>
      <c r="I19799" s="5"/>
      <c r="J19799" s="5"/>
      <c r="K19799" s="5"/>
    </row>
    <row r="19800" spans="1:11" x14ac:dyDescent="0.25">
      <c r="A19800" s="5">
        <f>19793</f>
      </c>
      <c r="B19800" s="5" t="s">
        <v>19808</v>
      </c>
      <c r="C19800" s="5">
        <v>122.2</v>
      </c>
      <c r="D19800" s="5">
        <v>0.1</v>
      </c>
      <c r="E19800" s="5">
        <v>122.5</v>
      </c>
      <c r="F19800" s="5">
        <v>244.4</v>
      </c>
      <c r="G19800" s="5">
        <v>122</v>
      </c>
      <c r="H19800" s="5">
        <v>121.8</v>
      </c>
      <c r="I19800" s="5"/>
      <c r="J19800" s="5"/>
      <c r="K19800" s="5"/>
    </row>
    <row r="19801" spans="1:11" x14ac:dyDescent="0.25">
      <c r="A19801" s="5">
        <f>19794</f>
      </c>
      <c r="B19801" s="5" t="s">
        <v>19809</v>
      </c>
      <c r="C19801" s="5">
        <v>122.2</v>
      </c>
      <c r="D19801" s="5">
        <v>0.1</v>
      </c>
      <c r="E19801" s="5">
        <v>122.5</v>
      </c>
      <c r="F19801" s="5">
        <v>244.4</v>
      </c>
      <c r="G19801" s="5">
        <v>122</v>
      </c>
      <c r="H19801" s="5">
        <v>121.8</v>
      </c>
      <c r="I19801" s="5"/>
      <c r="J19801" s="5"/>
      <c r="K19801" s="5"/>
    </row>
    <row r="19802" spans="1:11" x14ac:dyDescent="0.25">
      <c r="A19802" s="5">
        <f>19795</f>
      </c>
      <c r="B19802" s="5" t="s">
        <v>19810</v>
      </c>
      <c r="C19802" s="5">
        <v>122.2</v>
      </c>
      <c r="D19802" s="5">
        <v>0.1</v>
      </c>
      <c r="E19802" s="5">
        <v>122.5</v>
      </c>
      <c r="F19802" s="5">
        <v>244.4</v>
      </c>
      <c r="G19802" s="5">
        <v>122</v>
      </c>
      <c r="H19802" s="5">
        <v>121.8</v>
      </c>
      <c r="I19802" s="5"/>
      <c r="J19802" s="5"/>
      <c r="K19802" s="5"/>
    </row>
    <row r="19803" spans="1:11" x14ac:dyDescent="0.25">
      <c r="A19803" s="5">
        <f>19796</f>
      </c>
      <c r="B19803" s="5" t="s">
        <v>19811</v>
      </c>
      <c r="C19803" s="5">
        <v>122.2</v>
      </c>
      <c r="D19803" s="5">
        <v>0.1</v>
      </c>
      <c r="E19803" s="5">
        <v>122.5</v>
      </c>
      <c r="F19803" s="5">
        <v>244.4</v>
      </c>
      <c r="G19803" s="5">
        <v>121.9</v>
      </c>
      <c r="H19803" s="5">
        <v>121.8</v>
      </c>
      <c r="I19803" s="5"/>
      <c r="J19803" s="5"/>
      <c r="K19803" s="5"/>
    </row>
    <row r="19804" spans="1:11" x14ac:dyDescent="0.25">
      <c r="A19804" s="5">
        <f>19797</f>
      </c>
      <c r="B19804" s="5" t="s">
        <v>19812</v>
      </c>
      <c r="C19804" s="5">
        <v>122.2</v>
      </c>
      <c r="D19804" s="5">
        <v>0.1</v>
      </c>
      <c r="E19804" s="5">
        <v>122.5</v>
      </c>
      <c r="F19804" s="5">
        <v>244.3</v>
      </c>
      <c r="G19804" s="5">
        <v>121.9</v>
      </c>
      <c r="H19804" s="5">
        <v>121.7</v>
      </c>
      <c r="I19804" s="5"/>
      <c r="J19804" s="5"/>
      <c r="K19804" s="5"/>
    </row>
    <row r="19805" spans="1:11" x14ac:dyDescent="0.25">
      <c r="A19805" s="5">
        <f>19798</f>
      </c>
      <c r="B19805" s="5" t="s">
        <v>19813</v>
      </c>
      <c r="C19805" s="5">
        <v>122.2</v>
      </c>
      <c r="D19805" s="5">
        <v>0.1</v>
      </c>
      <c r="E19805" s="5">
        <v>122.5</v>
      </c>
      <c r="F19805" s="5">
        <v>244.3</v>
      </c>
      <c r="G19805" s="5">
        <v>121.9</v>
      </c>
      <c r="H19805" s="5">
        <v>121.7</v>
      </c>
      <c r="I19805" s="5"/>
      <c r="J19805" s="5"/>
      <c r="K19805" s="5"/>
    </row>
    <row r="19806" spans="1:11" x14ac:dyDescent="0.25">
      <c r="A19806" s="5">
        <f>19799</f>
      </c>
      <c r="B19806" s="5" t="s">
        <v>19814</v>
      </c>
      <c r="C19806" s="5">
        <v>122.1</v>
      </c>
      <c r="D19806" s="5">
        <v>0.1</v>
      </c>
      <c r="E19806" s="5">
        <v>122.4</v>
      </c>
      <c r="F19806" s="5">
        <v>243.7</v>
      </c>
      <c r="G19806" s="5">
        <v>121.6</v>
      </c>
      <c r="H19806" s="5">
        <v>121.5</v>
      </c>
      <c r="I19806" s="5"/>
      <c r="J19806" s="5"/>
      <c r="K19806" s="5"/>
    </row>
    <row r="19807" spans="1:11" x14ac:dyDescent="0.25">
      <c r="A19807" s="5">
        <f>19800</f>
      </c>
      <c r="B19807" s="5" t="s">
        <v>19815</v>
      </c>
      <c r="C19807" s="5">
        <v>122.1</v>
      </c>
      <c r="D19807" s="5">
        <v>0.1</v>
      </c>
      <c r="E19807" s="5">
        <v>122.4</v>
      </c>
      <c r="F19807" s="5">
        <v>243.7</v>
      </c>
      <c r="G19807" s="5">
        <v>121.6</v>
      </c>
      <c r="H19807" s="5">
        <v>121.5</v>
      </c>
      <c r="I19807" s="5"/>
      <c r="J19807" s="5"/>
      <c r="K19807" s="5"/>
    </row>
    <row r="19808" spans="1:11" x14ac:dyDescent="0.25">
      <c r="A19808" s="5">
        <f>19801</f>
      </c>
      <c r="B19808" s="5" t="s">
        <v>19816</v>
      </c>
      <c r="C19808" s="5">
        <v>122.2</v>
      </c>
      <c r="D19808" s="5">
        <v>0.1</v>
      </c>
      <c r="E19808" s="5">
        <v>122.5</v>
      </c>
      <c r="F19808" s="5">
        <v>244.3</v>
      </c>
      <c r="G19808" s="5">
        <v>121.9</v>
      </c>
      <c r="H19808" s="5">
        <v>121.8</v>
      </c>
      <c r="I19808" s="5"/>
      <c r="J19808" s="5"/>
      <c r="K19808" s="5"/>
    </row>
    <row r="19809" spans="1:11" x14ac:dyDescent="0.25">
      <c r="A19809" s="5">
        <f>19802</f>
      </c>
      <c r="B19809" s="5" t="s">
        <v>19817</v>
      </c>
      <c r="C19809" s="5">
        <v>122.2</v>
      </c>
      <c r="D19809" s="5">
        <v>0.1</v>
      </c>
      <c r="E19809" s="5">
        <v>122.5</v>
      </c>
      <c r="F19809" s="5">
        <v>244.3</v>
      </c>
      <c r="G19809" s="5">
        <v>121.9</v>
      </c>
      <c r="H19809" s="5">
        <v>121.8</v>
      </c>
      <c r="I19809" s="5"/>
      <c r="J19809" s="5"/>
      <c r="K19809" s="5"/>
    </row>
    <row r="19810" spans="1:11" x14ac:dyDescent="0.25">
      <c r="A19810" s="5">
        <f>19803</f>
      </c>
      <c r="B19810" s="5" t="s">
        <v>19818</v>
      </c>
      <c r="C19810" s="5">
        <v>122.1</v>
      </c>
      <c r="D19810" s="5">
        <v>0.1</v>
      </c>
      <c r="E19810" s="5">
        <v>122.3</v>
      </c>
      <c r="F19810" s="5">
        <v>244.2</v>
      </c>
      <c r="G19810" s="5">
        <v>121.8</v>
      </c>
      <c r="H19810" s="5">
        <v>121.6</v>
      </c>
      <c r="I19810" s="5"/>
      <c r="J19810" s="5"/>
      <c r="K19810" s="5"/>
    </row>
    <row r="19811" spans="1:11" x14ac:dyDescent="0.25">
      <c r="A19811" s="5">
        <f>19804</f>
      </c>
      <c r="B19811" s="5" t="s">
        <v>19819</v>
      </c>
      <c r="C19811" s="5">
        <v>122.1</v>
      </c>
      <c r="D19811" s="5">
        <v>0.1</v>
      </c>
      <c r="E19811" s="5">
        <v>122.3</v>
      </c>
      <c r="F19811" s="5">
        <v>244.2</v>
      </c>
      <c r="G19811" s="5">
        <v>121.8</v>
      </c>
      <c r="H19811" s="5">
        <v>121.6</v>
      </c>
      <c r="I19811" s="5"/>
      <c r="J19811" s="5"/>
      <c r="K19811" s="5"/>
    </row>
    <row r="19812" spans="1:11" x14ac:dyDescent="0.25">
      <c r="A19812" s="5">
        <f>19805</f>
      </c>
      <c r="B19812" s="5" t="s">
        <v>19820</v>
      </c>
      <c r="C19812" s="5">
        <v>122.1</v>
      </c>
      <c r="D19812" s="5">
        <v>0.1</v>
      </c>
      <c r="E19812" s="5">
        <v>122.3</v>
      </c>
      <c r="F19812" s="5">
        <v>244.2</v>
      </c>
      <c r="G19812" s="5">
        <v>121.8</v>
      </c>
      <c r="H19812" s="5">
        <v>121.6</v>
      </c>
      <c r="I19812" s="5"/>
      <c r="J19812" s="5"/>
      <c r="K19812" s="5"/>
    </row>
    <row r="19813" spans="1:11" x14ac:dyDescent="0.25">
      <c r="A19813" s="5">
        <f>19806</f>
      </c>
      <c r="B19813" s="5" t="s">
        <v>19821</v>
      </c>
      <c r="C19813" s="5">
        <v>122.1</v>
      </c>
      <c r="D19813" s="5">
        <v>0.1</v>
      </c>
      <c r="E19813" s="5">
        <v>122.3</v>
      </c>
      <c r="F19813" s="5">
        <v>244.2</v>
      </c>
      <c r="G19813" s="5">
        <v>121.8</v>
      </c>
      <c r="H19813" s="5">
        <v>121.6</v>
      </c>
      <c r="I19813" s="5"/>
      <c r="J19813" s="5"/>
      <c r="K19813" s="5"/>
    </row>
    <row r="19814" spans="1:11" x14ac:dyDescent="0.25">
      <c r="A19814" s="5">
        <f>19807</f>
      </c>
      <c r="B19814" s="5" t="s">
        <v>19822</v>
      </c>
      <c r="C19814" s="5">
        <v>122.2</v>
      </c>
      <c r="D19814" s="5">
        <v>0.1</v>
      </c>
      <c r="E19814" s="5">
        <v>122.5</v>
      </c>
      <c r="F19814" s="5">
        <v>244.5</v>
      </c>
      <c r="G19814" s="5">
        <v>122</v>
      </c>
      <c r="H19814" s="5">
        <v>121.8</v>
      </c>
      <c r="I19814" s="5"/>
      <c r="J19814" s="5"/>
      <c r="K19814" s="5"/>
    </row>
    <row r="19815" spans="1:11" x14ac:dyDescent="0.25">
      <c r="A19815" s="5">
        <f>19808</f>
      </c>
      <c r="B19815" s="5" t="s">
        <v>19823</v>
      </c>
      <c r="C19815" s="5">
        <v>122.2</v>
      </c>
      <c r="D19815" s="5">
        <v>0.1</v>
      </c>
      <c r="E19815" s="5">
        <v>122.5</v>
      </c>
      <c r="F19815" s="5">
        <v>244.5</v>
      </c>
      <c r="G19815" s="5">
        <v>122</v>
      </c>
      <c r="H19815" s="5">
        <v>121.8</v>
      </c>
      <c r="I19815" s="5"/>
      <c r="J19815" s="5"/>
      <c r="K19815" s="5"/>
    </row>
    <row r="19816" spans="1:11" x14ac:dyDescent="0.25">
      <c r="A19816" s="5">
        <f>19809</f>
      </c>
      <c r="B19816" s="5" t="s">
        <v>19824</v>
      </c>
      <c r="C19816" s="5">
        <v>122.6</v>
      </c>
      <c r="D19816" s="5">
        <v>0.1</v>
      </c>
      <c r="E19816" s="5">
        <v>122.8</v>
      </c>
      <c r="F19816" s="5">
        <v>244.5</v>
      </c>
      <c r="G19816" s="5">
        <v>122</v>
      </c>
      <c r="H19816" s="5">
        <v>121.9</v>
      </c>
      <c r="I19816" s="5"/>
      <c r="J19816" s="5"/>
      <c r="K19816" s="5"/>
    </row>
    <row r="19817" spans="1:11" x14ac:dyDescent="0.25">
      <c r="A19817" s="5">
        <f>19810</f>
      </c>
      <c r="B19817" s="5" t="s">
        <v>19825</v>
      </c>
      <c r="C19817" s="5">
        <v>122.6</v>
      </c>
      <c r="D19817" s="5">
        <v>0.1</v>
      </c>
      <c r="E19817" s="5">
        <v>122.8</v>
      </c>
      <c r="F19817" s="5">
        <v>244.5</v>
      </c>
      <c r="G19817" s="5">
        <v>122</v>
      </c>
      <c r="H19817" s="5">
        <v>121.9</v>
      </c>
      <c r="I19817" s="5"/>
      <c r="J19817" s="5"/>
      <c r="K19817" s="5"/>
    </row>
    <row r="19818" spans="1:11" x14ac:dyDescent="0.25">
      <c r="A19818" s="5">
        <f>19811</f>
      </c>
      <c r="B19818" s="5" t="s">
        <v>19826</v>
      </c>
      <c r="C19818" s="5">
        <v>122.5</v>
      </c>
      <c r="D19818" s="5">
        <v>0.1</v>
      </c>
      <c r="E19818" s="5">
        <v>122.8</v>
      </c>
      <c r="F19818" s="5">
        <v>244.6</v>
      </c>
      <c r="G19818" s="5">
        <v>122</v>
      </c>
      <c r="H19818" s="5">
        <v>121.9</v>
      </c>
      <c r="I19818" s="5"/>
      <c r="J19818" s="5"/>
      <c r="K19818" s="5"/>
    </row>
    <row r="19819" spans="1:11" x14ac:dyDescent="0.25">
      <c r="A19819" s="5">
        <f>19812</f>
      </c>
      <c r="B19819" s="5" t="s">
        <v>19827</v>
      </c>
      <c r="C19819" s="5">
        <v>122.5</v>
      </c>
      <c r="D19819" s="5">
        <v>0.1</v>
      </c>
      <c r="E19819" s="5">
        <v>122.8</v>
      </c>
      <c r="F19819" s="5">
        <v>244.6</v>
      </c>
      <c r="G19819" s="5">
        <v>122</v>
      </c>
      <c r="H19819" s="5">
        <v>121.9</v>
      </c>
      <c r="I19819" s="5"/>
      <c r="J19819" s="5"/>
      <c r="K19819" s="5"/>
    </row>
    <row r="19820" spans="1:11" x14ac:dyDescent="0.25">
      <c r="A19820" s="5">
        <f>19813</f>
      </c>
      <c r="B19820" s="5" t="s">
        <v>19828</v>
      </c>
      <c r="C19820" s="5">
        <v>122.2</v>
      </c>
      <c r="D19820" s="5">
        <v>0.1</v>
      </c>
      <c r="E19820" s="5">
        <v>122.4</v>
      </c>
      <c r="F19820" s="5">
        <v>244.4</v>
      </c>
      <c r="G19820" s="5">
        <v>122</v>
      </c>
      <c r="H19820" s="5">
        <v>121.9</v>
      </c>
      <c r="I19820" s="5"/>
      <c r="J19820" s="5"/>
      <c r="K19820" s="5"/>
    </row>
    <row r="19821" spans="1:11" x14ac:dyDescent="0.25">
      <c r="A19821" s="5">
        <f>19814</f>
      </c>
      <c r="B19821" s="5" t="s">
        <v>19829</v>
      </c>
      <c r="C19821" s="5">
        <v>122.2</v>
      </c>
      <c r="D19821" s="5">
        <v>0.1</v>
      </c>
      <c r="E19821" s="5">
        <v>122.4</v>
      </c>
      <c r="F19821" s="5">
        <v>244.4</v>
      </c>
      <c r="G19821" s="5">
        <v>122</v>
      </c>
      <c r="H19821" s="5">
        <v>121.9</v>
      </c>
      <c r="I19821" s="5"/>
      <c r="J19821" s="5"/>
      <c r="K19821" s="5"/>
    </row>
    <row r="19822" spans="1:11" x14ac:dyDescent="0.25">
      <c r="A19822" s="5">
        <f>19815</f>
      </c>
      <c r="B19822" s="5" t="s">
        <v>19830</v>
      </c>
      <c r="C19822" s="5">
        <v>122.2</v>
      </c>
      <c r="D19822" s="5">
        <v>0.1</v>
      </c>
      <c r="E19822" s="5">
        <v>122.4</v>
      </c>
      <c r="F19822" s="5">
        <v>244.4</v>
      </c>
      <c r="G19822" s="5">
        <v>122</v>
      </c>
      <c r="H19822" s="5">
        <v>121.9</v>
      </c>
      <c r="I19822" s="5"/>
      <c r="J19822" s="5"/>
      <c r="K19822" s="5"/>
    </row>
    <row r="19823" spans="1:11" x14ac:dyDescent="0.25">
      <c r="A19823" s="5">
        <f>19816</f>
      </c>
      <c r="B19823" s="5" t="s">
        <v>19831</v>
      </c>
      <c r="C19823" s="5">
        <v>122.2</v>
      </c>
      <c r="D19823" s="5">
        <v>0.1</v>
      </c>
      <c r="E19823" s="5">
        <v>122.4</v>
      </c>
      <c r="F19823" s="5">
        <v>244.4</v>
      </c>
      <c r="G19823" s="5">
        <v>122</v>
      </c>
      <c r="H19823" s="5">
        <v>121.9</v>
      </c>
      <c r="I19823" s="5"/>
      <c r="J19823" s="5"/>
      <c r="K19823" s="5"/>
    </row>
    <row r="19824" spans="1:11" x14ac:dyDescent="0.25">
      <c r="A19824" s="5">
        <f>19817</f>
      </c>
      <c r="B19824" s="5" t="s">
        <v>19832</v>
      </c>
      <c r="C19824" s="5">
        <v>122.5</v>
      </c>
      <c r="D19824" s="5">
        <v>0.1</v>
      </c>
      <c r="E19824" s="5">
        <v>122.7</v>
      </c>
      <c r="F19824" s="5">
        <v>244.8</v>
      </c>
      <c r="G19824" s="5">
        <v>122.2</v>
      </c>
      <c r="H19824" s="5">
        <v>122</v>
      </c>
      <c r="I19824" s="5"/>
      <c r="J19824" s="5"/>
      <c r="K19824" s="5"/>
    </row>
    <row r="19825" spans="1:11" x14ac:dyDescent="0.25">
      <c r="A19825" s="5">
        <f>19818</f>
      </c>
      <c r="B19825" s="5" t="s">
        <v>19833</v>
      </c>
      <c r="C19825" s="5">
        <v>122.5</v>
      </c>
      <c r="D19825" s="5">
        <v>0.1</v>
      </c>
      <c r="E19825" s="5">
        <v>122.7</v>
      </c>
      <c r="F19825" s="5">
        <v>244.8</v>
      </c>
      <c r="G19825" s="5">
        <v>122.2</v>
      </c>
      <c r="H19825" s="5">
        <v>122</v>
      </c>
      <c r="I19825" s="5"/>
      <c r="J19825" s="5"/>
      <c r="K19825" s="5"/>
    </row>
    <row r="19826" spans="1:11" x14ac:dyDescent="0.25">
      <c r="A19826" s="5">
        <f>19819</f>
      </c>
      <c r="B19826" s="5" t="s">
        <v>19834</v>
      </c>
      <c r="C19826" s="5">
        <v>122.9</v>
      </c>
      <c r="D19826" s="5">
        <v>0.1</v>
      </c>
      <c r="E19826" s="5">
        <v>123.1</v>
      </c>
      <c r="F19826" s="5">
        <v>245</v>
      </c>
      <c r="G19826" s="5">
        <v>122.3</v>
      </c>
      <c r="H19826" s="5">
        <v>122.2</v>
      </c>
      <c r="I19826" s="5"/>
      <c r="J19826" s="5"/>
      <c r="K19826" s="5"/>
    </row>
    <row r="19827" spans="1:11" x14ac:dyDescent="0.25">
      <c r="A19827" s="5">
        <f>19820</f>
      </c>
      <c r="B19827" s="5" t="s">
        <v>19835</v>
      </c>
      <c r="C19827" s="5">
        <v>122.9</v>
      </c>
      <c r="D19827" s="5">
        <v>0.1</v>
      </c>
      <c r="E19827" s="5">
        <v>123.1</v>
      </c>
      <c r="F19827" s="5">
        <v>245</v>
      </c>
      <c r="G19827" s="5">
        <v>122.3</v>
      </c>
      <c r="H19827" s="5">
        <v>122.2</v>
      </c>
      <c r="I19827" s="5"/>
      <c r="J19827" s="5"/>
      <c r="K19827" s="5"/>
    </row>
    <row r="19828" spans="1:11" x14ac:dyDescent="0.25">
      <c r="A19828" s="5">
        <f>19821</f>
      </c>
      <c r="B19828" s="5" t="s">
        <v>19836</v>
      </c>
      <c r="C19828" s="5">
        <v>122.5</v>
      </c>
      <c r="D19828" s="5">
        <v>0.1</v>
      </c>
      <c r="E19828" s="5">
        <v>122.8</v>
      </c>
      <c r="F19828" s="5">
        <v>244.9</v>
      </c>
      <c r="G19828" s="5">
        <v>122.2</v>
      </c>
      <c r="H19828" s="5">
        <v>122.1</v>
      </c>
      <c r="I19828" s="5"/>
      <c r="J19828" s="5"/>
      <c r="K19828" s="5"/>
    </row>
    <row r="19829" spans="1:11" x14ac:dyDescent="0.25">
      <c r="A19829" s="5">
        <f>19822</f>
      </c>
      <c r="B19829" s="5" t="s">
        <v>19837</v>
      </c>
      <c r="C19829" s="5">
        <v>122.5</v>
      </c>
      <c r="D19829" s="5">
        <v>0.1</v>
      </c>
      <c r="E19829" s="5">
        <v>122.8</v>
      </c>
      <c r="F19829" s="5">
        <v>244.9</v>
      </c>
      <c r="G19829" s="5">
        <v>122.2</v>
      </c>
      <c r="H19829" s="5">
        <v>122.1</v>
      </c>
      <c r="I19829" s="5"/>
      <c r="J19829" s="5"/>
      <c r="K19829" s="5"/>
    </row>
    <row r="19830" spans="1:11" x14ac:dyDescent="0.25">
      <c r="A19830" s="5">
        <f>19823</f>
      </c>
      <c r="B19830" s="5" t="s">
        <v>19838</v>
      </c>
      <c r="C19830" s="5">
        <v>122.5</v>
      </c>
      <c r="D19830" s="5">
        <v>0.1</v>
      </c>
      <c r="E19830" s="5">
        <v>122.8</v>
      </c>
      <c r="F19830" s="5">
        <v>245.1</v>
      </c>
      <c r="G19830" s="5">
        <v>122.3</v>
      </c>
      <c r="H19830" s="5">
        <v>122.1</v>
      </c>
      <c r="I19830" s="5"/>
      <c r="J19830" s="5"/>
      <c r="K19830" s="5"/>
    </row>
    <row r="19831" spans="1:11" x14ac:dyDescent="0.25">
      <c r="A19831" s="5">
        <f>19824</f>
      </c>
      <c r="B19831" s="5" t="s">
        <v>19839</v>
      </c>
      <c r="C19831" s="5">
        <v>122.5</v>
      </c>
      <c r="D19831" s="5">
        <v>0.1</v>
      </c>
      <c r="E19831" s="5">
        <v>122.8</v>
      </c>
      <c r="F19831" s="5">
        <v>245.1</v>
      </c>
      <c r="G19831" s="5">
        <v>122.3</v>
      </c>
      <c r="H19831" s="5">
        <v>122.1</v>
      </c>
      <c r="I19831" s="5"/>
      <c r="J19831" s="5"/>
      <c r="K19831" s="5"/>
    </row>
    <row r="19832" spans="1:11" x14ac:dyDescent="0.25">
      <c r="A19832" s="5">
        <f>19825</f>
      </c>
      <c r="B19832" s="5" t="s">
        <v>19840</v>
      </c>
      <c r="C19832" s="5">
        <v>122.5</v>
      </c>
      <c r="D19832" s="5">
        <v>0.1</v>
      </c>
      <c r="E19832" s="5">
        <v>122.8</v>
      </c>
      <c r="F19832" s="5">
        <v>245.1</v>
      </c>
      <c r="G19832" s="5">
        <v>122.3</v>
      </c>
      <c r="H19832" s="5">
        <v>122.1</v>
      </c>
      <c r="I19832" s="5"/>
      <c r="J19832" s="5"/>
      <c r="K19832" s="5"/>
    </row>
    <row r="19833" spans="1:11" x14ac:dyDescent="0.25">
      <c r="A19833" s="5">
        <f>19826</f>
      </c>
      <c r="B19833" s="5" t="s">
        <v>19841</v>
      </c>
      <c r="C19833" s="5">
        <v>122.5</v>
      </c>
      <c r="D19833" s="5">
        <v>0.1</v>
      </c>
      <c r="E19833" s="5">
        <v>122.8</v>
      </c>
      <c r="F19833" s="5">
        <v>245.1</v>
      </c>
      <c r="G19833" s="5">
        <v>122.3</v>
      </c>
      <c r="H19833" s="5">
        <v>122.1</v>
      </c>
      <c r="I19833" s="5"/>
      <c r="J19833" s="5"/>
      <c r="K19833" s="5"/>
    </row>
    <row r="19834" spans="1:11" x14ac:dyDescent="0.25">
      <c r="A19834" s="5">
        <f>19827</f>
      </c>
      <c r="B19834" s="5" t="s">
        <v>19842</v>
      </c>
      <c r="C19834" s="5">
        <v>122.7</v>
      </c>
      <c r="D19834" s="5">
        <v>0.1</v>
      </c>
      <c r="E19834" s="5">
        <v>122.9</v>
      </c>
      <c r="F19834" s="5">
        <v>245.1</v>
      </c>
      <c r="G19834" s="5">
        <v>122.2</v>
      </c>
      <c r="H19834" s="5">
        <v>122</v>
      </c>
      <c r="I19834" s="5"/>
      <c r="J19834" s="5"/>
      <c r="K19834" s="5"/>
    </row>
    <row r="19835" spans="1:11" x14ac:dyDescent="0.25">
      <c r="A19835" s="5">
        <f>19828</f>
      </c>
      <c r="B19835" s="5" t="s">
        <v>19843</v>
      </c>
      <c r="C19835" s="5">
        <v>122.7</v>
      </c>
      <c r="D19835" s="5">
        <v>0.1</v>
      </c>
      <c r="E19835" s="5">
        <v>122.9</v>
      </c>
      <c r="F19835" s="5">
        <v>245.1</v>
      </c>
      <c r="G19835" s="5">
        <v>122.2</v>
      </c>
      <c r="H19835" s="5">
        <v>122</v>
      </c>
      <c r="I19835" s="5"/>
      <c r="J19835" s="5"/>
      <c r="K19835" s="5"/>
    </row>
    <row r="19836" spans="1:11" x14ac:dyDescent="0.25">
      <c r="A19836" s="5">
        <f>19829</f>
      </c>
      <c r="B19836" s="5" t="s">
        <v>19844</v>
      </c>
      <c r="C19836" s="5">
        <v>122.5</v>
      </c>
      <c r="D19836" s="5">
        <v>0.1</v>
      </c>
      <c r="E19836" s="5">
        <v>122.8</v>
      </c>
      <c r="F19836" s="5">
        <v>245</v>
      </c>
      <c r="G19836" s="5">
        <v>122.3</v>
      </c>
      <c r="H19836" s="5">
        <v>122.1</v>
      </c>
      <c r="I19836" s="5"/>
      <c r="J19836" s="5"/>
      <c r="K19836" s="5"/>
    </row>
    <row r="19837" spans="1:11" x14ac:dyDescent="0.25">
      <c r="A19837" s="5">
        <f>19830</f>
      </c>
      <c r="B19837" s="5" t="s">
        <v>19845</v>
      </c>
      <c r="C19837" s="5">
        <v>122.5</v>
      </c>
      <c r="D19837" s="5">
        <v>0.1</v>
      </c>
      <c r="E19837" s="5">
        <v>122.8</v>
      </c>
      <c r="F19837" s="5">
        <v>245</v>
      </c>
      <c r="G19837" s="5">
        <v>122.3</v>
      </c>
      <c r="H19837" s="5">
        <v>122.1</v>
      </c>
      <c r="I19837" s="5"/>
      <c r="J19837" s="5"/>
      <c r="K19837" s="5"/>
    </row>
    <row r="19838" spans="1:11" x14ac:dyDescent="0.25">
      <c r="A19838" s="5">
        <f>19831</f>
      </c>
      <c r="B19838" s="5" t="s">
        <v>19846</v>
      </c>
      <c r="C19838" s="5">
        <v>122.5</v>
      </c>
      <c r="D19838" s="5">
        <v>0.1</v>
      </c>
      <c r="E19838" s="5">
        <v>122.7</v>
      </c>
      <c r="F19838" s="5">
        <v>244.6</v>
      </c>
      <c r="G19838" s="5">
        <v>122.1</v>
      </c>
      <c r="H19838" s="5">
        <v>122</v>
      </c>
      <c r="I19838" s="5"/>
      <c r="J19838" s="5"/>
      <c r="K19838" s="5"/>
    </row>
    <row r="19839" spans="1:11" x14ac:dyDescent="0.25">
      <c r="A19839" s="5">
        <f>19832</f>
      </c>
      <c r="B19839" s="5" t="s">
        <v>19847</v>
      </c>
      <c r="C19839" s="5">
        <v>122.5</v>
      </c>
      <c r="D19839" s="5">
        <v>0.1</v>
      </c>
      <c r="E19839" s="5">
        <v>122.7</v>
      </c>
      <c r="F19839" s="5">
        <v>244.6</v>
      </c>
      <c r="G19839" s="5">
        <v>122.1</v>
      </c>
      <c r="H19839" s="5">
        <v>122</v>
      </c>
      <c r="I19839" s="5"/>
      <c r="J19839" s="5"/>
      <c r="K19839" s="5"/>
    </row>
    <row r="19840" spans="1:11" x14ac:dyDescent="0.25">
      <c r="A19840" s="5">
        <f>19833</f>
      </c>
      <c r="B19840" s="5" t="s">
        <v>19848</v>
      </c>
      <c r="C19840" s="5">
        <v>122.8</v>
      </c>
      <c r="D19840" s="5">
        <v>0.1</v>
      </c>
      <c r="E19840" s="5">
        <v>122.9</v>
      </c>
      <c r="F19840" s="5">
        <v>245</v>
      </c>
      <c r="G19840" s="5">
        <v>122.3</v>
      </c>
      <c r="H19840" s="5">
        <v>122.1</v>
      </c>
      <c r="I19840" s="5"/>
      <c r="J19840" s="5"/>
      <c r="K19840" s="5"/>
    </row>
    <row r="19841" spans="1:11" x14ac:dyDescent="0.25">
      <c r="A19841" s="5">
        <f>19834</f>
      </c>
      <c r="B19841" s="5" t="s">
        <v>19849</v>
      </c>
      <c r="C19841" s="5">
        <v>122.8</v>
      </c>
      <c r="D19841" s="5">
        <v>0.1</v>
      </c>
      <c r="E19841" s="5">
        <v>122.9</v>
      </c>
      <c r="F19841" s="5">
        <v>245</v>
      </c>
      <c r="G19841" s="5">
        <v>122.3</v>
      </c>
      <c r="H19841" s="5">
        <v>122.1</v>
      </c>
      <c r="I19841" s="5"/>
      <c r="J19841" s="5"/>
      <c r="K19841" s="5"/>
    </row>
    <row r="19842" spans="1:11" x14ac:dyDescent="0.25">
      <c r="A19842" s="5">
        <f>19835</f>
      </c>
      <c r="B19842" s="5" t="s">
        <v>19850</v>
      </c>
      <c r="C19842" s="5">
        <v>122.8</v>
      </c>
      <c r="D19842" s="5">
        <v>0.1</v>
      </c>
      <c r="E19842" s="5">
        <v>122.9</v>
      </c>
      <c r="F19842" s="5">
        <v>245</v>
      </c>
      <c r="G19842" s="5">
        <v>122.3</v>
      </c>
      <c r="H19842" s="5">
        <v>122.1</v>
      </c>
      <c r="I19842" s="5"/>
      <c r="J19842" s="5"/>
      <c r="K19842" s="5"/>
    </row>
    <row r="19843" spans="1:11" x14ac:dyDescent="0.25">
      <c r="A19843" s="5">
        <f>19836</f>
      </c>
      <c r="B19843" s="5" t="s">
        <v>19851</v>
      </c>
      <c r="C19843" s="5">
        <v>122.3</v>
      </c>
      <c r="D19843" s="5">
        <v>0.1</v>
      </c>
      <c r="E19843" s="5">
        <v>122.5</v>
      </c>
      <c r="F19843" s="5">
        <v>244.7</v>
      </c>
      <c r="G19843" s="5">
        <v>122.2</v>
      </c>
      <c r="H19843" s="5">
        <v>122</v>
      </c>
      <c r="I19843" s="5"/>
      <c r="J19843" s="5"/>
      <c r="K19843" s="5"/>
    </row>
    <row r="19844" spans="1:11" x14ac:dyDescent="0.25">
      <c r="A19844" s="5">
        <f>19837</f>
      </c>
      <c r="B19844" s="5" t="s">
        <v>19852</v>
      </c>
      <c r="C19844" s="5">
        <v>122.3</v>
      </c>
      <c r="D19844" s="5">
        <v>0.1</v>
      </c>
      <c r="E19844" s="5">
        <v>122.5</v>
      </c>
      <c r="F19844" s="5">
        <v>244.7</v>
      </c>
      <c r="G19844" s="5">
        <v>122.2</v>
      </c>
      <c r="H19844" s="5">
        <v>122</v>
      </c>
      <c r="I19844" s="5"/>
      <c r="J19844" s="5"/>
      <c r="K19844" s="5"/>
    </row>
    <row r="19845" spans="1:11" x14ac:dyDescent="0.25">
      <c r="A19845" s="5">
        <f>19838</f>
      </c>
      <c r="B19845" s="5" t="s">
        <v>19853</v>
      </c>
      <c r="C19845" s="5">
        <v>122.3</v>
      </c>
      <c r="D19845" s="5">
        <v>0.1</v>
      </c>
      <c r="E19845" s="5">
        <v>122.8</v>
      </c>
      <c r="F19845" s="5">
        <v>244.9</v>
      </c>
      <c r="G19845" s="5">
        <v>122.2</v>
      </c>
      <c r="H19845" s="5">
        <v>122</v>
      </c>
      <c r="I19845" s="5"/>
      <c r="J19845" s="5"/>
      <c r="K19845" s="5"/>
    </row>
    <row r="19846" spans="1:11" x14ac:dyDescent="0.25">
      <c r="A19846" s="5">
        <f>19839</f>
      </c>
      <c r="B19846" s="5" t="s">
        <v>19854</v>
      </c>
      <c r="C19846" s="5">
        <v>122.7</v>
      </c>
      <c r="D19846" s="5">
        <v>0.1</v>
      </c>
      <c r="E19846" s="5">
        <v>122.8</v>
      </c>
      <c r="F19846" s="5">
        <v>244.9</v>
      </c>
      <c r="G19846" s="5">
        <v>122.2</v>
      </c>
      <c r="H19846" s="5">
        <v>122</v>
      </c>
      <c r="I19846" s="5"/>
      <c r="J19846" s="5"/>
      <c r="K19846" s="5"/>
    </row>
    <row r="19847" spans="1:11" x14ac:dyDescent="0.25">
      <c r="A19847" s="5">
        <f>19840</f>
      </c>
      <c r="B19847" s="5" t="s">
        <v>19855</v>
      </c>
      <c r="C19847" s="5">
        <v>122.7</v>
      </c>
      <c r="D19847" s="5">
        <v>0.1</v>
      </c>
      <c r="E19847" s="5">
        <v>123.1</v>
      </c>
      <c r="F19847" s="5">
        <v>244.9</v>
      </c>
      <c r="G19847" s="5">
        <v>122.3</v>
      </c>
      <c r="H19847" s="5">
        <v>122.1</v>
      </c>
      <c r="I19847" s="5"/>
      <c r="J19847" s="5"/>
      <c r="K19847" s="5"/>
    </row>
    <row r="19848" spans="1:11" x14ac:dyDescent="0.25">
      <c r="A19848" s="5">
        <f>19841</f>
      </c>
      <c r="B19848" s="5" t="s">
        <v>19856</v>
      </c>
      <c r="C19848" s="5">
        <v>123</v>
      </c>
      <c r="D19848" s="5">
        <v>0.1</v>
      </c>
      <c r="E19848" s="5">
        <v>123.1</v>
      </c>
      <c r="F19848" s="5">
        <v>244.9</v>
      </c>
      <c r="G19848" s="5">
        <v>122.3</v>
      </c>
      <c r="H19848" s="5">
        <v>122.1</v>
      </c>
      <c r="I19848" s="5"/>
      <c r="J19848" s="5"/>
      <c r="K19848" s="5"/>
    </row>
    <row r="19849" spans="1:11" x14ac:dyDescent="0.25">
      <c r="A19849" s="5">
        <f>19842</f>
      </c>
      <c r="B19849" s="5" t="s">
        <v>19857</v>
      </c>
      <c r="C19849" s="5">
        <v>123</v>
      </c>
      <c r="D19849" s="5">
        <v>0.1</v>
      </c>
      <c r="E19849" s="5">
        <v>123.1</v>
      </c>
      <c r="F19849" s="5">
        <v>244.9</v>
      </c>
      <c r="G19849" s="5">
        <v>122.1</v>
      </c>
      <c r="H19849" s="5">
        <v>121.9</v>
      </c>
      <c r="I19849" s="5"/>
      <c r="J19849" s="5"/>
      <c r="K19849" s="5"/>
    </row>
    <row r="19850" spans="1:11" x14ac:dyDescent="0.25">
      <c r="A19850" s="5">
        <f>19843</f>
      </c>
      <c r="B19850" s="5" t="s">
        <v>19858</v>
      </c>
      <c r="C19850" s="5">
        <v>122.3</v>
      </c>
      <c r="D19850" s="5">
        <v>0.1</v>
      </c>
      <c r="E19850" s="5">
        <v>122.5</v>
      </c>
      <c r="F19850" s="5">
        <v>244.7</v>
      </c>
      <c r="G19850" s="5">
        <v>122.1</v>
      </c>
      <c r="H19850" s="5">
        <v>121.9</v>
      </c>
      <c r="I19850" s="5"/>
      <c r="J19850" s="5"/>
      <c r="K19850" s="5"/>
    </row>
    <row r="19851" spans="1:11" x14ac:dyDescent="0.25">
      <c r="A19851" s="5">
        <f>19844</f>
      </c>
      <c r="B19851" s="5" t="s">
        <v>19859</v>
      </c>
      <c r="C19851" s="5">
        <v>122.3</v>
      </c>
      <c r="D19851" s="5">
        <v>0.1</v>
      </c>
      <c r="E19851" s="5">
        <v>122.5</v>
      </c>
      <c r="F19851" s="5">
        <v>244.7</v>
      </c>
      <c r="G19851" s="5">
        <v>122.1</v>
      </c>
      <c r="H19851" s="5">
        <v>121.9</v>
      </c>
      <c r="I19851" s="5"/>
      <c r="J19851" s="5"/>
      <c r="K19851" s="5"/>
    </row>
    <row r="19852" spans="1:11" x14ac:dyDescent="0.25">
      <c r="A19852" s="5">
        <f>19845</f>
      </c>
      <c r="B19852" s="5" t="s">
        <v>19860</v>
      </c>
      <c r="C19852" s="5">
        <v>122.3</v>
      </c>
      <c r="D19852" s="5">
        <v>0.1</v>
      </c>
      <c r="E19852" s="5">
        <v>122.5</v>
      </c>
      <c r="F19852" s="5">
        <v>244.7</v>
      </c>
      <c r="G19852" s="5">
        <v>122.1</v>
      </c>
      <c r="H19852" s="5">
        <v>121.9</v>
      </c>
      <c r="I19852" s="5"/>
      <c r="J19852" s="5"/>
      <c r="K19852" s="5"/>
    </row>
    <row r="19853" spans="1:11" x14ac:dyDescent="0.25">
      <c r="A19853" s="5">
        <f>19846</f>
      </c>
      <c r="B19853" s="5" t="s">
        <v>19861</v>
      </c>
      <c r="C19853" s="5">
        <v>122</v>
      </c>
      <c r="D19853" s="5">
        <v>0.1</v>
      </c>
      <c r="E19853" s="5">
        <v>122.2</v>
      </c>
      <c r="F19853" s="5">
        <v>244.1</v>
      </c>
      <c r="G19853" s="5">
        <v>121.8</v>
      </c>
      <c r="H19853" s="5">
        <v>121.6</v>
      </c>
      <c r="I19853" s="5"/>
      <c r="J19853" s="5"/>
      <c r="K19853" s="5"/>
    </row>
    <row r="19854" spans="1:11" x14ac:dyDescent="0.25">
      <c r="A19854" s="5">
        <f>19847</f>
      </c>
      <c r="B19854" s="5" t="s">
        <v>19862</v>
      </c>
      <c r="C19854" s="5">
        <v>122</v>
      </c>
      <c r="D19854" s="5">
        <v>0.1</v>
      </c>
      <c r="E19854" s="5">
        <v>122.2</v>
      </c>
      <c r="F19854" s="5">
        <v>244.1</v>
      </c>
      <c r="G19854" s="5">
        <v>121.8</v>
      </c>
      <c r="H19854" s="5">
        <v>121.6</v>
      </c>
      <c r="I19854" s="5"/>
      <c r="J19854" s="5"/>
      <c r="K19854" s="5"/>
    </row>
    <row r="19855" spans="1:11" x14ac:dyDescent="0.25">
      <c r="A19855" s="5">
        <f>19848</f>
      </c>
      <c r="B19855" s="5" t="s">
        <v>19863</v>
      </c>
      <c r="C19855" s="5">
        <v>122</v>
      </c>
      <c r="D19855" s="5">
        <v>0.1</v>
      </c>
      <c r="E19855" s="5">
        <v>122.1</v>
      </c>
      <c r="F19855" s="5">
        <v>244</v>
      </c>
      <c r="G19855" s="5">
        <v>121.7</v>
      </c>
      <c r="H19855" s="5">
        <v>121.5</v>
      </c>
      <c r="I19855" s="5"/>
      <c r="J19855" s="5"/>
      <c r="K19855" s="5"/>
    </row>
    <row r="19856" spans="1:11" x14ac:dyDescent="0.25">
      <c r="A19856" s="5">
        <f>19849</f>
      </c>
      <c r="B19856" s="5" t="s">
        <v>19864</v>
      </c>
      <c r="C19856" s="5">
        <v>122</v>
      </c>
      <c r="D19856" s="5">
        <v>0.1</v>
      </c>
      <c r="E19856" s="5">
        <v>122.1</v>
      </c>
      <c r="F19856" s="5">
        <v>244</v>
      </c>
      <c r="G19856" s="5">
        <v>121.7</v>
      </c>
      <c r="H19856" s="5">
        <v>121.5</v>
      </c>
      <c r="I19856" s="5"/>
      <c r="J19856" s="5"/>
      <c r="K19856" s="5"/>
    </row>
    <row r="19857" spans="1:11" x14ac:dyDescent="0.25">
      <c r="A19857" s="5">
        <f>19850</f>
      </c>
      <c r="B19857" s="5" t="s">
        <v>19865</v>
      </c>
      <c r="C19857" s="5">
        <v>122.1</v>
      </c>
      <c r="D19857" s="5">
        <v>0.1</v>
      </c>
      <c r="E19857" s="5">
        <v>122.2</v>
      </c>
      <c r="F19857" s="5">
        <v>244</v>
      </c>
      <c r="G19857" s="5">
        <v>121.7</v>
      </c>
      <c r="H19857" s="5">
        <v>121.6</v>
      </c>
      <c r="I19857" s="5"/>
      <c r="J19857" s="5"/>
      <c r="K19857" s="5"/>
    </row>
    <row r="19858" spans="1:11" x14ac:dyDescent="0.25">
      <c r="A19858" s="5">
        <f>19851</f>
      </c>
      <c r="B19858" s="5" t="s">
        <v>19866</v>
      </c>
      <c r="C19858" s="5">
        <v>122.1</v>
      </c>
      <c r="D19858" s="5">
        <v>0.1</v>
      </c>
      <c r="E19858" s="5">
        <v>122.2</v>
      </c>
      <c r="F19858" s="5">
        <v>244</v>
      </c>
      <c r="G19858" s="5">
        <v>121.7</v>
      </c>
      <c r="H19858" s="5">
        <v>121.6</v>
      </c>
      <c r="I19858" s="5"/>
      <c r="J19858" s="5"/>
      <c r="K19858" s="5"/>
    </row>
    <row r="19859" spans="1:11" x14ac:dyDescent="0.25">
      <c r="A19859" s="5">
        <f>19852</f>
      </c>
      <c r="B19859" s="5" t="s">
        <v>19867</v>
      </c>
      <c r="C19859" s="5">
        <v>122.2</v>
      </c>
      <c r="D19859" s="5">
        <v>0.1</v>
      </c>
      <c r="E19859" s="5">
        <v>122.4</v>
      </c>
      <c r="F19859" s="5">
        <v>243.7</v>
      </c>
      <c r="G19859" s="5">
        <v>121.6</v>
      </c>
      <c r="H19859" s="5">
        <v>121.5</v>
      </c>
      <c r="I19859" s="5"/>
      <c r="J19859" s="5"/>
      <c r="K19859" s="5"/>
    </row>
    <row r="19860" spans="1:11" x14ac:dyDescent="0.25">
      <c r="A19860" s="5">
        <f>19853</f>
      </c>
      <c r="B19860" s="5" t="s">
        <v>19868</v>
      </c>
      <c r="C19860" s="5">
        <v>122.2</v>
      </c>
      <c r="D19860" s="5">
        <v>0.1</v>
      </c>
      <c r="E19860" s="5">
        <v>122.4</v>
      </c>
      <c r="F19860" s="5">
        <v>243.7</v>
      </c>
      <c r="G19860" s="5">
        <v>121.6</v>
      </c>
      <c r="H19860" s="5">
        <v>121.5</v>
      </c>
      <c r="I19860" s="5"/>
      <c r="J19860" s="5"/>
      <c r="K19860" s="5"/>
    </row>
    <row r="19861" spans="1:11" x14ac:dyDescent="0.25">
      <c r="A19861" s="5">
        <f>19854</f>
      </c>
      <c r="B19861" s="5" t="s">
        <v>19869</v>
      </c>
      <c r="C19861" s="5">
        <v>122.2</v>
      </c>
      <c r="D19861" s="5">
        <v>0.1</v>
      </c>
      <c r="E19861" s="5">
        <v>122.4</v>
      </c>
      <c r="F19861" s="5">
        <v>243.7</v>
      </c>
      <c r="G19861" s="5">
        <v>121.6</v>
      </c>
      <c r="H19861" s="5">
        <v>121.5</v>
      </c>
      <c r="I19861" s="5"/>
      <c r="J19861" s="5"/>
      <c r="K19861" s="5"/>
    </row>
    <row r="19862" spans="1:11" x14ac:dyDescent="0.25">
      <c r="A19862" s="5">
        <f>19855</f>
      </c>
      <c r="B19862" s="5" t="s">
        <v>19870</v>
      </c>
      <c r="C19862" s="5">
        <v>122.2</v>
      </c>
      <c r="D19862" s="5">
        <v>0.1</v>
      </c>
      <c r="E19862" s="5">
        <v>122.4</v>
      </c>
      <c r="F19862" s="5">
        <v>243.7</v>
      </c>
      <c r="G19862" s="5">
        <v>121.6</v>
      </c>
      <c r="H19862" s="5">
        <v>121.5</v>
      </c>
      <c r="I19862" s="5"/>
      <c r="J19862" s="5"/>
      <c r="K19862" s="5"/>
    </row>
    <row r="19863" spans="1:11" x14ac:dyDescent="0.25">
      <c r="A19863" s="5">
        <f>19856</f>
      </c>
      <c r="B19863" s="5" t="s">
        <v>19871</v>
      </c>
      <c r="C19863" s="5">
        <v>122.1</v>
      </c>
      <c r="D19863" s="5">
        <v>0.1</v>
      </c>
      <c r="E19863" s="5">
        <v>122.3</v>
      </c>
      <c r="F19863" s="5">
        <v>243.5</v>
      </c>
      <c r="G19863" s="5">
        <v>121.6</v>
      </c>
      <c r="H19863" s="5">
        <v>121.5</v>
      </c>
      <c r="I19863" s="5"/>
      <c r="J19863" s="5"/>
      <c r="K19863" s="5"/>
    </row>
    <row r="19864" spans="1:11" x14ac:dyDescent="0.25">
      <c r="A19864" s="5">
        <f>19857</f>
      </c>
      <c r="B19864" s="5" t="s">
        <v>19872</v>
      </c>
      <c r="C19864" s="5">
        <v>122.1</v>
      </c>
      <c r="D19864" s="5">
        <v>0.1</v>
      </c>
      <c r="E19864" s="5">
        <v>122.3</v>
      </c>
      <c r="F19864" s="5">
        <v>243.5</v>
      </c>
      <c r="G19864" s="5">
        <v>121.6</v>
      </c>
      <c r="H19864" s="5">
        <v>121.4</v>
      </c>
      <c r="I19864" s="5"/>
      <c r="J19864" s="5"/>
      <c r="K19864" s="5"/>
    </row>
    <row r="19865" spans="1:11" x14ac:dyDescent="0.25">
      <c r="A19865" s="5">
        <f>19858</f>
      </c>
      <c r="B19865" s="5" t="s">
        <v>19873</v>
      </c>
      <c r="C19865" s="5">
        <v>122.3</v>
      </c>
      <c r="D19865" s="5">
        <v>0.1</v>
      </c>
      <c r="E19865" s="5">
        <v>122.5</v>
      </c>
      <c r="F19865" s="5">
        <v>244.8</v>
      </c>
      <c r="G19865" s="5">
        <v>121.6</v>
      </c>
      <c r="H19865" s="5">
        <v>121.4</v>
      </c>
      <c r="I19865" s="5"/>
      <c r="J19865" s="5"/>
      <c r="K19865" s="5"/>
    </row>
    <row r="19866" spans="1:11" x14ac:dyDescent="0.25">
      <c r="A19866" s="5">
        <f>19859</f>
      </c>
      <c r="B19866" s="5" t="s">
        <v>19874</v>
      </c>
      <c r="C19866" s="5">
        <v>122.3</v>
      </c>
      <c r="D19866" s="5">
        <v>0.1</v>
      </c>
      <c r="E19866" s="5">
        <v>122.5</v>
      </c>
      <c r="F19866" s="5">
        <v>244.8</v>
      </c>
      <c r="G19866" s="5">
        <v>122.2</v>
      </c>
      <c r="H19866" s="5">
        <v>122</v>
      </c>
      <c r="I19866" s="5"/>
      <c r="J19866" s="5"/>
      <c r="K19866" s="5"/>
    </row>
    <row r="19867" spans="1:11" x14ac:dyDescent="0.25">
      <c r="A19867" s="5">
        <f>19860</f>
      </c>
      <c r="B19867" s="5" t="s">
        <v>19875</v>
      </c>
      <c r="C19867" s="5">
        <v>122.5</v>
      </c>
      <c r="D19867" s="5">
        <v>0.1</v>
      </c>
      <c r="E19867" s="5">
        <v>122.6</v>
      </c>
      <c r="F19867" s="5">
        <v>244.8</v>
      </c>
      <c r="G19867" s="5">
        <v>122.2</v>
      </c>
      <c r="H19867" s="5">
        <v>122</v>
      </c>
      <c r="I19867" s="5"/>
      <c r="J19867" s="5"/>
      <c r="K19867" s="5"/>
    </row>
    <row r="19868" spans="1:11" x14ac:dyDescent="0.25">
      <c r="A19868" s="5">
        <f>19861</f>
      </c>
      <c r="B19868" s="5" t="s">
        <v>19876</v>
      </c>
      <c r="C19868" s="5">
        <v>122.5</v>
      </c>
      <c r="D19868" s="5">
        <v>0.1</v>
      </c>
      <c r="E19868" s="5">
        <v>122.6</v>
      </c>
      <c r="F19868" s="5">
        <v>244.6</v>
      </c>
      <c r="G19868" s="5">
        <v>122.1</v>
      </c>
      <c r="H19868" s="5">
        <v>121.8</v>
      </c>
      <c r="I19868" s="5"/>
      <c r="J19868" s="5"/>
      <c r="K19868" s="5"/>
    </row>
    <row r="19869" spans="1:11" x14ac:dyDescent="0.25">
      <c r="A19869" s="5">
        <f>19862</f>
      </c>
      <c r="B19869" s="5" t="s">
        <v>19877</v>
      </c>
      <c r="C19869" s="5">
        <v>122.5</v>
      </c>
      <c r="D19869" s="5">
        <v>0.1</v>
      </c>
      <c r="E19869" s="5">
        <v>122.6</v>
      </c>
      <c r="F19869" s="5">
        <v>244.6</v>
      </c>
      <c r="G19869" s="5">
        <v>122.1</v>
      </c>
      <c r="H19869" s="5">
        <v>121.8</v>
      </c>
      <c r="I19869" s="5"/>
      <c r="J19869" s="5"/>
      <c r="K19869" s="5"/>
    </row>
    <row r="19870" spans="1:11" x14ac:dyDescent="0.25">
      <c r="A19870" s="5">
        <f>19863</f>
      </c>
      <c r="B19870" s="5" t="s">
        <v>19878</v>
      </c>
      <c r="C19870" s="5">
        <v>122.5</v>
      </c>
      <c r="D19870" s="5">
        <v>0.1</v>
      </c>
      <c r="E19870" s="5">
        <v>122.6</v>
      </c>
      <c r="F19870" s="5">
        <v>244.3</v>
      </c>
      <c r="G19870" s="5">
        <v>121.9</v>
      </c>
      <c r="H19870" s="5">
        <v>121.8</v>
      </c>
      <c r="I19870" s="5"/>
      <c r="J19870" s="5"/>
      <c r="K19870" s="5"/>
    </row>
    <row r="19871" spans="1:11" x14ac:dyDescent="0.25">
      <c r="A19871" s="5">
        <f>19864</f>
      </c>
      <c r="B19871" s="5" t="s">
        <v>19879</v>
      </c>
      <c r="C19871" s="5">
        <v>122.5</v>
      </c>
      <c r="D19871" s="5">
        <v>0.1</v>
      </c>
      <c r="E19871" s="5">
        <v>122.6</v>
      </c>
      <c r="F19871" s="5">
        <v>244.3</v>
      </c>
      <c r="G19871" s="5">
        <v>121.9</v>
      </c>
      <c r="H19871" s="5">
        <v>121.8</v>
      </c>
      <c r="I19871" s="5"/>
      <c r="J19871" s="5"/>
      <c r="K19871" s="5"/>
    </row>
    <row r="19872" spans="1:11" x14ac:dyDescent="0.25">
      <c r="A19872" s="5">
        <f>19865</f>
      </c>
      <c r="B19872" s="5" t="s">
        <v>19880</v>
      </c>
      <c r="C19872" s="5">
        <v>122.5</v>
      </c>
      <c r="D19872" s="5">
        <v>0.1</v>
      </c>
      <c r="E19872" s="5">
        <v>122.6</v>
      </c>
      <c r="F19872" s="5">
        <v>244.3</v>
      </c>
      <c r="G19872" s="5">
        <v>121.9</v>
      </c>
      <c r="H19872" s="5">
        <v>121.8</v>
      </c>
      <c r="I19872" s="5"/>
      <c r="J19872" s="5"/>
      <c r="K19872" s="5"/>
    </row>
    <row r="19873" spans="1:11" x14ac:dyDescent="0.25">
      <c r="A19873" s="5">
        <f>19866</f>
      </c>
      <c r="B19873" s="5" t="s">
        <v>19881</v>
      </c>
      <c r="C19873" s="5">
        <v>122.5</v>
      </c>
      <c r="D19873" s="5">
        <v>0.1</v>
      </c>
      <c r="E19873" s="5">
        <v>122.6</v>
      </c>
      <c r="F19873" s="5">
        <v>244.6</v>
      </c>
      <c r="G19873" s="5">
        <v>122.1</v>
      </c>
      <c r="H19873" s="5">
        <v>121.9</v>
      </c>
      <c r="I19873" s="5"/>
      <c r="J19873" s="5"/>
      <c r="K19873" s="5"/>
    </row>
    <row r="19874" spans="1:11" x14ac:dyDescent="0.25">
      <c r="A19874" s="5">
        <f>19867</f>
      </c>
      <c r="B19874" s="5" t="s">
        <v>19882</v>
      </c>
      <c r="C19874" s="5">
        <v>122.5</v>
      </c>
      <c r="D19874" s="5">
        <v>0.1</v>
      </c>
      <c r="E19874" s="5">
        <v>122.7</v>
      </c>
      <c r="F19874" s="5">
        <v>244.6</v>
      </c>
      <c r="G19874" s="5">
        <v>122.1</v>
      </c>
      <c r="H19874" s="5">
        <v>121.9</v>
      </c>
      <c r="I19874" s="5"/>
      <c r="J19874" s="5"/>
      <c r="K19874" s="5"/>
    </row>
    <row r="19875" spans="1:11" x14ac:dyDescent="0.25">
      <c r="A19875" s="5">
        <f>19868</f>
      </c>
      <c r="B19875" s="5" t="s">
        <v>19883</v>
      </c>
      <c r="C19875" s="5">
        <v>122.5</v>
      </c>
      <c r="D19875" s="5">
        <v>0.1</v>
      </c>
      <c r="E19875" s="5">
        <v>122.7</v>
      </c>
      <c r="F19875" s="5">
        <v>244.6</v>
      </c>
      <c r="G19875" s="5">
        <v>122.1</v>
      </c>
      <c r="H19875" s="5">
        <v>122.1</v>
      </c>
      <c r="I19875" s="5"/>
      <c r="J19875" s="5"/>
      <c r="K19875" s="5"/>
    </row>
    <row r="19876" spans="1:11" x14ac:dyDescent="0.25">
      <c r="A19876" s="5">
        <f>19869</f>
      </c>
      <c r="B19876" s="5" t="s">
        <v>19884</v>
      </c>
      <c r="C19876" s="5">
        <v>122.6</v>
      </c>
      <c r="D19876" s="5">
        <v>0.1</v>
      </c>
      <c r="E19876" s="5">
        <v>122.8</v>
      </c>
      <c r="F19876" s="5">
        <v>245.1</v>
      </c>
      <c r="G19876" s="5">
        <v>122.3</v>
      </c>
      <c r="H19876" s="5">
        <v>122.1</v>
      </c>
      <c r="I19876" s="5"/>
      <c r="J19876" s="5"/>
      <c r="K19876" s="5"/>
    </row>
    <row r="19877" spans="1:11" x14ac:dyDescent="0.25">
      <c r="A19877" s="5">
        <f>19870</f>
      </c>
      <c r="B19877" s="5" t="s">
        <v>19885</v>
      </c>
      <c r="C19877" s="5">
        <v>122.6</v>
      </c>
      <c r="D19877" s="5">
        <v>0.1</v>
      </c>
      <c r="E19877" s="5">
        <v>122.8</v>
      </c>
      <c r="F19877" s="5">
        <v>245.1</v>
      </c>
      <c r="G19877" s="5">
        <v>122.3</v>
      </c>
      <c r="H19877" s="5">
        <v>122.1</v>
      </c>
      <c r="I19877" s="5"/>
      <c r="J19877" s="5"/>
      <c r="K19877" s="5"/>
    </row>
    <row r="19878" spans="1:11" x14ac:dyDescent="0.25">
      <c r="A19878" s="5">
        <f>19871</f>
      </c>
      <c r="B19878" s="5" t="s">
        <v>19886</v>
      </c>
      <c r="C19878" s="5">
        <v>122.5</v>
      </c>
      <c r="D19878" s="5">
        <v>0.1</v>
      </c>
      <c r="E19878" s="5">
        <v>122.7</v>
      </c>
      <c r="F19878" s="5">
        <v>244.7</v>
      </c>
      <c r="G19878" s="5">
        <v>122.1</v>
      </c>
      <c r="H19878" s="5">
        <v>121.9</v>
      </c>
      <c r="I19878" s="5"/>
      <c r="J19878" s="5"/>
      <c r="K19878" s="5"/>
    </row>
    <row r="19879" spans="1:11" x14ac:dyDescent="0.25">
      <c r="A19879" s="5">
        <f>19872</f>
      </c>
      <c r="B19879" s="5" t="s">
        <v>19887</v>
      </c>
      <c r="C19879" s="5">
        <v>122.5</v>
      </c>
      <c r="D19879" s="5">
        <v>0.1</v>
      </c>
      <c r="E19879" s="5">
        <v>122.7</v>
      </c>
      <c r="F19879" s="5">
        <v>244.7</v>
      </c>
      <c r="G19879" s="5">
        <v>122.1</v>
      </c>
      <c r="H19879" s="5">
        <v>121.9</v>
      </c>
      <c r="I19879" s="5"/>
      <c r="J19879" s="5"/>
      <c r="K19879" s="5"/>
    </row>
    <row r="19880" spans="1:11" x14ac:dyDescent="0.25">
      <c r="A19880" s="5">
        <f>19873</f>
      </c>
      <c r="B19880" s="5" t="s">
        <v>19888</v>
      </c>
      <c r="C19880" s="5">
        <v>118.7</v>
      </c>
      <c r="D19880" s="5">
        <v>0.1</v>
      </c>
      <c r="E19880" s="5">
        <v>119</v>
      </c>
      <c r="F19880" s="5">
        <v>237.3</v>
      </c>
      <c r="G19880" s="5">
        <v>118.4</v>
      </c>
      <c r="H19880" s="5">
        <v>118.3</v>
      </c>
      <c r="I19880" s="5"/>
      <c r="J19880" s="5"/>
      <c r="K19880" s="5"/>
    </row>
    <row r="19881" spans="1:11" x14ac:dyDescent="0.25">
      <c r="A19881" s="5">
        <f>19874</f>
      </c>
      <c r="B19881" s="5" t="s">
        <v>19889</v>
      </c>
      <c r="C19881" s="5">
        <v>118.7</v>
      </c>
      <c r="D19881" s="5">
        <v>0.1</v>
      </c>
      <c r="E19881" s="5">
        <v>119</v>
      </c>
      <c r="F19881" s="5">
        <v>237.3</v>
      </c>
      <c r="G19881" s="5">
        <v>118.4</v>
      </c>
      <c r="H19881" s="5">
        <v>118.3</v>
      </c>
      <c r="I19881" s="5"/>
      <c r="J19881" s="5"/>
      <c r="K19881" s="5"/>
    </row>
    <row r="19882" spans="1:11" x14ac:dyDescent="0.25">
      <c r="A19882" s="5">
        <f>19875</f>
      </c>
      <c r="B19882" s="5" t="s">
        <v>19890</v>
      </c>
      <c r="C19882" s="5">
        <v>118.7</v>
      </c>
      <c r="D19882" s="5">
        <v>0.1</v>
      </c>
      <c r="E19882" s="5">
        <v>119</v>
      </c>
      <c r="F19882" s="5">
        <v>237.3</v>
      </c>
      <c r="G19882" s="5">
        <v>118.4</v>
      </c>
      <c r="H19882" s="5">
        <v>118.3</v>
      </c>
      <c r="I19882" s="5"/>
      <c r="J19882" s="5"/>
      <c r="K19882" s="5"/>
    </row>
    <row r="19883" spans="1:11" x14ac:dyDescent="0.25">
      <c r="A19883" s="5">
        <f>19876</f>
      </c>
      <c r="B19883" s="5" t="s">
        <v>19891</v>
      </c>
      <c r="C19883" s="5">
        <v>118</v>
      </c>
      <c r="D19883" s="5">
        <v>0.1</v>
      </c>
      <c r="E19883" s="5">
        <v>118.2</v>
      </c>
      <c r="F19883" s="5">
        <v>235.9</v>
      </c>
      <c r="G19883" s="5">
        <v>117.7</v>
      </c>
      <c r="H19883" s="5">
        <v>117.6</v>
      </c>
      <c r="I19883" s="5"/>
      <c r="J19883" s="5"/>
      <c r="K19883" s="5"/>
    </row>
    <row r="19884" spans="1:11" x14ac:dyDescent="0.25">
      <c r="A19884" s="5">
        <f>19877</f>
      </c>
      <c r="B19884" s="5" t="s">
        <v>19892</v>
      </c>
      <c r="C19884" s="5">
        <v>118</v>
      </c>
      <c r="D19884" s="5">
        <v>0.1</v>
      </c>
      <c r="E19884" s="5">
        <v>118.2</v>
      </c>
      <c r="F19884" s="5">
        <v>235.9</v>
      </c>
      <c r="G19884" s="5">
        <v>117.7</v>
      </c>
      <c r="H19884" s="5">
        <v>117.6</v>
      </c>
      <c r="I19884" s="5"/>
      <c r="J19884" s="5"/>
      <c r="K19884" s="5"/>
    </row>
    <row r="19885" spans="1:11" x14ac:dyDescent="0.25">
      <c r="A19885" s="5">
        <f>19878</f>
      </c>
      <c r="B19885" s="5" t="s">
        <v>19893</v>
      </c>
      <c r="C19885" s="5">
        <v>117.8</v>
      </c>
      <c r="D19885" s="5">
        <v>0.1</v>
      </c>
      <c r="E19885" s="5">
        <v>118</v>
      </c>
      <c r="F19885" s="5">
        <v>235</v>
      </c>
      <c r="G19885" s="5">
        <v>117.3</v>
      </c>
      <c r="H19885" s="5">
        <v>117.1</v>
      </c>
      <c r="I19885" s="5"/>
      <c r="J19885" s="5"/>
      <c r="K19885" s="5"/>
    </row>
    <row r="19886" spans="1:11" x14ac:dyDescent="0.25">
      <c r="A19886" s="5">
        <f>19879</f>
      </c>
      <c r="B19886" s="5" t="s">
        <v>19894</v>
      </c>
      <c r="C19886" s="5">
        <v>117.8</v>
      </c>
      <c r="D19886" s="5">
        <v>0.1</v>
      </c>
      <c r="E19886" s="5">
        <v>118</v>
      </c>
      <c r="F19886" s="5">
        <v>235</v>
      </c>
      <c r="G19886" s="5">
        <v>117.3</v>
      </c>
      <c r="H19886" s="5">
        <v>117.1</v>
      </c>
      <c r="I19886" s="5"/>
      <c r="J19886" s="5"/>
      <c r="K19886" s="5"/>
    </row>
    <row r="19887" spans="1:11" x14ac:dyDescent="0.25">
      <c r="A19887" s="5">
        <f>19880</f>
      </c>
      <c r="B19887" s="5" t="s">
        <v>19895</v>
      </c>
      <c r="C19887" s="5">
        <v>117.7</v>
      </c>
      <c r="D19887" s="5">
        <v>0.1</v>
      </c>
      <c r="E19887" s="5">
        <v>117.9</v>
      </c>
      <c r="F19887" s="5">
        <v>235.3</v>
      </c>
      <c r="G19887" s="5">
        <v>117.5</v>
      </c>
      <c r="H19887" s="5">
        <v>117.3</v>
      </c>
      <c r="I19887" s="5"/>
      <c r="J19887" s="5"/>
      <c r="K19887" s="5"/>
    </row>
    <row r="19888" spans="1:11" x14ac:dyDescent="0.25">
      <c r="A19888" s="5">
        <f>19881</f>
      </c>
      <c r="B19888" s="5" t="s">
        <v>19896</v>
      </c>
      <c r="C19888" s="5">
        <v>117.7</v>
      </c>
      <c r="D19888" s="5">
        <v>0.1</v>
      </c>
      <c r="E19888" s="5">
        <v>117.9</v>
      </c>
      <c r="F19888" s="5">
        <v>235.3</v>
      </c>
      <c r="G19888" s="5">
        <v>117.5</v>
      </c>
      <c r="H19888" s="5">
        <v>117.3</v>
      </c>
      <c r="I19888" s="5"/>
      <c r="J19888" s="5"/>
      <c r="K19888" s="5"/>
    </row>
    <row r="19889" spans="1:11" x14ac:dyDescent="0.25">
      <c r="A19889" s="5">
        <f>19882</f>
      </c>
      <c r="B19889" s="5" t="s">
        <v>19897</v>
      </c>
      <c r="C19889" s="5">
        <v>118</v>
      </c>
      <c r="D19889" s="5">
        <v>0.1</v>
      </c>
      <c r="E19889" s="5">
        <v>118.2</v>
      </c>
      <c r="F19889" s="5">
        <v>235.8</v>
      </c>
      <c r="G19889" s="5">
        <v>117.7</v>
      </c>
      <c r="H19889" s="5">
        <v>117.5</v>
      </c>
      <c r="I19889" s="5"/>
      <c r="J19889" s="5"/>
      <c r="K19889" s="5"/>
    </row>
    <row r="19890" spans="1:11" x14ac:dyDescent="0.25">
      <c r="A19890" s="5">
        <f>19883</f>
      </c>
      <c r="B19890" s="5" t="s">
        <v>19898</v>
      </c>
      <c r="C19890" s="5">
        <v>118</v>
      </c>
      <c r="D19890" s="5">
        <v>0.1</v>
      </c>
      <c r="E19890" s="5">
        <v>118.2</v>
      </c>
      <c r="F19890" s="5">
        <v>235.8</v>
      </c>
      <c r="G19890" s="5">
        <v>117.7</v>
      </c>
      <c r="H19890" s="5">
        <v>117.5</v>
      </c>
      <c r="I19890" s="5"/>
      <c r="J19890" s="5"/>
      <c r="K19890" s="5"/>
    </row>
    <row r="19891" spans="1:11" x14ac:dyDescent="0.25">
      <c r="A19891" s="5">
        <f>19884</f>
      </c>
      <c r="B19891" s="5" t="s">
        <v>19899</v>
      </c>
      <c r="C19891" s="5">
        <v>118</v>
      </c>
      <c r="D19891" s="5">
        <v>0.1</v>
      </c>
      <c r="E19891" s="5">
        <v>118.2</v>
      </c>
      <c r="F19891" s="5">
        <v>235.8</v>
      </c>
      <c r="G19891" s="5">
        <v>117.7</v>
      </c>
      <c r="H19891" s="5">
        <v>117.5</v>
      </c>
      <c r="I19891" s="5"/>
      <c r="J19891" s="5"/>
      <c r="K19891" s="5"/>
    </row>
    <row r="19892" spans="1:11" x14ac:dyDescent="0.25">
      <c r="A19892" s="5">
        <f>19885</f>
      </c>
      <c r="B19892" s="5" t="s">
        <v>19900</v>
      </c>
      <c r="C19892" s="5">
        <v>118</v>
      </c>
      <c r="D19892" s="5">
        <v>0.1</v>
      </c>
      <c r="E19892" s="5">
        <v>118.2</v>
      </c>
      <c r="F19892" s="5">
        <v>235.8</v>
      </c>
      <c r="G19892" s="5">
        <v>117.7</v>
      </c>
      <c r="H19892" s="5">
        <v>117.5</v>
      </c>
      <c r="I19892" s="5"/>
      <c r="J19892" s="5"/>
      <c r="K19892" s="5"/>
    </row>
    <row r="19893" spans="1:11" x14ac:dyDescent="0.25">
      <c r="A19893" s="5">
        <f>19886</f>
      </c>
      <c r="B19893" s="5" t="s">
        <v>19901</v>
      </c>
      <c r="C19893" s="5">
        <v>118.5</v>
      </c>
      <c r="D19893" s="5">
        <v>0.1</v>
      </c>
      <c r="E19893" s="5">
        <v>118.6</v>
      </c>
      <c r="F19893" s="5">
        <v>236.6</v>
      </c>
      <c r="G19893" s="5">
        <v>118.1</v>
      </c>
      <c r="H19893" s="5">
        <v>117.9</v>
      </c>
      <c r="I19893" s="5"/>
      <c r="J19893" s="5"/>
      <c r="K19893" s="5"/>
    </row>
    <row r="19894" spans="1:11" x14ac:dyDescent="0.25">
      <c r="A19894" s="5">
        <f>19887</f>
      </c>
      <c r="B19894" s="5" t="s">
        <v>19902</v>
      </c>
      <c r="C19894" s="5">
        <v>118.5</v>
      </c>
      <c r="D19894" s="5">
        <v>0.1</v>
      </c>
      <c r="E19894" s="5">
        <v>118.6</v>
      </c>
      <c r="F19894" s="5">
        <v>236.6</v>
      </c>
      <c r="G19894" s="5">
        <v>118.1</v>
      </c>
      <c r="H19894" s="5">
        <v>117.9</v>
      </c>
      <c r="I19894" s="5"/>
      <c r="J19894" s="5"/>
      <c r="K19894" s="5"/>
    </row>
    <row r="19895" spans="1:11" x14ac:dyDescent="0.25">
      <c r="A19895" s="5">
        <f>19888</f>
      </c>
      <c r="B19895" s="5" t="s">
        <v>19903</v>
      </c>
      <c r="C19895" s="5">
        <v>118.3</v>
      </c>
      <c r="D19895" s="5">
        <v>0.1</v>
      </c>
      <c r="E19895" s="5">
        <v>118.5</v>
      </c>
      <c r="F19895" s="5">
        <v>236.3</v>
      </c>
      <c r="G19895" s="5">
        <v>117.9</v>
      </c>
      <c r="H19895" s="5">
        <v>117.8</v>
      </c>
      <c r="I19895" s="5"/>
      <c r="J19895" s="5"/>
      <c r="K19895" s="5"/>
    </row>
    <row r="19896" spans="1:11" x14ac:dyDescent="0.25">
      <c r="A19896" s="5">
        <f>19889</f>
      </c>
      <c r="B19896" s="5" t="s">
        <v>19904</v>
      </c>
      <c r="C19896" s="5">
        <v>118.3</v>
      </c>
      <c r="D19896" s="5">
        <v>0.1</v>
      </c>
      <c r="E19896" s="5">
        <v>118.5</v>
      </c>
      <c r="F19896" s="5">
        <v>236.3</v>
      </c>
      <c r="G19896" s="5">
        <v>117.9</v>
      </c>
      <c r="H19896" s="5">
        <v>117.8</v>
      </c>
      <c r="I19896" s="5"/>
      <c r="J19896" s="5"/>
      <c r="K19896" s="5"/>
    </row>
    <row r="19897" spans="1:11" x14ac:dyDescent="0.25">
      <c r="A19897" s="5">
        <f>19890</f>
      </c>
      <c r="B19897" s="5" t="s">
        <v>19905</v>
      </c>
      <c r="C19897" s="5">
        <v>118.4</v>
      </c>
      <c r="D19897" s="5">
        <v>0.1</v>
      </c>
      <c r="E19897" s="5">
        <v>118.6</v>
      </c>
      <c r="F19897" s="5">
        <v>236.3</v>
      </c>
      <c r="G19897" s="5">
        <v>118</v>
      </c>
      <c r="H19897" s="5">
        <v>117.8</v>
      </c>
      <c r="I19897" s="5"/>
      <c r="J19897" s="5"/>
      <c r="K19897" s="5"/>
    </row>
    <row r="19898" spans="1:11" x14ac:dyDescent="0.25">
      <c r="A19898" s="5">
        <f>19891</f>
      </c>
      <c r="B19898" s="5" t="s">
        <v>19906</v>
      </c>
      <c r="C19898" s="5">
        <v>118.4</v>
      </c>
      <c r="D19898" s="5">
        <v>0.1</v>
      </c>
      <c r="E19898" s="5">
        <v>118.6</v>
      </c>
      <c r="F19898" s="5">
        <v>236.3</v>
      </c>
      <c r="G19898" s="5">
        <v>118</v>
      </c>
      <c r="H19898" s="5">
        <v>117.8</v>
      </c>
      <c r="I19898" s="5"/>
      <c r="J19898" s="5"/>
      <c r="K19898" s="5"/>
    </row>
    <row r="19899" spans="1:11" x14ac:dyDescent="0.25">
      <c r="A19899" s="5">
        <f>19892</f>
      </c>
      <c r="B19899" s="5" t="s">
        <v>19907</v>
      </c>
      <c r="C19899" s="5">
        <v>118.3</v>
      </c>
      <c r="D19899" s="5">
        <v>0.1</v>
      </c>
      <c r="E19899" s="5">
        <v>118.5</v>
      </c>
      <c r="F19899" s="5">
        <v>236.6</v>
      </c>
      <c r="G19899" s="5">
        <v>118.1</v>
      </c>
      <c r="H19899" s="5">
        <v>117.9</v>
      </c>
      <c r="I19899" s="5"/>
      <c r="J19899" s="5"/>
      <c r="K19899" s="5"/>
    </row>
    <row r="19900" spans="1:11" x14ac:dyDescent="0.25">
      <c r="A19900" s="5">
        <f>19893</f>
      </c>
      <c r="B19900" s="5" t="s">
        <v>19908</v>
      </c>
      <c r="C19900" s="5">
        <v>118.3</v>
      </c>
      <c r="D19900" s="5">
        <v>0.1</v>
      </c>
      <c r="E19900" s="5">
        <v>118.5</v>
      </c>
      <c r="F19900" s="5">
        <v>236.6</v>
      </c>
      <c r="G19900" s="5">
        <v>118.1</v>
      </c>
      <c r="H19900" s="5">
        <v>117.9</v>
      </c>
      <c r="I19900" s="5"/>
      <c r="J19900" s="5"/>
      <c r="K19900" s="5"/>
    </row>
    <row r="19901" spans="1:11" x14ac:dyDescent="0.25">
      <c r="A19901" s="5">
        <f>19894</f>
      </c>
      <c r="B19901" s="5" t="s">
        <v>19909</v>
      </c>
      <c r="C19901" s="5">
        <v>118.3</v>
      </c>
      <c r="D19901" s="5">
        <v>0.1</v>
      </c>
      <c r="E19901" s="5">
        <v>118.5</v>
      </c>
      <c r="F19901" s="5">
        <v>236.6</v>
      </c>
      <c r="G19901" s="5">
        <v>118.1</v>
      </c>
      <c r="H19901" s="5">
        <v>117.9</v>
      </c>
      <c r="I19901" s="5"/>
      <c r="J19901" s="5"/>
      <c r="K19901" s="5"/>
    </row>
    <row r="19902" spans="1:11" x14ac:dyDescent="0.25">
      <c r="A19902" s="5">
        <f>19895</f>
      </c>
      <c r="B19902" s="5" t="s">
        <v>19910</v>
      </c>
      <c r="C19902" s="5">
        <v>118.3</v>
      </c>
      <c r="D19902" s="5">
        <v>0.1</v>
      </c>
      <c r="E19902" s="5">
        <v>118.5</v>
      </c>
      <c r="F19902" s="5">
        <v>236.6</v>
      </c>
      <c r="G19902" s="5">
        <v>118.1</v>
      </c>
      <c r="H19902" s="5">
        <v>117.9</v>
      </c>
      <c r="I19902" s="5"/>
      <c r="J19902" s="5"/>
      <c r="K19902" s="5"/>
    </row>
    <row r="19903" spans="1:11" x14ac:dyDescent="0.25">
      <c r="A19903" s="5">
        <f>19896</f>
      </c>
      <c r="B19903" s="5" t="s">
        <v>19911</v>
      </c>
      <c r="C19903" s="5">
        <v>118.5</v>
      </c>
      <c r="D19903" s="5">
        <v>0.1</v>
      </c>
      <c r="E19903" s="5">
        <v>118.6</v>
      </c>
      <c r="F19903" s="5">
        <v>236.9</v>
      </c>
      <c r="G19903" s="5">
        <v>118.3</v>
      </c>
      <c r="H19903" s="5">
        <v>118.1</v>
      </c>
      <c r="I19903" s="5"/>
      <c r="J19903" s="5"/>
      <c r="K19903" s="5"/>
    </row>
    <row r="19904" spans="1:11" x14ac:dyDescent="0.25">
      <c r="A19904" s="5">
        <f>19897</f>
      </c>
      <c r="B19904" s="5" t="s">
        <v>19912</v>
      </c>
      <c r="C19904" s="5">
        <v>118.5</v>
      </c>
      <c r="D19904" s="5">
        <v>0.1</v>
      </c>
      <c r="E19904" s="5">
        <v>118.6</v>
      </c>
      <c r="F19904" s="5">
        <v>236.9</v>
      </c>
      <c r="G19904" s="5">
        <v>118.3</v>
      </c>
      <c r="H19904" s="5">
        <v>118.1</v>
      </c>
      <c r="I19904" s="5"/>
      <c r="J19904" s="5"/>
      <c r="K19904" s="5"/>
    </row>
    <row r="19905" spans="1:11" x14ac:dyDescent="0.25">
      <c r="A19905" s="5">
        <f>19898</f>
      </c>
      <c r="B19905" s="5" t="s">
        <v>19913</v>
      </c>
      <c r="C19905" s="5">
        <v>118.3</v>
      </c>
      <c r="D19905" s="5">
        <v>0.1</v>
      </c>
      <c r="E19905" s="5">
        <v>118.6</v>
      </c>
      <c r="F19905" s="5">
        <v>236.8</v>
      </c>
      <c r="G19905" s="5">
        <v>118.3</v>
      </c>
      <c r="H19905" s="5">
        <v>118.1</v>
      </c>
      <c r="I19905" s="5"/>
      <c r="J19905" s="5"/>
      <c r="K19905" s="5"/>
    </row>
    <row r="19906" spans="1:11" x14ac:dyDescent="0.25">
      <c r="A19906" s="5">
        <f>19899</f>
      </c>
      <c r="B19906" s="5" t="s">
        <v>19914</v>
      </c>
      <c r="C19906" s="5">
        <v>118.3</v>
      </c>
      <c r="D19906" s="5">
        <v>0.1</v>
      </c>
      <c r="E19906" s="5">
        <v>118.6</v>
      </c>
      <c r="F19906" s="5">
        <v>236.8</v>
      </c>
      <c r="G19906" s="5">
        <v>118.3</v>
      </c>
      <c r="H19906" s="5">
        <v>118.1</v>
      </c>
      <c r="I19906" s="5"/>
      <c r="J19906" s="5"/>
      <c r="K19906" s="5"/>
    </row>
    <row r="19907" spans="1:11" x14ac:dyDescent="0.25">
      <c r="A19907" s="5">
        <f>19900</f>
      </c>
      <c r="B19907" s="5" t="s">
        <v>19915</v>
      </c>
      <c r="C19907" s="5">
        <v>118.5</v>
      </c>
      <c r="D19907" s="5">
        <v>0.1</v>
      </c>
      <c r="E19907" s="5">
        <v>118.6</v>
      </c>
      <c r="F19907" s="5">
        <v>236.8</v>
      </c>
      <c r="G19907" s="5">
        <v>118.2</v>
      </c>
      <c r="H19907" s="5">
        <v>118</v>
      </c>
      <c r="I19907" s="5"/>
      <c r="J19907" s="5"/>
      <c r="K19907" s="5"/>
    </row>
    <row r="19908" spans="1:11" x14ac:dyDescent="0.25">
      <c r="A19908" s="5">
        <f>19901</f>
      </c>
      <c r="B19908" s="5" t="s">
        <v>19916</v>
      </c>
      <c r="C19908" s="5">
        <v>118.5</v>
      </c>
      <c r="D19908" s="5">
        <v>0.1</v>
      </c>
      <c r="E19908" s="5">
        <v>118.6</v>
      </c>
      <c r="F19908" s="5">
        <v>236.8</v>
      </c>
      <c r="G19908" s="5">
        <v>118.2</v>
      </c>
      <c r="H19908" s="5">
        <v>118</v>
      </c>
      <c r="I19908" s="5"/>
      <c r="J19908" s="5"/>
      <c r="K19908" s="5"/>
    </row>
    <row r="19909" spans="1:11" x14ac:dyDescent="0.25">
      <c r="A19909" s="5">
        <f>19902</f>
      </c>
      <c r="B19909" s="5" t="s">
        <v>19917</v>
      </c>
      <c r="C19909" s="5">
        <v>118.4</v>
      </c>
      <c r="D19909" s="5">
        <v>0.1</v>
      </c>
      <c r="E19909" s="5">
        <v>118.6</v>
      </c>
      <c r="F19909" s="5">
        <v>236.8</v>
      </c>
      <c r="G19909" s="5">
        <v>118.2</v>
      </c>
      <c r="H19909" s="5">
        <v>118</v>
      </c>
      <c r="I19909" s="5"/>
      <c r="J19909" s="5"/>
      <c r="K19909" s="5"/>
    </row>
    <row r="19910" spans="1:11" x14ac:dyDescent="0.25">
      <c r="A19910" s="5">
        <f>19903</f>
      </c>
      <c r="B19910" s="5" t="s">
        <v>19918</v>
      </c>
      <c r="C19910" s="5">
        <v>118.4</v>
      </c>
      <c r="D19910" s="5">
        <v>0.1</v>
      </c>
      <c r="E19910" s="5">
        <v>118.6</v>
      </c>
      <c r="F19910" s="5">
        <v>236.8</v>
      </c>
      <c r="G19910" s="5">
        <v>118.2</v>
      </c>
      <c r="H19910" s="5">
        <v>118</v>
      </c>
      <c r="I19910" s="5"/>
      <c r="J19910" s="5"/>
      <c r="K19910" s="5"/>
    </row>
    <row r="19911" spans="1:11" x14ac:dyDescent="0.25">
      <c r="A19911" s="5">
        <f>19904</f>
      </c>
      <c r="B19911" s="5" t="s">
        <v>19919</v>
      </c>
      <c r="C19911" s="5">
        <v>118.4</v>
      </c>
      <c r="D19911" s="5">
        <v>0.1</v>
      </c>
      <c r="E19911" s="5">
        <v>118.6</v>
      </c>
      <c r="F19911" s="5">
        <v>236.8</v>
      </c>
      <c r="G19911" s="5">
        <v>118.2</v>
      </c>
      <c r="H19911" s="5">
        <v>118</v>
      </c>
      <c r="I19911" s="5"/>
      <c r="J19911" s="5"/>
      <c r="K19911" s="5"/>
    </row>
    <row r="19912" spans="1:11" x14ac:dyDescent="0.25">
      <c r="A19912" s="5">
        <f>19905</f>
      </c>
      <c r="B19912" s="5" t="s">
        <v>19920</v>
      </c>
      <c r="C19912" s="5">
        <v>118.4</v>
      </c>
      <c r="D19912" s="5">
        <v>0.1</v>
      </c>
      <c r="E19912" s="5">
        <v>118.6</v>
      </c>
      <c r="F19912" s="5">
        <v>236.8</v>
      </c>
      <c r="G19912" s="5">
        <v>118.2</v>
      </c>
      <c r="H19912" s="5">
        <v>118</v>
      </c>
      <c r="I19912" s="5"/>
      <c r="J19912" s="5"/>
      <c r="K19912" s="5"/>
    </row>
    <row r="19913" spans="1:11" x14ac:dyDescent="0.25">
      <c r="A19913" s="5">
        <f>19906</f>
      </c>
      <c r="B19913" s="5" t="s">
        <v>19921</v>
      </c>
      <c r="C19913" s="5">
        <v>118.2</v>
      </c>
      <c r="D19913" s="5">
        <v>0.1</v>
      </c>
      <c r="E19913" s="5">
        <v>118.3</v>
      </c>
      <c r="F19913" s="5">
        <v>236.7</v>
      </c>
      <c r="G19913" s="5">
        <v>118.1</v>
      </c>
      <c r="H19913" s="5">
        <v>117.8</v>
      </c>
      <c r="I19913" s="5"/>
      <c r="J19913" s="5"/>
      <c r="K19913" s="5"/>
    </row>
    <row r="19914" spans="1:11" x14ac:dyDescent="0.25">
      <c r="A19914" s="5">
        <f>19907</f>
      </c>
      <c r="B19914" s="5" t="s">
        <v>19922</v>
      </c>
      <c r="C19914" s="5">
        <v>118.2</v>
      </c>
      <c r="D19914" s="5">
        <v>0.1</v>
      </c>
      <c r="E19914" s="5">
        <v>118.3</v>
      </c>
      <c r="F19914" s="5">
        <v>236.7</v>
      </c>
      <c r="G19914" s="5">
        <v>118.1</v>
      </c>
      <c r="H19914" s="5">
        <v>117.8</v>
      </c>
      <c r="I19914" s="5"/>
      <c r="J19914" s="5"/>
      <c r="K19914" s="5"/>
    </row>
    <row r="19915" spans="1:11" x14ac:dyDescent="0.25">
      <c r="A19915" s="5">
        <f>19908</f>
      </c>
      <c r="B19915" s="5" t="s">
        <v>19923</v>
      </c>
      <c r="C19915" s="5">
        <v>118.3</v>
      </c>
      <c r="D19915" s="5">
        <v>0.1</v>
      </c>
      <c r="E19915" s="5">
        <v>118.5</v>
      </c>
      <c r="F19915" s="5">
        <v>236.8</v>
      </c>
      <c r="G19915" s="5">
        <v>118.2</v>
      </c>
      <c r="H19915" s="5">
        <v>118.1</v>
      </c>
      <c r="I19915" s="5"/>
      <c r="J19915" s="5"/>
      <c r="K19915" s="5"/>
    </row>
    <row r="19916" spans="1:11" x14ac:dyDescent="0.25">
      <c r="A19916" s="5">
        <f>19909</f>
      </c>
      <c r="B19916" s="5" t="s">
        <v>19924</v>
      </c>
      <c r="C19916" s="5">
        <v>118.3</v>
      </c>
      <c r="D19916" s="5">
        <v>0.1</v>
      </c>
      <c r="E19916" s="5">
        <v>118.5</v>
      </c>
      <c r="F19916" s="5">
        <v>236.8</v>
      </c>
      <c r="G19916" s="5">
        <v>118.2</v>
      </c>
      <c r="H19916" s="5">
        <v>118.1</v>
      </c>
      <c r="I19916" s="5"/>
      <c r="J19916" s="5"/>
      <c r="K19916" s="5"/>
    </row>
    <row r="19917" spans="1:11" x14ac:dyDescent="0.25">
      <c r="A19917" s="5">
        <f>19910</f>
      </c>
      <c r="B19917" s="5" t="s">
        <v>19925</v>
      </c>
      <c r="C19917" s="5">
        <v>118.4</v>
      </c>
      <c r="D19917" s="5">
        <v>0.1</v>
      </c>
      <c r="E19917" s="5">
        <v>118.6</v>
      </c>
      <c r="F19917" s="5">
        <v>236.9</v>
      </c>
      <c r="G19917" s="5">
        <v>118.2</v>
      </c>
      <c r="H19917" s="5">
        <v>118.1</v>
      </c>
      <c r="I19917" s="5"/>
      <c r="J19917" s="5"/>
      <c r="K19917" s="5"/>
    </row>
    <row r="19918" spans="1:11" x14ac:dyDescent="0.25">
      <c r="A19918" s="5">
        <f>19911</f>
      </c>
      <c r="B19918" s="5" t="s">
        <v>19926</v>
      </c>
      <c r="C19918" s="5">
        <v>118.4</v>
      </c>
      <c r="D19918" s="5">
        <v>0.1</v>
      </c>
      <c r="E19918" s="5">
        <v>118.6</v>
      </c>
      <c r="F19918" s="5">
        <v>236.9</v>
      </c>
      <c r="G19918" s="5">
        <v>118.2</v>
      </c>
      <c r="H19918" s="5">
        <v>118.1</v>
      </c>
      <c r="I19918" s="5"/>
      <c r="J19918" s="5"/>
      <c r="K19918" s="5"/>
    </row>
    <row r="19919" spans="1:11" x14ac:dyDescent="0.25">
      <c r="A19919" s="5">
        <f>19912</f>
      </c>
      <c r="B19919" s="5" t="s">
        <v>19927</v>
      </c>
      <c r="C19919" s="5">
        <v>118.5</v>
      </c>
      <c r="D19919" s="5">
        <v>0.1</v>
      </c>
      <c r="E19919" s="5">
        <v>118.6</v>
      </c>
      <c r="F19919" s="5">
        <v>236.9</v>
      </c>
      <c r="G19919" s="5">
        <v>118.2</v>
      </c>
      <c r="H19919" s="5">
        <v>118</v>
      </c>
      <c r="I19919" s="5"/>
      <c r="J19919" s="5"/>
      <c r="K19919" s="5"/>
    </row>
    <row r="19920" spans="1:11" x14ac:dyDescent="0.25">
      <c r="A19920" s="5">
        <f>19913</f>
      </c>
      <c r="B19920" s="5" t="s">
        <v>19928</v>
      </c>
      <c r="C19920" s="5">
        <v>118.5</v>
      </c>
      <c r="D19920" s="5">
        <v>0.1</v>
      </c>
      <c r="E19920" s="5">
        <v>118.6</v>
      </c>
      <c r="F19920" s="5">
        <v>236.9</v>
      </c>
      <c r="G19920" s="5">
        <v>118.2</v>
      </c>
      <c r="H19920" s="5">
        <v>118</v>
      </c>
      <c r="I19920" s="5"/>
      <c r="J19920" s="5"/>
      <c r="K19920" s="5"/>
    </row>
    <row r="19921" spans="1:11" x14ac:dyDescent="0.25">
      <c r="A19921" s="5">
        <f>19914</f>
      </c>
      <c r="B19921" s="5" t="s">
        <v>19929</v>
      </c>
      <c r="C19921" s="5">
        <v>118.5</v>
      </c>
      <c r="D19921" s="5">
        <v>0.1</v>
      </c>
      <c r="E19921" s="5">
        <v>118.6</v>
      </c>
      <c r="F19921" s="5">
        <v>236.9</v>
      </c>
      <c r="G19921" s="5">
        <v>118.2</v>
      </c>
      <c r="H19921" s="5">
        <v>118</v>
      </c>
      <c r="I19921" s="5"/>
      <c r="J19921" s="5"/>
      <c r="K19921" s="5"/>
    </row>
    <row r="19922" spans="1:11" x14ac:dyDescent="0.25">
      <c r="A19922" s="5">
        <f>19915</f>
      </c>
      <c r="B19922" s="5" t="s">
        <v>19930</v>
      </c>
      <c r="C19922" s="5">
        <v>118.5</v>
      </c>
      <c r="D19922" s="5">
        <v>0.1</v>
      </c>
      <c r="E19922" s="5">
        <v>118.6</v>
      </c>
      <c r="F19922" s="5">
        <v>236.9</v>
      </c>
      <c r="G19922" s="5">
        <v>118.2</v>
      </c>
      <c r="H19922" s="5">
        <v>118</v>
      </c>
      <c r="I19922" s="5"/>
      <c r="J19922" s="5"/>
      <c r="K19922" s="5"/>
    </row>
    <row r="19923" spans="1:11" x14ac:dyDescent="0.25">
      <c r="A19923" s="5">
        <f>19916</f>
      </c>
      <c r="B19923" s="5" t="s">
        <v>19931</v>
      </c>
      <c r="C19923" s="5">
        <v>118.5</v>
      </c>
      <c r="D19923" s="5">
        <v>0.1</v>
      </c>
      <c r="E19923" s="5">
        <v>118.7</v>
      </c>
      <c r="F19923" s="5">
        <v>237.3</v>
      </c>
      <c r="G19923" s="5">
        <v>118.4</v>
      </c>
      <c r="H19923" s="5">
        <v>118.3</v>
      </c>
      <c r="I19923" s="5"/>
      <c r="J19923" s="5"/>
      <c r="K19923" s="5"/>
    </row>
    <row r="19924" spans="1:11" x14ac:dyDescent="0.25">
      <c r="A19924" s="5">
        <f>19917</f>
      </c>
      <c r="B19924" s="5" t="s">
        <v>19932</v>
      </c>
      <c r="C19924" s="5">
        <v>118.5</v>
      </c>
      <c r="D19924" s="5">
        <v>0.1</v>
      </c>
      <c r="E19924" s="5">
        <v>118.7</v>
      </c>
      <c r="F19924" s="5">
        <v>237.3</v>
      </c>
      <c r="G19924" s="5">
        <v>118.4</v>
      </c>
      <c r="H19924" s="5">
        <v>118.3</v>
      </c>
      <c r="I19924" s="5"/>
      <c r="J19924" s="5"/>
      <c r="K19924" s="5"/>
    </row>
    <row r="19925" spans="1:11" x14ac:dyDescent="0.25">
      <c r="A19925" s="5">
        <f>19918</f>
      </c>
      <c r="B19925" s="5" t="s">
        <v>19933</v>
      </c>
      <c r="C19925" s="5">
        <v>118.5</v>
      </c>
      <c r="D19925" s="5">
        <v>0.1</v>
      </c>
      <c r="E19925" s="5">
        <v>118.7</v>
      </c>
      <c r="F19925" s="5">
        <v>237.1</v>
      </c>
      <c r="G19925" s="5">
        <v>118.3</v>
      </c>
      <c r="H19925" s="5">
        <v>118.2</v>
      </c>
      <c r="I19925" s="5"/>
      <c r="J19925" s="5"/>
      <c r="K19925" s="5"/>
    </row>
    <row r="19926" spans="1:11" x14ac:dyDescent="0.25">
      <c r="A19926" s="5">
        <f>19919</f>
      </c>
      <c r="B19926" s="5" t="s">
        <v>19934</v>
      </c>
      <c r="C19926" s="5">
        <v>118.5</v>
      </c>
      <c r="D19926" s="5">
        <v>0.1</v>
      </c>
      <c r="E19926" s="5">
        <v>118.7</v>
      </c>
      <c r="F19926" s="5">
        <v>237.1</v>
      </c>
      <c r="G19926" s="5">
        <v>118.3</v>
      </c>
      <c r="H19926" s="5">
        <v>118.2</v>
      </c>
      <c r="I19926" s="5"/>
      <c r="J19926" s="5"/>
      <c r="K19926" s="5"/>
    </row>
    <row r="19927" spans="1:11" x14ac:dyDescent="0.25">
      <c r="A19927" s="5">
        <f>19920</f>
      </c>
      <c r="B19927" s="5" t="s">
        <v>19935</v>
      </c>
      <c r="C19927" s="5">
        <v>118.2</v>
      </c>
      <c r="D19927" s="5">
        <v>0.1</v>
      </c>
      <c r="E19927" s="5">
        <v>118.3</v>
      </c>
      <c r="F19927" s="5">
        <v>237</v>
      </c>
      <c r="G19927" s="5">
        <v>118.4</v>
      </c>
      <c r="H19927" s="5">
        <v>118.2</v>
      </c>
      <c r="I19927" s="5"/>
      <c r="J19927" s="5"/>
      <c r="K19927" s="5"/>
    </row>
    <row r="19928" spans="1:11" x14ac:dyDescent="0.25">
      <c r="A19928" s="5">
        <f>19921</f>
      </c>
      <c r="B19928" s="5" t="s">
        <v>19936</v>
      </c>
      <c r="C19928" s="5">
        <v>118.2</v>
      </c>
      <c r="D19928" s="5">
        <v>0.1</v>
      </c>
      <c r="E19928" s="5">
        <v>118.3</v>
      </c>
      <c r="F19928" s="5">
        <v>237</v>
      </c>
      <c r="G19928" s="5">
        <v>118.4</v>
      </c>
      <c r="H19928" s="5">
        <v>118.2</v>
      </c>
      <c r="I19928" s="5"/>
      <c r="J19928" s="5"/>
      <c r="K19928" s="5"/>
    </row>
    <row r="19929" spans="1:11" x14ac:dyDescent="0.25">
      <c r="A19929" s="5">
        <f>19922</f>
      </c>
      <c r="B19929" s="5" t="s">
        <v>19937</v>
      </c>
      <c r="C19929" s="5">
        <v>118.5</v>
      </c>
      <c r="D19929" s="5">
        <v>0.1</v>
      </c>
      <c r="E19929" s="5">
        <v>118.6</v>
      </c>
      <c r="F19929" s="5">
        <v>237.1</v>
      </c>
      <c r="G19929" s="5">
        <v>118.3</v>
      </c>
      <c r="H19929" s="5">
        <v>118.1</v>
      </c>
      <c r="I19929" s="5"/>
      <c r="J19929" s="5"/>
      <c r="K19929" s="5"/>
    </row>
    <row r="19930" spans="1:11" x14ac:dyDescent="0.25">
      <c r="A19930" s="5">
        <f>19923</f>
      </c>
      <c r="B19930" s="5" t="s">
        <v>19938</v>
      </c>
      <c r="C19930" s="5">
        <v>118.5</v>
      </c>
      <c r="D19930" s="5">
        <v>0.1</v>
      </c>
      <c r="E19930" s="5">
        <v>118.6</v>
      </c>
      <c r="F19930" s="5">
        <v>237.1</v>
      </c>
      <c r="G19930" s="5">
        <v>118.3</v>
      </c>
      <c r="H19930" s="5">
        <v>118.1</v>
      </c>
      <c r="I19930" s="5"/>
      <c r="J19930" s="5"/>
      <c r="K19930" s="5"/>
    </row>
    <row r="19931" spans="1:11" x14ac:dyDescent="0.25">
      <c r="A19931" s="5">
        <f>19924</f>
      </c>
      <c r="B19931" s="5" t="s">
        <v>19939</v>
      </c>
      <c r="C19931" s="5">
        <v>118.5</v>
      </c>
      <c r="D19931" s="5">
        <v>0.1</v>
      </c>
      <c r="E19931" s="5">
        <v>118.6</v>
      </c>
      <c r="F19931" s="5">
        <v>237.1</v>
      </c>
      <c r="G19931" s="5">
        <v>118.3</v>
      </c>
      <c r="H19931" s="5">
        <v>118.1</v>
      </c>
      <c r="I19931" s="5"/>
      <c r="J19931" s="5"/>
      <c r="K19931" s="5"/>
    </row>
    <row r="19932" spans="1:11" x14ac:dyDescent="0.25">
      <c r="A19932" s="5">
        <f>19925</f>
      </c>
      <c r="B19932" s="5" t="s">
        <v>19940</v>
      </c>
      <c r="C19932" s="5">
        <v>118.5</v>
      </c>
      <c r="D19932" s="5">
        <v>0.1</v>
      </c>
      <c r="E19932" s="5">
        <v>118.6</v>
      </c>
      <c r="F19932" s="5">
        <v>237.1</v>
      </c>
      <c r="G19932" s="5">
        <v>118.3</v>
      </c>
      <c r="H19932" s="5">
        <v>118.1</v>
      </c>
      <c r="I19932" s="5"/>
      <c r="J19932" s="5"/>
      <c r="K19932" s="5"/>
    </row>
    <row r="19933" spans="1:11" x14ac:dyDescent="0.25">
      <c r="A19933" s="5">
        <f>19926</f>
      </c>
      <c r="B19933" s="5" t="s">
        <v>19941</v>
      </c>
      <c r="C19933" s="5">
        <v>118.1</v>
      </c>
      <c r="D19933" s="5">
        <v>0.1</v>
      </c>
      <c r="E19933" s="5">
        <v>118.3</v>
      </c>
      <c r="F19933" s="5">
        <v>236.6</v>
      </c>
      <c r="G19933" s="5">
        <v>118.1</v>
      </c>
      <c r="H19933" s="5">
        <v>117.9</v>
      </c>
      <c r="I19933" s="5"/>
      <c r="J19933" s="5"/>
      <c r="K19933" s="5"/>
    </row>
    <row r="19934" spans="1:11" x14ac:dyDescent="0.25">
      <c r="A19934" s="5">
        <f>19927</f>
      </c>
      <c r="B19934" s="5" t="s">
        <v>19942</v>
      </c>
      <c r="C19934" s="5">
        <v>118.1</v>
      </c>
      <c r="D19934" s="5">
        <v>0.1</v>
      </c>
      <c r="E19934" s="5">
        <v>118.3</v>
      </c>
      <c r="F19934" s="5">
        <v>236.6</v>
      </c>
      <c r="G19934" s="5">
        <v>118.1</v>
      </c>
      <c r="H19934" s="5">
        <v>117.9</v>
      </c>
      <c r="I19934" s="5"/>
      <c r="J19934" s="5"/>
      <c r="K19934" s="5"/>
    </row>
    <row r="19935" spans="1:11" x14ac:dyDescent="0.25">
      <c r="A19935" s="5">
        <f>19928</f>
      </c>
      <c r="B19935" s="5" t="s">
        <v>19943</v>
      </c>
      <c r="C19935" s="5">
        <v>118.6</v>
      </c>
      <c r="D19935" s="5">
        <v>0.1</v>
      </c>
      <c r="E19935" s="5">
        <v>118.8</v>
      </c>
      <c r="F19935" s="5">
        <v>236.8</v>
      </c>
      <c r="G19935" s="5">
        <v>118.2</v>
      </c>
      <c r="H19935" s="5">
        <v>118</v>
      </c>
      <c r="I19935" s="5"/>
      <c r="J19935" s="5"/>
      <c r="K19935" s="5"/>
    </row>
    <row r="19936" spans="1:11" x14ac:dyDescent="0.25">
      <c r="A19936" s="5">
        <f>19929</f>
      </c>
      <c r="B19936" s="5" t="s">
        <v>19944</v>
      </c>
      <c r="C19936" s="5">
        <v>118.6</v>
      </c>
      <c r="D19936" s="5">
        <v>0.1</v>
      </c>
      <c r="E19936" s="5">
        <v>118.8</v>
      </c>
      <c r="F19936" s="5">
        <v>236.8</v>
      </c>
      <c r="G19936" s="5">
        <v>118.2</v>
      </c>
      <c r="H19936" s="5">
        <v>118</v>
      </c>
      <c r="I19936" s="5"/>
      <c r="J19936" s="5"/>
      <c r="K19936" s="5"/>
    </row>
    <row r="19937" spans="1:11" x14ac:dyDescent="0.25">
      <c r="A19937" s="5">
        <f>19930</f>
      </c>
      <c r="B19937" s="5" t="s">
        <v>19945</v>
      </c>
      <c r="C19937" s="5">
        <v>118.6</v>
      </c>
      <c r="D19937" s="5">
        <v>0.1</v>
      </c>
      <c r="E19937" s="5">
        <v>118.8</v>
      </c>
      <c r="F19937" s="5">
        <v>236.9</v>
      </c>
      <c r="G19937" s="5">
        <v>118.2</v>
      </c>
      <c r="H19937" s="5">
        <v>118.1</v>
      </c>
      <c r="I19937" s="5"/>
      <c r="J19937" s="5"/>
      <c r="K19937" s="5"/>
    </row>
    <row r="19938" spans="1:11" x14ac:dyDescent="0.25">
      <c r="A19938" s="5">
        <f>19931</f>
      </c>
      <c r="B19938" s="5" t="s">
        <v>19946</v>
      </c>
      <c r="C19938" s="5">
        <v>118.6</v>
      </c>
      <c r="D19938" s="5">
        <v>0.1</v>
      </c>
      <c r="E19938" s="5">
        <v>118.8</v>
      </c>
      <c r="F19938" s="5">
        <v>236.9</v>
      </c>
      <c r="G19938" s="5">
        <v>118.2</v>
      </c>
      <c r="H19938" s="5">
        <v>118.1</v>
      </c>
      <c r="I19938" s="5"/>
      <c r="J19938" s="5"/>
      <c r="K19938" s="5"/>
    </row>
    <row r="19939" spans="1:11" x14ac:dyDescent="0.25">
      <c r="A19939" s="5">
        <f>19932</f>
      </c>
      <c r="B19939" s="5" t="s">
        <v>19947</v>
      </c>
      <c r="C19939" s="5">
        <v>118.5</v>
      </c>
      <c r="D19939" s="5">
        <v>0.1</v>
      </c>
      <c r="E19939" s="5">
        <v>118.6</v>
      </c>
      <c r="F19939" s="5">
        <v>236.8</v>
      </c>
      <c r="G19939" s="5">
        <v>118.2</v>
      </c>
      <c r="H19939" s="5">
        <v>118</v>
      </c>
      <c r="I19939" s="5"/>
      <c r="J19939" s="5"/>
      <c r="K19939" s="5"/>
    </row>
    <row r="19940" spans="1:11" x14ac:dyDescent="0.25">
      <c r="A19940" s="5">
        <f>19933</f>
      </c>
      <c r="B19940" s="5" t="s">
        <v>19948</v>
      </c>
      <c r="C19940" s="5">
        <v>118.5</v>
      </c>
      <c r="D19940" s="5">
        <v>0.1</v>
      </c>
      <c r="E19940" s="5">
        <v>118.6</v>
      </c>
      <c r="F19940" s="5">
        <v>236.8</v>
      </c>
      <c r="G19940" s="5">
        <v>118.2</v>
      </c>
      <c r="H19940" s="5">
        <v>118</v>
      </c>
      <c r="I19940" s="5"/>
      <c r="J19940" s="5"/>
      <c r="K19940" s="5"/>
    </row>
    <row r="19941" spans="1:11" x14ac:dyDescent="0.25">
      <c r="A19941" s="5">
        <f>19934</f>
      </c>
      <c r="B19941" s="5" t="s">
        <v>19949</v>
      </c>
      <c r="C19941" s="5">
        <v>118.5</v>
      </c>
      <c r="D19941" s="5">
        <v>0.1</v>
      </c>
      <c r="E19941" s="5">
        <v>118.6</v>
      </c>
      <c r="F19941" s="5">
        <v>236.8</v>
      </c>
      <c r="G19941" s="5">
        <v>118.2</v>
      </c>
      <c r="H19941" s="5">
        <v>118</v>
      </c>
      <c r="I19941" s="5"/>
      <c r="J19941" s="5"/>
      <c r="K19941" s="5"/>
    </row>
    <row r="19942" spans="1:11" x14ac:dyDescent="0.25">
      <c r="A19942" s="5">
        <f>19935</f>
      </c>
      <c r="B19942" s="5" t="s">
        <v>19950</v>
      </c>
      <c r="C19942" s="5">
        <v>118.5</v>
      </c>
      <c r="D19942" s="5">
        <v>0.1</v>
      </c>
      <c r="E19942" s="5">
        <v>118.6</v>
      </c>
      <c r="F19942" s="5">
        <v>236.8</v>
      </c>
      <c r="G19942" s="5">
        <v>118.2</v>
      </c>
      <c r="H19942" s="5">
        <v>118</v>
      </c>
      <c r="I19942" s="5"/>
      <c r="J19942" s="5"/>
      <c r="K19942" s="5"/>
    </row>
    <row r="19943" spans="1:11" x14ac:dyDescent="0.25">
      <c r="A19943" s="5">
        <f>19936</f>
      </c>
      <c r="B19943" s="5" t="s">
        <v>19951</v>
      </c>
      <c r="C19943" s="5">
        <v>118.6</v>
      </c>
      <c r="D19943" s="5">
        <v>0.1</v>
      </c>
      <c r="E19943" s="5">
        <v>118.8</v>
      </c>
      <c r="F19943" s="5">
        <v>237</v>
      </c>
      <c r="G19943" s="5">
        <v>118.3</v>
      </c>
      <c r="H19943" s="5">
        <v>118.1</v>
      </c>
      <c r="I19943" s="5"/>
      <c r="J19943" s="5"/>
      <c r="K19943" s="5"/>
    </row>
    <row r="19944" spans="1:11" x14ac:dyDescent="0.25">
      <c r="A19944" s="5">
        <f>19937</f>
      </c>
      <c r="B19944" s="5" t="s">
        <v>19952</v>
      </c>
      <c r="C19944" s="5">
        <v>118.6</v>
      </c>
      <c r="D19944" s="5">
        <v>0.1</v>
      </c>
      <c r="E19944" s="5">
        <v>118.8</v>
      </c>
      <c r="F19944" s="5">
        <v>237</v>
      </c>
      <c r="G19944" s="5">
        <v>118.3</v>
      </c>
      <c r="H19944" s="5">
        <v>118.1</v>
      </c>
      <c r="I19944" s="5"/>
      <c r="J19944" s="5"/>
      <c r="K19944" s="5"/>
    </row>
    <row r="19945" spans="1:11" x14ac:dyDescent="0.25">
      <c r="A19945" s="5">
        <f>19938</f>
      </c>
      <c r="B19945" s="5" t="s">
        <v>19953</v>
      </c>
      <c r="C19945" s="5">
        <v>118.5</v>
      </c>
      <c r="D19945" s="5">
        <v>0.1</v>
      </c>
      <c r="E19945" s="5">
        <v>118.6</v>
      </c>
      <c r="F19945" s="5">
        <v>236.7</v>
      </c>
      <c r="G19945" s="5">
        <v>118.1</v>
      </c>
      <c r="H19945" s="5">
        <v>118</v>
      </c>
      <c r="I19945" s="5"/>
      <c r="J19945" s="5"/>
      <c r="K19945" s="5"/>
    </row>
    <row r="19946" spans="1:11" x14ac:dyDescent="0.25">
      <c r="A19946" s="5">
        <f>19939</f>
      </c>
      <c r="B19946" s="5" t="s">
        <v>19954</v>
      </c>
      <c r="C19946" s="5">
        <v>118.5</v>
      </c>
      <c r="D19946" s="5">
        <v>0.1</v>
      </c>
      <c r="E19946" s="5">
        <v>118.6</v>
      </c>
      <c r="F19946" s="5">
        <v>236.7</v>
      </c>
      <c r="G19946" s="5">
        <v>118.1</v>
      </c>
      <c r="H19946" s="5">
        <v>118</v>
      </c>
      <c r="I19946" s="5"/>
      <c r="J19946" s="5"/>
      <c r="K19946" s="5"/>
    </row>
    <row r="19947" spans="1:11" x14ac:dyDescent="0.25">
      <c r="A19947" s="5">
        <f>19940</f>
      </c>
      <c r="B19947" s="5" t="s">
        <v>19955</v>
      </c>
      <c r="C19947" s="5">
        <v>118.3</v>
      </c>
      <c r="D19947" s="5">
        <v>0.1</v>
      </c>
      <c r="E19947" s="5">
        <v>118.5</v>
      </c>
      <c r="F19947" s="5">
        <v>236.5</v>
      </c>
      <c r="G19947" s="5">
        <v>118</v>
      </c>
      <c r="H19947" s="5">
        <v>117.9</v>
      </c>
      <c r="I19947" s="5"/>
      <c r="J19947" s="5"/>
      <c r="K19947" s="5"/>
    </row>
    <row r="19948" spans="1:11" x14ac:dyDescent="0.25">
      <c r="A19948" s="5">
        <f>19941</f>
      </c>
      <c r="B19948" s="5" t="s">
        <v>19956</v>
      </c>
      <c r="C19948" s="5">
        <v>118.3</v>
      </c>
      <c r="D19948" s="5">
        <v>0.1</v>
      </c>
      <c r="E19948" s="5">
        <v>118.5</v>
      </c>
      <c r="F19948" s="5">
        <v>236.5</v>
      </c>
      <c r="G19948" s="5">
        <v>118</v>
      </c>
      <c r="H19948" s="5">
        <v>117.9</v>
      </c>
      <c r="I19948" s="5"/>
      <c r="J19948" s="5"/>
      <c r="K19948" s="5"/>
    </row>
    <row r="19949" spans="1:11" x14ac:dyDescent="0.25">
      <c r="A19949" s="5">
        <f>19942</f>
      </c>
      <c r="B19949" s="5" t="s">
        <v>19957</v>
      </c>
      <c r="C19949" s="5">
        <v>118</v>
      </c>
      <c r="D19949" s="5">
        <v>0.1</v>
      </c>
      <c r="E19949" s="5">
        <v>118.1</v>
      </c>
      <c r="F19949" s="5">
        <v>236.2</v>
      </c>
      <c r="G19949" s="5">
        <v>117.9</v>
      </c>
      <c r="H19949" s="5">
        <v>117.8</v>
      </c>
      <c r="I19949" s="5"/>
      <c r="J19949" s="5"/>
      <c r="K19949" s="5"/>
    </row>
    <row r="19950" spans="1:11" x14ac:dyDescent="0.25">
      <c r="A19950" s="5">
        <f>19943</f>
      </c>
      <c r="B19950" s="5" t="s">
        <v>19958</v>
      </c>
      <c r="C19950" s="5">
        <v>118</v>
      </c>
      <c r="D19950" s="5">
        <v>0.1</v>
      </c>
      <c r="E19950" s="5">
        <v>118.1</v>
      </c>
      <c r="F19950" s="5">
        <v>236.2</v>
      </c>
      <c r="G19950" s="5">
        <v>117.9</v>
      </c>
      <c r="H19950" s="5">
        <v>117.8</v>
      </c>
      <c r="I19950" s="5"/>
      <c r="J19950" s="5"/>
      <c r="K19950" s="5"/>
    </row>
    <row r="19951" spans="1:11" x14ac:dyDescent="0.25">
      <c r="A19951" s="5">
        <f>19944</f>
      </c>
      <c r="B19951" s="5" t="s">
        <v>19959</v>
      </c>
      <c r="C19951" s="5">
        <v>118</v>
      </c>
      <c r="D19951" s="5">
        <v>0.1</v>
      </c>
      <c r="E19951" s="5">
        <v>118.1</v>
      </c>
      <c r="F19951" s="5">
        <v>236.2</v>
      </c>
      <c r="G19951" s="5">
        <v>117.9</v>
      </c>
      <c r="H19951" s="5">
        <v>117.8</v>
      </c>
      <c r="I19951" s="5"/>
      <c r="J19951" s="5"/>
      <c r="K19951" s="5"/>
    </row>
    <row r="19952" spans="1:11" x14ac:dyDescent="0.25">
      <c r="A19952" s="5">
        <f>19945</f>
      </c>
      <c r="B19952" s="5" t="s">
        <v>19960</v>
      </c>
      <c r="C19952" s="5">
        <v>118</v>
      </c>
      <c r="D19952" s="5">
        <v>0.1</v>
      </c>
      <c r="E19952" s="5">
        <v>118.1</v>
      </c>
      <c r="F19952" s="5">
        <v>236.2</v>
      </c>
      <c r="G19952" s="5">
        <v>117.9</v>
      </c>
      <c r="H19952" s="5">
        <v>117.8</v>
      </c>
      <c r="I19952" s="5"/>
      <c r="J19952" s="5"/>
      <c r="K19952" s="5"/>
    </row>
    <row r="19953" spans="1:11" x14ac:dyDescent="0.25">
      <c r="A19953" s="5">
        <f>19946</f>
      </c>
      <c r="B19953" s="5" t="s">
        <v>19961</v>
      </c>
      <c r="C19953" s="5">
        <v>118.6</v>
      </c>
      <c r="D19953" s="5">
        <v>0.1</v>
      </c>
      <c r="E19953" s="5">
        <v>118.7</v>
      </c>
      <c r="F19953" s="5">
        <v>236.7</v>
      </c>
      <c r="G19953" s="5">
        <v>118.1</v>
      </c>
      <c r="H19953" s="5">
        <v>117.9</v>
      </c>
      <c r="I19953" s="5"/>
      <c r="J19953" s="5"/>
      <c r="K19953" s="5"/>
    </row>
    <row r="19954" spans="1:11" x14ac:dyDescent="0.25">
      <c r="A19954" s="5">
        <f>19947</f>
      </c>
      <c r="B19954" s="5" t="s">
        <v>19962</v>
      </c>
      <c r="C19954" s="5">
        <v>118.6</v>
      </c>
      <c r="D19954" s="5">
        <v>0.1</v>
      </c>
      <c r="E19954" s="5">
        <v>118.7</v>
      </c>
      <c r="F19954" s="5">
        <v>236.7</v>
      </c>
      <c r="G19954" s="5">
        <v>118.1</v>
      </c>
      <c r="H19954" s="5">
        <v>117.9</v>
      </c>
      <c r="I19954" s="5"/>
      <c r="J19954" s="5"/>
      <c r="K19954" s="5"/>
    </row>
    <row r="19955" spans="1:11" x14ac:dyDescent="0.25">
      <c r="A19955" s="5">
        <f>19948</f>
      </c>
      <c r="B19955" s="5" t="s">
        <v>19963</v>
      </c>
      <c r="C19955" s="5">
        <v>118.5</v>
      </c>
      <c r="D19955" s="5">
        <v>0.1</v>
      </c>
      <c r="E19955" s="5">
        <v>118.6</v>
      </c>
      <c r="F19955" s="5">
        <v>236.6</v>
      </c>
      <c r="G19955" s="5">
        <v>118.1</v>
      </c>
      <c r="H19955" s="5">
        <v>118</v>
      </c>
      <c r="I19955" s="5"/>
      <c r="J19955" s="5"/>
      <c r="K19955" s="5"/>
    </row>
    <row r="19956" spans="1:11" x14ac:dyDescent="0.25">
      <c r="A19956" s="5">
        <f>19949</f>
      </c>
      <c r="B19956" s="5" t="s">
        <v>19964</v>
      </c>
      <c r="C19956" s="5">
        <v>118.5</v>
      </c>
      <c r="D19956" s="5">
        <v>0.1</v>
      </c>
      <c r="E19956" s="5">
        <v>118.6</v>
      </c>
      <c r="F19956" s="5">
        <v>236.6</v>
      </c>
      <c r="G19956" s="5">
        <v>118.1</v>
      </c>
      <c r="H19956" s="5">
        <v>118</v>
      </c>
      <c r="I19956" s="5"/>
      <c r="J19956" s="5"/>
      <c r="K19956" s="5"/>
    </row>
    <row r="19957" spans="1:11" x14ac:dyDescent="0.25">
      <c r="A19957" s="5">
        <f>19950</f>
      </c>
      <c r="B19957" s="5" t="s">
        <v>19965</v>
      </c>
      <c r="C19957" s="5">
        <v>118.3</v>
      </c>
      <c r="D19957" s="5">
        <v>0.1</v>
      </c>
      <c r="E19957" s="5">
        <v>118.5</v>
      </c>
      <c r="F19957" s="5">
        <v>236.4</v>
      </c>
      <c r="G19957" s="5">
        <v>117.9</v>
      </c>
      <c r="H19957" s="5">
        <v>117.7</v>
      </c>
      <c r="I19957" s="5"/>
      <c r="J19957" s="5"/>
      <c r="K19957" s="5"/>
    </row>
    <row r="19958" spans="1:11" x14ac:dyDescent="0.25">
      <c r="A19958" s="5">
        <f>19951</f>
      </c>
      <c r="B19958" s="5" t="s">
        <v>19966</v>
      </c>
      <c r="C19958" s="5">
        <v>118.3</v>
      </c>
      <c r="D19958" s="5">
        <v>0.1</v>
      </c>
      <c r="E19958" s="5">
        <v>118.5</v>
      </c>
      <c r="F19958" s="5">
        <v>236.4</v>
      </c>
      <c r="G19958" s="5">
        <v>117.9</v>
      </c>
      <c r="H19958" s="5">
        <v>117.7</v>
      </c>
      <c r="I19958" s="5"/>
      <c r="J19958" s="5"/>
      <c r="K19958" s="5"/>
    </row>
    <row r="19959" spans="1:11" x14ac:dyDescent="0.25">
      <c r="A19959" s="5">
        <f>19952</f>
      </c>
      <c r="B19959" s="5" t="s">
        <v>19967</v>
      </c>
      <c r="C19959" s="5">
        <v>118.3</v>
      </c>
      <c r="D19959" s="5">
        <v>0.1</v>
      </c>
      <c r="E19959" s="5">
        <v>118.4</v>
      </c>
      <c r="F19959" s="5">
        <v>236.4</v>
      </c>
      <c r="G19959" s="5">
        <v>118</v>
      </c>
      <c r="H19959" s="5">
        <v>117.8</v>
      </c>
      <c r="I19959" s="5"/>
      <c r="J19959" s="5"/>
      <c r="K19959" s="5"/>
    </row>
    <row r="19960" spans="1:11" x14ac:dyDescent="0.25">
      <c r="A19960" s="5">
        <f>19953</f>
      </c>
      <c r="B19960" s="5" t="s">
        <v>19968</v>
      </c>
      <c r="C19960" s="5">
        <v>118.3</v>
      </c>
      <c r="D19960" s="5">
        <v>0.1</v>
      </c>
      <c r="E19960" s="5">
        <v>118.4</v>
      </c>
      <c r="F19960" s="5">
        <v>236.4</v>
      </c>
      <c r="G19960" s="5">
        <v>118</v>
      </c>
      <c r="H19960" s="5">
        <v>117.8</v>
      </c>
      <c r="I19960" s="5"/>
      <c r="J19960" s="5"/>
      <c r="K19960" s="5"/>
    </row>
    <row r="19961" spans="1:11" x14ac:dyDescent="0.25">
      <c r="A19961" s="5">
        <f>19954</f>
      </c>
      <c r="B19961" s="5" t="s">
        <v>19969</v>
      </c>
      <c r="C19961" s="5">
        <v>118.3</v>
      </c>
      <c r="D19961" s="5">
        <v>0.1</v>
      </c>
      <c r="E19961" s="5">
        <v>118.4</v>
      </c>
      <c r="F19961" s="5">
        <v>236.4</v>
      </c>
      <c r="G19961" s="5">
        <v>118</v>
      </c>
      <c r="H19961" s="5">
        <v>117.8</v>
      </c>
      <c r="I19961" s="5"/>
      <c r="J19961" s="5"/>
      <c r="K19961" s="5"/>
    </row>
    <row r="19962" spans="1:11" x14ac:dyDescent="0.25">
      <c r="A19962" s="5">
        <f>19955</f>
      </c>
      <c r="B19962" s="5" t="s">
        <v>19970</v>
      </c>
      <c r="C19962" s="5">
        <v>118.3</v>
      </c>
      <c r="D19962" s="5">
        <v>0.1</v>
      </c>
      <c r="E19962" s="5">
        <v>118.4</v>
      </c>
      <c r="F19962" s="5">
        <v>236.4</v>
      </c>
      <c r="G19962" s="5">
        <v>118</v>
      </c>
      <c r="H19962" s="5">
        <v>117.8</v>
      </c>
      <c r="I19962" s="5"/>
      <c r="J19962" s="5"/>
      <c r="K19962" s="5"/>
    </row>
    <row r="19963" spans="1:11" x14ac:dyDescent="0.25">
      <c r="A19963" s="5">
        <f>19956</f>
      </c>
      <c r="B19963" s="5" t="s">
        <v>19971</v>
      </c>
      <c r="C19963" s="5">
        <v>118.4</v>
      </c>
      <c r="D19963" s="5">
        <v>0.1</v>
      </c>
      <c r="E19963" s="5">
        <v>118.6</v>
      </c>
      <c r="F19963" s="5">
        <v>236.4</v>
      </c>
      <c r="G19963" s="5">
        <v>117.9</v>
      </c>
      <c r="H19963" s="5">
        <v>117.8</v>
      </c>
      <c r="I19963" s="5"/>
      <c r="J19963" s="5"/>
      <c r="K19963" s="5"/>
    </row>
    <row r="19964" spans="1:11" x14ac:dyDescent="0.25">
      <c r="A19964" s="5">
        <f>19957</f>
      </c>
      <c r="B19964" s="5" t="s">
        <v>19972</v>
      </c>
      <c r="C19964" s="5">
        <v>118.4</v>
      </c>
      <c r="D19964" s="5">
        <v>0.1</v>
      </c>
      <c r="E19964" s="5">
        <v>118.6</v>
      </c>
      <c r="F19964" s="5">
        <v>236.4</v>
      </c>
      <c r="G19964" s="5">
        <v>117.9</v>
      </c>
      <c r="H19964" s="5">
        <v>117.8</v>
      </c>
      <c r="I19964" s="5"/>
      <c r="J19964" s="5"/>
      <c r="K19964" s="5"/>
    </row>
    <row r="19965" spans="1:11" x14ac:dyDescent="0.25">
      <c r="A19965" s="5">
        <f>19958</f>
      </c>
      <c r="B19965" s="5" t="s">
        <v>19973</v>
      </c>
      <c r="C19965" s="5">
        <v>118.3</v>
      </c>
      <c r="D19965" s="5">
        <v>0.1</v>
      </c>
      <c r="E19965" s="5">
        <v>118.5</v>
      </c>
      <c r="F19965" s="5">
        <v>236.5</v>
      </c>
      <c r="G19965" s="5">
        <v>118</v>
      </c>
      <c r="H19965" s="5">
        <v>117.8</v>
      </c>
      <c r="I19965" s="5"/>
      <c r="J19965" s="5"/>
      <c r="K19965" s="5"/>
    </row>
    <row r="19966" spans="1:11" x14ac:dyDescent="0.25">
      <c r="A19966" s="5">
        <f>19959</f>
      </c>
      <c r="B19966" s="5" t="s">
        <v>19974</v>
      </c>
      <c r="C19966" s="5">
        <v>118.3</v>
      </c>
      <c r="D19966" s="5">
        <v>0.1</v>
      </c>
      <c r="E19966" s="5">
        <v>118.5</v>
      </c>
      <c r="F19966" s="5">
        <v>236.5</v>
      </c>
      <c r="G19966" s="5">
        <v>118</v>
      </c>
      <c r="H19966" s="5">
        <v>117.8</v>
      </c>
      <c r="I19966" s="5"/>
      <c r="J19966" s="5"/>
      <c r="K19966" s="5"/>
    </row>
    <row r="19967" spans="1:11" x14ac:dyDescent="0.25">
      <c r="A19967" s="5">
        <f>19960</f>
      </c>
      <c r="B19967" s="5" t="s">
        <v>19975</v>
      </c>
      <c r="C19967" s="5">
        <v>118.3</v>
      </c>
      <c r="D19967" s="5">
        <v>0.1</v>
      </c>
      <c r="E19967" s="5">
        <v>118.6</v>
      </c>
      <c r="F19967" s="5">
        <v>236.3</v>
      </c>
      <c r="G19967" s="5">
        <v>117.9</v>
      </c>
      <c r="H19967" s="5">
        <v>117.7</v>
      </c>
      <c r="I19967" s="5"/>
      <c r="J19967" s="5"/>
      <c r="K19967" s="5"/>
    </row>
    <row r="19968" spans="1:11" x14ac:dyDescent="0.25">
      <c r="A19968" s="5">
        <f>19961</f>
      </c>
      <c r="B19968" s="5" t="s">
        <v>19976</v>
      </c>
      <c r="C19968" s="5">
        <v>118.3</v>
      </c>
      <c r="D19968" s="5">
        <v>0.1</v>
      </c>
      <c r="E19968" s="5">
        <v>118.6</v>
      </c>
      <c r="F19968" s="5">
        <v>236.3</v>
      </c>
      <c r="G19968" s="5">
        <v>117.9</v>
      </c>
      <c r="H19968" s="5">
        <v>117.7</v>
      </c>
      <c r="I19968" s="5"/>
      <c r="J19968" s="5"/>
      <c r="K19968" s="5"/>
    </row>
    <row r="19969" spans="1:11" x14ac:dyDescent="0.25">
      <c r="A19969" s="5">
        <f>19962</f>
      </c>
      <c r="B19969" s="5" t="s">
        <v>19977</v>
      </c>
      <c r="C19969" s="5">
        <v>118.3</v>
      </c>
      <c r="D19969" s="5">
        <v>0.1</v>
      </c>
      <c r="E19969" s="5">
        <v>118.4</v>
      </c>
      <c r="F19969" s="5">
        <v>236.5</v>
      </c>
      <c r="G19969" s="5">
        <v>118</v>
      </c>
      <c r="H19969" s="5">
        <v>117.8</v>
      </c>
      <c r="I19969" s="5"/>
      <c r="J19969" s="5"/>
      <c r="K19969" s="5"/>
    </row>
    <row r="19970" spans="1:11" x14ac:dyDescent="0.25">
      <c r="A19970" s="5">
        <f>19963</f>
      </c>
      <c r="B19970" s="5" t="s">
        <v>19978</v>
      </c>
      <c r="C19970" s="5">
        <v>118.3</v>
      </c>
      <c r="D19970" s="5">
        <v>0.1</v>
      </c>
      <c r="E19970" s="5">
        <v>118.4</v>
      </c>
      <c r="F19970" s="5">
        <v>236.5</v>
      </c>
      <c r="G19970" s="5">
        <v>118</v>
      </c>
      <c r="H19970" s="5">
        <v>117.8</v>
      </c>
      <c r="I19970" s="5"/>
      <c r="J19970" s="5"/>
      <c r="K19970" s="5"/>
    </row>
    <row r="19971" spans="1:11" x14ac:dyDescent="0.25">
      <c r="A19971" s="5">
        <f>19964</f>
      </c>
      <c r="B19971" s="5" t="s">
        <v>19979</v>
      </c>
      <c r="C19971" s="5">
        <v>118.3</v>
      </c>
      <c r="D19971" s="5">
        <v>0.1</v>
      </c>
      <c r="E19971" s="5">
        <v>118.4</v>
      </c>
      <c r="F19971" s="5">
        <v>236.5</v>
      </c>
      <c r="G19971" s="5">
        <v>118</v>
      </c>
      <c r="H19971" s="5">
        <v>117.8</v>
      </c>
      <c r="I19971" s="5"/>
      <c r="J19971" s="5"/>
      <c r="K19971" s="5"/>
    </row>
    <row r="19972" spans="1:11" x14ac:dyDescent="0.25">
      <c r="A19972" s="5">
        <f>19965</f>
      </c>
      <c r="B19972" s="5" t="s">
        <v>19980</v>
      </c>
      <c r="C19972" s="5">
        <v>118.3</v>
      </c>
      <c r="D19972" s="5">
        <v>0.1</v>
      </c>
      <c r="E19972" s="5">
        <v>118.4</v>
      </c>
      <c r="F19972" s="5">
        <v>236.5</v>
      </c>
      <c r="G19972" s="5">
        <v>117.8</v>
      </c>
      <c r="H19972" s="5">
        <v>117.7</v>
      </c>
      <c r="I19972" s="5"/>
      <c r="J19972" s="5"/>
      <c r="K19972" s="5"/>
    </row>
    <row r="19973" spans="1:11" x14ac:dyDescent="0.25">
      <c r="A19973" s="5">
        <f>19966</f>
      </c>
      <c r="B19973" s="5" t="s">
        <v>19981</v>
      </c>
      <c r="C19973" s="5">
        <v>118.2</v>
      </c>
      <c r="D19973" s="5">
        <v>0.1</v>
      </c>
      <c r="E19973" s="5">
        <v>118.3</v>
      </c>
      <c r="F19973" s="5">
        <v>236.2</v>
      </c>
      <c r="G19973" s="5">
        <v>117.8</v>
      </c>
      <c r="H19973" s="5">
        <v>117.7</v>
      </c>
      <c r="I19973" s="5"/>
      <c r="J19973" s="5"/>
      <c r="K19973" s="5"/>
    </row>
    <row r="19974" spans="1:11" x14ac:dyDescent="0.25">
      <c r="A19974" s="5">
        <f>19967</f>
      </c>
      <c r="B19974" s="5" t="s">
        <v>19982</v>
      </c>
      <c r="C19974" s="5">
        <v>118.2</v>
      </c>
      <c r="D19974" s="5">
        <v>0.1</v>
      </c>
      <c r="E19974" s="5">
        <v>118.3</v>
      </c>
      <c r="F19974" s="5">
        <v>236.2</v>
      </c>
      <c r="G19974" s="5">
        <v>117.8</v>
      </c>
      <c r="H19974" s="5">
        <v>117.7</v>
      </c>
      <c r="I19974" s="5"/>
      <c r="J19974" s="5"/>
      <c r="K19974" s="5"/>
    </row>
    <row r="19975" spans="1:11" x14ac:dyDescent="0.25">
      <c r="A19975" s="5">
        <f>19968</f>
      </c>
      <c r="B19975" s="5" t="s">
        <v>19983</v>
      </c>
      <c r="C19975" s="5">
        <v>118.5</v>
      </c>
      <c r="D19975" s="5">
        <v>0.1</v>
      </c>
      <c r="E19975" s="5">
        <v>118.6</v>
      </c>
      <c r="F19975" s="5">
        <v>236.2</v>
      </c>
      <c r="G19975" s="5">
        <v>117.9</v>
      </c>
      <c r="H19975" s="5">
        <v>117.8</v>
      </c>
      <c r="I19975" s="5"/>
      <c r="J19975" s="5"/>
      <c r="K19975" s="5"/>
    </row>
    <row r="19976" spans="1:11" x14ac:dyDescent="0.25">
      <c r="A19976" s="5">
        <f>19969</f>
      </c>
      <c r="B19976" s="5" t="s">
        <v>19984</v>
      </c>
      <c r="C19976" s="5">
        <v>118.5</v>
      </c>
      <c r="D19976" s="5">
        <v>0.1</v>
      </c>
      <c r="E19976" s="5">
        <v>118.6</v>
      </c>
      <c r="F19976" s="5">
        <v>236.2</v>
      </c>
      <c r="G19976" s="5">
        <v>117.9</v>
      </c>
      <c r="H19976" s="5">
        <v>117.8</v>
      </c>
      <c r="I19976" s="5"/>
      <c r="J19976" s="5"/>
      <c r="K19976" s="5"/>
    </row>
    <row r="19977" spans="1:11" x14ac:dyDescent="0.25">
      <c r="A19977" s="5">
        <f>19970</f>
      </c>
      <c r="B19977" s="5" t="s">
        <v>19985</v>
      </c>
      <c r="C19977" s="5">
        <v>118.1</v>
      </c>
      <c r="D19977" s="5">
        <v>0.1</v>
      </c>
      <c r="E19977" s="5">
        <v>118.3</v>
      </c>
      <c r="F19977" s="5">
        <v>235.8</v>
      </c>
      <c r="G19977" s="5">
        <v>117.7</v>
      </c>
      <c r="H19977" s="5">
        <v>117.5</v>
      </c>
      <c r="I19977" s="5"/>
      <c r="J19977" s="5"/>
      <c r="K19977" s="5"/>
    </row>
    <row r="19978" spans="1:11" x14ac:dyDescent="0.25">
      <c r="A19978" s="5">
        <f>19971</f>
      </c>
      <c r="B19978" s="5" t="s">
        <v>19986</v>
      </c>
      <c r="C19978" s="5">
        <v>118.1</v>
      </c>
      <c r="D19978" s="5">
        <v>0.1</v>
      </c>
      <c r="E19978" s="5">
        <v>118.3</v>
      </c>
      <c r="F19978" s="5">
        <v>235.8</v>
      </c>
      <c r="G19978" s="5">
        <v>117.7</v>
      </c>
      <c r="H19978" s="5">
        <v>117.5</v>
      </c>
      <c r="I19978" s="5"/>
      <c r="J19978" s="5"/>
      <c r="K19978" s="5"/>
    </row>
    <row r="19979" spans="1:11" x14ac:dyDescent="0.25">
      <c r="A19979" s="5">
        <f>19972</f>
      </c>
      <c r="B19979" s="5" t="s">
        <v>19987</v>
      </c>
      <c r="C19979" s="5">
        <v>118.4</v>
      </c>
      <c r="D19979" s="5">
        <v>0.1</v>
      </c>
      <c r="E19979" s="5">
        <v>118.6</v>
      </c>
      <c r="F19979" s="5">
        <v>236.6</v>
      </c>
      <c r="G19979" s="5">
        <v>118</v>
      </c>
      <c r="H19979" s="5">
        <v>117.8</v>
      </c>
      <c r="I19979" s="5"/>
      <c r="J19979" s="5"/>
      <c r="K19979" s="5"/>
    </row>
    <row r="19980" spans="1:11" x14ac:dyDescent="0.25">
      <c r="A19980" s="5">
        <f>19973</f>
      </c>
      <c r="B19980" s="5" t="s">
        <v>19988</v>
      </c>
      <c r="C19980" s="5">
        <v>118.4</v>
      </c>
      <c r="D19980" s="5">
        <v>0.1</v>
      </c>
      <c r="E19980" s="5">
        <v>118.6</v>
      </c>
      <c r="F19980" s="5">
        <v>236.6</v>
      </c>
      <c r="G19980" s="5">
        <v>118</v>
      </c>
      <c r="H19980" s="5">
        <v>117.8</v>
      </c>
      <c r="I19980" s="5"/>
      <c r="J19980" s="5"/>
      <c r="K19980" s="5"/>
    </row>
    <row r="19981" spans="1:11" x14ac:dyDescent="0.25">
      <c r="A19981" s="5">
        <f>19974</f>
      </c>
      <c r="B19981" s="5" t="s">
        <v>19989</v>
      </c>
      <c r="C19981" s="5">
        <v>118.4</v>
      </c>
      <c r="D19981" s="5">
        <v>0.1</v>
      </c>
      <c r="E19981" s="5">
        <v>118.6</v>
      </c>
      <c r="F19981" s="5">
        <v>236.6</v>
      </c>
      <c r="G19981" s="5">
        <v>118</v>
      </c>
      <c r="H19981" s="5">
        <v>117.8</v>
      </c>
      <c r="I19981" s="5"/>
      <c r="J19981" s="5"/>
      <c r="K19981" s="5"/>
    </row>
    <row r="19982" spans="1:11" x14ac:dyDescent="0.25">
      <c r="A19982" s="5">
        <f>19975</f>
      </c>
      <c r="B19982" s="5" t="s">
        <v>19990</v>
      </c>
      <c r="C19982" s="5">
        <v>117.9</v>
      </c>
      <c r="D19982" s="5">
        <v>0.1</v>
      </c>
      <c r="E19982" s="5">
        <v>118</v>
      </c>
      <c r="F19982" s="5">
        <v>235.8</v>
      </c>
      <c r="G19982" s="5">
        <v>117.7</v>
      </c>
      <c r="H19982" s="5">
        <v>117.5</v>
      </c>
      <c r="I19982" s="5"/>
      <c r="J19982" s="5"/>
      <c r="K19982" s="5"/>
    </row>
    <row r="19983" spans="1:11" x14ac:dyDescent="0.25">
      <c r="A19983" s="5">
        <f>19976</f>
      </c>
      <c r="B19983" s="5" t="s">
        <v>19991</v>
      </c>
      <c r="C19983" s="5">
        <v>117.9</v>
      </c>
      <c r="D19983" s="5">
        <v>0.1</v>
      </c>
      <c r="E19983" s="5">
        <v>118</v>
      </c>
      <c r="F19983" s="5">
        <v>235.8</v>
      </c>
      <c r="G19983" s="5">
        <v>117.7</v>
      </c>
      <c r="H19983" s="5">
        <v>117.5</v>
      </c>
      <c r="I19983" s="5"/>
      <c r="J19983" s="5"/>
      <c r="K19983" s="5"/>
    </row>
    <row r="19984" spans="1:11" x14ac:dyDescent="0.25">
      <c r="A19984" s="5">
        <f>19977</f>
      </c>
      <c r="B19984" s="5" t="s">
        <v>19992</v>
      </c>
      <c r="C19984" s="5">
        <v>118</v>
      </c>
      <c r="D19984" s="5">
        <v>0.1</v>
      </c>
      <c r="E19984" s="5">
        <v>118.2</v>
      </c>
      <c r="F19984" s="5">
        <v>235.9</v>
      </c>
      <c r="G19984" s="5">
        <v>117.7</v>
      </c>
      <c r="H19984" s="5">
        <v>117.5</v>
      </c>
      <c r="I19984" s="5"/>
      <c r="J19984" s="5"/>
      <c r="K19984" s="5"/>
    </row>
    <row r="19985" spans="1:11" x14ac:dyDescent="0.25">
      <c r="A19985" s="5">
        <f>19978</f>
      </c>
      <c r="B19985" s="5" t="s">
        <v>19993</v>
      </c>
      <c r="C19985" s="5">
        <v>118</v>
      </c>
      <c r="D19985" s="5">
        <v>0.1</v>
      </c>
      <c r="E19985" s="5">
        <v>118.2</v>
      </c>
      <c r="F19985" s="5">
        <v>235.9</v>
      </c>
      <c r="G19985" s="5">
        <v>117.7</v>
      </c>
      <c r="H19985" s="5">
        <v>117.5</v>
      </c>
      <c r="I19985" s="5"/>
      <c r="J19985" s="5"/>
      <c r="K19985" s="5"/>
    </row>
    <row r="19986" spans="1:11" x14ac:dyDescent="0.25">
      <c r="A19986" s="5">
        <f>19979</f>
      </c>
      <c r="B19986" s="5" t="s">
        <v>19994</v>
      </c>
      <c r="C19986" s="5">
        <v>118.3</v>
      </c>
      <c r="D19986" s="5">
        <v>0.1</v>
      </c>
      <c r="E19986" s="5">
        <v>118.4</v>
      </c>
      <c r="F19986" s="5">
        <v>236</v>
      </c>
      <c r="G19986" s="5">
        <v>117.8</v>
      </c>
      <c r="H19986" s="5">
        <v>117.7</v>
      </c>
      <c r="I19986" s="5"/>
      <c r="J19986" s="5"/>
      <c r="K19986" s="5"/>
    </row>
    <row r="19987" spans="1:11" x14ac:dyDescent="0.25">
      <c r="A19987" s="5">
        <f>19980</f>
      </c>
      <c r="B19987" s="5" t="s">
        <v>19995</v>
      </c>
      <c r="C19987" s="5">
        <v>118.3</v>
      </c>
      <c r="D19987" s="5">
        <v>0.1</v>
      </c>
      <c r="E19987" s="5">
        <v>118.4</v>
      </c>
      <c r="F19987" s="5">
        <v>236</v>
      </c>
      <c r="G19987" s="5">
        <v>117.8</v>
      </c>
      <c r="H19987" s="5">
        <v>117.7</v>
      </c>
      <c r="I19987" s="5"/>
      <c r="J19987" s="5"/>
      <c r="K19987" s="5"/>
    </row>
    <row r="19988" spans="1:11" x14ac:dyDescent="0.25">
      <c r="A19988" s="5">
        <f>19981</f>
      </c>
      <c r="B19988" s="5" t="s">
        <v>19996</v>
      </c>
      <c r="C19988" s="5">
        <v>118</v>
      </c>
      <c r="D19988" s="5">
        <v>0.1</v>
      </c>
      <c r="E19988" s="5">
        <v>118.1</v>
      </c>
      <c r="F19988" s="5">
        <v>235.7</v>
      </c>
      <c r="G19988" s="5">
        <v>117.6</v>
      </c>
      <c r="H19988" s="5">
        <v>117.4</v>
      </c>
      <c r="I19988" s="5"/>
      <c r="J19988" s="5"/>
      <c r="K19988" s="5"/>
    </row>
    <row r="19989" spans="1:11" x14ac:dyDescent="0.25">
      <c r="A19989" s="5">
        <f>19982</f>
      </c>
      <c r="B19989" s="5" t="s">
        <v>19997</v>
      </c>
      <c r="C19989" s="5">
        <v>118</v>
      </c>
      <c r="D19989" s="5">
        <v>0.1</v>
      </c>
      <c r="E19989" s="5">
        <v>118.1</v>
      </c>
      <c r="F19989" s="5">
        <v>235.7</v>
      </c>
      <c r="G19989" s="5">
        <v>117.6</v>
      </c>
      <c r="H19989" s="5">
        <v>117.4</v>
      </c>
      <c r="I19989" s="5"/>
      <c r="J19989" s="5"/>
      <c r="K19989" s="5"/>
    </row>
    <row r="19990" spans="1:11" x14ac:dyDescent="0.25">
      <c r="A19990" s="5">
        <f>19983</f>
      </c>
      <c r="B19990" s="5" t="s">
        <v>19998</v>
      </c>
      <c r="C19990" s="5">
        <v>118</v>
      </c>
      <c r="D19990" s="5">
        <v>0.1</v>
      </c>
      <c r="E19990" s="5">
        <v>118.1</v>
      </c>
      <c r="F19990" s="5">
        <v>235.7</v>
      </c>
      <c r="G19990" s="5">
        <v>117.6</v>
      </c>
      <c r="H19990" s="5">
        <v>117.4</v>
      </c>
      <c r="I19990" s="5"/>
      <c r="J19990" s="5"/>
      <c r="K19990" s="5"/>
    </row>
    <row r="19991" spans="1:11" x14ac:dyDescent="0.25">
      <c r="A19991" s="5">
        <f>19984</f>
      </c>
      <c r="B19991" s="5" t="s">
        <v>19999</v>
      </c>
      <c r="C19991" s="5">
        <v>118</v>
      </c>
      <c r="D19991" s="5">
        <v>0.1</v>
      </c>
      <c r="E19991" s="5">
        <v>118.1</v>
      </c>
      <c r="F19991" s="5">
        <v>235.7</v>
      </c>
      <c r="G19991" s="5">
        <v>117.6</v>
      </c>
      <c r="H19991" s="5">
        <v>117.4</v>
      </c>
      <c r="I19991" s="5"/>
      <c r="J19991" s="5"/>
      <c r="K19991" s="5"/>
    </row>
    <row r="19992" spans="1:11" x14ac:dyDescent="0.25">
      <c r="A19992" s="5">
        <f>19985</f>
      </c>
      <c r="B19992" s="5" t="s">
        <v>20000</v>
      </c>
      <c r="C19992" s="5">
        <v>117.8</v>
      </c>
      <c r="D19992" s="5">
        <v>0.1</v>
      </c>
      <c r="E19992" s="5">
        <v>118</v>
      </c>
      <c r="F19992" s="5">
        <v>235.5</v>
      </c>
      <c r="G19992" s="5">
        <v>117.6</v>
      </c>
      <c r="H19992" s="5">
        <v>117.4</v>
      </c>
      <c r="I19992" s="5"/>
      <c r="J19992" s="5"/>
      <c r="K19992" s="5"/>
    </row>
    <row r="19993" spans="1:11" x14ac:dyDescent="0.25">
      <c r="A19993" s="5">
        <f>19986</f>
      </c>
      <c r="B19993" s="5" t="s">
        <v>20001</v>
      </c>
      <c r="C19993" s="5">
        <v>117.8</v>
      </c>
      <c r="D19993" s="5">
        <v>0.1</v>
      </c>
      <c r="E19993" s="5">
        <v>118</v>
      </c>
      <c r="F19993" s="5">
        <v>235.5</v>
      </c>
      <c r="G19993" s="5">
        <v>117.5</v>
      </c>
      <c r="H19993" s="5">
        <v>117.4</v>
      </c>
      <c r="I19993" s="5"/>
      <c r="J19993" s="5"/>
      <c r="K19993" s="5"/>
    </row>
    <row r="19994" spans="1:11" x14ac:dyDescent="0.25">
      <c r="A19994" s="5">
        <f>19987</f>
      </c>
      <c r="B19994" s="5" t="s">
        <v>20002</v>
      </c>
      <c r="C19994" s="5">
        <v>117.8</v>
      </c>
      <c r="D19994" s="5">
        <v>0.1</v>
      </c>
      <c r="E19994" s="5">
        <v>118</v>
      </c>
      <c r="F19994" s="5">
        <v>235.5</v>
      </c>
      <c r="G19994" s="5">
        <v>117.5</v>
      </c>
      <c r="H19994" s="5">
        <v>117.4</v>
      </c>
      <c r="I19994" s="5"/>
      <c r="J19994" s="5"/>
      <c r="K19994" s="5"/>
    </row>
    <row r="19995" spans="1:11" x14ac:dyDescent="0.25">
      <c r="A19995" s="5">
        <f>19988</f>
      </c>
      <c r="B19995" s="5" t="s">
        <v>20003</v>
      </c>
      <c r="C19995" s="5">
        <v>117.8</v>
      </c>
      <c r="D19995" s="5">
        <v>0.1</v>
      </c>
      <c r="E19995" s="5">
        <v>118</v>
      </c>
      <c r="F19995" s="5">
        <v>235.5</v>
      </c>
      <c r="G19995" s="5">
        <v>117.5</v>
      </c>
      <c r="H19995" s="5">
        <v>117.3</v>
      </c>
      <c r="I19995" s="5"/>
      <c r="J19995" s="5"/>
      <c r="K19995" s="5"/>
    </row>
    <row r="19996" spans="1:11" x14ac:dyDescent="0.25">
      <c r="A19996" s="5">
        <f>19989</f>
      </c>
      <c r="B19996" s="5" t="s">
        <v>20004</v>
      </c>
      <c r="C19996" s="5">
        <v>118.2</v>
      </c>
      <c r="D19996" s="5">
        <v>0.1</v>
      </c>
      <c r="E19996" s="5">
        <v>118.3</v>
      </c>
      <c r="F19996" s="5">
        <v>235.5</v>
      </c>
      <c r="G19996" s="5">
        <v>117.5</v>
      </c>
      <c r="H19996" s="5">
        <v>117.3</v>
      </c>
      <c r="I19996" s="5"/>
      <c r="J19996" s="5"/>
      <c r="K19996" s="5"/>
    </row>
    <row r="19997" spans="1:11" x14ac:dyDescent="0.25">
      <c r="A19997" s="5">
        <f>19990</f>
      </c>
      <c r="B19997" s="5" t="s">
        <v>20005</v>
      </c>
      <c r="C19997" s="5">
        <v>118.2</v>
      </c>
      <c r="D19997" s="5">
        <v>0.1</v>
      </c>
      <c r="E19997" s="5">
        <v>118.3</v>
      </c>
      <c r="F19997" s="5">
        <v>235.8</v>
      </c>
      <c r="G19997" s="5">
        <v>117.7</v>
      </c>
      <c r="H19997" s="5">
        <v>117.5</v>
      </c>
      <c r="I19997" s="5"/>
      <c r="J19997" s="5"/>
      <c r="K19997" s="5"/>
    </row>
    <row r="19998" spans="1:11" x14ac:dyDescent="0.25">
      <c r="A19998" s="5">
        <f>19991</f>
      </c>
      <c r="B19998" s="5" t="s">
        <v>20006</v>
      </c>
      <c r="C19998" s="5">
        <v>118.3</v>
      </c>
      <c r="D19998" s="5">
        <v>0.1</v>
      </c>
      <c r="E19998" s="5">
        <v>118.3</v>
      </c>
      <c r="F19998" s="5">
        <v>235.8</v>
      </c>
      <c r="G19998" s="5">
        <v>117.7</v>
      </c>
      <c r="H19998" s="5">
        <v>117.5</v>
      </c>
      <c r="I19998" s="5"/>
      <c r="J19998" s="5"/>
      <c r="K19998" s="5"/>
    </row>
    <row r="19999" spans="1:11" x14ac:dyDescent="0.25">
      <c r="A19999" s="5">
        <f>19992</f>
      </c>
      <c r="B19999" s="5" t="s">
        <v>20007</v>
      </c>
      <c r="C19999" s="5">
        <v>118.3</v>
      </c>
      <c r="D19999" s="5">
        <v>0.1</v>
      </c>
      <c r="E19999" s="5">
        <v>118.4</v>
      </c>
      <c r="F19999" s="5">
        <v>236.2</v>
      </c>
      <c r="G19999" s="5">
        <v>117.9</v>
      </c>
      <c r="H19999" s="5">
        <v>117.8</v>
      </c>
      <c r="I19999" s="5"/>
      <c r="J19999" s="5"/>
      <c r="K19999" s="5"/>
    </row>
    <row r="20000" spans="1:11" x14ac:dyDescent="0.25">
      <c r="A20000" s="5">
        <f>19993</f>
      </c>
      <c r="B20000" s="5" t="s">
        <v>20008</v>
      </c>
      <c r="C20000" s="5">
        <v>118.3</v>
      </c>
      <c r="D20000" s="5">
        <v>0.1</v>
      </c>
      <c r="E20000" s="5">
        <v>118.4</v>
      </c>
      <c r="F20000" s="5">
        <v>236.2</v>
      </c>
      <c r="G20000" s="5">
        <v>117.9</v>
      </c>
      <c r="H20000" s="5">
        <v>117.8</v>
      </c>
      <c r="I20000" s="5"/>
      <c r="J20000" s="5"/>
      <c r="K20000" s="5"/>
    </row>
    <row r="20001" spans="1:11" x14ac:dyDescent="0.25">
      <c r="A20001" s="5">
        <f>19994</f>
      </c>
      <c r="B20001" s="5" t="s">
        <v>20009</v>
      </c>
      <c r="C20001" s="5">
        <v>118.3</v>
      </c>
      <c r="D20001" s="5">
        <v>0.1</v>
      </c>
      <c r="E20001" s="5">
        <v>118.4</v>
      </c>
      <c r="F20001" s="5">
        <v>236.2</v>
      </c>
      <c r="G20001" s="5">
        <v>117.9</v>
      </c>
      <c r="H20001" s="5">
        <v>117.8</v>
      </c>
      <c r="I20001" s="5"/>
      <c r="J20001" s="5"/>
      <c r="K20001" s="5"/>
    </row>
    <row r="20002" spans="1:11" x14ac:dyDescent="0.25">
      <c r="A20002" s="5">
        <f>19995</f>
      </c>
      <c r="B20002" s="5" t="s">
        <v>20010</v>
      </c>
      <c r="C20002" s="5">
        <v>118.3</v>
      </c>
      <c r="D20002" s="5">
        <v>0.1</v>
      </c>
      <c r="E20002" s="5">
        <v>118.4</v>
      </c>
      <c r="F20002" s="5">
        <v>236.2</v>
      </c>
      <c r="G20002" s="5">
        <v>117.9</v>
      </c>
      <c r="H20002" s="5">
        <v>117.8</v>
      </c>
      <c r="I20002" s="5"/>
      <c r="J20002" s="5"/>
      <c r="K20002" s="5"/>
    </row>
    <row r="20003" spans="1:11" x14ac:dyDescent="0.25">
      <c r="A20003" s="5">
        <f>19996</f>
      </c>
      <c r="B20003" s="5" t="s">
        <v>20011</v>
      </c>
      <c r="C20003" s="5">
        <v>118.3</v>
      </c>
      <c r="D20003" s="5">
        <v>0.1</v>
      </c>
      <c r="E20003" s="5">
        <v>118.4</v>
      </c>
      <c r="F20003" s="5">
        <v>236.5</v>
      </c>
      <c r="G20003" s="5">
        <v>118</v>
      </c>
      <c r="H20003" s="5">
        <v>117.8</v>
      </c>
      <c r="I20003" s="5"/>
      <c r="J20003" s="5"/>
      <c r="K20003" s="5"/>
    </row>
    <row r="20004" spans="1:11" x14ac:dyDescent="0.25">
      <c r="A20004" s="5">
        <f>19997</f>
      </c>
      <c r="B20004" s="5" t="s">
        <v>20012</v>
      </c>
      <c r="C20004" s="5">
        <v>118.3</v>
      </c>
      <c r="D20004" s="5">
        <v>0.1</v>
      </c>
      <c r="E20004" s="5">
        <v>118.4</v>
      </c>
      <c r="F20004" s="5">
        <v>236.5</v>
      </c>
      <c r="G20004" s="5">
        <v>118</v>
      </c>
      <c r="H20004" s="5">
        <v>117.8</v>
      </c>
      <c r="I20004" s="5"/>
      <c r="J20004" s="5"/>
      <c r="K20004" s="5"/>
    </row>
    <row r="20005" spans="1:11" x14ac:dyDescent="0.25">
      <c r="A20005" s="5">
        <f>19998</f>
      </c>
      <c r="B20005" s="5" t="s">
        <v>20013</v>
      </c>
      <c r="C20005" s="5">
        <v>118.3</v>
      </c>
      <c r="D20005" s="5">
        <v>0.1</v>
      </c>
      <c r="E20005" s="5">
        <v>118.5</v>
      </c>
      <c r="F20005" s="5">
        <v>236.3</v>
      </c>
      <c r="G20005" s="5">
        <v>118</v>
      </c>
      <c r="H20005" s="5">
        <v>117.9</v>
      </c>
      <c r="I20005" s="5"/>
      <c r="J20005" s="5"/>
      <c r="K20005" s="5"/>
    </row>
    <row r="20006" spans="1:11" x14ac:dyDescent="0.25">
      <c r="A20006" s="5">
        <f>19999</f>
      </c>
      <c r="B20006" s="5" t="s">
        <v>20014</v>
      </c>
      <c r="C20006" s="5">
        <v>118.3</v>
      </c>
      <c r="D20006" s="5">
        <v>0.1</v>
      </c>
      <c r="E20006" s="5">
        <v>118.5</v>
      </c>
      <c r="F20006" s="5">
        <v>236.3</v>
      </c>
      <c r="G20006" s="5">
        <v>118</v>
      </c>
      <c r="H20006" s="5">
        <v>117.9</v>
      </c>
      <c r="I20006" s="5"/>
      <c r="J20006" s="5"/>
      <c r="K20006" s="5"/>
    </row>
    <row r="20007" spans="1:11" x14ac:dyDescent="0.25">
      <c r="A20007" s="5">
        <f>20000</f>
      </c>
      <c r="B20007" s="5" t="s">
        <v>20015</v>
      </c>
      <c r="C20007" s="5">
        <v>118.2</v>
      </c>
      <c r="D20007" s="5">
        <v>0.1</v>
      </c>
      <c r="E20007" s="5">
        <v>118.4</v>
      </c>
      <c r="F20007" s="5">
        <v>236.2</v>
      </c>
      <c r="G20007" s="5">
        <v>117.8</v>
      </c>
      <c r="H20007" s="5">
        <v>117.7</v>
      </c>
      <c r="I20007" s="5"/>
      <c r="J20007" s="5"/>
      <c r="K20007" s="5"/>
    </row>
    <row r="20008" spans="1:11" x14ac:dyDescent="0.25">
      <c r="A20008" s="5">
        <f>20001</f>
      </c>
      <c r="B20008" s="5" t="s">
        <v>20016</v>
      </c>
      <c r="C20008" s="5">
        <v>118.2</v>
      </c>
      <c r="D20008" s="5">
        <v>0.1</v>
      </c>
      <c r="E20008" s="5">
        <v>118.4</v>
      </c>
      <c r="F20008" s="5">
        <v>236.2</v>
      </c>
      <c r="G20008" s="5">
        <v>117.8</v>
      </c>
      <c r="H20008" s="5">
        <v>117.7</v>
      </c>
      <c r="I20008" s="5"/>
      <c r="J20008" s="5"/>
      <c r="K20008" s="5"/>
    </row>
    <row r="20009" spans="1:11" x14ac:dyDescent="0.25">
      <c r="A20009" s="5">
        <f>20002</f>
      </c>
      <c r="B20009" s="5" t="s">
        <v>20017</v>
      </c>
      <c r="C20009" s="5">
        <v>118.6</v>
      </c>
      <c r="D20009" s="5">
        <v>0.1</v>
      </c>
      <c r="E20009" s="5">
        <v>118.8</v>
      </c>
      <c r="F20009" s="5">
        <v>236.2</v>
      </c>
      <c r="G20009" s="5">
        <v>117.8</v>
      </c>
      <c r="H20009" s="5">
        <v>117.7</v>
      </c>
      <c r="I20009" s="5"/>
      <c r="J20009" s="5"/>
      <c r="K20009" s="5"/>
    </row>
    <row r="20010" spans="1:11" x14ac:dyDescent="0.25">
      <c r="A20010" s="5">
        <f>20003</f>
      </c>
      <c r="B20010" s="5" t="s">
        <v>20018</v>
      </c>
      <c r="C20010" s="5">
        <v>118.6</v>
      </c>
      <c r="D20010" s="5">
        <v>0.1</v>
      </c>
      <c r="E20010" s="5">
        <v>118.8</v>
      </c>
      <c r="F20010" s="5">
        <v>236.2</v>
      </c>
      <c r="G20010" s="5">
        <v>117.8</v>
      </c>
      <c r="H20010" s="5">
        <v>117.7</v>
      </c>
      <c r="I20010" s="5"/>
      <c r="J20010" s="5"/>
      <c r="K20010" s="5"/>
    </row>
    <row r="20011" spans="1:11" x14ac:dyDescent="0.25">
      <c r="A20011" s="5">
        <f>20004</f>
      </c>
      <c r="B20011" s="5" t="s">
        <v>20019</v>
      </c>
      <c r="C20011" s="5">
        <v>118.6</v>
      </c>
      <c r="D20011" s="5">
        <v>0.1</v>
      </c>
      <c r="E20011" s="5">
        <v>118.8</v>
      </c>
      <c r="F20011" s="5">
        <v>236.2</v>
      </c>
      <c r="G20011" s="5">
        <v>117.8</v>
      </c>
      <c r="H20011" s="5">
        <v>117.7</v>
      </c>
      <c r="I20011" s="5"/>
      <c r="J20011" s="5"/>
      <c r="K20011" s="5"/>
    </row>
    <row r="20012" spans="1:11" x14ac:dyDescent="0.25">
      <c r="A20012" s="5">
        <f>20005</f>
      </c>
      <c r="B20012" s="5" t="s">
        <v>20020</v>
      </c>
      <c r="C20012" s="5">
        <v>118.3</v>
      </c>
      <c r="D20012" s="5">
        <v>0.1</v>
      </c>
      <c r="E20012" s="5">
        <v>118.5</v>
      </c>
      <c r="F20012" s="5">
        <v>235.9</v>
      </c>
      <c r="G20012" s="5">
        <v>117.7</v>
      </c>
      <c r="H20012" s="5">
        <v>117.5</v>
      </c>
      <c r="I20012" s="5"/>
      <c r="J20012" s="5"/>
      <c r="K20012" s="5"/>
    </row>
    <row r="20013" spans="1:11" x14ac:dyDescent="0.25">
      <c r="A20013" s="5">
        <f>20006</f>
      </c>
      <c r="B20013" s="5" t="s">
        <v>20021</v>
      </c>
      <c r="C20013" s="5">
        <v>118.3</v>
      </c>
      <c r="D20013" s="5">
        <v>0.1</v>
      </c>
      <c r="E20013" s="5">
        <v>118.5</v>
      </c>
      <c r="F20013" s="5">
        <v>235.9</v>
      </c>
      <c r="G20013" s="5">
        <v>117.7</v>
      </c>
      <c r="H20013" s="5">
        <v>117.5</v>
      </c>
      <c r="I20013" s="5"/>
      <c r="J20013" s="5"/>
      <c r="K20013" s="5"/>
    </row>
    <row r="20014" spans="1:11" x14ac:dyDescent="0.25">
      <c r="A20014" s="5">
        <f>20007</f>
      </c>
      <c r="B20014" s="5" t="s">
        <v>20022</v>
      </c>
      <c r="C20014" s="5">
        <v>118.3</v>
      </c>
      <c r="D20014" s="5">
        <v>0.1</v>
      </c>
      <c r="E20014" s="5">
        <v>117.9</v>
      </c>
      <c r="F20014" s="5">
        <v>236.3</v>
      </c>
      <c r="G20014" s="5">
        <v>117.9</v>
      </c>
      <c r="H20014" s="5">
        <v>117.8</v>
      </c>
      <c r="I20014" s="5"/>
      <c r="J20014" s="5"/>
      <c r="K20014" s="5"/>
    </row>
    <row r="20015" spans="1:11" x14ac:dyDescent="0.25">
      <c r="A20015" s="5">
        <f>20008</f>
      </c>
      <c r="B20015" s="5" t="s">
        <v>20023</v>
      </c>
      <c r="C20015" s="5">
        <v>117.7</v>
      </c>
      <c r="D20015" s="5">
        <v>0.1</v>
      </c>
      <c r="E20015" s="5">
        <v>117.9</v>
      </c>
      <c r="F20015" s="5">
        <v>236.3</v>
      </c>
      <c r="G20015" s="5">
        <v>117.9</v>
      </c>
      <c r="H20015" s="5">
        <v>117.8</v>
      </c>
      <c r="I20015" s="5"/>
      <c r="J20015" s="5"/>
      <c r="K20015" s="5"/>
    </row>
    <row r="20016" spans="1:11" x14ac:dyDescent="0.25">
      <c r="A20016" s="5">
        <f>20009</f>
      </c>
      <c r="B20016" s="5" t="s">
        <v>20024</v>
      </c>
      <c r="C20016" s="5">
        <v>117.7</v>
      </c>
      <c r="D20016" s="5">
        <v>0.1</v>
      </c>
      <c r="E20016" s="5">
        <v>117.9</v>
      </c>
      <c r="F20016" s="5">
        <v>235.7</v>
      </c>
      <c r="G20016" s="5">
        <v>117.6</v>
      </c>
      <c r="H20016" s="5">
        <v>117.5</v>
      </c>
      <c r="I20016" s="5"/>
      <c r="J20016" s="5"/>
      <c r="K20016" s="5"/>
    </row>
    <row r="20017" spans="1:11" x14ac:dyDescent="0.25">
      <c r="A20017" s="5">
        <f>20010</f>
      </c>
      <c r="B20017" s="5" t="s">
        <v>20025</v>
      </c>
      <c r="C20017" s="5">
        <v>118.2</v>
      </c>
      <c r="D20017" s="5">
        <v>0.1</v>
      </c>
      <c r="E20017" s="5">
        <v>118.3</v>
      </c>
      <c r="F20017" s="5">
        <v>235.7</v>
      </c>
      <c r="G20017" s="5">
        <v>117.6</v>
      </c>
      <c r="H20017" s="5">
        <v>117.5</v>
      </c>
      <c r="I20017" s="5"/>
      <c r="J20017" s="5"/>
      <c r="K20017" s="5"/>
    </row>
    <row r="20018" spans="1:11" x14ac:dyDescent="0.25">
      <c r="A20018" s="5">
        <f>20011</f>
      </c>
      <c r="B20018" s="5" t="s">
        <v>20026</v>
      </c>
      <c r="C20018" s="5">
        <v>118.2</v>
      </c>
      <c r="D20018" s="5">
        <v>0.1</v>
      </c>
      <c r="E20018" s="5">
        <v>118.3</v>
      </c>
      <c r="F20018" s="5">
        <v>235.7</v>
      </c>
      <c r="G20018" s="5">
        <v>117.6</v>
      </c>
      <c r="H20018" s="5">
        <v>117.4</v>
      </c>
      <c r="I20018" s="5"/>
      <c r="J20018" s="5"/>
      <c r="K20018" s="5"/>
    </row>
    <row r="20019" spans="1:11" x14ac:dyDescent="0.25">
      <c r="A20019" s="5">
        <f>20012</f>
      </c>
      <c r="B20019" s="5" t="s">
        <v>20027</v>
      </c>
      <c r="C20019" s="5">
        <v>118</v>
      </c>
      <c r="D20019" s="5">
        <v>0.1</v>
      </c>
      <c r="E20019" s="5">
        <v>118.2</v>
      </c>
      <c r="F20019" s="5">
        <v>236</v>
      </c>
      <c r="G20019" s="5">
        <v>117.6</v>
      </c>
      <c r="H20019" s="5">
        <v>117.4</v>
      </c>
      <c r="I20019" s="5"/>
      <c r="J20019" s="5"/>
      <c r="K20019" s="5"/>
    </row>
    <row r="20020" spans="1:11" x14ac:dyDescent="0.25">
      <c r="A20020" s="5">
        <f>20013</f>
      </c>
      <c r="B20020" s="5" t="s">
        <v>20028</v>
      </c>
      <c r="C20020" s="5">
        <v>118</v>
      </c>
      <c r="D20020" s="5">
        <v>0.1</v>
      </c>
      <c r="E20020" s="5">
        <v>118.2</v>
      </c>
      <c r="F20020" s="5">
        <v>236</v>
      </c>
      <c r="G20020" s="5">
        <v>117.6</v>
      </c>
      <c r="H20020" s="5">
        <v>117.4</v>
      </c>
      <c r="I20020" s="5"/>
      <c r="J20020" s="5"/>
      <c r="K20020" s="5"/>
    </row>
    <row r="20021" spans="1:11" x14ac:dyDescent="0.25">
      <c r="A20021" s="5">
        <f>20014</f>
      </c>
      <c r="B20021" s="5" t="s">
        <v>20029</v>
      </c>
      <c r="C20021" s="5">
        <v>118</v>
      </c>
      <c r="D20021" s="5">
        <v>0.1</v>
      </c>
      <c r="E20021" s="5">
        <v>118.2</v>
      </c>
      <c r="F20021" s="5">
        <v>236</v>
      </c>
      <c r="G20021" s="5">
        <v>117.6</v>
      </c>
      <c r="H20021" s="5">
        <v>117.4</v>
      </c>
      <c r="I20021" s="5"/>
      <c r="J20021" s="5"/>
      <c r="K20021" s="5"/>
    </row>
    <row r="20022" spans="1:11" x14ac:dyDescent="0.25">
      <c r="A20022" s="5">
        <f>20015</f>
      </c>
      <c r="B20022" s="5" t="s">
        <v>20030</v>
      </c>
      <c r="C20022" s="5">
        <v>117.9</v>
      </c>
      <c r="D20022" s="5">
        <v>0.1</v>
      </c>
      <c r="E20022" s="5">
        <v>118.1</v>
      </c>
      <c r="F20022" s="5">
        <v>235.9</v>
      </c>
      <c r="G20022" s="5">
        <v>117.7</v>
      </c>
      <c r="H20022" s="5">
        <v>117.6</v>
      </c>
      <c r="I20022" s="5"/>
      <c r="J20022" s="5"/>
      <c r="K20022" s="5"/>
    </row>
    <row r="20023" spans="1:11" x14ac:dyDescent="0.25">
      <c r="A20023" s="5">
        <f>20016</f>
      </c>
      <c r="B20023" s="5" t="s">
        <v>20031</v>
      </c>
      <c r="C20023" s="5">
        <v>117.9</v>
      </c>
      <c r="D20023" s="5">
        <v>0.1</v>
      </c>
      <c r="E20023" s="5">
        <v>118.1</v>
      </c>
      <c r="F20023" s="5">
        <v>235.9</v>
      </c>
      <c r="G20023" s="5">
        <v>117.7</v>
      </c>
      <c r="H20023" s="5">
        <v>117.6</v>
      </c>
      <c r="I20023" s="5"/>
      <c r="J20023" s="5"/>
      <c r="K20023" s="5"/>
    </row>
    <row r="20024" spans="1:11" x14ac:dyDescent="0.25">
      <c r="A20024" s="5">
        <f>20017</f>
      </c>
      <c r="B20024" s="5" t="s">
        <v>20032</v>
      </c>
      <c r="C20024" s="5">
        <v>118.3</v>
      </c>
      <c r="D20024" s="5">
        <v>0.1</v>
      </c>
      <c r="E20024" s="5">
        <v>118.5</v>
      </c>
      <c r="F20024" s="5">
        <v>236</v>
      </c>
      <c r="G20024" s="5">
        <v>117.7</v>
      </c>
      <c r="H20024" s="5">
        <v>117.6</v>
      </c>
      <c r="I20024" s="5"/>
      <c r="J20024" s="5"/>
      <c r="K20024" s="5"/>
    </row>
    <row r="20025" spans="1:11" x14ac:dyDescent="0.25">
      <c r="A20025" s="5">
        <f>20018</f>
      </c>
      <c r="B20025" s="5" t="s">
        <v>20033</v>
      </c>
      <c r="C20025" s="5">
        <v>118.3</v>
      </c>
      <c r="D20025" s="5">
        <v>0.1</v>
      </c>
      <c r="E20025" s="5">
        <v>118.5</v>
      </c>
      <c r="F20025" s="5">
        <v>236</v>
      </c>
      <c r="G20025" s="5">
        <v>117.7</v>
      </c>
      <c r="H20025" s="5">
        <v>117.6</v>
      </c>
      <c r="I20025" s="5"/>
      <c r="J20025" s="5"/>
      <c r="K20025" s="5"/>
    </row>
    <row r="20026" spans="1:11" x14ac:dyDescent="0.25">
      <c r="A20026" s="5">
        <f>20019</f>
      </c>
      <c r="B20026" s="5" t="s">
        <v>20034</v>
      </c>
      <c r="C20026" s="5">
        <v>118.2</v>
      </c>
      <c r="D20026" s="5">
        <v>0.1</v>
      </c>
      <c r="E20026" s="5">
        <v>118.3</v>
      </c>
      <c r="F20026" s="5">
        <v>235.9</v>
      </c>
      <c r="G20026" s="5">
        <v>117.7</v>
      </c>
      <c r="H20026" s="5">
        <v>117.6</v>
      </c>
      <c r="I20026" s="5"/>
      <c r="J20026" s="5"/>
      <c r="K20026" s="5"/>
    </row>
    <row r="20027" spans="1:11" x14ac:dyDescent="0.25">
      <c r="A20027" s="5">
        <f>20020</f>
      </c>
      <c r="B20027" s="5" t="s">
        <v>20035</v>
      </c>
      <c r="C20027" s="5">
        <v>118.2</v>
      </c>
      <c r="D20027" s="5">
        <v>0.1</v>
      </c>
      <c r="E20027" s="5">
        <v>118.3</v>
      </c>
      <c r="F20027" s="5">
        <v>235.9</v>
      </c>
      <c r="G20027" s="5">
        <v>117.7</v>
      </c>
      <c r="H20027" s="5">
        <v>117.6</v>
      </c>
      <c r="I20027" s="5"/>
      <c r="J20027" s="5"/>
      <c r="K20027" s="5"/>
    </row>
    <row r="20028" spans="1:11" x14ac:dyDescent="0.25">
      <c r="A20028" s="5">
        <f>20021</f>
      </c>
      <c r="B20028" s="5" t="s">
        <v>20036</v>
      </c>
      <c r="C20028" s="5">
        <v>118.2</v>
      </c>
      <c r="D20028" s="5">
        <v>0.1</v>
      </c>
      <c r="E20028" s="5">
        <v>118.3</v>
      </c>
      <c r="F20028" s="5">
        <v>236.1</v>
      </c>
      <c r="G20028" s="5">
        <v>117.8</v>
      </c>
      <c r="H20028" s="5">
        <v>117.6</v>
      </c>
      <c r="I20028" s="5"/>
      <c r="J20028" s="5"/>
      <c r="K20028" s="5"/>
    </row>
    <row r="20029" spans="1:11" x14ac:dyDescent="0.25">
      <c r="A20029" s="5">
        <f>20022</f>
      </c>
      <c r="B20029" s="5" t="s">
        <v>20037</v>
      </c>
      <c r="C20029" s="5">
        <v>118.2</v>
      </c>
      <c r="D20029" s="5">
        <v>0.1</v>
      </c>
      <c r="E20029" s="5">
        <v>118.3</v>
      </c>
      <c r="F20029" s="5">
        <v>236.1</v>
      </c>
      <c r="G20029" s="5">
        <v>117.8</v>
      </c>
      <c r="H20029" s="5">
        <v>117.6</v>
      </c>
      <c r="I20029" s="5"/>
      <c r="J20029" s="5"/>
      <c r="K20029" s="5"/>
    </row>
    <row r="20030" spans="1:11" x14ac:dyDescent="0.25">
      <c r="A20030" s="5">
        <f>20023</f>
      </c>
      <c r="B20030" s="5" t="s">
        <v>20038</v>
      </c>
      <c r="C20030" s="5">
        <v>118.2</v>
      </c>
      <c r="D20030" s="5">
        <v>0.1</v>
      </c>
      <c r="E20030" s="5">
        <v>118.3</v>
      </c>
      <c r="F20030" s="5">
        <v>236.1</v>
      </c>
      <c r="G20030" s="5">
        <v>117.8</v>
      </c>
      <c r="H20030" s="5">
        <v>117.6</v>
      </c>
      <c r="I20030" s="5"/>
      <c r="J20030" s="5"/>
      <c r="K20030" s="5"/>
    </row>
    <row r="20031" spans="1:11" x14ac:dyDescent="0.25">
      <c r="A20031" s="5">
        <f>20024</f>
      </c>
      <c r="B20031" s="5" t="s">
        <v>20039</v>
      </c>
      <c r="C20031" s="5">
        <v>118.2</v>
      </c>
      <c r="D20031" s="5">
        <v>0.1</v>
      </c>
      <c r="E20031" s="5">
        <v>118.3</v>
      </c>
      <c r="F20031" s="5">
        <v>236.1</v>
      </c>
      <c r="G20031" s="5">
        <v>117.8</v>
      </c>
      <c r="H20031" s="5">
        <v>117.6</v>
      </c>
      <c r="I20031" s="5"/>
      <c r="J20031" s="5"/>
      <c r="K20031" s="5"/>
    </row>
    <row r="20032" spans="1:11" x14ac:dyDescent="0.25">
      <c r="A20032" s="5">
        <f>20025</f>
      </c>
      <c r="B20032" s="5" t="s">
        <v>20040</v>
      </c>
      <c r="C20032" s="5">
        <v>122.2</v>
      </c>
      <c r="D20032" s="5">
        <v>0.1</v>
      </c>
      <c r="E20032" s="5">
        <v>122.5</v>
      </c>
      <c r="F20032" s="5">
        <v>244.4</v>
      </c>
      <c r="G20032" s="5">
        <v>122</v>
      </c>
      <c r="H20032" s="5">
        <v>121.8</v>
      </c>
      <c r="I20032" s="5"/>
      <c r="J20032" s="5"/>
      <c r="K20032" s="5"/>
    </row>
    <row r="20033" spans="1:11" x14ac:dyDescent="0.25">
      <c r="A20033" s="5">
        <f>20026</f>
      </c>
      <c r="B20033" s="5" t="s">
        <v>20041</v>
      </c>
      <c r="C20033" s="5">
        <v>122.2</v>
      </c>
      <c r="D20033" s="5">
        <v>0.1</v>
      </c>
      <c r="E20033" s="5">
        <v>122.5</v>
      </c>
      <c r="F20033" s="5">
        <v>244.4</v>
      </c>
      <c r="G20033" s="5">
        <v>122</v>
      </c>
      <c r="H20033" s="5">
        <v>121.8</v>
      </c>
      <c r="I20033" s="5"/>
      <c r="J20033" s="5"/>
      <c r="K20033" s="5"/>
    </row>
    <row r="20034" spans="1:11" x14ac:dyDescent="0.25">
      <c r="A20034" s="5">
        <f>20027</f>
      </c>
      <c r="B20034" s="5" t="s">
        <v>20042</v>
      </c>
      <c r="C20034" s="5">
        <v>122.5</v>
      </c>
      <c r="D20034" s="5">
        <v>0.1</v>
      </c>
      <c r="E20034" s="5">
        <v>122.7</v>
      </c>
      <c r="F20034" s="5">
        <v>244.6</v>
      </c>
      <c r="G20034" s="5">
        <v>122.1</v>
      </c>
      <c r="H20034" s="5">
        <v>121.9</v>
      </c>
      <c r="I20034" s="5"/>
      <c r="J20034" s="5"/>
      <c r="K20034" s="5"/>
    </row>
    <row r="20035" spans="1:11" x14ac:dyDescent="0.25">
      <c r="A20035" s="5">
        <f>20028</f>
      </c>
      <c r="B20035" s="5" t="s">
        <v>20043</v>
      </c>
      <c r="C20035" s="5">
        <v>122.5</v>
      </c>
      <c r="D20035" s="5">
        <v>0.1</v>
      </c>
      <c r="E20035" s="5">
        <v>122.7</v>
      </c>
      <c r="F20035" s="5">
        <v>244.6</v>
      </c>
      <c r="G20035" s="5">
        <v>122.1</v>
      </c>
      <c r="H20035" s="5">
        <v>121.9</v>
      </c>
      <c r="I20035" s="5"/>
      <c r="J20035" s="5"/>
      <c r="K20035" s="5"/>
    </row>
    <row r="20036" spans="1:11" x14ac:dyDescent="0.25">
      <c r="A20036" s="5">
        <f>20029</f>
      </c>
      <c r="B20036" s="5" t="s">
        <v>20044</v>
      </c>
      <c r="C20036" s="5">
        <v>122.5</v>
      </c>
      <c r="D20036" s="5">
        <v>0.1</v>
      </c>
      <c r="E20036" s="5">
        <v>122.6</v>
      </c>
      <c r="F20036" s="5">
        <v>244.7</v>
      </c>
      <c r="G20036" s="5">
        <v>122.2</v>
      </c>
      <c r="H20036" s="5">
        <v>122</v>
      </c>
      <c r="I20036" s="5"/>
      <c r="J20036" s="5"/>
      <c r="K20036" s="5"/>
    </row>
    <row r="20037" spans="1:11" x14ac:dyDescent="0.25">
      <c r="A20037" s="5">
        <f>20030</f>
      </c>
      <c r="B20037" s="5" t="s">
        <v>20045</v>
      </c>
      <c r="C20037" s="5">
        <v>122.5</v>
      </c>
      <c r="D20037" s="5">
        <v>0.1</v>
      </c>
      <c r="E20037" s="5">
        <v>122.6</v>
      </c>
      <c r="F20037" s="5">
        <v>244.7</v>
      </c>
      <c r="G20037" s="5">
        <v>122.2</v>
      </c>
      <c r="H20037" s="5">
        <v>122</v>
      </c>
      <c r="I20037" s="5"/>
      <c r="J20037" s="5"/>
      <c r="K20037" s="5"/>
    </row>
    <row r="20038" spans="1:11" x14ac:dyDescent="0.25">
      <c r="A20038" s="5">
        <f>20031</f>
      </c>
      <c r="B20038" s="5" t="s">
        <v>20046</v>
      </c>
      <c r="C20038" s="5">
        <v>122.7</v>
      </c>
      <c r="D20038" s="5">
        <v>0.1</v>
      </c>
      <c r="E20038" s="5">
        <v>122.8</v>
      </c>
      <c r="F20038" s="5">
        <v>245.2</v>
      </c>
      <c r="G20038" s="5">
        <v>122.4</v>
      </c>
      <c r="H20038" s="5">
        <v>122.1</v>
      </c>
      <c r="I20038" s="5"/>
      <c r="J20038" s="5"/>
      <c r="K20038" s="5"/>
    </row>
    <row r="20039" spans="1:11" x14ac:dyDescent="0.25">
      <c r="A20039" s="5">
        <f>20032</f>
      </c>
      <c r="B20039" s="5" t="s">
        <v>20047</v>
      </c>
      <c r="C20039" s="5">
        <v>122.7</v>
      </c>
      <c r="D20039" s="5">
        <v>0.1</v>
      </c>
      <c r="E20039" s="5">
        <v>122.8</v>
      </c>
      <c r="F20039" s="5">
        <v>245.2</v>
      </c>
      <c r="G20039" s="5">
        <v>122.4</v>
      </c>
      <c r="H20039" s="5">
        <v>122.1</v>
      </c>
      <c r="I20039" s="5"/>
      <c r="J20039" s="5"/>
      <c r="K20039" s="5"/>
    </row>
    <row r="20040" spans="1:11" x14ac:dyDescent="0.25">
      <c r="A20040" s="5">
        <f>20033</f>
      </c>
      <c r="B20040" s="5" t="s">
        <v>20048</v>
      </c>
      <c r="C20040" s="5">
        <v>122.7</v>
      </c>
      <c r="D20040" s="5">
        <v>0.1</v>
      </c>
      <c r="E20040" s="5">
        <v>122.8</v>
      </c>
      <c r="F20040" s="5">
        <v>245.2</v>
      </c>
      <c r="G20040" s="5">
        <v>122.4</v>
      </c>
      <c r="H20040" s="5">
        <v>122.1</v>
      </c>
      <c r="I20040" s="5"/>
      <c r="J20040" s="5"/>
      <c r="K20040" s="5"/>
    </row>
    <row r="20041" spans="1:11" x14ac:dyDescent="0.25">
      <c r="A20041" s="5">
        <f>20034</f>
      </c>
      <c r="B20041" s="5" t="s">
        <v>20049</v>
      </c>
      <c r="C20041" s="5">
        <v>122.7</v>
      </c>
      <c r="D20041" s="5">
        <v>0.1</v>
      </c>
      <c r="E20041" s="5">
        <v>122.8</v>
      </c>
      <c r="F20041" s="5">
        <v>245.2</v>
      </c>
      <c r="G20041" s="5">
        <v>122.4</v>
      </c>
      <c r="H20041" s="5">
        <v>122.1</v>
      </c>
      <c r="I20041" s="5"/>
      <c r="J20041" s="5"/>
      <c r="K20041" s="5"/>
    </row>
    <row r="20042" spans="1:11" x14ac:dyDescent="0.25">
      <c r="A20042" s="5">
        <f>20035</f>
      </c>
      <c r="B20042" s="5" t="s">
        <v>20050</v>
      </c>
      <c r="C20042" s="5">
        <v>122.8</v>
      </c>
      <c r="D20042" s="5">
        <v>0.1</v>
      </c>
      <c r="E20042" s="5">
        <v>122.9</v>
      </c>
      <c r="F20042" s="5">
        <v>245</v>
      </c>
      <c r="G20042" s="5">
        <v>122.3</v>
      </c>
      <c r="H20042" s="5">
        <v>122.2</v>
      </c>
      <c r="I20042" s="5"/>
      <c r="J20042" s="5"/>
      <c r="K20042" s="5"/>
    </row>
    <row r="20043" spans="1:11" x14ac:dyDescent="0.25">
      <c r="A20043" s="5">
        <f>20036</f>
      </c>
      <c r="B20043" s="5" t="s">
        <v>20051</v>
      </c>
      <c r="C20043" s="5">
        <v>122.8</v>
      </c>
      <c r="D20043" s="5">
        <v>0.1</v>
      </c>
      <c r="E20043" s="5">
        <v>122.9</v>
      </c>
      <c r="F20043" s="5">
        <v>245</v>
      </c>
      <c r="G20043" s="5">
        <v>122.3</v>
      </c>
      <c r="H20043" s="5">
        <v>122.2</v>
      </c>
      <c r="I20043" s="5"/>
      <c r="J20043" s="5"/>
      <c r="K20043" s="5"/>
    </row>
    <row r="20044" spans="1:11" x14ac:dyDescent="0.25">
      <c r="A20044" s="5">
        <f>20037</f>
      </c>
      <c r="B20044" s="5" t="s">
        <v>20052</v>
      </c>
      <c r="C20044" s="5">
        <v>122.4</v>
      </c>
      <c r="D20044" s="5">
        <v>0.1</v>
      </c>
      <c r="E20044" s="5">
        <v>122.5</v>
      </c>
      <c r="F20044" s="5">
        <v>244.9</v>
      </c>
      <c r="G20044" s="5">
        <v>122.2</v>
      </c>
      <c r="H20044" s="5">
        <v>122</v>
      </c>
      <c r="I20044" s="5"/>
      <c r="J20044" s="5"/>
      <c r="K20044" s="5"/>
    </row>
    <row r="20045" spans="1:11" x14ac:dyDescent="0.25">
      <c r="A20045" s="5">
        <f>20038</f>
      </c>
      <c r="B20045" s="5" t="s">
        <v>20053</v>
      </c>
      <c r="C20045" s="5">
        <v>122.4</v>
      </c>
      <c r="D20045" s="5">
        <v>0.1</v>
      </c>
      <c r="E20045" s="5">
        <v>122.5</v>
      </c>
      <c r="F20045" s="5">
        <v>244.9</v>
      </c>
      <c r="G20045" s="5">
        <v>122.2</v>
      </c>
      <c r="H20045" s="5">
        <v>122</v>
      </c>
      <c r="I20045" s="5"/>
      <c r="J20045" s="5"/>
      <c r="K20045" s="5"/>
    </row>
    <row r="20046" spans="1:11" x14ac:dyDescent="0.25">
      <c r="A20046" s="5">
        <f>20039</f>
      </c>
      <c r="B20046" s="5" t="s">
        <v>20054</v>
      </c>
      <c r="C20046" s="5">
        <v>122.4</v>
      </c>
      <c r="D20046" s="5">
        <v>0.1</v>
      </c>
      <c r="E20046" s="5">
        <v>122.5</v>
      </c>
      <c r="F20046" s="5">
        <v>244.4</v>
      </c>
      <c r="G20046" s="5">
        <v>122</v>
      </c>
      <c r="H20046" s="5">
        <v>121.8</v>
      </c>
      <c r="I20046" s="5"/>
      <c r="J20046" s="5"/>
      <c r="K20046" s="5"/>
    </row>
    <row r="20047" spans="1:11" x14ac:dyDescent="0.25">
      <c r="A20047" s="5">
        <f>20040</f>
      </c>
      <c r="B20047" s="5" t="s">
        <v>20055</v>
      </c>
      <c r="C20047" s="5">
        <v>122.4</v>
      </c>
      <c r="D20047" s="5">
        <v>0.1</v>
      </c>
      <c r="E20047" s="5">
        <v>122.5</v>
      </c>
      <c r="F20047" s="5">
        <v>244.4</v>
      </c>
      <c r="G20047" s="5">
        <v>122</v>
      </c>
      <c r="H20047" s="5">
        <v>121.8</v>
      </c>
      <c r="I20047" s="5"/>
      <c r="J20047" s="5"/>
      <c r="K20047" s="5"/>
    </row>
    <row r="20048" spans="1:11" x14ac:dyDescent="0.25">
      <c r="A20048" s="5">
        <f>20041</f>
      </c>
      <c r="B20048" s="5" t="s">
        <v>20056</v>
      </c>
      <c r="C20048" s="5">
        <v>122.5</v>
      </c>
      <c r="D20048" s="5">
        <v>0.1</v>
      </c>
      <c r="E20048" s="5">
        <v>122.6</v>
      </c>
      <c r="F20048" s="5">
        <v>244.6</v>
      </c>
      <c r="G20048" s="5">
        <v>122.1</v>
      </c>
      <c r="H20048" s="5">
        <v>121.9</v>
      </c>
      <c r="I20048" s="5"/>
      <c r="J20048" s="5"/>
      <c r="K20048" s="5"/>
    </row>
    <row r="20049" spans="1:11" x14ac:dyDescent="0.25">
      <c r="A20049" s="5">
        <f>20042</f>
      </c>
      <c r="B20049" s="5" t="s">
        <v>20057</v>
      </c>
      <c r="C20049" s="5">
        <v>122.5</v>
      </c>
      <c r="D20049" s="5">
        <v>0.1</v>
      </c>
      <c r="E20049" s="5">
        <v>122.6</v>
      </c>
      <c r="F20049" s="5">
        <v>244.6</v>
      </c>
      <c r="G20049" s="5">
        <v>122.1</v>
      </c>
      <c r="H20049" s="5">
        <v>121.9</v>
      </c>
      <c r="I20049" s="5"/>
      <c r="J20049" s="5"/>
      <c r="K20049" s="5"/>
    </row>
    <row r="20050" spans="1:11" x14ac:dyDescent="0.25">
      <c r="A20050" s="5">
        <f>20043</f>
      </c>
      <c r="B20050" s="5" t="s">
        <v>20058</v>
      </c>
      <c r="C20050" s="5">
        <v>122.5</v>
      </c>
      <c r="D20050" s="5">
        <v>0.1</v>
      </c>
      <c r="E20050" s="5">
        <v>122.6</v>
      </c>
      <c r="F20050" s="5">
        <v>244.6</v>
      </c>
      <c r="G20050" s="5">
        <v>122.1</v>
      </c>
      <c r="H20050" s="5">
        <v>121.9</v>
      </c>
      <c r="I20050" s="5"/>
      <c r="J20050" s="5"/>
      <c r="K20050" s="5"/>
    </row>
    <row r="20051" spans="1:11" x14ac:dyDescent="0.25">
      <c r="A20051" s="5">
        <f>20044</f>
      </c>
      <c r="B20051" s="5" t="s">
        <v>20059</v>
      </c>
      <c r="C20051" s="5">
        <v>122.5</v>
      </c>
      <c r="D20051" s="5">
        <v>0.1</v>
      </c>
      <c r="E20051" s="5">
        <v>122.6</v>
      </c>
      <c r="F20051" s="5">
        <v>244.6</v>
      </c>
      <c r="G20051" s="5">
        <v>122.1</v>
      </c>
      <c r="H20051" s="5">
        <v>121.9</v>
      </c>
      <c r="I20051" s="5"/>
      <c r="J20051" s="5"/>
      <c r="K20051" s="5"/>
    </row>
    <row r="20052" spans="1:11" x14ac:dyDescent="0.25">
      <c r="A20052" s="5">
        <f>20045</f>
      </c>
      <c r="B20052" s="5" t="s">
        <v>20060</v>
      </c>
      <c r="C20052" s="5">
        <v>122.9</v>
      </c>
      <c r="D20052" s="5">
        <v>0.1</v>
      </c>
      <c r="E20052" s="5">
        <v>123.1</v>
      </c>
      <c r="F20052" s="5">
        <v>245</v>
      </c>
      <c r="G20052" s="5">
        <v>122.3</v>
      </c>
      <c r="H20052" s="5">
        <v>122.1</v>
      </c>
      <c r="I20052" s="5"/>
      <c r="J20052" s="5"/>
      <c r="K20052" s="5"/>
    </row>
    <row r="20053" spans="1:11" x14ac:dyDescent="0.25">
      <c r="A20053" s="5">
        <f>20046</f>
      </c>
      <c r="B20053" s="5" t="s">
        <v>20061</v>
      </c>
      <c r="C20053" s="5">
        <v>122.9</v>
      </c>
      <c r="D20053" s="5">
        <v>0.1</v>
      </c>
      <c r="E20053" s="5">
        <v>123.1</v>
      </c>
      <c r="F20053" s="5">
        <v>245</v>
      </c>
      <c r="G20053" s="5">
        <v>122.3</v>
      </c>
      <c r="H20053" s="5">
        <v>122.1</v>
      </c>
      <c r="I20053" s="5"/>
      <c r="J20053" s="5"/>
      <c r="K20053" s="5"/>
    </row>
    <row r="20054" spans="1:11" x14ac:dyDescent="0.25">
      <c r="A20054" s="5">
        <f>20047</f>
      </c>
      <c r="B20054" s="5" t="s">
        <v>20062</v>
      </c>
      <c r="C20054" s="5">
        <v>122.3</v>
      </c>
      <c r="D20054" s="5">
        <v>0.1</v>
      </c>
      <c r="E20054" s="5">
        <v>122.5</v>
      </c>
      <c r="F20054" s="5">
        <v>245</v>
      </c>
      <c r="G20054" s="5">
        <v>122.3</v>
      </c>
      <c r="H20054" s="5">
        <v>122.1</v>
      </c>
      <c r="I20054" s="5"/>
      <c r="J20054" s="5"/>
      <c r="K20054" s="5"/>
    </row>
    <row r="20055" spans="1:11" x14ac:dyDescent="0.25">
      <c r="A20055" s="5">
        <f>20048</f>
      </c>
      <c r="B20055" s="5" t="s">
        <v>20063</v>
      </c>
      <c r="C20055" s="5">
        <v>122.3</v>
      </c>
      <c r="D20055" s="5">
        <v>0.1</v>
      </c>
      <c r="E20055" s="5">
        <v>122.5</v>
      </c>
      <c r="F20055" s="5">
        <v>245</v>
      </c>
      <c r="G20055" s="5">
        <v>122.3</v>
      </c>
      <c r="H20055" s="5">
        <v>122.1</v>
      </c>
      <c r="I20055" s="5"/>
      <c r="J20055" s="5"/>
      <c r="K20055" s="5"/>
    </row>
    <row r="20056" spans="1:11" x14ac:dyDescent="0.25">
      <c r="A20056" s="5">
        <f>20049</f>
      </c>
      <c r="B20056" s="5" t="s">
        <v>20064</v>
      </c>
      <c r="C20056" s="5">
        <v>122.5</v>
      </c>
      <c r="D20056" s="5">
        <v>0.1</v>
      </c>
      <c r="E20056" s="5">
        <v>122.6</v>
      </c>
      <c r="F20056" s="5">
        <v>244.5</v>
      </c>
      <c r="G20056" s="5">
        <v>122</v>
      </c>
      <c r="H20056" s="5">
        <v>121.8</v>
      </c>
      <c r="I20056" s="5"/>
      <c r="J20056" s="5"/>
      <c r="K20056" s="5"/>
    </row>
    <row r="20057" spans="1:11" x14ac:dyDescent="0.25">
      <c r="A20057" s="5">
        <f>20050</f>
      </c>
      <c r="B20057" s="5" t="s">
        <v>20065</v>
      </c>
      <c r="C20057" s="5">
        <v>122.5</v>
      </c>
      <c r="D20057" s="5">
        <v>0.1</v>
      </c>
      <c r="E20057" s="5">
        <v>122.6</v>
      </c>
      <c r="F20057" s="5">
        <v>244.5</v>
      </c>
      <c r="G20057" s="5">
        <v>122</v>
      </c>
      <c r="H20057" s="5">
        <v>121.8</v>
      </c>
      <c r="I20057" s="5"/>
      <c r="J20057" s="5"/>
      <c r="K20057" s="5"/>
    </row>
    <row r="20058" spans="1:11" x14ac:dyDescent="0.25">
      <c r="A20058" s="5">
        <f>20051</f>
      </c>
      <c r="B20058" s="5" t="s">
        <v>20066</v>
      </c>
      <c r="C20058" s="5">
        <v>122.5</v>
      </c>
      <c r="D20058" s="5">
        <v>0.1</v>
      </c>
      <c r="E20058" s="5">
        <v>122.6</v>
      </c>
      <c r="F20058" s="5">
        <v>244.4</v>
      </c>
      <c r="G20058" s="5">
        <v>122</v>
      </c>
      <c r="H20058" s="5">
        <v>121.8</v>
      </c>
      <c r="I20058" s="5"/>
      <c r="J20058" s="5"/>
      <c r="K20058" s="5"/>
    </row>
    <row r="20059" spans="1:11" x14ac:dyDescent="0.25">
      <c r="A20059" s="5">
        <f>20052</f>
      </c>
      <c r="B20059" s="5" t="s">
        <v>20067</v>
      </c>
      <c r="C20059" s="5">
        <v>122.5</v>
      </c>
      <c r="D20059" s="5">
        <v>0.1</v>
      </c>
      <c r="E20059" s="5">
        <v>122.6</v>
      </c>
      <c r="F20059" s="5">
        <v>244.4</v>
      </c>
      <c r="G20059" s="5">
        <v>122</v>
      </c>
      <c r="H20059" s="5">
        <v>121.8</v>
      </c>
      <c r="I20059" s="5"/>
      <c r="J20059" s="5"/>
      <c r="K20059" s="5"/>
    </row>
    <row r="20060" spans="1:11" x14ac:dyDescent="0.25">
      <c r="A20060" s="5">
        <f>20053</f>
      </c>
      <c r="B20060" s="5" t="s">
        <v>20068</v>
      </c>
      <c r="C20060" s="5">
        <v>122.5</v>
      </c>
      <c r="D20060" s="5">
        <v>0.1</v>
      </c>
      <c r="E20060" s="5">
        <v>122.6</v>
      </c>
      <c r="F20060" s="5">
        <v>244.4</v>
      </c>
      <c r="G20060" s="5">
        <v>122</v>
      </c>
      <c r="H20060" s="5">
        <v>121.8</v>
      </c>
      <c r="I20060" s="5"/>
      <c r="J20060" s="5"/>
      <c r="K20060" s="5"/>
    </row>
    <row r="20061" spans="1:11" x14ac:dyDescent="0.25">
      <c r="A20061" s="5">
        <f>20054</f>
      </c>
      <c r="B20061" s="5" t="s">
        <v>20069</v>
      </c>
      <c r="C20061" s="5">
        <v>122.5</v>
      </c>
      <c r="D20061" s="5">
        <v>0.1</v>
      </c>
      <c r="E20061" s="5">
        <v>122.6</v>
      </c>
      <c r="F20061" s="5">
        <v>244.4</v>
      </c>
      <c r="G20061" s="5">
        <v>122</v>
      </c>
      <c r="H20061" s="5">
        <v>121.8</v>
      </c>
      <c r="I20061" s="5"/>
      <c r="J20061" s="5"/>
      <c r="K20061" s="5"/>
    </row>
    <row r="20062" spans="1:11" x14ac:dyDescent="0.25">
      <c r="A20062" s="5">
        <f>20055</f>
      </c>
      <c r="B20062" s="5" t="s">
        <v>20070</v>
      </c>
      <c r="C20062" s="5">
        <v>122.3</v>
      </c>
      <c r="D20062" s="5">
        <v>0.1</v>
      </c>
      <c r="E20062" s="5">
        <v>122.5</v>
      </c>
      <c r="F20062" s="5">
        <v>244.4</v>
      </c>
      <c r="G20062" s="5">
        <v>121.9</v>
      </c>
      <c r="H20062" s="5">
        <v>121.7</v>
      </c>
      <c r="I20062" s="5"/>
      <c r="J20062" s="5"/>
      <c r="K20062" s="5"/>
    </row>
    <row r="20063" spans="1:11" x14ac:dyDescent="0.25">
      <c r="A20063" s="5">
        <f>20056</f>
      </c>
      <c r="B20063" s="5" t="s">
        <v>20071</v>
      </c>
      <c r="C20063" s="5">
        <v>122.3</v>
      </c>
      <c r="D20063" s="5">
        <v>0.1</v>
      </c>
      <c r="E20063" s="5">
        <v>122.5</v>
      </c>
      <c r="F20063" s="5">
        <v>244.4</v>
      </c>
      <c r="G20063" s="5">
        <v>121.9</v>
      </c>
      <c r="H20063" s="5">
        <v>121.7</v>
      </c>
      <c r="I20063" s="5"/>
      <c r="J20063" s="5"/>
      <c r="K20063" s="5"/>
    </row>
    <row r="20064" spans="1:11" x14ac:dyDescent="0.25">
      <c r="A20064" s="5">
        <f>20057</f>
      </c>
      <c r="B20064" s="5" t="s">
        <v>20072</v>
      </c>
      <c r="C20064" s="5">
        <v>122.1</v>
      </c>
      <c r="D20064" s="5">
        <v>0.1</v>
      </c>
      <c r="E20064" s="5">
        <v>122.3</v>
      </c>
      <c r="F20064" s="5">
        <v>244.2</v>
      </c>
      <c r="G20064" s="5">
        <v>121.9</v>
      </c>
      <c r="H20064" s="5">
        <v>121.8</v>
      </c>
      <c r="I20064" s="5"/>
      <c r="J20064" s="5"/>
      <c r="K20064" s="5"/>
    </row>
    <row r="20065" spans="1:11" x14ac:dyDescent="0.25">
      <c r="A20065" s="5">
        <f>20058</f>
      </c>
      <c r="B20065" s="5" t="s">
        <v>20073</v>
      </c>
      <c r="C20065" s="5">
        <v>122.1</v>
      </c>
      <c r="D20065" s="5">
        <v>0.1</v>
      </c>
      <c r="E20065" s="5">
        <v>122.3</v>
      </c>
      <c r="F20065" s="5">
        <v>244.2</v>
      </c>
      <c r="G20065" s="5">
        <v>121.9</v>
      </c>
      <c r="H20065" s="5">
        <v>121.8</v>
      </c>
      <c r="I20065" s="5"/>
      <c r="J20065" s="5"/>
      <c r="K20065" s="5"/>
    </row>
    <row r="20066" spans="1:11" x14ac:dyDescent="0.25">
      <c r="A20066" s="5">
        <f>20059</f>
      </c>
      <c r="B20066" s="5" t="s">
        <v>20074</v>
      </c>
      <c r="C20066" s="5">
        <v>122.3</v>
      </c>
      <c r="D20066" s="5">
        <v>0.1</v>
      </c>
      <c r="E20066" s="5">
        <v>122.5</v>
      </c>
      <c r="F20066" s="5">
        <v>243.9</v>
      </c>
      <c r="G20066" s="5">
        <v>121.7</v>
      </c>
      <c r="H20066" s="5">
        <v>121.6</v>
      </c>
      <c r="I20066" s="5"/>
      <c r="J20066" s="5"/>
      <c r="K20066" s="5"/>
    </row>
    <row r="20067" spans="1:11" x14ac:dyDescent="0.25">
      <c r="A20067" s="5">
        <f>20060</f>
      </c>
      <c r="B20067" s="5" t="s">
        <v>20075</v>
      </c>
      <c r="C20067" s="5">
        <v>122.3</v>
      </c>
      <c r="D20067" s="5">
        <v>0.1</v>
      </c>
      <c r="E20067" s="5">
        <v>122.5</v>
      </c>
      <c r="F20067" s="5">
        <v>243.9</v>
      </c>
      <c r="G20067" s="5">
        <v>121.7</v>
      </c>
      <c r="H20067" s="5">
        <v>121.6</v>
      </c>
      <c r="I20067" s="5"/>
      <c r="J20067" s="5"/>
      <c r="K20067" s="5"/>
    </row>
    <row r="20068" spans="1:11" x14ac:dyDescent="0.25">
      <c r="A20068" s="5">
        <f>20061</f>
      </c>
      <c r="B20068" s="5" t="s">
        <v>20076</v>
      </c>
      <c r="C20068" s="5">
        <v>122.3</v>
      </c>
      <c r="D20068" s="5">
        <v>0.1</v>
      </c>
      <c r="E20068" s="5">
        <v>122.5</v>
      </c>
      <c r="F20068" s="5">
        <v>243.9</v>
      </c>
      <c r="G20068" s="5">
        <v>121.7</v>
      </c>
      <c r="H20068" s="5">
        <v>121.6</v>
      </c>
      <c r="I20068" s="5"/>
      <c r="J20068" s="5"/>
      <c r="K20068" s="5"/>
    </row>
    <row r="20069" spans="1:11" x14ac:dyDescent="0.25">
      <c r="A20069" s="5">
        <f>20062</f>
      </c>
      <c r="B20069" s="5" t="s">
        <v>20077</v>
      </c>
      <c r="C20069" s="5">
        <v>122.3</v>
      </c>
      <c r="D20069" s="5">
        <v>0.1</v>
      </c>
      <c r="E20069" s="5">
        <v>122.5</v>
      </c>
      <c r="F20069" s="5">
        <v>243.9</v>
      </c>
      <c r="G20069" s="5">
        <v>121.7</v>
      </c>
      <c r="H20069" s="5">
        <v>121.6</v>
      </c>
      <c r="I20069" s="5"/>
      <c r="J20069" s="5"/>
      <c r="K20069" s="5"/>
    </row>
    <row r="20070" spans="1:11" x14ac:dyDescent="0.25">
      <c r="A20070" s="5">
        <f>20063</f>
      </c>
      <c r="B20070" s="5" t="s">
        <v>20078</v>
      </c>
      <c r="C20070" s="5">
        <v>122.3</v>
      </c>
      <c r="D20070" s="5">
        <v>0.1</v>
      </c>
      <c r="E20070" s="5">
        <v>122.5</v>
      </c>
      <c r="F20070" s="5">
        <v>243.9</v>
      </c>
      <c r="G20070" s="5">
        <v>121.7</v>
      </c>
      <c r="H20070" s="5">
        <v>121.6</v>
      </c>
      <c r="I20070" s="5"/>
      <c r="J20070" s="5"/>
      <c r="K20070" s="5"/>
    </row>
    <row r="20071" spans="1:11" x14ac:dyDescent="0.25">
      <c r="A20071" s="5">
        <f>20064</f>
      </c>
      <c r="B20071" s="5" t="s">
        <v>20079</v>
      </c>
      <c r="C20071" s="5">
        <v>122.3</v>
      </c>
      <c r="D20071" s="5">
        <v>0.1</v>
      </c>
      <c r="E20071" s="5">
        <v>122.5</v>
      </c>
      <c r="F20071" s="5">
        <v>243.9</v>
      </c>
      <c r="G20071" s="5">
        <v>121.7</v>
      </c>
      <c r="H20071" s="5">
        <v>121.6</v>
      </c>
      <c r="I20071" s="5"/>
      <c r="J20071" s="5"/>
      <c r="K20071" s="5"/>
    </row>
    <row r="20072" spans="1:11" x14ac:dyDescent="0.25">
      <c r="A20072" s="5">
        <f>20065</f>
      </c>
      <c r="B20072" s="5" t="s">
        <v>20080</v>
      </c>
      <c r="C20072" s="5">
        <v>122</v>
      </c>
      <c r="D20072" s="5">
        <v>0.1</v>
      </c>
      <c r="E20072" s="5">
        <v>122.1</v>
      </c>
      <c r="F20072" s="5">
        <v>243.4</v>
      </c>
      <c r="G20072" s="5">
        <v>121.5</v>
      </c>
      <c r="H20072" s="5">
        <v>121.3</v>
      </c>
      <c r="I20072" s="5"/>
      <c r="J20072" s="5"/>
      <c r="K20072" s="5"/>
    </row>
    <row r="20073" spans="1:11" x14ac:dyDescent="0.25">
      <c r="A20073" s="5">
        <f>20066</f>
      </c>
      <c r="B20073" s="5" t="s">
        <v>20081</v>
      </c>
      <c r="C20073" s="5">
        <v>122</v>
      </c>
      <c r="D20073" s="5">
        <v>0.1</v>
      </c>
      <c r="E20073" s="5">
        <v>122.1</v>
      </c>
      <c r="F20073" s="5">
        <v>243.4</v>
      </c>
      <c r="G20073" s="5">
        <v>121.5</v>
      </c>
      <c r="H20073" s="5">
        <v>121.3</v>
      </c>
      <c r="I20073" s="5"/>
      <c r="J20073" s="5"/>
      <c r="K20073" s="5"/>
    </row>
    <row r="20074" spans="1:11" x14ac:dyDescent="0.25">
      <c r="A20074" s="5">
        <f>20067</f>
      </c>
      <c r="B20074" s="5" t="s">
        <v>20082</v>
      </c>
      <c r="C20074" s="5">
        <v>121.6</v>
      </c>
      <c r="D20074" s="5">
        <v>0.1</v>
      </c>
      <c r="E20074" s="5">
        <v>121.8</v>
      </c>
      <c r="F20074" s="5">
        <v>243.1</v>
      </c>
      <c r="G20074" s="5">
        <v>121.4</v>
      </c>
      <c r="H20074" s="5">
        <v>121.2</v>
      </c>
      <c r="I20074" s="5"/>
      <c r="J20074" s="5"/>
      <c r="K20074" s="5"/>
    </row>
    <row r="20075" spans="1:11" x14ac:dyDescent="0.25">
      <c r="A20075" s="5">
        <f>20068</f>
      </c>
      <c r="B20075" s="5" t="s">
        <v>20083</v>
      </c>
      <c r="C20075" s="5">
        <v>121.6</v>
      </c>
      <c r="D20075" s="5">
        <v>0.1</v>
      </c>
      <c r="E20075" s="5">
        <v>121.8</v>
      </c>
      <c r="F20075" s="5">
        <v>243.1</v>
      </c>
      <c r="G20075" s="5">
        <v>121.4</v>
      </c>
      <c r="H20075" s="5">
        <v>121.2</v>
      </c>
      <c r="I20075" s="5"/>
      <c r="J20075" s="5"/>
      <c r="K20075" s="5"/>
    </row>
    <row r="20076" spans="1:11" x14ac:dyDescent="0.25">
      <c r="A20076" s="5">
        <f>20069</f>
      </c>
      <c r="B20076" s="5" t="s">
        <v>20084</v>
      </c>
      <c r="C20076" s="5">
        <v>121.5</v>
      </c>
      <c r="D20076" s="5">
        <v>0.1</v>
      </c>
      <c r="E20076" s="5">
        <v>121.6</v>
      </c>
      <c r="F20076" s="5">
        <v>243.1</v>
      </c>
      <c r="G20076" s="5">
        <v>121.4</v>
      </c>
      <c r="H20076" s="5">
        <v>121.2</v>
      </c>
      <c r="I20076" s="5"/>
      <c r="J20076" s="5"/>
      <c r="K20076" s="5"/>
    </row>
    <row r="20077" spans="1:11" x14ac:dyDescent="0.25">
      <c r="A20077" s="5">
        <f>20070</f>
      </c>
      <c r="B20077" s="5" t="s">
        <v>20085</v>
      </c>
      <c r="C20077" s="5">
        <v>121.5</v>
      </c>
      <c r="D20077" s="5">
        <v>0.1</v>
      </c>
      <c r="E20077" s="5">
        <v>121.6</v>
      </c>
      <c r="F20077" s="5">
        <v>243.1</v>
      </c>
      <c r="G20077" s="5">
        <v>121.4</v>
      </c>
      <c r="H20077" s="5">
        <v>121.2</v>
      </c>
      <c r="I20077" s="5"/>
      <c r="J20077" s="5"/>
      <c r="K20077" s="5"/>
    </row>
    <row r="20078" spans="1:11" x14ac:dyDescent="0.25">
      <c r="A20078" s="5">
        <f>20071</f>
      </c>
      <c r="B20078" s="5" t="s">
        <v>20086</v>
      </c>
      <c r="C20078" s="5">
        <v>121.9</v>
      </c>
      <c r="D20078" s="5">
        <v>0.1</v>
      </c>
      <c r="E20078" s="5">
        <v>122.1</v>
      </c>
      <c r="F20078" s="5">
        <v>243.2</v>
      </c>
      <c r="G20078" s="5">
        <v>121.3</v>
      </c>
      <c r="H20078" s="5">
        <v>121.1</v>
      </c>
      <c r="I20078" s="5"/>
      <c r="J20078" s="5"/>
      <c r="K20078" s="5"/>
    </row>
    <row r="20079" spans="1:11" x14ac:dyDescent="0.25">
      <c r="A20079" s="5">
        <f>20072</f>
      </c>
      <c r="B20079" s="5" t="s">
        <v>20087</v>
      </c>
      <c r="C20079" s="5">
        <v>121.9</v>
      </c>
      <c r="D20079" s="5">
        <v>0.1</v>
      </c>
      <c r="E20079" s="5">
        <v>122.1</v>
      </c>
      <c r="F20079" s="5">
        <v>243.2</v>
      </c>
      <c r="G20079" s="5">
        <v>121.3</v>
      </c>
      <c r="H20079" s="5">
        <v>121.1</v>
      </c>
      <c r="I20079" s="5"/>
      <c r="J20079" s="5"/>
      <c r="K20079" s="5"/>
    </row>
    <row r="20080" spans="1:11" x14ac:dyDescent="0.25">
      <c r="A20080" s="5">
        <f>20073</f>
      </c>
      <c r="B20080" s="5" t="s">
        <v>20088</v>
      </c>
      <c r="C20080" s="5">
        <v>121.9</v>
      </c>
      <c r="D20080" s="5">
        <v>0.1</v>
      </c>
      <c r="E20080" s="5">
        <v>122.1</v>
      </c>
      <c r="F20080" s="5">
        <v>243.2</v>
      </c>
      <c r="G20080" s="5">
        <v>121.3</v>
      </c>
      <c r="H20080" s="5">
        <v>121.1</v>
      </c>
      <c r="I20080" s="5"/>
      <c r="J20080" s="5"/>
      <c r="K20080" s="5"/>
    </row>
    <row r="20081" spans="1:11" x14ac:dyDescent="0.25">
      <c r="A20081" s="5">
        <f>20074</f>
      </c>
      <c r="B20081" s="5" t="s">
        <v>20089</v>
      </c>
      <c r="C20081" s="5">
        <v>121.9</v>
      </c>
      <c r="D20081" s="5">
        <v>0.1</v>
      </c>
      <c r="E20081" s="5">
        <v>122.1</v>
      </c>
      <c r="F20081" s="5">
        <v>243.2</v>
      </c>
      <c r="G20081" s="5">
        <v>121.3</v>
      </c>
      <c r="H20081" s="5">
        <v>121.1</v>
      </c>
      <c r="I20081" s="5"/>
      <c r="J20081" s="5"/>
      <c r="K20081" s="5"/>
    </row>
    <row r="20082" spans="1:11" x14ac:dyDescent="0.25">
      <c r="A20082" s="5">
        <f>20075</f>
      </c>
      <c r="B20082" s="5" t="s">
        <v>20090</v>
      </c>
      <c r="C20082" s="5">
        <v>121.9</v>
      </c>
      <c r="D20082" s="5">
        <v>0.1</v>
      </c>
      <c r="E20082" s="5">
        <v>122.1</v>
      </c>
      <c r="F20082" s="5">
        <v>243.2</v>
      </c>
      <c r="G20082" s="5">
        <v>121.3</v>
      </c>
      <c r="H20082" s="5">
        <v>121.1</v>
      </c>
      <c r="I20082" s="5"/>
      <c r="J20082" s="5"/>
      <c r="K20082" s="5"/>
    </row>
    <row r="20083" spans="1:11" x14ac:dyDescent="0.25">
      <c r="A20083" s="5">
        <f>20076</f>
      </c>
      <c r="B20083" s="5" t="s">
        <v>20091</v>
      </c>
      <c r="C20083" s="5">
        <v>121.9</v>
      </c>
      <c r="D20083" s="5">
        <v>0.1</v>
      </c>
      <c r="E20083" s="5">
        <v>122.1</v>
      </c>
      <c r="F20083" s="5">
        <v>243.2</v>
      </c>
      <c r="G20083" s="5">
        <v>121.3</v>
      </c>
      <c r="H20083" s="5">
        <v>121.1</v>
      </c>
      <c r="I20083" s="5"/>
      <c r="J20083" s="5"/>
      <c r="K20083" s="5"/>
    </row>
    <row r="20084" spans="1:11" x14ac:dyDescent="0.25">
      <c r="A20084" s="5">
        <f>20077</f>
      </c>
      <c r="B20084" s="5" t="s">
        <v>20092</v>
      </c>
      <c r="C20084" s="5">
        <v>121.5</v>
      </c>
      <c r="D20084" s="5">
        <v>0.1</v>
      </c>
      <c r="E20084" s="5">
        <v>121.7</v>
      </c>
      <c r="F20084" s="5">
        <v>242.5</v>
      </c>
      <c r="G20084" s="5">
        <v>121.1</v>
      </c>
      <c r="H20084" s="5">
        <v>121</v>
      </c>
      <c r="I20084" s="5"/>
      <c r="J20084" s="5"/>
      <c r="K20084" s="5"/>
    </row>
    <row r="20085" spans="1:11" x14ac:dyDescent="0.25">
      <c r="A20085" s="5">
        <f>20078</f>
      </c>
      <c r="B20085" s="5" t="s">
        <v>20093</v>
      </c>
      <c r="C20085" s="5">
        <v>121.5</v>
      </c>
      <c r="D20085" s="5">
        <v>0.1</v>
      </c>
      <c r="E20085" s="5">
        <v>121.7</v>
      </c>
      <c r="F20085" s="5">
        <v>242.5</v>
      </c>
      <c r="G20085" s="5">
        <v>121.1</v>
      </c>
      <c r="H20085" s="5">
        <v>121</v>
      </c>
      <c r="I20085" s="5"/>
      <c r="J20085" s="5"/>
      <c r="K20085" s="5"/>
    </row>
    <row r="20086" spans="1:11" x14ac:dyDescent="0.25">
      <c r="A20086" s="5">
        <f>20079</f>
      </c>
      <c r="B20086" s="5" t="s">
        <v>20094</v>
      </c>
      <c r="C20086" s="5">
        <v>121.6</v>
      </c>
      <c r="D20086" s="5">
        <v>0.1</v>
      </c>
      <c r="E20086" s="5">
        <v>121.8</v>
      </c>
      <c r="F20086" s="5">
        <v>242.8</v>
      </c>
      <c r="G20086" s="5">
        <v>121.2</v>
      </c>
      <c r="H20086" s="5">
        <v>121</v>
      </c>
      <c r="I20086" s="5"/>
      <c r="J20086" s="5"/>
      <c r="K20086" s="5"/>
    </row>
    <row r="20087" spans="1:11" x14ac:dyDescent="0.25">
      <c r="A20087" s="5">
        <f>20080</f>
      </c>
      <c r="B20087" s="5" t="s">
        <v>20095</v>
      </c>
      <c r="C20087" s="5">
        <v>121.6</v>
      </c>
      <c r="D20087" s="5">
        <v>0.1</v>
      </c>
      <c r="E20087" s="5">
        <v>121.8</v>
      </c>
      <c r="F20087" s="5">
        <v>242.8</v>
      </c>
      <c r="G20087" s="5">
        <v>121.2</v>
      </c>
      <c r="H20087" s="5">
        <v>121</v>
      </c>
      <c r="I20087" s="5"/>
      <c r="J20087" s="5"/>
      <c r="K20087" s="5"/>
    </row>
    <row r="20088" spans="1:11" x14ac:dyDescent="0.25">
      <c r="A20088" s="5">
        <f>20081</f>
      </c>
      <c r="B20088" s="5" t="s">
        <v>20096</v>
      </c>
      <c r="C20088" s="5">
        <v>121.7</v>
      </c>
      <c r="D20088" s="5">
        <v>0.1</v>
      </c>
      <c r="E20088" s="5">
        <v>121.8</v>
      </c>
      <c r="F20088" s="5">
        <v>242.8</v>
      </c>
      <c r="G20088" s="5">
        <v>121.2</v>
      </c>
      <c r="H20088" s="5">
        <v>121</v>
      </c>
      <c r="I20088" s="5"/>
      <c r="J20088" s="5"/>
      <c r="K20088" s="5"/>
    </row>
    <row r="20089" spans="1:11" x14ac:dyDescent="0.25">
      <c r="A20089" s="5">
        <f>20082</f>
      </c>
      <c r="B20089" s="5" t="s">
        <v>20097</v>
      </c>
      <c r="C20089" s="5">
        <v>121.7</v>
      </c>
      <c r="D20089" s="5">
        <v>0.1</v>
      </c>
      <c r="E20089" s="5">
        <v>121.8</v>
      </c>
      <c r="F20089" s="5">
        <v>242.8</v>
      </c>
      <c r="G20089" s="5">
        <v>121.2</v>
      </c>
      <c r="H20089" s="5">
        <v>121</v>
      </c>
      <c r="I20089" s="5"/>
      <c r="J20089" s="5"/>
      <c r="K20089" s="5"/>
    </row>
    <row r="20090" spans="1:11" x14ac:dyDescent="0.25">
      <c r="A20090" s="5">
        <f>20083</f>
      </c>
      <c r="B20090" s="5" t="s">
        <v>20098</v>
      </c>
      <c r="C20090" s="5">
        <v>121.7</v>
      </c>
      <c r="D20090" s="5">
        <v>0.1</v>
      </c>
      <c r="E20090" s="5">
        <v>121.8</v>
      </c>
      <c r="F20090" s="5">
        <v>242.8</v>
      </c>
      <c r="G20090" s="5">
        <v>121.2</v>
      </c>
      <c r="H20090" s="5">
        <v>121</v>
      </c>
      <c r="I20090" s="5"/>
      <c r="J20090" s="5"/>
      <c r="K20090" s="5"/>
    </row>
    <row r="20091" spans="1:11" x14ac:dyDescent="0.25">
      <c r="A20091" s="5">
        <f>20084</f>
      </c>
      <c r="B20091" s="5" t="s">
        <v>20099</v>
      </c>
      <c r="C20091" s="5">
        <v>121.7</v>
      </c>
      <c r="D20091" s="5">
        <v>0.1</v>
      </c>
      <c r="E20091" s="5">
        <v>121.8</v>
      </c>
      <c r="F20091" s="5">
        <v>242.8</v>
      </c>
      <c r="G20091" s="5">
        <v>121.2</v>
      </c>
      <c r="H20091" s="5">
        <v>121</v>
      </c>
      <c r="I20091" s="5"/>
      <c r="J20091" s="5"/>
      <c r="K20091" s="5"/>
    </row>
    <row r="20092" spans="1:11" x14ac:dyDescent="0.25">
      <c r="A20092" s="5">
        <f>20085</f>
      </c>
      <c r="B20092" s="5" t="s">
        <v>20100</v>
      </c>
      <c r="C20092" s="5">
        <v>121.8</v>
      </c>
      <c r="D20092" s="5">
        <v>0.1</v>
      </c>
      <c r="E20092" s="5">
        <v>121.9</v>
      </c>
      <c r="F20092" s="5">
        <v>242.5</v>
      </c>
      <c r="G20092" s="5">
        <v>121</v>
      </c>
      <c r="H20092" s="5">
        <v>120.8</v>
      </c>
      <c r="I20092" s="5"/>
      <c r="J20092" s="5"/>
      <c r="K20092" s="5"/>
    </row>
    <row r="20093" spans="1:11" x14ac:dyDescent="0.25">
      <c r="A20093" s="5">
        <f>20086</f>
      </c>
      <c r="B20093" s="5" t="s">
        <v>20101</v>
      </c>
      <c r="C20093" s="5">
        <v>121.8</v>
      </c>
      <c r="D20093" s="5">
        <v>0.1</v>
      </c>
      <c r="E20093" s="5">
        <v>121.9</v>
      </c>
      <c r="F20093" s="5">
        <v>242.5</v>
      </c>
      <c r="G20093" s="5">
        <v>121</v>
      </c>
      <c r="H20093" s="5">
        <v>120.8</v>
      </c>
      <c r="I20093" s="5"/>
      <c r="J20093" s="5"/>
      <c r="K20093" s="5"/>
    </row>
    <row r="20094" spans="1:11" x14ac:dyDescent="0.25">
      <c r="A20094" s="5">
        <f>20087</f>
      </c>
      <c r="B20094" s="5" t="s">
        <v>20102</v>
      </c>
      <c r="C20094" s="5">
        <v>121.6</v>
      </c>
      <c r="D20094" s="5">
        <v>0.1</v>
      </c>
      <c r="E20094" s="5">
        <v>121.8</v>
      </c>
      <c r="F20094" s="5">
        <v>242.8</v>
      </c>
      <c r="G20094" s="5">
        <v>121.2</v>
      </c>
      <c r="H20094" s="5">
        <v>121</v>
      </c>
      <c r="I20094" s="5"/>
      <c r="J20094" s="5"/>
      <c r="K20094" s="5"/>
    </row>
    <row r="20095" spans="1:11" x14ac:dyDescent="0.25">
      <c r="A20095" s="5">
        <f>20088</f>
      </c>
      <c r="B20095" s="5" t="s">
        <v>20103</v>
      </c>
      <c r="C20095" s="5">
        <v>121.6</v>
      </c>
      <c r="D20095" s="5">
        <v>0.1</v>
      </c>
      <c r="E20095" s="5">
        <v>121.8</v>
      </c>
      <c r="F20095" s="5">
        <v>242.8</v>
      </c>
      <c r="G20095" s="5">
        <v>121.2</v>
      </c>
      <c r="H20095" s="5">
        <v>121</v>
      </c>
      <c r="I20095" s="5"/>
      <c r="J20095" s="5"/>
      <c r="K20095" s="5"/>
    </row>
    <row r="20096" spans="1:11" x14ac:dyDescent="0.25">
      <c r="A20096" s="5">
        <f>20089</f>
      </c>
      <c r="B20096" s="5" t="s">
        <v>20104</v>
      </c>
      <c r="C20096" s="5">
        <v>121.4</v>
      </c>
      <c r="D20096" s="5">
        <v>0.1</v>
      </c>
      <c r="E20096" s="5">
        <v>121.5</v>
      </c>
      <c r="F20096" s="5">
        <v>242.7</v>
      </c>
      <c r="G20096" s="5">
        <v>121.1</v>
      </c>
      <c r="H20096" s="5">
        <v>120.9</v>
      </c>
      <c r="I20096" s="5"/>
      <c r="J20096" s="5"/>
      <c r="K20096" s="5"/>
    </row>
    <row r="20097" spans="1:11" x14ac:dyDescent="0.25">
      <c r="A20097" s="5">
        <f>20090</f>
      </c>
      <c r="B20097" s="5" t="s">
        <v>20105</v>
      </c>
      <c r="C20097" s="5">
        <v>121.4</v>
      </c>
      <c r="D20097" s="5">
        <v>0.1</v>
      </c>
      <c r="E20097" s="5">
        <v>121.5</v>
      </c>
      <c r="F20097" s="5">
        <v>242.7</v>
      </c>
      <c r="G20097" s="5">
        <v>121.1</v>
      </c>
      <c r="H20097" s="5">
        <v>120.9</v>
      </c>
      <c r="I20097" s="5"/>
      <c r="J20097" s="5"/>
      <c r="K20097" s="5"/>
    </row>
    <row r="20098" spans="1:11" x14ac:dyDescent="0.25">
      <c r="A20098" s="5">
        <f>20091</f>
      </c>
      <c r="B20098" s="5" t="s">
        <v>20106</v>
      </c>
      <c r="C20098" s="5">
        <v>121.5</v>
      </c>
      <c r="D20098" s="5">
        <v>0.1</v>
      </c>
      <c r="E20098" s="5">
        <v>121.7</v>
      </c>
      <c r="F20098" s="5">
        <v>242.4</v>
      </c>
      <c r="G20098" s="5">
        <v>121</v>
      </c>
      <c r="H20098" s="5">
        <v>120.9</v>
      </c>
      <c r="I20098" s="5"/>
      <c r="J20098" s="5"/>
      <c r="K20098" s="5"/>
    </row>
    <row r="20099" spans="1:11" x14ac:dyDescent="0.25">
      <c r="A20099" s="5">
        <f>20092</f>
      </c>
      <c r="B20099" s="5" t="s">
        <v>20107</v>
      </c>
      <c r="C20099" s="5">
        <v>121.5</v>
      </c>
      <c r="D20099" s="5">
        <v>0.1</v>
      </c>
      <c r="E20099" s="5">
        <v>121.7</v>
      </c>
      <c r="F20099" s="5">
        <v>242.4</v>
      </c>
      <c r="G20099" s="5">
        <v>121</v>
      </c>
      <c r="H20099" s="5">
        <v>120.9</v>
      </c>
      <c r="I20099" s="5"/>
      <c r="J20099" s="5"/>
      <c r="K20099" s="5"/>
    </row>
    <row r="20100" spans="1:11" x14ac:dyDescent="0.25">
      <c r="A20100" s="5">
        <f>20093</f>
      </c>
      <c r="B20100" s="5" t="s">
        <v>20108</v>
      </c>
      <c r="C20100" s="5">
        <v>121.5</v>
      </c>
      <c r="D20100" s="5">
        <v>0.1</v>
      </c>
      <c r="E20100" s="5">
        <v>121.7</v>
      </c>
      <c r="F20100" s="5">
        <v>242.4</v>
      </c>
      <c r="G20100" s="5">
        <v>121</v>
      </c>
      <c r="H20100" s="5">
        <v>120.9</v>
      </c>
      <c r="I20100" s="5"/>
      <c r="J20100" s="5"/>
      <c r="K20100" s="5"/>
    </row>
    <row r="20101" spans="1:11" x14ac:dyDescent="0.25">
      <c r="A20101" s="5">
        <f>20094</f>
      </c>
      <c r="B20101" s="5" t="s">
        <v>20109</v>
      </c>
      <c r="C20101" s="5">
        <v>121.5</v>
      </c>
      <c r="D20101" s="5">
        <v>0.1</v>
      </c>
      <c r="E20101" s="5">
        <v>121.7</v>
      </c>
      <c r="F20101" s="5">
        <v>242.4</v>
      </c>
      <c r="G20101" s="5">
        <v>121</v>
      </c>
      <c r="H20101" s="5">
        <v>120.9</v>
      </c>
      <c r="I20101" s="5"/>
      <c r="J20101" s="5"/>
      <c r="K20101" s="5"/>
    </row>
    <row r="20102" spans="1:11" x14ac:dyDescent="0.25">
      <c r="A20102" s="5">
        <f>20095</f>
      </c>
      <c r="B20102" s="5" t="s">
        <v>20110</v>
      </c>
      <c r="C20102" s="5">
        <v>122</v>
      </c>
      <c r="D20102" s="5">
        <v>0.1</v>
      </c>
      <c r="E20102" s="5">
        <v>122.2</v>
      </c>
      <c r="F20102" s="5">
        <v>243.3</v>
      </c>
      <c r="G20102" s="5">
        <v>121.4</v>
      </c>
      <c r="H20102" s="5">
        <v>121.2</v>
      </c>
      <c r="I20102" s="5"/>
      <c r="J20102" s="5"/>
      <c r="K20102" s="5"/>
    </row>
    <row r="20103" spans="1:11" x14ac:dyDescent="0.25">
      <c r="A20103" s="5">
        <f>20096</f>
      </c>
      <c r="B20103" s="5" t="s">
        <v>20111</v>
      </c>
      <c r="C20103" s="5">
        <v>122</v>
      </c>
      <c r="D20103" s="5">
        <v>0.1</v>
      </c>
      <c r="E20103" s="5">
        <v>122.2</v>
      </c>
      <c r="F20103" s="5">
        <v>243.3</v>
      </c>
      <c r="G20103" s="5">
        <v>121.4</v>
      </c>
      <c r="H20103" s="5">
        <v>121.2</v>
      </c>
      <c r="I20103" s="5"/>
      <c r="J20103" s="5"/>
      <c r="K20103" s="5"/>
    </row>
    <row r="20104" spans="1:11" x14ac:dyDescent="0.25">
      <c r="A20104" s="5">
        <f>20097</f>
      </c>
      <c r="B20104" s="5" t="s">
        <v>20112</v>
      </c>
      <c r="C20104" s="5">
        <v>121.7</v>
      </c>
      <c r="D20104" s="5">
        <v>0.1</v>
      </c>
      <c r="E20104" s="5">
        <v>121.9</v>
      </c>
      <c r="F20104" s="5">
        <v>243.3</v>
      </c>
      <c r="G20104" s="5">
        <v>121.4</v>
      </c>
      <c r="H20104" s="5">
        <v>121.2</v>
      </c>
      <c r="I20104" s="5"/>
      <c r="J20104" s="5"/>
      <c r="K20104" s="5"/>
    </row>
    <row r="20105" spans="1:11" x14ac:dyDescent="0.25">
      <c r="A20105" s="5">
        <f>20098</f>
      </c>
      <c r="B20105" s="5" t="s">
        <v>20113</v>
      </c>
      <c r="C20105" s="5">
        <v>121.7</v>
      </c>
      <c r="D20105" s="5">
        <v>0.1</v>
      </c>
      <c r="E20105" s="5">
        <v>121.9</v>
      </c>
      <c r="F20105" s="5">
        <v>243.3</v>
      </c>
      <c r="G20105" s="5">
        <v>121.4</v>
      </c>
      <c r="H20105" s="5">
        <v>121.2</v>
      </c>
      <c r="I20105" s="5"/>
      <c r="J20105" s="5"/>
      <c r="K20105" s="5"/>
    </row>
    <row r="20106" spans="1:11" x14ac:dyDescent="0.25">
      <c r="A20106" s="5">
        <f>20099</f>
      </c>
      <c r="B20106" s="5" t="s">
        <v>20114</v>
      </c>
      <c r="C20106" s="5">
        <v>121.6</v>
      </c>
      <c r="D20106" s="5">
        <v>0.1</v>
      </c>
      <c r="E20106" s="5">
        <v>121.8</v>
      </c>
      <c r="F20106" s="5">
        <v>243</v>
      </c>
      <c r="G20106" s="5">
        <v>121.3</v>
      </c>
      <c r="H20106" s="5">
        <v>121.1</v>
      </c>
      <c r="I20106" s="5"/>
      <c r="J20106" s="5"/>
      <c r="K20106" s="5"/>
    </row>
    <row r="20107" spans="1:11" x14ac:dyDescent="0.25">
      <c r="A20107" s="5">
        <f>20100</f>
      </c>
      <c r="B20107" s="5" t="s">
        <v>20115</v>
      </c>
      <c r="C20107" s="5">
        <v>121.6</v>
      </c>
      <c r="D20107" s="5">
        <v>0.1</v>
      </c>
      <c r="E20107" s="5">
        <v>121.8</v>
      </c>
      <c r="F20107" s="5">
        <v>243</v>
      </c>
      <c r="G20107" s="5">
        <v>121.3</v>
      </c>
      <c r="H20107" s="5">
        <v>121.1</v>
      </c>
      <c r="I20107" s="5"/>
      <c r="J20107" s="5"/>
      <c r="K20107" s="5"/>
    </row>
    <row r="20108" spans="1:11" x14ac:dyDescent="0.25">
      <c r="A20108" s="5">
        <f>20101</f>
      </c>
      <c r="B20108" s="5" t="s">
        <v>20116</v>
      </c>
      <c r="C20108" s="5">
        <v>121.5</v>
      </c>
      <c r="D20108" s="5">
        <v>0.1</v>
      </c>
      <c r="E20108" s="5">
        <v>121.7</v>
      </c>
      <c r="F20108" s="5">
        <v>242.7</v>
      </c>
      <c r="G20108" s="5">
        <v>121.1</v>
      </c>
      <c r="H20108" s="5">
        <v>121</v>
      </c>
      <c r="I20108" s="5"/>
      <c r="J20108" s="5"/>
      <c r="K20108" s="5"/>
    </row>
    <row r="20109" spans="1:11" x14ac:dyDescent="0.25">
      <c r="A20109" s="5">
        <f>20102</f>
      </c>
      <c r="B20109" s="5" t="s">
        <v>20117</v>
      </c>
      <c r="C20109" s="5">
        <v>121.5</v>
      </c>
      <c r="D20109" s="5">
        <v>0.1</v>
      </c>
      <c r="E20109" s="5">
        <v>121.7</v>
      </c>
      <c r="F20109" s="5">
        <v>242.7</v>
      </c>
      <c r="G20109" s="5">
        <v>121.1</v>
      </c>
      <c r="H20109" s="5">
        <v>121</v>
      </c>
      <c r="I20109" s="5"/>
      <c r="J20109" s="5"/>
      <c r="K20109" s="5"/>
    </row>
    <row r="20110" spans="1:11" x14ac:dyDescent="0.25">
      <c r="A20110" s="5">
        <f>20103</f>
      </c>
      <c r="B20110" s="5" t="s">
        <v>20118</v>
      </c>
      <c r="C20110" s="5">
        <v>121.5</v>
      </c>
      <c r="D20110" s="5">
        <v>0.1</v>
      </c>
      <c r="E20110" s="5">
        <v>121.7</v>
      </c>
      <c r="F20110" s="5">
        <v>242.7</v>
      </c>
      <c r="G20110" s="5">
        <v>121.1</v>
      </c>
      <c r="H20110" s="5">
        <v>121</v>
      </c>
      <c r="I20110" s="5"/>
      <c r="J20110" s="5"/>
      <c r="K20110" s="5"/>
    </row>
    <row r="20111" spans="1:11" x14ac:dyDescent="0.25">
      <c r="A20111" s="5">
        <f>20104</f>
      </c>
      <c r="B20111" s="5" t="s">
        <v>20119</v>
      </c>
      <c r="C20111" s="5">
        <v>121.9</v>
      </c>
      <c r="D20111" s="5">
        <v>0.1</v>
      </c>
      <c r="E20111" s="5">
        <v>122.1</v>
      </c>
      <c r="F20111" s="5">
        <v>243.9</v>
      </c>
      <c r="G20111" s="5">
        <v>121.7</v>
      </c>
      <c r="H20111" s="5">
        <v>121.5</v>
      </c>
      <c r="I20111" s="5"/>
      <c r="J20111" s="5"/>
      <c r="K20111" s="5"/>
    </row>
    <row r="20112" spans="1:11" x14ac:dyDescent="0.25">
      <c r="A20112" s="5">
        <f>20105</f>
      </c>
      <c r="B20112" s="5" t="s">
        <v>20120</v>
      </c>
      <c r="C20112" s="5">
        <v>121.9</v>
      </c>
      <c r="D20112" s="5">
        <v>0.1</v>
      </c>
      <c r="E20112" s="5">
        <v>122.1</v>
      </c>
      <c r="F20112" s="5">
        <v>243.9</v>
      </c>
      <c r="G20112" s="5">
        <v>121.7</v>
      </c>
      <c r="H20112" s="5">
        <v>121.5</v>
      </c>
      <c r="I20112" s="5"/>
      <c r="J20112" s="5"/>
      <c r="K20112" s="5"/>
    </row>
    <row r="20113" spans="1:11" x14ac:dyDescent="0.25">
      <c r="A20113" s="5">
        <f>20106</f>
      </c>
      <c r="B20113" s="5" t="s">
        <v>20121</v>
      </c>
      <c r="C20113" s="5">
        <v>121.9</v>
      </c>
      <c r="D20113" s="5">
        <v>0.1</v>
      </c>
      <c r="E20113" s="5">
        <v>122.1</v>
      </c>
      <c r="F20113" s="5">
        <v>243.5</v>
      </c>
      <c r="G20113" s="5">
        <v>121.6</v>
      </c>
      <c r="H20113" s="5">
        <v>121.4</v>
      </c>
      <c r="I20113" s="5"/>
      <c r="J20113" s="5"/>
      <c r="K20113" s="5"/>
    </row>
    <row r="20114" spans="1:11" x14ac:dyDescent="0.25">
      <c r="A20114" s="5">
        <f>20107</f>
      </c>
      <c r="B20114" s="5" t="s">
        <v>20122</v>
      </c>
      <c r="C20114" s="5">
        <v>122</v>
      </c>
      <c r="D20114" s="5">
        <v>0.1</v>
      </c>
      <c r="E20114" s="5">
        <v>122.1</v>
      </c>
      <c r="F20114" s="5">
        <v>243.5</v>
      </c>
      <c r="G20114" s="5">
        <v>121.6</v>
      </c>
      <c r="H20114" s="5">
        <v>121.4</v>
      </c>
      <c r="I20114" s="5"/>
      <c r="J20114" s="5"/>
      <c r="K20114" s="5"/>
    </row>
    <row r="20115" spans="1:11" x14ac:dyDescent="0.25">
      <c r="A20115" s="5">
        <f>20108</f>
      </c>
      <c r="B20115" s="5" t="s">
        <v>20123</v>
      </c>
      <c r="C20115" s="5">
        <v>122</v>
      </c>
      <c r="D20115" s="5">
        <v>0.1</v>
      </c>
      <c r="E20115" s="5">
        <v>122.1</v>
      </c>
      <c r="F20115" s="5">
        <v>243.5</v>
      </c>
      <c r="G20115" s="5">
        <v>121.8</v>
      </c>
      <c r="H20115" s="5">
        <v>121.6</v>
      </c>
      <c r="I20115" s="5"/>
      <c r="J20115" s="5"/>
      <c r="K20115" s="5"/>
    </row>
    <row r="20116" spans="1:11" x14ac:dyDescent="0.25">
      <c r="A20116" s="5">
        <f>20109</f>
      </c>
      <c r="B20116" s="5" t="s">
        <v>20124</v>
      </c>
      <c r="C20116" s="5">
        <v>121.8</v>
      </c>
      <c r="D20116" s="5">
        <v>0.1</v>
      </c>
      <c r="E20116" s="5">
        <v>122</v>
      </c>
      <c r="F20116" s="5">
        <v>243.9</v>
      </c>
      <c r="G20116" s="5">
        <v>121.8</v>
      </c>
      <c r="H20116" s="5">
        <v>121.6</v>
      </c>
      <c r="I20116" s="5"/>
      <c r="J20116" s="5"/>
      <c r="K20116" s="5"/>
    </row>
    <row r="20117" spans="1:11" x14ac:dyDescent="0.25">
      <c r="A20117" s="5">
        <f>20110</f>
      </c>
      <c r="B20117" s="5" t="s">
        <v>20125</v>
      </c>
      <c r="C20117" s="5">
        <v>121.8</v>
      </c>
      <c r="D20117" s="5">
        <v>0.1</v>
      </c>
      <c r="E20117" s="5">
        <v>122</v>
      </c>
      <c r="F20117" s="5">
        <v>243.9</v>
      </c>
      <c r="G20117" s="5">
        <v>122</v>
      </c>
      <c r="H20117" s="5">
        <v>121.8</v>
      </c>
      <c r="I20117" s="5"/>
      <c r="J20117" s="5"/>
      <c r="K20117" s="5"/>
    </row>
    <row r="20118" spans="1:11" x14ac:dyDescent="0.25">
      <c r="A20118" s="5">
        <f>20111</f>
      </c>
      <c r="B20118" s="5" t="s">
        <v>20126</v>
      </c>
      <c r="C20118" s="5">
        <v>122.4</v>
      </c>
      <c r="D20118" s="5">
        <v>0.1</v>
      </c>
      <c r="E20118" s="5">
        <v>122.5</v>
      </c>
      <c r="F20118" s="5">
        <v>244.3</v>
      </c>
      <c r="G20118" s="5">
        <v>122</v>
      </c>
      <c r="H20118" s="5">
        <v>121.8</v>
      </c>
      <c r="I20118" s="5"/>
      <c r="J20118" s="5"/>
      <c r="K20118" s="5"/>
    </row>
    <row r="20119" spans="1:11" x14ac:dyDescent="0.25">
      <c r="A20119" s="5">
        <f>20112</f>
      </c>
      <c r="B20119" s="5" t="s">
        <v>20127</v>
      </c>
      <c r="C20119" s="5">
        <v>122.4</v>
      </c>
      <c r="D20119" s="5">
        <v>0.1</v>
      </c>
      <c r="E20119" s="5">
        <v>122.5</v>
      </c>
      <c r="F20119" s="5">
        <v>244.3</v>
      </c>
      <c r="G20119" s="5">
        <v>122</v>
      </c>
      <c r="H20119" s="5">
        <v>121.8</v>
      </c>
      <c r="I20119" s="5"/>
      <c r="J20119" s="5"/>
      <c r="K20119" s="5"/>
    </row>
    <row r="20120" spans="1:11" x14ac:dyDescent="0.25">
      <c r="A20120" s="5">
        <f>20113</f>
      </c>
      <c r="B20120" s="5" t="s">
        <v>20128</v>
      </c>
      <c r="C20120" s="5">
        <v>122.4</v>
      </c>
      <c r="D20120" s="5">
        <v>0.1</v>
      </c>
      <c r="E20120" s="5">
        <v>122.5</v>
      </c>
      <c r="F20120" s="5">
        <v>244.3</v>
      </c>
      <c r="G20120" s="5">
        <v>122</v>
      </c>
      <c r="H20120" s="5">
        <v>121.8</v>
      </c>
      <c r="I20120" s="5"/>
      <c r="J20120" s="5"/>
      <c r="K20120" s="5"/>
    </row>
    <row r="20121" spans="1:11" x14ac:dyDescent="0.25">
      <c r="A20121" s="5">
        <f>20114</f>
      </c>
      <c r="B20121" s="5" t="s">
        <v>20129</v>
      </c>
      <c r="C20121" s="5">
        <v>122.4</v>
      </c>
      <c r="D20121" s="5">
        <v>0.1</v>
      </c>
      <c r="E20121" s="5">
        <v>122.5</v>
      </c>
      <c r="F20121" s="5">
        <v>244.1</v>
      </c>
      <c r="G20121" s="5">
        <v>121.8</v>
      </c>
      <c r="H20121" s="5">
        <v>121.6</v>
      </c>
      <c r="I20121" s="5"/>
      <c r="J20121" s="5"/>
      <c r="K20121" s="5"/>
    </row>
    <row r="20122" spans="1:11" x14ac:dyDescent="0.25">
      <c r="A20122" s="5">
        <f>20115</f>
      </c>
      <c r="B20122" s="5" t="s">
        <v>20130</v>
      </c>
      <c r="C20122" s="5">
        <v>122.4</v>
      </c>
      <c r="D20122" s="5">
        <v>0.1</v>
      </c>
      <c r="E20122" s="5">
        <v>122.5</v>
      </c>
      <c r="F20122" s="5">
        <v>244.1</v>
      </c>
      <c r="G20122" s="5">
        <v>121.8</v>
      </c>
      <c r="H20122" s="5">
        <v>121.6</v>
      </c>
      <c r="I20122" s="5"/>
      <c r="J20122" s="5"/>
      <c r="K20122" s="5"/>
    </row>
    <row r="20123" spans="1:11" x14ac:dyDescent="0.25">
      <c r="A20123" s="5">
        <f>20116</f>
      </c>
      <c r="B20123" s="5" t="s">
        <v>20131</v>
      </c>
      <c r="C20123" s="5">
        <v>122.4</v>
      </c>
      <c r="D20123" s="5">
        <v>0.1</v>
      </c>
      <c r="E20123" s="5">
        <v>122.6</v>
      </c>
      <c r="F20123" s="5">
        <v>244.1</v>
      </c>
      <c r="G20123" s="5">
        <v>121.8</v>
      </c>
      <c r="H20123" s="5">
        <v>121.7</v>
      </c>
      <c r="I20123" s="5"/>
      <c r="J20123" s="5"/>
      <c r="K20123" s="5"/>
    </row>
    <row r="20124" spans="1:11" x14ac:dyDescent="0.25">
      <c r="A20124" s="5">
        <f>20117</f>
      </c>
      <c r="B20124" s="5" t="s">
        <v>20132</v>
      </c>
      <c r="C20124" s="5">
        <v>122.4</v>
      </c>
      <c r="D20124" s="5">
        <v>0.1</v>
      </c>
      <c r="E20124" s="5">
        <v>122.6</v>
      </c>
      <c r="F20124" s="5">
        <v>244.1</v>
      </c>
      <c r="G20124" s="5">
        <v>121.8</v>
      </c>
      <c r="H20124" s="5">
        <v>121.7</v>
      </c>
      <c r="I20124" s="5"/>
      <c r="J20124" s="5"/>
      <c r="K20124" s="5"/>
    </row>
    <row r="20125" spans="1:11" x14ac:dyDescent="0.25">
      <c r="A20125" s="5">
        <f>20118</f>
      </c>
      <c r="B20125" s="5" t="s">
        <v>20133</v>
      </c>
      <c r="C20125" s="5">
        <v>122</v>
      </c>
      <c r="D20125" s="5">
        <v>0.1</v>
      </c>
      <c r="E20125" s="5">
        <v>122.2</v>
      </c>
      <c r="F20125" s="5">
        <v>243.6</v>
      </c>
      <c r="G20125" s="5">
        <v>121.5</v>
      </c>
      <c r="H20125" s="5">
        <v>121.7</v>
      </c>
      <c r="I20125" s="5"/>
      <c r="J20125" s="5"/>
      <c r="K20125" s="5"/>
    </row>
    <row r="20126" spans="1:11" x14ac:dyDescent="0.25">
      <c r="A20126" s="5">
        <f>20119</f>
      </c>
      <c r="B20126" s="5" t="s">
        <v>20134</v>
      </c>
      <c r="C20126" s="5">
        <v>122</v>
      </c>
      <c r="D20126" s="5">
        <v>0.1</v>
      </c>
      <c r="E20126" s="5">
        <v>122.2</v>
      </c>
      <c r="F20126" s="5">
        <v>243.6</v>
      </c>
      <c r="G20126" s="5">
        <v>121.5</v>
      </c>
      <c r="H20126" s="5">
        <v>121.3</v>
      </c>
      <c r="I20126" s="5"/>
      <c r="J20126" s="5"/>
      <c r="K20126" s="5"/>
    </row>
    <row r="20127" spans="1:11" x14ac:dyDescent="0.25">
      <c r="A20127" s="5">
        <f>20120</f>
      </c>
      <c r="B20127" s="5" t="s">
        <v>20135</v>
      </c>
      <c r="C20127" s="5">
        <v>121.9</v>
      </c>
      <c r="D20127" s="5">
        <v>0.1</v>
      </c>
      <c r="E20127" s="5">
        <v>122.1</v>
      </c>
      <c r="F20127" s="5">
        <v>243.5</v>
      </c>
      <c r="G20127" s="5">
        <v>121.5</v>
      </c>
      <c r="H20127" s="5">
        <v>121.3</v>
      </c>
      <c r="I20127" s="5"/>
      <c r="J20127" s="5"/>
      <c r="K20127" s="5"/>
    </row>
    <row r="20128" spans="1:11" x14ac:dyDescent="0.25">
      <c r="A20128" s="5">
        <f>20121</f>
      </c>
      <c r="B20128" s="5" t="s">
        <v>20136</v>
      </c>
      <c r="C20128" s="5">
        <v>121.9</v>
      </c>
      <c r="D20128" s="5">
        <v>0.1</v>
      </c>
      <c r="E20128" s="5">
        <v>122.1</v>
      </c>
      <c r="F20128" s="5">
        <v>243.5</v>
      </c>
      <c r="G20128" s="5">
        <v>121.6</v>
      </c>
      <c r="H20128" s="5">
        <v>121.4</v>
      </c>
      <c r="I20128" s="5"/>
      <c r="J20128" s="5"/>
      <c r="K20128" s="5"/>
    </row>
    <row r="20129" spans="1:11" x14ac:dyDescent="0.25">
      <c r="A20129" s="5">
        <f>20122</f>
      </c>
      <c r="B20129" s="5" t="s">
        <v>20137</v>
      </c>
      <c r="C20129" s="5">
        <v>121.9</v>
      </c>
      <c r="D20129" s="5">
        <v>0.1</v>
      </c>
      <c r="E20129" s="5">
        <v>122.1</v>
      </c>
      <c r="F20129" s="5">
        <v>243.5</v>
      </c>
      <c r="G20129" s="5">
        <v>121.6</v>
      </c>
      <c r="H20129" s="5">
        <v>121.4</v>
      </c>
      <c r="I20129" s="5"/>
      <c r="J20129" s="5"/>
      <c r="K20129" s="5"/>
    </row>
    <row r="20130" spans="1:11" x14ac:dyDescent="0.25">
      <c r="A20130" s="5">
        <f>20123</f>
      </c>
      <c r="B20130" s="5" t="s">
        <v>20138</v>
      </c>
      <c r="C20130" s="5">
        <v>121.9</v>
      </c>
      <c r="D20130" s="5">
        <v>0.1</v>
      </c>
      <c r="E20130" s="5">
        <v>122.1</v>
      </c>
      <c r="F20130" s="5">
        <v>243.5</v>
      </c>
      <c r="G20130" s="5">
        <v>121.6</v>
      </c>
      <c r="H20130" s="5">
        <v>121.4</v>
      </c>
      <c r="I20130" s="5"/>
      <c r="J20130" s="5"/>
      <c r="K20130" s="5"/>
    </row>
    <row r="20131" spans="1:11" x14ac:dyDescent="0.25">
      <c r="A20131" s="5">
        <f>20124</f>
      </c>
      <c r="B20131" s="5" t="s">
        <v>20139</v>
      </c>
      <c r="C20131" s="5">
        <v>121.9</v>
      </c>
      <c r="D20131" s="5">
        <v>0.1</v>
      </c>
      <c r="E20131" s="5">
        <v>122.1</v>
      </c>
      <c r="F20131" s="5">
        <v>243.5</v>
      </c>
      <c r="G20131" s="5">
        <v>121.6</v>
      </c>
      <c r="H20131" s="5">
        <v>121.4</v>
      </c>
      <c r="I20131" s="5"/>
      <c r="J20131" s="5"/>
      <c r="K20131" s="5"/>
    </row>
    <row r="20132" spans="1:11" x14ac:dyDescent="0.25">
      <c r="A20132" s="5">
        <f>20125</f>
      </c>
      <c r="B20132" s="5" t="s">
        <v>20140</v>
      </c>
      <c r="C20132" s="5">
        <v>121.9</v>
      </c>
      <c r="D20132" s="5">
        <v>0.1</v>
      </c>
      <c r="E20132" s="5">
        <v>122.1</v>
      </c>
      <c r="F20132" s="5">
        <v>243.9</v>
      </c>
      <c r="G20132" s="5">
        <v>121.8</v>
      </c>
      <c r="H20132" s="5">
        <v>121.6</v>
      </c>
      <c r="I20132" s="5"/>
      <c r="J20132" s="5"/>
      <c r="K20132" s="5"/>
    </row>
    <row r="20133" spans="1:11" x14ac:dyDescent="0.25">
      <c r="A20133" s="5">
        <f>20126</f>
      </c>
      <c r="B20133" s="5" t="s">
        <v>20141</v>
      </c>
      <c r="C20133" s="5">
        <v>121.9</v>
      </c>
      <c r="D20133" s="5">
        <v>0.1</v>
      </c>
      <c r="E20133" s="5">
        <v>122.1</v>
      </c>
      <c r="F20133" s="5">
        <v>243.9</v>
      </c>
      <c r="G20133" s="5">
        <v>121.8</v>
      </c>
      <c r="H20133" s="5">
        <v>121.6</v>
      </c>
      <c r="I20133" s="5"/>
      <c r="J20133" s="5"/>
      <c r="K20133" s="5"/>
    </row>
    <row r="20134" spans="1:11" x14ac:dyDescent="0.25">
      <c r="A20134" s="5">
        <f>20127</f>
      </c>
      <c r="B20134" s="5" t="s">
        <v>20142</v>
      </c>
      <c r="C20134" s="5">
        <v>122.1</v>
      </c>
      <c r="D20134" s="5">
        <v>0.1</v>
      </c>
      <c r="E20134" s="5">
        <v>122.3</v>
      </c>
      <c r="F20134" s="5">
        <v>243.7</v>
      </c>
      <c r="G20134" s="5">
        <v>121.6</v>
      </c>
      <c r="H20134" s="5">
        <v>121.5</v>
      </c>
      <c r="I20134" s="5"/>
      <c r="J20134" s="5"/>
      <c r="K20134" s="5"/>
    </row>
    <row r="20135" spans="1:11" x14ac:dyDescent="0.25">
      <c r="A20135" s="5">
        <f>20128</f>
      </c>
      <c r="B20135" s="5" t="s">
        <v>20143</v>
      </c>
      <c r="C20135" s="5">
        <v>122.1</v>
      </c>
      <c r="D20135" s="5">
        <v>0.1</v>
      </c>
      <c r="E20135" s="5">
        <v>122.3</v>
      </c>
      <c r="F20135" s="5">
        <v>243.7</v>
      </c>
      <c r="G20135" s="5">
        <v>121.6</v>
      </c>
      <c r="H20135" s="5">
        <v>121.5</v>
      </c>
      <c r="I20135" s="5"/>
      <c r="J20135" s="5"/>
      <c r="K20135" s="5"/>
    </row>
    <row r="20136" spans="1:11" x14ac:dyDescent="0.25">
      <c r="A20136" s="5">
        <f>20129</f>
      </c>
      <c r="B20136" s="5" t="s">
        <v>20144</v>
      </c>
      <c r="C20136" s="5">
        <v>122.1</v>
      </c>
      <c r="D20136" s="5">
        <v>0.1</v>
      </c>
      <c r="E20136" s="5">
        <v>122.2</v>
      </c>
      <c r="F20136" s="5">
        <v>243.8</v>
      </c>
      <c r="G20136" s="5">
        <v>121.7</v>
      </c>
      <c r="H20136" s="5">
        <v>121.5</v>
      </c>
      <c r="I20136" s="5"/>
      <c r="J20136" s="5"/>
      <c r="K20136" s="5"/>
    </row>
    <row r="20137" spans="1:11" x14ac:dyDescent="0.25">
      <c r="A20137" s="5">
        <f>20130</f>
      </c>
      <c r="B20137" s="5" t="s">
        <v>20145</v>
      </c>
      <c r="C20137" s="5">
        <v>122.1</v>
      </c>
      <c r="D20137" s="5">
        <v>0.1</v>
      </c>
      <c r="E20137" s="5">
        <v>122.2</v>
      </c>
      <c r="F20137" s="5">
        <v>243.8</v>
      </c>
      <c r="G20137" s="5">
        <v>121.7</v>
      </c>
      <c r="H20137" s="5">
        <v>121.5</v>
      </c>
      <c r="I20137" s="5"/>
      <c r="J20137" s="5"/>
      <c r="K20137" s="5"/>
    </row>
    <row r="20138" spans="1:11" x14ac:dyDescent="0.25">
      <c r="A20138" s="5">
        <f>20131</f>
      </c>
      <c r="B20138" s="5" t="s">
        <v>20146</v>
      </c>
      <c r="C20138" s="5">
        <v>121.9</v>
      </c>
      <c r="D20138" s="5">
        <v>0.1</v>
      </c>
      <c r="E20138" s="5">
        <v>122.1</v>
      </c>
      <c r="F20138" s="5">
        <v>243.7</v>
      </c>
      <c r="G20138" s="5">
        <v>121.5</v>
      </c>
      <c r="H20138" s="5">
        <v>121.3</v>
      </c>
      <c r="I20138" s="5"/>
      <c r="J20138" s="5"/>
      <c r="K20138" s="5"/>
    </row>
    <row r="20139" spans="1:11" x14ac:dyDescent="0.25">
      <c r="A20139" s="5">
        <f>20132</f>
      </c>
      <c r="B20139" s="5" t="s">
        <v>20147</v>
      </c>
      <c r="C20139" s="5">
        <v>121.9</v>
      </c>
      <c r="D20139" s="5">
        <v>0.1</v>
      </c>
      <c r="E20139" s="5">
        <v>122.1</v>
      </c>
      <c r="F20139" s="5">
        <v>243.7</v>
      </c>
      <c r="G20139" s="5">
        <v>121.5</v>
      </c>
      <c r="H20139" s="5">
        <v>121.3</v>
      </c>
      <c r="I20139" s="5"/>
      <c r="J20139" s="5"/>
      <c r="K20139" s="5"/>
    </row>
    <row r="20140" spans="1:11" x14ac:dyDescent="0.25">
      <c r="A20140" s="5">
        <f>20133</f>
      </c>
      <c r="B20140" s="5" t="s">
        <v>20148</v>
      </c>
      <c r="C20140" s="5">
        <v>121.9</v>
      </c>
      <c r="D20140" s="5">
        <v>0.1</v>
      </c>
      <c r="E20140" s="5">
        <v>122.1</v>
      </c>
      <c r="F20140" s="5">
        <v>243.7</v>
      </c>
      <c r="G20140" s="5">
        <v>121.5</v>
      </c>
      <c r="H20140" s="5">
        <v>121.3</v>
      </c>
      <c r="I20140" s="5"/>
      <c r="J20140" s="5"/>
      <c r="K20140" s="5"/>
    </row>
    <row r="20141" spans="1:11" x14ac:dyDescent="0.25">
      <c r="A20141" s="5">
        <f>20134</f>
      </c>
      <c r="B20141" s="5" t="s">
        <v>20149</v>
      </c>
      <c r="C20141" s="5">
        <v>121.8</v>
      </c>
      <c r="D20141" s="5">
        <v>0.1</v>
      </c>
      <c r="E20141" s="5">
        <v>122</v>
      </c>
      <c r="F20141" s="5">
        <v>243.5</v>
      </c>
      <c r="G20141" s="5">
        <v>121.5</v>
      </c>
      <c r="H20141" s="5">
        <v>121.4</v>
      </c>
      <c r="I20141" s="5"/>
      <c r="J20141" s="5"/>
      <c r="K20141" s="5"/>
    </row>
    <row r="20142" spans="1:11" x14ac:dyDescent="0.25">
      <c r="A20142" s="5">
        <f>20135</f>
      </c>
      <c r="B20142" s="5" t="s">
        <v>20150</v>
      </c>
      <c r="C20142" s="5">
        <v>121.8</v>
      </c>
      <c r="D20142" s="5">
        <v>0.1</v>
      </c>
      <c r="E20142" s="5">
        <v>122</v>
      </c>
      <c r="F20142" s="5">
        <v>243.5</v>
      </c>
      <c r="G20142" s="5">
        <v>121.5</v>
      </c>
      <c r="H20142" s="5">
        <v>121.4</v>
      </c>
      <c r="I20142" s="5"/>
      <c r="J20142" s="5"/>
      <c r="K20142" s="5"/>
    </row>
    <row r="20143" spans="1:11" x14ac:dyDescent="0.25">
      <c r="A20143" s="5">
        <f>20136</f>
      </c>
      <c r="B20143" s="5" t="s">
        <v>20151</v>
      </c>
      <c r="C20143" s="5">
        <v>121.8</v>
      </c>
      <c r="D20143" s="5">
        <v>0.1</v>
      </c>
      <c r="E20143" s="5">
        <v>121.9</v>
      </c>
      <c r="F20143" s="5">
        <v>243.4</v>
      </c>
      <c r="G20143" s="5">
        <v>121.5</v>
      </c>
      <c r="H20143" s="5">
        <v>121.3</v>
      </c>
      <c r="I20143" s="5"/>
      <c r="J20143" s="5"/>
      <c r="K20143" s="5"/>
    </row>
    <row r="20144" spans="1:11" x14ac:dyDescent="0.25">
      <c r="A20144" s="5">
        <f>20137</f>
      </c>
      <c r="B20144" s="5" t="s">
        <v>20152</v>
      </c>
      <c r="C20144" s="5">
        <v>121.8</v>
      </c>
      <c r="D20144" s="5">
        <v>0.1</v>
      </c>
      <c r="E20144" s="5">
        <v>121.9</v>
      </c>
      <c r="F20144" s="5">
        <v>243.4</v>
      </c>
      <c r="G20144" s="5">
        <v>121.5</v>
      </c>
      <c r="H20144" s="5">
        <v>121.3</v>
      </c>
      <c r="I20144" s="5"/>
      <c r="J20144" s="5"/>
      <c r="K20144" s="5"/>
    </row>
    <row r="20145" spans="1:11" x14ac:dyDescent="0.25">
      <c r="A20145" s="5">
        <f>20138</f>
      </c>
      <c r="B20145" s="5" t="s">
        <v>20153</v>
      </c>
      <c r="C20145" s="5">
        <v>121.9</v>
      </c>
      <c r="D20145" s="5">
        <v>0.1</v>
      </c>
      <c r="E20145" s="5">
        <v>122.1</v>
      </c>
      <c r="F20145" s="5">
        <v>243.4</v>
      </c>
      <c r="G20145" s="5">
        <v>121.5</v>
      </c>
      <c r="H20145" s="5">
        <v>121.3</v>
      </c>
      <c r="I20145" s="5"/>
      <c r="J20145" s="5"/>
      <c r="K20145" s="5"/>
    </row>
    <row r="20146" spans="1:11" x14ac:dyDescent="0.25">
      <c r="A20146" s="5">
        <f>20139</f>
      </c>
      <c r="B20146" s="5" t="s">
        <v>20154</v>
      </c>
      <c r="C20146" s="5">
        <v>121.9</v>
      </c>
      <c r="D20146" s="5">
        <v>0.1</v>
      </c>
      <c r="E20146" s="5">
        <v>122.1</v>
      </c>
      <c r="F20146" s="5">
        <v>243.4</v>
      </c>
      <c r="G20146" s="5">
        <v>121.5</v>
      </c>
      <c r="H20146" s="5">
        <v>121.3</v>
      </c>
      <c r="I20146" s="5"/>
      <c r="J20146" s="5"/>
      <c r="K20146" s="5"/>
    </row>
    <row r="20147" spans="1:11" x14ac:dyDescent="0.25">
      <c r="A20147" s="5">
        <f>20140</f>
      </c>
      <c r="B20147" s="5" t="s">
        <v>20155</v>
      </c>
      <c r="C20147" s="5">
        <v>121.8</v>
      </c>
      <c r="D20147" s="5">
        <v>0.1</v>
      </c>
      <c r="E20147" s="5">
        <v>121.9</v>
      </c>
      <c r="F20147" s="5">
        <v>243.3</v>
      </c>
      <c r="G20147" s="5">
        <v>121.4</v>
      </c>
      <c r="H20147" s="5">
        <v>121.2</v>
      </c>
      <c r="I20147" s="5"/>
      <c r="J20147" s="5"/>
      <c r="K20147" s="5"/>
    </row>
    <row r="20148" spans="1:11" x14ac:dyDescent="0.25">
      <c r="A20148" s="5">
        <f>20141</f>
      </c>
      <c r="B20148" s="5" t="s">
        <v>20156</v>
      </c>
      <c r="C20148" s="5">
        <v>121.8</v>
      </c>
      <c r="D20148" s="5">
        <v>0.1</v>
      </c>
      <c r="E20148" s="5">
        <v>121.9</v>
      </c>
      <c r="F20148" s="5">
        <v>243.3</v>
      </c>
      <c r="G20148" s="5">
        <v>121.4</v>
      </c>
      <c r="H20148" s="5">
        <v>121.2</v>
      </c>
      <c r="I20148" s="5"/>
      <c r="J20148" s="5"/>
      <c r="K20148" s="5"/>
    </row>
    <row r="20149" spans="1:11" x14ac:dyDescent="0.25">
      <c r="A20149" s="5">
        <f>20142</f>
      </c>
      <c r="B20149" s="5" t="s">
        <v>20157</v>
      </c>
      <c r="C20149" s="5">
        <v>121.8</v>
      </c>
      <c r="D20149" s="5">
        <v>0.1</v>
      </c>
      <c r="E20149" s="5">
        <v>121.9</v>
      </c>
      <c r="F20149" s="5">
        <v>243.3</v>
      </c>
      <c r="G20149" s="5">
        <v>121.4</v>
      </c>
      <c r="H20149" s="5">
        <v>121.2</v>
      </c>
      <c r="I20149" s="5"/>
      <c r="J20149" s="5"/>
      <c r="K20149" s="5"/>
    </row>
    <row r="20150" spans="1:11" x14ac:dyDescent="0.25">
      <c r="A20150" s="5">
        <f>20143</f>
      </c>
      <c r="B20150" s="5" t="s">
        <v>20158</v>
      </c>
      <c r="C20150" s="5">
        <v>121.8</v>
      </c>
      <c r="D20150" s="5">
        <v>0.1</v>
      </c>
      <c r="E20150" s="5">
        <v>121.9</v>
      </c>
      <c r="F20150" s="5">
        <v>243.3</v>
      </c>
      <c r="G20150" s="5">
        <v>121.4</v>
      </c>
      <c r="H20150" s="5">
        <v>121.2</v>
      </c>
      <c r="I20150" s="5"/>
      <c r="J20150" s="5"/>
      <c r="K20150" s="5"/>
    </row>
    <row r="20151" spans="1:11" x14ac:dyDescent="0.25">
      <c r="A20151" s="5">
        <f>20144</f>
      </c>
      <c r="B20151" s="5" t="s">
        <v>20159</v>
      </c>
      <c r="C20151" s="5">
        <v>121.5</v>
      </c>
      <c r="D20151" s="5">
        <v>0.1</v>
      </c>
      <c r="E20151" s="5">
        <v>121.7</v>
      </c>
      <c r="F20151" s="5">
        <v>243.1</v>
      </c>
      <c r="G20151" s="5">
        <v>121.3</v>
      </c>
      <c r="H20151" s="5">
        <v>121.2</v>
      </c>
      <c r="I20151" s="5"/>
      <c r="J20151" s="5"/>
      <c r="K20151" s="5"/>
    </row>
    <row r="20152" spans="1:11" x14ac:dyDescent="0.25">
      <c r="A20152" s="5">
        <f>20145</f>
      </c>
      <c r="B20152" s="5" t="s">
        <v>20160</v>
      </c>
      <c r="C20152" s="5">
        <v>121.5</v>
      </c>
      <c r="D20152" s="5">
        <v>0.1</v>
      </c>
      <c r="E20152" s="5">
        <v>121.7</v>
      </c>
      <c r="F20152" s="5">
        <v>243.1</v>
      </c>
      <c r="G20152" s="5">
        <v>121.3</v>
      </c>
      <c r="H20152" s="5">
        <v>121.2</v>
      </c>
      <c r="I20152" s="5"/>
      <c r="J20152" s="5"/>
      <c r="K20152" s="5"/>
    </row>
    <row r="20153" spans="1:11" x14ac:dyDescent="0.25">
      <c r="A20153" s="5">
        <f>20146</f>
      </c>
      <c r="B20153" s="5" t="s">
        <v>20161</v>
      </c>
      <c r="C20153" s="5">
        <v>121.8</v>
      </c>
      <c r="D20153" s="5">
        <v>0.1</v>
      </c>
      <c r="E20153" s="5">
        <v>122</v>
      </c>
      <c r="F20153" s="5">
        <v>243.5</v>
      </c>
      <c r="G20153" s="5">
        <v>121.5</v>
      </c>
      <c r="H20153" s="5">
        <v>121.3</v>
      </c>
      <c r="I20153" s="5"/>
      <c r="J20153" s="5"/>
      <c r="K20153" s="5"/>
    </row>
    <row r="20154" spans="1:11" x14ac:dyDescent="0.25">
      <c r="A20154" s="5">
        <f>20147</f>
      </c>
      <c r="B20154" s="5" t="s">
        <v>20162</v>
      </c>
      <c r="C20154" s="5">
        <v>121.8</v>
      </c>
      <c r="D20154" s="5">
        <v>0.1</v>
      </c>
      <c r="E20154" s="5">
        <v>122</v>
      </c>
      <c r="F20154" s="5">
        <v>243.5</v>
      </c>
      <c r="G20154" s="5">
        <v>121.5</v>
      </c>
      <c r="H20154" s="5">
        <v>121.3</v>
      </c>
      <c r="I20154" s="5"/>
      <c r="J20154" s="5"/>
      <c r="K20154" s="5"/>
    </row>
    <row r="20155" spans="1:11" x14ac:dyDescent="0.25">
      <c r="A20155" s="5">
        <f>20148</f>
      </c>
      <c r="B20155" s="5" t="s">
        <v>20163</v>
      </c>
      <c r="C20155" s="5">
        <v>121.5</v>
      </c>
      <c r="D20155" s="5">
        <v>0.1</v>
      </c>
      <c r="E20155" s="5">
        <v>121.7</v>
      </c>
      <c r="F20155" s="5">
        <v>242.8</v>
      </c>
      <c r="G20155" s="5">
        <v>121.3</v>
      </c>
      <c r="H20155" s="5">
        <v>121.1</v>
      </c>
      <c r="I20155" s="5"/>
      <c r="J20155" s="5"/>
      <c r="K20155" s="5"/>
    </row>
    <row r="20156" spans="1:11" x14ac:dyDescent="0.25">
      <c r="A20156" s="5">
        <f>20149</f>
      </c>
      <c r="B20156" s="5" t="s">
        <v>20164</v>
      </c>
      <c r="C20156" s="5">
        <v>121.5</v>
      </c>
      <c r="D20156" s="5">
        <v>0.1</v>
      </c>
      <c r="E20156" s="5">
        <v>121.7</v>
      </c>
      <c r="F20156" s="5">
        <v>242.8</v>
      </c>
      <c r="G20156" s="5">
        <v>121.3</v>
      </c>
      <c r="H20156" s="5">
        <v>121.1</v>
      </c>
      <c r="I20156" s="5"/>
      <c r="J20156" s="5"/>
      <c r="K20156" s="5"/>
    </row>
    <row r="20157" spans="1:11" x14ac:dyDescent="0.25">
      <c r="A20157" s="5">
        <f>20150</f>
      </c>
      <c r="B20157" s="5" t="s">
        <v>20165</v>
      </c>
      <c r="C20157" s="5">
        <v>121.6</v>
      </c>
      <c r="D20157" s="5">
        <v>0.1</v>
      </c>
      <c r="E20157" s="5">
        <v>121.8</v>
      </c>
      <c r="F20157" s="5">
        <v>243.1</v>
      </c>
      <c r="G20157" s="5">
        <v>121.3</v>
      </c>
      <c r="H20157" s="5">
        <v>121.1</v>
      </c>
      <c r="I20157" s="5"/>
      <c r="J20157" s="5"/>
      <c r="K20157" s="5"/>
    </row>
    <row r="20158" spans="1:11" x14ac:dyDescent="0.25">
      <c r="A20158" s="5">
        <f>20151</f>
      </c>
      <c r="B20158" s="5" t="s">
        <v>20166</v>
      </c>
      <c r="C20158" s="5">
        <v>121.6</v>
      </c>
      <c r="D20158" s="5">
        <v>0.1</v>
      </c>
      <c r="E20158" s="5">
        <v>121.8</v>
      </c>
      <c r="F20158" s="5">
        <v>243.1</v>
      </c>
      <c r="G20158" s="5">
        <v>121.3</v>
      </c>
      <c r="H20158" s="5">
        <v>121.1</v>
      </c>
      <c r="I20158" s="5"/>
      <c r="J20158" s="5"/>
      <c r="K20158" s="5"/>
    </row>
    <row r="20159" spans="1:11" x14ac:dyDescent="0.25">
      <c r="A20159" s="5">
        <f>20152</f>
      </c>
      <c r="B20159" s="5" t="s">
        <v>20167</v>
      </c>
      <c r="C20159" s="5">
        <v>121.6</v>
      </c>
      <c r="D20159" s="5">
        <v>0.1</v>
      </c>
      <c r="E20159" s="5">
        <v>121.8</v>
      </c>
      <c r="F20159" s="5">
        <v>243.1</v>
      </c>
      <c r="G20159" s="5">
        <v>121.3</v>
      </c>
      <c r="H20159" s="5">
        <v>121.1</v>
      </c>
      <c r="I20159" s="5"/>
      <c r="J20159" s="5"/>
      <c r="K20159" s="5"/>
    </row>
    <row r="20160" spans="1:11" x14ac:dyDescent="0.25">
      <c r="A20160" s="5">
        <f>20153</f>
      </c>
      <c r="B20160" s="5" t="s">
        <v>20168</v>
      </c>
      <c r="C20160" s="5">
        <v>121.6</v>
      </c>
      <c r="D20160" s="5">
        <v>0.1</v>
      </c>
      <c r="E20160" s="5">
        <v>121.8</v>
      </c>
      <c r="F20160" s="5">
        <v>243.1</v>
      </c>
      <c r="G20160" s="5">
        <v>121.3</v>
      </c>
      <c r="H20160" s="5">
        <v>121.1</v>
      </c>
      <c r="I20160" s="5"/>
      <c r="J20160" s="5"/>
      <c r="K20160" s="5"/>
    </row>
    <row r="20161" spans="1:11" x14ac:dyDescent="0.25">
      <c r="A20161" s="5">
        <f>20154</f>
      </c>
      <c r="B20161" s="5" t="s">
        <v>20169</v>
      </c>
      <c r="C20161" s="5">
        <v>121.5</v>
      </c>
      <c r="D20161" s="5">
        <v>0.1</v>
      </c>
      <c r="E20161" s="5">
        <v>121.6</v>
      </c>
      <c r="F20161" s="5">
        <v>243.1</v>
      </c>
      <c r="G20161" s="5">
        <v>121.3</v>
      </c>
      <c r="H20161" s="5">
        <v>121.1</v>
      </c>
      <c r="I20161" s="5"/>
      <c r="J20161" s="5"/>
      <c r="K20161" s="5"/>
    </row>
    <row r="20162" spans="1:11" x14ac:dyDescent="0.25">
      <c r="A20162" s="5">
        <f>20155</f>
      </c>
      <c r="B20162" s="5" t="s">
        <v>20170</v>
      </c>
      <c r="C20162" s="5">
        <v>121.5</v>
      </c>
      <c r="D20162" s="5">
        <v>0.1</v>
      </c>
      <c r="E20162" s="5">
        <v>121.6</v>
      </c>
      <c r="F20162" s="5">
        <v>243.1</v>
      </c>
      <c r="G20162" s="5">
        <v>121.3</v>
      </c>
      <c r="H20162" s="5">
        <v>121.1</v>
      </c>
      <c r="I20162" s="5"/>
      <c r="J20162" s="5"/>
      <c r="K20162" s="5"/>
    </row>
    <row r="20163" spans="1:11" x14ac:dyDescent="0.25">
      <c r="A20163" s="5">
        <f>20156</f>
      </c>
      <c r="B20163" s="5" t="s">
        <v>20171</v>
      </c>
      <c r="C20163" s="5">
        <v>122.1</v>
      </c>
      <c r="D20163" s="5">
        <v>0.1</v>
      </c>
      <c r="E20163" s="5">
        <v>122.3</v>
      </c>
      <c r="F20163" s="5">
        <v>243.5</v>
      </c>
      <c r="G20163" s="5">
        <v>121.5</v>
      </c>
      <c r="H20163" s="5">
        <v>121.3</v>
      </c>
      <c r="I20163" s="5"/>
      <c r="J20163" s="5"/>
      <c r="K20163" s="5"/>
    </row>
    <row r="20164" spans="1:11" x14ac:dyDescent="0.25">
      <c r="A20164" s="5">
        <f>20157</f>
      </c>
      <c r="B20164" s="5" t="s">
        <v>20172</v>
      </c>
      <c r="C20164" s="5">
        <v>122.1</v>
      </c>
      <c r="D20164" s="5">
        <v>0.1</v>
      </c>
      <c r="E20164" s="5">
        <v>122.3</v>
      </c>
      <c r="F20164" s="5">
        <v>243.5</v>
      </c>
      <c r="G20164" s="5">
        <v>121.5</v>
      </c>
      <c r="H20164" s="5">
        <v>121.3</v>
      </c>
      <c r="I20164" s="5"/>
      <c r="J20164" s="5"/>
      <c r="K20164" s="5"/>
    </row>
    <row r="20165" spans="1:11" x14ac:dyDescent="0.25">
      <c r="A20165" s="5">
        <f>20158</f>
      </c>
      <c r="B20165" s="5" t="s">
        <v>20173</v>
      </c>
      <c r="C20165" s="5">
        <v>122.3</v>
      </c>
      <c r="D20165" s="5">
        <v>0.1</v>
      </c>
      <c r="E20165" s="5">
        <v>122.5</v>
      </c>
      <c r="F20165" s="5">
        <v>243.6</v>
      </c>
      <c r="G20165" s="5">
        <v>121.6</v>
      </c>
      <c r="H20165" s="5">
        <v>121.4</v>
      </c>
      <c r="I20165" s="5"/>
      <c r="J20165" s="5"/>
      <c r="K20165" s="5"/>
    </row>
    <row r="20166" spans="1:11" x14ac:dyDescent="0.25">
      <c r="A20166" s="5">
        <f>20159</f>
      </c>
      <c r="B20166" s="5" t="s">
        <v>20174</v>
      </c>
      <c r="C20166" s="5">
        <v>122.3</v>
      </c>
      <c r="D20166" s="5">
        <v>0.1</v>
      </c>
      <c r="E20166" s="5">
        <v>122.5</v>
      </c>
      <c r="F20166" s="5">
        <v>243.6</v>
      </c>
      <c r="G20166" s="5">
        <v>121.6</v>
      </c>
      <c r="H20166" s="5">
        <v>121.4</v>
      </c>
      <c r="I20166" s="5"/>
      <c r="J20166" s="5"/>
      <c r="K20166" s="5"/>
    </row>
    <row r="20167" spans="1:11" x14ac:dyDescent="0.25">
      <c r="A20167" s="5">
        <f>20160</f>
      </c>
      <c r="B20167" s="5" t="s">
        <v>20175</v>
      </c>
      <c r="C20167" s="5">
        <v>121.8</v>
      </c>
      <c r="D20167" s="5">
        <v>0.1</v>
      </c>
      <c r="E20167" s="5">
        <v>122.1</v>
      </c>
      <c r="F20167" s="5">
        <v>243.2</v>
      </c>
      <c r="G20167" s="5">
        <v>121.4</v>
      </c>
      <c r="H20167" s="5">
        <v>121.2</v>
      </c>
      <c r="I20167" s="5"/>
      <c r="J20167" s="5"/>
      <c r="K20167" s="5"/>
    </row>
    <row r="20168" spans="1:11" x14ac:dyDescent="0.25">
      <c r="A20168" s="5">
        <f>20161</f>
      </c>
      <c r="B20168" s="5" t="s">
        <v>20176</v>
      </c>
      <c r="C20168" s="5">
        <v>121.8</v>
      </c>
      <c r="D20168" s="5">
        <v>0.1</v>
      </c>
      <c r="E20168" s="5">
        <v>122.1</v>
      </c>
      <c r="F20168" s="5">
        <v>243.2</v>
      </c>
      <c r="G20168" s="5">
        <v>121.4</v>
      </c>
      <c r="H20168" s="5">
        <v>121.2</v>
      </c>
      <c r="I20168" s="5"/>
      <c r="J20168" s="5"/>
      <c r="K20168" s="5"/>
    </row>
    <row r="20169" spans="1:11" x14ac:dyDescent="0.25">
      <c r="A20169" s="5">
        <f>20162</f>
      </c>
      <c r="B20169" s="5" t="s">
        <v>20177</v>
      </c>
      <c r="C20169" s="5">
        <v>121.8</v>
      </c>
      <c r="D20169" s="5">
        <v>0.1</v>
      </c>
      <c r="E20169" s="5">
        <v>122.1</v>
      </c>
      <c r="F20169" s="5">
        <v>243.2</v>
      </c>
      <c r="G20169" s="5">
        <v>121.4</v>
      </c>
      <c r="H20169" s="5">
        <v>121.2</v>
      </c>
      <c r="I20169" s="5"/>
      <c r="J20169" s="5"/>
      <c r="K20169" s="5"/>
    </row>
    <row r="20170" spans="1:11" x14ac:dyDescent="0.25">
      <c r="A20170" s="5">
        <f>20163</f>
      </c>
      <c r="B20170" s="5" t="s">
        <v>20178</v>
      </c>
      <c r="C20170" s="5">
        <v>121.8</v>
      </c>
      <c r="D20170" s="5">
        <v>0.1</v>
      </c>
      <c r="E20170" s="5">
        <v>122.1</v>
      </c>
      <c r="F20170" s="5">
        <v>243.2</v>
      </c>
      <c r="G20170" s="5">
        <v>121.4</v>
      </c>
      <c r="H20170" s="5">
        <v>121.2</v>
      </c>
      <c r="I20170" s="5"/>
      <c r="J20170" s="5"/>
      <c r="K20170" s="5"/>
    </row>
    <row r="20171" spans="1:11" x14ac:dyDescent="0.25">
      <c r="A20171" s="5">
        <f>20164</f>
      </c>
      <c r="B20171" s="5" t="s">
        <v>20179</v>
      </c>
      <c r="C20171" s="5">
        <v>122.1</v>
      </c>
      <c r="D20171" s="5">
        <v>0.1</v>
      </c>
      <c r="E20171" s="5">
        <v>122.2</v>
      </c>
      <c r="F20171" s="5">
        <v>243.6</v>
      </c>
      <c r="G20171" s="5">
        <v>121.6</v>
      </c>
      <c r="H20171" s="5">
        <v>121.5</v>
      </c>
      <c r="I20171" s="5"/>
      <c r="J20171" s="5"/>
      <c r="K20171" s="5"/>
    </row>
    <row r="20172" spans="1:11" x14ac:dyDescent="0.25">
      <c r="A20172" s="5">
        <f>20165</f>
      </c>
      <c r="B20172" s="5" t="s">
        <v>20180</v>
      </c>
      <c r="C20172" s="5">
        <v>122.1</v>
      </c>
      <c r="D20172" s="5">
        <v>0.1</v>
      </c>
      <c r="E20172" s="5">
        <v>122.2</v>
      </c>
      <c r="F20172" s="5">
        <v>243.6</v>
      </c>
      <c r="G20172" s="5">
        <v>121.6</v>
      </c>
      <c r="H20172" s="5">
        <v>121.5</v>
      </c>
      <c r="I20172" s="5"/>
      <c r="J20172" s="5"/>
      <c r="K20172" s="5"/>
    </row>
    <row r="20173" spans="1:11" x14ac:dyDescent="0.25">
      <c r="A20173" s="5">
        <f>20166</f>
      </c>
      <c r="B20173" s="5" t="s">
        <v>20181</v>
      </c>
      <c r="C20173" s="5">
        <v>122.1</v>
      </c>
      <c r="D20173" s="5">
        <v>0.1</v>
      </c>
      <c r="E20173" s="5">
        <v>122.2</v>
      </c>
      <c r="F20173" s="5">
        <v>243.6</v>
      </c>
      <c r="G20173" s="5">
        <v>121.6</v>
      </c>
      <c r="H20173" s="5">
        <v>121.5</v>
      </c>
      <c r="I20173" s="5"/>
      <c r="J20173" s="5"/>
      <c r="K20173" s="5"/>
    </row>
    <row r="20174" spans="1:11" x14ac:dyDescent="0.25">
      <c r="A20174" s="5">
        <f>20167</f>
      </c>
      <c r="B20174" s="5" t="s">
        <v>20182</v>
      </c>
      <c r="C20174" s="5">
        <v>122.1</v>
      </c>
      <c r="D20174" s="5">
        <v>0.1</v>
      </c>
      <c r="E20174" s="5">
        <v>122.2</v>
      </c>
      <c r="F20174" s="5">
        <v>243.6</v>
      </c>
      <c r="G20174" s="5">
        <v>121.6</v>
      </c>
      <c r="H20174" s="5">
        <v>121.5</v>
      </c>
      <c r="I20174" s="5"/>
      <c r="J20174" s="5"/>
      <c r="K20174" s="5"/>
    </row>
    <row r="20175" spans="1:11" x14ac:dyDescent="0.25">
      <c r="A20175" s="5">
        <f>20168</f>
      </c>
      <c r="B20175" s="5" t="s">
        <v>20183</v>
      </c>
      <c r="C20175" s="5">
        <v>122.6</v>
      </c>
      <c r="D20175" s="5">
        <v>0.1</v>
      </c>
      <c r="E20175" s="5">
        <v>122.8</v>
      </c>
      <c r="F20175" s="5">
        <v>244.4</v>
      </c>
      <c r="G20175" s="5">
        <v>122</v>
      </c>
      <c r="H20175" s="5">
        <v>121.8</v>
      </c>
      <c r="I20175" s="5"/>
      <c r="J20175" s="5"/>
      <c r="K20175" s="5"/>
    </row>
    <row r="20176" spans="1:11" x14ac:dyDescent="0.25">
      <c r="A20176" s="5">
        <f>20169</f>
      </c>
      <c r="B20176" s="5" t="s">
        <v>20184</v>
      </c>
      <c r="C20176" s="5">
        <v>122.6</v>
      </c>
      <c r="D20176" s="5">
        <v>0.1</v>
      </c>
      <c r="E20176" s="5">
        <v>122.8</v>
      </c>
      <c r="F20176" s="5">
        <v>244.4</v>
      </c>
      <c r="G20176" s="5">
        <v>122</v>
      </c>
      <c r="H20176" s="5">
        <v>121.8</v>
      </c>
      <c r="I20176" s="5"/>
      <c r="J20176" s="5"/>
      <c r="K20176" s="5"/>
    </row>
    <row r="20177" spans="1:11" x14ac:dyDescent="0.25">
      <c r="A20177" s="5">
        <f>20170</f>
      </c>
      <c r="B20177" s="5" t="s">
        <v>20185</v>
      </c>
      <c r="C20177" s="5">
        <v>122.6</v>
      </c>
      <c r="D20177" s="5">
        <v>0.1</v>
      </c>
      <c r="E20177" s="5">
        <v>122.9</v>
      </c>
      <c r="F20177" s="5">
        <v>244.5</v>
      </c>
      <c r="G20177" s="5">
        <v>122</v>
      </c>
      <c r="H20177" s="5">
        <v>121.8</v>
      </c>
      <c r="I20177" s="5"/>
      <c r="J20177" s="5"/>
      <c r="K20177" s="5"/>
    </row>
    <row r="20178" spans="1:11" x14ac:dyDescent="0.25">
      <c r="A20178" s="5">
        <f>20171</f>
      </c>
      <c r="B20178" s="5" t="s">
        <v>20186</v>
      </c>
      <c r="C20178" s="5">
        <v>122.8</v>
      </c>
      <c r="D20178" s="5">
        <v>0.1</v>
      </c>
      <c r="E20178" s="5">
        <v>122.9</v>
      </c>
      <c r="F20178" s="5">
        <v>244.5</v>
      </c>
      <c r="G20178" s="5">
        <v>122</v>
      </c>
      <c r="H20178" s="5">
        <v>121.8</v>
      </c>
      <c r="I20178" s="5"/>
      <c r="J20178" s="5"/>
      <c r="K20178" s="5"/>
    </row>
    <row r="20179" spans="1:11" x14ac:dyDescent="0.25">
      <c r="A20179" s="5">
        <f>20172</f>
      </c>
      <c r="B20179" s="5" t="s">
        <v>20187</v>
      </c>
      <c r="C20179" s="5">
        <v>122.8</v>
      </c>
      <c r="D20179" s="5">
        <v>0.1</v>
      </c>
      <c r="E20179" s="5">
        <v>122.9</v>
      </c>
      <c r="F20179" s="5">
        <v>244.5</v>
      </c>
      <c r="G20179" s="5">
        <v>122</v>
      </c>
      <c r="H20179" s="5">
        <v>121.8</v>
      </c>
      <c r="I20179" s="5"/>
      <c r="J20179" s="5"/>
      <c r="K20179" s="5"/>
    </row>
    <row r="20180" spans="1:11" x14ac:dyDescent="0.25">
      <c r="A20180" s="5">
        <f>20173</f>
      </c>
      <c r="B20180" s="5" t="s">
        <v>20188</v>
      </c>
      <c r="C20180" s="5">
        <v>122.8</v>
      </c>
      <c r="D20180" s="5">
        <v>0.1</v>
      </c>
      <c r="E20180" s="5">
        <v>122.9</v>
      </c>
      <c r="F20180" s="5">
        <v>244.5</v>
      </c>
      <c r="G20180" s="5">
        <v>122</v>
      </c>
      <c r="H20180" s="5">
        <v>121.8</v>
      </c>
      <c r="I20180" s="5"/>
      <c r="J20180" s="5"/>
      <c r="K20180" s="5"/>
    </row>
    <row r="20181" spans="1:11" x14ac:dyDescent="0.25">
      <c r="A20181" s="5">
        <f>20174</f>
      </c>
      <c r="B20181" s="5" t="s">
        <v>20189</v>
      </c>
      <c r="C20181" s="5">
        <v>122.9</v>
      </c>
      <c r="D20181" s="5">
        <v>0.1</v>
      </c>
      <c r="E20181" s="5">
        <v>123.1</v>
      </c>
      <c r="F20181" s="5">
        <v>245.1</v>
      </c>
      <c r="G20181" s="5">
        <v>122.3</v>
      </c>
      <c r="H20181" s="5">
        <v>122.2</v>
      </c>
      <c r="I20181" s="5"/>
      <c r="J20181" s="5"/>
      <c r="K20181" s="5"/>
    </row>
    <row r="20182" spans="1:11" x14ac:dyDescent="0.25">
      <c r="A20182" s="5">
        <f>20175</f>
      </c>
      <c r="B20182" s="5" t="s">
        <v>20190</v>
      </c>
      <c r="C20182" s="5">
        <v>122.9</v>
      </c>
      <c r="D20182" s="5">
        <v>0.1</v>
      </c>
      <c r="E20182" s="5">
        <v>123.1</v>
      </c>
      <c r="F20182" s="5">
        <v>245.1</v>
      </c>
      <c r="G20182" s="5">
        <v>122.3</v>
      </c>
      <c r="H20182" s="5">
        <v>122.2</v>
      </c>
      <c r="I20182" s="5"/>
      <c r="J20182" s="5"/>
      <c r="K20182" s="5"/>
    </row>
    <row r="20183" spans="1:11" x14ac:dyDescent="0.25">
      <c r="A20183" s="5">
        <f>20176</f>
      </c>
      <c r="B20183" s="5" t="s">
        <v>20191</v>
      </c>
      <c r="C20183" s="5">
        <v>122.5</v>
      </c>
      <c r="D20183" s="5">
        <v>0.1</v>
      </c>
      <c r="E20183" s="5">
        <v>122.7</v>
      </c>
      <c r="F20183" s="5">
        <v>244.8</v>
      </c>
      <c r="G20183" s="5">
        <v>122.2</v>
      </c>
      <c r="H20183" s="5">
        <v>122</v>
      </c>
      <c r="I20183" s="5"/>
      <c r="J20183" s="5"/>
      <c r="K20183" s="5"/>
    </row>
    <row r="20184" spans="1:11" x14ac:dyDescent="0.25">
      <c r="A20184" s="5">
        <f>20177</f>
      </c>
      <c r="B20184" s="5" t="s">
        <v>20192</v>
      </c>
      <c r="C20184" s="5">
        <v>122.5</v>
      </c>
      <c r="D20184" s="5">
        <v>0.1</v>
      </c>
      <c r="E20184" s="5">
        <v>122.7</v>
      </c>
      <c r="F20184" s="5">
        <v>244.8</v>
      </c>
      <c r="G20184" s="5">
        <v>122.2</v>
      </c>
      <c r="H20184" s="5">
        <v>122</v>
      </c>
      <c r="I20184" s="5"/>
      <c r="J20184" s="5"/>
      <c r="K20184" s="5"/>
    </row>
    <row r="20185" spans="1:11" x14ac:dyDescent="0.25">
      <c r="A20185" s="5">
        <f>20178</f>
      </c>
      <c r="B20185" s="5" t="s">
        <v>20193</v>
      </c>
      <c r="C20185" s="5">
        <v>122.7</v>
      </c>
      <c r="D20185" s="5">
        <v>0.1</v>
      </c>
      <c r="E20185" s="5">
        <v>122.8</v>
      </c>
      <c r="F20185" s="5">
        <v>244.9</v>
      </c>
      <c r="G20185" s="5">
        <v>122.2</v>
      </c>
      <c r="H20185" s="5">
        <v>122.1</v>
      </c>
      <c r="I20185" s="5"/>
      <c r="J20185" s="5"/>
      <c r="K20185" s="5"/>
    </row>
    <row r="20186" spans="1:11" x14ac:dyDescent="0.25">
      <c r="A20186" s="5">
        <f>20179</f>
      </c>
      <c r="B20186" s="5" t="s">
        <v>20194</v>
      </c>
      <c r="C20186" s="5">
        <v>122.7</v>
      </c>
      <c r="D20186" s="5">
        <v>0.1</v>
      </c>
      <c r="E20186" s="5">
        <v>122.8</v>
      </c>
      <c r="F20186" s="5">
        <v>244.9</v>
      </c>
      <c r="G20186" s="5">
        <v>122.2</v>
      </c>
      <c r="H20186" s="5">
        <v>122.1</v>
      </c>
      <c r="I20186" s="5"/>
      <c r="J20186" s="5"/>
      <c r="K20186" s="5"/>
    </row>
    <row r="20187" spans="1:11" x14ac:dyDescent="0.25">
      <c r="A20187" s="5">
        <f>20180</f>
      </c>
      <c r="B20187" s="5" t="s">
        <v>20195</v>
      </c>
      <c r="C20187" s="5">
        <v>122.7</v>
      </c>
      <c r="D20187" s="5">
        <v>0.1</v>
      </c>
      <c r="E20187" s="5">
        <v>122.8</v>
      </c>
      <c r="F20187" s="5">
        <v>244.9</v>
      </c>
      <c r="G20187" s="5">
        <v>122.2</v>
      </c>
      <c r="H20187" s="5">
        <v>122.1</v>
      </c>
      <c r="I20187" s="5"/>
      <c r="J20187" s="5"/>
      <c r="K20187" s="5"/>
    </row>
    <row r="20188" spans="1:11" x14ac:dyDescent="0.25">
      <c r="A20188" s="5">
        <f>20181</f>
      </c>
      <c r="B20188" s="5" t="s">
        <v>20196</v>
      </c>
      <c r="C20188" s="5">
        <v>122.7</v>
      </c>
      <c r="D20188" s="5">
        <v>0.1</v>
      </c>
      <c r="E20188" s="5">
        <v>122.8</v>
      </c>
      <c r="F20188" s="5">
        <v>244.9</v>
      </c>
      <c r="G20188" s="5">
        <v>122.2</v>
      </c>
      <c r="H20188" s="5">
        <v>122.1</v>
      </c>
      <c r="I20188" s="5"/>
      <c r="J20188" s="5"/>
      <c r="K20188" s="5"/>
    </row>
    <row r="20189" spans="1:11" x14ac:dyDescent="0.25">
      <c r="A20189" s="5">
        <f>20182</f>
      </c>
      <c r="B20189" s="5" t="s">
        <v>20197</v>
      </c>
      <c r="C20189" s="5">
        <v>122.7</v>
      </c>
      <c r="D20189" s="5">
        <v>0.1</v>
      </c>
      <c r="E20189" s="5">
        <v>122.8</v>
      </c>
      <c r="F20189" s="5">
        <v>244.9</v>
      </c>
      <c r="G20189" s="5">
        <v>122.2</v>
      </c>
      <c r="H20189" s="5">
        <v>122.1</v>
      </c>
      <c r="I20189" s="5"/>
      <c r="J20189" s="5"/>
      <c r="K20189" s="5"/>
    </row>
    <row r="20190" spans="1:11" x14ac:dyDescent="0.25">
      <c r="A20190" s="5">
        <f>20183</f>
      </c>
      <c r="B20190" s="5" t="s">
        <v>20198</v>
      </c>
      <c r="C20190" s="5">
        <v>122.7</v>
      </c>
      <c r="D20190" s="5">
        <v>0.1</v>
      </c>
      <c r="E20190" s="5">
        <v>122.8</v>
      </c>
      <c r="F20190" s="5">
        <v>244.9</v>
      </c>
      <c r="G20190" s="5">
        <v>122.2</v>
      </c>
      <c r="H20190" s="5">
        <v>122.1</v>
      </c>
      <c r="I20190" s="5"/>
      <c r="J20190" s="5"/>
      <c r="K20190" s="5"/>
    </row>
    <row r="20191" spans="1:11" x14ac:dyDescent="0.25">
      <c r="A20191" s="5">
        <f>20184</f>
      </c>
      <c r="B20191" s="5" t="s">
        <v>20199</v>
      </c>
      <c r="C20191" s="5">
        <v>122.8</v>
      </c>
      <c r="D20191" s="5">
        <v>0.1</v>
      </c>
      <c r="E20191" s="5">
        <v>122.9</v>
      </c>
      <c r="F20191" s="5">
        <v>245</v>
      </c>
      <c r="G20191" s="5">
        <v>122.3</v>
      </c>
      <c r="H20191" s="5">
        <v>122.1</v>
      </c>
      <c r="I20191" s="5"/>
      <c r="J20191" s="5"/>
      <c r="K20191" s="5"/>
    </row>
    <row r="20192" spans="1:11" x14ac:dyDescent="0.25">
      <c r="A20192" s="5">
        <f>20185</f>
      </c>
      <c r="B20192" s="5" t="s">
        <v>20200</v>
      </c>
      <c r="C20192" s="5">
        <v>122.8</v>
      </c>
      <c r="D20192" s="5">
        <v>0.1</v>
      </c>
      <c r="E20192" s="5">
        <v>122.9</v>
      </c>
      <c r="F20192" s="5">
        <v>245</v>
      </c>
      <c r="G20192" s="5">
        <v>122.3</v>
      </c>
      <c r="H20192" s="5">
        <v>122.1</v>
      </c>
      <c r="I20192" s="5"/>
      <c r="J20192" s="5"/>
      <c r="K20192" s="5"/>
    </row>
    <row r="20193" spans="1:11" x14ac:dyDescent="0.25">
      <c r="A20193" s="5">
        <f>20186</f>
      </c>
      <c r="B20193" s="5" t="s">
        <v>20201</v>
      </c>
      <c r="C20193" s="5">
        <v>122.5</v>
      </c>
      <c r="D20193" s="5">
        <v>0.1</v>
      </c>
      <c r="E20193" s="5">
        <v>122.7</v>
      </c>
      <c r="F20193" s="5">
        <v>245</v>
      </c>
      <c r="G20193" s="5">
        <v>122.3</v>
      </c>
      <c r="H20193" s="5">
        <v>122.1</v>
      </c>
      <c r="I20193" s="5"/>
      <c r="J20193" s="5"/>
      <c r="K20193" s="5"/>
    </row>
    <row r="20194" spans="1:11" x14ac:dyDescent="0.25">
      <c r="A20194" s="5">
        <f>20187</f>
      </c>
      <c r="B20194" s="5" t="s">
        <v>20202</v>
      </c>
      <c r="C20194" s="5">
        <v>122.5</v>
      </c>
      <c r="D20194" s="5">
        <v>0.1</v>
      </c>
      <c r="E20194" s="5">
        <v>122.7</v>
      </c>
      <c r="F20194" s="5">
        <v>245</v>
      </c>
      <c r="G20194" s="5">
        <v>122.3</v>
      </c>
      <c r="H20194" s="5">
        <v>122.1</v>
      </c>
      <c r="I20194" s="5"/>
      <c r="J20194" s="5"/>
      <c r="K20194" s="5"/>
    </row>
    <row r="20195" spans="1:11" x14ac:dyDescent="0.25">
      <c r="A20195" s="5">
        <f>20188</f>
      </c>
      <c r="B20195" s="5" t="s">
        <v>20203</v>
      </c>
      <c r="C20195" s="5">
        <v>123.1</v>
      </c>
      <c r="D20195" s="5">
        <v>0.1</v>
      </c>
      <c r="E20195" s="5">
        <v>123.3</v>
      </c>
      <c r="F20195" s="5">
        <v>245.2</v>
      </c>
      <c r="G20195" s="5">
        <v>122.4</v>
      </c>
      <c r="H20195" s="5">
        <v>122.3</v>
      </c>
      <c r="I20195" s="5"/>
      <c r="J20195" s="5"/>
      <c r="K20195" s="5"/>
    </row>
    <row r="20196" spans="1:11" x14ac:dyDescent="0.25">
      <c r="A20196" s="5">
        <f>20189</f>
      </c>
      <c r="B20196" s="5" t="s">
        <v>20204</v>
      </c>
      <c r="C20196" s="5">
        <v>123.1</v>
      </c>
      <c r="D20196" s="5">
        <v>0.1</v>
      </c>
      <c r="E20196" s="5">
        <v>123.3</v>
      </c>
      <c r="F20196" s="5">
        <v>245.2</v>
      </c>
      <c r="G20196" s="5">
        <v>122.4</v>
      </c>
      <c r="H20196" s="5">
        <v>122.3</v>
      </c>
      <c r="I20196" s="5"/>
      <c r="J20196" s="5"/>
      <c r="K20196" s="5"/>
    </row>
    <row r="20197" spans="1:11" x14ac:dyDescent="0.25">
      <c r="A20197" s="5">
        <f>20190</f>
      </c>
      <c r="B20197" s="5" t="s">
        <v>20205</v>
      </c>
      <c r="C20197" s="5">
        <v>122.9</v>
      </c>
      <c r="D20197" s="5">
        <v>0.1</v>
      </c>
      <c r="E20197" s="5">
        <v>123.1</v>
      </c>
      <c r="F20197" s="5">
        <v>244.9</v>
      </c>
      <c r="G20197" s="5">
        <v>122.2</v>
      </c>
      <c r="H20197" s="5">
        <v>122.1</v>
      </c>
      <c r="I20197" s="5"/>
      <c r="J20197" s="5"/>
      <c r="K20197" s="5"/>
    </row>
    <row r="20198" spans="1:11" x14ac:dyDescent="0.25">
      <c r="A20198" s="5">
        <f>20191</f>
      </c>
      <c r="B20198" s="5" t="s">
        <v>20206</v>
      </c>
      <c r="C20198" s="5">
        <v>122.9</v>
      </c>
      <c r="D20198" s="5">
        <v>0.1</v>
      </c>
      <c r="E20198" s="5">
        <v>123.1</v>
      </c>
      <c r="F20198" s="5">
        <v>244.9</v>
      </c>
      <c r="G20198" s="5">
        <v>122.2</v>
      </c>
      <c r="H20198" s="5">
        <v>122.1</v>
      </c>
      <c r="I20198" s="5"/>
      <c r="J20198" s="5"/>
      <c r="K20198" s="5"/>
    </row>
    <row r="20199" spans="1:11" x14ac:dyDescent="0.25">
      <c r="A20199" s="5">
        <f>20192</f>
      </c>
      <c r="B20199" s="5" t="s">
        <v>20207</v>
      </c>
      <c r="C20199" s="5">
        <v>122.9</v>
      </c>
      <c r="D20199" s="5">
        <v>0.1</v>
      </c>
      <c r="E20199" s="5">
        <v>123.1</v>
      </c>
      <c r="F20199" s="5">
        <v>244.9</v>
      </c>
      <c r="G20199" s="5">
        <v>122.2</v>
      </c>
      <c r="H20199" s="5">
        <v>122.1</v>
      </c>
      <c r="I20199" s="5"/>
      <c r="J20199" s="5"/>
      <c r="K20199" s="5"/>
    </row>
    <row r="20200" spans="1:11" x14ac:dyDescent="0.25">
      <c r="A20200" s="5">
        <f>20193</f>
      </c>
      <c r="B20200" s="5" t="s">
        <v>20208</v>
      </c>
      <c r="C20200" s="5">
        <v>122.9</v>
      </c>
      <c r="D20200" s="5">
        <v>0.1</v>
      </c>
      <c r="E20200" s="5">
        <v>123.1</v>
      </c>
      <c r="F20200" s="5">
        <v>244.9</v>
      </c>
      <c r="G20200" s="5">
        <v>122.2</v>
      </c>
      <c r="H20200" s="5">
        <v>122.1</v>
      </c>
      <c r="I20200" s="5"/>
      <c r="J20200" s="5"/>
      <c r="K20200" s="5"/>
    </row>
    <row r="20201" spans="1:11" x14ac:dyDescent="0.25">
      <c r="A20201" s="5">
        <f>20194</f>
      </c>
      <c r="B20201" s="5" t="s">
        <v>20209</v>
      </c>
      <c r="C20201" s="5">
        <v>122.5</v>
      </c>
      <c r="D20201" s="5">
        <v>0.1</v>
      </c>
      <c r="E20201" s="5">
        <v>122.7</v>
      </c>
      <c r="F20201" s="5">
        <v>244.8</v>
      </c>
      <c r="G20201" s="5">
        <v>122.1</v>
      </c>
      <c r="H20201" s="5">
        <v>122</v>
      </c>
      <c r="I20201" s="5"/>
      <c r="J20201" s="5"/>
      <c r="K20201" s="5"/>
    </row>
    <row r="20202" spans="1:11" x14ac:dyDescent="0.25">
      <c r="A20202" s="5">
        <f>20195</f>
      </c>
      <c r="B20202" s="5" t="s">
        <v>20210</v>
      </c>
      <c r="C20202" s="5">
        <v>122.5</v>
      </c>
      <c r="D20202" s="5">
        <v>0.1</v>
      </c>
      <c r="E20202" s="5">
        <v>122.7</v>
      </c>
      <c r="F20202" s="5">
        <v>244.8</v>
      </c>
      <c r="G20202" s="5">
        <v>122.1</v>
      </c>
      <c r="H20202" s="5">
        <v>122</v>
      </c>
      <c r="I20202" s="5"/>
      <c r="J20202" s="5"/>
      <c r="K20202" s="5"/>
    </row>
    <row r="20203" spans="1:11" x14ac:dyDescent="0.25">
      <c r="A20203" s="5">
        <f>20196</f>
      </c>
      <c r="B20203" s="5" t="s">
        <v>20211</v>
      </c>
      <c r="C20203" s="5">
        <v>122.7</v>
      </c>
      <c r="D20203" s="5">
        <v>0.1</v>
      </c>
      <c r="E20203" s="5">
        <v>122.8</v>
      </c>
      <c r="F20203" s="5">
        <v>245.2</v>
      </c>
      <c r="G20203" s="5">
        <v>122.4</v>
      </c>
      <c r="H20203" s="5">
        <v>122.2</v>
      </c>
      <c r="I20203" s="5"/>
      <c r="J20203" s="5"/>
      <c r="K20203" s="5"/>
    </row>
    <row r="20204" spans="1:11" x14ac:dyDescent="0.25">
      <c r="A20204" s="5">
        <f>20197</f>
      </c>
      <c r="B20204" s="5" t="s">
        <v>20212</v>
      </c>
      <c r="C20204" s="5">
        <v>122.7</v>
      </c>
      <c r="D20204" s="5">
        <v>0.1</v>
      </c>
      <c r="E20204" s="5">
        <v>122.8</v>
      </c>
      <c r="F20204" s="5">
        <v>245.2</v>
      </c>
      <c r="G20204" s="5">
        <v>122.4</v>
      </c>
      <c r="H20204" s="5">
        <v>122.2</v>
      </c>
      <c r="I20204" s="5"/>
      <c r="J20204" s="5"/>
      <c r="K20204" s="5"/>
    </row>
    <row r="20205" spans="1:11" x14ac:dyDescent="0.25">
      <c r="A20205" s="5">
        <f>20198</f>
      </c>
      <c r="B20205" s="5" t="s">
        <v>20213</v>
      </c>
      <c r="C20205" s="5">
        <v>122.9</v>
      </c>
      <c r="D20205" s="5">
        <v>0.1</v>
      </c>
      <c r="E20205" s="5">
        <v>123.1</v>
      </c>
      <c r="F20205" s="5">
        <v>245.4</v>
      </c>
      <c r="G20205" s="5">
        <v>122.4</v>
      </c>
      <c r="H20205" s="5">
        <v>122.3</v>
      </c>
      <c r="I20205" s="5"/>
      <c r="J20205" s="5"/>
      <c r="K20205" s="5"/>
    </row>
    <row r="20206" spans="1:11" x14ac:dyDescent="0.25">
      <c r="A20206" s="5">
        <f>20199</f>
      </c>
      <c r="B20206" s="5" t="s">
        <v>20214</v>
      </c>
      <c r="C20206" s="5">
        <v>122.9</v>
      </c>
      <c r="D20206" s="5">
        <v>0.1</v>
      </c>
      <c r="E20206" s="5">
        <v>123.1</v>
      </c>
      <c r="F20206" s="5">
        <v>245.4</v>
      </c>
      <c r="G20206" s="5">
        <v>122.4</v>
      </c>
      <c r="H20206" s="5">
        <v>122.3</v>
      </c>
      <c r="I20206" s="5"/>
      <c r="J20206" s="5"/>
      <c r="K20206" s="5"/>
    </row>
    <row r="20207" spans="1:11" x14ac:dyDescent="0.25">
      <c r="A20207" s="5">
        <f>20200</f>
      </c>
      <c r="B20207" s="5" t="s">
        <v>20215</v>
      </c>
      <c r="C20207" s="5">
        <v>122.8</v>
      </c>
      <c r="D20207" s="5">
        <v>0.1</v>
      </c>
      <c r="E20207" s="5">
        <v>123</v>
      </c>
      <c r="F20207" s="5">
        <v>245.3</v>
      </c>
      <c r="G20207" s="5">
        <v>122.5</v>
      </c>
      <c r="H20207" s="5">
        <v>122.3</v>
      </c>
      <c r="I20207" s="5"/>
      <c r="J20207" s="5"/>
      <c r="K20207" s="5"/>
    </row>
    <row r="20208" spans="1:11" x14ac:dyDescent="0.25">
      <c r="A20208" s="5">
        <f>20201</f>
      </c>
      <c r="B20208" s="5" t="s">
        <v>20216</v>
      </c>
      <c r="C20208" s="5">
        <v>122.8</v>
      </c>
      <c r="D20208" s="5">
        <v>0.1</v>
      </c>
      <c r="E20208" s="5">
        <v>123</v>
      </c>
      <c r="F20208" s="5">
        <v>245.3</v>
      </c>
      <c r="G20208" s="5">
        <v>122.5</v>
      </c>
      <c r="H20208" s="5">
        <v>122.3</v>
      </c>
      <c r="I20208" s="5"/>
      <c r="J20208" s="5"/>
      <c r="K20208" s="5"/>
    </row>
    <row r="20209" spans="1:11" x14ac:dyDescent="0.25">
      <c r="A20209" s="5">
        <f>20202</f>
      </c>
      <c r="B20209" s="5" t="s">
        <v>20217</v>
      </c>
      <c r="C20209" s="5">
        <v>122.8</v>
      </c>
      <c r="D20209" s="5">
        <v>0.1</v>
      </c>
      <c r="E20209" s="5">
        <v>123</v>
      </c>
      <c r="F20209" s="5">
        <v>245.3</v>
      </c>
      <c r="G20209" s="5">
        <v>122.5</v>
      </c>
      <c r="H20209" s="5">
        <v>122.3</v>
      </c>
      <c r="I20209" s="5"/>
      <c r="J20209" s="5"/>
      <c r="K20209" s="5"/>
    </row>
    <row r="20210" spans="1:11" x14ac:dyDescent="0.25">
      <c r="A20210" s="5">
        <f>20203</f>
      </c>
      <c r="B20210" s="5" t="s">
        <v>20218</v>
      </c>
      <c r="C20210" s="5">
        <v>122.8</v>
      </c>
      <c r="D20210" s="5">
        <v>0.1</v>
      </c>
      <c r="E20210" s="5">
        <v>123</v>
      </c>
      <c r="F20210" s="5">
        <v>245.3</v>
      </c>
      <c r="G20210" s="5">
        <v>122.5</v>
      </c>
      <c r="H20210" s="5">
        <v>122.3</v>
      </c>
      <c r="I20210" s="5"/>
      <c r="J20210" s="5"/>
      <c r="K20210" s="5"/>
    </row>
    <row r="20211" spans="1:11" x14ac:dyDescent="0.25">
      <c r="A20211" s="5">
        <f>20204</f>
      </c>
      <c r="B20211" s="5" t="s">
        <v>20219</v>
      </c>
      <c r="C20211" s="5">
        <v>122.6</v>
      </c>
      <c r="D20211" s="5">
        <v>0.1</v>
      </c>
      <c r="E20211" s="5">
        <v>122.8</v>
      </c>
      <c r="F20211" s="5">
        <v>245.1</v>
      </c>
      <c r="G20211" s="5">
        <v>122.4</v>
      </c>
      <c r="H20211" s="5">
        <v>122.2</v>
      </c>
      <c r="I20211" s="5"/>
      <c r="J20211" s="5"/>
      <c r="K20211" s="5"/>
    </row>
    <row r="20212" spans="1:11" x14ac:dyDescent="0.25">
      <c r="A20212" s="5">
        <f>20205</f>
      </c>
      <c r="B20212" s="5" t="s">
        <v>20220</v>
      </c>
      <c r="C20212" s="5">
        <v>122.6</v>
      </c>
      <c r="D20212" s="5">
        <v>0.1</v>
      </c>
      <c r="E20212" s="5">
        <v>122.8</v>
      </c>
      <c r="F20212" s="5">
        <v>245.1</v>
      </c>
      <c r="G20212" s="5">
        <v>122.4</v>
      </c>
      <c r="H20212" s="5">
        <v>122.2</v>
      </c>
      <c r="I20212" s="5"/>
      <c r="J20212" s="5"/>
      <c r="K20212" s="5"/>
    </row>
    <row r="20213" spans="1:11" x14ac:dyDescent="0.25">
      <c r="A20213" s="5">
        <f>20206</f>
      </c>
      <c r="B20213" s="5" t="s">
        <v>20221</v>
      </c>
      <c r="C20213" s="5">
        <v>122.5</v>
      </c>
      <c r="D20213" s="5">
        <v>0.1</v>
      </c>
      <c r="E20213" s="5">
        <v>122.6</v>
      </c>
      <c r="F20213" s="5">
        <v>244.7</v>
      </c>
      <c r="G20213" s="5">
        <v>122.1</v>
      </c>
      <c r="H20213" s="5">
        <v>122</v>
      </c>
      <c r="I20213" s="5"/>
      <c r="J20213" s="5"/>
      <c r="K20213" s="5"/>
    </row>
    <row r="20214" spans="1:11" x14ac:dyDescent="0.25">
      <c r="A20214" s="5">
        <f>20207</f>
      </c>
      <c r="B20214" s="5" t="s">
        <v>20222</v>
      </c>
      <c r="C20214" s="5">
        <v>122.5</v>
      </c>
      <c r="D20214" s="5">
        <v>0.1</v>
      </c>
      <c r="E20214" s="5">
        <v>122.6</v>
      </c>
      <c r="F20214" s="5">
        <v>244.7</v>
      </c>
      <c r="G20214" s="5">
        <v>122.1</v>
      </c>
      <c r="H20214" s="5">
        <v>122</v>
      </c>
      <c r="I20214" s="5"/>
      <c r="J20214" s="5"/>
      <c r="K20214" s="5"/>
    </row>
    <row r="20215" spans="1:11" x14ac:dyDescent="0.25">
      <c r="A20215" s="5">
        <f>20208</f>
      </c>
      <c r="B20215" s="5" t="s">
        <v>20223</v>
      </c>
      <c r="C20215" s="5">
        <v>122.7</v>
      </c>
      <c r="D20215" s="5">
        <v>0.1</v>
      </c>
      <c r="E20215" s="5">
        <v>122.8</v>
      </c>
      <c r="F20215" s="5">
        <v>244.9</v>
      </c>
      <c r="G20215" s="5">
        <v>122.2</v>
      </c>
      <c r="H20215" s="5">
        <v>122.1</v>
      </c>
      <c r="I20215" s="5"/>
      <c r="J20215" s="5"/>
      <c r="K20215" s="5"/>
    </row>
    <row r="20216" spans="1:11" x14ac:dyDescent="0.25">
      <c r="A20216" s="5">
        <f>20209</f>
      </c>
      <c r="B20216" s="5" t="s">
        <v>20224</v>
      </c>
      <c r="C20216" s="5">
        <v>122.7</v>
      </c>
      <c r="D20216" s="5">
        <v>0.1</v>
      </c>
      <c r="E20216" s="5">
        <v>122.8</v>
      </c>
      <c r="F20216" s="5">
        <v>244.9</v>
      </c>
      <c r="G20216" s="5">
        <v>122.2</v>
      </c>
      <c r="H20216" s="5">
        <v>122.1</v>
      </c>
      <c r="I20216" s="5"/>
      <c r="J20216" s="5"/>
      <c r="K20216" s="5"/>
    </row>
    <row r="20217" spans="1:11" x14ac:dyDescent="0.25">
      <c r="A20217" s="5">
        <f>20210</f>
      </c>
      <c r="B20217" s="5" t="s">
        <v>20225</v>
      </c>
      <c r="C20217" s="5">
        <v>122.5</v>
      </c>
      <c r="D20217" s="5">
        <v>0.1</v>
      </c>
      <c r="E20217" s="5">
        <v>122.7</v>
      </c>
      <c r="F20217" s="5">
        <v>244.4</v>
      </c>
      <c r="G20217" s="5">
        <v>121.9</v>
      </c>
      <c r="H20217" s="5">
        <v>121.8</v>
      </c>
      <c r="I20217" s="5"/>
      <c r="J20217" s="5"/>
      <c r="K20217" s="5"/>
    </row>
    <row r="20218" spans="1:11" x14ac:dyDescent="0.25">
      <c r="A20218" s="5">
        <f>20211</f>
      </c>
      <c r="B20218" s="5" t="s">
        <v>20226</v>
      </c>
      <c r="C20218" s="5">
        <v>122.5</v>
      </c>
      <c r="D20218" s="5">
        <v>0.1</v>
      </c>
      <c r="E20218" s="5">
        <v>122.7</v>
      </c>
      <c r="F20218" s="5">
        <v>244.4</v>
      </c>
      <c r="G20218" s="5">
        <v>121.9</v>
      </c>
      <c r="H20218" s="5">
        <v>121.8</v>
      </c>
      <c r="I20218" s="5"/>
      <c r="J20218" s="5"/>
      <c r="K20218" s="5"/>
    </row>
    <row r="20219" spans="1:11" x14ac:dyDescent="0.25">
      <c r="A20219" s="5">
        <f>20212</f>
      </c>
      <c r="B20219" s="5" t="s">
        <v>20227</v>
      </c>
      <c r="C20219" s="5">
        <v>122.5</v>
      </c>
      <c r="D20219" s="5">
        <v>0.1</v>
      </c>
      <c r="E20219" s="5">
        <v>122.7</v>
      </c>
      <c r="F20219" s="5">
        <v>244.4</v>
      </c>
      <c r="G20219" s="5">
        <v>121.9</v>
      </c>
      <c r="H20219" s="5">
        <v>121.8</v>
      </c>
      <c r="I20219" s="5"/>
      <c r="J20219" s="5"/>
      <c r="K20219" s="5"/>
    </row>
    <row r="20220" spans="1:11" x14ac:dyDescent="0.25">
      <c r="A20220" s="5">
        <f>20213</f>
      </c>
      <c r="B20220" s="5" t="s">
        <v>20228</v>
      </c>
      <c r="C20220" s="5">
        <v>122.5</v>
      </c>
      <c r="D20220" s="5">
        <v>0.1</v>
      </c>
      <c r="E20220" s="5">
        <v>122.7</v>
      </c>
      <c r="F20220" s="5">
        <v>244.4</v>
      </c>
      <c r="G20220" s="5">
        <v>121.9</v>
      </c>
      <c r="H20220" s="5">
        <v>121.8</v>
      </c>
      <c r="I20220" s="5"/>
      <c r="J20220" s="5"/>
      <c r="K20220" s="5"/>
    </row>
    <row r="20221" spans="1:11" x14ac:dyDescent="0.25">
      <c r="A20221" s="5">
        <f>20214</f>
      </c>
      <c r="B20221" s="5" t="s">
        <v>20229</v>
      </c>
      <c r="C20221" s="5">
        <v>122.4</v>
      </c>
      <c r="D20221" s="5">
        <v>0.1</v>
      </c>
      <c r="E20221" s="5">
        <v>122.5</v>
      </c>
      <c r="F20221" s="5">
        <v>244.6</v>
      </c>
      <c r="G20221" s="5">
        <v>122</v>
      </c>
      <c r="H20221" s="5">
        <v>121.9</v>
      </c>
      <c r="I20221" s="5"/>
      <c r="J20221" s="5"/>
      <c r="K20221" s="5"/>
    </row>
    <row r="20222" spans="1:11" x14ac:dyDescent="0.25">
      <c r="A20222" s="5">
        <f>20215</f>
      </c>
      <c r="B20222" s="5" t="s">
        <v>20230</v>
      </c>
      <c r="C20222" s="5">
        <v>122.4</v>
      </c>
      <c r="D20222" s="5">
        <v>0.1</v>
      </c>
      <c r="E20222" s="5">
        <v>122.5</v>
      </c>
      <c r="F20222" s="5">
        <v>244.6</v>
      </c>
      <c r="G20222" s="5">
        <v>122</v>
      </c>
      <c r="H20222" s="5">
        <v>121.9</v>
      </c>
      <c r="I20222" s="5"/>
      <c r="J20222" s="5"/>
      <c r="K20222" s="5"/>
    </row>
    <row r="20223" spans="1:11" x14ac:dyDescent="0.25">
      <c r="A20223" s="5">
        <f>20216</f>
      </c>
      <c r="B20223" s="5" t="s">
        <v>20231</v>
      </c>
      <c r="C20223" s="5">
        <v>122.7</v>
      </c>
      <c r="D20223" s="5">
        <v>0.1</v>
      </c>
      <c r="E20223" s="5">
        <v>122.8</v>
      </c>
      <c r="F20223" s="5">
        <v>244.5</v>
      </c>
      <c r="G20223" s="5">
        <v>122.1</v>
      </c>
      <c r="H20223" s="5">
        <v>121.9</v>
      </c>
      <c r="I20223" s="5"/>
      <c r="J20223" s="5"/>
      <c r="K20223" s="5"/>
    </row>
    <row r="20224" spans="1:11" x14ac:dyDescent="0.25">
      <c r="A20224" s="5">
        <f>20217</f>
      </c>
      <c r="B20224" s="5" t="s">
        <v>20232</v>
      </c>
      <c r="C20224" s="5">
        <v>122.7</v>
      </c>
      <c r="D20224" s="5">
        <v>0.1</v>
      </c>
      <c r="E20224" s="5">
        <v>122.8</v>
      </c>
      <c r="F20224" s="5">
        <v>244.5</v>
      </c>
      <c r="G20224" s="5">
        <v>122.1</v>
      </c>
      <c r="H20224" s="5">
        <v>121.9</v>
      </c>
      <c r="I20224" s="5"/>
      <c r="J20224" s="5"/>
      <c r="K20224" s="5"/>
    </row>
    <row r="20225" spans="1:11" x14ac:dyDescent="0.25">
      <c r="A20225" s="5">
        <f>20218</f>
      </c>
      <c r="B20225" s="5" t="s">
        <v>20233</v>
      </c>
      <c r="C20225" s="5">
        <v>122.4</v>
      </c>
      <c r="D20225" s="5">
        <v>0.1</v>
      </c>
      <c r="E20225" s="5">
        <v>122.6</v>
      </c>
      <c r="F20225" s="5">
        <v>245</v>
      </c>
      <c r="G20225" s="5">
        <v>122.3</v>
      </c>
      <c r="H20225" s="5">
        <v>122.1</v>
      </c>
      <c r="I20225" s="5"/>
      <c r="J20225" s="5"/>
      <c r="K20225" s="5"/>
    </row>
    <row r="20226" spans="1:11" x14ac:dyDescent="0.25">
      <c r="A20226" s="5">
        <f>20219</f>
      </c>
      <c r="B20226" s="5" t="s">
        <v>20234</v>
      </c>
      <c r="C20226" s="5">
        <v>122.4</v>
      </c>
      <c r="D20226" s="5">
        <v>0.1</v>
      </c>
      <c r="E20226" s="5">
        <v>122.6</v>
      </c>
      <c r="F20226" s="5">
        <v>245</v>
      </c>
      <c r="G20226" s="5">
        <v>122.3</v>
      </c>
      <c r="H20226" s="5">
        <v>122.1</v>
      </c>
      <c r="I20226" s="5"/>
      <c r="J20226" s="5"/>
      <c r="K20226" s="5"/>
    </row>
    <row r="20227" spans="1:11" x14ac:dyDescent="0.25">
      <c r="A20227" s="5">
        <f>20220</f>
      </c>
      <c r="B20227" s="5" t="s">
        <v>20235</v>
      </c>
      <c r="C20227" s="5">
        <v>122.5</v>
      </c>
      <c r="D20227" s="5">
        <v>0.1</v>
      </c>
      <c r="E20227" s="5">
        <v>122.6</v>
      </c>
      <c r="F20227" s="5">
        <v>244.8</v>
      </c>
      <c r="G20227" s="5">
        <v>122.2</v>
      </c>
      <c r="H20227" s="5">
        <v>122</v>
      </c>
      <c r="I20227" s="5"/>
      <c r="J20227" s="5"/>
      <c r="K20227" s="5"/>
    </row>
    <row r="20228" spans="1:11" x14ac:dyDescent="0.25">
      <c r="A20228" s="5">
        <f>20221</f>
      </c>
      <c r="B20228" s="5" t="s">
        <v>20236</v>
      </c>
      <c r="C20228" s="5">
        <v>122.5</v>
      </c>
      <c r="D20228" s="5">
        <v>0.1</v>
      </c>
      <c r="E20228" s="5">
        <v>122.6</v>
      </c>
      <c r="F20228" s="5">
        <v>244.8</v>
      </c>
      <c r="G20228" s="5">
        <v>122.2</v>
      </c>
      <c r="H20228" s="5">
        <v>122</v>
      </c>
      <c r="I20228" s="5"/>
      <c r="J20228" s="5"/>
      <c r="K20228" s="5"/>
    </row>
    <row r="20229" spans="1:11" x14ac:dyDescent="0.25">
      <c r="A20229" s="5">
        <f>20222</f>
      </c>
      <c r="B20229" s="5" t="s">
        <v>20237</v>
      </c>
      <c r="C20229" s="5">
        <v>122.5</v>
      </c>
      <c r="D20229" s="5">
        <v>0.1</v>
      </c>
      <c r="E20229" s="5">
        <v>122.6</v>
      </c>
      <c r="F20229" s="5">
        <v>244.8</v>
      </c>
      <c r="G20229" s="5">
        <v>122.2</v>
      </c>
      <c r="H20229" s="5">
        <v>122</v>
      </c>
      <c r="I20229" s="5"/>
      <c r="J20229" s="5"/>
      <c r="K20229" s="5"/>
    </row>
    <row r="20230" spans="1:11" x14ac:dyDescent="0.25">
      <c r="A20230" s="5">
        <f>20223</f>
      </c>
      <c r="B20230" s="5" t="s">
        <v>20238</v>
      </c>
      <c r="C20230" s="5">
        <v>123</v>
      </c>
      <c r="D20230" s="5">
        <v>0.1</v>
      </c>
      <c r="E20230" s="5">
        <v>122.6</v>
      </c>
      <c r="F20230" s="5">
        <v>244.8</v>
      </c>
      <c r="G20230" s="5">
        <v>122.2</v>
      </c>
      <c r="H20230" s="5">
        <v>122</v>
      </c>
      <c r="I20230" s="5"/>
      <c r="J20230" s="5"/>
      <c r="K20230" s="5"/>
    </row>
    <row r="20231" spans="1:11" x14ac:dyDescent="0.25">
      <c r="A20231" s="5">
        <f>20224</f>
      </c>
      <c r="B20231" s="5" t="s">
        <v>20239</v>
      </c>
      <c r="C20231" s="5">
        <v>123</v>
      </c>
      <c r="D20231" s="5">
        <v>0.1</v>
      </c>
      <c r="E20231" s="5">
        <v>123.1</v>
      </c>
      <c r="F20231" s="5">
        <v>245.1</v>
      </c>
      <c r="G20231" s="5">
        <v>122.3</v>
      </c>
      <c r="H20231" s="5">
        <v>122.2</v>
      </c>
      <c r="I20231" s="5"/>
      <c r="J20231" s="5"/>
      <c r="K20231" s="5"/>
    </row>
    <row r="20232" spans="1:11" x14ac:dyDescent="0.25">
      <c r="A20232" s="5">
        <f>20225</f>
      </c>
      <c r="B20232" s="5" t="s">
        <v>20240</v>
      </c>
      <c r="C20232" s="5">
        <v>122.7</v>
      </c>
      <c r="D20232" s="5">
        <v>0.1</v>
      </c>
      <c r="E20232" s="5">
        <v>123.1</v>
      </c>
      <c r="F20232" s="5">
        <v>245.1</v>
      </c>
      <c r="G20232" s="5">
        <v>122.3</v>
      </c>
      <c r="H20232" s="5">
        <v>122.2</v>
      </c>
      <c r="I20232" s="5"/>
      <c r="J20232" s="5"/>
      <c r="K20232" s="5"/>
    </row>
    <row r="20233" spans="1:11" x14ac:dyDescent="0.25">
      <c r="A20233" s="5">
        <f>20226</f>
      </c>
      <c r="B20233" s="5" t="s">
        <v>20241</v>
      </c>
      <c r="C20233" s="5">
        <v>122.7</v>
      </c>
      <c r="D20233" s="5">
        <v>0.1</v>
      </c>
      <c r="E20233" s="5">
        <v>122.8</v>
      </c>
      <c r="F20233" s="5">
        <v>245.3</v>
      </c>
      <c r="G20233" s="5">
        <v>122.4</v>
      </c>
      <c r="H20233" s="5">
        <v>122.2</v>
      </c>
      <c r="I20233" s="5"/>
      <c r="J20233" s="5"/>
      <c r="K20233" s="5"/>
    </row>
    <row r="20234" spans="1:11" x14ac:dyDescent="0.25">
      <c r="A20234" s="5">
        <f>20227</f>
      </c>
      <c r="B20234" s="5" t="s">
        <v>20242</v>
      </c>
      <c r="C20234" s="5">
        <v>122.7</v>
      </c>
      <c r="D20234" s="5">
        <v>0.1</v>
      </c>
      <c r="E20234" s="5">
        <v>122.8</v>
      </c>
      <c r="F20234" s="5">
        <v>245.3</v>
      </c>
      <c r="G20234" s="5">
        <v>122.4</v>
      </c>
      <c r="H20234" s="5">
        <v>122.2</v>
      </c>
      <c r="I20234" s="5"/>
      <c r="J20234" s="5"/>
      <c r="K20234" s="5"/>
    </row>
    <row r="20235" spans="1:11" x14ac:dyDescent="0.25">
      <c r="A20235" s="5">
        <f>20228</f>
      </c>
      <c r="B20235" s="5" t="s">
        <v>20243</v>
      </c>
      <c r="C20235" s="5">
        <v>122.8</v>
      </c>
      <c r="D20235" s="5">
        <v>0.1</v>
      </c>
      <c r="E20235" s="5">
        <v>122.9</v>
      </c>
      <c r="F20235" s="5">
        <v>245.7</v>
      </c>
      <c r="G20235" s="5">
        <v>122.6</v>
      </c>
      <c r="H20235" s="5">
        <v>122.4</v>
      </c>
      <c r="I20235" s="5"/>
      <c r="J20235" s="5"/>
      <c r="K20235" s="5"/>
    </row>
    <row r="20236" spans="1:11" x14ac:dyDescent="0.25">
      <c r="A20236" s="5">
        <f>20229</f>
      </c>
      <c r="B20236" s="5" t="s">
        <v>20244</v>
      </c>
      <c r="C20236" s="5">
        <v>122.8</v>
      </c>
      <c r="D20236" s="5">
        <v>0.1</v>
      </c>
      <c r="E20236" s="5">
        <v>122.9</v>
      </c>
      <c r="F20236" s="5">
        <v>245.7</v>
      </c>
      <c r="G20236" s="5">
        <v>122.6</v>
      </c>
      <c r="H20236" s="5">
        <v>122.4</v>
      </c>
      <c r="I20236" s="5"/>
      <c r="J20236" s="5"/>
      <c r="K20236" s="5"/>
    </row>
    <row r="20237" spans="1:11" x14ac:dyDescent="0.25">
      <c r="A20237" s="5">
        <f>20230</f>
      </c>
      <c r="B20237" s="5" t="s">
        <v>20245</v>
      </c>
      <c r="C20237" s="5">
        <v>123.1</v>
      </c>
      <c r="D20237" s="5">
        <v>0.1</v>
      </c>
      <c r="E20237" s="5">
        <v>123.2</v>
      </c>
      <c r="F20237" s="5">
        <v>245.7</v>
      </c>
      <c r="G20237" s="5">
        <v>122.6</v>
      </c>
      <c r="H20237" s="5">
        <v>122.4</v>
      </c>
      <c r="I20237" s="5"/>
      <c r="J20237" s="5"/>
      <c r="K20237" s="5"/>
    </row>
    <row r="20238" spans="1:11" x14ac:dyDescent="0.25">
      <c r="A20238" s="5">
        <f>20231</f>
      </c>
      <c r="B20238" s="5" t="s">
        <v>20246</v>
      </c>
      <c r="C20238" s="5">
        <v>123.1</v>
      </c>
      <c r="D20238" s="5">
        <v>0.1</v>
      </c>
      <c r="E20238" s="5">
        <v>123.2</v>
      </c>
      <c r="F20238" s="5">
        <v>245.7</v>
      </c>
      <c r="G20238" s="5">
        <v>122.6</v>
      </c>
      <c r="H20238" s="5">
        <v>122.4</v>
      </c>
      <c r="I20238" s="5"/>
      <c r="J20238" s="5"/>
      <c r="K20238" s="5"/>
    </row>
    <row r="20239" spans="1:11" x14ac:dyDescent="0.25">
      <c r="A20239" s="5">
        <f>20232</f>
      </c>
      <c r="B20239" s="5" t="s">
        <v>20247</v>
      </c>
      <c r="C20239" s="5">
        <v>123.1</v>
      </c>
      <c r="D20239" s="5">
        <v>0.1</v>
      </c>
      <c r="E20239" s="5">
        <v>123.2</v>
      </c>
      <c r="F20239" s="5">
        <v>245.7</v>
      </c>
      <c r="G20239" s="5">
        <v>122.6</v>
      </c>
      <c r="H20239" s="5">
        <v>122.4</v>
      </c>
      <c r="I20239" s="5"/>
      <c r="J20239" s="5"/>
      <c r="K20239" s="5"/>
    </row>
    <row r="20240" spans="1:11" x14ac:dyDescent="0.25">
      <c r="A20240" s="5">
        <f>20233</f>
      </c>
      <c r="B20240" s="5" t="s">
        <v>20248</v>
      </c>
      <c r="C20240" s="5">
        <v>123.1</v>
      </c>
      <c r="D20240" s="5">
        <v>0.1</v>
      </c>
      <c r="E20240" s="5">
        <v>123.2</v>
      </c>
      <c r="F20240" s="5">
        <v>245.7</v>
      </c>
      <c r="G20240" s="5">
        <v>122.6</v>
      </c>
      <c r="H20240" s="5">
        <v>122.4</v>
      </c>
      <c r="I20240" s="5"/>
      <c r="J20240" s="5"/>
      <c r="K20240" s="5"/>
    </row>
    <row r="20241" spans="1:11" x14ac:dyDescent="0.25">
      <c r="A20241" s="5">
        <f>20234</f>
      </c>
      <c r="B20241" s="5" t="s">
        <v>20249</v>
      </c>
      <c r="C20241" s="5">
        <v>122.6</v>
      </c>
      <c r="D20241" s="5">
        <v>0.1</v>
      </c>
      <c r="E20241" s="5">
        <v>122.8</v>
      </c>
      <c r="F20241" s="5">
        <v>245.6</v>
      </c>
      <c r="G20241" s="5">
        <v>122.5</v>
      </c>
      <c r="H20241" s="5">
        <v>122.4</v>
      </c>
      <c r="I20241" s="5"/>
      <c r="J20241" s="5"/>
      <c r="K20241" s="5"/>
    </row>
    <row r="20242" spans="1:11" x14ac:dyDescent="0.25">
      <c r="A20242" s="5">
        <f>20235</f>
      </c>
      <c r="B20242" s="5" t="s">
        <v>20250</v>
      </c>
      <c r="C20242" s="5">
        <v>122.6</v>
      </c>
      <c r="D20242" s="5">
        <v>0.1</v>
      </c>
      <c r="E20242" s="5">
        <v>122.8</v>
      </c>
      <c r="F20242" s="5">
        <v>245.6</v>
      </c>
      <c r="G20242" s="5">
        <v>122.5</v>
      </c>
      <c r="H20242" s="5">
        <v>122.4</v>
      </c>
      <c r="I20242" s="5"/>
      <c r="J20242" s="5"/>
      <c r="K20242" s="5"/>
    </row>
    <row r="20243" spans="1:11" x14ac:dyDescent="0.25">
      <c r="A20243" s="5">
        <f>20236</f>
      </c>
      <c r="B20243" s="5" t="s">
        <v>20251</v>
      </c>
      <c r="C20243" s="5">
        <v>122.8</v>
      </c>
      <c r="D20243" s="5">
        <v>0.1</v>
      </c>
      <c r="E20243" s="5">
        <v>122.9</v>
      </c>
      <c r="F20243" s="5">
        <v>245.4</v>
      </c>
      <c r="G20243" s="5">
        <v>122.4</v>
      </c>
      <c r="H20243" s="5">
        <v>122.2</v>
      </c>
      <c r="I20243" s="5"/>
      <c r="J20243" s="5"/>
      <c r="K20243" s="5"/>
    </row>
    <row r="20244" spans="1:11" x14ac:dyDescent="0.25">
      <c r="A20244" s="5">
        <f>20237</f>
      </c>
      <c r="B20244" s="5" t="s">
        <v>20252</v>
      </c>
      <c r="C20244" s="5">
        <v>122.8</v>
      </c>
      <c r="D20244" s="5">
        <v>0.1</v>
      </c>
      <c r="E20244" s="5">
        <v>122.9</v>
      </c>
      <c r="F20244" s="5">
        <v>245.4</v>
      </c>
      <c r="G20244" s="5">
        <v>122.4</v>
      </c>
      <c r="H20244" s="5">
        <v>122.2</v>
      </c>
      <c r="I20244" s="5"/>
      <c r="J20244" s="5"/>
      <c r="K20244" s="5"/>
    </row>
    <row r="20245" spans="1:11" x14ac:dyDescent="0.25">
      <c r="A20245" s="5">
        <f>20238</f>
      </c>
      <c r="B20245" s="5" t="s">
        <v>20253</v>
      </c>
      <c r="C20245" s="5">
        <v>123.1</v>
      </c>
      <c r="D20245" s="5">
        <v>0.1</v>
      </c>
      <c r="E20245" s="5">
        <v>123.3</v>
      </c>
      <c r="F20245" s="5">
        <v>245.6</v>
      </c>
      <c r="G20245" s="5">
        <v>122.6</v>
      </c>
      <c r="H20245" s="5">
        <v>122.4</v>
      </c>
      <c r="I20245" s="5"/>
      <c r="J20245" s="5"/>
      <c r="K20245" s="5"/>
    </row>
    <row r="20246" spans="1:11" x14ac:dyDescent="0.25">
      <c r="A20246" s="5">
        <f>20239</f>
      </c>
      <c r="B20246" s="5" t="s">
        <v>20254</v>
      </c>
      <c r="C20246" s="5">
        <v>123.1</v>
      </c>
      <c r="D20246" s="5">
        <v>0.1</v>
      </c>
      <c r="E20246" s="5">
        <v>123.3</v>
      </c>
      <c r="F20246" s="5">
        <v>245.6</v>
      </c>
      <c r="G20246" s="5">
        <v>122.6</v>
      </c>
      <c r="H20246" s="5">
        <v>122.4</v>
      </c>
      <c r="I20246" s="5"/>
      <c r="J20246" s="5"/>
      <c r="K20246" s="5"/>
    </row>
    <row r="20247" spans="1:11" x14ac:dyDescent="0.25">
      <c r="A20247" s="5">
        <f>20240</f>
      </c>
      <c r="B20247" s="5" t="s">
        <v>20255</v>
      </c>
      <c r="C20247" s="5">
        <v>123.2</v>
      </c>
      <c r="D20247" s="5">
        <v>0.1</v>
      </c>
      <c r="E20247" s="5">
        <v>123.4</v>
      </c>
      <c r="F20247" s="5">
        <v>245.7</v>
      </c>
      <c r="G20247" s="5">
        <v>122.7</v>
      </c>
      <c r="H20247" s="5">
        <v>122.5</v>
      </c>
      <c r="I20247" s="5"/>
      <c r="J20247" s="5"/>
      <c r="K20247" s="5"/>
    </row>
    <row r="20248" spans="1:11" x14ac:dyDescent="0.25">
      <c r="A20248" s="5">
        <f>20241</f>
      </c>
      <c r="B20248" s="5" t="s">
        <v>20256</v>
      </c>
      <c r="C20248" s="5">
        <v>123.2</v>
      </c>
      <c r="D20248" s="5">
        <v>0.1</v>
      </c>
      <c r="E20248" s="5">
        <v>123.4</v>
      </c>
      <c r="F20248" s="5">
        <v>245.7</v>
      </c>
      <c r="G20248" s="5">
        <v>122.7</v>
      </c>
      <c r="H20248" s="5">
        <v>122.5</v>
      </c>
      <c r="I20248" s="5"/>
      <c r="J20248" s="5"/>
      <c r="K20248" s="5"/>
    </row>
    <row r="20249" spans="1:11" x14ac:dyDescent="0.25">
      <c r="A20249" s="5">
        <f>20242</f>
      </c>
      <c r="B20249" s="5" t="s">
        <v>20257</v>
      </c>
      <c r="C20249" s="5">
        <v>123.2</v>
      </c>
      <c r="D20249" s="5">
        <v>0.1</v>
      </c>
      <c r="E20249" s="5">
        <v>123.4</v>
      </c>
      <c r="F20249" s="5">
        <v>245.7</v>
      </c>
      <c r="G20249" s="5">
        <v>122.7</v>
      </c>
      <c r="H20249" s="5">
        <v>122.5</v>
      </c>
      <c r="I20249" s="5"/>
      <c r="J20249" s="5"/>
      <c r="K20249" s="5"/>
    </row>
    <row r="20250" spans="1:11" x14ac:dyDescent="0.25">
      <c r="A20250" s="5">
        <f>20243</f>
      </c>
      <c r="B20250" s="5" t="s">
        <v>20258</v>
      </c>
      <c r="C20250" s="5">
        <v>123.2</v>
      </c>
      <c r="D20250" s="5">
        <v>0.1</v>
      </c>
      <c r="E20250" s="5">
        <v>123.4</v>
      </c>
      <c r="F20250" s="5">
        <v>245.7</v>
      </c>
      <c r="G20250" s="5">
        <v>122.7</v>
      </c>
      <c r="H20250" s="5">
        <v>122.5</v>
      </c>
      <c r="I20250" s="5"/>
      <c r="J20250" s="5"/>
      <c r="K20250" s="5"/>
    </row>
    <row r="20251" spans="1:11" x14ac:dyDescent="0.25">
      <c r="A20251" s="5">
        <f>20244</f>
      </c>
      <c r="B20251" s="5" t="s">
        <v>20259</v>
      </c>
      <c r="C20251" s="5">
        <v>100.2</v>
      </c>
      <c r="D20251" s="5">
        <v>0.1</v>
      </c>
      <c r="E20251" s="5">
        <v>100.3</v>
      </c>
      <c r="F20251" s="5">
        <v>230.3</v>
      </c>
      <c r="G20251" s="5">
        <v>115.4</v>
      </c>
      <c r="H20251" s="5">
        <v>115.7</v>
      </c>
      <c r="I20251" s="5"/>
      <c r="J20251" s="5"/>
      <c r="K20251" s="5"/>
    </row>
    <row r="20252" spans="1:11" x14ac:dyDescent="0.25">
      <c r="A20252" s="5">
        <f>20245</f>
      </c>
      <c r="B20252" s="5" t="s">
        <v>20260</v>
      </c>
      <c r="C20252" s="5">
        <v>100.2</v>
      </c>
      <c r="D20252" s="5">
        <v>0.1</v>
      </c>
      <c r="E20252" s="5">
        <v>100.3</v>
      </c>
      <c r="F20252" s="5">
        <v>230.3</v>
      </c>
      <c r="G20252" s="5">
        <v>115.4</v>
      </c>
      <c r="H20252" s="5">
        <v>115.7</v>
      </c>
      <c r="I20252" s="5"/>
      <c r="J20252" s="5"/>
      <c r="K20252" s="5"/>
    </row>
    <row r="20253" spans="1:11" x14ac:dyDescent="0.25">
      <c r="A20253" s="5">
        <f>20246</f>
      </c>
      <c r="B20253" s="5" t="s">
        <v>20261</v>
      </c>
      <c r="C20253" s="5">
        <v>118.3</v>
      </c>
      <c r="D20253" s="5">
        <v>0.1</v>
      </c>
      <c r="E20253" s="5">
        <v>118.4</v>
      </c>
      <c r="F20253" s="5">
        <v>237</v>
      </c>
      <c r="G20253" s="5">
        <v>118.3</v>
      </c>
      <c r="H20253" s="5">
        <v>118.1</v>
      </c>
      <c r="I20253" s="5"/>
      <c r="J20253" s="5"/>
      <c r="K20253" s="5"/>
    </row>
    <row r="20254" spans="1:11" x14ac:dyDescent="0.25">
      <c r="A20254" s="5">
        <f>20247</f>
      </c>
      <c r="B20254" s="5" t="s">
        <v>20262</v>
      </c>
      <c r="C20254" s="5">
        <v>118.3</v>
      </c>
      <c r="D20254" s="5">
        <v>0.1</v>
      </c>
      <c r="E20254" s="5">
        <v>118.4</v>
      </c>
      <c r="F20254" s="5">
        <v>237</v>
      </c>
      <c r="G20254" s="5">
        <v>118.3</v>
      </c>
      <c r="H20254" s="5">
        <v>118.1</v>
      </c>
      <c r="I20254" s="5"/>
      <c r="J20254" s="5"/>
      <c r="K20254" s="5"/>
    </row>
    <row r="20255" spans="1:11" x14ac:dyDescent="0.25">
      <c r="A20255" s="5">
        <f>20248</f>
      </c>
      <c r="B20255" s="5" t="s">
        <v>20263</v>
      </c>
      <c r="C20255" s="5">
        <v>118.2</v>
      </c>
      <c r="D20255" s="5">
        <v>0.1</v>
      </c>
      <c r="E20255" s="5">
        <v>118.3</v>
      </c>
      <c r="F20255" s="5">
        <v>236.6</v>
      </c>
      <c r="G20255" s="5">
        <v>118.1</v>
      </c>
      <c r="H20255" s="5">
        <v>118</v>
      </c>
      <c r="I20255" s="5"/>
      <c r="J20255" s="5"/>
      <c r="K20255" s="5"/>
    </row>
    <row r="20256" spans="1:11" x14ac:dyDescent="0.25">
      <c r="A20256" s="5">
        <f>20249</f>
      </c>
      <c r="B20256" s="5" t="s">
        <v>20264</v>
      </c>
      <c r="C20256" s="5">
        <v>118.2</v>
      </c>
      <c r="D20256" s="5">
        <v>0.1</v>
      </c>
      <c r="E20256" s="5">
        <v>118.3</v>
      </c>
      <c r="F20256" s="5">
        <v>236.6</v>
      </c>
      <c r="G20256" s="5">
        <v>118.1</v>
      </c>
      <c r="H20256" s="5">
        <v>118</v>
      </c>
      <c r="I20256" s="5"/>
      <c r="J20256" s="5"/>
      <c r="K20256" s="5"/>
    </row>
    <row r="20257" spans="1:11" x14ac:dyDescent="0.25">
      <c r="A20257" s="5">
        <f>20250</f>
      </c>
      <c r="B20257" s="5" t="s">
        <v>20265</v>
      </c>
      <c r="C20257" s="5">
        <v>117.7</v>
      </c>
      <c r="D20257" s="5">
        <v>0.1</v>
      </c>
      <c r="E20257" s="5">
        <v>117.9</v>
      </c>
      <c r="F20257" s="5">
        <v>235.7</v>
      </c>
      <c r="G20257" s="5">
        <v>117.7</v>
      </c>
      <c r="H20257" s="5">
        <v>117.5</v>
      </c>
      <c r="I20257" s="5"/>
      <c r="J20257" s="5"/>
      <c r="K20257" s="5"/>
    </row>
    <row r="20258" spans="1:11" x14ac:dyDescent="0.25">
      <c r="A20258" s="5">
        <f>20251</f>
      </c>
      <c r="B20258" s="5" t="s">
        <v>20266</v>
      </c>
      <c r="C20258" s="5">
        <v>117.7</v>
      </c>
      <c r="D20258" s="5">
        <v>0.1</v>
      </c>
      <c r="E20258" s="5">
        <v>117.9</v>
      </c>
      <c r="F20258" s="5">
        <v>235.7</v>
      </c>
      <c r="G20258" s="5">
        <v>117.7</v>
      </c>
      <c r="H20258" s="5">
        <v>117.5</v>
      </c>
      <c r="I20258" s="5"/>
      <c r="J20258" s="5"/>
      <c r="K20258" s="5"/>
    </row>
    <row r="20259" spans="1:11" x14ac:dyDescent="0.25">
      <c r="A20259" s="5">
        <f>20252</f>
      </c>
      <c r="B20259" s="5" t="s">
        <v>20267</v>
      </c>
      <c r="C20259" s="5">
        <v>117.7</v>
      </c>
      <c r="D20259" s="5">
        <v>0.1</v>
      </c>
      <c r="E20259" s="5">
        <v>117.9</v>
      </c>
      <c r="F20259" s="5">
        <v>235.7</v>
      </c>
      <c r="G20259" s="5">
        <v>117.7</v>
      </c>
      <c r="H20259" s="5">
        <v>117.5</v>
      </c>
      <c r="I20259" s="5"/>
      <c r="J20259" s="5"/>
      <c r="K20259" s="5"/>
    </row>
    <row r="20260" spans="1:11" x14ac:dyDescent="0.25">
      <c r="A20260" s="5">
        <f>20253</f>
      </c>
      <c r="B20260" s="5" t="s">
        <v>20268</v>
      </c>
      <c r="C20260" s="5">
        <v>117.7</v>
      </c>
      <c r="D20260" s="5">
        <v>0.1</v>
      </c>
      <c r="E20260" s="5">
        <v>117.9</v>
      </c>
      <c r="F20260" s="5">
        <v>235.7</v>
      </c>
      <c r="G20260" s="5">
        <v>117.7</v>
      </c>
      <c r="H20260" s="5">
        <v>117.6</v>
      </c>
      <c r="I20260" s="5"/>
      <c r="J20260" s="5"/>
      <c r="K20260" s="5"/>
    </row>
    <row r="20261" spans="1:11" x14ac:dyDescent="0.25">
      <c r="A20261" s="5">
        <f>20254</f>
      </c>
      <c r="B20261" s="5" t="s">
        <v>20269</v>
      </c>
      <c r="C20261" s="5">
        <v>118.5</v>
      </c>
      <c r="D20261" s="5">
        <v>0.1</v>
      </c>
      <c r="E20261" s="5">
        <v>118.6</v>
      </c>
      <c r="F20261" s="5">
        <v>235.8</v>
      </c>
      <c r="G20261" s="5">
        <v>117.7</v>
      </c>
      <c r="H20261" s="5">
        <v>117.6</v>
      </c>
      <c r="I20261" s="5"/>
      <c r="J20261" s="5"/>
      <c r="K20261" s="5"/>
    </row>
    <row r="20262" spans="1:11" x14ac:dyDescent="0.25">
      <c r="A20262" s="5">
        <f>20255</f>
      </c>
      <c r="B20262" s="5" t="s">
        <v>20270</v>
      </c>
      <c r="C20262" s="5">
        <v>118.5</v>
      </c>
      <c r="D20262" s="5">
        <v>0.1</v>
      </c>
      <c r="E20262" s="5">
        <v>118.6</v>
      </c>
      <c r="F20262" s="5">
        <v>235.8</v>
      </c>
      <c r="G20262" s="5">
        <v>117.7</v>
      </c>
      <c r="H20262" s="5">
        <v>117.7</v>
      </c>
      <c r="I20262" s="5"/>
      <c r="J20262" s="5"/>
      <c r="K20262" s="5"/>
    </row>
    <row r="20263" spans="1:11" x14ac:dyDescent="0.25">
      <c r="A20263" s="5">
        <f>20256</f>
      </c>
      <c r="B20263" s="5" t="s">
        <v>20271</v>
      </c>
      <c r="C20263" s="5">
        <v>118.6</v>
      </c>
      <c r="D20263" s="5">
        <v>0.1</v>
      </c>
      <c r="E20263" s="5">
        <v>118.8</v>
      </c>
      <c r="F20263" s="5">
        <v>236.2</v>
      </c>
      <c r="G20263" s="5">
        <v>117.9</v>
      </c>
      <c r="H20263" s="5">
        <v>117.7</v>
      </c>
      <c r="I20263" s="5"/>
      <c r="J20263" s="5"/>
      <c r="K20263" s="5"/>
    </row>
    <row r="20264" spans="1:11" x14ac:dyDescent="0.25">
      <c r="A20264" s="5">
        <f>20257</f>
      </c>
      <c r="B20264" s="5" t="s">
        <v>20272</v>
      </c>
      <c r="C20264" s="5">
        <v>118.6</v>
      </c>
      <c r="D20264" s="5">
        <v>0.1</v>
      </c>
      <c r="E20264" s="5">
        <v>118.8</v>
      </c>
      <c r="F20264" s="5">
        <v>236.2</v>
      </c>
      <c r="G20264" s="5">
        <v>117.9</v>
      </c>
      <c r="H20264" s="5">
        <v>117.7</v>
      </c>
      <c r="I20264" s="5"/>
      <c r="J20264" s="5"/>
      <c r="K20264" s="5"/>
    </row>
    <row r="20265" spans="1:11" x14ac:dyDescent="0.25">
      <c r="A20265" s="5">
        <f>20258</f>
      </c>
      <c r="B20265" s="5" t="s">
        <v>20273</v>
      </c>
      <c r="C20265" s="5">
        <v>118.7</v>
      </c>
      <c r="D20265" s="5">
        <v>0.1</v>
      </c>
      <c r="E20265" s="5">
        <v>118.9</v>
      </c>
      <c r="F20265" s="5">
        <v>236.3</v>
      </c>
      <c r="G20265" s="5">
        <v>118</v>
      </c>
      <c r="H20265" s="5">
        <v>117.8</v>
      </c>
      <c r="I20265" s="5"/>
      <c r="J20265" s="5"/>
      <c r="K20265" s="5"/>
    </row>
    <row r="20266" spans="1:11" x14ac:dyDescent="0.25">
      <c r="A20266" s="5">
        <f>20259</f>
      </c>
      <c r="B20266" s="5" t="s">
        <v>20274</v>
      </c>
      <c r="C20266" s="5">
        <v>118.7</v>
      </c>
      <c r="D20266" s="5">
        <v>0.1</v>
      </c>
      <c r="E20266" s="5">
        <v>118.9</v>
      </c>
      <c r="F20266" s="5">
        <v>236.3</v>
      </c>
      <c r="G20266" s="5">
        <v>118</v>
      </c>
      <c r="H20266" s="5">
        <v>117.8</v>
      </c>
      <c r="I20266" s="5"/>
      <c r="J20266" s="5"/>
      <c r="K20266" s="5"/>
    </row>
    <row r="20267" spans="1:11" x14ac:dyDescent="0.25">
      <c r="A20267" s="5">
        <f>20260</f>
      </c>
      <c r="B20267" s="5" t="s">
        <v>20275</v>
      </c>
      <c r="C20267" s="5">
        <v>118.2</v>
      </c>
      <c r="D20267" s="5">
        <v>0.1</v>
      </c>
      <c r="E20267" s="5">
        <v>118.4</v>
      </c>
      <c r="F20267" s="5">
        <v>236.3</v>
      </c>
      <c r="G20267" s="5">
        <v>117.9</v>
      </c>
      <c r="H20267" s="5">
        <v>117.8</v>
      </c>
      <c r="I20267" s="5"/>
      <c r="J20267" s="5"/>
      <c r="K20267" s="5"/>
    </row>
    <row r="20268" spans="1:11" x14ac:dyDescent="0.25">
      <c r="A20268" s="5">
        <f>20261</f>
      </c>
      <c r="B20268" s="5" t="s">
        <v>20276</v>
      </c>
      <c r="C20268" s="5">
        <v>118.2</v>
      </c>
      <c r="D20268" s="5">
        <v>0.1</v>
      </c>
      <c r="E20268" s="5">
        <v>118.4</v>
      </c>
      <c r="F20268" s="5">
        <v>236.3</v>
      </c>
      <c r="G20268" s="5">
        <v>117.9</v>
      </c>
      <c r="H20268" s="5">
        <v>117.8</v>
      </c>
      <c r="I20268" s="5"/>
      <c r="J20268" s="5"/>
      <c r="K20268" s="5"/>
    </row>
    <row r="20269" spans="1:11" x14ac:dyDescent="0.25">
      <c r="A20269" s="5">
        <f>20262</f>
      </c>
      <c r="B20269" s="5" t="s">
        <v>20277</v>
      </c>
      <c r="C20269" s="5">
        <v>118.2</v>
      </c>
      <c r="D20269" s="5">
        <v>0.1</v>
      </c>
      <c r="E20269" s="5">
        <v>118.4</v>
      </c>
      <c r="F20269" s="5">
        <v>236.3</v>
      </c>
      <c r="G20269" s="5">
        <v>117.9</v>
      </c>
      <c r="H20269" s="5">
        <v>117.8</v>
      </c>
      <c r="I20269" s="5"/>
      <c r="J20269" s="5"/>
      <c r="K20269" s="5"/>
    </row>
    <row r="20270" spans="1:11" x14ac:dyDescent="0.25">
      <c r="A20270" s="5">
        <f>20263</f>
      </c>
      <c r="B20270" s="5" t="s">
        <v>20278</v>
      </c>
      <c r="C20270" s="5">
        <v>118.6</v>
      </c>
      <c r="D20270" s="5">
        <v>0.1</v>
      </c>
      <c r="E20270" s="5">
        <v>118.8</v>
      </c>
      <c r="F20270" s="5">
        <v>236.2</v>
      </c>
      <c r="G20270" s="5">
        <v>117.9</v>
      </c>
      <c r="H20270" s="5">
        <v>117.7</v>
      </c>
      <c r="I20270" s="5"/>
      <c r="J20270" s="5"/>
      <c r="K20270" s="5"/>
    </row>
    <row r="20271" spans="1:11" x14ac:dyDescent="0.25">
      <c r="A20271" s="5">
        <f>20264</f>
      </c>
      <c r="B20271" s="5" t="s">
        <v>20279</v>
      </c>
      <c r="C20271" s="5">
        <v>118.6</v>
      </c>
      <c r="D20271" s="5">
        <v>0.1</v>
      </c>
      <c r="E20271" s="5">
        <v>118.8</v>
      </c>
      <c r="F20271" s="5">
        <v>236.2</v>
      </c>
      <c r="G20271" s="5">
        <v>117.9</v>
      </c>
      <c r="H20271" s="5">
        <v>117.7</v>
      </c>
      <c r="I20271" s="5"/>
      <c r="J20271" s="5"/>
      <c r="K20271" s="5"/>
    </row>
    <row r="20272" spans="1:11" x14ac:dyDescent="0.25">
      <c r="A20272" s="5">
        <f>20265</f>
      </c>
      <c r="B20272" s="5" t="s">
        <v>20280</v>
      </c>
      <c r="C20272" s="5">
        <v>118.3</v>
      </c>
      <c r="D20272" s="5">
        <v>0.1</v>
      </c>
      <c r="E20272" s="5">
        <v>118.5</v>
      </c>
      <c r="F20272" s="5">
        <v>236.3</v>
      </c>
      <c r="G20272" s="5">
        <v>117.9</v>
      </c>
      <c r="H20272" s="5">
        <v>117.7</v>
      </c>
      <c r="I20272" s="5"/>
      <c r="J20272" s="5"/>
      <c r="K20272" s="5"/>
    </row>
    <row r="20273" spans="1:11" x14ac:dyDescent="0.25">
      <c r="A20273" s="5">
        <f>20266</f>
      </c>
      <c r="B20273" s="5" t="s">
        <v>20281</v>
      </c>
      <c r="C20273" s="5">
        <v>118.3</v>
      </c>
      <c r="D20273" s="5">
        <v>0.1</v>
      </c>
      <c r="E20273" s="5">
        <v>118.5</v>
      </c>
      <c r="F20273" s="5">
        <v>236.3</v>
      </c>
      <c r="G20273" s="5">
        <v>117.9</v>
      </c>
      <c r="H20273" s="5">
        <v>117.7</v>
      </c>
      <c r="I20273" s="5"/>
      <c r="J20273" s="5"/>
      <c r="K20273" s="5"/>
    </row>
    <row r="20274" spans="1:11" x14ac:dyDescent="0.25">
      <c r="A20274" s="5">
        <f>20267</f>
      </c>
      <c r="B20274" s="5" t="s">
        <v>20282</v>
      </c>
      <c r="C20274" s="5">
        <v>118.5</v>
      </c>
      <c r="D20274" s="5">
        <v>0.1</v>
      </c>
      <c r="E20274" s="5">
        <v>118.6</v>
      </c>
      <c r="F20274" s="5">
        <v>236</v>
      </c>
      <c r="G20274" s="5">
        <v>117.8</v>
      </c>
      <c r="H20274" s="5">
        <v>117.6</v>
      </c>
      <c r="I20274" s="5"/>
      <c r="J20274" s="5"/>
      <c r="K20274" s="5"/>
    </row>
    <row r="20275" spans="1:11" x14ac:dyDescent="0.25">
      <c r="A20275" s="5">
        <f>20268</f>
      </c>
      <c r="B20275" s="5" t="s">
        <v>20283</v>
      </c>
      <c r="C20275" s="5">
        <v>118.5</v>
      </c>
      <c r="D20275" s="5">
        <v>0.1</v>
      </c>
      <c r="E20275" s="5">
        <v>118.6</v>
      </c>
      <c r="F20275" s="5">
        <v>236</v>
      </c>
      <c r="G20275" s="5">
        <v>117.8</v>
      </c>
      <c r="H20275" s="5">
        <v>117.6</v>
      </c>
      <c r="I20275" s="5"/>
      <c r="J20275" s="5"/>
      <c r="K20275" s="5"/>
    </row>
    <row r="20276" spans="1:11" x14ac:dyDescent="0.25">
      <c r="A20276" s="5">
        <f>20269</f>
      </c>
      <c r="B20276" s="5" t="s">
        <v>20284</v>
      </c>
      <c r="C20276" s="5">
        <v>118.3</v>
      </c>
      <c r="D20276" s="5">
        <v>0.1</v>
      </c>
      <c r="E20276" s="5">
        <v>118.5</v>
      </c>
      <c r="F20276" s="5">
        <v>236</v>
      </c>
      <c r="G20276" s="5">
        <v>117.8</v>
      </c>
      <c r="H20276" s="5">
        <v>117.6</v>
      </c>
      <c r="I20276" s="5"/>
      <c r="J20276" s="5"/>
      <c r="K20276" s="5"/>
    </row>
    <row r="20277" spans="1:11" x14ac:dyDescent="0.25">
      <c r="A20277" s="5">
        <f>20270</f>
      </c>
      <c r="B20277" s="5" t="s">
        <v>20285</v>
      </c>
      <c r="C20277" s="5">
        <v>118.3</v>
      </c>
      <c r="D20277" s="5">
        <v>0.1</v>
      </c>
      <c r="E20277" s="5">
        <v>118.5</v>
      </c>
      <c r="F20277" s="5">
        <v>236</v>
      </c>
      <c r="G20277" s="5">
        <v>117.8</v>
      </c>
      <c r="H20277" s="5">
        <v>117.6</v>
      </c>
      <c r="I20277" s="5"/>
      <c r="J20277" s="5"/>
      <c r="K20277" s="5"/>
    </row>
    <row r="20278" spans="1:11" x14ac:dyDescent="0.25">
      <c r="A20278" s="5">
        <f>20271</f>
      </c>
      <c r="B20278" s="5" t="s">
        <v>20286</v>
      </c>
      <c r="C20278" s="5">
        <v>118.3</v>
      </c>
      <c r="D20278" s="5">
        <v>0.1</v>
      </c>
      <c r="E20278" s="5">
        <v>118.5</v>
      </c>
      <c r="F20278" s="5">
        <v>236</v>
      </c>
      <c r="G20278" s="5">
        <v>117.8</v>
      </c>
      <c r="H20278" s="5">
        <v>117.6</v>
      </c>
      <c r="I20278" s="5"/>
      <c r="J20278" s="5"/>
      <c r="K20278" s="5"/>
    </row>
    <row r="20279" spans="1:11" x14ac:dyDescent="0.25">
      <c r="A20279" s="5">
        <f>20272</f>
      </c>
      <c r="B20279" s="5" t="s">
        <v>20287</v>
      </c>
      <c r="C20279" s="5">
        <v>118.3</v>
      </c>
      <c r="D20279" s="5">
        <v>0.1</v>
      </c>
      <c r="E20279" s="5">
        <v>118.5</v>
      </c>
      <c r="F20279" s="5">
        <v>236</v>
      </c>
      <c r="G20279" s="5">
        <v>117.8</v>
      </c>
      <c r="H20279" s="5">
        <v>117.6</v>
      </c>
      <c r="I20279" s="5"/>
      <c r="J20279" s="5"/>
      <c r="K20279" s="5"/>
    </row>
    <row r="20280" spans="1:11" x14ac:dyDescent="0.25">
      <c r="A20280" s="5">
        <f>20273</f>
      </c>
      <c r="B20280" s="5" t="s">
        <v>20288</v>
      </c>
      <c r="C20280" s="5">
        <v>118</v>
      </c>
      <c r="D20280" s="5">
        <v>0.1</v>
      </c>
      <c r="E20280" s="5">
        <v>118.2</v>
      </c>
      <c r="F20280" s="5">
        <v>236.1</v>
      </c>
      <c r="G20280" s="5">
        <v>117.8</v>
      </c>
      <c r="H20280" s="5">
        <v>117.7</v>
      </c>
      <c r="I20280" s="5"/>
      <c r="J20280" s="5"/>
      <c r="K20280" s="5"/>
    </row>
    <row r="20281" spans="1:11" x14ac:dyDescent="0.25">
      <c r="A20281" s="5">
        <f>20274</f>
      </c>
      <c r="B20281" s="5" t="s">
        <v>20289</v>
      </c>
      <c r="C20281" s="5">
        <v>118</v>
      </c>
      <c r="D20281" s="5">
        <v>0.1</v>
      </c>
      <c r="E20281" s="5">
        <v>118.2</v>
      </c>
      <c r="F20281" s="5">
        <v>236.1</v>
      </c>
      <c r="G20281" s="5">
        <v>117.8</v>
      </c>
      <c r="H20281" s="5">
        <v>117.7</v>
      </c>
      <c r="I20281" s="5"/>
      <c r="J20281" s="5"/>
      <c r="K20281" s="5"/>
    </row>
    <row r="20282" spans="1:11" x14ac:dyDescent="0.25">
      <c r="A20282" s="5">
        <f>20275</f>
      </c>
      <c r="B20282" s="5" t="s">
        <v>20290</v>
      </c>
      <c r="C20282" s="5">
        <v>118.6</v>
      </c>
      <c r="D20282" s="5">
        <v>0.1</v>
      </c>
      <c r="E20282" s="5">
        <v>118.8</v>
      </c>
      <c r="F20282" s="5">
        <v>236.7</v>
      </c>
      <c r="G20282" s="5">
        <v>118.1</v>
      </c>
      <c r="H20282" s="5">
        <v>118</v>
      </c>
      <c r="I20282" s="5"/>
      <c r="J20282" s="5"/>
      <c r="K20282" s="5"/>
    </row>
    <row r="20283" spans="1:11" x14ac:dyDescent="0.25">
      <c r="A20283" s="5">
        <f>20276</f>
      </c>
      <c r="B20283" s="5" t="s">
        <v>20291</v>
      </c>
      <c r="C20283" s="5">
        <v>118.6</v>
      </c>
      <c r="D20283" s="5">
        <v>0.1</v>
      </c>
      <c r="E20283" s="5">
        <v>118.8</v>
      </c>
      <c r="F20283" s="5">
        <v>236.7</v>
      </c>
      <c r="G20283" s="5">
        <v>118.1</v>
      </c>
      <c r="H20283" s="5">
        <v>118</v>
      </c>
      <c r="I20283" s="5"/>
      <c r="J20283" s="5"/>
      <c r="K20283" s="5"/>
    </row>
    <row r="20284" spans="1:11" x14ac:dyDescent="0.25">
      <c r="A20284" s="5">
        <f>20277</f>
      </c>
      <c r="B20284" s="5" t="s">
        <v>20292</v>
      </c>
      <c r="C20284" s="5">
        <v>118.4</v>
      </c>
      <c r="D20284" s="5">
        <v>0.1</v>
      </c>
      <c r="E20284" s="5">
        <v>118.6</v>
      </c>
      <c r="F20284" s="5">
        <v>236.5</v>
      </c>
      <c r="G20284" s="5">
        <v>118</v>
      </c>
      <c r="H20284" s="5">
        <v>117.9</v>
      </c>
      <c r="I20284" s="5"/>
      <c r="J20284" s="5"/>
      <c r="K20284" s="5"/>
    </row>
    <row r="20285" spans="1:11" x14ac:dyDescent="0.25">
      <c r="A20285" s="5">
        <f>20278</f>
      </c>
      <c r="B20285" s="5" t="s">
        <v>20293</v>
      </c>
      <c r="C20285" s="5">
        <v>118.4</v>
      </c>
      <c r="D20285" s="5">
        <v>0.1</v>
      </c>
      <c r="E20285" s="5">
        <v>118.6</v>
      </c>
      <c r="F20285" s="5">
        <v>236.5</v>
      </c>
      <c r="G20285" s="5">
        <v>118</v>
      </c>
      <c r="H20285" s="5">
        <v>117.9</v>
      </c>
      <c r="I20285" s="5"/>
      <c r="J20285" s="5"/>
      <c r="K20285" s="5"/>
    </row>
    <row r="20286" spans="1:11" x14ac:dyDescent="0.25">
      <c r="A20286" s="5">
        <f>20279</f>
      </c>
      <c r="B20286" s="5" t="s">
        <v>20294</v>
      </c>
      <c r="C20286" s="5">
        <v>118.2</v>
      </c>
      <c r="D20286" s="5">
        <v>0.1</v>
      </c>
      <c r="E20286" s="5">
        <v>118.4</v>
      </c>
      <c r="F20286" s="5">
        <v>236.3</v>
      </c>
      <c r="G20286" s="5">
        <v>118</v>
      </c>
      <c r="H20286" s="5">
        <v>117.9</v>
      </c>
      <c r="I20286" s="5"/>
      <c r="J20286" s="5"/>
      <c r="K20286" s="5"/>
    </row>
    <row r="20287" spans="1:11" x14ac:dyDescent="0.25">
      <c r="A20287" s="5">
        <f>20280</f>
      </c>
      <c r="B20287" s="5" t="s">
        <v>20295</v>
      </c>
      <c r="C20287" s="5">
        <v>118.2</v>
      </c>
      <c r="D20287" s="5">
        <v>0.1</v>
      </c>
      <c r="E20287" s="5">
        <v>118.4</v>
      </c>
      <c r="F20287" s="5">
        <v>236.3</v>
      </c>
      <c r="G20287" s="5">
        <v>118</v>
      </c>
      <c r="H20287" s="5">
        <v>117.9</v>
      </c>
      <c r="I20287" s="5"/>
      <c r="J20287" s="5"/>
      <c r="K20287" s="5"/>
    </row>
    <row r="20288" spans="1:11" x14ac:dyDescent="0.25">
      <c r="A20288" s="5">
        <f>20281</f>
      </c>
      <c r="B20288" s="5" t="s">
        <v>20296</v>
      </c>
      <c r="C20288" s="5">
        <v>118.2</v>
      </c>
      <c r="D20288" s="5">
        <v>0.1</v>
      </c>
      <c r="E20288" s="5">
        <v>118.4</v>
      </c>
      <c r="F20288" s="5">
        <v>236.3</v>
      </c>
      <c r="G20288" s="5">
        <v>118</v>
      </c>
      <c r="H20288" s="5">
        <v>117.9</v>
      </c>
      <c r="I20288" s="5"/>
      <c r="J20288" s="5"/>
      <c r="K20288" s="5"/>
    </row>
    <row r="20289" spans="1:11" x14ac:dyDescent="0.25">
      <c r="A20289" s="5">
        <f>20282</f>
      </c>
      <c r="B20289" s="5" t="s">
        <v>20297</v>
      </c>
      <c r="C20289" s="5">
        <v>118.2</v>
      </c>
      <c r="D20289" s="5">
        <v>0.1</v>
      </c>
      <c r="E20289" s="5">
        <v>118.4</v>
      </c>
      <c r="F20289" s="5">
        <v>236.3</v>
      </c>
      <c r="G20289" s="5">
        <v>118</v>
      </c>
      <c r="H20289" s="5">
        <v>117.9</v>
      </c>
      <c r="I20289" s="5"/>
      <c r="J20289" s="5"/>
      <c r="K20289" s="5"/>
    </row>
    <row r="20290" spans="1:11" x14ac:dyDescent="0.25">
      <c r="A20290" s="5">
        <f>20283</f>
      </c>
      <c r="B20290" s="5" t="s">
        <v>20298</v>
      </c>
      <c r="C20290" s="5">
        <v>118.1</v>
      </c>
      <c r="D20290" s="5">
        <v>0.1</v>
      </c>
      <c r="E20290" s="5">
        <v>118.3</v>
      </c>
      <c r="F20290" s="5">
        <v>236</v>
      </c>
      <c r="G20290" s="5">
        <v>117.8</v>
      </c>
      <c r="H20290" s="5">
        <v>117.9</v>
      </c>
      <c r="I20290" s="5"/>
      <c r="J20290" s="5"/>
      <c r="K20290" s="5"/>
    </row>
    <row r="20291" spans="1:11" x14ac:dyDescent="0.25">
      <c r="A20291" s="5">
        <f>20284</f>
      </c>
      <c r="B20291" s="5" t="s">
        <v>20299</v>
      </c>
      <c r="C20291" s="5">
        <v>118.1</v>
      </c>
      <c r="D20291" s="5">
        <v>0.1</v>
      </c>
      <c r="E20291" s="5">
        <v>118.3</v>
      </c>
      <c r="F20291" s="5">
        <v>236</v>
      </c>
      <c r="G20291" s="5">
        <v>117.8</v>
      </c>
      <c r="H20291" s="5">
        <v>117.6</v>
      </c>
      <c r="I20291" s="5"/>
      <c r="J20291" s="5"/>
      <c r="K20291" s="5"/>
    </row>
    <row r="20292" spans="1:11" x14ac:dyDescent="0.25">
      <c r="A20292" s="5">
        <f>20285</f>
      </c>
      <c r="B20292" s="5" t="s">
        <v>20300</v>
      </c>
      <c r="C20292" s="5">
        <v>118.3</v>
      </c>
      <c r="D20292" s="5">
        <v>0.1</v>
      </c>
      <c r="E20292" s="5">
        <v>118.4</v>
      </c>
      <c r="F20292" s="5">
        <v>236</v>
      </c>
      <c r="G20292" s="5">
        <v>117.8</v>
      </c>
      <c r="H20292" s="5">
        <v>117.6</v>
      </c>
      <c r="I20292" s="5"/>
      <c r="J20292" s="5"/>
      <c r="K20292" s="5"/>
    </row>
    <row r="20293" spans="1:11" x14ac:dyDescent="0.25">
      <c r="A20293" s="5">
        <f>20286</f>
      </c>
      <c r="B20293" s="5" t="s">
        <v>20301</v>
      </c>
      <c r="C20293" s="5">
        <v>118.3</v>
      </c>
      <c r="D20293" s="5">
        <v>0.1</v>
      </c>
      <c r="E20293" s="5">
        <v>118.4</v>
      </c>
      <c r="F20293" s="5">
        <v>236.3</v>
      </c>
      <c r="G20293" s="5">
        <v>117.9</v>
      </c>
      <c r="H20293" s="5">
        <v>117.7</v>
      </c>
      <c r="I20293" s="5"/>
      <c r="J20293" s="5"/>
      <c r="K20293" s="5"/>
    </row>
    <row r="20294" spans="1:11" x14ac:dyDescent="0.25">
      <c r="A20294" s="5">
        <f>20287</f>
      </c>
      <c r="B20294" s="5" t="s">
        <v>20302</v>
      </c>
      <c r="C20294" s="5">
        <v>118.4</v>
      </c>
      <c r="D20294" s="5">
        <v>0.1</v>
      </c>
      <c r="E20294" s="5">
        <v>118.4</v>
      </c>
      <c r="F20294" s="5">
        <v>236.3</v>
      </c>
      <c r="G20294" s="5">
        <v>117.9</v>
      </c>
      <c r="H20294" s="5">
        <v>117.7</v>
      </c>
      <c r="I20294" s="5"/>
      <c r="J20294" s="5"/>
      <c r="K20294" s="5"/>
    </row>
    <row r="20295" spans="1:11" x14ac:dyDescent="0.25">
      <c r="A20295" s="5">
        <f>20288</f>
      </c>
      <c r="B20295" s="5" t="s">
        <v>20303</v>
      </c>
      <c r="C20295" s="5">
        <v>118.4</v>
      </c>
      <c r="D20295" s="5">
        <v>0.1</v>
      </c>
      <c r="E20295" s="5">
        <v>118.6</v>
      </c>
      <c r="F20295" s="5">
        <v>236.5</v>
      </c>
      <c r="G20295" s="5">
        <v>118</v>
      </c>
      <c r="H20295" s="5">
        <v>117.9</v>
      </c>
      <c r="I20295" s="5"/>
      <c r="J20295" s="5"/>
      <c r="K20295" s="5"/>
    </row>
    <row r="20296" spans="1:11" x14ac:dyDescent="0.25">
      <c r="A20296" s="5">
        <f>20289</f>
      </c>
      <c r="B20296" s="5" t="s">
        <v>20304</v>
      </c>
      <c r="C20296" s="5">
        <v>118.3</v>
      </c>
      <c r="D20296" s="5">
        <v>0.1</v>
      </c>
      <c r="E20296" s="5">
        <v>118.6</v>
      </c>
      <c r="F20296" s="5">
        <v>236.5</v>
      </c>
      <c r="G20296" s="5">
        <v>118</v>
      </c>
      <c r="H20296" s="5">
        <v>117.9</v>
      </c>
      <c r="I20296" s="5"/>
      <c r="J20296" s="5"/>
      <c r="K20296" s="5"/>
    </row>
    <row r="20297" spans="1:11" x14ac:dyDescent="0.25">
      <c r="A20297" s="5">
        <f>20290</f>
      </c>
      <c r="B20297" s="5" t="s">
        <v>20305</v>
      </c>
      <c r="C20297" s="5">
        <v>118.3</v>
      </c>
      <c r="D20297" s="5">
        <v>0.1</v>
      </c>
      <c r="E20297" s="5">
        <v>118.4</v>
      </c>
      <c r="F20297" s="5">
        <v>236.5</v>
      </c>
      <c r="G20297" s="5">
        <v>118</v>
      </c>
      <c r="H20297" s="5">
        <v>117.9</v>
      </c>
      <c r="I20297" s="5"/>
      <c r="J20297" s="5"/>
      <c r="K20297" s="5"/>
    </row>
    <row r="20298" spans="1:11" x14ac:dyDescent="0.25">
      <c r="A20298" s="5">
        <f>20291</f>
      </c>
      <c r="B20298" s="5" t="s">
        <v>20306</v>
      </c>
      <c r="C20298" s="5">
        <v>118.3</v>
      </c>
      <c r="D20298" s="5">
        <v>0.1</v>
      </c>
      <c r="E20298" s="5">
        <v>118.4</v>
      </c>
      <c r="F20298" s="5">
        <v>236.5</v>
      </c>
      <c r="G20298" s="5">
        <v>118</v>
      </c>
      <c r="H20298" s="5">
        <v>117.9</v>
      </c>
      <c r="I20298" s="5"/>
      <c r="J20298" s="5"/>
      <c r="K20298" s="5"/>
    </row>
    <row r="20299" spans="1:11" x14ac:dyDescent="0.25">
      <c r="A20299" s="5">
        <f>20292</f>
      </c>
      <c r="B20299" s="5" t="s">
        <v>20307</v>
      </c>
      <c r="C20299" s="5">
        <v>118.3</v>
      </c>
      <c r="D20299" s="5">
        <v>0.1</v>
      </c>
      <c r="E20299" s="5">
        <v>118.4</v>
      </c>
      <c r="F20299" s="5">
        <v>236.5</v>
      </c>
      <c r="G20299" s="5">
        <v>118</v>
      </c>
      <c r="H20299" s="5">
        <v>117.9</v>
      </c>
      <c r="I20299" s="5"/>
      <c r="J20299" s="5"/>
      <c r="K20299" s="5"/>
    </row>
    <row r="20300" spans="1:11" x14ac:dyDescent="0.25">
      <c r="A20300" s="5">
        <f>20293</f>
      </c>
      <c r="B20300" s="5" t="s">
        <v>20308</v>
      </c>
      <c r="C20300" s="5">
        <v>118.3</v>
      </c>
      <c r="D20300" s="5">
        <v>0.1</v>
      </c>
      <c r="E20300" s="5">
        <v>118.4</v>
      </c>
      <c r="F20300" s="5">
        <v>236.5</v>
      </c>
      <c r="G20300" s="5">
        <v>118</v>
      </c>
      <c r="H20300" s="5">
        <v>117.9</v>
      </c>
      <c r="I20300" s="5"/>
      <c r="J20300" s="5"/>
      <c r="K20300" s="5"/>
    </row>
    <row r="20301" spans="1:11" x14ac:dyDescent="0.25">
      <c r="A20301" s="5">
        <f>20294</f>
      </c>
      <c r="B20301" s="5" t="s">
        <v>20309</v>
      </c>
      <c r="C20301" s="5">
        <v>118.3</v>
      </c>
      <c r="D20301" s="5">
        <v>0.1</v>
      </c>
      <c r="E20301" s="5">
        <v>118.4</v>
      </c>
      <c r="F20301" s="5">
        <v>236.5</v>
      </c>
      <c r="G20301" s="5">
        <v>118</v>
      </c>
      <c r="H20301" s="5">
        <v>117.9</v>
      </c>
      <c r="I20301" s="5"/>
      <c r="J20301" s="5"/>
      <c r="K20301" s="5"/>
    </row>
    <row r="20302" spans="1:11" x14ac:dyDescent="0.25">
      <c r="A20302" s="5">
        <f>20295</f>
      </c>
      <c r="B20302" s="5" t="s">
        <v>20310</v>
      </c>
      <c r="C20302" s="5">
        <v>118.2</v>
      </c>
      <c r="D20302" s="5">
        <v>0.1</v>
      </c>
      <c r="E20302" s="5">
        <v>118.3</v>
      </c>
      <c r="F20302" s="5">
        <v>236.3</v>
      </c>
      <c r="G20302" s="5">
        <v>117.9</v>
      </c>
      <c r="H20302" s="5">
        <v>117.8</v>
      </c>
      <c r="I20302" s="5"/>
      <c r="J20302" s="5"/>
      <c r="K20302" s="5"/>
    </row>
    <row r="20303" spans="1:11" x14ac:dyDescent="0.25">
      <c r="A20303" s="5">
        <f>20296</f>
      </c>
      <c r="B20303" s="5" t="s">
        <v>20311</v>
      </c>
      <c r="C20303" s="5">
        <v>118.2</v>
      </c>
      <c r="D20303" s="5">
        <v>0.1</v>
      </c>
      <c r="E20303" s="5">
        <v>118.3</v>
      </c>
      <c r="F20303" s="5">
        <v>236.3</v>
      </c>
      <c r="G20303" s="5">
        <v>117.9</v>
      </c>
      <c r="H20303" s="5">
        <v>117.8</v>
      </c>
      <c r="I20303" s="5"/>
      <c r="J20303" s="5"/>
      <c r="K20303" s="5"/>
    </row>
    <row r="20304" spans="1:11" x14ac:dyDescent="0.25">
      <c r="A20304" s="5">
        <f>20297</f>
      </c>
      <c r="B20304" s="5" t="s">
        <v>20312</v>
      </c>
      <c r="C20304" s="5">
        <v>118.3</v>
      </c>
      <c r="D20304" s="5">
        <v>0.1</v>
      </c>
      <c r="E20304" s="5">
        <v>118.5</v>
      </c>
      <c r="F20304" s="5">
        <v>236.2</v>
      </c>
      <c r="G20304" s="5">
        <v>117.8</v>
      </c>
      <c r="H20304" s="5">
        <v>117.7</v>
      </c>
      <c r="I20304" s="5"/>
      <c r="J20304" s="5"/>
      <c r="K20304" s="5"/>
    </row>
    <row r="20305" spans="1:11" x14ac:dyDescent="0.25">
      <c r="A20305" s="5">
        <f>20298</f>
      </c>
      <c r="B20305" s="5" t="s">
        <v>20313</v>
      </c>
      <c r="C20305" s="5">
        <v>118.3</v>
      </c>
      <c r="D20305" s="5">
        <v>0.1</v>
      </c>
      <c r="E20305" s="5">
        <v>118.5</v>
      </c>
      <c r="F20305" s="5">
        <v>236.2</v>
      </c>
      <c r="G20305" s="5">
        <v>117.8</v>
      </c>
      <c r="H20305" s="5">
        <v>117.7</v>
      </c>
      <c r="I20305" s="5"/>
      <c r="J20305" s="5"/>
      <c r="K20305" s="5"/>
    </row>
    <row r="20306" spans="1:11" x14ac:dyDescent="0.25">
      <c r="A20306" s="5">
        <f>20299</f>
      </c>
      <c r="B20306" s="5" t="s">
        <v>20314</v>
      </c>
      <c r="C20306" s="5">
        <v>118.3</v>
      </c>
      <c r="D20306" s="5">
        <v>0.1</v>
      </c>
      <c r="E20306" s="5">
        <v>118.6</v>
      </c>
      <c r="F20306" s="5">
        <v>236.6</v>
      </c>
      <c r="G20306" s="5">
        <v>118.1</v>
      </c>
      <c r="H20306" s="5">
        <v>117.8</v>
      </c>
      <c r="I20306" s="5"/>
      <c r="J20306" s="5"/>
      <c r="K20306" s="5"/>
    </row>
    <row r="20307" spans="1:11" x14ac:dyDescent="0.25">
      <c r="A20307" s="5">
        <f>20300</f>
      </c>
      <c r="B20307" s="5" t="s">
        <v>20315</v>
      </c>
      <c r="C20307" s="5">
        <v>118.5</v>
      </c>
      <c r="D20307" s="5">
        <v>0.1</v>
      </c>
      <c r="E20307" s="5">
        <v>118.6</v>
      </c>
      <c r="F20307" s="5">
        <v>236.6</v>
      </c>
      <c r="G20307" s="5">
        <v>118.1</v>
      </c>
      <c r="H20307" s="5">
        <v>117.8</v>
      </c>
      <c r="I20307" s="5"/>
      <c r="J20307" s="5"/>
      <c r="K20307" s="5"/>
    </row>
    <row r="20308" spans="1:11" x14ac:dyDescent="0.25">
      <c r="A20308" s="5">
        <f>20301</f>
      </c>
      <c r="B20308" s="5" t="s">
        <v>20316</v>
      </c>
      <c r="C20308" s="5">
        <v>118.5</v>
      </c>
      <c r="D20308" s="5">
        <v>0.1</v>
      </c>
      <c r="E20308" s="5">
        <v>118.6</v>
      </c>
      <c r="F20308" s="5">
        <v>236.6</v>
      </c>
      <c r="G20308" s="5">
        <v>118.1</v>
      </c>
      <c r="H20308" s="5">
        <v>117.8</v>
      </c>
      <c r="I20308" s="5"/>
      <c r="J20308" s="5"/>
      <c r="K20308" s="5"/>
    </row>
    <row r="20309" spans="1:11" x14ac:dyDescent="0.25">
      <c r="A20309" s="5">
        <f>20302</f>
      </c>
      <c r="B20309" s="5" t="s">
        <v>20317</v>
      </c>
      <c r="C20309" s="5">
        <v>118.5</v>
      </c>
      <c r="D20309" s="5">
        <v>0.1</v>
      </c>
      <c r="E20309" s="5">
        <v>118.6</v>
      </c>
      <c r="F20309" s="5">
        <v>236.6</v>
      </c>
      <c r="G20309" s="5">
        <v>118.1</v>
      </c>
      <c r="H20309" s="5">
        <v>117.8</v>
      </c>
      <c r="I20309" s="5"/>
      <c r="J20309" s="5"/>
      <c r="K20309" s="5"/>
    </row>
    <row r="20310" spans="1:11" x14ac:dyDescent="0.25">
      <c r="A20310" s="5">
        <f>20303</f>
      </c>
      <c r="B20310" s="5" t="s">
        <v>20318</v>
      </c>
      <c r="C20310" s="5">
        <v>118.9</v>
      </c>
      <c r="D20310" s="5">
        <v>0.1</v>
      </c>
      <c r="E20310" s="5">
        <v>119</v>
      </c>
      <c r="F20310" s="5">
        <v>237.8</v>
      </c>
      <c r="G20310" s="5">
        <v>118.7</v>
      </c>
      <c r="H20310" s="5">
        <v>118.5</v>
      </c>
      <c r="I20310" s="5"/>
      <c r="J20310" s="5"/>
      <c r="K20310" s="5"/>
    </row>
    <row r="20311" spans="1:11" x14ac:dyDescent="0.25">
      <c r="A20311" s="5">
        <f>20304</f>
      </c>
      <c r="B20311" s="5" t="s">
        <v>20319</v>
      </c>
      <c r="C20311" s="5">
        <v>118.9</v>
      </c>
      <c r="D20311" s="5">
        <v>0.1</v>
      </c>
      <c r="E20311" s="5">
        <v>119</v>
      </c>
      <c r="F20311" s="5">
        <v>237.8</v>
      </c>
      <c r="G20311" s="5">
        <v>118.7</v>
      </c>
      <c r="H20311" s="5">
        <v>118.5</v>
      </c>
      <c r="I20311" s="5"/>
      <c r="J20311" s="5"/>
      <c r="K20311" s="5"/>
    </row>
    <row r="20312" spans="1:11" x14ac:dyDescent="0.25">
      <c r="A20312" s="5">
        <f>20305</f>
      </c>
      <c r="B20312" s="5" t="s">
        <v>20320</v>
      </c>
      <c r="C20312" s="5">
        <v>119.3</v>
      </c>
      <c r="D20312" s="5">
        <v>0.1</v>
      </c>
      <c r="E20312" s="5">
        <v>119.5</v>
      </c>
      <c r="F20312" s="5">
        <v>237.6</v>
      </c>
      <c r="G20312" s="5">
        <v>118.6</v>
      </c>
      <c r="H20312" s="5">
        <v>118.5</v>
      </c>
      <c r="I20312" s="5"/>
      <c r="J20312" s="5"/>
      <c r="K20312" s="5"/>
    </row>
    <row r="20313" spans="1:11" x14ac:dyDescent="0.25">
      <c r="A20313" s="5">
        <f>20306</f>
      </c>
      <c r="B20313" s="5" t="s">
        <v>20321</v>
      </c>
      <c r="C20313" s="5">
        <v>119.3</v>
      </c>
      <c r="D20313" s="5">
        <v>0.1</v>
      </c>
      <c r="E20313" s="5">
        <v>119.5</v>
      </c>
      <c r="F20313" s="5">
        <v>237.6</v>
      </c>
      <c r="G20313" s="5">
        <v>118.6</v>
      </c>
      <c r="H20313" s="5">
        <v>118.5</v>
      </c>
      <c r="I20313" s="5"/>
      <c r="J20313" s="5"/>
      <c r="K20313" s="5"/>
    </row>
    <row r="20314" spans="1:11" x14ac:dyDescent="0.25">
      <c r="A20314" s="5">
        <f>20307</f>
      </c>
      <c r="B20314" s="5" t="s">
        <v>20322</v>
      </c>
      <c r="C20314" s="5">
        <v>119.2</v>
      </c>
      <c r="D20314" s="5">
        <v>0.1</v>
      </c>
      <c r="E20314" s="5">
        <v>119.4</v>
      </c>
      <c r="F20314" s="5">
        <v>237.6</v>
      </c>
      <c r="G20314" s="5">
        <v>118.6</v>
      </c>
      <c r="H20314" s="5">
        <v>118.5</v>
      </c>
      <c r="I20314" s="5"/>
      <c r="J20314" s="5"/>
      <c r="K20314" s="5"/>
    </row>
    <row r="20315" spans="1:11" x14ac:dyDescent="0.25">
      <c r="A20315" s="5">
        <f>20308</f>
      </c>
      <c r="B20315" s="5" t="s">
        <v>20323</v>
      </c>
      <c r="C20315" s="5">
        <v>119.2</v>
      </c>
      <c r="D20315" s="5">
        <v>0.1</v>
      </c>
      <c r="E20315" s="5">
        <v>119.4</v>
      </c>
      <c r="F20315" s="5">
        <v>237.6</v>
      </c>
      <c r="G20315" s="5">
        <v>118.6</v>
      </c>
      <c r="H20315" s="5">
        <v>118.5</v>
      </c>
      <c r="I20315" s="5"/>
      <c r="J20315" s="5"/>
      <c r="K20315" s="5"/>
    </row>
    <row r="20316" spans="1:11" x14ac:dyDescent="0.25">
      <c r="A20316" s="5">
        <f>20309</f>
      </c>
      <c r="B20316" s="5" t="s">
        <v>20324</v>
      </c>
      <c r="C20316" s="5">
        <v>119.4</v>
      </c>
      <c r="D20316" s="5">
        <v>0.1</v>
      </c>
      <c r="E20316" s="5">
        <v>119.6</v>
      </c>
      <c r="F20316" s="5">
        <v>237.8</v>
      </c>
      <c r="G20316" s="5">
        <v>118.7</v>
      </c>
      <c r="H20316" s="5">
        <v>118.6</v>
      </c>
      <c r="I20316" s="5"/>
      <c r="J20316" s="5"/>
      <c r="K20316" s="5"/>
    </row>
    <row r="20317" spans="1:11" x14ac:dyDescent="0.25">
      <c r="A20317" s="5">
        <f>20310</f>
      </c>
      <c r="B20317" s="5" t="s">
        <v>20325</v>
      </c>
      <c r="C20317" s="5">
        <v>119.4</v>
      </c>
      <c r="D20317" s="5">
        <v>0.1</v>
      </c>
      <c r="E20317" s="5">
        <v>119.6</v>
      </c>
      <c r="F20317" s="5">
        <v>237.8</v>
      </c>
      <c r="G20317" s="5">
        <v>118.7</v>
      </c>
      <c r="H20317" s="5">
        <v>118.6</v>
      </c>
      <c r="I20317" s="5"/>
      <c r="J20317" s="5"/>
      <c r="K20317" s="5"/>
    </row>
    <row r="20318" spans="1:11" x14ac:dyDescent="0.25">
      <c r="A20318" s="5">
        <f>20311</f>
      </c>
      <c r="B20318" s="5" t="s">
        <v>20326</v>
      </c>
      <c r="C20318" s="5">
        <v>119.4</v>
      </c>
      <c r="D20318" s="5">
        <v>0.1</v>
      </c>
      <c r="E20318" s="5">
        <v>119.6</v>
      </c>
      <c r="F20318" s="5">
        <v>237.8</v>
      </c>
      <c r="G20318" s="5">
        <v>118.7</v>
      </c>
      <c r="H20318" s="5">
        <v>118.6</v>
      </c>
      <c r="I20318" s="5"/>
      <c r="J20318" s="5"/>
      <c r="K20318" s="5"/>
    </row>
    <row r="20319" spans="1:11" x14ac:dyDescent="0.25">
      <c r="A20319" s="5">
        <f>20312</f>
      </c>
      <c r="B20319" s="5" t="s">
        <v>20327</v>
      </c>
      <c r="C20319" s="5">
        <v>119.4</v>
      </c>
      <c r="D20319" s="5">
        <v>0.1</v>
      </c>
      <c r="E20319" s="5">
        <v>119.6</v>
      </c>
      <c r="F20319" s="5">
        <v>237.8</v>
      </c>
      <c r="G20319" s="5">
        <v>118.7</v>
      </c>
      <c r="H20319" s="5">
        <v>118.6</v>
      </c>
      <c r="I20319" s="5"/>
      <c r="J20319" s="5"/>
      <c r="K20319" s="5"/>
    </row>
    <row r="20320" spans="1:11" x14ac:dyDescent="0.25">
      <c r="A20320" s="5">
        <f>20313</f>
      </c>
      <c r="B20320" s="5" t="s">
        <v>20328</v>
      </c>
      <c r="C20320" s="5">
        <v>118.7</v>
      </c>
      <c r="D20320" s="5">
        <v>0.1</v>
      </c>
      <c r="E20320" s="5">
        <v>118.9</v>
      </c>
      <c r="F20320" s="5">
        <v>236.2</v>
      </c>
      <c r="G20320" s="5">
        <v>117.9</v>
      </c>
      <c r="H20320" s="5">
        <v>117.7</v>
      </c>
      <c r="I20320" s="5"/>
      <c r="J20320" s="5"/>
      <c r="K20320" s="5"/>
    </row>
    <row r="20321" spans="1:11" x14ac:dyDescent="0.25">
      <c r="A20321" s="5">
        <f>20314</f>
      </c>
      <c r="B20321" s="5" t="s">
        <v>20329</v>
      </c>
      <c r="C20321" s="5">
        <v>118.7</v>
      </c>
      <c r="D20321" s="5">
        <v>0.1</v>
      </c>
      <c r="E20321" s="5">
        <v>118.9</v>
      </c>
      <c r="F20321" s="5">
        <v>236.2</v>
      </c>
      <c r="G20321" s="5">
        <v>117.9</v>
      </c>
      <c r="H20321" s="5">
        <v>117.7</v>
      </c>
      <c r="I20321" s="5"/>
      <c r="J20321" s="5"/>
      <c r="K20321" s="5"/>
    </row>
    <row r="20322" spans="1:11" x14ac:dyDescent="0.25">
      <c r="A20322" s="5">
        <f>20315</f>
      </c>
      <c r="B20322" s="5" t="s">
        <v>20330</v>
      </c>
      <c r="C20322" s="5">
        <v>118.8</v>
      </c>
      <c r="D20322" s="5">
        <v>0.1</v>
      </c>
      <c r="E20322" s="5">
        <v>119</v>
      </c>
      <c r="F20322" s="5">
        <v>236.8</v>
      </c>
      <c r="G20322" s="5">
        <v>117.8</v>
      </c>
      <c r="H20322" s="5">
        <v>117.6</v>
      </c>
      <c r="I20322" s="5"/>
      <c r="J20322" s="5"/>
      <c r="K20322" s="5"/>
    </row>
    <row r="20323" spans="1:11" x14ac:dyDescent="0.25">
      <c r="A20323" s="5">
        <f>20316</f>
      </c>
      <c r="B20323" s="5" t="s">
        <v>20331</v>
      </c>
      <c r="C20323" s="5">
        <v>118.8</v>
      </c>
      <c r="D20323" s="5">
        <v>0.1</v>
      </c>
      <c r="E20323" s="5">
        <v>119</v>
      </c>
      <c r="F20323" s="5">
        <v>236.8</v>
      </c>
      <c r="G20323" s="5">
        <v>117.8</v>
      </c>
      <c r="H20323" s="5">
        <v>117.6</v>
      </c>
      <c r="I20323" s="5"/>
      <c r="J20323" s="5"/>
      <c r="K20323" s="5"/>
    </row>
    <row r="20324" spans="1:11" x14ac:dyDescent="0.25">
      <c r="A20324" s="5">
        <f>20317</f>
      </c>
      <c r="B20324" s="5" t="s">
        <v>20332</v>
      </c>
      <c r="C20324" s="5">
        <v>119.1</v>
      </c>
      <c r="D20324" s="5">
        <v>0.1</v>
      </c>
      <c r="E20324" s="5">
        <v>119.3</v>
      </c>
      <c r="F20324" s="5">
        <v>237.9</v>
      </c>
      <c r="G20324" s="5">
        <v>118.7</v>
      </c>
      <c r="H20324" s="5">
        <v>118.4</v>
      </c>
      <c r="I20324" s="5"/>
      <c r="J20324" s="5"/>
      <c r="K20324" s="5"/>
    </row>
    <row r="20325" spans="1:11" x14ac:dyDescent="0.25">
      <c r="A20325" s="5">
        <f>20318</f>
      </c>
      <c r="B20325" s="5" t="s">
        <v>20333</v>
      </c>
      <c r="C20325" s="5">
        <v>119.1</v>
      </c>
      <c r="D20325" s="5">
        <v>0.1</v>
      </c>
      <c r="E20325" s="5">
        <v>119.3</v>
      </c>
      <c r="F20325" s="5">
        <v>237.9</v>
      </c>
      <c r="G20325" s="5">
        <v>118.7</v>
      </c>
      <c r="H20325" s="5">
        <v>118.4</v>
      </c>
      <c r="I20325" s="5"/>
      <c r="J20325" s="5"/>
      <c r="K20325" s="5"/>
    </row>
    <row r="20326" spans="1:11" x14ac:dyDescent="0.25">
      <c r="A20326" s="5">
        <f>20319</f>
      </c>
      <c r="B20326" s="5" t="s">
        <v>20334</v>
      </c>
      <c r="C20326" s="5">
        <v>119</v>
      </c>
      <c r="D20326" s="5">
        <v>0.1</v>
      </c>
      <c r="E20326" s="5">
        <v>119.1</v>
      </c>
      <c r="F20326" s="5">
        <v>237.9</v>
      </c>
      <c r="G20326" s="5">
        <v>118.8</v>
      </c>
      <c r="H20326" s="5">
        <v>118.6</v>
      </c>
      <c r="I20326" s="5"/>
      <c r="J20326" s="5"/>
      <c r="K20326" s="5"/>
    </row>
    <row r="20327" spans="1:11" x14ac:dyDescent="0.25">
      <c r="A20327" s="5">
        <f>20320</f>
      </c>
      <c r="B20327" s="5" t="s">
        <v>20335</v>
      </c>
      <c r="C20327" s="5">
        <v>119</v>
      </c>
      <c r="D20327" s="5">
        <v>0.1</v>
      </c>
      <c r="E20327" s="5">
        <v>119.1</v>
      </c>
      <c r="F20327" s="5">
        <v>237.9</v>
      </c>
      <c r="G20327" s="5">
        <v>118.8</v>
      </c>
      <c r="H20327" s="5">
        <v>118.6</v>
      </c>
      <c r="I20327" s="5"/>
      <c r="J20327" s="5"/>
      <c r="K20327" s="5"/>
    </row>
    <row r="20328" spans="1:11" x14ac:dyDescent="0.25">
      <c r="A20328" s="5">
        <f>20321</f>
      </c>
      <c r="B20328" s="5" t="s">
        <v>20336</v>
      </c>
      <c r="C20328" s="5">
        <v>119</v>
      </c>
      <c r="D20328" s="5">
        <v>0.1</v>
      </c>
      <c r="E20328" s="5">
        <v>119.1</v>
      </c>
      <c r="F20328" s="5">
        <v>237.9</v>
      </c>
      <c r="G20328" s="5">
        <v>118.8</v>
      </c>
      <c r="H20328" s="5">
        <v>118.6</v>
      </c>
      <c r="I20328" s="5"/>
      <c r="J20328" s="5"/>
      <c r="K20328" s="5"/>
    </row>
    <row r="20329" spans="1:11" x14ac:dyDescent="0.25">
      <c r="A20329" s="5">
        <f>20322</f>
      </c>
      <c r="B20329" s="5" t="s">
        <v>20337</v>
      </c>
      <c r="C20329" s="5">
        <v>119</v>
      </c>
      <c r="D20329" s="5">
        <v>0.1</v>
      </c>
      <c r="E20329" s="5">
        <v>119.1</v>
      </c>
      <c r="F20329" s="5">
        <v>237.9</v>
      </c>
      <c r="G20329" s="5">
        <v>118.8</v>
      </c>
      <c r="H20329" s="5">
        <v>118.6</v>
      </c>
      <c r="I20329" s="5"/>
      <c r="J20329" s="5"/>
      <c r="K20329" s="5"/>
    </row>
    <row r="20330" spans="1:11" x14ac:dyDescent="0.25">
      <c r="A20330" s="5">
        <f>20323</f>
      </c>
      <c r="B20330" s="5" t="s">
        <v>20338</v>
      </c>
      <c r="C20330" s="5">
        <v>119</v>
      </c>
      <c r="D20330" s="5">
        <v>0.1</v>
      </c>
      <c r="E20330" s="5">
        <v>119.3</v>
      </c>
      <c r="F20330" s="5">
        <v>237.5</v>
      </c>
      <c r="G20330" s="5">
        <v>118.5</v>
      </c>
      <c r="H20330" s="5">
        <v>118.3</v>
      </c>
      <c r="I20330" s="5"/>
      <c r="J20330" s="5"/>
      <c r="K20330" s="5"/>
    </row>
    <row r="20331" spans="1:11" x14ac:dyDescent="0.25">
      <c r="A20331" s="5">
        <f>20324</f>
      </c>
      <c r="B20331" s="5" t="s">
        <v>20339</v>
      </c>
      <c r="C20331" s="5">
        <v>119</v>
      </c>
      <c r="D20331" s="5">
        <v>0.1</v>
      </c>
      <c r="E20331" s="5">
        <v>119.3</v>
      </c>
      <c r="F20331" s="5">
        <v>237.5</v>
      </c>
      <c r="G20331" s="5">
        <v>118.5</v>
      </c>
      <c r="H20331" s="5">
        <v>118.3</v>
      </c>
      <c r="I20331" s="5"/>
      <c r="J20331" s="5"/>
      <c r="K20331" s="5"/>
    </row>
    <row r="20332" spans="1:11" x14ac:dyDescent="0.25">
      <c r="A20332" s="5">
        <f>20325</f>
      </c>
      <c r="B20332" s="5" t="s">
        <v>20340</v>
      </c>
      <c r="C20332" s="5">
        <v>119.2</v>
      </c>
      <c r="D20332" s="5">
        <v>0.1</v>
      </c>
      <c r="E20332" s="5">
        <v>119.4</v>
      </c>
      <c r="F20332" s="5">
        <v>238</v>
      </c>
      <c r="G20332" s="5">
        <v>118.7</v>
      </c>
      <c r="H20332" s="5">
        <v>118.6</v>
      </c>
      <c r="I20332" s="5"/>
      <c r="J20332" s="5"/>
      <c r="K20332" s="5"/>
    </row>
    <row r="20333" spans="1:11" x14ac:dyDescent="0.25">
      <c r="A20333" s="5">
        <f>20326</f>
      </c>
      <c r="B20333" s="5" t="s">
        <v>20341</v>
      </c>
      <c r="C20333" s="5">
        <v>119.2</v>
      </c>
      <c r="D20333" s="5">
        <v>0.1</v>
      </c>
      <c r="E20333" s="5">
        <v>119.4</v>
      </c>
      <c r="F20333" s="5">
        <v>238</v>
      </c>
      <c r="G20333" s="5">
        <v>118.7</v>
      </c>
      <c r="H20333" s="5">
        <v>118.6</v>
      </c>
      <c r="I20333" s="5"/>
      <c r="J20333" s="5"/>
      <c r="K20333" s="5"/>
    </row>
    <row r="20334" spans="1:11" x14ac:dyDescent="0.25">
      <c r="A20334" s="5">
        <f>20327</f>
      </c>
      <c r="B20334" s="5" t="s">
        <v>20342</v>
      </c>
      <c r="C20334" s="5">
        <v>119.9</v>
      </c>
      <c r="D20334" s="5">
        <v>0.1</v>
      </c>
      <c r="E20334" s="5">
        <v>120.1</v>
      </c>
      <c r="F20334" s="5">
        <v>237.7</v>
      </c>
      <c r="G20334" s="5">
        <v>118.7</v>
      </c>
      <c r="H20334" s="5">
        <v>118.5</v>
      </c>
      <c r="I20334" s="5"/>
      <c r="J20334" s="5"/>
      <c r="K20334" s="5"/>
    </row>
    <row r="20335" spans="1:11" x14ac:dyDescent="0.25">
      <c r="A20335" s="5">
        <f>20328</f>
      </c>
      <c r="B20335" s="5" t="s">
        <v>20343</v>
      </c>
      <c r="C20335" s="5">
        <v>119.9</v>
      </c>
      <c r="D20335" s="5">
        <v>0.1</v>
      </c>
      <c r="E20335" s="5">
        <v>120.1</v>
      </c>
      <c r="F20335" s="5">
        <v>237.7</v>
      </c>
      <c r="G20335" s="5">
        <v>118.7</v>
      </c>
      <c r="H20335" s="5">
        <v>118.5</v>
      </c>
      <c r="I20335" s="5"/>
      <c r="J20335" s="5"/>
      <c r="K20335" s="5"/>
    </row>
    <row r="20336" spans="1:11" x14ac:dyDescent="0.25">
      <c r="A20336" s="5">
        <f>20329</f>
      </c>
      <c r="B20336" s="5" t="s">
        <v>20344</v>
      </c>
      <c r="C20336" s="5">
        <v>120</v>
      </c>
      <c r="D20336" s="5">
        <v>0.1</v>
      </c>
      <c r="E20336" s="5">
        <v>120.2</v>
      </c>
      <c r="F20336" s="5">
        <v>237.5</v>
      </c>
      <c r="G20336" s="5">
        <v>118.6</v>
      </c>
      <c r="H20336" s="5">
        <v>118.5</v>
      </c>
      <c r="I20336" s="5"/>
      <c r="J20336" s="5"/>
      <c r="K20336" s="5"/>
    </row>
    <row r="20337" spans="1:11" x14ac:dyDescent="0.25">
      <c r="A20337" s="5">
        <f>20330</f>
      </c>
      <c r="B20337" s="5" t="s">
        <v>20345</v>
      </c>
      <c r="C20337" s="5">
        <v>120</v>
      </c>
      <c r="D20337" s="5">
        <v>0.1</v>
      </c>
      <c r="E20337" s="5">
        <v>120.2</v>
      </c>
      <c r="F20337" s="5">
        <v>237.5</v>
      </c>
      <c r="G20337" s="5">
        <v>118.6</v>
      </c>
      <c r="H20337" s="5">
        <v>118.5</v>
      </c>
      <c r="I20337" s="5"/>
      <c r="J20337" s="5"/>
      <c r="K20337" s="5"/>
    </row>
    <row r="20338" spans="1:11" x14ac:dyDescent="0.25">
      <c r="A20338" s="5">
        <f>20331</f>
      </c>
      <c r="B20338" s="5" t="s">
        <v>20346</v>
      </c>
      <c r="C20338" s="5">
        <v>120</v>
      </c>
      <c r="D20338" s="5">
        <v>0.1</v>
      </c>
      <c r="E20338" s="5">
        <v>120.2</v>
      </c>
      <c r="F20338" s="5">
        <v>237.5</v>
      </c>
      <c r="G20338" s="5">
        <v>118.6</v>
      </c>
      <c r="H20338" s="5">
        <v>118.5</v>
      </c>
      <c r="I20338" s="5"/>
      <c r="J20338" s="5"/>
      <c r="K20338" s="5"/>
    </row>
    <row r="20339" spans="1:11" x14ac:dyDescent="0.25">
      <c r="A20339" s="5">
        <f>20332</f>
      </c>
      <c r="B20339" s="5" t="s">
        <v>20347</v>
      </c>
      <c r="C20339" s="5">
        <v>120</v>
      </c>
      <c r="D20339" s="5">
        <v>0.1</v>
      </c>
      <c r="E20339" s="5">
        <v>120.2</v>
      </c>
      <c r="F20339" s="5">
        <v>237.5</v>
      </c>
      <c r="G20339" s="5">
        <v>118.6</v>
      </c>
      <c r="H20339" s="5">
        <v>118.5</v>
      </c>
      <c r="I20339" s="5"/>
      <c r="J20339" s="5"/>
      <c r="K20339" s="5"/>
    </row>
    <row r="20340" spans="1:11" x14ac:dyDescent="0.25">
      <c r="A20340" s="5">
        <f>20333</f>
      </c>
      <c r="B20340" s="5" t="s">
        <v>20348</v>
      </c>
      <c r="C20340" s="5">
        <v>118.6</v>
      </c>
      <c r="D20340" s="5">
        <v>0.1</v>
      </c>
      <c r="E20340" s="5">
        <v>118.8</v>
      </c>
      <c r="F20340" s="5">
        <v>237.1</v>
      </c>
      <c r="G20340" s="5">
        <v>118.3</v>
      </c>
      <c r="H20340" s="5">
        <v>118.2</v>
      </c>
      <c r="I20340" s="5"/>
      <c r="J20340" s="5"/>
      <c r="K20340" s="5"/>
    </row>
    <row r="20341" spans="1:11" x14ac:dyDescent="0.25">
      <c r="A20341" s="5">
        <f>20334</f>
      </c>
      <c r="B20341" s="5" t="s">
        <v>20349</v>
      </c>
      <c r="C20341" s="5">
        <v>118.6</v>
      </c>
      <c r="D20341" s="5">
        <v>0.1</v>
      </c>
      <c r="E20341" s="5">
        <v>118.8</v>
      </c>
      <c r="F20341" s="5">
        <v>237.1</v>
      </c>
      <c r="G20341" s="5">
        <v>118.3</v>
      </c>
      <c r="H20341" s="5">
        <v>118.2</v>
      </c>
      <c r="I20341" s="5"/>
      <c r="J20341" s="5"/>
      <c r="K20341" s="5"/>
    </row>
    <row r="20342" spans="1:11" x14ac:dyDescent="0.25">
      <c r="A20342" s="5">
        <f>20335</f>
      </c>
      <c r="B20342" s="5" t="s">
        <v>20350</v>
      </c>
      <c r="C20342" s="5">
        <v>118.4</v>
      </c>
      <c r="D20342" s="5">
        <v>0.1</v>
      </c>
      <c r="E20342" s="5">
        <v>118.6</v>
      </c>
      <c r="F20342" s="5">
        <v>237.7</v>
      </c>
      <c r="G20342" s="5">
        <v>118.5</v>
      </c>
      <c r="H20342" s="5">
        <v>118.3</v>
      </c>
      <c r="I20342" s="5"/>
      <c r="J20342" s="5"/>
      <c r="K20342" s="5"/>
    </row>
    <row r="20343" spans="1:11" x14ac:dyDescent="0.25">
      <c r="A20343" s="5">
        <f>20336</f>
      </c>
      <c r="B20343" s="5" t="s">
        <v>20351</v>
      </c>
      <c r="C20343" s="5">
        <v>118.4</v>
      </c>
      <c r="D20343" s="5">
        <v>0.1</v>
      </c>
      <c r="E20343" s="5">
        <v>118.6</v>
      </c>
      <c r="F20343" s="5">
        <v>237.7</v>
      </c>
      <c r="G20343" s="5">
        <v>118.5</v>
      </c>
      <c r="H20343" s="5">
        <v>118.3</v>
      </c>
      <c r="I20343" s="5"/>
      <c r="J20343" s="5"/>
      <c r="K20343" s="5"/>
    </row>
    <row r="20344" spans="1:11" x14ac:dyDescent="0.25">
      <c r="A20344" s="5">
        <f>20337</f>
      </c>
      <c r="B20344" s="5" t="s">
        <v>20352</v>
      </c>
      <c r="C20344" s="5">
        <v>118.3</v>
      </c>
      <c r="D20344" s="5">
        <v>0.1</v>
      </c>
      <c r="E20344" s="5">
        <v>118.5</v>
      </c>
      <c r="F20344" s="5">
        <v>236.9</v>
      </c>
      <c r="G20344" s="5">
        <v>118.2</v>
      </c>
      <c r="H20344" s="5">
        <v>118</v>
      </c>
      <c r="I20344" s="5"/>
      <c r="J20344" s="5"/>
      <c r="K20344" s="5"/>
    </row>
    <row r="20345" spans="1:11" x14ac:dyDescent="0.25">
      <c r="A20345" s="5">
        <f>20338</f>
      </c>
      <c r="B20345" s="5" t="s">
        <v>20353</v>
      </c>
      <c r="C20345" s="5">
        <v>118.3</v>
      </c>
      <c r="D20345" s="5">
        <v>0.1</v>
      </c>
      <c r="E20345" s="5">
        <v>118.5</v>
      </c>
      <c r="F20345" s="5">
        <v>236.9</v>
      </c>
      <c r="G20345" s="5">
        <v>118.2</v>
      </c>
      <c r="H20345" s="5">
        <v>118</v>
      </c>
      <c r="I20345" s="5"/>
      <c r="J20345" s="5"/>
      <c r="K20345" s="5"/>
    </row>
    <row r="20346" spans="1:11" x14ac:dyDescent="0.25">
      <c r="A20346" s="5">
        <f>20339</f>
      </c>
      <c r="B20346" s="5" t="s">
        <v>20354</v>
      </c>
      <c r="C20346" s="5">
        <v>118.6</v>
      </c>
      <c r="D20346" s="5">
        <v>0.1</v>
      </c>
      <c r="E20346" s="5">
        <v>118.7</v>
      </c>
      <c r="F20346" s="5">
        <v>237.2</v>
      </c>
      <c r="G20346" s="5">
        <v>118.4</v>
      </c>
      <c r="H20346" s="5">
        <v>118.2</v>
      </c>
      <c r="I20346" s="5"/>
      <c r="J20346" s="5"/>
      <c r="K20346" s="5"/>
    </row>
    <row r="20347" spans="1:11" x14ac:dyDescent="0.25">
      <c r="A20347" s="5">
        <f>20340</f>
      </c>
      <c r="B20347" s="5" t="s">
        <v>20355</v>
      </c>
      <c r="C20347" s="5">
        <v>118.6</v>
      </c>
      <c r="D20347" s="5">
        <v>0.1</v>
      </c>
      <c r="E20347" s="5">
        <v>118.7</v>
      </c>
      <c r="F20347" s="5">
        <v>237.2</v>
      </c>
      <c r="G20347" s="5">
        <v>118.4</v>
      </c>
      <c r="H20347" s="5">
        <v>118.2</v>
      </c>
      <c r="I20347" s="5"/>
      <c r="J20347" s="5"/>
      <c r="K20347" s="5"/>
    </row>
    <row r="20348" spans="1:11" x14ac:dyDescent="0.25">
      <c r="A20348" s="5">
        <f>20341</f>
      </c>
      <c r="B20348" s="5" t="s">
        <v>20356</v>
      </c>
      <c r="C20348" s="5">
        <v>118.6</v>
      </c>
      <c r="D20348" s="5">
        <v>0.1</v>
      </c>
      <c r="E20348" s="5">
        <v>118.7</v>
      </c>
      <c r="F20348" s="5">
        <v>237.2</v>
      </c>
      <c r="G20348" s="5">
        <v>118.4</v>
      </c>
      <c r="H20348" s="5">
        <v>118.2</v>
      </c>
      <c r="I20348" s="5"/>
      <c r="J20348" s="5"/>
      <c r="K20348" s="5"/>
    </row>
    <row r="20349" spans="1:11" x14ac:dyDescent="0.25">
      <c r="A20349" s="5">
        <f>20342</f>
      </c>
      <c r="B20349" s="5" t="s">
        <v>20357</v>
      </c>
      <c r="C20349" s="5">
        <v>118.6</v>
      </c>
      <c r="D20349" s="5">
        <v>0.1</v>
      </c>
      <c r="E20349" s="5">
        <v>118.7</v>
      </c>
      <c r="F20349" s="5">
        <v>237.2</v>
      </c>
      <c r="G20349" s="5">
        <v>118.4</v>
      </c>
      <c r="H20349" s="5">
        <v>118.2</v>
      </c>
      <c r="I20349" s="5"/>
      <c r="J20349" s="5"/>
      <c r="K20349" s="5"/>
    </row>
    <row r="20350" spans="1:11" x14ac:dyDescent="0.25">
      <c r="A20350" s="5">
        <f>20343</f>
      </c>
      <c r="B20350" s="5" t="s">
        <v>20358</v>
      </c>
      <c r="C20350" s="5">
        <v>119</v>
      </c>
      <c r="D20350" s="5">
        <v>0.1</v>
      </c>
      <c r="E20350" s="5">
        <v>119.1</v>
      </c>
      <c r="F20350" s="5">
        <v>237</v>
      </c>
      <c r="G20350" s="5">
        <v>118.3</v>
      </c>
      <c r="H20350" s="5">
        <v>118.1</v>
      </c>
      <c r="I20350" s="5"/>
      <c r="J20350" s="5"/>
      <c r="K20350" s="5"/>
    </row>
    <row r="20351" spans="1:11" x14ac:dyDescent="0.25">
      <c r="A20351" s="5">
        <f>20344</f>
      </c>
      <c r="B20351" s="5" t="s">
        <v>20359</v>
      </c>
      <c r="C20351" s="5">
        <v>119</v>
      </c>
      <c r="D20351" s="5">
        <v>0.1</v>
      </c>
      <c r="E20351" s="5">
        <v>119.1</v>
      </c>
      <c r="F20351" s="5">
        <v>237</v>
      </c>
      <c r="G20351" s="5">
        <v>118.3</v>
      </c>
      <c r="H20351" s="5">
        <v>118.1</v>
      </c>
      <c r="I20351" s="5"/>
      <c r="J20351" s="5"/>
      <c r="K20351" s="5"/>
    </row>
    <row r="20352" spans="1:11" x14ac:dyDescent="0.25">
      <c r="A20352" s="5">
        <f>20345</f>
      </c>
      <c r="B20352" s="5" t="s">
        <v>20360</v>
      </c>
      <c r="C20352" s="5">
        <v>118.6</v>
      </c>
      <c r="D20352" s="5">
        <v>0.1</v>
      </c>
      <c r="E20352" s="5">
        <v>118.8</v>
      </c>
      <c r="F20352" s="5">
        <v>236.7</v>
      </c>
      <c r="G20352" s="5">
        <v>118.1</v>
      </c>
      <c r="H20352" s="5">
        <v>118</v>
      </c>
      <c r="I20352" s="5"/>
      <c r="J20352" s="5"/>
      <c r="K20352" s="5"/>
    </row>
    <row r="20353" spans="1:11" x14ac:dyDescent="0.25">
      <c r="A20353" s="5">
        <f>20346</f>
      </c>
      <c r="B20353" s="5" t="s">
        <v>20361</v>
      </c>
      <c r="C20353" s="5">
        <v>118.6</v>
      </c>
      <c r="D20353" s="5">
        <v>0.1</v>
      </c>
      <c r="E20353" s="5">
        <v>118.8</v>
      </c>
      <c r="F20353" s="5">
        <v>236.7</v>
      </c>
      <c r="G20353" s="5">
        <v>118.1</v>
      </c>
      <c r="H20353" s="5">
        <v>118</v>
      </c>
      <c r="I20353" s="5"/>
      <c r="J20353" s="5"/>
      <c r="K20353" s="5"/>
    </row>
    <row r="20354" spans="1:11" x14ac:dyDescent="0.25">
      <c r="A20354" s="5">
        <f>20347</f>
      </c>
      <c r="B20354" s="5" t="s">
        <v>20362</v>
      </c>
      <c r="C20354" s="5">
        <v>118.6</v>
      </c>
      <c r="D20354" s="5">
        <v>0.1</v>
      </c>
      <c r="E20354" s="5">
        <v>118.8</v>
      </c>
      <c r="F20354" s="5">
        <v>236.7</v>
      </c>
      <c r="G20354" s="5">
        <v>118.1</v>
      </c>
      <c r="H20354" s="5">
        <v>117.9</v>
      </c>
      <c r="I20354" s="5"/>
      <c r="J20354" s="5"/>
      <c r="K20354" s="5"/>
    </row>
    <row r="20355" spans="1:11" x14ac:dyDescent="0.25">
      <c r="A20355" s="5">
        <f>20348</f>
      </c>
      <c r="B20355" s="5" t="s">
        <v>20363</v>
      </c>
      <c r="C20355" s="5">
        <v>118.6</v>
      </c>
      <c r="D20355" s="5">
        <v>0.1</v>
      </c>
      <c r="E20355" s="5">
        <v>118.8</v>
      </c>
      <c r="F20355" s="5">
        <v>236.7</v>
      </c>
      <c r="G20355" s="5">
        <v>118.1</v>
      </c>
      <c r="H20355" s="5">
        <v>117.9</v>
      </c>
      <c r="I20355" s="5"/>
      <c r="J20355" s="5"/>
      <c r="K20355" s="5"/>
    </row>
    <row r="20356" spans="1:11" x14ac:dyDescent="0.25">
      <c r="A20356" s="5">
        <f>20349</f>
      </c>
      <c r="B20356" s="5" t="s">
        <v>20364</v>
      </c>
      <c r="C20356" s="5">
        <v>118.7</v>
      </c>
      <c r="D20356" s="5">
        <v>0.1</v>
      </c>
      <c r="E20356" s="5">
        <v>118.9</v>
      </c>
      <c r="F20356" s="5">
        <v>236.3</v>
      </c>
      <c r="G20356" s="5">
        <v>117.9</v>
      </c>
      <c r="H20356" s="5">
        <v>117.7</v>
      </c>
      <c r="I20356" s="5"/>
      <c r="J20356" s="5"/>
      <c r="K20356" s="5"/>
    </row>
    <row r="20357" spans="1:11" x14ac:dyDescent="0.25">
      <c r="A20357" s="5">
        <f>20350</f>
      </c>
      <c r="B20357" s="5" t="s">
        <v>20365</v>
      </c>
      <c r="C20357" s="5">
        <v>118.7</v>
      </c>
      <c r="D20357" s="5">
        <v>0.1</v>
      </c>
      <c r="E20357" s="5">
        <v>118.9</v>
      </c>
      <c r="F20357" s="5">
        <v>236.3</v>
      </c>
      <c r="G20357" s="5">
        <v>117.9</v>
      </c>
      <c r="H20357" s="5">
        <v>117.7</v>
      </c>
      <c r="I20357" s="5"/>
      <c r="J20357" s="5"/>
      <c r="K20357" s="5"/>
    </row>
    <row r="20358" spans="1:11" x14ac:dyDescent="0.25">
      <c r="A20358" s="5">
        <f>20351</f>
      </c>
      <c r="B20358" s="5" t="s">
        <v>20366</v>
      </c>
      <c r="C20358" s="5">
        <v>118.7</v>
      </c>
      <c r="D20358" s="5">
        <v>0.1</v>
      </c>
      <c r="E20358" s="5">
        <v>118.9</v>
      </c>
      <c r="F20358" s="5">
        <v>236.3</v>
      </c>
      <c r="G20358" s="5">
        <v>117.9</v>
      </c>
      <c r="H20358" s="5">
        <v>117.7</v>
      </c>
      <c r="I20358" s="5"/>
      <c r="J20358" s="5"/>
      <c r="K20358" s="5"/>
    </row>
    <row r="20359" spans="1:11" x14ac:dyDescent="0.25">
      <c r="A20359" s="5">
        <f>20352</f>
      </c>
      <c r="B20359" s="5" t="s">
        <v>20367</v>
      </c>
      <c r="C20359" s="5">
        <v>118.7</v>
      </c>
      <c r="D20359" s="5">
        <v>0.1</v>
      </c>
      <c r="E20359" s="5">
        <v>118.9</v>
      </c>
      <c r="F20359" s="5">
        <v>236.3</v>
      </c>
      <c r="G20359" s="5">
        <v>117.9</v>
      </c>
      <c r="H20359" s="5">
        <v>117.7</v>
      </c>
      <c r="I20359" s="5"/>
      <c r="J20359" s="5"/>
      <c r="K20359" s="5"/>
    </row>
    <row r="20360" spans="1:11" x14ac:dyDescent="0.25">
      <c r="A20360" s="5">
        <f>20353</f>
      </c>
      <c r="B20360" s="5" t="s">
        <v>20368</v>
      </c>
      <c r="C20360" s="5">
        <v>118.7</v>
      </c>
      <c r="D20360" s="5">
        <v>0.1</v>
      </c>
      <c r="E20360" s="5">
        <v>119</v>
      </c>
      <c r="F20360" s="5">
        <v>236.7</v>
      </c>
      <c r="G20360" s="5">
        <v>118.2</v>
      </c>
      <c r="H20360" s="5">
        <v>118</v>
      </c>
      <c r="I20360" s="5"/>
      <c r="J20360" s="5"/>
      <c r="K20360" s="5"/>
    </row>
    <row r="20361" spans="1:11" x14ac:dyDescent="0.25">
      <c r="A20361" s="5">
        <f>20354</f>
      </c>
      <c r="B20361" s="5" t="s">
        <v>20369</v>
      </c>
      <c r="C20361" s="5">
        <v>118.7</v>
      </c>
      <c r="D20361" s="5">
        <v>0.1</v>
      </c>
      <c r="E20361" s="5">
        <v>119</v>
      </c>
      <c r="F20361" s="5">
        <v>236.7</v>
      </c>
      <c r="G20361" s="5">
        <v>118.2</v>
      </c>
      <c r="H20361" s="5">
        <v>118</v>
      </c>
      <c r="I20361" s="5"/>
      <c r="J20361" s="5"/>
      <c r="K20361" s="5"/>
    </row>
    <row r="20362" spans="1:11" x14ac:dyDescent="0.25">
      <c r="A20362" s="5">
        <f>20355</f>
      </c>
      <c r="B20362" s="5" t="s">
        <v>20370</v>
      </c>
      <c r="C20362" s="5">
        <v>118.4</v>
      </c>
      <c r="D20362" s="5">
        <v>0.1</v>
      </c>
      <c r="E20362" s="5">
        <v>118.6</v>
      </c>
      <c r="F20362" s="5">
        <v>236.7</v>
      </c>
      <c r="G20362" s="5">
        <v>118.1</v>
      </c>
      <c r="H20362" s="5">
        <v>117.9</v>
      </c>
      <c r="I20362" s="5"/>
      <c r="J20362" s="5"/>
      <c r="K20362" s="5"/>
    </row>
    <row r="20363" spans="1:11" x14ac:dyDescent="0.25">
      <c r="A20363" s="5">
        <f>20356</f>
      </c>
      <c r="B20363" s="5" t="s">
        <v>20371</v>
      </c>
      <c r="C20363" s="5">
        <v>118.4</v>
      </c>
      <c r="D20363" s="5">
        <v>0.1</v>
      </c>
      <c r="E20363" s="5">
        <v>118.6</v>
      </c>
      <c r="F20363" s="5">
        <v>236.7</v>
      </c>
      <c r="G20363" s="5">
        <v>118.1</v>
      </c>
      <c r="H20363" s="5">
        <v>117.9</v>
      </c>
      <c r="I20363" s="5"/>
      <c r="J20363" s="5"/>
      <c r="K20363" s="5"/>
    </row>
    <row r="20364" spans="1:11" x14ac:dyDescent="0.25">
      <c r="A20364" s="5">
        <f>20357</f>
      </c>
      <c r="B20364" s="5" t="s">
        <v>20372</v>
      </c>
      <c r="C20364" s="5">
        <v>118.3</v>
      </c>
      <c r="D20364" s="5">
        <v>0.1</v>
      </c>
      <c r="E20364" s="5">
        <v>118.4</v>
      </c>
      <c r="F20364" s="5">
        <v>236</v>
      </c>
      <c r="G20364" s="5">
        <v>117.8</v>
      </c>
      <c r="H20364" s="5">
        <v>117.6</v>
      </c>
      <c r="I20364" s="5"/>
      <c r="J20364" s="5"/>
      <c r="K20364" s="5"/>
    </row>
    <row r="20365" spans="1:11" x14ac:dyDescent="0.25">
      <c r="A20365" s="5">
        <f>20358</f>
      </c>
      <c r="B20365" s="5" t="s">
        <v>20373</v>
      </c>
      <c r="C20365" s="5">
        <v>118.3</v>
      </c>
      <c r="D20365" s="5">
        <v>0.1</v>
      </c>
      <c r="E20365" s="5">
        <v>118.4</v>
      </c>
      <c r="F20365" s="5">
        <v>236</v>
      </c>
      <c r="G20365" s="5">
        <v>117.8</v>
      </c>
      <c r="H20365" s="5">
        <v>117.6</v>
      </c>
      <c r="I20365" s="5"/>
      <c r="J20365" s="5"/>
      <c r="K20365" s="5"/>
    </row>
    <row r="20366" spans="1:11" x14ac:dyDescent="0.25">
      <c r="A20366" s="5">
        <f>20359</f>
      </c>
      <c r="B20366" s="5" t="s">
        <v>20374</v>
      </c>
      <c r="C20366" s="5">
        <v>118.1</v>
      </c>
      <c r="D20366" s="5">
        <v>0.1</v>
      </c>
      <c r="E20366" s="5">
        <v>118.3</v>
      </c>
      <c r="F20366" s="5">
        <v>236</v>
      </c>
      <c r="G20366" s="5">
        <v>117.8</v>
      </c>
      <c r="H20366" s="5">
        <v>117.6</v>
      </c>
      <c r="I20366" s="5"/>
      <c r="J20366" s="5"/>
      <c r="K20366" s="5"/>
    </row>
    <row r="20367" spans="1:11" x14ac:dyDescent="0.25">
      <c r="A20367" s="5">
        <f>20360</f>
      </c>
      <c r="B20367" s="5" t="s">
        <v>20375</v>
      </c>
      <c r="C20367" s="5">
        <v>118.1</v>
      </c>
      <c r="D20367" s="5">
        <v>0.1</v>
      </c>
      <c r="E20367" s="5">
        <v>118.3</v>
      </c>
      <c r="F20367" s="5">
        <v>236</v>
      </c>
      <c r="G20367" s="5">
        <v>117.8</v>
      </c>
      <c r="H20367" s="5">
        <v>117.6</v>
      </c>
      <c r="I20367" s="5"/>
      <c r="J20367" s="5"/>
      <c r="K20367" s="5"/>
    </row>
    <row r="20368" spans="1:11" x14ac:dyDescent="0.25">
      <c r="A20368" s="5">
        <f>20361</f>
      </c>
      <c r="B20368" s="5" t="s">
        <v>20376</v>
      </c>
      <c r="C20368" s="5">
        <v>118.1</v>
      </c>
      <c r="D20368" s="5">
        <v>0.1</v>
      </c>
      <c r="E20368" s="5">
        <v>118.3</v>
      </c>
      <c r="F20368" s="5">
        <v>236</v>
      </c>
      <c r="G20368" s="5">
        <v>117.8</v>
      </c>
      <c r="H20368" s="5">
        <v>117.6</v>
      </c>
      <c r="I20368" s="5"/>
      <c r="J20368" s="5"/>
      <c r="K20368" s="5"/>
    </row>
    <row r="20369" spans="1:11" x14ac:dyDescent="0.25">
      <c r="A20369" s="5">
        <f>20362</f>
      </c>
      <c r="B20369" s="5" t="s">
        <v>20377</v>
      </c>
      <c r="C20369" s="5">
        <v>118.1</v>
      </c>
      <c r="D20369" s="5">
        <v>0.1</v>
      </c>
      <c r="E20369" s="5">
        <v>118.3</v>
      </c>
      <c r="F20369" s="5">
        <v>236</v>
      </c>
      <c r="G20369" s="5">
        <v>117.8</v>
      </c>
      <c r="H20369" s="5">
        <v>117.6</v>
      </c>
      <c r="I20369" s="5"/>
      <c r="J20369" s="5"/>
      <c r="K20369" s="5"/>
    </row>
    <row r="20370" spans="1:11" x14ac:dyDescent="0.25">
      <c r="A20370" s="5">
        <f>20363</f>
      </c>
      <c r="B20370" s="5" t="s">
        <v>20378</v>
      </c>
      <c r="C20370" s="5">
        <v>118</v>
      </c>
      <c r="D20370" s="5">
        <v>0.1</v>
      </c>
      <c r="E20370" s="5">
        <v>118.1</v>
      </c>
      <c r="F20370" s="5">
        <v>235.7</v>
      </c>
      <c r="G20370" s="5">
        <v>117.6</v>
      </c>
      <c r="H20370" s="5">
        <v>117.5</v>
      </c>
      <c r="I20370" s="5"/>
      <c r="J20370" s="5"/>
      <c r="K20370" s="5"/>
    </row>
    <row r="20371" spans="1:11" x14ac:dyDescent="0.25">
      <c r="A20371" s="5">
        <f>20364</f>
      </c>
      <c r="B20371" s="5" t="s">
        <v>20379</v>
      </c>
      <c r="C20371" s="5">
        <v>118</v>
      </c>
      <c r="D20371" s="5">
        <v>0.1</v>
      </c>
      <c r="E20371" s="5">
        <v>118.1</v>
      </c>
      <c r="F20371" s="5">
        <v>235.7</v>
      </c>
      <c r="G20371" s="5">
        <v>117.6</v>
      </c>
      <c r="H20371" s="5">
        <v>117.5</v>
      </c>
      <c r="I20371" s="5"/>
      <c r="J20371" s="5"/>
      <c r="K20371" s="5"/>
    </row>
    <row r="20372" spans="1:11" x14ac:dyDescent="0.25">
      <c r="A20372" s="5">
        <f>20365</f>
      </c>
      <c r="B20372" s="5" t="s">
        <v>20380</v>
      </c>
      <c r="C20372" s="5">
        <v>118</v>
      </c>
      <c r="D20372" s="5">
        <v>0.1</v>
      </c>
      <c r="E20372" s="5">
        <v>118</v>
      </c>
      <c r="F20372" s="5">
        <v>235.1</v>
      </c>
      <c r="G20372" s="5">
        <v>117.3</v>
      </c>
      <c r="H20372" s="5">
        <v>117.2</v>
      </c>
      <c r="I20372" s="5"/>
      <c r="J20372" s="5"/>
      <c r="K20372" s="5"/>
    </row>
    <row r="20373" spans="1:11" x14ac:dyDescent="0.25">
      <c r="A20373" s="5">
        <f>20366</f>
      </c>
      <c r="B20373" s="5" t="s">
        <v>20381</v>
      </c>
      <c r="C20373" s="5">
        <v>118</v>
      </c>
      <c r="D20373" s="5">
        <v>0.1</v>
      </c>
      <c r="E20373" s="5">
        <v>118</v>
      </c>
      <c r="F20373" s="5">
        <v>235.1</v>
      </c>
      <c r="G20373" s="5">
        <v>117.3</v>
      </c>
      <c r="H20373" s="5">
        <v>117.2</v>
      </c>
      <c r="I20373" s="5"/>
      <c r="J20373" s="5"/>
      <c r="K20373" s="5"/>
    </row>
    <row r="20374" spans="1:11" x14ac:dyDescent="0.25">
      <c r="A20374" s="5">
        <f>20367</f>
      </c>
      <c r="B20374" s="5" t="s">
        <v>20382</v>
      </c>
      <c r="C20374" s="5">
        <v>117.6</v>
      </c>
      <c r="D20374" s="5">
        <v>0.1</v>
      </c>
      <c r="E20374" s="5">
        <v>117.7</v>
      </c>
      <c r="F20374" s="5">
        <v>235.6</v>
      </c>
      <c r="G20374" s="5">
        <v>117.5</v>
      </c>
      <c r="H20374" s="5">
        <v>117.3</v>
      </c>
      <c r="I20374" s="5"/>
      <c r="J20374" s="5"/>
      <c r="K20374" s="5"/>
    </row>
    <row r="20375" spans="1:11" x14ac:dyDescent="0.25">
      <c r="A20375" s="5">
        <f>20368</f>
      </c>
      <c r="B20375" s="5" t="s">
        <v>20383</v>
      </c>
      <c r="C20375" s="5">
        <v>117.6</v>
      </c>
      <c r="D20375" s="5">
        <v>0.1</v>
      </c>
      <c r="E20375" s="5">
        <v>117.7</v>
      </c>
      <c r="F20375" s="5">
        <v>235.6</v>
      </c>
      <c r="G20375" s="5">
        <v>117.5</v>
      </c>
      <c r="H20375" s="5">
        <v>117.3</v>
      </c>
      <c r="I20375" s="5"/>
      <c r="J20375" s="5"/>
      <c r="K20375" s="5"/>
    </row>
    <row r="20376" spans="1:11" x14ac:dyDescent="0.25">
      <c r="A20376" s="5">
        <f>20369</f>
      </c>
      <c r="B20376" s="5" t="s">
        <v>20384</v>
      </c>
      <c r="C20376" s="5">
        <v>117.6</v>
      </c>
      <c r="D20376" s="5">
        <v>0.1</v>
      </c>
      <c r="E20376" s="5">
        <v>117.7</v>
      </c>
      <c r="F20376" s="5">
        <v>235.6</v>
      </c>
      <c r="G20376" s="5">
        <v>117.5</v>
      </c>
      <c r="H20376" s="5">
        <v>117.3</v>
      </c>
      <c r="I20376" s="5"/>
      <c r="J20376" s="5"/>
      <c r="K20376" s="5"/>
    </row>
    <row r="20377" spans="1:11" x14ac:dyDescent="0.25">
      <c r="A20377" s="5">
        <f>20370</f>
      </c>
      <c r="B20377" s="5" t="s">
        <v>20385</v>
      </c>
      <c r="C20377" s="5">
        <v>117.6</v>
      </c>
      <c r="D20377" s="5">
        <v>0.1</v>
      </c>
      <c r="E20377" s="5">
        <v>117.7</v>
      </c>
      <c r="F20377" s="5">
        <v>235.6</v>
      </c>
      <c r="G20377" s="5">
        <v>117.5</v>
      </c>
      <c r="H20377" s="5">
        <v>117.3</v>
      </c>
      <c r="I20377" s="5"/>
      <c r="J20377" s="5"/>
      <c r="K20377" s="5"/>
    </row>
    <row r="20378" spans="1:11" x14ac:dyDescent="0.25">
      <c r="A20378" s="5">
        <f>20371</f>
      </c>
      <c r="B20378" s="5" t="s">
        <v>20386</v>
      </c>
      <c r="C20378" s="5">
        <v>117.6</v>
      </c>
      <c r="D20378" s="5">
        <v>0.1</v>
      </c>
      <c r="E20378" s="5">
        <v>117.7</v>
      </c>
      <c r="F20378" s="5">
        <v>235.6</v>
      </c>
      <c r="G20378" s="5">
        <v>117.5</v>
      </c>
      <c r="H20378" s="5">
        <v>117.3</v>
      </c>
      <c r="I20378" s="5"/>
      <c r="J20378" s="5"/>
      <c r="K20378" s="5"/>
    </row>
    <row r="20379" spans="1:11" x14ac:dyDescent="0.25">
      <c r="A20379" s="5">
        <f>20372</f>
      </c>
      <c r="B20379" s="5" t="s">
        <v>20387</v>
      </c>
      <c r="C20379" s="5">
        <v>117.6</v>
      </c>
      <c r="D20379" s="5">
        <v>0.1</v>
      </c>
      <c r="E20379" s="5">
        <v>117.7</v>
      </c>
      <c r="F20379" s="5">
        <v>235.6</v>
      </c>
      <c r="G20379" s="5">
        <v>117.5</v>
      </c>
      <c r="H20379" s="5">
        <v>117.3</v>
      </c>
      <c r="I20379" s="5"/>
      <c r="J20379" s="5"/>
      <c r="K20379" s="5"/>
    </row>
    <row r="20380" spans="1:11" x14ac:dyDescent="0.25">
      <c r="A20380" s="5">
        <f>20373</f>
      </c>
      <c r="B20380" s="5" t="s">
        <v>20388</v>
      </c>
      <c r="C20380" s="5">
        <v>121.9</v>
      </c>
      <c r="D20380" s="5">
        <v>0.1</v>
      </c>
      <c r="E20380" s="5">
        <v>122.1</v>
      </c>
      <c r="F20380" s="5">
        <v>243.5</v>
      </c>
      <c r="G20380" s="5">
        <v>121.5</v>
      </c>
      <c r="H20380" s="5">
        <v>121.3</v>
      </c>
      <c r="I20380" s="5"/>
      <c r="J20380" s="5"/>
      <c r="K20380" s="5"/>
    </row>
    <row r="20381" spans="1:11" x14ac:dyDescent="0.25">
      <c r="A20381" s="5">
        <f>20374</f>
      </c>
      <c r="B20381" s="5" t="s">
        <v>20389</v>
      </c>
      <c r="C20381" s="5">
        <v>121.9</v>
      </c>
      <c r="D20381" s="5">
        <v>0.1</v>
      </c>
      <c r="E20381" s="5">
        <v>122.1</v>
      </c>
      <c r="F20381" s="5">
        <v>243.5</v>
      </c>
      <c r="G20381" s="5">
        <v>121.5</v>
      </c>
      <c r="H20381" s="5">
        <v>121.3</v>
      </c>
      <c r="I20381" s="5"/>
      <c r="J20381" s="5"/>
      <c r="K20381" s="5"/>
    </row>
    <row r="20382" spans="1:11" x14ac:dyDescent="0.25">
      <c r="A20382" s="5">
        <f>20375</f>
      </c>
      <c r="B20382" s="5" t="s">
        <v>20390</v>
      </c>
      <c r="C20382" s="5">
        <v>122.4</v>
      </c>
      <c r="D20382" s="5">
        <v>0.1</v>
      </c>
      <c r="E20382" s="5">
        <v>122.5</v>
      </c>
      <c r="F20382" s="5">
        <v>243.9</v>
      </c>
      <c r="G20382" s="5">
        <v>121.7</v>
      </c>
      <c r="H20382" s="5">
        <v>121.6</v>
      </c>
      <c r="I20382" s="5"/>
      <c r="J20382" s="5"/>
      <c r="K20382" s="5"/>
    </row>
    <row r="20383" spans="1:11" x14ac:dyDescent="0.25">
      <c r="A20383" s="5">
        <f>20376</f>
      </c>
      <c r="B20383" s="5" t="s">
        <v>20391</v>
      </c>
      <c r="C20383" s="5">
        <v>122.4</v>
      </c>
      <c r="D20383" s="5">
        <v>0.1</v>
      </c>
      <c r="E20383" s="5">
        <v>122.5</v>
      </c>
      <c r="F20383" s="5">
        <v>243.9</v>
      </c>
      <c r="G20383" s="5">
        <v>121.7</v>
      </c>
      <c r="H20383" s="5">
        <v>121.6</v>
      </c>
      <c r="I20383" s="5"/>
      <c r="J20383" s="5"/>
      <c r="K20383" s="5"/>
    </row>
    <row r="20384" spans="1:11" x14ac:dyDescent="0.25">
      <c r="A20384" s="5">
        <f>20377</f>
      </c>
      <c r="B20384" s="5" t="s">
        <v>20392</v>
      </c>
      <c r="C20384" s="5">
        <v>122.2</v>
      </c>
      <c r="D20384" s="5">
        <v>0.1</v>
      </c>
      <c r="E20384" s="5">
        <v>122.4</v>
      </c>
      <c r="F20384" s="5">
        <v>244.3</v>
      </c>
      <c r="G20384" s="5">
        <v>121.9</v>
      </c>
      <c r="H20384" s="5">
        <v>121.7</v>
      </c>
      <c r="I20384" s="5"/>
      <c r="J20384" s="5"/>
      <c r="K20384" s="5"/>
    </row>
    <row r="20385" spans="1:11" x14ac:dyDescent="0.25">
      <c r="A20385" s="5">
        <f>20378</f>
      </c>
      <c r="B20385" s="5" t="s">
        <v>20393</v>
      </c>
      <c r="C20385" s="5">
        <v>122.2</v>
      </c>
      <c r="D20385" s="5">
        <v>0.1</v>
      </c>
      <c r="E20385" s="5">
        <v>122.4</v>
      </c>
      <c r="F20385" s="5">
        <v>244.3</v>
      </c>
      <c r="G20385" s="5">
        <v>121.9</v>
      </c>
      <c r="H20385" s="5">
        <v>121.7</v>
      </c>
      <c r="I20385" s="5"/>
      <c r="J20385" s="5"/>
      <c r="K20385" s="5"/>
    </row>
    <row r="20386" spans="1:11" x14ac:dyDescent="0.25">
      <c r="A20386" s="5">
        <f>20379</f>
      </c>
      <c r="B20386" s="5" t="s">
        <v>20394</v>
      </c>
      <c r="C20386" s="5">
        <v>122.1</v>
      </c>
      <c r="D20386" s="5">
        <v>0.1</v>
      </c>
      <c r="E20386" s="5">
        <v>122.3</v>
      </c>
      <c r="F20386" s="5">
        <v>243.9</v>
      </c>
      <c r="G20386" s="5">
        <v>121.7</v>
      </c>
      <c r="H20386" s="5">
        <v>121.5</v>
      </c>
      <c r="I20386" s="5"/>
      <c r="J20386" s="5"/>
      <c r="K20386" s="5"/>
    </row>
    <row r="20387" spans="1:11" x14ac:dyDescent="0.25">
      <c r="A20387" s="5">
        <f>20380</f>
      </c>
      <c r="B20387" s="5" t="s">
        <v>20395</v>
      </c>
      <c r="C20387" s="5">
        <v>122.1</v>
      </c>
      <c r="D20387" s="5">
        <v>0.1</v>
      </c>
      <c r="E20387" s="5">
        <v>122.3</v>
      </c>
      <c r="F20387" s="5">
        <v>243.9</v>
      </c>
      <c r="G20387" s="5">
        <v>121.7</v>
      </c>
      <c r="H20387" s="5">
        <v>121.5</v>
      </c>
      <c r="I20387" s="5"/>
      <c r="J20387" s="5"/>
      <c r="K20387" s="5"/>
    </row>
    <row r="20388" spans="1:11" x14ac:dyDescent="0.25">
      <c r="A20388" s="5">
        <f>20381</f>
      </c>
      <c r="B20388" s="5" t="s">
        <v>20396</v>
      </c>
      <c r="C20388" s="5">
        <v>122.1</v>
      </c>
      <c r="D20388" s="5">
        <v>0.1</v>
      </c>
      <c r="E20388" s="5">
        <v>122.3</v>
      </c>
      <c r="F20388" s="5">
        <v>243.9</v>
      </c>
      <c r="G20388" s="5">
        <v>121.7</v>
      </c>
      <c r="H20388" s="5">
        <v>121.5</v>
      </c>
      <c r="I20388" s="5"/>
      <c r="J20388" s="5"/>
      <c r="K20388" s="5"/>
    </row>
    <row r="20389" spans="1:11" x14ac:dyDescent="0.25">
      <c r="A20389" s="5">
        <f>20382</f>
      </c>
      <c r="B20389" s="5" t="s">
        <v>20397</v>
      </c>
      <c r="C20389" s="5">
        <v>122.1</v>
      </c>
      <c r="D20389" s="5">
        <v>0.1</v>
      </c>
      <c r="E20389" s="5">
        <v>122.3</v>
      </c>
      <c r="F20389" s="5">
        <v>243.9</v>
      </c>
      <c r="G20389" s="5">
        <v>121.8</v>
      </c>
      <c r="H20389" s="5">
        <v>121.6</v>
      </c>
      <c r="I20389" s="5"/>
      <c r="J20389" s="5"/>
      <c r="K20389" s="5"/>
    </row>
    <row r="20390" spans="1:11" x14ac:dyDescent="0.25">
      <c r="A20390" s="5">
        <f>20383</f>
      </c>
      <c r="B20390" s="5" t="s">
        <v>20398</v>
      </c>
      <c r="C20390" s="5">
        <v>122.3</v>
      </c>
      <c r="D20390" s="5">
        <v>0.1</v>
      </c>
      <c r="E20390" s="5">
        <v>122.5</v>
      </c>
      <c r="F20390" s="5">
        <v>244</v>
      </c>
      <c r="G20390" s="5">
        <v>121.8</v>
      </c>
      <c r="H20390" s="5">
        <v>121.6</v>
      </c>
      <c r="I20390" s="5"/>
      <c r="J20390" s="5"/>
      <c r="K20390" s="5"/>
    </row>
    <row r="20391" spans="1:11" x14ac:dyDescent="0.25">
      <c r="A20391" s="5">
        <f>20384</f>
      </c>
      <c r="B20391" s="5" t="s">
        <v>20399</v>
      </c>
      <c r="C20391" s="5">
        <v>122.3</v>
      </c>
      <c r="D20391" s="5">
        <v>0.1</v>
      </c>
      <c r="E20391" s="5">
        <v>122.5</v>
      </c>
      <c r="F20391" s="5">
        <v>244</v>
      </c>
      <c r="G20391" s="5">
        <v>121.5</v>
      </c>
      <c r="H20391" s="5">
        <v>121.3</v>
      </c>
      <c r="I20391" s="5"/>
      <c r="J20391" s="5"/>
      <c r="K20391" s="5"/>
    </row>
    <row r="20392" spans="1:11" x14ac:dyDescent="0.25">
      <c r="A20392" s="5">
        <f>20385</f>
      </c>
      <c r="B20392" s="5" t="s">
        <v>20400</v>
      </c>
      <c r="C20392" s="5">
        <v>122.1</v>
      </c>
      <c r="D20392" s="5">
        <v>0.1</v>
      </c>
      <c r="E20392" s="5">
        <v>122.2</v>
      </c>
      <c r="F20392" s="5">
        <v>243.4</v>
      </c>
      <c r="G20392" s="5">
        <v>121.5</v>
      </c>
      <c r="H20392" s="5">
        <v>121.3</v>
      </c>
      <c r="I20392" s="5"/>
      <c r="J20392" s="5"/>
      <c r="K20392" s="5"/>
    </row>
    <row r="20393" spans="1:11" x14ac:dyDescent="0.25">
      <c r="A20393" s="5">
        <f>20386</f>
      </c>
      <c r="B20393" s="5" t="s">
        <v>20401</v>
      </c>
      <c r="C20393" s="5">
        <v>122.1</v>
      </c>
      <c r="D20393" s="5">
        <v>0.1</v>
      </c>
      <c r="E20393" s="5">
        <v>122.2</v>
      </c>
      <c r="F20393" s="5">
        <v>243.4</v>
      </c>
      <c r="G20393" s="5">
        <v>121.5</v>
      </c>
      <c r="H20393" s="5">
        <v>121.3</v>
      </c>
      <c r="I20393" s="5"/>
      <c r="J20393" s="5"/>
      <c r="K20393" s="5"/>
    </row>
    <row r="20394" spans="1:11" x14ac:dyDescent="0.25">
      <c r="A20394" s="5">
        <f>20387</f>
      </c>
      <c r="B20394" s="5" t="s">
        <v>20402</v>
      </c>
      <c r="C20394" s="5">
        <v>122.1</v>
      </c>
      <c r="D20394" s="5">
        <v>0.1</v>
      </c>
      <c r="E20394" s="5">
        <v>122.2</v>
      </c>
      <c r="F20394" s="5">
        <v>243.9</v>
      </c>
      <c r="G20394" s="5">
        <v>121.7</v>
      </c>
      <c r="H20394" s="5">
        <v>121.5</v>
      </c>
      <c r="I20394" s="5"/>
      <c r="J20394" s="5"/>
      <c r="K20394" s="5"/>
    </row>
    <row r="20395" spans="1:11" x14ac:dyDescent="0.25">
      <c r="A20395" s="5">
        <f>20388</f>
      </c>
      <c r="B20395" s="5" t="s">
        <v>20403</v>
      </c>
      <c r="C20395" s="5">
        <v>122.1</v>
      </c>
      <c r="D20395" s="5">
        <v>0.1</v>
      </c>
      <c r="E20395" s="5">
        <v>122.2</v>
      </c>
      <c r="F20395" s="5">
        <v>243.9</v>
      </c>
      <c r="G20395" s="5">
        <v>121.7</v>
      </c>
      <c r="H20395" s="5">
        <v>121.5</v>
      </c>
      <c r="I20395" s="5"/>
      <c r="J20395" s="5"/>
      <c r="K20395" s="5"/>
    </row>
    <row r="20396" spans="1:11" x14ac:dyDescent="0.25">
      <c r="A20396" s="5">
        <f>20389</f>
      </c>
      <c r="B20396" s="5" t="s">
        <v>20404</v>
      </c>
      <c r="C20396" s="5">
        <v>122.1</v>
      </c>
      <c r="D20396" s="5">
        <v>0.1</v>
      </c>
      <c r="E20396" s="5">
        <v>122.2</v>
      </c>
      <c r="F20396" s="5">
        <v>243.9</v>
      </c>
      <c r="G20396" s="5">
        <v>121.7</v>
      </c>
      <c r="H20396" s="5">
        <v>121.5</v>
      </c>
      <c r="I20396" s="5"/>
      <c r="J20396" s="5"/>
      <c r="K20396" s="5"/>
    </row>
    <row r="20397" spans="1:11" x14ac:dyDescent="0.25">
      <c r="A20397" s="5">
        <f>20390</f>
      </c>
      <c r="B20397" s="5" t="s">
        <v>20405</v>
      </c>
      <c r="C20397" s="5">
        <v>122.1</v>
      </c>
      <c r="D20397" s="5">
        <v>0.1</v>
      </c>
      <c r="E20397" s="5">
        <v>122.2</v>
      </c>
      <c r="F20397" s="5">
        <v>243.9</v>
      </c>
      <c r="G20397" s="5">
        <v>121.7</v>
      </c>
      <c r="H20397" s="5">
        <v>121.5</v>
      </c>
      <c r="I20397" s="5"/>
      <c r="J20397" s="5"/>
      <c r="K20397" s="5"/>
    </row>
    <row r="20398" spans="1:11" x14ac:dyDescent="0.25">
      <c r="A20398" s="5">
        <f>20391</f>
      </c>
      <c r="B20398" s="5" t="s">
        <v>20406</v>
      </c>
      <c r="C20398" s="5">
        <v>122.1</v>
      </c>
      <c r="D20398" s="5">
        <v>0.1</v>
      </c>
      <c r="E20398" s="5">
        <v>122.2</v>
      </c>
      <c r="F20398" s="5">
        <v>243.9</v>
      </c>
      <c r="G20398" s="5">
        <v>121.7</v>
      </c>
      <c r="H20398" s="5">
        <v>121.5</v>
      </c>
      <c r="I20398" s="5"/>
      <c r="J20398" s="5"/>
      <c r="K20398" s="5"/>
    </row>
    <row r="20399" spans="1:11" x14ac:dyDescent="0.25">
      <c r="A20399" s="5">
        <f>20392</f>
      </c>
      <c r="B20399" s="5" t="s">
        <v>20407</v>
      </c>
      <c r="C20399" s="5">
        <v>122</v>
      </c>
      <c r="D20399" s="5">
        <v>0.1</v>
      </c>
      <c r="E20399" s="5">
        <v>122.1</v>
      </c>
      <c r="F20399" s="5">
        <v>243.7</v>
      </c>
      <c r="G20399" s="5">
        <v>121.6</v>
      </c>
      <c r="H20399" s="5">
        <v>121.4</v>
      </c>
      <c r="I20399" s="5"/>
      <c r="J20399" s="5"/>
      <c r="K20399" s="5"/>
    </row>
    <row r="20400" spans="1:11" x14ac:dyDescent="0.25">
      <c r="A20400" s="5">
        <f>20393</f>
      </c>
      <c r="B20400" s="5" t="s">
        <v>20408</v>
      </c>
      <c r="C20400" s="5">
        <v>122</v>
      </c>
      <c r="D20400" s="5">
        <v>0.1</v>
      </c>
      <c r="E20400" s="5">
        <v>122.1</v>
      </c>
      <c r="F20400" s="5">
        <v>243.7</v>
      </c>
      <c r="G20400" s="5">
        <v>121.6</v>
      </c>
      <c r="H20400" s="5">
        <v>121.4</v>
      </c>
      <c r="I20400" s="5"/>
      <c r="J20400" s="5"/>
      <c r="K20400" s="5"/>
    </row>
    <row r="20401" spans="1:11" x14ac:dyDescent="0.25">
      <c r="A20401" s="5">
        <f>20394</f>
      </c>
      <c r="B20401" s="5" t="s">
        <v>20409</v>
      </c>
      <c r="C20401" s="5">
        <v>122.1</v>
      </c>
      <c r="D20401" s="5">
        <v>0.1</v>
      </c>
      <c r="E20401" s="5">
        <v>122.3</v>
      </c>
      <c r="F20401" s="5">
        <v>243.6</v>
      </c>
      <c r="G20401" s="5">
        <v>121.6</v>
      </c>
      <c r="H20401" s="5">
        <v>121.5</v>
      </c>
      <c r="I20401" s="5"/>
      <c r="J20401" s="5"/>
      <c r="K20401" s="5"/>
    </row>
    <row r="20402" spans="1:11" x14ac:dyDescent="0.25">
      <c r="A20402" s="5">
        <f>20395</f>
      </c>
      <c r="B20402" s="5" t="s">
        <v>20410</v>
      </c>
      <c r="C20402" s="5">
        <v>122.1</v>
      </c>
      <c r="D20402" s="5">
        <v>0.1</v>
      </c>
      <c r="E20402" s="5">
        <v>122.3</v>
      </c>
      <c r="F20402" s="5">
        <v>243.6</v>
      </c>
      <c r="G20402" s="5">
        <v>121.6</v>
      </c>
      <c r="H20402" s="5">
        <v>121.5</v>
      </c>
      <c r="I20402" s="5"/>
      <c r="J20402" s="5"/>
      <c r="K20402" s="5"/>
    </row>
    <row r="20403" spans="1:11" x14ac:dyDescent="0.25">
      <c r="A20403" s="5">
        <f>20396</f>
      </c>
      <c r="B20403" s="5" t="s">
        <v>20411</v>
      </c>
      <c r="C20403" s="5">
        <v>121.8</v>
      </c>
      <c r="D20403" s="5">
        <v>0.1</v>
      </c>
      <c r="E20403" s="5">
        <v>122</v>
      </c>
      <c r="F20403" s="5">
        <v>243.6</v>
      </c>
      <c r="G20403" s="5">
        <v>121.6</v>
      </c>
      <c r="H20403" s="5">
        <v>121.4</v>
      </c>
      <c r="I20403" s="5"/>
      <c r="J20403" s="5"/>
      <c r="K20403" s="5"/>
    </row>
    <row r="20404" spans="1:11" x14ac:dyDescent="0.25">
      <c r="A20404" s="5">
        <f>20397</f>
      </c>
      <c r="B20404" s="5" t="s">
        <v>20412</v>
      </c>
      <c r="C20404" s="5">
        <v>121.8</v>
      </c>
      <c r="D20404" s="5">
        <v>0.1</v>
      </c>
      <c r="E20404" s="5">
        <v>122</v>
      </c>
      <c r="F20404" s="5">
        <v>243.6</v>
      </c>
      <c r="G20404" s="5">
        <v>121.6</v>
      </c>
      <c r="H20404" s="5">
        <v>121.4</v>
      </c>
      <c r="I20404" s="5"/>
      <c r="J20404" s="5"/>
      <c r="K20404" s="5"/>
    </row>
    <row r="20405" spans="1:11" x14ac:dyDescent="0.25">
      <c r="A20405" s="5">
        <f>20398</f>
      </c>
      <c r="B20405" s="5" t="s">
        <v>20413</v>
      </c>
      <c r="C20405" s="5">
        <v>122.1</v>
      </c>
      <c r="D20405" s="5">
        <v>0.1</v>
      </c>
      <c r="E20405" s="5">
        <v>122.2</v>
      </c>
      <c r="F20405" s="5">
        <v>243.6</v>
      </c>
      <c r="G20405" s="5">
        <v>121.6</v>
      </c>
      <c r="H20405" s="5">
        <v>121.4</v>
      </c>
      <c r="I20405" s="5"/>
      <c r="J20405" s="5"/>
      <c r="K20405" s="5"/>
    </row>
    <row r="20406" spans="1:11" x14ac:dyDescent="0.25">
      <c r="A20406" s="5">
        <f>20399</f>
      </c>
      <c r="B20406" s="5" t="s">
        <v>20414</v>
      </c>
      <c r="C20406" s="5">
        <v>122.1</v>
      </c>
      <c r="D20406" s="5">
        <v>0.1</v>
      </c>
      <c r="E20406" s="5">
        <v>122.2</v>
      </c>
      <c r="F20406" s="5">
        <v>243.6</v>
      </c>
      <c r="G20406" s="5">
        <v>121.5</v>
      </c>
      <c r="H20406" s="5">
        <v>121.3</v>
      </c>
      <c r="I20406" s="5"/>
      <c r="J20406" s="5"/>
      <c r="K20406" s="5"/>
    </row>
    <row r="20407" spans="1:11" x14ac:dyDescent="0.25">
      <c r="A20407" s="5">
        <f>20400</f>
      </c>
      <c r="B20407" s="5" t="s">
        <v>20415</v>
      </c>
      <c r="C20407" s="5">
        <v>122.1</v>
      </c>
      <c r="D20407" s="5">
        <v>0.1</v>
      </c>
      <c r="E20407" s="5">
        <v>122.2</v>
      </c>
      <c r="F20407" s="5">
        <v>243.6</v>
      </c>
      <c r="G20407" s="5">
        <v>121.5</v>
      </c>
      <c r="H20407" s="5">
        <v>121.3</v>
      </c>
      <c r="I20407" s="5"/>
      <c r="J20407" s="5"/>
      <c r="K20407" s="5"/>
    </row>
    <row r="20408" spans="1:11" x14ac:dyDescent="0.25">
      <c r="A20408" s="5">
        <f>20401</f>
      </c>
      <c r="B20408" s="5" t="s">
        <v>20416</v>
      </c>
      <c r="C20408" s="5">
        <v>122.1</v>
      </c>
      <c r="D20408" s="5">
        <v>0.1</v>
      </c>
      <c r="E20408" s="5">
        <v>122.2</v>
      </c>
      <c r="F20408" s="5">
        <v>243.6</v>
      </c>
      <c r="G20408" s="5">
        <v>121.5</v>
      </c>
      <c r="H20408" s="5">
        <v>121.3</v>
      </c>
      <c r="I20408" s="5"/>
      <c r="J20408" s="5"/>
      <c r="K20408" s="5"/>
    </row>
    <row r="20409" spans="1:11" x14ac:dyDescent="0.25">
      <c r="A20409" s="5">
        <f>20402</f>
      </c>
      <c r="B20409" s="5" t="s">
        <v>20417</v>
      </c>
      <c r="C20409" s="5">
        <v>122.4</v>
      </c>
      <c r="D20409" s="5">
        <v>0.1</v>
      </c>
      <c r="E20409" s="5">
        <v>122.6</v>
      </c>
      <c r="F20409" s="5">
        <v>243.6</v>
      </c>
      <c r="G20409" s="5">
        <v>121.5</v>
      </c>
      <c r="H20409" s="5">
        <v>121.3</v>
      </c>
      <c r="I20409" s="5"/>
      <c r="J20409" s="5"/>
      <c r="K20409" s="5"/>
    </row>
    <row r="20410" spans="1:11" x14ac:dyDescent="0.25">
      <c r="A20410" s="5">
        <f>20403</f>
      </c>
      <c r="B20410" s="5" t="s">
        <v>20418</v>
      </c>
      <c r="C20410" s="5">
        <v>122.4</v>
      </c>
      <c r="D20410" s="5">
        <v>0.1</v>
      </c>
      <c r="E20410" s="5">
        <v>122.6</v>
      </c>
      <c r="F20410" s="5">
        <v>244.2</v>
      </c>
      <c r="G20410" s="5">
        <v>121.9</v>
      </c>
      <c r="H20410" s="5">
        <v>121.7</v>
      </c>
      <c r="I20410" s="5"/>
      <c r="J20410" s="5"/>
      <c r="K20410" s="5"/>
    </row>
    <row r="20411" spans="1:11" x14ac:dyDescent="0.25">
      <c r="A20411" s="5">
        <f>20404</f>
      </c>
      <c r="B20411" s="5" t="s">
        <v>20419</v>
      </c>
      <c r="C20411" s="5">
        <v>122.2</v>
      </c>
      <c r="D20411" s="5">
        <v>0.1</v>
      </c>
      <c r="E20411" s="5">
        <v>122.6</v>
      </c>
      <c r="F20411" s="5">
        <v>244.2</v>
      </c>
      <c r="G20411" s="5">
        <v>121.9</v>
      </c>
      <c r="H20411" s="5">
        <v>121.7</v>
      </c>
      <c r="I20411" s="5"/>
      <c r="J20411" s="5"/>
      <c r="K20411" s="5"/>
    </row>
    <row r="20412" spans="1:11" x14ac:dyDescent="0.25">
      <c r="A20412" s="5">
        <f>20405</f>
      </c>
      <c r="B20412" s="5" t="s">
        <v>20420</v>
      </c>
      <c r="C20412" s="5">
        <v>122.2</v>
      </c>
      <c r="D20412" s="5">
        <v>0.1</v>
      </c>
      <c r="E20412" s="5">
        <v>122.5</v>
      </c>
      <c r="F20412" s="5">
        <v>243.7</v>
      </c>
      <c r="G20412" s="5">
        <v>121.6</v>
      </c>
      <c r="H20412" s="5">
        <v>121.5</v>
      </c>
      <c r="I20412" s="5"/>
      <c r="J20412" s="5"/>
      <c r="K20412" s="5"/>
    </row>
    <row r="20413" spans="1:11" x14ac:dyDescent="0.25">
      <c r="A20413" s="5">
        <f>20406</f>
      </c>
      <c r="B20413" s="5" t="s">
        <v>20421</v>
      </c>
      <c r="C20413" s="5">
        <v>122.2</v>
      </c>
      <c r="D20413" s="5">
        <v>0.1</v>
      </c>
      <c r="E20413" s="5">
        <v>122.5</v>
      </c>
      <c r="F20413" s="5">
        <v>243.7</v>
      </c>
      <c r="G20413" s="5">
        <v>121.6</v>
      </c>
      <c r="H20413" s="5">
        <v>121.5</v>
      </c>
      <c r="I20413" s="5"/>
      <c r="J20413" s="5"/>
      <c r="K20413" s="5"/>
    </row>
    <row r="20414" spans="1:11" x14ac:dyDescent="0.25">
      <c r="A20414" s="5">
        <f>20407</f>
      </c>
      <c r="B20414" s="5" t="s">
        <v>20422</v>
      </c>
      <c r="C20414" s="5">
        <v>121.9</v>
      </c>
      <c r="D20414" s="5">
        <v>0.1</v>
      </c>
      <c r="E20414" s="5">
        <v>122.1</v>
      </c>
      <c r="F20414" s="5">
        <v>244</v>
      </c>
      <c r="G20414" s="5">
        <v>121.8</v>
      </c>
      <c r="H20414" s="5">
        <v>121.6</v>
      </c>
      <c r="I20414" s="5"/>
      <c r="J20414" s="5"/>
      <c r="K20414" s="5"/>
    </row>
    <row r="20415" spans="1:11" x14ac:dyDescent="0.25">
      <c r="A20415" s="5">
        <f>20408</f>
      </c>
      <c r="B20415" s="5" t="s">
        <v>20423</v>
      </c>
      <c r="C20415" s="5">
        <v>121.9</v>
      </c>
      <c r="D20415" s="5">
        <v>0.1</v>
      </c>
      <c r="E20415" s="5">
        <v>122.1</v>
      </c>
      <c r="F20415" s="5">
        <v>244</v>
      </c>
      <c r="G20415" s="5">
        <v>121.8</v>
      </c>
      <c r="H20415" s="5">
        <v>121.6</v>
      </c>
      <c r="I20415" s="5"/>
      <c r="J20415" s="5"/>
      <c r="K20415" s="5"/>
    </row>
    <row r="20416" spans="1:11" x14ac:dyDescent="0.25">
      <c r="A20416" s="5">
        <f>20409</f>
      </c>
      <c r="B20416" s="5" t="s">
        <v>20424</v>
      </c>
      <c r="C20416" s="5">
        <v>122.2</v>
      </c>
      <c r="D20416" s="5">
        <v>0.1</v>
      </c>
      <c r="E20416" s="5">
        <v>122.4</v>
      </c>
      <c r="F20416" s="5">
        <v>244.2</v>
      </c>
      <c r="G20416" s="5">
        <v>121.9</v>
      </c>
      <c r="H20416" s="5">
        <v>121.7</v>
      </c>
      <c r="I20416" s="5"/>
      <c r="J20416" s="5"/>
      <c r="K20416" s="5"/>
    </row>
    <row r="20417" spans="1:11" x14ac:dyDescent="0.25">
      <c r="A20417" s="5">
        <f>20410</f>
      </c>
      <c r="B20417" s="5" t="s">
        <v>20425</v>
      </c>
      <c r="C20417" s="5">
        <v>122.2</v>
      </c>
      <c r="D20417" s="5">
        <v>0.1</v>
      </c>
      <c r="E20417" s="5">
        <v>122.4</v>
      </c>
      <c r="F20417" s="5">
        <v>244.2</v>
      </c>
      <c r="G20417" s="5">
        <v>121.9</v>
      </c>
      <c r="H20417" s="5">
        <v>121.7</v>
      </c>
      <c r="I20417" s="5"/>
      <c r="J20417" s="5"/>
      <c r="K20417" s="5"/>
    </row>
    <row r="20418" spans="1:11" x14ac:dyDescent="0.25">
      <c r="A20418" s="5">
        <f>20411</f>
      </c>
      <c r="B20418" s="5" t="s">
        <v>20426</v>
      </c>
      <c r="C20418" s="5">
        <v>122.2</v>
      </c>
      <c r="D20418" s="5">
        <v>0.1</v>
      </c>
      <c r="E20418" s="5">
        <v>122.4</v>
      </c>
      <c r="F20418" s="5">
        <v>244.2</v>
      </c>
      <c r="G20418" s="5">
        <v>121.9</v>
      </c>
      <c r="H20418" s="5">
        <v>121.7</v>
      </c>
      <c r="I20418" s="5"/>
      <c r="J20418" s="5"/>
      <c r="K20418" s="5"/>
    </row>
    <row r="20419" spans="1:11" x14ac:dyDescent="0.25">
      <c r="A20419" s="5">
        <f>20412</f>
      </c>
      <c r="B20419" s="5" t="s">
        <v>20427</v>
      </c>
      <c r="C20419" s="5">
        <v>122.2</v>
      </c>
      <c r="D20419" s="5">
        <v>0.1</v>
      </c>
      <c r="E20419" s="5">
        <v>122.4</v>
      </c>
      <c r="F20419" s="5">
        <v>244.2</v>
      </c>
      <c r="G20419" s="5">
        <v>121.9</v>
      </c>
      <c r="H20419" s="5">
        <v>121.5</v>
      </c>
      <c r="I20419" s="5"/>
      <c r="J20419" s="5"/>
      <c r="K20419" s="5"/>
    </row>
    <row r="20420" spans="1:11" x14ac:dyDescent="0.25">
      <c r="A20420" s="5">
        <f>20413</f>
      </c>
      <c r="B20420" s="5" t="s">
        <v>20428</v>
      </c>
      <c r="C20420" s="5">
        <v>122</v>
      </c>
      <c r="D20420" s="5">
        <v>0.1</v>
      </c>
      <c r="E20420" s="5">
        <v>122.1</v>
      </c>
      <c r="F20420" s="5">
        <v>243.8</v>
      </c>
      <c r="G20420" s="5">
        <v>121.7</v>
      </c>
      <c r="H20420" s="5">
        <v>121.5</v>
      </c>
      <c r="I20420" s="5"/>
      <c r="J20420" s="5"/>
      <c r="K20420" s="5"/>
    </row>
    <row r="20421" spans="1:11" x14ac:dyDescent="0.25">
      <c r="A20421" s="5">
        <f>20414</f>
      </c>
      <c r="B20421" s="5" t="s">
        <v>20429</v>
      </c>
      <c r="C20421" s="5">
        <v>122</v>
      </c>
      <c r="D20421" s="5">
        <v>0.1</v>
      </c>
      <c r="E20421" s="5">
        <v>122.1</v>
      </c>
      <c r="F20421" s="5">
        <v>243.8</v>
      </c>
      <c r="G20421" s="5">
        <v>121.7</v>
      </c>
      <c r="H20421" s="5">
        <v>121.9</v>
      </c>
      <c r="I20421" s="5"/>
      <c r="J20421" s="5"/>
      <c r="K20421" s="5"/>
    </row>
    <row r="20422" spans="1:11" x14ac:dyDescent="0.25">
      <c r="A20422" s="5">
        <f>20415</f>
      </c>
      <c r="B20422" s="5" t="s">
        <v>20430</v>
      </c>
      <c r="C20422" s="5">
        <v>122.5</v>
      </c>
      <c r="D20422" s="5">
        <v>0.1</v>
      </c>
      <c r="E20422" s="5">
        <v>122.7</v>
      </c>
      <c r="F20422" s="5">
        <v>244.6</v>
      </c>
      <c r="G20422" s="5">
        <v>122</v>
      </c>
      <c r="H20422" s="5">
        <v>121.9</v>
      </c>
      <c r="I20422" s="5"/>
      <c r="J20422" s="5"/>
      <c r="K20422" s="5"/>
    </row>
    <row r="20423" spans="1:11" x14ac:dyDescent="0.25">
      <c r="A20423" s="5">
        <f>20416</f>
      </c>
      <c r="B20423" s="5" t="s">
        <v>20431</v>
      </c>
      <c r="C20423" s="5">
        <v>122.5</v>
      </c>
      <c r="D20423" s="5">
        <v>0.1</v>
      </c>
      <c r="E20423" s="5">
        <v>122.7</v>
      </c>
      <c r="F20423" s="5">
        <v>244.6</v>
      </c>
      <c r="G20423" s="5">
        <v>122</v>
      </c>
      <c r="H20423" s="5">
        <v>121.9</v>
      </c>
      <c r="I20423" s="5"/>
      <c r="J20423" s="5"/>
      <c r="K20423" s="5"/>
    </row>
    <row r="20424" spans="1:11" x14ac:dyDescent="0.25">
      <c r="A20424" s="5">
        <f>20417</f>
      </c>
      <c r="B20424" s="5" t="s">
        <v>20432</v>
      </c>
      <c r="C20424" s="5">
        <v>122.3</v>
      </c>
      <c r="D20424" s="5">
        <v>0.1</v>
      </c>
      <c r="E20424" s="5">
        <v>122.5</v>
      </c>
      <c r="F20424" s="5">
        <v>244.5</v>
      </c>
      <c r="G20424" s="5">
        <v>122</v>
      </c>
      <c r="H20424" s="5">
        <v>121.8</v>
      </c>
      <c r="I20424" s="5"/>
      <c r="J20424" s="5"/>
      <c r="K20424" s="5"/>
    </row>
    <row r="20425" spans="1:11" x14ac:dyDescent="0.25">
      <c r="A20425" s="5">
        <f>20418</f>
      </c>
      <c r="B20425" s="5" t="s">
        <v>20433</v>
      </c>
      <c r="C20425" s="5">
        <v>122.3</v>
      </c>
      <c r="D20425" s="5">
        <v>0.1</v>
      </c>
      <c r="E20425" s="5">
        <v>122.5</v>
      </c>
      <c r="F20425" s="5">
        <v>244.5</v>
      </c>
      <c r="G20425" s="5">
        <v>122</v>
      </c>
      <c r="H20425" s="5">
        <v>121.8</v>
      </c>
      <c r="I20425" s="5"/>
      <c r="J20425" s="5"/>
      <c r="K20425" s="5"/>
    </row>
    <row r="20426" spans="1:11" x14ac:dyDescent="0.25">
      <c r="A20426" s="5">
        <f>20419</f>
      </c>
      <c r="B20426" s="5" t="s">
        <v>20434</v>
      </c>
      <c r="C20426" s="5">
        <v>122.3</v>
      </c>
      <c r="D20426" s="5">
        <v>0.1</v>
      </c>
      <c r="E20426" s="5">
        <v>122.5</v>
      </c>
      <c r="F20426" s="5">
        <v>244.4</v>
      </c>
      <c r="G20426" s="5">
        <v>122</v>
      </c>
      <c r="H20426" s="5">
        <v>121.8</v>
      </c>
      <c r="I20426" s="5"/>
      <c r="J20426" s="5"/>
      <c r="K20426" s="5"/>
    </row>
    <row r="20427" spans="1:11" x14ac:dyDescent="0.25">
      <c r="A20427" s="5">
        <f>20420</f>
      </c>
      <c r="B20427" s="5" t="s">
        <v>20435</v>
      </c>
      <c r="C20427" s="5">
        <v>122.3</v>
      </c>
      <c r="D20427" s="5">
        <v>0.1</v>
      </c>
      <c r="E20427" s="5">
        <v>122.5</v>
      </c>
      <c r="F20427" s="5">
        <v>244.4</v>
      </c>
      <c r="G20427" s="5">
        <v>122</v>
      </c>
      <c r="H20427" s="5">
        <v>121.8</v>
      </c>
      <c r="I20427" s="5"/>
      <c r="J20427" s="5"/>
      <c r="K20427" s="5"/>
    </row>
    <row r="20428" spans="1:11" x14ac:dyDescent="0.25">
      <c r="A20428" s="5">
        <f>20421</f>
      </c>
      <c r="B20428" s="5" t="s">
        <v>20436</v>
      </c>
      <c r="C20428" s="5">
        <v>122.3</v>
      </c>
      <c r="D20428" s="5">
        <v>0.1</v>
      </c>
      <c r="E20428" s="5">
        <v>122.5</v>
      </c>
      <c r="F20428" s="5">
        <v>244.4</v>
      </c>
      <c r="G20428" s="5">
        <v>122</v>
      </c>
      <c r="H20428" s="5">
        <v>121.8</v>
      </c>
      <c r="I20428" s="5"/>
      <c r="J20428" s="5"/>
      <c r="K20428" s="5"/>
    </row>
    <row r="20429" spans="1:11" x14ac:dyDescent="0.25">
      <c r="A20429" s="5">
        <f>20422</f>
      </c>
      <c r="B20429" s="5" t="s">
        <v>20437</v>
      </c>
      <c r="C20429" s="5">
        <v>122.3</v>
      </c>
      <c r="D20429" s="5">
        <v>0.1</v>
      </c>
      <c r="E20429" s="5">
        <v>122.5</v>
      </c>
      <c r="F20429" s="5">
        <v>244.1</v>
      </c>
      <c r="G20429" s="5">
        <v>121.8</v>
      </c>
      <c r="H20429" s="5">
        <v>121.6</v>
      </c>
      <c r="I20429" s="5"/>
      <c r="J20429" s="5"/>
      <c r="K20429" s="5"/>
    </row>
    <row r="20430" spans="1:11" x14ac:dyDescent="0.25">
      <c r="A20430" s="5">
        <f>20423</f>
      </c>
      <c r="B20430" s="5" t="s">
        <v>20438</v>
      </c>
      <c r="C20430" s="5">
        <v>122.3</v>
      </c>
      <c r="D20430" s="5">
        <v>0.1</v>
      </c>
      <c r="E20430" s="5">
        <v>122.5</v>
      </c>
      <c r="F20430" s="5">
        <v>244.1</v>
      </c>
      <c r="G20430" s="5">
        <v>121.8</v>
      </c>
      <c r="H20430" s="5">
        <v>121.6</v>
      </c>
      <c r="I20430" s="5"/>
      <c r="J20430" s="5"/>
      <c r="K20430" s="5"/>
    </row>
    <row r="20431" spans="1:11" x14ac:dyDescent="0.25">
      <c r="A20431" s="5">
        <f>20424</f>
      </c>
      <c r="B20431" s="5" t="s">
        <v>20439</v>
      </c>
      <c r="C20431" s="5">
        <v>122.4</v>
      </c>
      <c r="D20431" s="5">
        <v>0.1</v>
      </c>
      <c r="E20431" s="5">
        <v>122.5</v>
      </c>
      <c r="F20431" s="5">
        <v>244</v>
      </c>
      <c r="G20431" s="5">
        <v>121.8</v>
      </c>
      <c r="H20431" s="5">
        <v>121.7</v>
      </c>
      <c r="I20431" s="5"/>
      <c r="J20431" s="5"/>
      <c r="K20431" s="5"/>
    </row>
    <row r="20432" spans="1:11" x14ac:dyDescent="0.25">
      <c r="A20432" s="5">
        <f>20425</f>
      </c>
      <c r="B20432" s="5" t="s">
        <v>20440</v>
      </c>
      <c r="C20432" s="5">
        <v>122.4</v>
      </c>
      <c r="D20432" s="5">
        <v>0.1</v>
      </c>
      <c r="E20432" s="5">
        <v>122.5</v>
      </c>
      <c r="F20432" s="5">
        <v>244</v>
      </c>
      <c r="G20432" s="5">
        <v>121.8</v>
      </c>
      <c r="H20432" s="5">
        <v>121.7</v>
      </c>
      <c r="I20432" s="5"/>
      <c r="J20432" s="5"/>
      <c r="K20432" s="5"/>
    </row>
    <row r="20433" spans="1:11" x14ac:dyDescent="0.25">
      <c r="A20433" s="5">
        <f>20426</f>
      </c>
      <c r="B20433" s="5" t="s">
        <v>20441</v>
      </c>
      <c r="C20433" s="5">
        <v>122.4</v>
      </c>
      <c r="D20433" s="5">
        <v>0.1</v>
      </c>
      <c r="E20433" s="5">
        <v>122.5</v>
      </c>
      <c r="F20433" s="5">
        <v>244.2</v>
      </c>
      <c r="G20433" s="5">
        <v>121.9</v>
      </c>
      <c r="H20433" s="5">
        <v>121.7</v>
      </c>
      <c r="I20433" s="5"/>
      <c r="J20433" s="5"/>
      <c r="K20433" s="5"/>
    </row>
    <row r="20434" spans="1:11" x14ac:dyDescent="0.25">
      <c r="A20434" s="5">
        <f>20427</f>
      </c>
      <c r="B20434" s="5" t="s">
        <v>20442</v>
      </c>
      <c r="C20434" s="5">
        <v>122.4</v>
      </c>
      <c r="D20434" s="5">
        <v>0.1</v>
      </c>
      <c r="E20434" s="5">
        <v>122.5</v>
      </c>
      <c r="F20434" s="5">
        <v>244.2</v>
      </c>
      <c r="G20434" s="5">
        <v>121.9</v>
      </c>
      <c r="H20434" s="5">
        <v>121.7</v>
      </c>
      <c r="I20434" s="5"/>
      <c r="J20434" s="5"/>
      <c r="K20434" s="5"/>
    </row>
    <row r="20435" spans="1:11" x14ac:dyDescent="0.25">
      <c r="A20435" s="5">
        <f>20428</f>
      </c>
      <c r="B20435" s="5" t="s">
        <v>20443</v>
      </c>
      <c r="C20435" s="5">
        <v>122.2</v>
      </c>
      <c r="D20435" s="5">
        <v>0.1</v>
      </c>
      <c r="E20435" s="5">
        <v>122.5</v>
      </c>
      <c r="F20435" s="5">
        <v>244.5</v>
      </c>
      <c r="G20435" s="5">
        <v>122</v>
      </c>
      <c r="H20435" s="5">
        <v>121.9</v>
      </c>
      <c r="I20435" s="5"/>
      <c r="J20435" s="5"/>
      <c r="K20435" s="5"/>
    </row>
    <row r="20436" spans="1:11" x14ac:dyDescent="0.25">
      <c r="A20436" s="5">
        <f>20429</f>
      </c>
      <c r="B20436" s="5" t="s">
        <v>20444</v>
      </c>
      <c r="C20436" s="5">
        <v>122.2</v>
      </c>
      <c r="D20436" s="5">
        <v>0.1</v>
      </c>
      <c r="E20436" s="5">
        <v>122.5</v>
      </c>
      <c r="F20436" s="5">
        <v>244.5</v>
      </c>
      <c r="G20436" s="5">
        <v>122</v>
      </c>
      <c r="H20436" s="5">
        <v>121.9</v>
      </c>
      <c r="I20436" s="5"/>
      <c r="J20436" s="5"/>
      <c r="K20436" s="5"/>
    </row>
    <row r="20437" spans="1:11" x14ac:dyDescent="0.25">
      <c r="A20437" s="5">
        <f>20430</f>
      </c>
      <c r="B20437" s="5" t="s">
        <v>20445</v>
      </c>
      <c r="C20437" s="5">
        <v>122.2</v>
      </c>
      <c r="D20437" s="5">
        <v>0.1</v>
      </c>
      <c r="E20437" s="5">
        <v>122.5</v>
      </c>
      <c r="F20437" s="5">
        <v>244.5</v>
      </c>
      <c r="G20437" s="5">
        <v>122</v>
      </c>
      <c r="H20437" s="5">
        <v>121.9</v>
      </c>
      <c r="I20437" s="5"/>
      <c r="J20437" s="5"/>
      <c r="K20437" s="5"/>
    </row>
    <row r="20438" spans="1:11" x14ac:dyDescent="0.25">
      <c r="A20438" s="5">
        <f>20431</f>
      </c>
      <c r="B20438" s="5" t="s">
        <v>20446</v>
      </c>
      <c r="C20438" s="5">
        <v>122.2</v>
      </c>
      <c r="D20438" s="5">
        <v>0.1</v>
      </c>
      <c r="E20438" s="5">
        <v>122.5</v>
      </c>
      <c r="F20438" s="5">
        <v>244.5</v>
      </c>
      <c r="G20438" s="5">
        <v>122</v>
      </c>
      <c r="H20438" s="5">
        <v>121.9</v>
      </c>
      <c r="I20438" s="5"/>
      <c r="J20438" s="5"/>
      <c r="K20438" s="5"/>
    </row>
    <row r="20439" spans="1:11" x14ac:dyDescent="0.25">
      <c r="A20439" s="5">
        <f>20432</f>
      </c>
      <c r="B20439" s="5" t="s">
        <v>20447</v>
      </c>
      <c r="C20439" s="5">
        <v>122.2</v>
      </c>
      <c r="D20439" s="5">
        <v>0.1</v>
      </c>
      <c r="E20439" s="5">
        <v>122.4</v>
      </c>
      <c r="F20439" s="5">
        <v>244.3</v>
      </c>
      <c r="G20439" s="5">
        <v>121.9</v>
      </c>
      <c r="H20439" s="5">
        <v>121.7</v>
      </c>
      <c r="I20439" s="5"/>
      <c r="J20439" s="5"/>
      <c r="K20439" s="5"/>
    </row>
    <row r="20440" spans="1:11" x14ac:dyDescent="0.25">
      <c r="A20440" s="5">
        <f>20433</f>
      </c>
      <c r="B20440" s="5" t="s">
        <v>20448</v>
      </c>
      <c r="C20440" s="5">
        <v>122.2</v>
      </c>
      <c r="D20440" s="5">
        <v>0.1</v>
      </c>
      <c r="E20440" s="5">
        <v>122.4</v>
      </c>
      <c r="F20440" s="5">
        <v>244.3</v>
      </c>
      <c r="G20440" s="5">
        <v>121.9</v>
      </c>
      <c r="H20440" s="5">
        <v>121.7</v>
      </c>
      <c r="I20440" s="5"/>
      <c r="J20440" s="5"/>
      <c r="K20440" s="5"/>
    </row>
    <row r="20441" spans="1:11" x14ac:dyDescent="0.25">
      <c r="A20441" s="5">
        <f>20434</f>
      </c>
      <c r="B20441" s="5" t="s">
        <v>20449</v>
      </c>
      <c r="C20441" s="5">
        <v>122.3</v>
      </c>
      <c r="D20441" s="5">
        <v>0.1</v>
      </c>
      <c r="E20441" s="5">
        <v>122.5</v>
      </c>
      <c r="F20441" s="5">
        <v>244.1</v>
      </c>
      <c r="G20441" s="5">
        <v>121.8</v>
      </c>
      <c r="H20441" s="5">
        <v>121.7</v>
      </c>
      <c r="I20441" s="5"/>
      <c r="J20441" s="5"/>
      <c r="K20441" s="5"/>
    </row>
    <row r="20442" spans="1:11" x14ac:dyDescent="0.25">
      <c r="A20442" s="5">
        <f>20435</f>
      </c>
      <c r="B20442" s="5" t="s">
        <v>20450</v>
      </c>
      <c r="C20442" s="5">
        <v>122.3</v>
      </c>
      <c r="D20442" s="5">
        <v>0.1</v>
      </c>
      <c r="E20442" s="5">
        <v>122.5</v>
      </c>
      <c r="F20442" s="5">
        <v>244.1</v>
      </c>
      <c r="G20442" s="5">
        <v>121.8</v>
      </c>
      <c r="H20442" s="5">
        <v>121.7</v>
      </c>
      <c r="I20442" s="5"/>
      <c r="J20442" s="5"/>
      <c r="K20442" s="5"/>
    </row>
    <row r="20443" spans="1:11" x14ac:dyDescent="0.25">
      <c r="A20443" s="5">
        <f>20436</f>
      </c>
      <c r="B20443" s="5" t="s">
        <v>20451</v>
      </c>
      <c r="C20443" s="5">
        <v>122.3</v>
      </c>
      <c r="D20443" s="5">
        <v>0.1</v>
      </c>
      <c r="E20443" s="5">
        <v>122.5</v>
      </c>
      <c r="F20443" s="5">
        <v>244.5</v>
      </c>
      <c r="G20443" s="5">
        <v>122</v>
      </c>
      <c r="H20443" s="5">
        <v>121.8</v>
      </c>
      <c r="I20443" s="5"/>
      <c r="J20443" s="5"/>
      <c r="K20443" s="5"/>
    </row>
    <row r="20444" spans="1:11" x14ac:dyDescent="0.25">
      <c r="A20444" s="5">
        <f>20437</f>
      </c>
      <c r="B20444" s="5" t="s">
        <v>20452</v>
      </c>
      <c r="C20444" s="5">
        <v>122.3</v>
      </c>
      <c r="D20444" s="5">
        <v>0.1</v>
      </c>
      <c r="E20444" s="5">
        <v>122.5</v>
      </c>
      <c r="F20444" s="5">
        <v>244.5</v>
      </c>
      <c r="G20444" s="5">
        <v>122</v>
      </c>
      <c r="H20444" s="5">
        <v>121.8</v>
      </c>
      <c r="I20444" s="5"/>
      <c r="J20444" s="5"/>
      <c r="K20444" s="5"/>
    </row>
    <row r="20445" spans="1:11" x14ac:dyDescent="0.25">
      <c r="A20445" s="5">
        <f>20438</f>
      </c>
      <c r="B20445" s="5" t="s">
        <v>20453</v>
      </c>
      <c r="C20445" s="5">
        <v>122.2</v>
      </c>
      <c r="D20445" s="5">
        <v>0.1</v>
      </c>
      <c r="E20445" s="5">
        <v>122.4</v>
      </c>
      <c r="F20445" s="5">
        <v>244.5</v>
      </c>
      <c r="G20445" s="5">
        <v>122</v>
      </c>
      <c r="H20445" s="5">
        <v>121.8</v>
      </c>
      <c r="I20445" s="5"/>
      <c r="J20445" s="5"/>
      <c r="K20445" s="5"/>
    </row>
    <row r="20446" spans="1:11" x14ac:dyDescent="0.25">
      <c r="A20446" s="5">
        <f>20439</f>
      </c>
      <c r="B20446" s="5" t="s">
        <v>20454</v>
      </c>
      <c r="C20446" s="5">
        <v>122.2</v>
      </c>
      <c r="D20446" s="5">
        <v>0.1</v>
      </c>
      <c r="E20446" s="5">
        <v>122.4</v>
      </c>
      <c r="F20446" s="5">
        <v>244.5</v>
      </c>
      <c r="G20446" s="5">
        <v>122</v>
      </c>
      <c r="H20446" s="5">
        <v>121.8</v>
      </c>
      <c r="I20446" s="5"/>
      <c r="J20446" s="5"/>
      <c r="K20446" s="5"/>
    </row>
    <row r="20447" spans="1:11" x14ac:dyDescent="0.25">
      <c r="A20447" s="5">
        <f>20440</f>
      </c>
      <c r="B20447" s="5" t="s">
        <v>20455</v>
      </c>
      <c r="C20447" s="5">
        <v>122.2</v>
      </c>
      <c r="D20447" s="5">
        <v>0.1</v>
      </c>
      <c r="E20447" s="5">
        <v>122.4</v>
      </c>
      <c r="F20447" s="5">
        <v>244.5</v>
      </c>
      <c r="G20447" s="5">
        <v>122</v>
      </c>
      <c r="H20447" s="5">
        <v>121.8</v>
      </c>
      <c r="I20447" s="5"/>
      <c r="J20447" s="5"/>
      <c r="K20447" s="5"/>
    </row>
    <row r="20448" spans="1:11" x14ac:dyDescent="0.25">
      <c r="A20448" s="5">
        <f>20441</f>
      </c>
      <c r="B20448" s="5" t="s">
        <v>20456</v>
      </c>
      <c r="C20448" s="5">
        <v>122.2</v>
      </c>
      <c r="D20448" s="5">
        <v>0.1</v>
      </c>
      <c r="E20448" s="5">
        <v>122.4</v>
      </c>
      <c r="F20448" s="5">
        <v>244.5</v>
      </c>
      <c r="G20448" s="5">
        <v>122</v>
      </c>
      <c r="H20448" s="5">
        <v>121.8</v>
      </c>
      <c r="I20448" s="5"/>
      <c r="J20448" s="5"/>
      <c r="K20448" s="5"/>
    </row>
    <row r="20449" spans="1:11" x14ac:dyDescent="0.25">
      <c r="A20449" s="5">
        <f>20442</f>
      </c>
      <c r="B20449" s="5" t="s">
        <v>20457</v>
      </c>
      <c r="C20449" s="5">
        <v>122.3</v>
      </c>
      <c r="D20449" s="5">
        <v>0.1</v>
      </c>
      <c r="E20449" s="5">
        <v>122.5</v>
      </c>
      <c r="F20449" s="5">
        <v>243.9</v>
      </c>
      <c r="G20449" s="5">
        <v>121.7</v>
      </c>
      <c r="H20449" s="5">
        <v>121.5</v>
      </c>
      <c r="I20449" s="5"/>
      <c r="J20449" s="5"/>
      <c r="K20449" s="5"/>
    </row>
    <row r="20450" spans="1:11" x14ac:dyDescent="0.25">
      <c r="A20450" s="5">
        <f>20443</f>
      </c>
      <c r="B20450" s="5" t="s">
        <v>20458</v>
      </c>
      <c r="C20450" s="5">
        <v>122.3</v>
      </c>
      <c r="D20450" s="5">
        <v>0.1</v>
      </c>
      <c r="E20450" s="5">
        <v>122.5</v>
      </c>
      <c r="F20450" s="5">
        <v>243.9</v>
      </c>
      <c r="G20450" s="5">
        <v>121.7</v>
      </c>
      <c r="H20450" s="5">
        <v>121.5</v>
      </c>
      <c r="I20450" s="5"/>
      <c r="J20450" s="5"/>
      <c r="K20450" s="5"/>
    </row>
    <row r="20451" spans="1:11" x14ac:dyDescent="0.25">
      <c r="A20451" s="5">
        <f>20444</f>
      </c>
      <c r="B20451" s="5" t="s">
        <v>20459</v>
      </c>
      <c r="C20451" s="5">
        <v>122</v>
      </c>
      <c r="D20451" s="5">
        <v>0.1</v>
      </c>
      <c r="E20451" s="5">
        <v>122.1</v>
      </c>
      <c r="F20451" s="5">
        <v>243.4</v>
      </c>
      <c r="G20451" s="5">
        <v>121.6</v>
      </c>
      <c r="H20451" s="5">
        <v>121.4</v>
      </c>
      <c r="I20451" s="5"/>
      <c r="J20451" s="5"/>
      <c r="K20451" s="5"/>
    </row>
    <row r="20452" spans="1:11" x14ac:dyDescent="0.25">
      <c r="A20452" s="5">
        <f>20445</f>
      </c>
      <c r="B20452" s="5" t="s">
        <v>20460</v>
      </c>
      <c r="C20452" s="5">
        <v>122</v>
      </c>
      <c r="D20452" s="5">
        <v>0.1</v>
      </c>
      <c r="E20452" s="5">
        <v>122.1</v>
      </c>
      <c r="F20452" s="5">
        <v>243.4</v>
      </c>
      <c r="G20452" s="5">
        <v>121.6</v>
      </c>
      <c r="H20452" s="5">
        <v>121.4</v>
      </c>
      <c r="I20452" s="5"/>
      <c r="J20452" s="5"/>
      <c r="K20452" s="5"/>
    </row>
    <row r="20453" spans="1:11" x14ac:dyDescent="0.25">
      <c r="A20453" s="5">
        <f>20446</f>
      </c>
      <c r="B20453" s="5" t="s">
        <v>20461</v>
      </c>
      <c r="C20453" s="5">
        <v>122.1</v>
      </c>
      <c r="D20453" s="5">
        <v>0.1</v>
      </c>
      <c r="E20453" s="5">
        <v>122.2</v>
      </c>
      <c r="F20453" s="5">
        <v>244</v>
      </c>
      <c r="G20453" s="5">
        <v>121.8</v>
      </c>
      <c r="H20453" s="5">
        <v>121.6</v>
      </c>
      <c r="I20453" s="5"/>
      <c r="J20453" s="5"/>
      <c r="K20453" s="5"/>
    </row>
    <row r="20454" spans="1:11" x14ac:dyDescent="0.25">
      <c r="A20454" s="5">
        <f>20447</f>
      </c>
      <c r="B20454" s="5" t="s">
        <v>20462</v>
      </c>
      <c r="C20454" s="5">
        <v>122.1</v>
      </c>
      <c r="D20454" s="5">
        <v>0.1</v>
      </c>
      <c r="E20454" s="5">
        <v>122.2</v>
      </c>
      <c r="F20454" s="5">
        <v>244</v>
      </c>
      <c r="G20454" s="5">
        <v>121.8</v>
      </c>
      <c r="H20454" s="5">
        <v>121.6</v>
      </c>
      <c r="I20454" s="5"/>
      <c r="J20454" s="5"/>
      <c r="K20454" s="5"/>
    </row>
    <row r="20455" spans="1:11" x14ac:dyDescent="0.25">
      <c r="A20455" s="5">
        <f>20448</f>
      </c>
      <c r="B20455" s="5" t="s">
        <v>20463</v>
      </c>
      <c r="C20455" s="5">
        <v>122.1</v>
      </c>
      <c r="D20455" s="5">
        <v>0.1</v>
      </c>
      <c r="E20455" s="5">
        <v>122.2</v>
      </c>
      <c r="F20455" s="5">
        <v>243.6</v>
      </c>
      <c r="G20455" s="5">
        <v>121.6</v>
      </c>
      <c r="H20455" s="5">
        <v>121.4</v>
      </c>
      <c r="I20455" s="5"/>
      <c r="J20455" s="5"/>
      <c r="K20455" s="5"/>
    </row>
    <row r="20456" spans="1:11" x14ac:dyDescent="0.25">
      <c r="A20456" s="5">
        <f>20449</f>
      </c>
      <c r="B20456" s="5" t="s">
        <v>20464</v>
      </c>
      <c r="C20456" s="5">
        <v>122.1</v>
      </c>
      <c r="D20456" s="5">
        <v>0.1</v>
      </c>
      <c r="E20456" s="5">
        <v>122.2</v>
      </c>
      <c r="F20456" s="5">
        <v>243.6</v>
      </c>
      <c r="G20456" s="5">
        <v>121.6</v>
      </c>
      <c r="H20456" s="5">
        <v>121.4</v>
      </c>
      <c r="I20456" s="5"/>
      <c r="J20456" s="5"/>
      <c r="K20456" s="5"/>
    </row>
    <row r="20457" spans="1:11" x14ac:dyDescent="0.25">
      <c r="A20457" s="5">
        <f>20450</f>
      </c>
      <c r="B20457" s="5" t="s">
        <v>20465</v>
      </c>
      <c r="C20457" s="5">
        <v>122.1</v>
      </c>
      <c r="D20457" s="5">
        <v>0.1</v>
      </c>
      <c r="E20457" s="5">
        <v>122.2</v>
      </c>
      <c r="F20457" s="5">
        <v>243.6</v>
      </c>
      <c r="G20457" s="5">
        <v>121.6</v>
      </c>
      <c r="H20457" s="5">
        <v>121.4</v>
      </c>
      <c r="I20457" s="5"/>
      <c r="J20457" s="5"/>
      <c r="K20457" s="5"/>
    </row>
    <row r="20458" spans="1:11" x14ac:dyDescent="0.25">
      <c r="A20458" s="5">
        <f>20451</f>
      </c>
      <c r="B20458" s="5" t="s">
        <v>20466</v>
      </c>
      <c r="C20458" s="5">
        <v>122.1</v>
      </c>
      <c r="D20458" s="5">
        <v>0.1</v>
      </c>
      <c r="E20458" s="5">
        <v>122.2</v>
      </c>
      <c r="F20458" s="5">
        <v>243.6</v>
      </c>
      <c r="G20458" s="5">
        <v>121.6</v>
      </c>
      <c r="H20458" s="5">
        <v>121.4</v>
      </c>
      <c r="I20458" s="5"/>
      <c r="J20458" s="5"/>
      <c r="K20458" s="5"/>
    </row>
    <row r="20459" spans="1:11" x14ac:dyDescent="0.25">
      <c r="A20459" s="5">
        <f>20452</f>
      </c>
      <c r="B20459" s="5" t="s">
        <v>20467</v>
      </c>
      <c r="C20459" s="5">
        <v>122.1</v>
      </c>
      <c r="D20459" s="5">
        <v>0.1</v>
      </c>
      <c r="E20459" s="5">
        <v>122.2</v>
      </c>
      <c r="F20459" s="5">
        <v>244.4</v>
      </c>
      <c r="G20459" s="5">
        <v>121.9</v>
      </c>
      <c r="H20459" s="5">
        <v>121.7</v>
      </c>
      <c r="I20459" s="5"/>
      <c r="J20459" s="5"/>
      <c r="K20459" s="5"/>
    </row>
    <row r="20460" spans="1:11" x14ac:dyDescent="0.25">
      <c r="A20460" s="5">
        <f>20453</f>
      </c>
      <c r="B20460" s="5" t="s">
        <v>20468</v>
      </c>
      <c r="C20460" s="5">
        <v>122.1</v>
      </c>
      <c r="D20460" s="5">
        <v>0.1</v>
      </c>
      <c r="E20460" s="5">
        <v>122.2</v>
      </c>
      <c r="F20460" s="5">
        <v>244.4</v>
      </c>
      <c r="G20460" s="5">
        <v>121.9</v>
      </c>
      <c r="H20460" s="5">
        <v>121.7</v>
      </c>
      <c r="I20460" s="5"/>
      <c r="J20460" s="5"/>
      <c r="K20460" s="5"/>
    </row>
    <row r="20461" spans="1:11" x14ac:dyDescent="0.25">
      <c r="A20461" s="5">
        <f>20454</f>
      </c>
      <c r="B20461" s="5" t="s">
        <v>20469</v>
      </c>
      <c r="C20461" s="5">
        <v>122.1</v>
      </c>
      <c r="D20461" s="5">
        <v>0.1</v>
      </c>
      <c r="E20461" s="5">
        <v>122.2</v>
      </c>
      <c r="F20461" s="5">
        <v>243.9</v>
      </c>
      <c r="G20461" s="5">
        <v>121.7</v>
      </c>
      <c r="H20461" s="5">
        <v>121.6</v>
      </c>
      <c r="I20461" s="5"/>
      <c r="J20461" s="5"/>
      <c r="K20461" s="5"/>
    </row>
    <row r="20462" spans="1:11" x14ac:dyDescent="0.25">
      <c r="A20462" s="5">
        <f>20455</f>
      </c>
      <c r="B20462" s="5" t="s">
        <v>20470</v>
      </c>
      <c r="C20462" s="5">
        <v>122.1</v>
      </c>
      <c r="D20462" s="5">
        <v>0.1</v>
      </c>
      <c r="E20462" s="5">
        <v>122.2</v>
      </c>
      <c r="F20462" s="5">
        <v>243.9</v>
      </c>
      <c r="G20462" s="5">
        <v>121.7</v>
      </c>
      <c r="H20462" s="5">
        <v>121.6</v>
      </c>
      <c r="I20462" s="5"/>
      <c r="J20462" s="5"/>
      <c r="K20462" s="5"/>
    </row>
    <row r="20463" spans="1:11" x14ac:dyDescent="0.25">
      <c r="A20463" s="5">
        <f>20456</f>
      </c>
      <c r="B20463" s="5" t="s">
        <v>20471</v>
      </c>
      <c r="C20463" s="5">
        <v>122.5</v>
      </c>
      <c r="D20463" s="5">
        <v>0.1</v>
      </c>
      <c r="E20463" s="5">
        <v>122.6</v>
      </c>
      <c r="F20463" s="5">
        <v>244.4</v>
      </c>
      <c r="G20463" s="5">
        <v>122</v>
      </c>
      <c r="H20463" s="5">
        <v>121.8</v>
      </c>
      <c r="I20463" s="5"/>
      <c r="J20463" s="5"/>
      <c r="K20463" s="5"/>
    </row>
    <row r="20464" spans="1:11" x14ac:dyDescent="0.25">
      <c r="A20464" s="5">
        <f>20457</f>
      </c>
      <c r="B20464" s="5" t="s">
        <v>20472</v>
      </c>
      <c r="C20464" s="5">
        <v>122.5</v>
      </c>
      <c r="D20464" s="5">
        <v>0.1</v>
      </c>
      <c r="E20464" s="5">
        <v>122.6</v>
      </c>
      <c r="F20464" s="5">
        <v>244.4</v>
      </c>
      <c r="G20464" s="5">
        <v>122</v>
      </c>
      <c r="H20464" s="5">
        <v>121.8</v>
      </c>
      <c r="I20464" s="5"/>
      <c r="J20464" s="5"/>
      <c r="K20464" s="5"/>
    </row>
    <row r="20465" spans="1:11" x14ac:dyDescent="0.25">
      <c r="A20465" s="5">
        <f>20458</f>
      </c>
      <c r="B20465" s="5" t="s">
        <v>20473</v>
      </c>
      <c r="C20465" s="5">
        <v>122</v>
      </c>
      <c r="D20465" s="5">
        <v>0.1</v>
      </c>
      <c r="E20465" s="5">
        <v>122.2</v>
      </c>
      <c r="F20465" s="5">
        <v>244.1</v>
      </c>
      <c r="G20465" s="5">
        <v>121.8</v>
      </c>
      <c r="H20465" s="5">
        <v>121.7</v>
      </c>
      <c r="I20465" s="5"/>
      <c r="J20465" s="5"/>
      <c r="K20465" s="5"/>
    </row>
    <row r="20466" spans="1:11" x14ac:dyDescent="0.25">
      <c r="A20466" s="5">
        <f>20459</f>
      </c>
      <c r="B20466" s="5" t="s">
        <v>20474</v>
      </c>
      <c r="C20466" s="5">
        <v>122</v>
      </c>
      <c r="D20466" s="5">
        <v>0.1</v>
      </c>
      <c r="E20466" s="5">
        <v>122.2</v>
      </c>
      <c r="F20466" s="5">
        <v>244.1</v>
      </c>
      <c r="G20466" s="5">
        <v>121.8</v>
      </c>
      <c r="H20466" s="5">
        <v>121.7</v>
      </c>
      <c r="I20466" s="5"/>
      <c r="J20466" s="5"/>
      <c r="K20466" s="5"/>
    </row>
    <row r="20467" spans="1:11" x14ac:dyDescent="0.25">
      <c r="A20467" s="5">
        <f>20460</f>
      </c>
      <c r="B20467" s="5" t="s">
        <v>20475</v>
      </c>
      <c r="C20467" s="5">
        <v>122</v>
      </c>
      <c r="D20467" s="5">
        <v>0.1</v>
      </c>
      <c r="E20467" s="5">
        <v>122.2</v>
      </c>
      <c r="F20467" s="5">
        <v>244.1</v>
      </c>
      <c r="G20467" s="5">
        <v>121.8</v>
      </c>
      <c r="H20467" s="5">
        <v>121.7</v>
      </c>
      <c r="I20467" s="5"/>
      <c r="J20467" s="5"/>
      <c r="K20467" s="5"/>
    </row>
    <row r="20468" spans="1:11" x14ac:dyDescent="0.25">
      <c r="A20468" s="5">
        <f>20461</f>
      </c>
      <c r="B20468" s="5" t="s">
        <v>20476</v>
      </c>
      <c r="C20468" s="5">
        <v>122</v>
      </c>
      <c r="D20468" s="5">
        <v>0.1</v>
      </c>
      <c r="E20468" s="5">
        <v>122.2</v>
      </c>
      <c r="F20468" s="5">
        <v>244.1</v>
      </c>
      <c r="G20468" s="5">
        <v>121.8</v>
      </c>
      <c r="H20468" s="5">
        <v>121.7</v>
      </c>
      <c r="I20468" s="5"/>
      <c r="J20468" s="5"/>
      <c r="K20468" s="5"/>
    </row>
    <row r="20469" spans="1:11" x14ac:dyDescent="0.25">
      <c r="A20469" s="5">
        <f>20462</f>
      </c>
      <c r="B20469" s="5" t="s">
        <v>20477</v>
      </c>
      <c r="C20469" s="5">
        <v>122.3</v>
      </c>
      <c r="D20469" s="5">
        <v>0.1</v>
      </c>
      <c r="E20469" s="5">
        <v>122.5</v>
      </c>
      <c r="F20469" s="5">
        <v>244.5</v>
      </c>
      <c r="G20469" s="5">
        <v>122</v>
      </c>
      <c r="H20469" s="5">
        <v>121.8</v>
      </c>
      <c r="I20469" s="5"/>
      <c r="J20469" s="5"/>
      <c r="K20469" s="5"/>
    </row>
    <row r="20470" spans="1:11" x14ac:dyDescent="0.25">
      <c r="A20470" s="5">
        <f>20463</f>
      </c>
      <c r="B20470" s="5" t="s">
        <v>20478</v>
      </c>
      <c r="C20470" s="5">
        <v>122.3</v>
      </c>
      <c r="D20470" s="5">
        <v>0.1</v>
      </c>
      <c r="E20470" s="5">
        <v>122.5</v>
      </c>
      <c r="F20470" s="5">
        <v>244.5</v>
      </c>
      <c r="G20470" s="5">
        <v>122</v>
      </c>
      <c r="H20470" s="5">
        <v>121.8</v>
      </c>
      <c r="I20470" s="5"/>
      <c r="J20470" s="5"/>
      <c r="K20470" s="5"/>
    </row>
    <row r="20471" spans="1:11" x14ac:dyDescent="0.25">
      <c r="A20471" s="5">
        <f>20464</f>
      </c>
      <c r="B20471" s="5" t="s">
        <v>20479</v>
      </c>
      <c r="C20471" s="5">
        <v>122.3</v>
      </c>
      <c r="D20471" s="5">
        <v>0.1</v>
      </c>
      <c r="E20471" s="5">
        <v>122.5</v>
      </c>
      <c r="F20471" s="5">
        <v>244.4</v>
      </c>
      <c r="G20471" s="5">
        <v>122</v>
      </c>
      <c r="H20471" s="5">
        <v>121.7</v>
      </c>
      <c r="I20471" s="5"/>
      <c r="J20471" s="5"/>
      <c r="K20471" s="5"/>
    </row>
    <row r="20472" spans="1:11" x14ac:dyDescent="0.25">
      <c r="A20472" s="5">
        <f>20465</f>
      </c>
      <c r="B20472" s="5" t="s">
        <v>20480</v>
      </c>
      <c r="C20472" s="5">
        <v>122.3</v>
      </c>
      <c r="D20472" s="5">
        <v>0.1</v>
      </c>
      <c r="E20472" s="5">
        <v>122.5</v>
      </c>
      <c r="F20472" s="5">
        <v>244.4</v>
      </c>
      <c r="G20472" s="5">
        <v>122</v>
      </c>
      <c r="H20472" s="5">
        <v>121.7</v>
      </c>
      <c r="I20472" s="5"/>
      <c r="J20472" s="5"/>
      <c r="K20472" s="5"/>
    </row>
    <row r="20473" spans="1:11" x14ac:dyDescent="0.25">
      <c r="A20473" s="5">
        <f>20466</f>
      </c>
      <c r="B20473" s="5" t="s">
        <v>20481</v>
      </c>
      <c r="C20473" s="5">
        <v>122.5</v>
      </c>
      <c r="D20473" s="5">
        <v>0.1</v>
      </c>
      <c r="E20473" s="5">
        <v>122.7</v>
      </c>
      <c r="F20473" s="5">
        <v>244.6</v>
      </c>
      <c r="G20473" s="5">
        <v>122.1</v>
      </c>
      <c r="H20473" s="5">
        <v>121.9</v>
      </c>
      <c r="I20473" s="5"/>
      <c r="J20473" s="5"/>
      <c r="K20473" s="5"/>
    </row>
    <row r="20474" spans="1:11" x14ac:dyDescent="0.25">
      <c r="A20474" s="5">
        <f>20467</f>
      </c>
      <c r="B20474" s="5" t="s">
        <v>20482</v>
      </c>
      <c r="C20474" s="5">
        <v>122.5</v>
      </c>
      <c r="D20474" s="5">
        <v>0.1</v>
      </c>
      <c r="E20474" s="5">
        <v>122.7</v>
      </c>
      <c r="F20474" s="5">
        <v>244.6</v>
      </c>
      <c r="G20474" s="5">
        <v>122.1</v>
      </c>
      <c r="H20474" s="5">
        <v>121.9</v>
      </c>
      <c r="I20474" s="5"/>
      <c r="J20474" s="5"/>
      <c r="K20474" s="5"/>
    </row>
    <row r="20475" spans="1:11" x14ac:dyDescent="0.25">
      <c r="A20475" s="5">
        <f>20468</f>
      </c>
      <c r="B20475" s="5" t="s">
        <v>20483</v>
      </c>
      <c r="C20475" s="5">
        <v>122.5</v>
      </c>
      <c r="D20475" s="5">
        <v>0.1</v>
      </c>
      <c r="E20475" s="5">
        <v>122.8</v>
      </c>
      <c r="F20475" s="5">
        <v>244.6</v>
      </c>
      <c r="G20475" s="5">
        <v>122.1</v>
      </c>
      <c r="H20475" s="5">
        <v>121.9</v>
      </c>
      <c r="I20475" s="5"/>
      <c r="J20475" s="5"/>
      <c r="K20475" s="5"/>
    </row>
    <row r="20476" spans="1:11" x14ac:dyDescent="0.25">
      <c r="A20476" s="5">
        <f>20469</f>
      </c>
      <c r="B20476" s="5" t="s">
        <v>20484</v>
      </c>
      <c r="C20476" s="5">
        <v>122.5</v>
      </c>
      <c r="D20476" s="5">
        <v>0.1</v>
      </c>
      <c r="E20476" s="5">
        <v>122.8</v>
      </c>
      <c r="F20476" s="5">
        <v>244.6</v>
      </c>
      <c r="G20476" s="5">
        <v>122.1</v>
      </c>
      <c r="H20476" s="5">
        <v>121.9</v>
      </c>
      <c r="I20476" s="5"/>
      <c r="J20476" s="5"/>
      <c r="K20476" s="5"/>
    </row>
    <row r="20477" spans="1:11" x14ac:dyDescent="0.25">
      <c r="A20477" s="5">
        <f>20470</f>
      </c>
      <c r="B20477" s="5" t="s">
        <v>20485</v>
      </c>
      <c r="C20477" s="5">
        <v>122.5</v>
      </c>
      <c r="D20477" s="5">
        <v>0.1</v>
      </c>
      <c r="E20477" s="5">
        <v>122.8</v>
      </c>
      <c r="F20477" s="5">
        <v>244.6</v>
      </c>
      <c r="G20477" s="5">
        <v>122.1</v>
      </c>
      <c r="H20477" s="5">
        <v>121.9</v>
      </c>
      <c r="I20477" s="5"/>
      <c r="J20477" s="5"/>
      <c r="K20477" s="5"/>
    </row>
    <row r="20478" spans="1:11" x14ac:dyDescent="0.25">
      <c r="A20478" s="5">
        <f>20471</f>
      </c>
      <c r="B20478" s="5" t="s">
        <v>20486</v>
      </c>
      <c r="C20478" s="5">
        <v>122.5</v>
      </c>
      <c r="D20478" s="5">
        <v>0.1</v>
      </c>
      <c r="E20478" s="5">
        <v>122.8</v>
      </c>
      <c r="F20478" s="5">
        <v>244.6</v>
      </c>
      <c r="G20478" s="5">
        <v>122.1</v>
      </c>
      <c r="H20478" s="5">
        <v>121.9</v>
      </c>
      <c r="I20478" s="5"/>
      <c r="J20478" s="5"/>
      <c r="K20478" s="5"/>
    </row>
    <row r="20479" spans="1:11" x14ac:dyDescent="0.25">
      <c r="A20479" s="5">
        <f>20472</f>
      </c>
      <c r="B20479" s="5" t="s">
        <v>20487</v>
      </c>
      <c r="C20479" s="5">
        <v>122.5</v>
      </c>
      <c r="D20479" s="5">
        <v>0.1</v>
      </c>
      <c r="E20479" s="5">
        <v>122.6</v>
      </c>
      <c r="F20479" s="5">
        <v>244.7</v>
      </c>
      <c r="G20479" s="5">
        <v>122.1</v>
      </c>
      <c r="H20479" s="5">
        <v>121.9</v>
      </c>
      <c r="I20479" s="5"/>
      <c r="J20479" s="5"/>
      <c r="K20479" s="5"/>
    </row>
    <row r="20480" spans="1:11" x14ac:dyDescent="0.25">
      <c r="A20480" s="5">
        <f>20473</f>
      </c>
      <c r="B20480" s="5" t="s">
        <v>20488</v>
      </c>
      <c r="C20480" s="5">
        <v>122.5</v>
      </c>
      <c r="D20480" s="5">
        <v>0.1</v>
      </c>
      <c r="E20480" s="5">
        <v>122.6</v>
      </c>
      <c r="F20480" s="5">
        <v>244.7</v>
      </c>
      <c r="G20480" s="5">
        <v>122.1</v>
      </c>
      <c r="H20480" s="5">
        <v>121.9</v>
      </c>
      <c r="I20480" s="5"/>
      <c r="J20480" s="5"/>
      <c r="K20480" s="5"/>
    </row>
    <row r="20481" spans="1:11" x14ac:dyDescent="0.25">
      <c r="A20481" s="5">
        <f>20474</f>
      </c>
      <c r="B20481" s="5" t="s">
        <v>20489</v>
      </c>
      <c r="C20481" s="5">
        <v>122.2</v>
      </c>
      <c r="D20481" s="5">
        <v>0.1</v>
      </c>
      <c r="E20481" s="5">
        <v>122.5</v>
      </c>
      <c r="F20481" s="5">
        <v>244.5</v>
      </c>
      <c r="G20481" s="5">
        <v>122</v>
      </c>
      <c r="H20481" s="5">
        <v>121.8</v>
      </c>
      <c r="I20481" s="5"/>
      <c r="J20481" s="5"/>
      <c r="K20481" s="5"/>
    </row>
    <row r="20482" spans="1:11" x14ac:dyDescent="0.25">
      <c r="A20482" s="5">
        <f>20475</f>
      </c>
      <c r="B20482" s="5" t="s">
        <v>20490</v>
      </c>
      <c r="C20482" s="5">
        <v>122.2</v>
      </c>
      <c r="D20482" s="5">
        <v>0.1</v>
      </c>
      <c r="E20482" s="5">
        <v>122.5</v>
      </c>
      <c r="F20482" s="5">
        <v>244.5</v>
      </c>
      <c r="G20482" s="5">
        <v>122</v>
      </c>
      <c r="H20482" s="5">
        <v>121.8</v>
      </c>
      <c r="I20482" s="5"/>
      <c r="J20482" s="5"/>
      <c r="K20482" s="5"/>
    </row>
    <row r="20483" spans="1:11" x14ac:dyDescent="0.25">
      <c r="A20483" s="5">
        <f>20476</f>
      </c>
      <c r="B20483" s="5" t="s">
        <v>20491</v>
      </c>
      <c r="C20483" s="5">
        <v>122.6</v>
      </c>
      <c r="D20483" s="5">
        <v>0.1</v>
      </c>
      <c r="E20483" s="5">
        <v>122.8</v>
      </c>
      <c r="F20483" s="5">
        <v>244.6</v>
      </c>
      <c r="G20483" s="5">
        <v>122.1</v>
      </c>
      <c r="H20483" s="5">
        <v>121.9</v>
      </c>
      <c r="I20483" s="5"/>
      <c r="J20483" s="5"/>
      <c r="K20483" s="5"/>
    </row>
    <row r="20484" spans="1:11" x14ac:dyDescent="0.25">
      <c r="A20484" s="5">
        <f>20477</f>
      </c>
      <c r="B20484" s="5" t="s">
        <v>20492</v>
      </c>
      <c r="C20484" s="5">
        <v>122.6</v>
      </c>
      <c r="D20484" s="5">
        <v>0.1</v>
      </c>
      <c r="E20484" s="5">
        <v>122.8</v>
      </c>
      <c r="F20484" s="5">
        <v>244.6</v>
      </c>
      <c r="G20484" s="5">
        <v>122.1</v>
      </c>
      <c r="H20484" s="5">
        <v>121.9</v>
      </c>
      <c r="I20484" s="5"/>
      <c r="J20484" s="5"/>
      <c r="K20484" s="5"/>
    </row>
    <row r="20485" spans="1:11" x14ac:dyDescent="0.25">
      <c r="A20485" s="5">
        <f>20478</f>
      </c>
      <c r="B20485" s="5" t="s">
        <v>20493</v>
      </c>
      <c r="C20485" s="5">
        <v>122.6</v>
      </c>
      <c r="D20485" s="5">
        <v>0.1</v>
      </c>
      <c r="E20485" s="5">
        <v>122.8</v>
      </c>
      <c r="F20485" s="5">
        <v>244.8</v>
      </c>
      <c r="G20485" s="5">
        <v>122.2</v>
      </c>
      <c r="H20485" s="5">
        <v>122</v>
      </c>
      <c r="I20485" s="5"/>
      <c r="J20485" s="5"/>
      <c r="K20485" s="5"/>
    </row>
    <row r="20486" spans="1:11" x14ac:dyDescent="0.25">
      <c r="A20486" s="5">
        <f>20479</f>
      </c>
      <c r="B20486" s="5" t="s">
        <v>20494</v>
      </c>
      <c r="C20486" s="5">
        <v>122.6</v>
      </c>
      <c r="D20486" s="5">
        <v>0.1</v>
      </c>
      <c r="E20486" s="5">
        <v>122.8</v>
      </c>
      <c r="F20486" s="5">
        <v>244.8</v>
      </c>
      <c r="G20486" s="5">
        <v>122.2</v>
      </c>
      <c r="H20486" s="5">
        <v>122</v>
      </c>
      <c r="I20486" s="5"/>
      <c r="J20486" s="5"/>
      <c r="K20486" s="5"/>
    </row>
    <row r="20487" spans="1:11" x14ac:dyDescent="0.25">
      <c r="A20487" s="5">
        <f>20480</f>
      </c>
      <c r="B20487" s="5" t="s">
        <v>20495</v>
      </c>
      <c r="C20487" s="5">
        <v>122.6</v>
      </c>
      <c r="D20487" s="5">
        <v>0.1</v>
      </c>
      <c r="E20487" s="5">
        <v>122.8</v>
      </c>
      <c r="F20487" s="5">
        <v>244.8</v>
      </c>
      <c r="G20487" s="5">
        <v>122.2</v>
      </c>
      <c r="H20487" s="5">
        <v>122</v>
      </c>
      <c r="I20487" s="5"/>
      <c r="J20487" s="5"/>
      <c r="K20487" s="5"/>
    </row>
    <row r="20488" spans="1:11" x14ac:dyDescent="0.25">
      <c r="A20488" s="5">
        <f>20481</f>
      </c>
      <c r="B20488" s="5" t="s">
        <v>20496</v>
      </c>
      <c r="C20488" s="5">
        <v>122.6</v>
      </c>
      <c r="D20488" s="5">
        <v>0.1</v>
      </c>
      <c r="E20488" s="5">
        <v>122.8</v>
      </c>
      <c r="F20488" s="5">
        <v>244.8</v>
      </c>
      <c r="G20488" s="5">
        <v>122.2</v>
      </c>
      <c r="H20488" s="5">
        <v>122</v>
      </c>
      <c r="I20488" s="5"/>
      <c r="J20488" s="5"/>
      <c r="K20488" s="5"/>
    </row>
    <row r="20489" spans="1:11" x14ac:dyDescent="0.25">
      <c r="A20489" s="5">
        <f>20482</f>
      </c>
      <c r="B20489" s="5" t="s">
        <v>20497</v>
      </c>
      <c r="C20489" s="5">
        <v>122.4</v>
      </c>
      <c r="D20489" s="5">
        <v>0.1</v>
      </c>
      <c r="E20489" s="5">
        <v>122.5</v>
      </c>
      <c r="F20489" s="5">
        <v>244.8</v>
      </c>
      <c r="G20489" s="5">
        <v>122.2</v>
      </c>
      <c r="H20489" s="5">
        <v>122</v>
      </c>
      <c r="I20489" s="5"/>
      <c r="J20489" s="5"/>
      <c r="K20489" s="5"/>
    </row>
    <row r="20490" spans="1:11" x14ac:dyDescent="0.25">
      <c r="A20490" s="5">
        <f>20483</f>
      </c>
      <c r="B20490" s="5" t="s">
        <v>20498</v>
      </c>
      <c r="C20490" s="5">
        <v>122.4</v>
      </c>
      <c r="D20490" s="5">
        <v>0.1</v>
      </c>
      <c r="E20490" s="5">
        <v>122.5</v>
      </c>
      <c r="F20490" s="5">
        <v>244.8</v>
      </c>
      <c r="G20490" s="5">
        <v>122.2</v>
      </c>
      <c r="H20490" s="5">
        <v>122</v>
      </c>
      <c r="I20490" s="5"/>
      <c r="J20490" s="5"/>
      <c r="K20490" s="5"/>
    </row>
    <row r="20491" spans="1:11" x14ac:dyDescent="0.25">
      <c r="A20491" s="5">
        <f>20484</f>
      </c>
      <c r="B20491" s="5" t="s">
        <v>20499</v>
      </c>
      <c r="C20491" s="5">
        <v>122.4</v>
      </c>
      <c r="D20491" s="5">
        <v>0.1</v>
      </c>
      <c r="E20491" s="5">
        <v>122.6</v>
      </c>
      <c r="F20491" s="5">
        <v>244.3</v>
      </c>
      <c r="G20491" s="5">
        <v>122</v>
      </c>
      <c r="H20491" s="5">
        <v>121.8</v>
      </c>
      <c r="I20491" s="5"/>
      <c r="J20491" s="5"/>
      <c r="K20491" s="5"/>
    </row>
    <row r="20492" spans="1:11" x14ac:dyDescent="0.25">
      <c r="A20492" s="5">
        <f>20485</f>
      </c>
      <c r="B20492" s="5" t="s">
        <v>20500</v>
      </c>
      <c r="C20492" s="5">
        <v>122.4</v>
      </c>
      <c r="D20492" s="5">
        <v>0.1</v>
      </c>
      <c r="E20492" s="5">
        <v>122.6</v>
      </c>
      <c r="F20492" s="5">
        <v>244.3</v>
      </c>
      <c r="G20492" s="5">
        <v>122</v>
      </c>
      <c r="H20492" s="5">
        <v>121.8</v>
      </c>
      <c r="I20492" s="5"/>
      <c r="J20492" s="5"/>
      <c r="K20492" s="5"/>
    </row>
    <row r="20493" spans="1:11" x14ac:dyDescent="0.25">
      <c r="A20493" s="5">
        <f>20486</f>
      </c>
      <c r="B20493" s="5" t="s">
        <v>20501</v>
      </c>
      <c r="C20493" s="5">
        <v>122.4</v>
      </c>
      <c r="D20493" s="5">
        <v>0.1</v>
      </c>
      <c r="E20493" s="5">
        <v>122.5</v>
      </c>
      <c r="F20493" s="5">
        <v>244</v>
      </c>
      <c r="G20493" s="5">
        <v>121.8</v>
      </c>
      <c r="H20493" s="5">
        <v>121.6</v>
      </c>
      <c r="I20493" s="5"/>
      <c r="J20493" s="5"/>
      <c r="K20493" s="5"/>
    </row>
    <row r="20494" spans="1:11" x14ac:dyDescent="0.25">
      <c r="A20494" s="5">
        <f>20487</f>
      </c>
      <c r="B20494" s="5" t="s">
        <v>20502</v>
      </c>
      <c r="C20494" s="5">
        <v>122.4</v>
      </c>
      <c r="D20494" s="5">
        <v>0.1</v>
      </c>
      <c r="E20494" s="5">
        <v>122.5</v>
      </c>
      <c r="F20494" s="5">
        <v>244</v>
      </c>
      <c r="G20494" s="5">
        <v>121.8</v>
      </c>
      <c r="H20494" s="5">
        <v>121.6</v>
      </c>
      <c r="I20494" s="5"/>
      <c r="J20494" s="5"/>
      <c r="K20494" s="5"/>
    </row>
    <row r="20495" spans="1:11" x14ac:dyDescent="0.25">
      <c r="A20495" s="5">
        <f>20488</f>
      </c>
      <c r="B20495" s="5" t="s">
        <v>20503</v>
      </c>
      <c r="C20495" s="5">
        <v>122.1</v>
      </c>
      <c r="D20495" s="5">
        <v>0.1</v>
      </c>
      <c r="E20495" s="5">
        <v>122.3</v>
      </c>
      <c r="F20495" s="5">
        <v>244</v>
      </c>
      <c r="G20495" s="5">
        <v>121.8</v>
      </c>
      <c r="H20495" s="5">
        <v>121.6</v>
      </c>
      <c r="I20495" s="5"/>
      <c r="J20495" s="5"/>
      <c r="K20495" s="5"/>
    </row>
    <row r="20496" spans="1:11" x14ac:dyDescent="0.25">
      <c r="A20496" s="5">
        <f>20489</f>
      </c>
      <c r="B20496" s="5" t="s">
        <v>20504</v>
      </c>
      <c r="C20496" s="5">
        <v>122.1</v>
      </c>
      <c r="D20496" s="5">
        <v>0.1</v>
      </c>
      <c r="E20496" s="5">
        <v>122.3</v>
      </c>
      <c r="F20496" s="5">
        <v>244</v>
      </c>
      <c r="G20496" s="5">
        <v>121.8</v>
      </c>
      <c r="H20496" s="5">
        <v>121.6</v>
      </c>
      <c r="I20496" s="5"/>
      <c r="J20496" s="5"/>
      <c r="K20496" s="5"/>
    </row>
    <row r="20497" spans="1:11" x14ac:dyDescent="0.25">
      <c r="A20497" s="5">
        <f>20490</f>
      </c>
      <c r="B20497" s="5" t="s">
        <v>20505</v>
      </c>
      <c r="C20497" s="5">
        <v>122.1</v>
      </c>
      <c r="D20497" s="5">
        <v>0.1</v>
      </c>
      <c r="E20497" s="5">
        <v>122.3</v>
      </c>
      <c r="F20497" s="5">
        <v>244</v>
      </c>
      <c r="G20497" s="5">
        <v>121.8</v>
      </c>
      <c r="H20497" s="5">
        <v>121.6</v>
      </c>
      <c r="I20497" s="5"/>
      <c r="J20497" s="5"/>
      <c r="K20497" s="5"/>
    </row>
    <row r="20498" spans="1:11" x14ac:dyDescent="0.25">
      <c r="A20498" s="5">
        <f>20491</f>
      </c>
      <c r="B20498" s="5" t="s">
        <v>20506</v>
      </c>
      <c r="C20498" s="5">
        <v>122.1</v>
      </c>
      <c r="D20498" s="5">
        <v>0.1</v>
      </c>
      <c r="E20498" s="5">
        <v>122.3</v>
      </c>
      <c r="F20498" s="5">
        <v>244</v>
      </c>
      <c r="G20498" s="5">
        <v>121.8</v>
      </c>
      <c r="H20498" s="5">
        <v>121.6</v>
      </c>
      <c r="I20498" s="5"/>
      <c r="J20498" s="5"/>
      <c r="K20498" s="5"/>
    </row>
    <row r="20499" spans="1:11" x14ac:dyDescent="0.25">
      <c r="A20499" s="5">
        <f>20492</f>
      </c>
      <c r="B20499" s="5" t="s">
        <v>20507</v>
      </c>
      <c r="C20499" s="5">
        <v>122.2</v>
      </c>
      <c r="D20499" s="5">
        <v>0.1</v>
      </c>
      <c r="E20499" s="5">
        <v>122.4</v>
      </c>
      <c r="F20499" s="5">
        <v>244</v>
      </c>
      <c r="G20499" s="5">
        <v>121.7</v>
      </c>
      <c r="H20499" s="5">
        <v>121.6</v>
      </c>
      <c r="I20499" s="5"/>
      <c r="J20499" s="5"/>
      <c r="K20499" s="5"/>
    </row>
    <row r="20500" spans="1:11" x14ac:dyDescent="0.25">
      <c r="A20500" s="5">
        <f>20493</f>
      </c>
      <c r="B20500" s="5" t="s">
        <v>20508</v>
      </c>
      <c r="C20500" s="5">
        <v>122.2</v>
      </c>
      <c r="D20500" s="5">
        <v>0.1</v>
      </c>
      <c r="E20500" s="5">
        <v>122.4</v>
      </c>
      <c r="F20500" s="5">
        <v>244</v>
      </c>
      <c r="G20500" s="5">
        <v>121.7</v>
      </c>
      <c r="H20500" s="5">
        <v>121.6</v>
      </c>
      <c r="I20500" s="5"/>
      <c r="J20500" s="5"/>
      <c r="K20500" s="5"/>
    </row>
    <row r="20501" spans="1:11" x14ac:dyDescent="0.25">
      <c r="A20501" s="5">
        <f>20494</f>
      </c>
      <c r="B20501" s="5" t="s">
        <v>20509</v>
      </c>
      <c r="C20501" s="5">
        <v>122.3</v>
      </c>
      <c r="D20501" s="5">
        <v>0.1</v>
      </c>
      <c r="E20501" s="5">
        <v>122.5</v>
      </c>
      <c r="F20501" s="5">
        <v>244.5</v>
      </c>
      <c r="G20501" s="5">
        <v>122</v>
      </c>
      <c r="H20501" s="5">
        <v>121.8</v>
      </c>
      <c r="I20501" s="5"/>
      <c r="J20501" s="5"/>
      <c r="K20501" s="5"/>
    </row>
    <row r="20502" spans="1:11" x14ac:dyDescent="0.25">
      <c r="A20502" s="5">
        <f>20495</f>
      </c>
      <c r="B20502" s="5" t="s">
        <v>20510</v>
      </c>
      <c r="C20502" s="5">
        <v>122.3</v>
      </c>
      <c r="D20502" s="5">
        <v>0.1</v>
      </c>
      <c r="E20502" s="5">
        <v>122.5</v>
      </c>
      <c r="F20502" s="5">
        <v>244.5</v>
      </c>
      <c r="G20502" s="5">
        <v>122</v>
      </c>
      <c r="H20502" s="5">
        <v>121.8</v>
      </c>
      <c r="I20502" s="5"/>
      <c r="J20502" s="5"/>
      <c r="K20502" s="5"/>
    </row>
    <row r="20503" spans="1:11" x14ac:dyDescent="0.25">
      <c r="A20503" s="5">
        <f>20496</f>
      </c>
      <c r="B20503" s="5" t="s">
        <v>20511</v>
      </c>
      <c r="C20503" s="5">
        <v>122.5</v>
      </c>
      <c r="D20503" s="5">
        <v>0.1</v>
      </c>
      <c r="E20503" s="5">
        <v>122.7</v>
      </c>
      <c r="F20503" s="5">
        <v>244.4</v>
      </c>
      <c r="G20503" s="5">
        <v>122</v>
      </c>
      <c r="H20503" s="5">
        <v>121.8</v>
      </c>
      <c r="I20503" s="5"/>
      <c r="J20503" s="5"/>
      <c r="K20503" s="5"/>
    </row>
    <row r="20504" spans="1:11" x14ac:dyDescent="0.25">
      <c r="A20504" s="5">
        <f>20497</f>
      </c>
      <c r="B20504" s="5" t="s">
        <v>20512</v>
      </c>
      <c r="C20504" s="5">
        <v>122.5</v>
      </c>
      <c r="D20504" s="5">
        <v>0.1</v>
      </c>
      <c r="E20504" s="5">
        <v>122.7</v>
      </c>
      <c r="F20504" s="5">
        <v>244.4</v>
      </c>
      <c r="G20504" s="5">
        <v>122</v>
      </c>
      <c r="H20504" s="5">
        <v>121.8</v>
      </c>
      <c r="I20504" s="5"/>
      <c r="J20504" s="5"/>
      <c r="K20504" s="5"/>
    </row>
    <row r="20505" spans="1:11" x14ac:dyDescent="0.25">
      <c r="A20505" s="5">
        <f>20498</f>
      </c>
      <c r="B20505" s="5" t="s">
        <v>20513</v>
      </c>
      <c r="C20505" s="5">
        <v>122.5</v>
      </c>
      <c r="D20505" s="5">
        <v>0.1</v>
      </c>
      <c r="E20505" s="5">
        <v>122.6</v>
      </c>
      <c r="F20505" s="5">
        <v>244.6</v>
      </c>
      <c r="G20505" s="5">
        <v>122.1</v>
      </c>
      <c r="H20505" s="5">
        <v>121.9</v>
      </c>
      <c r="I20505" s="5"/>
      <c r="J20505" s="5"/>
      <c r="K20505" s="5"/>
    </row>
    <row r="20506" spans="1:11" x14ac:dyDescent="0.25">
      <c r="A20506" s="5">
        <f>20499</f>
      </c>
      <c r="B20506" s="5" t="s">
        <v>20514</v>
      </c>
      <c r="C20506" s="5">
        <v>122.5</v>
      </c>
      <c r="D20506" s="5">
        <v>0.1</v>
      </c>
      <c r="E20506" s="5">
        <v>122.6</v>
      </c>
      <c r="F20506" s="5">
        <v>244.6</v>
      </c>
      <c r="G20506" s="5">
        <v>122.1</v>
      </c>
      <c r="H20506" s="5">
        <v>121.9</v>
      </c>
      <c r="I20506" s="5"/>
      <c r="J20506" s="5"/>
      <c r="K20506" s="5"/>
    </row>
    <row r="20507" spans="1:11" x14ac:dyDescent="0.25">
      <c r="A20507" s="5">
        <f>20500</f>
      </c>
      <c r="B20507" s="5" t="s">
        <v>20515</v>
      </c>
      <c r="C20507" s="5">
        <v>122.5</v>
      </c>
      <c r="D20507" s="5">
        <v>0.1</v>
      </c>
      <c r="E20507" s="5">
        <v>122.6</v>
      </c>
      <c r="F20507" s="5">
        <v>244.6</v>
      </c>
      <c r="G20507" s="5">
        <v>122.1</v>
      </c>
      <c r="H20507" s="5">
        <v>121.9</v>
      </c>
      <c r="I20507" s="5"/>
      <c r="J20507" s="5"/>
      <c r="K20507" s="5"/>
    </row>
    <row r="20508" spans="1:11" x14ac:dyDescent="0.25">
      <c r="A20508" s="5">
        <f>20501</f>
      </c>
      <c r="B20508" s="5" t="s">
        <v>20516</v>
      </c>
      <c r="C20508" s="5">
        <v>122.5</v>
      </c>
      <c r="D20508" s="5">
        <v>0.1</v>
      </c>
      <c r="E20508" s="5">
        <v>122.6</v>
      </c>
      <c r="F20508" s="5">
        <v>244.6</v>
      </c>
      <c r="G20508" s="5">
        <v>122.1</v>
      </c>
      <c r="H20508" s="5">
        <v>121.9</v>
      </c>
      <c r="I20508" s="5"/>
      <c r="J20508" s="5"/>
      <c r="K20508" s="5"/>
    </row>
    <row r="20509" spans="1:11" x14ac:dyDescent="0.25">
      <c r="A20509" s="5">
        <f>20502</f>
      </c>
      <c r="B20509" s="5" t="s">
        <v>20517</v>
      </c>
      <c r="C20509" s="5">
        <v>122.4</v>
      </c>
      <c r="D20509" s="5">
        <v>0.1</v>
      </c>
      <c r="E20509" s="5">
        <v>122.5</v>
      </c>
      <c r="F20509" s="5">
        <v>244.6</v>
      </c>
      <c r="G20509" s="5">
        <v>122.1</v>
      </c>
      <c r="H20509" s="5">
        <v>121.9</v>
      </c>
      <c r="I20509" s="5"/>
      <c r="J20509" s="5"/>
      <c r="K20509" s="5"/>
    </row>
    <row r="20510" spans="1:11" x14ac:dyDescent="0.25">
      <c r="A20510" s="5">
        <f>20503</f>
      </c>
      <c r="B20510" s="5" t="s">
        <v>20518</v>
      </c>
      <c r="C20510" s="5">
        <v>122.4</v>
      </c>
      <c r="D20510" s="5">
        <v>0.1</v>
      </c>
      <c r="E20510" s="5">
        <v>122.5</v>
      </c>
      <c r="F20510" s="5">
        <v>244.6</v>
      </c>
      <c r="G20510" s="5">
        <v>122.1</v>
      </c>
      <c r="H20510" s="5">
        <v>121.9</v>
      </c>
      <c r="I20510" s="5"/>
      <c r="J20510" s="5"/>
      <c r="K20510" s="5"/>
    </row>
    <row r="20511" spans="1:11" x14ac:dyDescent="0.25">
      <c r="A20511" s="5">
        <f>20504</f>
      </c>
      <c r="B20511" s="5" t="s">
        <v>20519</v>
      </c>
      <c r="C20511" s="5">
        <v>122.5</v>
      </c>
      <c r="D20511" s="5">
        <v>0.1</v>
      </c>
      <c r="E20511" s="5">
        <v>122.8</v>
      </c>
      <c r="F20511" s="5">
        <v>244.6</v>
      </c>
      <c r="G20511" s="5">
        <v>122.1</v>
      </c>
      <c r="H20511" s="5">
        <v>121.9</v>
      </c>
      <c r="I20511" s="5"/>
      <c r="J20511" s="5"/>
      <c r="K20511" s="5"/>
    </row>
    <row r="20512" spans="1:11" x14ac:dyDescent="0.25">
      <c r="A20512" s="5">
        <f>20505</f>
      </c>
      <c r="B20512" s="5" t="s">
        <v>20520</v>
      </c>
      <c r="C20512" s="5">
        <v>122.5</v>
      </c>
      <c r="D20512" s="5">
        <v>0.1</v>
      </c>
      <c r="E20512" s="5">
        <v>122.8</v>
      </c>
      <c r="F20512" s="5">
        <v>244.6</v>
      </c>
      <c r="G20512" s="5">
        <v>122.1</v>
      </c>
      <c r="H20512" s="5">
        <v>121.9</v>
      </c>
      <c r="I20512" s="5"/>
      <c r="J20512" s="5"/>
      <c r="K20512" s="5"/>
    </row>
    <row r="20513" spans="1:11" x14ac:dyDescent="0.25">
      <c r="A20513" s="5">
        <f>20506</f>
      </c>
      <c r="B20513" s="5" t="s">
        <v>20521</v>
      </c>
      <c r="C20513" s="5">
        <v>122.5</v>
      </c>
      <c r="D20513" s="5">
        <v>0.1</v>
      </c>
      <c r="E20513" s="5">
        <v>122.7</v>
      </c>
      <c r="F20513" s="5">
        <v>244.6</v>
      </c>
      <c r="G20513" s="5">
        <v>122</v>
      </c>
      <c r="H20513" s="5">
        <v>121.9</v>
      </c>
      <c r="I20513" s="5"/>
      <c r="J20513" s="5"/>
      <c r="K20513" s="5"/>
    </row>
    <row r="20514" spans="1:11" x14ac:dyDescent="0.25">
      <c r="A20514" s="5">
        <f>20507</f>
      </c>
      <c r="B20514" s="5" t="s">
        <v>20522</v>
      </c>
      <c r="C20514" s="5">
        <v>122.5</v>
      </c>
      <c r="D20514" s="5">
        <v>0.1</v>
      </c>
      <c r="E20514" s="5">
        <v>122.7</v>
      </c>
      <c r="F20514" s="5">
        <v>244.6</v>
      </c>
      <c r="G20514" s="5">
        <v>122</v>
      </c>
      <c r="H20514" s="5">
        <v>121.9</v>
      </c>
      <c r="I20514" s="5"/>
      <c r="J20514" s="5"/>
      <c r="K20514" s="5"/>
    </row>
    <row r="20515" spans="1:11" x14ac:dyDescent="0.25">
      <c r="A20515" s="5">
        <f>20508</f>
      </c>
      <c r="B20515" s="5" t="s">
        <v>20523</v>
      </c>
      <c r="C20515" s="5">
        <v>122.6</v>
      </c>
      <c r="D20515" s="5">
        <v>0.1</v>
      </c>
      <c r="E20515" s="5">
        <v>122.8</v>
      </c>
      <c r="F20515" s="5">
        <v>244.7</v>
      </c>
      <c r="G20515" s="5">
        <v>122.2</v>
      </c>
      <c r="H20515" s="5">
        <v>122</v>
      </c>
      <c r="I20515" s="5"/>
      <c r="J20515" s="5"/>
      <c r="K20515" s="5"/>
    </row>
    <row r="20516" spans="1:11" x14ac:dyDescent="0.25">
      <c r="A20516" s="5">
        <f>20509</f>
      </c>
      <c r="B20516" s="5" t="s">
        <v>20524</v>
      </c>
      <c r="C20516" s="5">
        <v>122.6</v>
      </c>
      <c r="D20516" s="5">
        <v>0.1</v>
      </c>
      <c r="E20516" s="5">
        <v>122.8</v>
      </c>
      <c r="F20516" s="5">
        <v>244.7</v>
      </c>
      <c r="G20516" s="5">
        <v>122.2</v>
      </c>
      <c r="H20516" s="5">
        <v>122</v>
      </c>
      <c r="I20516" s="5"/>
      <c r="J20516" s="5"/>
      <c r="K20516" s="5"/>
    </row>
    <row r="20517" spans="1:11" x14ac:dyDescent="0.25">
      <c r="A20517" s="5">
        <f>20510</f>
      </c>
      <c r="B20517" s="5" t="s">
        <v>20525</v>
      </c>
      <c r="C20517" s="5">
        <v>122.6</v>
      </c>
      <c r="D20517" s="5">
        <v>0.1</v>
      </c>
      <c r="E20517" s="5">
        <v>122.8</v>
      </c>
      <c r="F20517" s="5">
        <v>244.7</v>
      </c>
      <c r="G20517" s="5">
        <v>122.2</v>
      </c>
      <c r="H20517" s="5">
        <v>122</v>
      </c>
      <c r="I20517" s="5"/>
      <c r="J20517" s="5"/>
      <c r="K20517" s="5"/>
    </row>
    <row r="20518" spans="1:11" x14ac:dyDescent="0.25">
      <c r="A20518" s="5">
        <f>20511</f>
      </c>
      <c r="B20518" s="5" t="s">
        <v>20526</v>
      </c>
      <c r="C20518" s="5">
        <v>122.6</v>
      </c>
      <c r="D20518" s="5">
        <v>0.1</v>
      </c>
      <c r="E20518" s="5">
        <v>122.8</v>
      </c>
      <c r="F20518" s="5">
        <v>244.7</v>
      </c>
      <c r="G20518" s="5">
        <v>122</v>
      </c>
      <c r="H20518" s="5">
        <v>121.8</v>
      </c>
      <c r="I20518" s="5"/>
      <c r="J20518" s="5"/>
      <c r="K20518" s="5"/>
    </row>
    <row r="20519" spans="1:11" x14ac:dyDescent="0.25">
      <c r="A20519" s="5">
        <f>20512</f>
      </c>
      <c r="B20519" s="5" t="s">
        <v>20527</v>
      </c>
      <c r="C20519" s="5">
        <v>122.3</v>
      </c>
      <c r="D20519" s="5">
        <v>0.1</v>
      </c>
      <c r="E20519" s="5">
        <v>122.5</v>
      </c>
      <c r="F20519" s="5">
        <v>244.4</v>
      </c>
      <c r="G20519" s="5">
        <v>122</v>
      </c>
      <c r="H20519" s="5">
        <v>121.8</v>
      </c>
      <c r="I20519" s="5"/>
      <c r="J20519" s="5"/>
      <c r="K20519" s="5"/>
    </row>
    <row r="20520" spans="1:11" x14ac:dyDescent="0.25">
      <c r="A20520" s="5">
        <f>20513</f>
      </c>
      <c r="B20520" s="5" t="s">
        <v>20528</v>
      </c>
      <c r="C20520" s="5">
        <v>122.3</v>
      </c>
      <c r="D20520" s="5">
        <v>0.1</v>
      </c>
      <c r="E20520" s="5">
        <v>122.5</v>
      </c>
      <c r="F20520" s="5">
        <v>244.4</v>
      </c>
      <c r="G20520" s="5">
        <v>122</v>
      </c>
      <c r="H20520" s="5">
        <v>121.8</v>
      </c>
      <c r="I20520" s="5"/>
      <c r="J20520" s="5"/>
      <c r="K20520" s="5"/>
    </row>
    <row r="20521" spans="1:11" x14ac:dyDescent="0.25">
      <c r="A20521" s="5">
        <f>20514</f>
      </c>
      <c r="B20521" s="5" t="s">
        <v>20529</v>
      </c>
      <c r="C20521" s="5">
        <v>122.1</v>
      </c>
      <c r="D20521" s="5">
        <v>0.1</v>
      </c>
      <c r="E20521" s="5">
        <v>122.3</v>
      </c>
      <c r="F20521" s="5">
        <v>244.7</v>
      </c>
      <c r="G20521" s="5">
        <v>122.1</v>
      </c>
      <c r="H20521" s="5">
        <v>121.9</v>
      </c>
      <c r="I20521" s="5"/>
      <c r="J20521" s="5"/>
      <c r="K20521" s="5"/>
    </row>
    <row r="20522" spans="1:11" x14ac:dyDescent="0.25">
      <c r="A20522" s="5">
        <f>20515</f>
      </c>
      <c r="B20522" s="5" t="s">
        <v>20530</v>
      </c>
      <c r="C20522" s="5">
        <v>122.1</v>
      </c>
      <c r="D20522" s="5">
        <v>0.1</v>
      </c>
      <c r="E20522" s="5">
        <v>122.3</v>
      </c>
      <c r="F20522" s="5">
        <v>244.7</v>
      </c>
      <c r="G20522" s="5">
        <v>122.1</v>
      </c>
      <c r="H20522" s="5">
        <v>121.9</v>
      </c>
      <c r="I20522" s="5"/>
      <c r="J20522" s="5"/>
      <c r="K20522" s="5"/>
    </row>
    <row r="20523" spans="1:11" x14ac:dyDescent="0.25">
      <c r="A20523" s="5">
        <f>20516</f>
      </c>
      <c r="B20523" s="5" t="s">
        <v>20531</v>
      </c>
      <c r="C20523" s="5">
        <v>122.4</v>
      </c>
      <c r="D20523" s="5">
        <v>0.1</v>
      </c>
      <c r="E20523" s="5">
        <v>122.6</v>
      </c>
      <c r="F20523" s="5">
        <v>244.9</v>
      </c>
      <c r="G20523" s="5">
        <v>122.2</v>
      </c>
      <c r="H20523" s="5">
        <v>122</v>
      </c>
      <c r="I20523" s="5"/>
      <c r="J20523" s="5"/>
      <c r="K20523" s="5"/>
    </row>
    <row r="20524" spans="1:11" x14ac:dyDescent="0.25">
      <c r="A20524" s="5">
        <f>20517</f>
      </c>
      <c r="B20524" s="5" t="s">
        <v>20532</v>
      </c>
      <c r="C20524" s="5">
        <v>122.4</v>
      </c>
      <c r="D20524" s="5">
        <v>0.1</v>
      </c>
      <c r="E20524" s="5">
        <v>122.6</v>
      </c>
      <c r="F20524" s="5">
        <v>244.9</v>
      </c>
      <c r="G20524" s="5">
        <v>122.2</v>
      </c>
      <c r="H20524" s="5">
        <v>122</v>
      </c>
      <c r="I20524" s="5"/>
      <c r="J20524" s="5"/>
      <c r="K20524" s="5"/>
    </row>
    <row r="20525" spans="1:11" x14ac:dyDescent="0.25">
      <c r="A20525" s="5">
        <f>20518</f>
      </c>
      <c r="B20525" s="5" t="s">
        <v>20533</v>
      </c>
      <c r="C20525" s="5">
        <v>122.8</v>
      </c>
      <c r="D20525" s="5">
        <v>0.1</v>
      </c>
      <c r="E20525" s="5">
        <v>122.9</v>
      </c>
      <c r="F20525" s="5">
        <v>245</v>
      </c>
      <c r="G20525" s="5">
        <v>122.3</v>
      </c>
      <c r="H20525" s="5">
        <v>122.1</v>
      </c>
      <c r="I20525" s="5"/>
      <c r="J20525" s="5"/>
      <c r="K20525" s="5"/>
    </row>
    <row r="20526" spans="1:11" x14ac:dyDescent="0.25">
      <c r="A20526" s="5">
        <f>20519</f>
      </c>
      <c r="B20526" s="5" t="s">
        <v>20534</v>
      </c>
      <c r="C20526" s="5">
        <v>122.8</v>
      </c>
      <c r="D20526" s="5">
        <v>0.1</v>
      </c>
      <c r="E20526" s="5">
        <v>122.9</v>
      </c>
      <c r="F20526" s="5">
        <v>245</v>
      </c>
      <c r="G20526" s="5">
        <v>122.3</v>
      </c>
      <c r="H20526" s="5">
        <v>122.1</v>
      </c>
      <c r="I20526" s="5"/>
      <c r="J20526" s="5"/>
      <c r="K20526" s="5"/>
    </row>
    <row r="20527" spans="1:11" x14ac:dyDescent="0.25">
      <c r="A20527" s="5">
        <f>20520</f>
      </c>
      <c r="B20527" s="5" t="s">
        <v>20535</v>
      </c>
      <c r="C20527" s="5">
        <v>122.8</v>
      </c>
      <c r="D20527" s="5">
        <v>0.1</v>
      </c>
      <c r="E20527" s="5">
        <v>122.9</v>
      </c>
      <c r="F20527" s="5">
        <v>245</v>
      </c>
      <c r="G20527" s="5">
        <v>122.3</v>
      </c>
      <c r="H20527" s="5">
        <v>122.1</v>
      </c>
      <c r="I20527" s="5"/>
      <c r="J20527" s="5"/>
      <c r="K20527" s="5"/>
    </row>
    <row r="20528" spans="1:11" x14ac:dyDescent="0.25">
      <c r="A20528" s="5">
        <f>20521</f>
      </c>
      <c r="B20528" s="5" t="s">
        <v>20536</v>
      </c>
      <c r="C20528" s="5">
        <v>123.4</v>
      </c>
      <c r="D20528" s="5">
        <v>0.1</v>
      </c>
      <c r="E20528" s="5">
        <v>122.8</v>
      </c>
      <c r="F20528" s="5">
        <v>245.5</v>
      </c>
      <c r="G20528" s="5">
        <v>122.5</v>
      </c>
      <c r="H20528" s="5">
        <v>122.4</v>
      </c>
      <c r="I20528" s="5"/>
      <c r="J20528" s="5"/>
      <c r="K20528" s="5"/>
    </row>
    <row r="20529" spans="1:11" x14ac:dyDescent="0.25">
      <c r="A20529" s="5">
        <f>20522</f>
      </c>
      <c r="B20529" s="5" t="s">
        <v>20537</v>
      </c>
      <c r="C20529" s="5">
        <v>123.4</v>
      </c>
      <c r="D20529" s="5">
        <v>0.1</v>
      </c>
      <c r="E20529" s="5">
        <v>122.8</v>
      </c>
      <c r="F20529" s="5">
        <v>245.5</v>
      </c>
      <c r="G20529" s="5">
        <v>122.5</v>
      </c>
      <c r="H20529" s="5">
        <v>122.4</v>
      </c>
      <c r="I20529" s="5"/>
      <c r="J20529" s="5"/>
      <c r="K20529" s="5"/>
    </row>
    <row r="20530" spans="1:11" x14ac:dyDescent="0.25">
      <c r="A20530" s="5">
        <f>20523</f>
      </c>
      <c r="B20530" s="5" t="s">
        <v>20538</v>
      </c>
      <c r="C20530" s="5">
        <v>123</v>
      </c>
      <c r="D20530" s="5">
        <v>0.1</v>
      </c>
      <c r="E20530" s="5">
        <v>123.1</v>
      </c>
      <c r="F20530" s="5">
        <v>245.6</v>
      </c>
      <c r="G20530" s="5">
        <v>122.6</v>
      </c>
      <c r="H20530" s="5">
        <v>122.4</v>
      </c>
      <c r="I20530" s="5"/>
      <c r="J20530" s="5"/>
      <c r="K20530" s="5"/>
    </row>
    <row r="20531" spans="1:11" x14ac:dyDescent="0.25">
      <c r="A20531" s="5">
        <f>20524</f>
      </c>
      <c r="B20531" s="5" t="s">
        <v>20539</v>
      </c>
      <c r="C20531" s="5">
        <v>123</v>
      </c>
      <c r="D20531" s="5">
        <v>0.1</v>
      </c>
      <c r="E20531" s="5">
        <v>123.1</v>
      </c>
      <c r="F20531" s="5">
        <v>245.6</v>
      </c>
      <c r="G20531" s="5">
        <v>122.6</v>
      </c>
      <c r="H20531" s="5">
        <v>122.4</v>
      </c>
      <c r="I20531" s="5"/>
      <c r="J20531" s="5"/>
      <c r="K20531" s="5"/>
    </row>
    <row r="20532" spans="1:11" x14ac:dyDescent="0.25">
      <c r="A20532" s="5">
        <f>20525</f>
      </c>
      <c r="B20532" s="5" t="s">
        <v>20540</v>
      </c>
      <c r="C20532" s="5">
        <v>122.9</v>
      </c>
      <c r="D20532" s="5">
        <v>0.1</v>
      </c>
      <c r="E20532" s="5">
        <v>123.1</v>
      </c>
      <c r="F20532" s="5">
        <v>245.2</v>
      </c>
      <c r="G20532" s="5">
        <v>122.4</v>
      </c>
      <c r="H20532" s="5">
        <v>122.2</v>
      </c>
      <c r="I20532" s="5"/>
      <c r="J20532" s="5"/>
      <c r="K20532" s="5"/>
    </row>
    <row r="20533" spans="1:11" x14ac:dyDescent="0.25">
      <c r="A20533" s="5">
        <f>20526</f>
      </c>
      <c r="B20533" s="5" t="s">
        <v>20541</v>
      </c>
      <c r="C20533" s="5">
        <v>122.9</v>
      </c>
      <c r="D20533" s="5">
        <v>0.1</v>
      </c>
      <c r="E20533" s="5">
        <v>123.1</v>
      </c>
      <c r="F20533" s="5">
        <v>245.2</v>
      </c>
      <c r="G20533" s="5">
        <v>122.4</v>
      </c>
      <c r="H20533" s="5">
        <v>122.2</v>
      </c>
      <c r="I20533" s="5"/>
      <c r="J20533" s="5"/>
      <c r="K20533" s="5"/>
    </row>
    <row r="20534" spans="1:11" x14ac:dyDescent="0.25">
      <c r="A20534" s="5">
        <f>20527</f>
      </c>
      <c r="B20534" s="5" t="s">
        <v>20542</v>
      </c>
      <c r="C20534" s="5">
        <v>123.1</v>
      </c>
      <c r="D20534" s="5">
        <v>0.1</v>
      </c>
      <c r="E20534" s="5">
        <v>123.3</v>
      </c>
      <c r="F20534" s="5">
        <v>245.5</v>
      </c>
      <c r="G20534" s="5">
        <v>122.5</v>
      </c>
      <c r="H20534" s="5">
        <v>122.4</v>
      </c>
      <c r="I20534" s="5"/>
      <c r="J20534" s="5"/>
      <c r="K20534" s="5"/>
    </row>
    <row r="20535" spans="1:11" x14ac:dyDescent="0.25">
      <c r="A20535" s="5">
        <f>20528</f>
      </c>
      <c r="B20535" s="5" t="s">
        <v>20543</v>
      </c>
      <c r="C20535" s="5">
        <v>123.1</v>
      </c>
      <c r="D20535" s="5">
        <v>0.1</v>
      </c>
      <c r="E20535" s="5">
        <v>123.3</v>
      </c>
      <c r="F20535" s="5">
        <v>245.5</v>
      </c>
      <c r="G20535" s="5">
        <v>122.5</v>
      </c>
      <c r="H20535" s="5">
        <v>122.4</v>
      </c>
      <c r="I20535" s="5"/>
      <c r="J20535" s="5"/>
      <c r="K20535" s="5"/>
    </row>
    <row r="20536" spans="1:11" x14ac:dyDescent="0.25">
      <c r="A20536" s="5">
        <f>20529</f>
      </c>
      <c r="B20536" s="5" t="s">
        <v>20544</v>
      </c>
      <c r="C20536" s="5">
        <v>123.1</v>
      </c>
      <c r="D20536" s="5">
        <v>0.1</v>
      </c>
      <c r="E20536" s="5">
        <v>123.3</v>
      </c>
      <c r="F20536" s="5">
        <v>245.5</v>
      </c>
      <c r="G20536" s="5">
        <v>122.5</v>
      </c>
      <c r="H20536" s="5">
        <v>122.4</v>
      </c>
      <c r="I20536" s="5"/>
      <c r="J20536" s="5"/>
      <c r="K20536" s="5"/>
    </row>
    <row r="20537" spans="1:11" x14ac:dyDescent="0.25">
      <c r="A20537" s="5">
        <f>20530</f>
      </c>
      <c r="B20537" s="5" t="s">
        <v>20545</v>
      </c>
      <c r="C20537" s="5">
        <v>123.1</v>
      </c>
      <c r="D20537" s="5">
        <v>0.1</v>
      </c>
      <c r="E20537" s="5">
        <v>123.3</v>
      </c>
      <c r="F20537" s="5">
        <v>245.5</v>
      </c>
      <c r="G20537" s="5">
        <v>122.5</v>
      </c>
      <c r="H20537" s="5">
        <v>122.4</v>
      </c>
      <c r="I20537" s="5"/>
      <c r="J20537" s="5"/>
      <c r="K20537" s="5"/>
    </row>
    <row r="20538" spans="1:11" x14ac:dyDescent="0.25">
      <c r="A20538" s="5">
        <f>20531</f>
      </c>
      <c r="B20538" s="5" t="s">
        <v>20546</v>
      </c>
      <c r="C20538" s="5">
        <v>123.3</v>
      </c>
      <c r="D20538" s="5">
        <v>0.1</v>
      </c>
      <c r="E20538" s="5">
        <v>123.4</v>
      </c>
      <c r="F20538" s="5">
        <v>245.9</v>
      </c>
      <c r="G20538" s="5">
        <v>122.7</v>
      </c>
      <c r="H20538" s="5">
        <v>122.6</v>
      </c>
      <c r="I20538" s="5"/>
      <c r="J20538" s="5"/>
      <c r="K20538" s="5"/>
    </row>
    <row r="20539" spans="1:11" x14ac:dyDescent="0.25">
      <c r="A20539" s="5">
        <f>20532</f>
      </c>
      <c r="B20539" s="5" t="s">
        <v>20547</v>
      </c>
      <c r="C20539" s="5">
        <v>123.3</v>
      </c>
      <c r="D20539" s="5">
        <v>0.1</v>
      </c>
      <c r="E20539" s="5">
        <v>123.4</v>
      </c>
      <c r="F20539" s="5">
        <v>245.9</v>
      </c>
      <c r="G20539" s="5">
        <v>122.7</v>
      </c>
      <c r="H20539" s="5">
        <v>122.6</v>
      </c>
      <c r="I20539" s="5"/>
      <c r="J20539" s="5"/>
      <c r="K20539" s="5"/>
    </row>
    <row r="20540" spans="1:11" x14ac:dyDescent="0.25">
      <c r="A20540" s="5">
        <f>20533</f>
      </c>
      <c r="B20540" s="5" t="s">
        <v>20548</v>
      </c>
      <c r="C20540" s="5">
        <v>123</v>
      </c>
      <c r="D20540" s="5">
        <v>0.1</v>
      </c>
      <c r="E20540" s="5">
        <v>123.1</v>
      </c>
      <c r="F20540" s="5">
        <v>246</v>
      </c>
      <c r="G20540" s="5">
        <v>122.8</v>
      </c>
      <c r="H20540" s="5">
        <v>122.6</v>
      </c>
      <c r="I20540" s="5"/>
      <c r="J20540" s="5"/>
      <c r="K20540" s="5"/>
    </row>
    <row r="20541" spans="1:11" x14ac:dyDescent="0.25">
      <c r="A20541" s="5">
        <f>20534</f>
      </c>
      <c r="B20541" s="5" t="s">
        <v>20549</v>
      </c>
      <c r="C20541" s="5">
        <v>123</v>
      </c>
      <c r="D20541" s="5">
        <v>0.1</v>
      </c>
      <c r="E20541" s="5">
        <v>123.1</v>
      </c>
      <c r="F20541" s="5">
        <v>246</v>
      </c>
      <c r="G20541" s="5">
        <v>122.8</v>
      </c>
      <c r="H20541" s="5">
        <v>122.6</v>
      </c>
      <c r="I20541" s="5"/>
      <c r="J20541" s="5"/>
      <c r="K20541" s="5"/>
    </row>
    <row r="20542" spans="1:11" x14ac:dyDescent="0.25">
      <c r="A20542" s="5">
        <f>20535</f>
      </c>
      <c r="B20542" s="5" t="s">
        <v>20550</v>
      </c>
      <c r="C20542" s="5">
        <v>123</v>
      </c>
      <c r="D20542" s="5">
        <v>0.1</v>
      </c>
      <c r="E20542" s="5">
        <v>123.1</v>
      </c>
      <c r="F20542" s="5">
        <v>245.8</v>
      </c>
      <c r="G20542" s="5">
        <v>122.8</v>
      </c>
      <c r="H20542" s="5">
        <v>122.6</v>
      </c>
      <c r="I20542" s="5"/>
      <c r="J20542" s="5"/>
      <c r="K20542" s="5"/>
    </row>
    <row r="20543" spans="1:11" x14ac:dyDescent="0.25">
      <c r="A20543" s="5">
        <f>20536</f>
      </c>
      <c r="B20543" s="5" t="s">
        <v>20551</v>
      </c>
      <c r="C20543" s="5">
        <v>123</v>
      </c>
      <c r="D20543" s="5">
        <v>0.1</v>
      </c>
      <c r="E20543" s="5">
        <v>123.1</v>
      </c>
      <c r="F20543" s="5">
        <v>245.8</v>
      </c>
      <c r="G20543" s="5">
        <v>122.6</v>
      </c>
      <c r="H20543" s="5">
        <v>122.5</v>
      </c>
      <c r="I20543" s="5"/>
      <c r="J20543" s="5"/>
      <c r="K20543" s="5"/>
    </row>
    <row r="20544" spans="1:11" x14ac:dyDescent="0.25">
      <c r="A20544" s="5">
        <f>20537</f>
      </c>
      <c r="B20544" s="5" t="s">
        <v>20552</v>
      </c>
      <c r="C20544" s="5">
        <v>122.8</v>
      </c>
      <c r="D20544" s="5">
        <v>0.1</v>
      </c>
      <c r="E20544" s="5">
        <v>123.1</v>
      </c>
      <c r="F20544" s="5">
        <v>245.8</v>
      </c>
      <c r="G20544" s="5">
        <v>122.6</v>
      </c>
      <c r="H20544" s="5">
        <v>122.5</v>
      </c>
      <c r="I20544" s="5"/>
      <c r="J20544" s="5"/>
      <c r="K20544" s="5"/>
    </row>
    <row r="20545" spans="1:11" x14ac:dyDescent="0.25">
      <c r="A20545" s="5">
        <f>20538</f>
      </c>
      <c r="B20545" s="5" t="s">
        <v>20553</v>
      </c>
      <c r="C20545" s="5">
        <v>122.8</v>
      </c>
      <c r="D20545" s="5">
        <v>0.1</v>
      </c>
      <c r="E20545" s="5">
        <v>123</v>
      </c>
      <c r="F20545" s="5">
        <v>245.9</v>
      </c>
      <c r="G20545" s="5">
        <v>122.8</v>
      </c>
      <c r="H20545" s="5">
        <v>122.6</v>
      </c>
      <c r="I20545" s="5"/>
      <c r="J20545" s="5"/>
      <c r="K20545" s="5"/>
    </row>
    <row r="20546" spans="1:11" x14ac:dyDescent="0.25">
      <c r="A20546" s="5">
        <f>20539</f>
      </c>
      <c r="B20546" s="5" t="s">
        <v>20554</v>
      </c>
      <c r="C20546" s="5">
        <v>122.8</v>
      </c>
      <c r="D20546" s="5">
        <v>0.1</v>
      </c>
      <c r="E20546" s="5">
        <v>123</v>
      </c>
      <c r="F20546" s="5">
        <v>245.9</v>
      </c>
      <c r="G20546" s="5">
        <v>122.8</v>
      </c>
      <c r="H20546" s="5">
        <v>122.6</v>
      </c>
      <c r="I20546" s="5"/>
      <c r="J20546" s="5"/>
      <c r="K20546" s="5"/>
    </row>
    <row r="20547" spans="1:11" x14ac:dyDescent="0.25">
      <c r="A20547" s="5">
        <f>20540</f>
      </c>
      <c r="B20547" s="5" t="s">
        <v>20555</v>
      </c>
      <c r="C20547" s="5">
        <v>122.8</v>
      </c>
      <c r="D20547" s="5">
        <v>0.1</v>
      </c>
      <c r="E20547" s="5">
        <v>123</v>
      </c>
      <c r="F20547" s="5">
        <v>245.9</v>
      </c>
      <c r="G20547" s="5">
        <v>122.8</v>
      </c>
      <c r="H20547" s="5">
        <v>122.6</v>
      </c>
      <c r="I20547" s="5"/>
      <c r="J20547" s="5"/>
      <c r="K20547" s="5"/>
    </row>
    <row r="20548" spans="1:11" x14ac:dyDescent="0.25">
      <c r="A20548" s="5">
        <f>20541</f>
      </c>
      <c r="B20548" s="5" t="s">
        <v>20556</v>
      </c>
      <c r="C20548" s="5">
        <v>122.8</v>
      </c>
      <c r="D20548" s="5">
        <v>0.1</v>
      </c>
      <c r="E20548" s="5">
        <v>123</v>
      </c>
      <c r="F20548" s="5">
        <v>245.9</v>
      </c>
      <c r="G20548" s="5">
        <v>123</v>
      </c>
      <c r="H20548" s="5">
        <v>122.8</v>
      </c>
      <c r="I20548" s="5"/>
      <c r="J20548" s="5"/>
      <c r="K20548" s="5"/>
    </row>
    <row r="20549" spans="1:11" x14ac:dyDescent="0.25">
      <c r="A20549" s="5">
        <f>20542</f>
      </c>
      <c r="B20549" s="5" t="s">
        <v>20557</v>
      </c>
      <c r="C20549" s="5">
        <v>123.6</v>
      </c>
      <c r="D20549" s="5">
        <v>0.1</v>
      </c>
      <c r="E20549" s="5">
        <v>123.7</v>
      </c>
      <c r="F20549" s="5">
        <v>246.3</v>
      </c>
      <c r="G20549" s="5">
        <v>123</v>
      </c>
      <c r="H20549" s="5">
        <v>122.8</v>
      </c>
      <c r="I20549" s="5"/>
      <c r="J20549" s="5"/>
      <c r="K20549" s="5"/>
    </row>
    <row r="20550" spans="1:11" x14ac:dyDescent="0.25">
      <c r="A20550" s="5">
        <f>20543</f>
      </c>
      <c r="B20550" s="5" t="s">
        <v>20558</v>
      </c>
      <c r="C20550" s="5">
        <v>123.6</v>
      </c>
      <c r="D20550" s="5">
        <v>0.1</v>
      </c>
      <c r="E20550" s="5">
        <v>123.7</v>
      </c>
      <c r="F20550" s="5">
        <v>246.3</v>
      </c>
      <c r="G20550" s="5">
        <v>123</v>
      </c>
      <c r="H20550" s="5">
        <v>122.8</v>
      </c>
      <c r="I20550" s="5"/>
      <c r="J20550" s="5"/>
      <c r="K20550" s="5"/>
    </row>
    <row r="20551" spans="1:11" x14ac:dyDescent="0.25">
      <c r="A20551" s="5">
        <f>20544</f>
      </c>
      <c r="B20551" s="5" t="s">
        <v>20559</v>
      </c>
      <c r="C20551" s="5">
        <v>123.4</v>
      </c>
      <c r="D20551" s="5">
        <v>0.1</v>
      </c>
      <c r="E20551" s="5">
        <v>123.6</v>
      </c>
      <c r="F20551" s="5">
        <v>245.9</v>
      </c>
      <c r="G20551" s="5">
        <v>122.7</v>
      </c>
      <c r="H20551" s="5">
        <v>122.5</v>
      </c>
      <c r="I20551" s="5"/>
      <c r="J20551" s="5"/>
      <c r="K20551" s="5"/>
    </row>
    <row r="20552" spans="1:11" x14ac:dyDescent="0.25">
      <c r="A20552" s="5">
        <f>20545</f>
      </c>
      <c r="B20552" s="5" t="s">
        <v>20560</v>
      </c>
      <c r="C20552" s="5">
        <v>123.4</v>
      </c>
      <c r="D20552" s="5">
        <v>0.1</v>
      </c>
      <c r="E20552" s="5">
        <v>123.6</v>
      </c>
      <c r="F20552" s="5">
        <v>245.9</v>
      </c>
      <c r="G20552" s="5">
        <v>122.7</v>
      </c>
      <c r="H20552" s="5">
        <v>122.5</v>
      </c>
      <c r="I20552" s="5"/>
      <c r="J20552" s="5"/>
      <c r="K20552" s="5"/>
    </row>
    <row r="20553" spans="1:11" x14ac:dyDescent="0.25">
      <c r="A20553" s="5">
        <f>20546</f>
      </c>
      <c r="B20553" s="5" t="s">
        <v>20561</v>
      </c>
      <c r="C20553" s="5">
        <v>123</v>
      </c>
      <c r="D20553" s="5">
        <v>0.1</v>
      </c>
      <c r="E20553" s="5">
        <v>123.1</v>
      </c>
      <c r="F20553" s="5">
        <v>245.7</v>
      </c>
      <c r="G20553" s="5">
        <v>122.6</v>
      </c>
      <c r="H20553" s="5">
        <v>122.5</v>
      </c>
      <c r="I20553" s="5"/>
      <c r="J20553" s="5"/>
      <c r="K20553" s="5"/>
    </row>
    <row r="20554" spans="1:11" x14ac:dyDescent="0.25">
      <c r="A20554" s="5">
        <f>20547</f>
      </c>
      <c r="B20554" s="5" t="s">
        <v>20562</v>
      </c>
      <c r="C20554" s="5">
        <v>123</v>
      </c>
      <c r="D20554" s="5">
        <v>0.1</v>
      </c>
      <c r="E20554" s="5">
        <v>123.1</v>
      </c>
      <c r="F20554" s="5">
        <v>245.7</v>
      </c>
      <c r="G20554" s="5">
        <v>122.6</v>
      </c>
      <c r="H20554" s="5">
        <v>122.5</v>
      </c>
      <c r="I20554" s="5"/>
      <c r="J20554" s="5"/>
      <c r="K20554" s="5"/>
    </row>
    <row r="20555" spans="1:11" x14ac:dyDescent="0.25">
      <c r="A20555" s="5">
        <f>20548</f>
      </c>
      <c r="B20555" s="5" t="s">
        <v>20563</v>
      </c>
      <c r="C20555" s="5">
        <v>123.1</v>
      </c>
      <c r="D20555" s="5">
        <v>0.1</v>
      </c>
      <c r="E20555" s="5">
        <v>123.3</v>
      </c>
      <c r="F20555" s="5">
        <v>246</v>
      </c>
      <c r="G20555" s="5">
        <v>122.8</v>
      </c>
      <c r="H20555" s="5">
        <v>122.6</v>
      </c>
      <c r="I20555" s="5"/>
      <c r="J20555" s="5"/>
      <c r="K20555" s="5"/>
    </row>
    <row r="20556" spans="1:11" x14ac:dyDescent="0.25">
      <c r="A20556" s="5">
        <f>20549</f>
      </c>
      <c r="B20556" s="5" t="s">
        <v>20564</v>
      </c>
      <c r="C20556" s="5">
        <v>123.1</v>
      </c>
      <c r="D20556" s="5">
        <v>0.1</v>
      </c>
      <c r="E20556" s="5">
        <v>123.3</v>
      </c>
      <c r="F20556" s="5">
        <v>246</v>
      </c>
      <c r="G20556" s="5">
        <v>122.8</v>
      </c>
      <c r="H20556" s="5">
        <v>122.6</v>
      </c>
      <c r="I20556" s="5"/>
      <c r="J20556" s="5"/>
      <c r="K20556" s="5"/>
    </row>
    <row r="20557" spans="1:11" x14ac:dyDescent="0.25">
      <c r="A20557" s="5">
        <f>20550</f>
      </c>
      <c r="B20557" s="5" t="s">
        <v>20565</v>
      </c>
      <c r="C20557" s="5">
        <v>123.1</v>
      </c>
      <c r="D20557" s="5">
        <v>0.1</v>
      </c>
      <c r="E20557" s="5">
        <v>123.3</v>
      </c>
      <c r="F20557" s="5">
        <v>246</v>
      </c>
      <c r="G20557" s="5">
        <v>122.8</v>
      </c>
      <c r="H20557" s="5">
        <v>122.6</v>
      </c>
      <c r="I20557" s="5"/>
      <c r="J20557" s="5"/>
      <c r="K20557" s="5"/>
    </row>
    <row r="20558" spans="1:11" x14ac:dyDescent="0.25">
      <c r="A20558" s="5">
        <f>20551</f>
      </c>
      <c r="B20558" s="5" t="s">
        <v>20566</v>
      </c>
      <c r="C20558" s="5">
        <v>123.1</v>
      </c>
      <c r="D20558" s="5">
        <v>0.1</v>
      </c>
      <c r="E20558" s="5">
        <v>123.3</v>
      </c>
      <c r="F20558" s="5">
        <v>245.7</v>
      </c>
      <c r="G20558" s="5">
        <v>122.7</v>
      </c>
      <c r="H20558" s="5">
        <v>122.5</v>
      </c>
      <c r="I20558" s="5"/>
      <c r="J20558" s="5"/>
      <c r="K20558" s="5"/>
    </row>
    <row r="20559" spans="1:11" x14ac:dyDescent="0.25">
      <c r="A20559" s="5">
        <f>20552</f>
      </c>
      <c r="B20559" s="5" t="s">
        <v>20567</v>
      </c>
      <c r="C20559" s="5">
        <v>123.1</v>
      </c>
      <c r="D20559" s="5">
        <v>0.1</v>
      </c>
      <c r="E20559" s="5">
        <v>123.3</v>
      </c>
      <c r="F20559" s="5">
        <v>245.7</v>
      </c>
      <c r="G20559" s="5">
        <v>122.7</v>
      </c>
      <c r="H20559" s="5">
        <v>122.5</v>
      </c>
      <c r="I20559" s="5"/>
      <c r="J20559" s="5"/>
      <c r="K20559" s="5"/>
    </row>
    <row r="20560" spans="1:11" x14ac:dyDescent="0.25">
      <c r="A20560" s="5">
        <f>20553</f>
      </c>
      <c r="B20560" s="5" t="s">
        <v>20568</v>
      </c>
      <c r="C20560" s="5">
        <v>123.3</v>
      </c>
      <c r="D20560" s="5">
        <v>0.1</v>
      </c>
      <c r="E20560" s="5">
        <v>123.4</v>
      </c>
      <c r="F20560" s="5">
        <v>245.9</v>
      </c>
      <c r="G20560" s="5">
        <v>122.7</v>
      </c>
      <c r="H20560" s="5">
        <v>122.5</v>
      </c>
      <c r="I20560" s="5"/>
      <c r="J20560" s="5"/>
      <c r="K20560" s="5"/>
    </row>
    <row r="20561" spans="1:11" x14ac:dyDescent="0.25">
      <c r="A20561" s="5">
        <f>20554</f>
      </c>
      <c r="B20561" s="5" t="s">
        <v>20569</v>
      </c>
      <c r="C20561" s="5">
        <v>123.3</v>
      </c>
      <c r="D20561" s="5">
        <v>0.1</v>
      </c>
      <c r="E20561" s="5">
        <v>123.4</v>
      </c>
      <c r="F20561" s="5">
        <v>245.9</v>
      </c>
      <c r="G20561" s="5">
        <v>122.7</v>
      </c>
      <c r="H20561" s="5">
        <v>122.5</v>
      </c>
      <c r="I20561" s="5"/>
      <c r="J20561" s="5"/>
      <c r="K20561" s="5"/>
    </row>
    <row r="20562" spans="1:11" x14ac:dyDescent="0.25">
      <c r="A20562" s="5">
        <f>20555</f>
      </c>
      <c r="B20562" s="5" t="s">
        <v>20570</v>
      </c>
      <c r="C20562" s="5">
        <v>123.4</v>
      </c>
      <c r="D20562" s="5">
        <v>0.1</v>
      </c>
      <c r="E20562" s="5">
        <v>123.5</v>
      </c>
      <c r="F20562" s="5">
        <v>245.8</v>
      </c>
      <c r="G20562" s="5">
        <v>122.7</v>
      </c>
      <c r="H20562" s="5">
        <v>122.5</v>
      </c>
      <c r="I20562" s="5"/>
      <c r="J20562" s="5"/>
      <c r="K20562" s="5"/>
    </row>
    <row r="20563" spans="1:11" x14ac:dyDescent="0.25">
      <c r="A20563" s="5">
        <f>20556</f>
      </c>
      <c r="B20563" s="5" t="s">
        <v>20571</v>
      </c>
      <c r="C20563" s="5">
        <v>123.4</v>
      </c>
      <c r="D20563" s="5">
        <v>0.1</v>
      </c>
      <c r="E20563" s="5">
        <v>123.5</v>
      </c>
      <c r="F20563" s="5">
        <v>245.8</v>
      </c>
      <c r="G20563" s="5">
        <v>122.7</v>
      </c>
      <c r="H20563" s="5">
        <v>122.5</v>
      </c>
      <c r="I20563" s="5"/>
      <c r="J20563" s="5"/>
      <c r="K20563" s="5"/>
    </row>
    <row r="20564" spans="1:11" x14ac:dyDescent="0.25">
      <c r="A20564" s="5">
        <f>20557</f>
      </c>
      <c r="B20564" s="5" t="s">
        <v>20572</v>
      </c>
      <c r="C20564" s="5">
        <v>123.4</v>
      </c>
      <c r="D20564" s="5">
        <v>0.1</v>
      </c>
      <c r="E20564" s="5">
        <v>123.3</v>
      </c>
      <c r="F20564" s="5">
        <v>245.7</v>
      </c>
      <c r="G20564" s="5">
        <v>122.7</v>
      </c>
      <c r="H20564" s="5">
        <v>122.6</v>
      </c>
      <c r="I20564" s="5"/>
      <c r="J20564" s="5"/>
      <c r="K20564" s="5"/>
    </row>
    <row r="20565" spans="1:11" x14ac:dyDescent="0.25">
      <c r="A20565" s="5">
        <f>20558</f>
      </c>
      <c r="B20565" s="5" t="s">
        <v>20573</v>
      </c>
      <c r="C20565" s="5">
        <v>123.1</v>
      </c>
      <c r="D20565" s="5">
        <v>0.1</v>
      </c>
      <c r="E20565" s="5">
        <v>123.3</v>
      </c>
      <c r="F20565" s="5">
        <v>245.7</v>
      </c>
      <c r="G20565" s="5">
        <v>122.7</v>
      </c>
      <c r="H20565" s="5">
        <v>122.6</v>
      </c>
      <c r="I20565" s="5"/>
      <c r="J20565" s="5"/>
      <c r="K20565" s="5"/>
    </row>
    <row r="20566" spans="1:11" x14ac:dyDescent="0.25">
      <c r="A20566" s="5">
        <f>20559</f>
      </c>
      <c r="B20566" s="5" t="s">
        <v>20574</v>
      </c>
      <c r="C20566" s="5">
        <v>123.1</v>
      </c>
      <c r="D20566" s="5">
        <v>0.1</v>
      </c>
      <c r="E20566" s="5">
        <v>123.3</v>
      </c>
      <c r="F20566" s="5">
        <v>245.7</v>
      </c>
      <c r="G20566" s="5">
        <v>122.7</v>
      </c>
      <c r="H20566" s="5">
        <v>122.6</v>
      </c>
      <c r="I20566" s="5"/>
      <c r="J20566" s="5"/>
      <c r="K20566" s="5"/>
    </row>
    <row r="20567" spans="1:11" x14ac:dyDescent="0.25">
      <c r="A20567" s="5">
        <f>20560</f>
      </c>
      <c r="B20567" s="5" t="s">
        <v>20575</v>
      </c>
      <c r="C20567" s="5">
        <v>123.1</v>
      </c>
      <c r="D20567" s="5">
        <v>0.1</v>
      </c>
      <c r="E20567" s="5">
        <v>123.3</v>
      </c>
      <c r="F20567" s="5">
        <v>245.7</v>
      </c>
      <c r="G20567" s="5">
        <v>122.7</v>
      </c>
      <c r="H20567" s="5">
        <v>122.6</v>
      </c>
      <c r="I20567" s="5"/>
      <c r="J20567" s="5"/>
      <c r="K20567" s="5"/>
    </row>
    <row r="20568" spans="1:11" x14ac:dyDescent="0.25">
      <c r="A20568" s="5">
        <f>20561</f>
      </c>
      <c r="B20568" s="5" t="s">
        <v>20576</v>
      </c>
      <c r="C20568" s="5">
        <v>122.7</v>
      </c>
      <c r="D20568" s="5">
        <v>0.1</v>
      </c>
      <c r="E20568" s="5">
        <v>122.9</v>
      </c>
      <c r="F20568" s="5">
        <v>245.1</v>
      </c>
      <c r="G20568" s="5">
        <v>122.3</v>
      </c>
      <c r="H20568" s="5">
        <v>122.1</v>
      </c>
      <c r="I20568" s="5"/>
      <c r="J20568" s="5"/>
      <c r="K20568" s="5"/>
    </row>
    <row r="20569" spans="1:11" x14ac:dyDescent="0.25">
      <c r="A20569" s="5">
        <f>20562</f>
      </c>
      <c r="B20569" s="5" t="s">
        <v>20577</v>
      </c>
      <c r="C20569" s="5">
        <v>122.7</v>
      </c>
      <c r="D20569" s="5">
        <v>0.1</v>
      </c>
      <c r="E20569" s="5">
        <v>122.9</v>
      </c>
      <c r="F20569" s="5">
        <v>245.1</v>
      </c>
      <c r="G20569" s="5">
        <v>122.3</v>
      </c>
      <c r="H20569" s="5">
        <v>122.1</v>
      </c>
      <c r="I20569" s="5"/>
      <c r="J20569" s="5"/>
      <c r="K20569" s="5"/>
    </row>
    <row r="20570" spans="1:11" x14ac:dyDescent="0.25">
      <c r="A20570" s="5">
        <f>20563</f>
      </c>
      <c r="B20570" s="5" t="s">
        <v>20578</v>
      </c>
      <c r="C20570" s="5">
        <v>122.8</v>
      </c>
      <c r="D20570" s="5">
        <v>0.1</v>
      </c>
      <c r="E20570" s="5">
        <v>123</v>
      </c>
      <c r="F20570" s="5">
        <v>244.9</v>
      </c>
      <c r="G20570" s="5">
        <v>122.2</v>
      </c>
      <c r="H20570" s="5">
        <v>122.1</v>
      </c>
      <c r="I20570" s="5"/>
      <c r="J20570" s="5"/>
      <c r="K20570" s="5"/>
    </row>
    <row r="20571" spans="1:11" x14ac:dyDescent="0.25">
      <c r="A20571" s="5">
        <f>20564</f>
      </c>
      <c r="B20571" s="5" t="s">
        <v>20579</v>
      </c>
      <c r="C20571" s="5">
        <v>122.8</v>
      </c>
      <c r="D20571" s="5">
        <v>0.1</v>
      </c>
      <c r="E20571" s="5">
        <v>123</v>
      </c>
      <c r="F20571" s="5">
        <v>244.9</v>
      </c>
      <c r="G20571" s="5">
        <v>122.2</v>
      </c>
      <c r="H20571" s="5">
        <v>122.1</v>
      </c>
      <c r="I20571" s="5"/>
      <c r="J20571" s="5"/>
      <c r="K20571" s="5"/>
    </row>
    <row r="20572" spans="1:11" x14ac:dyDescent="0.25">
      <c r="A20572" s="5">
        <f>20565</f>
      </c>
      <c r="B20572" s="5" t="s">
        <v>20580</v>
      </c>
      <c r="C20572" s="5">
        <v>122.8</v>
      </c>
      <c r="D20572" s="5">
        <v>0.1</v>
      </c>
      <c r="E20572" s="5">
        <v>123.1</v>
      </c>
      <c r="F20572" s="5">
        <v>244.9</v>
      </c>
      <c r="G20572" s="5">
        <v>122.3</v>
      </c>
      <c r="H20572" s="5">
        <v>122.1</v>
      </c>
      <c r="I20572" s="5"/>
      <c r="J20572" s="5"/>
      <c r="K20572" s="5"/>
    </row>
    <row r="20573" spans="1:11" x14ac:dyDescent="0.25">
      <c r="A20573" s="5">
        <f>20566</f>
      </c>
      <c r="B20573" s="5" t="s">
        <v>20581</v>
      </c>
      <c r="C20573" s="5">
        <v>122.8</v>
      </c>
      <c r="D20573" s="5">
        <v>0.1</v>
      </c>
      <c r="E20573" s="5">
        <v>123.1</v>
      </c>
      <c r="F20573" s="5">
        <v>244.9</v>
      </c>
      <c r="G20573" s="5">
        <v>122.3</v>
      </c>
      <c r="H20573" s="5">
        <v>122.1</v>
      </c>
      <c r="I20573" s="5"/>
      <c r="J20573" s="5"/>
      <c r="K20573" s="5"/>
    </row>
    <row r="20574" spans="1:11" x14ac:dyDescent="0.25">
      <c r="A20574" s="5">
        <f>20567</f>
      </c>
      <c r="B20574" s="5" t="s">
        <v>20582</v>
      </c>
      <c r="C20574" s="5">
        <v>122.8</v>
      </c>
      <c r="D20574" s="5">
        <v>0.1</v>
      </c>
      <c r="E20574" s="5">
        <v>123.1</v>
      </c>
      <c r="F20574" s="5">
        <v>245.3</v>
      </c>
      <c r="G20574" s="5">
        <v>122.4</v>
      </c>
      <c r="H20574" s="5">
        <v>122.2</v>
      </c>
      <c r="I20574" s="5"/>
      <c r="J20574" s="5"/>
      <c r="K20574" s="5"/>
    </row>
    <row r="20575" spans="1:11" x14ac:dyDescent="0.25">
      <c r="A20575" s="5">
        <f>20568</f>
      </c>
      <c r="B20575" s="5" t="s">
        <v>20583</v>
      </c>
      <c r="C20575" s="5">
        <v>122.8</v>
      </c>
      <c r="D20575" s="5">
        <v>0.1</v>
      </c>
      <c r="E20575" s="5">
        <v>123.1</v>
      </c>
      <c r="F20575" s="5">
        <v>245.3</v>
      </c>
      <c r="G20575" s="5">
        <v>122.4</v>
      </c>
      <c r="H20575" s="5">
        <v>122.2</v>
      </c>
      <c r="I20575" s="5"/>
      <c r="J20575" s="5"/>
      <c r="K20575" s="5"/>
    </row>
    <row r="20576" spans="1:11" x14ac:dyDescent="0.25">
      <c r="A20576" s="5">
        <f>20569</f>
      </c>
      <c r="B20576" s="5" t="s">
        <v>20584</v>
      </c>
      <c r="C20576" s="5">
        <v>122.8</v>
      </c>
      <c r="D20576" s="5">
        <v>0.1</v>
      </c>
      <c r="E20576" s="5">
        <v>123.1</v>
      </c>
      <c r="F20576" s="5">
        <v>245.3</v>
      </c>
      <c r="G20576" s="5">
        <v>122.4</v>
      </c>
      <c r="H20576" s="5">
        <v>122.2</v>
      </c>
      <c r="I20576" s="5"/>
      <c r="J20576" s="5"/>
      <c r="K20576" s="5"/>
    </row>
    <row r="20577" spans="1:11" x14ac:dyDescent="0.25">
      <c r="A20577" s="5">
        <f>20570</f>
      </c>
      <c r="B20577" s="5" t="s">
        <v>20585</v>
      </c>
      <c r="C20577" s="5">
        <v>122.8</v>
      </c>
      <c r="D20577" s="5">
        <v>0.1</v>
      </c>
      <c r="E20577" s="5">
        <v>123.1</v>
      </c>
      <c r="F20577" s="5">
        <v>245.3</v>
      </c>
      <c r="G20577" s="5">
        <v>122.4</v>
      </c>
      <c r="H20577" s="5">
        <v>122.2</v>
      </c>
      <c r="I20577" s="5"/>
      <c r="J20577" s="5"/>
      <c r="K20577" s="5"/>
    </row>
    <row r="20578" spans="1:11" x14ac:dyDescent="0.25">
      <c r="A20578" s="5">
        <f>20571</f>
      </c>
      <c r="B20578" s="5" t="s">
        <v>20586</v>
      </c>
      <c r="C20578" s="5">
        <v>122.1</v>
      </c>
      <c r="D20578" s="5">
        <v>0.1</v>
      </c>
      <c r="E20578" s="5">
        <v>122.3</v>
      </c>
      <c r="F20578" s="5">
        <v>244.9</v>
      </c>
      <c r="G20578" s="5">
        <v>122.2</v>
      </c>
      <c r="H20578" s="5">
        <v>122</v>
      </c>
      <c r="I20578" s="5"/>
      <c r="J20578" s="5"/>
      <c r="K20578" s="5"/>
    </row>
    <row r="20579" spans="1:11" x14ac:dyDescent="0.25">
      <c r="A20579" s="5">
        <f>20572</f>
      </c>
      <c r="B20579" s="5" t="s">
        <v>20587</v>
      </c>
      <c r="C20579" s="5">
        <v>122.1</v>
      </c>
      <c r="D20579" s="5">
        <v>0.1</v>
      </c>
      <c r="E20579" s="5">
        <v>122.3</v>
      </c>
      <c r="F20579" s="5">
        <v>244.9</v>
      </c>
      <c r="G20579" s="5">
        <v>122.2</v>
      </c>
      <c r="H20579" s="5">
        <v>122</v>
      </c>
      <c r="I20579" s="5"/>
      <c r="J20579" s="5"/>
      <c r="K20579" s="5"/>
    </row>
    <row r="20580" spans="1:11" x14ac:dyDescent="0.25">
      <c r="A20580" s="5">
        <f>20573</f>
      </c>
      <c r="B20580" s="5" t="s">
        <v>20588</v>
      </c>
      <c r="C20580" s="5">
        <v>122.2</v>
      </c>
      <c r="D20580" s="5">
        <v>0.1</v>
      </c>
      <c r="E20580" s="5">
        <v>122.4</v>
      </c>
      <c r="F20580" s="5">
        <v>244.7</v>
      </c>
      <c r="G20580" s="5">
        <v>122.2</v>
      </c>
      <c r="H20580" s="5">
        <v>122</v>
      </c>
      <c r="I20580" s="5"/>
      <c r="J20580" s="5"/>
      <c r="K20580" s="5"/>
    </row>
    <row r="20581" spans="1:11" x14ac:dyDescent="0.25">
      <c r="A20581" s="5">
        <f>20574</f>
      </c>
      <c r="B20581" s="5" t="s">
        <v>20589</v>
      </c>
      <c r="C20581" s="5">
        <v>122.2</v>
      </c>
      <c r="D20581" s="5">
        <v>0.1</v>
      </c>
      <c r="E20581" s="5">
        <v>122.4</v>
      </c>
      <c r="F20581" s="5">
        <v>244.7</v>
      </c>
      <c r="G20581" s="5">
        <v>122.2</v>
      </c>
      <c r="H20581" s="5">
        <v>122</v>
      </c>
      <c r="I20581" s="5"/>
      <c r="J20581" s="5"/>
      <c r="K20581" s="5"/>
    </row>
    <row r="20582" spans="1:11" x14ac:dyDescent="0.25">
      <c r="A20582" s="5">
        <f>20575</f>
      </c>
      <c r="B20582" s="5" t="s">
        <v>20590</v>
      </c>
      <c r="C20582" s="5">
        <v>122.5</v>
      </c>
      <c r="D20582" s="5">
        <v>0.1</v>
      </c>
      <c r="E20582" s="5">
        <v>122.8</v>
      </c>
      <c r="F20582" s="5">
        <v>245</v>
      </c>
      <c r="G20582" s="5">
        <v>122.3</v>
      </c>
      <c r="H20582" s="5">
        <v>122.1</v>
      </c>
      <c r="I20582" s="5"/>
      <c r="J20582" s="5"/>
      <c r="K20582" s="5"/>
    </row>
    <row r="20583" spans="1:11" x14ac:dyDescent="0.25">
      <c r="A20583" s="5">
        <f>20576</f>
      </c>
      <c r="B20583" s="5" t="s">
        <v>20591</v>
      </c>
      <c r="C20583" s="5">
        <v>122.5</v>
      </c>
      <c r="D20583" s="5">
        <v>0.1</v>
      </c>
      <c r="E20583" s="5">
        <v>122.8</v>
      </c>
      <c r="F20583" s="5">
        <v>245</v>
      </c>
      <c r="G20583" s="5">
        <v>122.3</v>
      </c>
      <c r="H20583" s="5">
        <v>122.1</v>
      </c>
      <c r="I20583" s="5"/>
      <c r="J20583" s="5"/>
      <c r="K20583" s="5"/>
    </row>
    <row r="20584" spans="1:11" x14ac:dyDescent="0.25">
      <c r="A20584" s="5">
        <f>20577</f>
      </c>
      <c r="B20584" s="5" t="s">
        <v>20592</v>
      </c>
      <c r="C20584" s="5">
        <v>122.2</v>
      </c>
      <c r="D20584" s="5">
        <v>0.1</v>
      </c>
      <c r="E20584" s="5">
        <v>122.4</v>
      </c>
      <c r="F20584" s="5">
        <v>244.8</v>
      </c>
      <c r="G20584" s="5">
        <v>122.1</v>
      </c>
      <c r="H20584" s="5">
        <v>121.9</v>
      </c>
      <c r="I20584" s="5"/>
      <c r="J20584" s="5"/>
      <c r="K20584" s="5"/>
    </row>
    <row r="20585" spans="1:11" x14ac:dyDescent="0.25">
      <c r="A20585" s="5">
        <f>20578</f>
      </c>
      <c r="B20585" s="5" t="s">
        <v>20593</v>
      </c>
      <c r="C20585" s="5">
        <v>122.2</v>
      </c>
      <c r="D20585" s="5">
        <v>0.1</v>
      </c>
      <c r="E20585" s="5">
        <v>122.4</v>
      </c>
      <c r="F20585" s="5">
        <v>244.8</v>
      </c>
      <c r="G20585" s="5">
        <v>122.1</v>
      </c>
      <c r="H20585" s="5">
        <v>121.9</v>
      </c>
      <c r="I20585" s="5"/>
      <c r="J20585" s="5"/>
      <c r="K20585" s="5"/>
    </row>
    <row r="20586" spans="1:11" x14ac:dyDescent="0.25">
      <c r="A20586" s="5">
        <f>20579</f>
      </c>
      <c r="B20586" s="5" t="s">
        <v>20594</v>
      </c>
      <c r="C20586" s="5">
        <v>122.2</v>
      </c>
      <c r="D20586" s="5">
        <v>0.1</v>
      </c>
      <c r="E20586" s="5">
        <v>122.4</v>
      </c>
      <c r="F20586" s="5">
        <v>244.8</v>
      </c>
      <c r="G20586" s="5">
        <v>122.1</v>
      </c>
      <c r="H20586" s="5">
        <v>121.9</v>
      </c>
      <c r="I20586" s="5"/>
      <c r="J20586" s="5"/>
      <c r="K20586" s="5"/>
    </row>
    <row r="20587" spans="1:11" x14ac:dyDescent="0.25">
      <c r="A20587" s="5">
        <f>20580</f>
      </c>
      <c r="B20587" s="5" t="s">
        <v>20595</v>
      </c>
      <c r="C20587" s="5">
        <v>122.2</v>
      </c>
      <c r="D20587" s="5">
        <v>0.1</v>
      </c>
      <c r="E20587" s="5">
        <v>122.4</v>
      </c>
      <c r="F20587" s="5">
        <v>244.8</v>
      </c>
      <c r="G20587" s="5">
        <v>122.1</v>
      </c>
      <c r="H20587" s="5">
        <v>121.9</v>
      </c>
      <c r="I20587" s="5"/>
      <c r="J20587" s="5"/>
      <c r="K20587" s="5"/>
    </row>
    <row r="20588" spans="1:11" x14ac:dyDescent="0.25">
      <c r="A20588" s="5">
        <f>20581</f>
      </c>
      <c r="B20588" s="5" t="s">
        <v>20596</v>
      </c>
      <c r="C20588" s="5">
        <v>123.1</v>
      </c>
      <c r="D20588" s="5">
        <v>0.1</v>
      </c>
      <c r="E20588" s="5">
        <v>123.2</v>
      </c>
      <c r="F20588" s="5">
        <v>245.5</v>
      </c>
      <c r="G20588" s="5">
        <v>122.5</v>
      </c>
      <c r="H20588" s="5">
        <v>122.3</v>
      </c>
      <c r="I20588" s="5"/>
      <c r="J20588" s="5"/>
      <c r="K20588" s="5"/>
    </row>
    <row r="20589" spans="1:11" x14ac:dyDescent="0.25">
      <c r="A20589" s="5">
        <f>20582</f>
      </c>
      <c r="B20589" s="5" t="s">
        <v>20597</v>
      </c>
      <c r="C20589" s="5">
        <v>123.1</v>
      </c>
      <c r="D20589" s="5">
        <v>0.1</v>
      </c>
      <c r="E20589" s="5">
        <v>123.2</v>
      </c>
      <c r="F20589" s="5">
        <v>245.5</v>
      </c>
      <c r="G20589" s="5">
        <v>122.5</v>
      </c>
      <c r="H20589" s="5">
        <v>122.3</v>
      </c>
      <c r="I20589" s="5"/>
      <c r="J20589" s="5"/>
      <c r="K20589" s="5"/>
    </row>
    <row r="20590" spans="1:11" x14ac:dyDescent="0.25">
      <c r="A20590" s="5">
        <f>20583</f>
      </c>
      <c r="B20590" s="5" t="s">
        <v>20598</v>
      </c>
      <c r="C20590" s="5">
        <v>123.1</v>
      </c>
      <c r="D20590" s="5">
        <v>0.1</v>
      </c>
      <c r="E20590" s="5">
        <v>123.3</v>
      </c>
      <c r="F20590" s="5">
        <v>245.3</v>
      </c>
      <c r="G20590" s="5">
        <v>122.4</v>
      </c>
      <c r="H20590" s="5">
        <v>122.3</v>
      </c>
      <c r="I20590" s="5"/>
      <c r="J20590" s="5"/>
      <c r="K20590" s="5"/>
    </row>
    <row r="20591" spans="1:11" x14ac:dyDescent="0.25">
      <c r="A20591" s="5">
        <f>20584</f>
      </c>
      <c r="B20591" s="5" t="s">
        <v>20599</v>
      </c>
      <c r="C20591" s="5">
        <v>123.1</v>
      </c>
      <c r="D20591" s="5">
        <v>0.1</v>
      </c>
      <c r="E20591" s="5">
        <v>123.3</v>
      </c>
      <c r="F20591" s="5">
        <v>245.3</v>
      </c>
      <c r="G20591" s="5">
        <v>122.4</v>
      </c>
      <c r="H20591" s="5">
        <v>122.3</v>
      </c>
      <c r="I20591" s="5"/>
      <c r="J20591" s="5"/>
      <c r="K20591" s="5"/>
    </row>
    <row r="20592" spans="1:11" x14ac:dyDescent="0.25">
      <c r="A20592" s="5">
        <f>20585</f>
      </c>
      <c r="B20592" s="5" t="s">
        <v>20600</v>
      </c>
      <c r="C20592" s="5">
        <v>124.4</v>
      </c>
      <c r="D20592" s="5">
        <v>0.1</v>
      </c>
      <c r="E20592" s="5">
        <v>124.5</v>
      </c>
      <c r="F20592" s="5">
        <v>248.1</v>
      </c>
      <c r="G20592" s="5">
        <v>123.8</v>
      </c>
      <c r="H20592" s="5">
        <v>123.6</v>
      </c>
      <c r="I20592" s="5"/>
      <c r="J20592" s="5"/>
      <c r="K20592" s="5"/>
    </row>
    <row r="20593" spans="1:11" x14ac:dyDescent="0.25">
      <c r="A20593" s="5">
        <f>20586</f>
      </c>
      <c r="B20593" s="5" t="s">
        <v>20601</v>
      </c>
      <c r="C20593" s="5">
        <v>124.4</v>
      </c>
      <c r="D20593" s="5">
        <v>0.1</v>
      </c>
      <c r="E20593" s="5">
        <v>124.5</v>
      </c>
      <c r="F20593" s="5">
        <v>248.1</v>
      </c>
      <c r="G20593" s="5">
        <v>123.8</v>
      </c>
      <c r="H20593" s="5">
        <v>123.6</v>
      </c>
      <c r="I20593" s="5"/>
      <c r="J20593" s="5"/>
      <c r="K20593" s="5"/>
    </row>
    <row r="20594" spans="1:11" x14ac:dyDescent="0.25">
      <c r="A20594" s="5">
        <f>20587</f>
      </c>
      <c r="B20594" s="5" t="s">
        <v>20602</v>
      </c>
      <c r="C20594" s="5">
        <v>122.1</v>
      </c>
      <c r="D20594" s="5">
        <v>0.1</v>
      </c>
      <c r="E20594" s="5">
        <v>122.2</v>
      </c>
      <c r="F20594" s="5">
        <v>244.1</v>
      </c>
      <c r="G20594" s="5">
        <v>121.8</v>
      </c>
      <c r="H20594" s="5">
        <v>121.7</v>
      </c>
      <c r="I20594" s="5"/>
      <c r="J20594" s="5"/>
      <c r="K20594" s="5"/>
    </row>
    <row r="20595" spans="1:11" x14ac:dyDescent="0.25">
      <c r="A20595" s="5">
        <f>20588</f>
      </c>
      <c r="B20595" s="5" t="s">
        <v>20603</v>
      </c>
      <c r="C20595" s="5">
        <v>122.1</v>
      </c>
      <c r="D20595" s="5">
        <v>0.1</v>
      </c>
      <c r="E20595" s="5">
        <v>122.2</v>
      </c>
      <c r="F20595" s="5">
        <v>244.1</v>
      </c>
      <c r="G20595" s="5">
        <v>121.8</v>
      </c>
      <c r="H20595" s="5">
        <v>121.7</v>
      </c>
      <c r="I20595" s="5"/>
      <c r="J20595" s="5"/>
      <c r="K20595" s="5"/>
    </row>
    <row r="20596" spans="1:11" x14ac:dyDescent="0.25">
      <c r="A20596" s="5">
        <f>20589</f>
      </c>
      <c r="B20596" s="5" t="s">
        <v>20604</v>
      </c>
      <c r="C20596" s="5">
        <v>122.1</v>
      </c>
      <c r="D20596" s="5">
        <v>0.1</v>
      </c>
      <c r="E20596" s="5">
        <v>122.2</v>
      </c>
      <c r="F20596" s="5">
        <v>244.1</v>
      </c>
      <c r="G20596" s="5">
        <v>121.8</v>
      </c>
      <c r="H20596" s="5">
        <v>121.7</v>
      </c>
      <c r="I20596" s="5"/>
      <c r="J20596" s="5"/>
      <c r="K20596" s="5"/>
    </row>
    <row r="20597" spans="1:11" x14ac:dyDescent="0.25">
      <c r="A20597" s="5">
        <f>20590</f>
      </c>
      <c r="B20597" s="5" t="s">
        <v>20605</v>
      </c>
      <c r="C20597" s="5">
        <v>122.1</v>
      </c>
      <c r="D20597" s="5">
        <v>0.1</v>
      </c>
      <c r="E20597" s="5">
        <v>122.2</v>
      </c>
      <c r="F20597" s="5">
        <v>244.1</v>
      </c>
      <c r="G20597" s="5">
        <v>121.8</v>
      </c>
      <c r="H20597" s="5">
        <v>121.7</v>
      </c>
      <c r="I20597" s="5"/>
      <c r="J20597" s="5"/>
      <c r="K20597" s="5"/>
    </row>
    <row r="20598" spans="1:11" x14ac:dyDescent="0.25">
      <c r="A20598" s="5">
        <f>20591</f>
      </c>
      <c r="B20598" s="5" t="s">
        <v>20606</v>
      </c>
      <c r="C20598" s="5">
        <v>122.3</v>
      </c>
      <c r="D20598" s="5">
        <v>0.1</v>
      </c>
      <c r="E20598" s="5">
        <v>122.5</v>
      </c>
      <c r="F20598" s="5">
        <v>243.9</v>
      </c>
      <c r="G20598" s="5">
        <v>121.7</v>
      </c>
      <c r="H20598" s="5">
        <v>121.5</v>
      </c>
      <c r="I20598" s="5"/>
      <c r="J20598" s="5"/>
      <c r="K20598" s="5"/>
    </row>
    <row r="20599" spans="1:11" x14ac:dyDescent="0.25">
      <c r="A20599" s="5">
        <f>20592</f>
      </c>
      <c r="B20599" s="5" t="s">
        <v>20607</v>
      </c>
      <c r="C20599" s="5">
        <v>122.3</v>
      </c>
      <c r="D20599" s="5">
        <v>0.1</v>
      </c>
      <c r="E20599" s="5">
        <v>122.5</v>
      </c>
      <c r="F20599" s="5">
        <v>243.9</v>
      </c>
      <c r="G20599" s="5">
        <v>121.7</v>
      </c>
      <c r="H20599" s="5">
        <v>121.5</v>
      </c>
      <c r="I20599" s="5"/>
      <c r="J20599" s="5"/>
      <c r="K20599" s="5"/>
    </row>
    <row r="20600" spans="1:11" x14ac:dyDescent="0.25">
      <c r="A20600" s="5">
        <f>20593</f>
      </c>
      <c r="B20600" s="5" t="s">
        <v>20608</v>
      </c>
      <c r="C20600" s="5">
        <v>121.8</v>
      </c>
      <c r="D20600" s="5">
        <v>0.1</v>
      </c>
      <c r="E20600" s="5">
        <v>122.1</v>
      </c>
      <c r="F20600" s="5">
        <v>243.3</v>
      </c>
      <c r="G20600" s="5">
        <v>121.4</v>
      </c>
      <c r="H20600" s="5">
        <v>121.3</v>
      </c>
      <c r="I20600" s="5"/>
      <c r="J20600" s="5"/>
      <c r="K20600" s="5"/>
    </row>
    <row r="20601" spans="1:11" x14ac:dyDescent="0.25">
      <c r="A20601" s="5">
        <f>20594</f>
      </c>
      <c r="B20601" s="5" t="s">
        <v>20609</v>
      </c>
      <c r="C20601" s="5">
        <v>121.8</v>
      </c>
      <c r="D20601" s="5">
        <v>0.1</v>
      </c>
      <c r="E20601" s="5">
        <v>122.1</v>
      </c>
      <c r="F20601" s="5">
        <v>243.3</v>
      </c>
      <c r="G20601" s="5">
        <v>121.4</v>
      </c>
      <c r="H20601" s="5">
        <v>121.3</v>
      </c>
      <c r="I20601" s="5"/>
      <c r="J20601" s="5"/>
      <c r="K20601" s="5"/>
    </row>
    <row r="20602" spans="1:11" x14ac:dyDescent="0.25">
      <c r="A20602" s="5">
        <f>20595</f>
      </c>
      <c r="B20602" s="5" t="s">
        <v>20610</v>
      </c>
      <c r="C20602" s="5">
        <v>121.8</v>
      </c>
      <c r="D20602" s="5">
        <v>0.1</v>
      </c>
      <c r="E20602" s="5">
        <v>122</v>
      </c>
      <c r="F20602" s="5">
        <v>243.4</v>
      </c>
      <c r="G20602" s="5">
        <v>121.4</v>
      </c>
      <c r="H20602" s="5">
        <v>121.2</v>
      </c>
      <c r="I20602" s="5"/>
      <c r="J20602" s="5"/>
      <c r="K20602" s="5"/>
    </row>
    <row r="20603" spans="1:11" x14ac:dyDescent="0.25">
      <c r="A20603" s="5">
        <f>20596</f>
      </c>
      <c r="B20603" s="5" t="s">
        <v>20611</v>
      </c>
      <c r="C20603" s="5">
        <v>121.8</v>
      </c>
      <c r="D20603" s="5">
        <v>0.1</v>
      </c>
      <c r="E20603" s="5">
        <v>122</v>
      </c>
      <c r="F20603" s="5">
        <v>243.4</v>
      </c>
      <c r="G20603" s="5">
        <v>121.4</v>
      </c>
      <c r="H20603" s="5">
        <v>121.2</v>
      </c>
      <c r="I20603" s="5"/>
      <c r="J20603" s="5"/>
      <c r="K20603" s="5"/>
    </row>
    <row r="20604" spans="1:11" x14ac:dyDescent="0.25">
      <c r="A20604" s="5">
        <f>20597</f>
      </c>
      <c r="B20604" s="5" t="s">
        <v>20612</v>
      </c>
      <c r="C20604" s="5">
        <v>121.8</v>
      </c>
      <c r="D20604" s="5">
        <v>0.1</v>
      </c>
      <c r="E20604" s="5">
        <v>122</v>
      </c>
      <c r="F20604" s="5">
        <v>243.6</v>
      </c>
      <c r="G20604" s="5">
        <v>121.6</v>
      </c>
      <c r="H20604" s="5">
        <v>121.4</v>
      </c>
      <c r="I20604" s="5"/>
      <c r="J20604" s="5"/>
      <c r="K20604" s="5"/>
    </row>
    <row r="20605" spans="1:11" x14ac:dyDescent="0.25">
      <c r="A20605" s="5">
        <f>20598</f>
      </c>
      <c r="B20605" s="5" t="s">
        <v>20613</v>
      </c>
      <c r="C20605" s="5">
        <v>121.8</v>
      </c>
      <c r="D20605" s="5">
        <v>0.1</v>
      </c>
      <c r="E20605" s="5">
        <v>122</v>
      </c>
      <c r="F20605" s="5">
        <v>243.6</v>
      </c>
      <c r="G20605" s="5">
        <v>121.6</v>
      </c>
      <c r="H20605" s="5">
        <v>121.4</v>
      </c>
      <c r="I20605" s="5"/>
      <c r="J20605" s="5"/>
      <c r="K20605" s="5"/>
    </row>
    <row r="20606" spans="1:11" x14ac:dyDescent="0.25">
      <c r="A20606" s="5">
        <f>20599</f>
      </c>
      <c r="B20606" s="5" t="s">
        <v>20614</v>
      </c>
      <c r="C20606" s="5">
        <v>121.8</v>
      </c>
      <c r="D20606" s="5">
        <v>0.1</v>
      </c>
      <c r="E20606" s="5">
        <v>122</v>
      </c>
      <c r="F20606" s="5">
        <v>243.6</v>
      </c>
      <c r="G20606" s="5">
        <v>121.6</v>
      </c>
      <c r="H20606" s="5">
        <v>121.4</v>
      </c>
      <c r="I20606" s="5"/>
      <c r="J20606" s="5"/>
      <c r="K20606" s="5"/>
    </row>
    <row r="20607" spans="1:11" x14ac:dyDescent="0.25">
      <c r="A20607" s="5">
        <f>20600</f>
      </c>
      <c r="B20607" s="5" t="s">
        <v>20615</v>
      </c>
      <c r="C20607" s="5">
        <v>121.8</v>
      </c>
      <c r="D20607" s="5">
        <v>0.1</v>
      </c>
      <c r="E20607" s="5">
        <v>122</v>
      </c>
      <c r="F20607" s="5">
        <v>243.6</v>
      </c>
      <c r="G20607" s="5">
        <v>121.6</v>
      </c>
      <c r="H20607" s="5">
        <v>121.4</v>
      </c>
      <c r="I20607" s="5"/>
      <c r="J20607" s="5"/>
      <c r="K20607" s="5"/>
    </row>
    <row r="20608" spans="1:11" x14ac:dyDescent="0.25">
      <c r="A20608" s="5">
        <f>20601</f>
      </c>
      <c r="B20608" s="5" t="s">
        <v>20616</v>
      </c>
      <c r="C20608" s="5">
        <v>117.4</v>
      </c>
      <c r="D20608" s="5">
        <v>0.1</v>
      </c>
      <c r="E20608" s="5">
        <v>117.6</v>
      </c>
      <c r="F20608" s="5">
        <v>235</v>
      </c>
      <c r="G20608" s="5">
        <v>117.3</v>
      </c>
      <c r="H20608" s="5">
        <v>117.1</v>
      </c>
      <c r="I20608" s="5"/>
      <c r="J20608" s="5"/>
      <c r="K20608" s="5"/>
    </row>
    <row r="20609" spans="1:11" x14ac:dyDescent="0.25">
      <c r="A20609" s="5">
        <f>20602</f>
      </c>
      <c r="B20609" s="5" t="s">
        <v>20617</v>
      </c>
      <c r="C20609" s="5">
        <v>117.4</v>
      </c>
      <c r="D20609" s="5">
        <v>0.1</v>
      </c>
      <c r="E20609" s="5">
        <v>117.6</v>
      </c>
      <c r="F20609" s="5">
        <v>235</v>
      </c>
      <c r="G20609" s="5">
        <v>117.3</v>
      </c>
      <c r="H20609" s="5">
        <v>117.1</v>
      </c>
      <c r="I20609" s="5"/>
      <c r="J20609" s="5"/>
      <c r="K20609" s="5"/>
    </row>
    <row r="20610" spans="1:11" x14ac:dyDescent="0.25">
      <c r="A20610" s="5">
        <f>20603</f>
      </c>
      <c r="B20610" s="5" t="s">
        <v>20618</v>
      </c>
      <c r="C20610" s="5">
        <v>117.1</v>
      </c>
      <c r="D20610" s="5">
        <v>0.1</v>
      </c>
      <c r="E20610" s="5">
        <v>117.3</v>
      </c>
      <c r="F20610" s="5">
        <v>234.9</v>
      </c>
      <c r="G20610" s="5">
        <v>117.2</v>
      </c>
      <c r="H20610" s="5">
        <v>117</v>
      </c>
      <c r="I20610" s="5"/>
      <c r="J20610" s="5"/>
      <c r="K20610" s="5"/>
    </row>
    <row r="20611" spans="1:11" x14ac:dyDescent="0.25">
      <c r="A20611" s="5">
        <f>20604</f>
      </c>
      <c r="B20611" s="5" t="s">
        <v>20619</v>
      </c>
      <c r="C20611" s="5">
        <v>117.1</v>
      </c>
      <c r="D20611" s="5">
        <v>0.1</v>
      </c>
      <c r="E20611" s="5">
        <v>117.3</v>
      </c>
      <c r="F20611" s="5">
        <v>234.9</v>
      </c>
      <c r="G20611" s="5">
        <v>117.2</v>
      </c>
      <c r="H20611" s="5">
        <v>117</v>
      </c>
      <c r="I20611" s="5"/>
      <c r="J20611" s="5"/>
      <c r="K20611" s="5"/>
    </row>
    <row r="20612" spans="1:11" x14ac:dyDescent="0.25">
      <c r="A20612" s="5">
        <f>20605</f>
      </c>
      <c r="B20612" s="5" t="s">
        <v>20620</v>
      </c>
      <c r="C20612" s="5">
        <v>117</v>
      </c>
      <c r="D20612" s="5">
        <v>0.1</v>
      </c>
      <c r="E20612" s="5">
        <v>117.1</v>
      </c>
      <c r="F20612" s="5">
        <v>233.9</v>
      </c>
      <c r="G20612" s="5">
        <v>116.7</v>
      </c>
      <c r="H20612" s="5">
        <v>116.5</v>
      </c>
      <c r="I20612" s="5"/>
      <c r="J20612" s="5"/>
      <c r="K20612" s="5"/>
    </row>
    <row r="20613" spans="1:11" x14ac:dyDescent="0.25">
      <c r="A20613" s="5">
        <f>20606</f>
      </c>
      <c r="B20613" s="5" t="s">
        <v>20621</v>
      </c>
      <c r="C20613" s="5">
        <v>117</v>
      </c>
      <c r="D20613" s="5">
        <v>0.1</v>
      </c>
      <c r="E20613" s="5">
        <v>117.1</v>
      </c>
      <c r="F20613" s="5">
        <v>233.9</v>
      </c>
      <c r="G20613" s="5">
        <v>116.7</v>
      </c>
      <c r="H20613" s="5">
        <v>116.5</v>
      </c>
      <c r="I20613" s="5"/>
      <c r="J20613" s="5"/>
      <c r="K20613" s="5"/>
    </row>
    <row r="20614" spans="1:11" x14ac:dyDescent="0.25">
      <c r="A20614" s="5">
        <f>20607</f>
      </c>
      <c r="B20614" s="5" t="s">
        <v>20622</v>
      </c>
      <c r="C20614" s="5">
        <v>117.2</v>
      </c>
      <c r="D20614" s="5">
        <v>0.1</v>
      </c>
      <c r="E20614" s="5">
        <v>117.4</v>
      </c>
      <c r="F20614" s="5">
        <v>234.3</v>
      </c>
      <c r="G20614" s="5">
        <v>116.9</v>
      </c>
      <c r="H20614" s="5">
        <v>116.8</v>
      </c>
      <c r="I20614" s="5"/>
      <c r="J20614" s="5"/>
      <c r="K20614" s="5"/>
    </row>
    <row r="20615" spans="1:11" x14ac:dyDescent="0.25">
      <c r="A20615" s="5">
        <f>20608</f>
      </c>
      <c r="B20615" s="5" t="s">
        <v>20623</v>
      </c>
      <c r="C20615" s="5">
        <v>117.2</v>
      </c>
      <c r="D20615" s="5">
        <v>0.1</v>
      </c>
      <c r="E20615" s="5">
        <v>117.4</v>
      </c>
      <c r="F20615" s="5">
        <v>234.3</v>
      </c>
      <c r="G20615" s="5">
        <v>116.9</v>
      </c>
      <c r="H20615" s="5">
        <v>116.8</v>
      </c>
      <c r="I20615" s="5"/>
      <c r="J20615" s="5"/>
      <c r="K20615" s="5"/>
    </row>
    <row r="20616" spans="1:11" x14ac:dyDescent="0.25">
      <c r="A20616" s="5">
        <f>20609</f>
      </c>
      <c r="B20616" s="5" t="s">
        <v>20624</v>
      </c>
      <c r="C20616" s="5">
        <v>117.2</v>
      </c>
      <c r="D20616" s="5">
        <v>0.1</v>
      </c>
      <c r="E20616" s="5">
        <v>117.4</v>
      </c>
      <c r="F20616" s="5">
        <v>234.3</v>
      </c>
      <c r="G20616" s="5">
        <v>116.9</v>
      </c>
      <c r="H20616" s="5">
        <v>116.8</v>
      </c>
      <c r="I20616" s="5"/>
      <c r="J20616" s="5"/>
      <c r="K20616" s="5"/>
    </row>
    <row r="20617" spans="1:11" x14ac:dyDescent="0.25">
      <c r="A20617" s="5">
        <f>20610</f>
      </c>
      <c r="B20617" s="5" t="s">
        <v>20625</v>
      </c>
      <c r="C20617" s="5">
        <v>117.2</v>
      </c>
      <c r="D20617" s="5">
        <v>0.1</v>
      </c>
      <c r="E20617" s="5">
        <v>117.4</v>
      </c>
      <c r="F20617" s="5">
        <v>234.3</v>
      </c>
      <c r="G20617" s="5">
        <v>116.9</v>
      </c>
      <c r="H20617" s="5">
        <v>116.8</v>
      </c>
      <c r="I20617" s="5"/>
      <c r="J20617" s="5"/>
      <c r="K20617" s="5"/>
    </row>
    <row r="20618" spans="1:11" x14ac:dyDescent="0.25">
      <c r="A20618" s="5">
        <f>20611</f>
      </c>
      <c r="B20618" s="5" t="s">
        <v>20626</v>
      </c>
      <c r="C20618" s="5">
        <v>117.6</v>
      </c>
      <c r="D20618" s="5">
        <v>0.1</v>
      </c>
      <c r="E20618" s="5">
        <v>117.7</v>
      </c>
      <c r="F20618" s="5">
        <v>234.8</v>
      </c>
      <c r="G20618" s="5">
        <v>117.2</v>
      </c>
      <c r="H20618" s="5">
        <v>117</v>
      </c>
      <c r="I20618" s="5"/>
      <c r="J20618" s="5"/>
      <c r="K20618" s="5"/>
    </row>
    <row r="20619" spans="1:11" x14ac:dyDescent="0.25">
      <c r="A20619" s="5">
        <f>20612</f>
      </c>
      <c r="B20619" s="5" t="s">
        <v>20627</v>
      </c>
      <c r="C20619" s="5">
        <v>117.6</v>
      </c>
      <c r="D20619" s="5">
        <v>0.1</v>
      </c>
      <c r="E20619" s="5">
        <v>117.7</v>
      </c>
      <c r="F20619" s="5">
        <v>234.8</v>
      </c>
      <c r="G20619" s="5">
        <v>117.2</v>
      </c>
      <c r="H20619" s="5">
        <v>117</v>
      </c>
      <c r="I20619" s="5"/>
      <c r="J20619" s="5"/>
      <c r="K20619" s="5"/>
    </row>
    <row r="20620" spans="1:11" x14ac:dyDescent="0.25">
      <c r="A20620" s="5">
        <f>20613</f>
      </c>
      <c r="B20620" s="5" t="s">
        <v>20628</v>
      </c>
      <c r="C20620" s="5">
        <v>117.6</v>
      </c>
      <c r="D20620" s="5">
        <v>0.1</v>
      </c>
      <c r="E20620" s="5">
        <v>117.7</v>
      </c>
      <c r="F20620" s="5">
        <v>234.7</v>
      </c>
      <c r="G20620" s="5">
        <v>117.2</v>
      </c>
      <c r="H20620" s="5">
        <v>117.1</v>
      </c>
      <c r="I20620" s="5"/>
      <c r="J20620" s="5"/>
      <c r="K20620" s="5"/>
    </row>
    <row r="20621" spans="1:11" x14ac:dyDescent="0.25">
      <c r="A20621" s="5">
        <f>20614</f>
      </c>
      <c r="B20621" s="5" t="s">
        <v>20629</v>
      </c>
      <c r="C20621" s="5">
        <v>117.6</v>
      </c>
      <c r="D20621" s="5">
        <v>0.1</v>
      </c>
      <c r="E20621" s="5">
        <v>117.7</v>
      </c>
      <c r="F20621" s="5">
        <v>234.7</v>
      </c>
      <c r="G20621" s="5">
        <v>117.2</v>
      </c>
      <c r="H20621" s="5">
        <v>117.1</v>
      </c>
      <c r="I20621" s="5"/>
      <c r="J20621" s="5"/>
      <c r="K20621" s="5"/>
    </row>
    <row r="20622" spans="1:11" x14ac:dyDescent="0.25">
      <c r="A20622" s="5">
        <f>20615</f>
      </c>
      <c r="B20622" s="5" t="s">
        <v>20630</v>
      </c>
      <c r="C20622" s="5">
        <v>117.7</v>
      </c>
      <c r="D20622" s="5">
        <v>0.1</v>
      </c>
      <c r="E20622" s="5">
        <v>117.8</v>
      </c>
      <c r="F20622" s="5">
        <v>235</v>
      </c>
      <c r="G20622" s="5">
        <v>117.2</v>
      </c>
      <c r="H20622" s="5">
        <v>117</v>
      </c>
      <c r="I20622" s="5"/>
      <c r="J20622" s="5"/>
      <c r="K20622" s="5"/>
    </row>
    <row r="20623" spans="1:11" x14ac:dyDescent="0.25">
      <c r="A20623" s="5">
        <f>20616</f>
      </c>
      <c r="B20623" s="5" t="s">
        <v>20631</v>
      </c>
      <c r="C20623" s="5">
        <v>117.7</v>
      </c>
      <c r="D20623" s="5">
        <v>0.1</v>
      </c>
      <c r="E20623" s="5">
        <v>117.8</v>
      </c>
      <c r="F20623" s="5">
        <v>235</v>
      </c>
      <c r="G20623" s="5">
        <v>117.2</v>
      </c>
      <c r="H20623" s="5">
        <v>117</v>
      </c>
      <c r="I20623" s="5"/>
      <c r="J20623" s="5"/>
      <c r="K20623" s="5"/>
    </row>
    <row r="20624" spans="1:11" x14ac:dyDescent="0.25">
      <c r="A20624" s="5">
        <f>20617</f>
      </c>
      <c r="B20624" s="5" t="s">
        <v>20632</v>
      </c>
      <c r="C20624" s="5">
        <v>117.5</v>
      </c>
      <c r="D20624" s="5">
        <v>0.1</v>
      </c>
      <c r="E20624" s="5">
        <v>117.7</v>
      </c>
      <c r="F20624" s="5">
        <v>235.1</v>
      </c>
      <c r="G20624" s="5">
        <v>117.3</v>
      </c>
      <c r="H20624" s="5">
        <v>117.2</v>
      </c>
      <c r="I20624" s="5"/>
      <c r="J20624" s="5"/>
      <c r="K20624" s="5"/>
    </row>
    <row r="20625" spans="1:11" x14ac:dyDescent="0.25">
      <c r="A20625" s="5">
        <f>20618</f>
      </c>
      <c r="B20625" s="5" t="s">
        <v>20633</v>
      </c>
      <c r="C20625" s="5">
        <v>117.5</v>
      </c>
      <c r="D20625" s="5">
        <v>0.1</v>
      </c>
      <c r="E20625" s="5">
        <v>117.7</v>
      </c>
      <c r="F20625" s="5">
        <v>235.1</v>
      </c>
      <c r="G20625" s="5">
        <v>117.3</v>
      </c>
      <c r="H20625" s="5">
        <v>117.2</v>
      </c>
      <c r="I20625" s="5"/>
      <c r="J20625" s="5"/>
      <c r="K20625" s="5"/>
    </row>
    <row r="20626" spans="1:11" x14ac:dyDescent="0.25">
      <c r="A20626" s="5">
        <f>20619</f>
      </c>
      <c r="B20626" s="5" t="s">
        <v>20634</v>
      </c>
      <c r="C20626" s="5">
        <v>117.5</v>
      </c>
      <c r="D20626" s="5">
        <v>0.1</v>
      </c>
      <c r="E20626" s="5">
        <v>117.7</v>
      </c>
      <c r="F20626" s="5">
        <v>235.1</v>
      </c>
      <c r="G20626" s="5">
        <v>117.3</v>
      </c>
      <c r="H20626" s="5">
        <v>117.2</v>
      </c>
      <c r="I20626" s="5"/>
      <c r="J20626" s="5"/>
      <c r="K20626" s="5"/>
    </row>
    <row r="20627" spans="1:11" x14ac:dyDescent="0.25">
      <c r="A20627" s="5">
        <f>20620</f>
      </c>
      <c r="B20627" s="5" t="s">
        <v>20635</v>
      </c>
      <c r="C20627" s="5">
        <v>117.5</v>
      </c>
      <c r="D20627" s="5">
        <v>0.1</v>
      </c>
      <c r="E20627" s="5">
        <v>117.7</v>
      </c>
      <c r="F20627" s="5">
        <v>235.1</v>
      </c>
      <c r="G20627" s="5">
        <v>117.3</v>
      </c>
      <c r="H20627" s="5">
        <v>117.2</v>
      </c>
      <c r="I20627" s="5"/>
      <c r="J20627" s="5"/>
      <c r="K20627" s="5"/>
    </row>
    <row r="20628" spans="1:11" x14ac:dyDescent="0.25">
      <c r="A20628" s="5">
        <f>20621</f>
      </c>
      <c r="B20628" s="5" t="s">
        <v>20636</v>
      </c>
      <c r="C20628" s="5">
        <v>117.9</v>
      </c>
      <c r="D20628" s="5">
        <v>0.1</v>
      </c>
      <c r="E20628" s="5">
        <v>118</v>
      </c>
      <c r="F20628" s="5">
        <v>235.1</v>
      </c>
      <c r="G20628" s="5">
        <v>117.3</v>
      </c>
      <c r="H20628" s="5">
        <v>117.2</v>
      </c>
      <c r="I20628" s="5"/>
      <c r="J20628" s="5"/>
      <c r="K20628" s="5"/>
    </row>
    <row r="20629" spans="1:11" x14ac:dyDescent="0.25">
      <c r="A20629" s="5">
        <f>20622</f>
      </c>
      <c r="B20629" s="5" t="s">
        <v>20637</v>
      </c>
      <c r="C20629" s="5">
        <v>117.9</v>
      </c>
      <c r="D20629" s="5">
        <v>0.1</v>
      </c>
      <c r="E20629" s="5">
        <v>118</v>
      </c>
      <c r="F20629" s="5">
        <v>235.1</v>
      </c>
      <c r="G20629" s="5">
        <v>117.3</v>
      </c>
      <c r="H20629" s="5">
        <v>117.2</v>
      </c>
      <c r="I20629" s="5"/>
      <c r="J20629" s="5"/>
      <c r="K20629" s="5"/>
    </row>
    <row r="20630" spans="1:11" x14ac:dyDescent="0.25">
      <c r="A20630" s="5">
        <f>20623</f>
      </c>
      <c r="B20630" s="5" t="s">
        <v>20638</v>
      </c>
      <c r="C20630" s="5">
        <v>117.1</v>
      </c>
      <c r="D20630" s="5">
        <v>0.1</v>
      </c>
      <c r="E20630" s="5">
        <v>117.2</v>
      </c>
      <c r="F20630" s="5">
        <v>234.8</v>
      </c>
      <c r="G20630" s="5">
        <v>117.1</v>
      </c>
      <c r="H20630" s="5">
        <v>117</v>
      </c>
      <c r="I20630" s="5"/>
      <c r="J20630" s="5"/>
      <c r="K20630" s="5"/>
    </row>
    <row r="20631" spans="1:11" x14ac:dyDescent="0.25">
      <c r="A20631" s="5">
        <f>20624</f>
      </c>
      <c r="B20631" s="5" t="s">
        <v>20639</v>
      </c>
      <c r="C20631" s="5">
        <v>117.1</v>
      </c>
      <c r="D20631" s="5">
        <v>0.1</v>
      </c>
      <c r="E20631" s="5">
        <v>117.2</v>
      </c>
      <c r="F20631" s="5">
        <v>234.8</v>
      </c>
      <c r="G20631" s="5">
        <v>117.1</v>
      </c>
      <c r="H20631" s="5">
        <v>117</v>
      </c>
      <c r="I20631" s="5"/>
      <c r="J20631" s="5"/>
      <c r="K20631" s="5"/>
    </row>
    <row r="20632" spans="1:11" x14ac:dyDescent="0.25">
      <c r="A20632" s="5">
        <f>20625</f>
      </c>
      <c r="B20632" s="5" t="s">
        <v>20640</v>
      </c>
      <c r="C20632" s="5">
        <v>117.6</v>
      </c>
      <c r="D20632" s="5">
        <v>0.1</v>
      </c>
      <c r="E20632" s="5">
        <v>117.8</v>
      </c>
      <c r="F20632" s="5">
        <v>234.8</v>
      </c>
      <c r="G20632" s="5">
        <v>117.2</v>
      </c>
      <c r="H20632" s="5">
        <v>117</v>
      </c>
      <c r="I20632" s="5"/>
      <c r="J20632" s="5"/>
      <c r="K20632" s="5"/>
    </row>
    <row r="20633" spans="1:11" x14ac:dyDescent="0.25">
      <c r="A20633" s="5">
        <f>20626</f>
      </c>
      <c r="B20633" s="5" t="s">
        <v>20641</v>
      </c>
      <c r="C20633" s="5">
        <v>117.6</v>
      </c>
      <c r="D20633" s="5">
        <v>0.1</v>
      </c>
      <c r="E20633" s="5">
        <v>117.8</v>
      </c>
      <c r="F20633" s="5">
        <v>234.8</v>
      </c>
      <c r="G20633" s="5">
        <v>117.2</v>
      </c>
      <c r="H20633" s="5">
        <v>117</v>
      </c>
      <c r="I20633" s="5"/>
      <c r="J20633" s="5"/>
      <c r="K20633" s="5"/>
    </row>
    <row r="20634" spans="1:11" x14ac:dyDescent="0.25">
      <c r="A20634" s="5">
        <f>20627</f>
      </c>
      <c r="B20634" s="5" t="s">
        <v>20642</v>
      </c>
      <c r="C20634" s="5">
        <v>117.5</v>
      </c>
      <c r="D20634" s="5">
        <v>0.1</v>
      </c>
      <c r="E20634" s="5">
        <v>117.7</v>
      </c>
      <c r="F20634" s="5">
        <v>235</v>
      </c>
      <c r="G20634" s="5">
        <v>117.3</v>
      </c>
      <c r="H20634" s="5">
        <v>117.1</v>
      </c>
      <c r="I20634" s="5"/>
      <c r="J20634" s="5"/>
      <c r="K20634" s="5"/>
    </row>
    <row r="20635" spans="1:11" x14ac:dyDescent="0.25">
      <c r="A20635" s="5">
        <f>20628</f>
      </c>
      <c r="B20635" s="5" t="s">
        <v>20643</v>
      </c>
      <c r="C20635" s="5">
        <v>117.5</v>
      </c>
      <c r="D20635" s="5">
        <v>0.1</v>
      </c>
      <c r="E20635" s="5">
        <v>117.7</v>
      </c>
      <c r="F20635" s="5">
        <v>235</v>
      </c>
      <c r="G20635" s="5">
        <v>117.3</v>
      </c>
      <c r="H20635" s="5">
        <v>117.1</v>
      </c>
      <c r="I20635" s="5"/>
      <c r="J20635" s="5"/>
      <c r="K20635" s="5"/>
    </row>
    <row r="20636" spans="1:11" x14ac:dyDescent="0.25">
      <c r="A20636" s="5">
        <f>20629</f>
      </c>
      <c r="B20636" s="5" t="s">
        <v>20644</v>
      </c>
      <c r="C20636" s="5">
        <v>117.5</v>
      </c>
      <c r="D20636" s="5">
        <v>0.1</v>
      </c>
      <c r="E20636" s="5">
        <v>117.7</v>
      </c>
      <c r="F20636" s="5">
        <v>235</v>
      </c>
      <c r="G20636" s="5">
        <v>117.3</v>
      </c>
      <c r="H20636" s="5">
        <v>117.1</v>
      </c>
      <c r="I20636" s="5"/>
      <c r="J20636" s="5"/>
      <c r="K20636" s="5"/>
    </row>
    <row r="20637" spans="1:11" x14ac:dyDescent="0.25">
      <c r="A20637" s="5">
        <f>20630</f>
      </c>
      <c r="B20637" s="5" t="s">
        <v>20645</v>
      </c>
      <c r="C20637" s="5">
        <v>117.5</v>
      </c>
      <c r="D20637" s="5">
        <v>0.1</v>
      </c>
      <c r="E20637" s="5">
        <v>117.7</v>
      </c>
      <c r="F20637" s="5">
        <v>235</v>
      </c>
      <c r="G20637" s="5">
        <v>117.3</v>
      </c>
      <c r="H20637" s="5">
        <v>117.1</v>
      </c>
      <c r="I20637" s="5"/>
      <c r="J20637" s="5"/>
      <c r="K20637" s="5"/>
    </row>
    <row r="20638" spans="1:11" x14ac:dyDescent="0.25">
      <c r="A20638" s="5">
        <f>20631</f>
      </c>
      <c r="B20638" s="5" t="s">
        <v>20646</v>
      </c>
      <c r="C20638" s="5">
        <v>117.7</v>
      </c>
      <c r="D20638" s="5">
        <v>0.1</v>
      </c>
      <c r="E20638" s="5">
        <v>117.8</v>
      </c>
      <c r="F20638" s="5">
        <v>235.3</v>
      </c>
      <c r="G20638" s="5">
        <v>117.4</v>
      </c>
      <c r="H20638" s="5">
        <v>117.2</v>
      </c>
      <c r="I20638" s="5"/>
      <c r="J20638" s="5"/>
      <c r="K20638" s="5"/>
    </row>
    <row r="20639" spans="1:11" x14ac:dyDescent="0.25">
      <c r="A20639" s="5">
        <f>20632</f>
      </c>
      <c r="B20639" s="5" t="s">
        <v>20647</v>
      </c>
      <c r="C20639" s="5">
        <v>117.7</v>
      </c>
      <c r="D20639" s="5">
        <v>0.1</v>
      </c>
      <c r="E20639" s="5">
        <v>117.8</v>
      </c>
      <c r="F20639" s="5">
        <v>235.3</v>
      </c>
      <c r="G20639" s="5">
        <v>117.4</v>
      </c>
      <c r="H20639" s="5">
        <v>117.2</v>
      </c>
      <c r="I20639" s="5"/>
      <c r="J20639" s="5"/>
      <c r="K20639" s="5"/>
    </row>
    <row r="20640" spans="1:11" x14ac:dyDescent="0.25">
      <c r="A20640" s="5">
        <f>20633</f>
      </c>
      <c r="B20640" s="5" t="s">
        <v>20648</v>
      </c>
      <c r="C20640" s="5">
        <v>118.1</v>
      </c>
      <c r="D20640" s="5">
        <v>0.1</v>
      </c>
      <c r="E20640" s="5">
        <v>118.3</v>
      </c>
      <c r="F20640" s="5">
        <v>235.3</v>
      </c>
      <c r="G20640" s="5">
        <v>117.4</v>
      </c>
      <c r="H20640" s="5">
        <v>117.3</v>
      </c>
      <c r="I20640" s="5"/>
      <c r="J20640" s="5"/>
      <c r="K20640" s="5"/>
    </row>
    <row r="20641" spans="1:11" x14ac:dyDescent="0.25">
      <c r="A20641" s="5">
        <f>20634</f>
      </c>
      <c r="B20641" s="5" t="s">
        <v>20649</v>
      </c>
      <c r="C20641" s="5">
        <v>118.1</v>
      </c>
      <c r="D20641" s="5">
        <v>0.1</v>
      </c>
      <c r="E20641" s="5">
        <v>118.3</v>
      </c>
      <c r="F20641" s="5">
        <v>235.3</v>
      </c>
      <c r="G20641" s="5">
        <v>117.4</v>
      </c>
      <c r="H20641" s="5">
        <v>117.3</v>
      </c>
      <c r="I20641" s="5"/>
      <c r="J20641" s="5"/>
      <c r="K20641" s="5"/>
    </row>
    <row r="20642" spans="1:11" x14ac:dyDescent="0.25">
      <c r="A20642" s="5">
        <f>20635</f>
      </c>
      <c r="B20642" s="5" t="s">
        <v>20650</v>
      </c>
      <c r="C20642" s="5">
        <v>118</v>
      </c>
      <c r="D20642" s="5">
        <v>0.1</v>
      </c>
      <c r="E20642" s="5">
        <v>118.1</v>
      </c>
      <c r="F20642" s="5">
        <v>235.1</v>
      </c>
      <c r="G20642" s="5">
        <v>117.4</v>
      </c>
      <c r="H20642" s="5">
        <v>117.2</v>
      </c>
      <c r="I20642" s="5"/>
      <c r="J20642" s="5"/>
      <c r="K20642" s="5"/>
    </row>
    <row r="20643" spans="1:11" x14ac:dyDescent="0.25">
      <c r="A20643" s="5">
        <f>20636</f>
      </c>
      <c r="B20643" s="5" t="s">
        <v>20651</v>
      </c>
      <c r="C20643" s="5">
        <v>118</v>
      </c>
      <c r="D20643" s="5">
        <v>0.1</v>
      </c>
      <c r="E20643" s="5">
        <v>118.1</v>
      </c>
      <c r="F20643" s="5">
        <v>235.1</v>
      </c>
      <c r="G20643" s="5">
        <v>117.4</v>
      </c>
      <c r="H20643" s="5">
        <v>117.2</v>
      </c>
      <c r="I20643" s="5"/>
      <c r="J20643" s="5"/>
      <c r="K20643" s="5"/>
    </row>
    <row r="20644" spans="1:11" x14ac:dyDescent="0.25">
      <c r="A20644" s="5">
        <f>20637</f>
      </c>
      <c r="B20644" s="5" t="s">
        <v>20652</v>
      </c>
      <c r="C20644" s="5">
        <v>117.7</v>
      </c>
      <c r="D20644" s="5">
        <v>0.1</v>
      </c>
      <c r="E20644" s="5">
        <v>117.9</v>
      </c>
      <c r="F20644" s="5">
        <v>235.1</v>
      </c>
      <c r="G20644" s="5">
        <v>117.3</v>
      </c>
      <c r="H20644" s="5">
        <v>117.2</v>
      </c>
      <c r="I20644" s="5"/>
      <c r="J20644" s="5"/>
      <c r="K20644" s="5"/>
    </row>
    <row r="20645" spans="1:11" x14ac:dyDescent="0.25">
      <c r="A20645" s="5">
        <f>20638</f>
      </c>
      <c r="B20645" s="5" t="s">
        <v>20653</v>
      </c>
      <c r="C20645" s="5">
        <v>117.7</v>
      </c>
      <c r="D20645" s="5">
        <v>0.1</v>
      </c>
      <c r="E20645" s="5">
        <v>117.9</v>
      </c>
      <c r="F20645" s="5">
        <v>235.1</v>
      </c>
      <c r="G20645" s="5">
        <v>117.3</v>
      </c>
      <c r="H20645" s="5">
        <v>117.2</v>
      </c>
      <c r="I20645" s="5"/>
      <c r="J20645" s="5"/>
      <c r="K20645" s="5"/>
    </row>
    <row r="20646" spans="1:11" x14ac:dyDescent="0.25">
      <c r="A20646" s="5">
        <f>20639</f>
      </c>
      <c r="B20646" s="5" t="s">
        <v>20654</v>
      </c>
      <c r="C20646" s="5">
        <v>117.7</v>
      </c>
      <c r="D20646" s="5">
        <v>0.1</v>
      </c>
      <c r="E20646" s="5">
        <v>117.9</v>
      </c>
      <c r="F20646" s="5">
        <v>235.1</v>
      </c>
      <c r="G20646" s="5">
        <v>117.3</v>
      </c>
      <c r="H20646" s="5">
        <v>117.2</v>
      </c>
      <c r="I20646" s="5"/>
      <c r="J20646" s="5"/>
      <c r="K20646" s="5"/>
    </row>
    <row r="20647" spans="1:11" x14ac:dyDescent="0.25">
      <c r="A20647" s="5">
        <f>20640</f>
      </c>
      <c r="B20647" s="5" t="s">
        <v>20655</v>
      </c>
      <c r="C20647" s="5">
        <v>117.7</v>
      </c>
      <c r="D20647" s="5">
        <v>0.1</v>
      </c>
      <c r="E20647" s="5">
        <v>117.9</v>
      </c>
      <c r="F20647" s="5">
        <v>235.1</v>
      </c>
      <c r="G20647" s="5">
        <v>117.4</v>
      </c>
      <c r="H20647" s="5">
        <v>117.2</v>
      </c>
      <c r="I20647" s="5"/>
      <c r="J20647" s="5"/>
      <c r="K20647" s="5"/>
    </row>
    <row r="20648" spans="1:11" x14ac:dyDescent="0.25">
      <c r="A20648" s="5">
        <f>20641</f>
      </c>
      <c r="B20648" s="5" t="s">
        <v>20656</v>
      </c>
      <c r="C20648" s="5">
        <v>118</v>
      </c>
      <c r="D20648" s="5">
        <v>0.1</v>
      </c>
      <c r="E20648" s="5">
        <v>118.1</v>
      </c>
      <c r="F20648" s="5">
        <v>235.2</v>
      </c>
      <c r="G20648" s="5">
        <v>117.4</v>
      </c>
      <c r="H20648" s="5">
        <v>117.2</v>
      </c>
      <c r="I20648" s="5"/>
      <c r="J20648" s="5"/>
      <c r="K20648" s="5"/>
    </row>
    <row r="20649" spans="1:11" x14ac:dyDescent="0.25">
      <c r="A20649" s="5">
        <f>20642</f>
      </c>
      <c r="B20649" s="5" t="s">
        <v>20657</v>
      </c>
      <c r="C20649" s="5">
        <v>118</v>
      </c>
      <c r="D20649" s="5">
        <v>0.1</v>
      </c>
      <c r="E20649" s="5">
        <v>118.1</v>
      </c>
      <c r="F20649" s="5">
        <v>235.2</v>
      </c>
      <c r="G20649" s="5">
        <v>117.6</v>
      </c>
      <c r="H20649" s="5">
        <v>117.4</v>
      </c>
      <c r="I20649" s="5"/>
      <c r="J20649" s="5"/>
      <c r="K20649" s="5"/>
    </row>
    <row r="20650" spans="1:11" x14ac:dyDescent="0.25">
      <c r="A20650" s="5">
        <f>20643</f>
      </c>
      <c r="B20650" s="5" t="s">
        <v>20658</v>
      </c>
      <c r="C20650" s="5">
        <v>118.2</v>
      </c>
      <c r="D20650" s="5">
        <v>0.1</v>
      </c>
      <c r="E20650" s="5">
        <v>118.3</v>
      </c>
      <c r="F20650" s="5">
        <v>235.6</v>
      </c>
      <c r="G20650" s="5">
        <v>117.6</v>
      </c>
      <c r="H20650" s="5">
        <v>117.4</v>
      </c>
      <c r="I20650" s="5"/>
      <c r="J20650" s="5"/>
      <c r="K20650" s="5"/>
    </row>
    <row r="20651" spans="1:11" x14ac:dyDescent="0.25">
      <c r="A20651" s="5">
        <f>20644</f>
      </c>
      <c r="B20651" s="5" t="s">
        <v>20659</v>
      </c>
      <c r="C20651" s="5">
        <v>118.2</v>
      </c>
      <c r="D20651" s="5">
        <v>0.1</v>
      </c>
      <c r="E20651" s="5">
        <v>118.3</v>
      </c>
      <c r="F20651" s="5">
        <v>235.6</v>
      </c>
      <c r="G20651" s="5">
        <v>117.6</v>
      </c>
      <c r="H20651" s="5">
        <v>117.5</v>
      </c>
      <c r="I20651" s="5"/>
      <c r="J20651" s="5"/>
      <c r="K20651" s="5"/>
    </row>
    <row r="20652" spans="1:11" x14ac:dyDescent="0.25">
      <c r="A20652" s="5">
        <f>20645</f>
      </c>
      <c r="B20652" s="5" t="s">
        <v>20660</v>
      </c>
      <c r="C20652" s="5">
        <v>118.5</v>
      </c>
      <c r="D20652" s="5">
        <v>0.1</v>
      </c>
      <c r="E20652" s="5">
        <v>118.6</v>
      </c>
      <c r="F20652" s="5">
        <v>235.8</v>
      </c>
      <c r="G20652" s="5">
        <v>117.7</v>
      </c>
      <c r="H20652" s="5">
        <v>117.5</v>
      </c>
      <c r="I20652" s="5"/>
      <c r="J20652" s="5"/>
      <c r="K20652" s="5"/>
    </row>
    <row r="20653" spans="1:11" x14ac:dyDescent="0.25">
      <c r="A20653" s="5">
        <f>20646</f>
      </c>
      <c r="B20653" s="5" t="s">
        <v>20661</v>
      </c>
      <c r="C20653" s="5">
        <v>118.5</v>
      </c>
      <c r="D20653" s="5">
        <v>0.1</v>
      </c>
      <c r="E20653" s="5">
        <v>118.6</v>
      </c>
      <c r="F20653" s="5">
        <v>235.8</v>
      </c>
      <c r="G20653" s="5">
        <v>117.7</v>
      </c>
      <c r="H20653" s="5">
        <v>117.6</v>
      </c>
      <c r="I20653" s="5"/>
      <c r="J20653" s="5"/>
      <c r="K20653" s="5"/>
    </row>
    <row r="20654" spans="1:11" x14ac:dyDescent="0.25">
      <c r="A20654" s="5">
        <f>20647</f>
      </c>
      <c r="B20654" s="5" t="s">
        <v>20662</v>
      </c>
      <c r="C20654" s="5">
        <v>118.4</v>
      </c>
      <c r="D20654" s="5">
        <v>0.1</v>
      </c>
      <c r="E20654" s="5">
        <v>118.6</v>
      </c>
      <c r="F20654" s="5">
        <v>235.9</v>
      </c>
      <c r="G20654" s="5">
        <v>117.8</v>
      </c>
      <c r="H20654" s="5">
        <v>117.6</v>
      </c>
      <c r="I20654" s="5"/>
      <c r="J20654" s="5"/>
      <c r="K20654" s="5"/>
    </row>
    <row r="20655" spans="1:11" x14ac:dyDescent="0.25">
      <c r="A20655" s="5">
        <f>20648</f>
      </c>
      <c r="B20655" s="5" t="s">
        <v>20663</v>
      </c>
      <c r="C20655" s="5">
        <v>118.4</v>
      </c>
      <c r="D20655" s="5">
        <v>0.1</v>
      </c>
      <c r="E20655" s="5">
        <v>118.6</v>
      </c>
      <c r="F20655" s="5">
        <v>235.9</v>
      </c>
      <c r="G20655" s="5">
        <v>117.8</v>
      </c>
      <c r="H20655" s="5">
        <v>117.6</v>
      </c>
      <c r="I20655" s="5"/>
      <c r="J20655" s="5"/>
      <c r="K20655" s="5"/>
    </row>
    <row r="20656" spans="1:11" x14ac:dyDescent="0.25">
      <c r="A20656" s="5">
        <f>20649</f>
      </c>
      <c r="B20656" s="5" t="s">
        <v>20664</v>
      </c>
      <c r="C20656" s="5">
        <v>118.4</v>
      </c>
      <c r="D20656" s="5">
        <v>0.1</v>
      </c>
      <c r="E20656" s="5">
        <v>118.6</v>
      </c>
      <c r="F20656" s="5">
        <v>235.9</v>
      </c>
      <c r="G20656" s="5">
        <v>117.8</v>
      </c>
      <c r="H20656" s="5">
        <v>117.6</v>
      </c>
      <c r="I20656" s="5"/>
      <c r="J20656" s="5"/>
      <c r="K20656" s="5"/>
    </row>
    <row r="20657" spans="1:11" x14ac:dyDescent="0.25">
      <c r="A20657" s="5">
        <f>20650</f>
      </c>
      <c r="B20657" s="5" t="s">
        <v>20665</v>
      </c>
      <c r="C20657" s="5">
        <v>118.2</v>
      </c>
      <c r="D20657" s="5">
        <v>0.1</v>
      </c>
      <c r="E20657" s="5">
        <v>118.4</v>
      </c>
      <c r="F20657" s="5">
        <v>235.9</v>
      </c>
      <c r="G20657" s="5">
        <v>117.7</v>
      </c>
      <c r="H20657" s="5">
        <v>117.5</v>
      </c>
      <c r="I20657" s="5"/>
      <c r="J20657" s="5"/>
      <c r="K20657" s="5"/>
    </row>
    <row r="20658" spans="1:11" x14ac:dyDescent="0.25">
      <c r="A20658" s="5">
        <f>20651</f>
      </c>
      <c r="B20658" s="5" t="s">
        <v>20666</v>
      </c>
      <c r="C20658" s="5">
        <v>118.2</v>
      </c>
      <c r="D20658" s="5">
        <v>0.1</v>
      </c>
      <c r="E20658" s="5">
        <v>118.4</v>
      </c>
      <c r="F20658" s="5">
        <v>235.9</v>
      </c>
      <c r="G20658" s="5">
        <v>117.7</v>
      </c>
      <c r="H20658" s="5">
        <v>117.5</v>
      </c>
      <c r="I20658" s="5"/>
      <c r="J20658" s="5"/>
      <c r="K20658" s="5"/>
    </row>
    <row r="20659" spans="1:11" x14ac:dyDescent="0.25">
      <c r="A20659" s="5">
        <f>20652</f>
      </c>
      <c r="B20659" s="5" t="s">
        <v>20667</v>
      </c>
      <c r="C20659" s="5">
        <v>118</v>
      </c>
      <c r="D20659" s="5">
        <v>0.1</v>
      </c>
      <c r="E20659" s="5">
        <v>118.2</v>
      </c>
      <c r="F20659" s="5">
        <v>235.5</v>
      </c>
      <c r="G20659" s="5">
        <v>117.6</v>
      </c>
      <c r="H20659" s="5">
        <v>117.4</v>
      </c>
      <c r="I20659" s="5"/>
      <c r="J20659" s="5"/>
      <c r="K20659" s="5"/>
    </row>
    <row r="20660" spans="1:11" x14ac:dyDescent="0.25">
      <c r="A20660" s="5">
        <f>20653</f>
      </c>
      <c r="B20660" s="5" t="s">
        <v>20668</v>
      </c>
      <c r="C20660" s="5">
        <v>118</v>
      </c>
      <c r="D20660" s="5">
        <v>0.1</v>
      </c>
      <c r="E20660" s="5">
        <v>118.2</v>
      </c>
      <c r="F20660" s="5">
        <v>235.5</v>
      </c>
      <c r="G20660" s="5">
        <v>117.6</v>
      </c>
      <c r="H20660" s="5">
        <v>117.4</v>
      </c>
      <c r="I20660" s="5"/>
      <c r="J20660" s="5"/>
      <c r="K20660" s="5"/>
    </row>
    <row r="20661" spans="1:11" x14ac:dyDescent="0.25">
      <c r="A20661" s="5">
        <f>20654</f>
      </c>
      <c r="B20661" s="5" t="s">
        <v>20669</v>
      </c>
      <c r="C20661" s="5">
        <v>118</v>
      </c>
      <c r="D20661" s="5">
        <v>0.1</v>
      </c>
      <c r="E20661" s="5">
        <v>118.2</v>
      </c>
      <c r="F20661" s="5">
        <v>235.4</v>
      </c>
      <c r="G20661" s="5">
        <v>117.5</v>
      </c>
      <c r="H20661" s="5">
        <v>117.3</v>
      </c>
      <c r="I20661" s="5"/>
      <c r="J20661" s="5"/>
      <c r="K20661" s="5"/>
    </row>
    <row r="20662" spans="1:11" x14ac:dyDescent="0.25">
      <c r="A20662" s="5">
        <f>20655</f>
      </c>
      <c r="B20662" s="5" t="s">
        <v>20670</v>
      </c>
      <c r="C20662" s="5">
        <v>118</v>
      </c>
      <c r="D20662" s="5">
        <v>0.1</v>
      </c>
      <c r="E20662" s="5">
        <v>118.2</v>
      </c>
      <c r="F20662" s="5">
        <v>235.4</v>
      </c>
      <c r="G20662" s="5">
        <v>117.5</v>
      </c>
      <c r="H20662" s="5">
        <v>117.3</v>
      </c>
      <c r="I20662" s="5"/>
      <c r="J20662" s="5"/>
      <c r="K20662" s="5"/>
    </row>
    <row r="20663" spans="1:11" x14ac:dyDescent="0.25">
      <c r="A20663" s="5">
        <f>20656</f>
      </c>
      <c r="B20663" s="5" t="s">
        <v>20671</v>
      </c>
      <c r="C20663" s="5">
        <v>117.8</v>
      </c>
      <c r="D20663" s="5">
        <v>0.1</v>
      </c>
      <c r="E20663" s="5">
        <v>118</v>
      </c>
      <c r="F20663" s="5">
        <v>234.8</v>
      </c>
      <c r="G20663" s="5">
        <v>117.5</v>
      </c>
      <c r="H20663" s="5">
        <v>117.3</v>
      </c>
      <c r="I20663" s="5"/>
      <c r="J20663" s="5"/>
      <c r="K20663" s="5"/>
    </row>
    <row r="20664" spans="1:11" x14ac:dyDescent="0.25">
      <c r="A20664" s="5">
        <f>20657</f>
      </c>
      <c r="B20664" s="5" t="s">
        <v>20672</v>
      </c>
      <c r="C20664" s="5">
        <v>117.8</v>
      </c>
      <c r="D20664" s="5">
        <v>0.1</v>
      </c>
      <c r="E20664" s="5">
        <v>118</v>
      </c>
      <c r="F20664" s="5">
        <v>234.8</v>
      </c>
      <c r="G20664" s="5">
        <v>117.2</v>
      </c>
      <c r="H20664" s="5">
        <v>117</v>
      </c>
      <c r="I20664" s="5"/>
      <c r="J20664" s="5"/>
      <c r="K20664" s="5"/>
    </row>
    <row r="20665" spans="1:11" x14ac:dyDescent="0.25">
      <c r="A20665" s="5">
        <f>20658</f>
      </c>
      <c r="B20665" s="5" t="s">
        <v>20673</v>
      </c>
      <c r="C20665" s="5">
        <v>117.8</v>
      </c>
      <c r="D20665" s="5">
        <v>0.1</v>
      </c>
      <c r="E20665" s="5">
        <v>118</v>
      </c>
      <c r="F20665" s="5">
        <v>234.8</v>
      </c>
      <c r="G20665" s="5">
        <v>117.2</v>
      </c>
      <c r="H20665" s="5">
        <v>117</v>
      </c>
      <c r="I20665" s="5"/>
      <c r="J20665" s="5"/>
      <c r="K20665" s="5"/>
    </row>
    <row r="20666" spans="1:11" x14ac:dyDescent="0.25">
      <c r="A20666" s="5">
        <f>20659</f>
      </c>
      <c r="B20666" s="5" t="s">
        <v>20674</v>
      </c>
      <c r="C20666" s="5">
        <v>117.8</v>
      </c>
      <c r="D20666" s="5">
        <v>0.1</v>
      </c>
      <c r="E20666" s="5">
        <v>118</v>
      </c>
      <c r="F20666" s="5">
        <v>234.8</v>
      </c>
      <c r="G20666" s="5">
        <v>117.2</v>
      </c>
      <c r="H20666" s="5">
        <v>117</v>
      </c>
      <c r="I20666" s="5"/>
      <c r="J20666" s="5"/>
      <c r="K20666" s="5"/>
    </row>
    <row r="20667" spans="1:11" x14ac:dyDescent="0.25">
      <c r="A20667" s="5">
        <f>20660</f>
      </c>
      <c r="B20667" s="5" t="s">
        <v>20675</v>
      </c>
      <c r="C20667" s="5">
        <v>117.9</v>
      </c>
      <c r="D20667" s="5">
        <v>0.1</v>
      </c>
      <c r="E20667" s="5">
        <v>118</v>
      </c>
      <c r="F20667" s="5">
        <v>234.8</v>
      </c>
      <c r="G20667" s="5">
        <v>117.2</v>
      </c>
      <c r="H20667" s="5">
        <v>117</v>
      </c>
      <c r="I20667" s="5"/>
      <c r="J20667" s="5"/>
      <c r="K20667" s="5"/>
    </row>
    <row r="20668" spans="1:11" x14ac:dyDescent="0.25">
      <c r="A20668" s="5">
        <f>20661</f>
      </c>
      <c r="B20668" s="5" t="s">
        <v>20676</v>
      </c>
      <c r="C20668" s="5">
        <v>117.9</v>
      </c>
      <c r="D20668" s="5">
        <v>0.1</v>
      </c>
      <c r="E20668" s="5">
        <v>118</v>
      </c>
      <c r="F20668" s="5">
        <v>235.4</v>
      </c>
      <c r="G20668" s="5">
        <v>117.5</v>
      </c>
      <c r="H20668" s="5">
        <v>117.3</v>
      </c>
      <c r="I20668" s="5"/>
      <c r="J20668" s="5"/>
      <c r="K20668" s="5"/>
    </row>
    <row r="20669" spans="1:11" x14ac:dyDescent="0.25">
      <c r="A20669" s="5">
        <f>20662</f>
      </c>
      <c r="B20669" s="5" t="s">
        <v>20677</v>
      </c>
      <c r="C20669" s="5">
        <v>117.9</v>
      </c>
      <c r="D20669" s="5">
        <v>0.1</v>
      </c>
      <c r="E20669" s="5">
        <v>118</v>
      </c>
      <c r="F20669" s="5">
        <v>235.4</v>
      </c>
      <c r="G20669" s="5">
        <v>117.5</v>
      </c>
      <c r="H20669" s="5">
        <v>117.3</v>
      </c>
      <c r="I20669" s="5"/>
      <c r="J20669" s="5"/>
      <c r="K20669" s="5"/>
    </row>
    <row r="20670" spans="1:11" x14ac:dyDescent="0.25">
      <c r="A20670" s="5">
        <f>20663</f>
      </c>
      <c r="B20670" s="5" t="s">
        <v>20678</v>
      </c>
      <c r="C20670" s="5">
        <v>118</v>
      </c>
      <c r="D20670" s="5">
        <v>0.1</v>
      </c>
      <c r="E20670" s="5">
        <v>118.1</v>
      </c>
      <c r="F20670" s="5">
        <v>235.5</v>
      </c>
      <c r="G20670" s="5">
        <v>117.5</v>
      </c>
      <c r="H20670" s="5">
        <v>117.4</v>
      </c>
      <c r="I20670" s="5"/>
      <c r="J20670" s="5"/>
      <c r="K20670" s="5"/>
    </row>
    <row r="20671" spans="1:11" x14ac:dyDescent="0.25">
      <c r="A20671" s="5">
        <f>20664</f>
      </c>
      <c r="B20671" s="5" t="s">
        <v>20679</v>
      </c>
      <c r="C20671" s="5">
        <v>118</v>
      </c>
      <c r="D20671" s="5">
        <v>0.1</v>
      </c>
      <c r="E20671" s="5">
        <v>118.1</v>
      </c>
      <c r="F20671" s="5">
        <v>235.5</v>
      </c>
      <c r="G20671" s="5">
        <v>117.5</v>
      </c>
      <c r="H20671" s="5">
        <v>117.4</v>
      </c>
      <c r="I20671" s="5"/>
      <c r="J20671" s="5"/>
      <c r="K20671" s="5"/>
    </row>
    <row r="20672" spans="1:11" x14ac:dyDescent="0.25">
      <c r="A20672" s="5">
        <f>20665</f>
      </c>
      <c r="B20672" s="5" t="s">
        <v>20680</v>
      </c>
      <c r="C20672" s="5">
        <v>118.2</v>
      </c>
      <c r="D20672" s="5">
        <v>0.1</v>
      </c>
      <c r="E20672" s="5">
        <v>118.3</v>
      </c>
      <c r="F20672" s="5">
        <v>235.5</v>
      </c>
      <c r="G20672" s="5">
        <v>117.5</v>
      </c>
      <c r="H20672" s="5">
        <v>117.4</v>
      </c>
      <c r="I20672" s="5"/>
      <c r="J20672" s="5"/>
      <c r="K20672" s="5"/>
    </row>
    <row r="20673" spans="1:11" x14ac:dyDescent="0.25">
      <c r="A20673" s="5">
        <f>20666</f>
      </c>
      <c r="B20673" s="5" t="s">
        <v>20681</v>
      </c>
      <c r="C20673" s="5">
        <v>118.2</v>
      </c>
      <c r="D20673" s="5">
        <v>0.1</v>
      </c>
      <c r="E20673" s="5">
        <v>118.3</v>
      </c>
      <c r="F20673" s="5">
        <v>235.5</v>
      </c>
      <c r="G20673" s="5">
        <v>117.5</v>
      </c>
      <c r="H20673" s="5">
        <v>117.4</v>
      </c>
      <c r="I20673" s="5"/>
      <c r="J20673" s="5"/>
      <c r="K20673" s="5"/>
    </row>
    <row r="20674" spans="1:11" x14ac:dyDescent="0.25">
      <c r="A20674" s="5">
        <f>20667</f>
      </c>
      <c r="B20674" s="5" t="s">
        <v>20682</v>
      </c>
      <c r="C20674" s="5">
        <v>118</v>
      </c>
      <c r="D20674" s="5">
        <v>0.1</v>
      </c>
      <c r="E20674" s="5">
        <v>118.2</v>
      </c>
      <c r="F20674" s="5">
        <v>235.5</v>
      </c>
      <c r="G20674" s="5">
        <v>117.5</v>
      </c>
      <c r="H20674" s="5">
        <v>117.4</v>
      </c>
      <c r="I20674" s="5"/>
      <c r="J20674" s="5"/>
      <c r="K20674" s="5"/>
    </row>
    <row r="20675" spans="1:11" x14ac:dyDescent="0.25">
      <c r="A20675" s="5">
        <f>20668</f>
      </c>
      <c r="B20675" s="5" t="s">
        <v>20683</v>
      </c>
      <c r="C20675" s="5">
        <v>118</v>
      </c>
      <c r="D20675" s="5">
        <v>0.1</v>
      </c>
      <c r="E20675" s="5">
        <v>118.2</v>
      </c>
      <c r="F20675" s="5">
        <v>235.5</v>
      </c>
      <c r="G20675" s="5">
        <v>117.5</v>
      </c>
      <c r="H20675" s="5">
        <v>117.4</v>
      </c>
      <c r="I20675" s="5"/>
      <c r="J20675" s="5"/>
      <c r="K20675" s="5"/>
    </row>
    <row r="20676" spans="1:11" x14ac:dyDescent="0.25">
      <c r="A20676" s="5">
        <f>20669</f>
      </c>
      <c r="B20676" s="5" t="s">
        <v>20684</v>
      </c>
      <c r="C20676" s="5">
        <v>118</v>
      </c>
      <c r="D20676" s="5">
        <v>0.1</v>
      </c>
      <c r="E20676" s="5">
        <v>118.2</v>
      </c>
      <c r="F20676" s="5">
        <v>235.5</v>
      </c>
      <c r="G20676" s="5">
        <v>117.5</v>
      </c>
      <c r="H20676" s="5">
        <v>117.4</v>
      </c>
      <c r="I20676" s="5"/>
      <c r="J20676" s="5"/>
      <c r="K20676" s="5"/>
    </row>
    <row r="20677" spans="1:11" x14ac:dyDescent="0.25">
      <c r="A20677" s="5">
        <f>20670</f>
      </c>
      <c r="B20677" s="5" t="s">
        <v>20685</v>
      </c>
      <c r="C20677" s="5">
        <v>118</v>
      </c>
      <c r="D20677" s="5">
        <v>0.1</v>
      </c>
      <c r="E20677" s="5">
        <v>118.2</v>
      </c>
      <c r="F20677" s="5">
        <v>235.8</v>
      </c>
      <c r="G20677" s="5">
        <v>117.7</v>
      </c>
      <c r="H20677" s="5">
        <v>117.5</v>
      </c>
      <c r="I20677" s="5"/>
      <c r="J20677" s="5"/>
      <c r="K20677" s="5"/>
    </row>
    <row r="20678" spans="1:11" x14ac:dyDescent="0.25">
      <c r="A20678" s="5">
        <f>20671</f>
      </c>
      <c r="B20678" s="5" t="s">
        <v>20686</v>
      </c>
      <c r="C20678" s="5">
        <v>118.2</v>
      </c>
      <c r="D20678" s="5">
        <v>0.1</v>
      </c>
      <c r="E20678" s="5">
        <v>118.4</v>
      </c>
      <c r="F20678" s="5">
        <v>235.8</v>
      </c>
      <c r="G20678" s="5">
        <v>117.7</v>
      </c>
      <c r="H20678" s="5">
        <v>117.5</v>
      </c>
      <c r="I20678" s="5"/>
      <c r="J20678" s="5"/>
      <c r="K20678" s="5"/>
    </row>
    <row r="20679" spans="1:11" x14ac:dyDescent="0.25">
      <c r="A20679" s="5">
        <f>20672</f>
      </c>
      <c r="B20679" s="5" t="s">
        <v>20687</v>
      </c>
      <c r="C20679" s="5">
        <v>118.2</v>
      </c>
      <c r="D20679" s="5">
        <v>0.1</v>
      </c>
      <c r="E20679" s="5">
        <v>118.4</v>
      </c>
      <c r="F20679" s="5">
        <v>235.8</v>
      </c>
      <c r="G20679" s="5">
        <v>117.7</v>
      </c>
      <c r="H20679" s="5">
        <v>117.4</v>
      </c>
      <c r="I20679" s="5"/>
      <c r="J20679" s="5"/>
      <c r="K20679" s="5"/>
    </row>
    <row r="20680" spans="1:11" x14ac:dyDescent="0.25">
      <c r="A20680" s="5">
        <f>20673</f>
      </c>
      <c r="B20680" s="5" t="s">
        <v>20688</v>
      </c>
      <c r="C20680" s="5">
        <v>118.2</v>
      </c>
      <c r="D20680" s="5">
        <v>0.1</v>
      </c>
      <c r="E20680" s="5">
        <v>118.3</v>
      </c>
      <c r="F20680" s="5">
        <v>235.6</v>
      </c>
      <c r="G20680" s="5">
        <v>117.6</v>
      </c>
      <c r="H20680" s="5">
        <v>117.4</v>
      </c>
      <c r="I20680" s="5"/>
      <c r="J20680" s="5"/>
      <c r="K20680" s="5"/>
    </row>
    <row r="20681" spans="1:11" x14ac:dyDescent="0.25">
      <c r="A20681" s="5">
        <f>20674</f>
      </c>
      <c r="B20681" s="5" t="s">
        <v>20689</v>
      </c>
      <c r="C20681" s="5">
        <v>118.2</v>
      </c>
      <c r="D20681" s="5">
        <v>0.1</v>
      </c>
      <c r="E20681" s="5">
        <v>118.3</v>
      </c>
      <c r="F20681" s="5">
        <v>235.6</v>
      </c>
      <c r="G20681" s="5">
        <v>117.6</v>
      </c>
      <c r="H20681" s="5">
        <v>117.3</v>
      </c>
      <c r="I20681" s="5"/>
      <c r="J20681" s="5"/>
      <c r="K20681" s="5"/>
    </row>
    <row r="20682" spans="1:11" x14ac:dyDescent="0.25">
      <c r="A20682" s="5">
        <f>20675</f>
      </c>
      <c r="B20682" s="5" t="s">
        <v>20690</v>
      </c>
      <c r="C20682" s="5">
        <v>117.7</v>
      </c>
      <c r="D20682" s="5">
        <v>0.1</v>
      </c>
      <c r="E20682" s="5">
        <v>118</v>
      </c>
      <c r="F20682" s="5">
        <v>235.4</v>
      </c>
      <c r="G20682" s="5">
        <v>117.5</v>
      </c>
      <c r="H20682" s="5">
        <v>117.3</v>
      </c>
      <c r="I20682" s="5"/>
      <c r="J20682" s="5"/>
      <c r="K20682" s="5"/>
    </row>
    <row r="20683" spans="1:11" x14ac:dyDescent="0.25">
      <c r="A20683" s="5">
        <f>20676</f>
      </c>
      <c r="B20683" s="5" t="s">
        <v>20691</v>
      </c>
      <c r="C20683" s="5">
        <v>117.7</v>
      </c>
      <c r="D20683" s="5">
        <v>0.1</v>
      </c>
      <c r="E20683" s="5">
        <v>118</v>
      </c>
      <c r="F20683" s="5">
        <v>235.4</v>
      </c>
      <c r="G20683" s="5">
        <v>117.5</v>
      </c>
      <c r="H20683" s="5">
        <v>117.3</v>
      </c>
      <c r="I20683" s="5"/>
      <c r="J20683" s="5"/>
      <c r="K20683" s="5"/>
    </row>
    <row r="20684" spans="1:11" x14ac:dyDescent="0.25">
      <c r="A20684" s="5">
        <f>20677</f>
      </c>
      <c r="B20684" s="5" t="s">
        <v>20692</v>
      </c>
      <c r="C20684" s="5">
        <v>117.8</v>
      </c>
      <c r="D20684" s="5">
        <v>0.1</v>
      </c>
      <c r="E20684" s="5">
        <v>118</v>
      </c>
      <c r="F20684" s="5">
        <v>235.5</v>
      </c>
      <c r="G20684" s="5">
        <v>117.5</v>
      </c>
      <c r="H20684" s="5">
        <v>117.3</v>
      </c>
      <c r="I20684" s="5"/>
      <c r="J20684" s="5"/>
      <c r="K20684" s="5"/>
    </row>
    <row r="20685" spans="1:11" x14ac:dyDescent="0.25">
      <c r="A20685" s="5">
        <f>20678</f>
      </c>
      <c r="B20685" s="5" t="s">
        <v>20693</v>
      </c>
      <c r="C20685" s="5">
        <v>117.8</v>
      </c>
      <c r="D20685" s="5">
        <v>0.1</v>
      </c>
      <c r="E20685" s="5">
        <v>118</v>
      </c>
      <c r="F20685" s="5">
        <v>235.5</v>
      </c>
      <c r="G20685" s="5">
        <v>117.5</v>
      </c>
      <c r="H20685" s="5">
        <v>117.3</v>
      </c>
      <c r="I20685" s="5"/>
      <c r="J20685" s="5"/>
      <c r="K20685" s="5"/>
    </row>
    <row r="20686" spans="1:11" x14ac:dyDescent="0.25">
      <c r="A20686" s="5">
        <f>20679</f>
      </c>
      <c r="B20686" s="5" t="s">
        <v>20694</v>
      </c>
      <c r="C20686" s="5">
        <v>117.8</v>
      </c>
      <c r="D20686" s="5">
        <v>0.1</v>
      </c>
      <c r="E20686" s="5">
        <v>118</v>
      </c>
      <c r="F20686" s="5">
        <v>235.5</v>
      </c>
      <c r="G20686" s="5">
        <v>117.5</v>
      </c>
      <c r="H20686" s="5">
        <v>117.3</v>
      </c>
      <c r="I20686" s="5"/>
      <c r="J20686" s="5"/>
      <c r="K20686" s="5"/>
    </row>
    <row r="20687" spans="1:11" x14ac:dyDescent="0.25">
      <c r="A20687" s="5">
        <f>20680</f>
      </c>
      <c r="B20687" s="5" t="s">
        <v>20695</v>
      </c>
      <c r="C20687" s="5">
        <v>118.3</v>
      </c>
      <c r="D20687" s="5">
        <v>0.1</v>
      </c>
      <c r="E20687" s="5">
        <v>118.4</v>
      </c>
      <c r="F20687" s="5">
        <v>235.6</v>
      </c>
      <c r="G20687" s="5">
        <v>117.6</v>
      </c>
      <c r="H20687" s="5">
        <v>117.4</v>
      </c>
      <c r="I20687" s="5"/>
      <c r="J20687" s="5"/>
      <c r="K20687" s="5"/>
    </row>
    <row r="20688" spans="1:11" x14ac:dyDescent="0.25">
      <c r="A20688" s="5">
        <f>20681</f>
      </c>
      <c r="B20688" s="5" t="s">
        <v>20696</v>
      </c>
      <c r="C20688" s="5">
        <v>118.3</v>
      </c>
      <c r="D20688" s="5">
        <v>0.1</v>
      </c>
      <c r="E20688" s="5">
        <v>118.4</v>
      </c>
      <c r="F20688" s="5">
        <v>235.6</v>
      </c>
      <c r="G20688" s="5">
        <v>117.6</v>
      </c>
      <c r="H20688" s="5">
        <v>117.4</v>
      </c>
      <c r="I20688" s="5"/>
      <c r="J20688" s="5"/>
      <c r="K20688" s="5"/>
    </row>
    <row r="20689" spans="1:11" x14ac:dyDescent="0.25">
      <c r="A20689" s="5">
        <f>20682</f>
      </c>
      <c r="B20689" s="5" t="s">
        <v>20697</v>
      </c>
      <c r="C20689" s="5">
        <v>118</v>
      </c>
      <c r="D20689" s="5">
        <v>0.1</v>
      </c>
      <c r="E20689" s="5">
        <v>118.1</v>
      </c>
      <c r="F20689" s="5">
        <v>235.6</v>
      </c>
      <c r="G20689" s="5">
        <v>117.5</v>
      </c>
      <c r="H20689" s="5">
        <v>117.4</v>
      </c>
      <c r="I20689" s="5"/>
      <c r="J20689" s="5"/>
      <c r="K20689" s="5"/>
    </row>
    <row r="20690" spans="1:11" x14ac:dyDescent="0.25">
      <c r="A20690" s="5">
        <f>20683</f>
      </c>
      <c r="B20690" s="5" t="s">
        <v>20698</v>
      </c>
      <c r="C20690" s="5">
        <v>118</v>
      </c>
      <c r="D20690" s="5">
        <v>0.1</v>
      </c>
      <c r="E20690" s="5">
        <v>118.1</v>
      </c>
      <c r="F20690" s="5">
        <v>235.6</v>
      </c>
      <c r="G20690" s="5">
        <v>117.5</v>
      </c>
      <c r="H20690" s="5">
        <v>117.4</v>
      </c>
      <c r="I20690" s="5"/>
      <c r="J20690" s="5"/>
      <c r="K20690" s="5"/>
    </row>
    <row r="20691" spans="1:11" x14ac:dyDescent="0.25">
      <c r="A20691" s="5">
        <f>20684</f>
      </c>
      <c r="B20691" s="5" t="s">
        <v>20699</v>
      </c>
      <c r="C20691" s="5">
        <v>118</v>
      </c>
      <c r="D20691" s="5">
        <v>0.1</v>
      </c>
      <c r="E20691" s="5">
        <v>118.2</v>
      </c>
      <c r="F20691" s="5">
        <v>235.7</v>
      </c>
      <c r="G20691" s="5">
        <v>117.7</v>
      </c>
      <c r="H20691" s="5">
        <v>117.5</v>
      </c>
      <c r="I20691" s="5"/>
      <c r="J20691" s="5"/>
      <c r="K20691" s="5"/>
    </row>
    <row r="20692" spans="1:11" x14ac:dyDescent="0.25">
      <c r="A20692" s="5">
        <f>20685</f>
      </c>
      <c r="B20692" s="5" t="s">
        <v>20700</v>
      </c>
      <c r="C20692" s="5">
        <v>118</v>
      </c>
      <c r="D20692" s="5">
        <v>0.1</v>
      </c>
      <c r="E20692" s="5">
        <v>118.2</v>
      </c>
      <c r="F20692" s="5">
        <v>235.7</v>
      </c>
      <c r="G20692" s="5">
        <v>117.7</v>
      </c>
      <c r="H20692" s="5">
        <v>117.5</v>
      </c>
      <c r="I20692" s="5"/>
      <c r="J20692" s="5"/>
      <c r="K20692" s="5"/>
    </row>
    <row r="20693" spans="1:11" x14ac:dyDescent="0.25">
      <c r="A20693" s="5">
        <f>20686</f>
      </c>
      <c r="B20693" s="5" t="s">
        <v>20701</v>
      </c>
      <c r="C20693" s="5">
        <v>118</v>
      </c>
      <c r="D20693" s="5">
        <v>0.1</v>
      </c>
      <c r="E20693" s="5">
        <v>118.1</v>
      </c>
      <c r="F20693" s="5">
        <v>236</v>
      </c>
      <c r="G20693" s="5">
        <v>117.7</v>
      </c>
      <c r="H20693" s="5">
        <v>117.6</v>
      </c>
      <c r="I20693" s="5"/>
      <c r="J20693" s="5"/>
      <c r="K20693" s="5"/>
    </row>
    <row r="20694" spans="1:11" x14ac:dyDescent="0.25">
      <c r="A20694" s="5">
        <f>20687</f>
      </c>
      <c r="B20694" s="5" t="s">
        <v>20702</v>
      </c>
      <c r="C20694" s="5">
        <v>118</v>
      </c>
      <c r="D20694" s="5">
        <v>0.1</v>
      </c>
      <c r="E20694" s="5">
        <v>118.1</v>
      </c>
      <c r="F20694" s="5">
        <v>236</v>
      </c>
      <c r="G20694" s="5">
        <v>117.7</v>
      </c>
      <c r="H20694" s="5">
        <v>117.6</v>
      </c>
      <c r="I20694" s="5"/>
      <c r="J20694" s="5"/>
      <c r="K20694" s="5"/>
    </row>
    <row r="20695" spans="1:11" x14ac:dyDescent="0.25">
      <c r="A20695" s="5">
        <f>20688</f>
      </c>
      <c r="B20695" s="5" t="s">
        <v>20703</v>
      </c>
      <c r="C20695" s="5">
        <v>118</v>
      </c>
      <c r="D20695" s="5">
        <v>0.1</v>
      </c>
      <c r="E20695" s="5">
        <v>118.1</v>
      </c>
      <c r="F20695" s="5">
        <v>236</v>
      </c>
      <c r="G20695" s="5">
        <v>117.7</v>
      </c>
      <c r="H20695" s="5">
        <v>117.6</v>
      </c>
      <c r="I20695" s="5"/>
      <c r="J20695" s="5"/>
      <c r="K20695" s="5"/>
    </row>
    <row r="20696" spans="1:11" x14ac:dyDescent="0.25">
      <c r="A20696" s="5">
        <f>20689</f>
      </c>
      <c r="B20696" s="5" t="s">
        <v>20704</v>
      </c>
      <c r="C20696" s="5">
        <v>118</v>
      </c>
      <c r="D20696" s="5">
        <v>0.1</v>
      </c>
      <c r="E20696" s="5">
        <v>118.1</v>
      </c>
      <c r="F20696" s="5">
        <v>236</v>
      </c>
      <c r="G20696" s="5">
        <v>117.7</v>
      </c>
      <c r="H20696" s="5">
        <v>117.6</v>
      </c>
      <c r="I20696" s="5"/>
      <c r="J20696" s="5"/>
      <c r="K20696" s="5"/>
    </row>
    <row r="20697" spans="1:11" x14ac:dyDescent="0.25">
      <c r="A20697" s="5">
        <f>20690</f>
      </c>
      <c r="B20697" s="5" t="s">
        <v>20705</v>
      </c>
      <c r="C20697" s="5">
        <v>117.9</v>
      </c>
      <c r="D20697" s="5">
        <v>0.1</v>
      </c>
      <c r="E20697" s="5">
        <v>118</v>
      </c>
      <c r="F20697" s="5">
        <v>235.3</v>
      </c>
      <c r="G20697" s="5">
        <v>117.4</v>
      </c>
      <c r="H20697" s="5">
        <v>117.3</v>
      </c>
      <c r="I20697" s="5"/>
      <c r="J20697" s="5"/>
      <c r="K20697" s="5"/>
    </row>
    <row r="20698" spans="1:11" x14ac:dyDescent="0.25">
      <c r="A20698" s="5">
        <f>20691</f>
      </c>
      <c r="B20698" s="5" t="s">
        <v>20706</v>
      </c>
      <c r="C20698" s="5">
        <v>117.9</v>
      </c>
      <c r="D20698" s="5">
        <v>0.1</v>
      </c>
      <c r="E20698" s="5">
        <v>118</v>
      </c>
      <c r="F20698" s="5">
        <v>235.3</v>
      </c>
      <c r="G20698" s="5">
        <v>117.4</v>
      </c>
      <c r="H20698" s="5">
        <v>117.3</v>
      </c>
      <c r="I20698" s="5"/>
      <c r="J20698" s="5"/>
      <c r="K20698" s="5"/>
    </row>
    <row r="20699" spans="1:11" x14ac:dyDescent="0.25">
      <c r="A20699" s="5">
        <f>20692</f>
      </c>
      <c r="B20699" s="5" t="s">
        <v>20707</v>
      </c>
      <c r="C20699" s="5">
        <v>117.6</v>
      </c>
      <c r="D20699" s="5">
        <v>0.1</v>
      </c>
      <c r="E20699" s="5">
        <v>117.7</v>
      </c>
      <c r="F20699" s="5">
        <v>235</v>
      </c>
      <c r="G20699" s="5">
        <v>117.3</v>
      </c>
      <c r="H20699" s="5">
        <v>117.1</v>
      </c>
      <c r="I20699" s="5"/>
      <c r="J20699" s="5"/>
      <c r="K20699" s="5"/>
    </row>
    <row r="20700" spans="1:11" x14ac:dyDescent="0.25">
      <c r="A20700" s="5">
        <f>20693</f>
      </c>
      <c r="B20700" s="5" t="s">
        <v>20708</v>
      </c>
      <c r="C20700" s="5">
        <v>117.6</v>
      </c>
      <c r="D20700" s="5">
        <v>0.1</v>
      </c>
      <c r="E20700" s="5">
        <v>117.7</v>
      </c>
      <c r="F20700" s="5">
        <v>235</v>
      </c>
      <c r="G20700" s="5">
        <v>117.3</v>
      </c>
      <c r="H20700" s="5">
        <v>117.1</v>
      </c>
      <c r="I20700" s="5"/>
      <c r="J20700" s="5"/>
      <c r="K20700" s="5"/>
    </row>
    <row r="20701" spans="1:11" x14ac:dyDescent="0.25">
      <c r="A20701" s="5">
        <f>20694</f>
      </c>
      <c r="B20701" s="5" t="s">
        <v>20709</v>
      </c>
      <c r="C20701" s="5">
        <v>117.4</v>
      </c>
      <c r="D20701" s="5">
        <v>0.1</v>
      </c>
      <c r="E20701" s="5">
        <v>117.6</v>
      </c>
      <c r="F20701" s="5">
        <v>235.7</v>
      </c>
      <c r="G20701" s="5">
        <v>117.6</v>
      </c>
      <c r="H20701" s="5">
        <v>117.5</v>
      </c>
      <c r="I20701" s="5"/>
      <c r="J20701" s="5"/>
      <c r="K20701" s="5"/>
    </row>
    <row r="20702" spans="1:11" x14ac:dyDescent="0.25">
      <c r="A20702" s="5">
        <f>20695</f>
      </c>
      <c r="B20702" s="5" t="s">
        <v>20710</v>
      </c>
      <c r="C20702" s="5">
        <v>117.4</v>
      </c>
      <c r="D20702" s="5">
        <v>0.1</v>
      </c>
      <c r="E20702" s="5">
        <v>117.6</v>
      </c>
      <c r="F20702" s="5">
        <v>235.7</v>
      </c>
      <c r="G20702" s="5">
        <v>117.6</v>
      </c>
      <c r="H20702" s="5">
        <v>117.5</v>
      </c>
      <c r="I20702" s="5"/>
      <c r="J20702" s="5"/>
      <c r="K20702" s="5"/>
    </row>
    <row r="20703" spans="1:11" x14ac:dyDescent="0.25">
      <c r="A20703" s="5">
        <f>20696</f>
      </c>
      <c r="B20703" s="5" t="s">
        <v>20711</v>
      </c>
      <c r="C20703" s="5">
        <v>117.8</v>
      </c>
      <c r="D20703" s="5">
        <v>0.1</v>
      </c>
      <c r="E20703" s="5">
        <v>118</v>
      </c>
      <c r="F20703" s="5">
        <v>235.1</v>
      </c>
      <c r="G20703" s="5">
        <v>117.3</v>
      </c>
      <c r="H20703" s="5">
        <v>117.1</v>
      </c>
      <c r="I20703" s="5"/>
      <c r="J20703" s="5"/>
      <c r="K20703" s="5"/>
    </row>
    <row r="20704" spans="1:11" x14ac:dyDescent="0.25">
      <c r="A20704" s="5">
        <f>20697</f>
      </c>
      <c r="B20704" s="5" t="s">
        <v>20712</v>
      </c>
      <c r="C20704" s="5">
        <v>117.8</v>
      </c>
      <c r="D20704" s="5">
        <v>0.1</v>
      </c>
      <c r="E20704" s="5">
        <v>118</v>
      </c>
      <c r="F20704" s="5">
        <v>235.1</v>
      </c>
      <c r="G20704" s="5">
        <v>117.3</v>
      </c>
      <c r="H20704" s="5">
        <v>117.1</v>
      </c>
      <c r="I20704" s="5"/>
      <c r="J20704" s="5"/>
      <c r="K20704" s="5"/>
    </row>
    <row r="20705" spans="1:11" x14ac:dyDescent="0.25">
      <c r="A20705" s="5">
        <f>20698</f>
      </c>
      <c r="B20705" s="5" t="s">
        <v>20713</v>
      </c>
      <c r="C20705" s="5">
        <v>117.8</v>
      </c>
      <c r="D20705" s="5">
        <v>0.1</v>
      </c>
      <c r="E20705" s="5">
        <v>118</v>
      </c>
      <c r="F20705" s="5">
        <v>235.1</v>
      </c>
      <c r="G20705" s="5">
        <v>117.3</v>
      </c>
      <c r="H20705" s="5">
        <v>117.1</v>
      </c>
      <c r="I20705" s="5"/>
      <c r="J20705" s="5"/>
      <c r="K20705" s="5"/>
    </row>
    <row r="20706" spans="1:11" x14ac:dyDescent="0.25">
      <c r="A20706" s="5">
        <f>20699</f>
      </c>
      <c r="B20706" s="5" t="s">
        <v>20714</v>
      </c>
      <c r="C20706" s="5">
        <v>117.8</v>
      </c>
      <c r="D20706" s="5">
        <v>0.1</v>
      </c>
      <c r="E20706" s="5">
        <v>118</v>
      </c>
      <c r="F20706" s="5">
        <v>235.1</v>
      </c>
      <c r="G20706" s="5">
        <v>117.3</v>
      </c>
      <c r="H20706" s="5">
        <v>117.1</v>
      </c>
      <c r="I20706" s="5"/>
      <c r="J20706" s="5"/>
      <c r="K20706" s="5"/>
    </row>
    <row r="20707" spans="1:11" x14ac:dyDescent="0.25">
      <c r="A20707" s="5">
        <f>20700</f>
      </c>
      <c r="B20707" s="5" t="s">
        <v>20715</v>
      </c>
      <c r="C20707" s="5">
        <v>117.6</v>
      </c>
      <c r="D20707" s="5">
        <v>0.1</v>
      </c>
      <c r="E20707" s="5">
        <v>117.7</v>
      </c>
      <c r="F20707" s="5">
        <v>234.8</v>
      </c>
      <c r="G20707" s="5">
        <v>117.2</v>
      </c>
      <c r="H20707" s="5">
        <v>117</v>
      </c>
      <c r="I20707" s="5"/>
      <c r="J20707" s="5"/>
      <c r="K20707" s="5"/>
    </row>
    <row r="20708" spans="1:11" x14ac:dyDescent="0.25">
      <c r="A20708" s="5">
        <f>20701</f>
      </c>
      <c r="B20708" s="5" t="s">
        <v>20716</v>
      </c>
      <c r="C20708" s="5">
        <v>117.6</v>
      </c>
      <c r="D20708" s="5">
        <v>0.1</v>
      </c>
      <c r="E20708" s="5">
        <v>117.7</v>
      </c>
      <c r="F20708" s="5">
        <v>234.8</v>
      </c>
      <c r="G20708" s="5">
        <v>117.2</v>
      </c>
      <c r="H20708" s="5">
        <v>117</v>
      </c>
      <c r="I20708" s="5"/>
      <c r="J20708" s="5"/>
      <c r="K20708" s="5"/>
    </row>
    <row r="20709" spans="1:11" x14ac:dyDescent="0.25">
      <c r="A20709" s="5">
        <f>20702</f>
      </c>
      <c r="B20709" s="5" t="s">
        <v>20717</v>
      </c>
      <c r="C20709" s="5">
        <v>117.4</v>
      </c>
      <c r="D20709" s="5">
        <v>0.1</v>
      </c>
      <c r="E20709" s="5">
        <v>117.5</v>
      </c>
      <c r="F20709" s="5">
        <v>235.3</v>
      </c>
      <c r="G20709" s="5">
        <v>117.4</v>
      </c>
      <c r="H20709" s="5">
        <v>117.2</v>
      </c>
      <c r="I20709" s="5"/>
      <c r="J20709" s="5"/>
      <c r="K20709" s="5"/>
    </row>
    <row r="20710" spans="1:11" x14ac:dyDescent="0.25">
      <c r="A20710" s="5">
        <f>20703</f>
      </c>
      <c r="B20710" s="5" t="s">
        <v>20718</v>
      </c>
      <c r="C20710" s="5">
        <v>117.4</v>
      </c>
      <c r="D20710" s="5">
        <v>0.1</v>
      </c>
      <c r="E20710" s="5">
        <v>117.5</v>
      </c>
      <c r="F20710" s="5">
        <v>235.3</v>
      </c>
      <c r="G20710" s="5">
        <v>117.4</v>
      </c>
      <c r="H20710" s="5">
        <v>117.2</v>
      </c>
      <c r="I20710" s="5"/>
      <c r="J20710" s="5"/>
      <c r="K20710" s="5"/>
    </row>
    <row r="20711" spans="1:11" x14ac:dyDescent="0.25">
      <c r="A20711" s="5">
        <f>20704</f>
      </c>
      <c r="B20711" s="5" t="s">
        <v>20719</v>
      </c>
      <c r="C20711" s="5">
        <v>117.5</v>
      </c>
      <c r="D20711" s="5">
        <v>0.1</v>
      </c>
      <c r="E20711" s="5">
        <v>117.7</v>
      </c>
      <c r="F20711" s="5">
        <v>234.6</v>
      </c>
      <c r="G20711" s="5">
        <v>117.1</v>
      </c>
      <c r="H20711" s="5">
        <v>116.9</v>
      </c>
      <c r="I20711" s="5"/>
      <c r="J20711" s="5"/>
      <c r="K20711" s="5"/>
    </row>
    <row r="20712" spans="1:11" x14ac:dyDescent="0.25">
      <c r="A20712" s="5">
        <f>20705</f>
      </c>
      <c r="B20712" s="5" t="s">
        <v>20720</v>
      </c>
      <c r="C20712" s="5">
        <v>117.5</v>
      </c>
      <c r="D20712" s="5">
        <v>0.1</v>
      </c>
      <c r="E20712" s="5">
        <v>117.7</v>
      </c>
      <c r="F20712" s="5">
        <v>234.6</v>
      </c>
      <c r="G20712" s="5">
        <v>117.1</v>
      </c>
      <c r="H20712" s="5">
        <v>116.9</v>
      </c>
      <c r="I20712" s="5"/>
      <c r="J20712" s="5"/>
      <c r="K20712" s="5"/>
    </row>
    <row r="20713" spans="1:11" x14ac:dyDescent="0.25">
      <c r="A20713" s="5">
        <f>20706</f>
      </c>
      <c r="B20713" s="5" t="s">
        <v>20721</v>
      </c>
      <c r="C20713" s="5">
        <v>117.6</v>
      </c>
      <c r="D20713" s="5">
        <v>0.1</v>
      </c>
      <c r="E20713" s="5">
        <v>117.7</v>
      </c>
      <c r="F20713" s="5">
        <v>235.2</v>
      </c>
      <c r="G20713" s="5">
        <v>117.3</v>
      </c>
      <c r="H20713" s="5">
        <v>117.1</v>
      </c>
      <c r="I20713" s="5"/>
      <c r="J20713" s="5"/>
      <c r="K20713" s="5"/>
    </row>
    <row r="20714" spans="1:11" x14ac:dyDescent="0.25">
      <c r="A20714" s="5">
        <f>20707</f>
      </c>
      <c r="B20714" s="5" t="s">
        <v>20722</v>
      </c>
      <c r="C20714" s="5">
        <v>117.6</v>
      </c>
      <c r="D20714" s="5">
        <v>0.1</v>
      </c>
      <c r="E20714" s="5">
        <v>117.7</v>
      </c>
      <c r="F20714" s="5">
        <v>235.2</v>
      </c>
      <c r="G20714" s="5">
        <v>117.3</v>
      </c>
      <c r="H20714" s="5">
        <v>117.1</v>
      </c>
      <c r="I20714" s="5"/>
      <c r="J20714" s="5"/>
      <c r="K20714" s="5"/>
    </row>
    <row r="20715" spans="1:11" x14ac:dyDescent="0.25">
      <c r="A20715" s="5">
        <f>20708</f>
      </c>
      <c r="B20715" s="5" t="s">
        <v>20723</v>
      </c>
      <c r="C20715" s="5">
        <v>117.6</v>
      </c>
      <c r="D20715" s="5">
        <v>0.1</v>
      </c>
      <c r="E20715" s="5">
        <v>117.7</v>
      </c>
      <c r="F20715" s="5">
        <v>235.2</v>
      </c>
      <c r="G20715" s="5">
        <v>117.3</v>
      </c>
      <c r="H20715" s="5">
        <v>117.1</v>
      </c>
      <c r="I20715" s="5"/>
      <c r="J20715" s="5"/>
      <c r="K20715" s="5"/>
    </row>
    <row r="20716" spans="1:11" x14ac:dyDescent="0.25">
      <c r="A20716" s="5">
        <f>20709</f>
      </c>
      <c r="B20716" s="5" t="s">
        <v>20724</v>
      </c>
      <c r="C20716" s="5">
        <v>117.6</v>
      </c>
      <c r="D20716" s="5">
        <v>0.1</v>
      </c>
      <c r="E20716" s="5">
        <v>117.7</v>
      </c>
      <c r="F20716" s="5">
        <v>235.2</v>
      </c>
      <c r="G20716" s="5">
        <v>117.3</v>
      </c>
      <c r="H20716" s="5">
        <v>117.1</v>
      </c>
      <c r="I20716" s="5"/>
      <c r="J20716" s="5"/>
      <c r="K20716" s="5"/>
    </row>
    <row r="20717" spans="1:11" x14ac:dyDescent="0.25">
      <c r="A20717" s="5">
        <f>20710</f>
      </c>
      <c r="B20717" s="5" t="s">
        <v>20725</v>
      </c>
      <c r="C20717" s="5">
        <v>117.5</v>
      </c>
      <c r="D20717" s="5">
        <v>0.1</v>
      </c>
      <c r="E20717" s="5">
        <v>117.7</v>
      </c>
      <c r="F20717" s="5">
        <v>234.7</v>
      </c>
      <c r="G20717" s="5">
        <v>117.1</v>
      </c>
      <c r="H20717" s="5">
        <v>117</v>
      </c>
      <c r="I20717" s="5"/>
      <c r="J20717" s="5"/>
      <c r="K20717" s="5"/>
    </row>
    <row r="20718" spans="1:11" x14ac:dyDescent="0.25">
      <c r="A20718" s="5">
        <f>20711</f>
      </c>
      <c r="B20718" s="5" t="s">
        <v>20726</v>
      </c>
      <c r="C20718" s="5">
        <v>117.5</v>
      </c>
      <c r="D20718" s="5">
        <v>0.1</v>
      </c>
      <c r="E20718" s="5">
        <v>117.7</v>
      </c>
      <c r="F20718" s="5">
        <v>234.7</v>
      </c>
      <c r="G20718" s="5">
        <v>117.1</v>
      </c>
      <c r="H20718" s="5">
        <v>117</v>
      </c>
      <c r="I20718" s="5"/>
      <c r="J20718" s="5"/>
      <c r="K20718" s="5"/>
    </row>
    <row r="20719" spans="1:11" x14ac:dyDescent="0.25">
      <c r="A20719" s="5">
        <f>20712</f>
      </c>
      <c r="B20719" s="5" t="s">
        <v>20727</v>
      </c>
      <c r="C20719" s="5">
        <v>117.3</v>
      </c>
      <c r="D20719" s="5">
        <v>0.1</v>
      </c>
      <c r="E20719" s="5">
        <v>117.4</v>
      </c>
      <c r="F20719" s="5">
        <v>234.4</v>
      </c>
      <c r="G20719" s="5">
        <v>117</v>
      </c>
      <c r="H20719" s="5">
        <v>116.8</v>
      </c>
      <c r="I20719" s="5"/>
      <c r="J20719" s="5"/>
      <c r="K20719" s="5"/>
    </row>
    <row r="20720" spans="1:11" x14ac:dyDescent="0.25">
      <c r="A20720" s="5">
        <f>20713</f>
      </c>
      <c r="B20720" s="5" t="s">
        <v>20728</v>
      </c>
      <c r="C20720" s="5">
        <v>117.3</v>
      </c>
      <c r="D20720" s="5">
        <v>0.1</v>
      </c>
      <c r="E20720" s="5">
        <v>117.4</v>
      </c>
      <c r="F20720" s="5">
        <v>234.4</v>
      </c>
      <c r="G20720" s="5">
        <v>117</v>
      </c>
      <c r="H20720" s="5">
        <v>116.8</v>
      </c>
      <c r="I20720" s="5"/>
      <c r="J20720" s="5"/>
      <c r="K20720" s="5"/>
    </row>
    <row r="20721" spans="1:11" x14ac:dyDescent="0.25">
      <c r="A20721" s="5">
        <f>20714</f>
      </c>
      <c r="B20721" s="5" t="s">
        <v>20729</v>
      </c>
      <c r="C20721" s="5">
        <v>117.6</v>
      </c>
      <c r="D20721" s="5">
        <v>0.1</v>
      </c>
      <c r="E20721" s="5">
        <v>117.7</v>
      </c>
      <c r="F20721" s="5">
        <v>234.3</v>
      </c>
      <c r="G20721" s="5">
        <v>117</v>
      </c>
      <c r="H20721" s="5">
        <v>116.8</v>
      </c>
      <c r="I20721" s="5"/>
      <c r="J20721" s="5"/>
      <c r="K20721" s="5"/>
    </row>
    <row r="20722" spans="1:11" x14ac:dyDescent="0.25">
      <c r="A20722" s="5">
        <f>20715</f>
      </c>
      <c r="B20722" s="5" t="s">
        <v>20730</v>
      </c>
      <c r="C20722" s="5">
        <v>117.6</v>
      </c>
      <c r="D20722" s="5">
        <v>0.1</v>
      </c>
      <c r="E20722" s="5">
        <v>117.7</v>
      </c>
      <c r="F20722" s="5">
        <v>234.3</v>
      </c>
      <c r="G20722" s="5">
        <v>117</v>
      </c>
      <c r="H20722" s="5">
        <v>116.8</v>
      </c>
      <c r="I20722" s="5"/>
      <c r="J20722" s="5"/>
      <c r="K20722" s="5"/>
    </row>
    <row r="20723" spans="1:11" x14ac:dyDescent="0.25">
      <c r="A20723" s="5">
        <f>20716</f>
      </c>
      <c r="B20723" s="5" t="s">
        <v>20731</v>
      </c>
      <c r="C20723" s="5">
        <v>117.6</v>
      </c>
      <c r="D20723" s="5">
        <v>0.1</v>
      </c>
      <c r="E20723" s="5">
        <v>117.7</v>
      </c>
      <c r="F20723" s="5">
        <v>234.3</v>
      </c>
      <c r="G20723" s="5">
        <v>117</v>
      </c>
      <c r="H20723" s="5">
        <v>116.8</v>
      </c>
      <c r="I20723" s="5"/>
      <c r="J20723" s="5"/>
      <c r="K20723" s="5"/>
    </row>
    <row r="20724" spans="1:11" x14ac:dyDescent="0.25">
      <c r="A20724" s="5">
        <f>20717</f>
      </c>
      <c r="B20724" s="5" t="s">
        <v>20732</v>
      </c>
      <c r="C20724" s="5">
        <v>117.6</v>
      </c>
      <c r="D20724" s="5">
        <v>0.1</v>
      </c>
      <c r="E20724" s="5">
        <v>117.7</v>
      </c>
      <c r="F20724" s="5">
        <v>234.3</v>
      </c>
      <c r="G20724" s="5">
        <v>117</v>
      </c>
      <c r="H20724" s="5">
        <v>116.8</v>
      </c>
      <c r="I20724" s="5"/>
      <c r="J20724" s="5"/>
      <c r="K20724" s="5"/>
    </row>
    <row r="20725" spans="1:11" x14ac:dyDescent="0.25">
      <c r="A20725" s="5">
        <f>20718</f>
      </c>
      <c r="B20725" s="5" t="s">
        <v>20733</v>
      </c>
      <c r="C20725" s="5">
        <v>117.6</v>
      </c>
      <c r="D20725" s="5">
        <v>0.1</v>
      </c>
      <c r="E20725" s="5">
        <v>117.7</v>
      </c>
      <c r="F20725" s="5">
        <v>234.3</v>
      </c>
      <c r="G20725" s="5">
        <v>117</v>
      </c>
      <c r="H20725" s="5">
        <v>116.8</v>
      </c>
      <c r="I20725" s="5"/>
      <c r="J20725" s="5"/>
      <c r="K20725" s="5"/>
    </row>
    <row r="20726" spans="1:11" x14ac:dyDescent="0.25">
      <c r="A20726" s="5">
        <f>20719</f>
      </c>
      <c r="B20726" s="5" t="s">
        <v>20734</v>
      </c>
      <c r="C20726" s="5">
        <v>117.6</v>
      </c>
      <c r="D20726" s="5">
        <v>0.1</v>
      </c>
      <c r="E20726" s="5">
        <v>117.7</v>
      </c>
      <c r="F20726" s="5">
        <v>234.3</v>
      </c>
      <c r="G20726" s="5">
        <v>117</v>
      </c>
      <c r="H20726" s="5">
        <v>116.8</v>
      </c>
      <c r="I20726" s="5"/>
      <c r="J20726" s="5"/>
      <c r="K20726" s="5"/>
    </row>
    <row r="20727" spans="1:11" x14ac:dyDescent="0.25">
      <c r="A20727" s="5">
        <f>20720</f>
      </c>
      <c r="B20727" s="5" t="s">
        <v>20735</v>
      </c>
      <c r="C20727" s="5">
        <v>117.4</v>
      </c>
      <c r="D20727" s="5">
        <v>0.1</v>
      </c>
      <c r="E20727" s="5">
        <v>117.6</v>
      </c>
      <c r="F20727" s="5">
        <v>234.7</v>
      </c>
      <c r="G20727" s="5">
        <v>117.1</v>
      </c>
      <c r="H20727" s="5">
        <v>117</v>
      </c>
      <c r="I20727" s="5"/>
      <c r="J20727" s="5"/>
      <c r="K20727" s="5"/>
    </row>
    <row r="20728" spans="1:11" x14ac:dyDescent="0.25">
      <c r="A20728" s="5">
        <f>20721</f>
      </c>
      <c r="B20728" s="5" t="s">
        <v>20736</v>
      </c>
      <c r="C20728" s="5">
        <v>117.4</v>
      </c>
      <c r="D20728" s="5">
        <v>0.1</v>
      </c>
      <c r="E20728" s="5">
        <v>117.6</v>
      </c>
      <c r="F20728" s="5">
        <v>234.7</v>
      </c>
      <c r="G20728" s="5">
        <v>117.1</v>
      </c>
      <c r="H20728" s="5">
        <v>117</v>
      </c>
      <c r="I20728" s="5"/>
      <c r="J20728" s="5"/>
      <c r="K20728" s="5"/>
    </row>
    <row r="20729" spans="1:11" x14ac:dyDescent="0.25">
      <c r="A20729" s="5">
        <f>20722</f>
      </c>
      <c r="B20729" s="5" t="s">
        <v>20737</v>
      </c>
      <c r="C20729" s="5">
        <v>117.1</v>
      </c>
      <c r="D20729" s="5">
        <v>0.1</v>
      </c>
      <c r="E20729" s="5">
        <v>117.3</v>
      </c>
      <c r="F20729" s="5">
        <v>234.6</v>
      </c>
      <c r="G20729" s="5">
        <v>117.1</v>
      </c>
      <c r="H20729" s="5">
        <v>116.9</v>
      </c>
      <c r="I20729" s="5"/>
      <c r="J20729" s="5"/>
      <c r="K20729" s="5"/>
    </row>
    <row r="20730" spans="1:11" x14ac:dyDescent="0.25">
      <c r="A20730" s="5">
        <f>20723</f>
      </c>
      <c r="B20730" s="5" t="s">
        <v>20738</v>
      </c>
      <c r="C20730" s="5">
        <v>117.1</v>
      </c>
      <c r="D20730" s="5">
        <v>0.1</v>
      </c>
      <c r="E20730" s="5">
        <v>117.3</v>
      </c>
      <c r="F20730" s="5">
        <v>234.6</v>
      </c>
      <c r="G20730" s="5">
        <v>117.1</v>
      </c>
      <c r="H20730" s="5">
        <v>116.9</v>
      </c>
      <c r="I20730" s="5"/>
      <c r="J20730" s="5"/>
      <c r="K20730" s="5"/>
    </row>
    <row r="20731" spans="1:11" x14ac:dyDescent="0.25">
      <c r="A20731" s="5">
        <f>20724</f>
      </c>
      <c r="B20731" s="5" t="s">
        <v>20739</v>
      </c>
      <c r="C20731" s="5">
        <v>117.6</v>
      </c>
      <c r="D20731" s="5">
        <v>0.1</v>
      </c>
      <c r="E20731" s="5">
        <v>117.7</v>
      </c>
      <c r="F20731" s="5">
        <v>234.7</v>
      </c>
      <c r="G20731" s="5">
        <v>117.2</v>
      </c>
      <c r="H20731" s="5">
        <v>117</v>
      </c>
      <c r="I20731" s="5"/>
      <c r="J20731" s="5"/>
      <c r="K20731" s="5"/>
    </row>
    <row r="20732" spans="1:11" x14ac:dyDescent="0.25">
      <c r="A20732" s="5">
        <f>20725</f>
      </c>
      <c r="B20732" s="5" t="s">
        <v>20740</v>
      </c>
      <c r="C20732" s="5">
        <v>117.6</v>
      </c>
      <c r="D20732" s="5">
        <v>0.1</v>
      </c>
      <c r="E20732" s="5">
        <v>117.7</v>
      </c>
      <c r="F20732" s="5">
        <v>234.7</v>
      </c>
      <c r="G20732" s="5">
        <v>117.2</v>
      </c>
      <c r="H20732" s="5">
        <v>117</v>
      </c>
      <c r="I20732" s="5"/>
      <c r="J20732" s="5"/>
      <c r="K20732" s="5"/>
    </row>
    <row r="20733" spans="1:11" x14ac:dyDescent="0.25">
      <c r="A20733" s="5">
        <f>20726</f>
      </c>
      <c r="B20733" s="5" t="s">
        <v>20741</v>
      </c>
      <c r="C20733" s="5">
        <v>117.5</v>
      </c>
      <c r="D20733" s="5">
        <v>0.1</v>
      </c>
      <c r="E20733" s="5">
        <v>117.7</v>
      </c>
      <c r="F20733" s="5">
        <v>235.1</v>
      </c>
      <c r="G20733" s="5">
        <v>117.4</v>
      </c>
      <c r="H20733" s="5">
        <v>117.2</v>
      </c>
      <c r="I20733" s="5"/>
      <c r="J20733" s="5"/>
      <c r="K20733" s="5"/>
    </row>
    <row r="20734" spans="1:11" x14ac:dyDescent="0.25">
      <c r="A20734" s="5">
        <f>20727</f>
      </c>
      <c r="B20734" s="5" t="s">
        <v>20742</v>
      </c>
      <c r="C20734" s="5">
        <v>117.5</v>
      </c>
      <c r="D20734" s="5">
        <v>0.1</v>
      </c>
      <c r="E20734" s="5">
        <v>117.7</v>
      </c>
      <c r="F20734" s="5">
        <v>235.1</v>
      </c>
      <c r="G20734" s="5">
        <v>117.4</v>
      </c>
      <c r="H20734" s="5">
        <v>117.2</v>
      </c>
      <c r="I20734" s="5"/>
      <c r="J20734" s="5"/>
      <c r="K20734" s="5"/>
    </row>
    <row r="20735" spans="1:11" x14ac:dyDescent="0.25">
      <c r="A20735" s="5">
        <f>20728</f>
      </c>
      <c r="B20735" s="5" t="s">
        <v>20743</v>
      </c>
      <c r="C20735" s="5">
        <v>117.5</v>
      </c>
      <c r="D20735" s="5">
        <v>0.1</v>
      </c>
      <c r="E20735" s="5">
        <v>117.7</v>
      </c>
      <c r="F20735" s="5">
        <v>235.1</v>
      </c>
      <c r="G20735" s="5">
        <v>117.4</v>
      </c>
      <c r="H20735" s="5">
        <v>117.2</v>
      </c>
      <c r="I20735" s="5"/>
      <c r="J20735" s="5"/>
      <c r="K20735" s="5"/>
    </row>
    <row r="20736" spans="1:11" x14ac:dyDescent="0.25">
      <c r="A20736" s="5">
        <f>20729</f>
      </c>
      <c r="B20736" s="5" t="s">
        <v>20744</v>
      </c>
      <c r="C20736" s="5">
        <v>117.5</v>
      </c>
      <c r="D20736" s="5">
        <v>0.1</v>
      </c>
      <c r="E20736" s="5">
        <v>117.7</v>
      </c>
      <c r="F20736" s="5">
        <v>235.1</v>
      </c>
      <c r="G20736" s="5">
        <v>117.4</v>
      </c>
      <c r="H20736" s="5">
        <v>117.2</v>
      </c>
      <c r="I20736" s="5"/>
      <c r="J20736" s="5"/>
      <c r="K20736" s="5"/>
    </row>
    <row r="20737" spans="1:11" x14ac:dyDescent="0.25">
      <c r="A20737" s="5">
        <f>20730</f>
      </c>
      <c r="B20737" s="5" t="s">
        <v>20745</v>
      </c>
      <c r="C20737" s="5">
        <v>117.6</v>
      </c>
      <c r="D20737" s="5">
        <v>0.1</v>
      </c>
      <c r="E20737" s="5">
        <v>117.7</v>
      </c>
      <c r="F20737" s="5">
        <v>234.8</v>
      </c>
      <c r="G20737" s="5">
        <v>117.2</v>
      </c>
      <c r="H20737" s="5">
        <v>117</v>
      </c>
      <c r="I20737" s="5"/>
      <c r="J20737" s="5"/>
      <c r="K20737" s="5"/>
    </row>
    <row r="20738" spans="1:11" x14ac:dyDescent="0.25">
      <c r="A20738" s="5">
        <f>20731</f>
      </c>
      <c r="B20738" s="5" t="s">
        <v>20746</v>
      </c>
      <c r="C20738" s="5">
        <v>117.6</v>
      </c>
      <c r="D20738" s="5">
        <v>0.1</v>
      </c>
      <c r="E20738" s="5">
        <v>117.7</v>
      </c>
      <c r="F20738" s="5">
        <v>234.8</v>
      </c>
      <c r="G20738" s="5">
        <v>117.2</v>
      </c>
      <c r="H20738" s="5">
        <v>117</v>
      </c>
      <c r="I20738" s="5"/>
      <c r="J20738" s="5"/>
      <c r="K20738" s="5"/>
    </row>
    <row r="20739" spans="1:11" x14ac:dyDescent="0.25">
      <c r="A20739" s="5">
        <f>20732</f>
      </c>
      <c r="B20739" s="5" t="s">
        <v>20747</v>
      </c>
      <c r="C20739" s="5">
        <v>117.3</v>
      </c>
      <c r="D20739" s="5">
        <v>0.1</v>
      </c>
      <c r="E20739" s="5">
        <v>117.4</v>
      </c>
      <c r="F20739" s="5">
        <v>234.5</v>
      </c>
      <c r="G20739" s="5">
        <v>117</v>
      </c>
      <c r="H20739" s="5">
        <v>116.8</v>
      </c>
      <c r="I20739" s="5"/>
      <c r="J20739" s="5"/>
      <c r="K20739" s="5"/>
    </row>
    <row r="20740" spans="1:11" x14ac:dyDescent="0.25">
      <c r="A20740" s="5">
        <f>20733</f>
      </c>
      <c r="B20740" s="5" t="s">
        <v>20748</v>
      </c>
      <c r="C20740" s="5">
        <v>117.3</v>
      </c>
      <c r="D20740" s="5">
        <v>0.1</v>
      </c>
      <c r="E20740" s="5">
        <v>117.4</v>
      </c>
      <c r="F20740" s="5">
        <v>234.5</v>
      </c>
      <c r="G20740" s="5">
        <v>117</v>
      </c>
      <c r="H20740" s="5">
        <v>116.8</v>
      </c>
      <c r="I20740" s="5"/>
      <c r="J20740" s="5"/>
      <c r="K20740" s="5"/>
    </row>
    <row r="20741" spans="1:11" x14ac:dyDescent="0.25">
      <c r="A20741" s="5">
        <f>20734</f>
      </c>
      <c r="B20741" s="5" t="s">
        <v>20749</v>
      </c>
      <c r="C20741" s="5">
        <v>117.6</v>
      </c>
      <c r="D20741" s="5">
        <v>0.1</v>
      </c>
      <c r="E20741" s="5">
        <v>117.7</v>
      </c>
      <c r="F20741" s="5">
        <v>234.7</v>
      </c>
      <c r="G20741" s="5">
        <v>117.1</v>
      </c>
      <c r="H20741" s="5">
        <v>117</v>
      </c>
      <c r="I20741" s="5"/>
      <c r="J20741" s="5"/>
      <c r="K20741" s="5"/>
    </row>
    <row r="20742" spans="1:11" x14ac:dyDescent="0.25">
      <c r="A20742" s="5">
        <f>20735</f>
      </c>
      <c r="B20742" s="5" t="s">
        <v>20750</v>
      </c>
      <c r="C20742" s="5">
        <v>117.6</v>
      </c>
      <c r="D20742" s="5">
        <v>0.1</v>
      </c>
      <c r="E20742" s="5">
        <v>117.7</v>
      </c>
      <c r="F20742" s="5">
        <v>234.7</v>
      </c>
      <c r="G20742" s="5">
        <v>117.1</v>
      </c>
      <c r="H20742" s="5">
        <v>117</v>
      </c>
      <c r="I20742" s="5"/>
      <c r="J20742" s="5"/>
      <c r="K20742" s="5"/>
    </row>
    <row r="20743" spans="1:11" x14ac:dyDescent="0.25">
      <c r="A20743" s="5">
        <f>20736</f>
      </c>
      <c r="B20743" s="5" t="s">
        <v>20751</v>
      </c>
      <c r="C20743" s="5">
        <v>117.3</v>
      </c>
      <c r="D20743" s="5">
        <v>0.1</v>
      </c>
      <c r="E20743" s="5">
        <v>117.4</v>
      </c>
      <c r="F20743" s="5">
        <v>234.5</v>
      </c>
      <c r="G20743" s="5">
        <v>117</v>
      </c>
      <c r="H20743" s="5">
        <v>116.9</v>
      </c>
      <c r="I20743" s="5"/>
      <c r="J20743" s="5"/>
      <c r="K20743" s="5"/>
    </row>
    <row r="20744" spans="1:11" x14ac:dyDescent="0.25">
      <c r="A20744" s="5">
        <f>20737</f>
      </c>
      <c r="B20744" s="5" t="s">
        <v>20752</v>
      </c>
      <c r="C20744" s="5">
        <v>117.3</v>
      </c>
      <c r="D20744" s="5">
        <v>0.1</v>
      </c>
      <c r="E20744" s="5">
        <v>117.4</v>
      </c>
      <c r="F20744" s="5">
        <v>234.5</v>
      </c>
      <c r="G20744" s="5">
        <v>117</v>
      </c>
      <c r="H20744" s="5">
        <v>116.9</v>
      </c>
      <c r="I20744" s="5"/>
      <c r="J20744" s="5"/>
      <c r="K20744" s="5"/>
    </row>
    <row r="20745" spans="1:11" x14ac:dyDescent="0.25">
      <c r="A20745" s="5">
        <f>20738</f>
      </c>
      <c r="B20745" s="5" t="s">
        <v>20753</v>
      </c>
      <c r="C20745" s="5">
        <v>117.3</v>
      </c>
      <c r="D20745" s="5">
        <v>0.1</v>
      </c>
      <c r="E20745" s="5">
        <v>117.4</v>
      </c>
      <c r="F20745" s="5">
        <v>234.5</v>
      </c>
      <c r="G20745" s="5">
        <v>117</v>
      </c>
      <c r="H20745" s="5">
        <v>116.9</v>
      </c>
      <c r="I20745" s="5"/>
      <c r="J20745" s="5"/>
      <c r="K20745" s="5"/>
    </row>
    <row r="20746" spans="1:11" x14ac:dyDescent="0.25">
      <c r="A20746" s="5">
        <f>20739</f>
      </c>
      <c r="B20746" s="5" t="s">
        <v>20754</v>
      </c>
      <c r="C20746" s="5">
        <v>117.3</v>
      </c>
      <c r="D20746" s="5">
        <v>0.1</v>
      </c>
      <c r="E20746" s="5">
        <v>117.4</v>
      </c>
      <c r="F20746" s="5">
        <v>234.5</v>
      </c>
      <c r="G20746" s="5">
        <v>117</v>
      </c>
      <c r="H20746" s="5">
        <v>116.9</v>
      </c>
      <c r="I20746" s="5"/>
      <c r="J20746" s="5"/>
      <c r="K20746" s="5"/>
    </row>
    <row r="20747" spans="1:11" x14ac:dyDescent="0.25">
      <c r="A20747" s="5">
        <f>20740</f>
      </c>
      <c r="B20747" s="5" t="s">
        <v>20755</v>
      </c>
      <c r="C20747" s="5">
        <v>117.4</v>
      </c>
      <c r="D20747" s="5">
        <v>0.1</v>
      </c>
      <c r="E20747" s="5">
        <v>117.6</v>
      </c>
      <c r="F20747" s="5">
        <v>234.6</v>
      </c>
      <c r="G20747" s="5">
        <v>117.1</v>
      </c>
      <c r="H20747" s="5">
        <v>117</v>
      </c>
      <c r="I20747" s="5"/>
      <c r="J20747" s="5"/>
      <c r="K20747" s="5"/>
    </row>
    <row r="20748" spans="1:11" x14ac:dyDescent="0.25">
      <c r="A20748" s="5">
        <f>20741</f>
      </c>
      <c r="B20748" s="5" t="s">
        <v>20756</v>
      </c>
      <c r="C20748" s="5">
        <v>117.4</v>
      </c>
      <c r="D20748" s="5">
        <v>0.1</v>
      </c>
      <c r="E20748" s="5">
        <v>117.6</v>
      </c>
      <c r="F20748" s="5">
        <v>234.6</v>
      </c>
      <c r="G20748" s="5">
        <v>117.1</v>
      </c>
      <c r="H20748" s="5">
        <v>117</v>
      </c>
      <c r="I20748" s="5"/>
      <c r="J20748" s="5"/>
      <c r="K20748" s="5"/>
    </row>
    <row r="20749" spans="1:11" x14ac:dyDescent="0.25">
      <c r="A20749" s="5">
        <f>20742</f>
      </c>
      <c r="B20749" s="5" t="s">
        <v>20757</v>
      </c>
      <c r="C20749" s="5">
        <v>117.6</v>
      </c>
      <c r="D20749" s="5">
        <v>0.1</v>
      </c>
      <c r="E20749" s="5">
        <v>117.7</v>
      </c>
      <c r="F20749" s="5">
        <v>234.8</v>
      </c>
      <c r="G20749" s="5">
        <v>117.2</v>
      </c>
      <c r="H20749" s="5">
        <v>117</v>
      </c>
      <c r="I20749" s="5"/>
      <c r="J20749" s="5"/>
      <c r="K20749" s="5"/>
    </row>
    <row r="20750" spans="1:11" x14ac:dyDescent="0.25">
      <c r="A20750" s="5">
        <f>20743</f>
      </c>
      <c r="B20750" s="5" t="s">
        <v>20758</v>
      </c>
      <c r="C20750" s="5">
        <v>117.6</v>
      </c>
      <c r="D20750" s="5">
        <v>0.1</v>
      </c>
      <c r="E20750" s="5">
        <v>117.7</v>
      </c>
      <c r="F20750" s="5">
        <v>234.8</v>
      </c>
      <c r="G20750" s="5">
        <v>117.2</v>
      </c>
      <c r="H20750" s="5">
        <v>117</v>
      </c>
      <c r="I20750" s="5"/>
      <c r="J20750" s="5"/>
      <c r="K20750" s="5"/>
    </row>
    <row r="20751" spans="1:11" x14ac:dyDescent="0.25">
      <c r="A20751" s="5">
        <f>20744</f>
      </c>
      <c r="B20751" s="5" t="s">
        <v>20759</v>
      </c>
      <c r="C20751" s="5">
        <v>117.7</v>
      </c>
      <c r="D20751" s="5">
        <v>0.1</v>
      </c>
      <c r="E20751" s="5">
        <v>117.8</v>
      </c>
      <c r="F20751" s="5">
        <v>234.8</v>
      </c>
      <c r="G20751" s="5">
        <v>117.2</v>
      </c>
      <c r="H20751" s="5">
        <v>117.1</v>
      </c>
      <c r="I20751" s="5"/>
      <c r="J20751" s="5"/>
      <c r="K20751" s="5"/>
    </row>
    <row r="20752" spans="1:11" x14ac:dyDescent="0.25">
      <c r="A20752" s="5">
        <f>20745</f>
      </c>
      <c r="B20752" s="5" t="s">
        <v>20760</v>
      </c>
      <c r="C20752" s="5">
        <v>117.7</v>
      </c>
      <c r="D20752" s="5">
        <v>0.1</v>
      </c>
      <c r="E20752" s="5">
        <v>117.8</v>
      </c>
      <c r="F20752" s="5">
        <v>234.8</v>
      </c>
      <c r="G20752" s="5">
        <v>117.2</v>
      </c>
      <c r="H20752" s="5">
        <v>117.1</v>
      </c>
      <c r="I20752" s="5"/>
      <c r="J20752" s="5"/>
      <c r="K20752" s="5"/>
    </row>
    <row r="20753" spans="1:11" x14ac:dyDescent="0.25">
      <c r="A20753" s="5">
        <f>20746</f>
      </c>
      <c r="B20753" s="5" t="s">
        <v>20761</v>
      </c>
      <c r="C20753" s="5">
        <v>117.6</v>
      </c>
      <c r="D20753" s="5">
        <v>0.1</v>
      </c>
      <c r="E20753" s="5">
        <v>117.7</v>
      </c>
      <c r="F20753" s="5">
        <v>234.4</v>
      </c>
      <c r="G20753" s="5">
        <v>116.9</v>
      </c>
      <c r="H20753" s="5">
        <v>116.8</v>
      </c>
      <c r="I20753" s="5"/>
      <c r="J20753" s="5"/>
      <c r="K20753" s="5"/>
    </row>
    <row r="20754" spans="1:11" x14ac:dyDescent="0.25">
      <c r="A20754" s="5">
        <f>20747</f>
      </c>
      <c r="B20754" s="5" t="s">
        <v>20762</v>
      </c>
      <c r="C20754" s="5">
        <v>117.6</v>
      </c>
      <c r="D20754" s="5">
        <v>0.1</v>
      </c>
      <c r="E20754" s="5">
        <v>117.7</v>
      </c>
      <c r="F20754" s="5">
        <v>234.4</v>
      </c>
      <c r="G20754" s="5">
        <v>116.9</v>
      </c>
      <c r="H20754" s="5">
        <v>116.8</v>
      </c>
      <c r="I20754" s="5"/>
      <c r="J20754" s="5"/>
      <c r="K20754" s="5"/>
    </row>
    <row r="20755" spans="1:11" x14ac:dyDescent="0.25">
      <c r="A20755" s="5">
        <f>20748</f>
      </c>
      <c r="B20755" s="5" t="s">
        <v>20763</v>
      </c>
      <c r="C20755" s="5">
        <v>117.6</v>
      </c>
      <c r="D20755" s="5">
        <v>0.1</v>
      </c>
      <c r="E20755" s="5">
        <v>117.7</v>
      </c>
      <c r="F20755" s="5">
        <v>234.4</v>
      </c>
      <c r="G20755" s="5">
        <v>116.9</v>
      </c>
      <c r="H20755" s="5">
        <v>116.8</v>
      </c>
      <c r="I20755" s="5"/>
      <c r="J20755" s="5"/>
      <c r="K20755" s="5"/>
    </row>
    <row r="20756" spans="1:11" x14ac:dyDescent="0.25">
      <c r="A20756" s="5">
        <f>20749</f>
      </c>
      <c r="B20756" s="5" t="s">
        <v>20764</v>
      </c>
      <c r="C20756" s="5">
        <v>117.6</v>
      </c>
      <c r="D20756" s="5">
        <v>0.1</v>
      </c>
      <c r="E20756" s="5">
        <v>117.7</v>
      </c>
      <c r="F20756" s="5">
        <v>234.4</v>
      </c>
      <c r="G20756" s="5">
        <v>116.9</v>
      </c>
      <c r="H20756" s="5">
        <v>116.8</v>
      </c>
      <c r="I20756" s="5"/>
      <c r="J20756" s="5"/>
      <c r="K20756" s="5"/>
    </row>
    <row r="20757" spans="1:11" x14ac:dyDescent="0.25">
      <c r="A20757" s="5">
        <f>20750</f>
      </c>
      <c r="B20757" s="5" t="s">
        <v>20765</v>
      </c>
      <c r="C20757" s="5">
        <v>121.5</v>
      </c>
      <c r="D20757" s="5">
        <v>0.1</v>
      </c>
      <c r="E20757" s="5">
        <v>121.6</v>
      </c>
      <c r="F20757" s="5">
        <v>242.9</v>
      </c>
      <c r="G20757" s="5">
        <v>121.2</v>
      </c>
      <c r="H20757" s="5">
        <v>121</v>
      </c>
      <c r="I20757" s="5"/>
      <c r="J20757" s="5"/>
      <c r="K20757" s="5"/>
    </row>
    <row r="20758" spans="1:11" x14ac:dyDescent="0.25">
      <c r="A20758" s="5">
        <f>20751</f>
      </c>
      <c r="B20758" s="5" t="s">
        <v>20766</v>
      </c>
      <c r="C20758" s="5">
        <v>121.5</v>
      </c>
      <c r="D20758" s="5">
        <v>0.1</v>
      </c>
      <c r="E20758" s="5">
        <v>121.6</v>
      </c>
      <c r="F20758" s="5">
        <v>242.9</v>
      </c>
      <c r="G20758" s="5">
        <v>121.2</v>
      </c>
      <c r="H20758" s="5">
        <v>121</v>
      </c>
      <c r="I20758" s="5"/>
      <c r="J20758" s="5"/>
      <c r="K20758" s="5"/>
    </row>
    <row r="20759" spans="1:11" x14ac:dyDescent="0.25">
      <c r="A20759" s="5">
        <f>20752</f>
      </c>
      <c r="B20759" s="5" t="s">
        <v>20767</v>
      </c>
      <c r="C20759" s="5">
        <v>121.5</v>
      </c>
      <c r="D20759" s="5">
        <v>0.1</v>
      </c>
      <c r="E20759" s="5">
        <v>121.7</v>
      </c>
      <c r="F20759" s="5">
        <v>243.1</v>
      </c>
      <c r="G20759" s="5">
        <v>121.3</v>
      </c>
      <c r="H20759" s="5">
        <v>121.1</v>
      </c>
      <c r="I20759" s="5"/>
      <c r="J20759" s="5"/>
      <c r="K20759" s="5"/>
    </row>
    <row r="20760" spans="1:11" x14ac:dyDescent="0.25">
      <c r="A20760" s="5">
        <f>20753</f>
      </c>
      <c r="B20760" s="5" t="s">
        <v>20768</v>
      </c>
      <c r="C20760" s="5">
        <v>121.5</v>
      </c>
      <c r="D20760" s="5">
        <v>0.1</v>
      </c>
      <c r="E20760" s="5">
        <v>121.7</v>
      </c>
      <c r="F20760" s="5">
        <v>243.1</v>
      </c>
      <c r="G20760" s="5">
        <v>121.3</v>
      </c>
      <c r="H20760" s="5">
        <v>121.1</v>
      </c>
      <c r="I20760" s="5"/>
      <c r="J20760" s="5"/>
      <c r="K20760" s="5"/>
    </row>
    <row r="20761" spans="1:11" x14ac:dyDescent="0.25">
      <c r="A20761" s="5">
        <f>20754</f>
      </c>
      <c r="B20761" s="5" t="s">
        <v>20769</v>
      </c>
      <c r="C20761" s="5">
        <v>121.4</v>
      </c>
      <c r="D20761" s="5">
        <v>0.1</v>
      </c>
      <c r="E20761" s="5">
        <v>121.5</v>
      </c>
      <c r="F20761" s="5">
        <v>242.6</v>
      </c>
      <c r="G20761" s="5">
        <v>121.1</v>
      </c>
      <c r="H20761" s="5">
        <v>120.9</v>
      </c>
      <c r="I20761" s="5"/>
      <c r="J20761" s="5"/>
      <c r="K20761" s="5"/>
    </row>
    <row r="20762" spans="1:11" x14ac:dyDescent="0.25">
      <c r="A20762" s="5">
        <f>20755</f>
      </c>
      <c r="B20762" s="5" t="s">
        <v>20770</v>
      </c>
      <c r="C20762" s="5">
        <v>121.4</v>
      </c>
      <c r="D20762" s="5">
        <v>0.1</v>
      </c>
      <c r="E20762" s="5">
        <v>121.5</v>
      </c>
      <c r="F20762" s="5">
        <v>242.6</v>
      </c>
      <c r="G20762" s="5">
        <v>121.1</v>
      </c>
      <c r="H20762" s="5">
        <v>120.9</v>
      </c>
      <c r="I20762" s="5"/>
      <c r="J20762" s="5"/>
      <c r="K20762" s="5"/>
    </row>
    <row r="20763" spans="1:11" x14ac:dyDescent="0.25">
      <c r="A20763" s="5">
        <f>20756</f>
      </c>
      <c r="B20763" s="5" t="s">
        <v>20771</v>
      </c>
      <c r="C20763" s="5">
        <v>121.4</v>
      </c>
      <c r="D20763" s="5">
        <v>0.1</v>
      </c>
      <c r="E20763" s="5">
        <v>121.5</v>
      </c>
      <c r="F20763" s="5">
        <v>242.6</v>
      </c>
      <c r="G20763" s="5">
        <v>121.1</v>
      </c>
      <c r="H20763" s="5">
        <v>120.9</v>
      </c>
      <c r="I20763" s="5"/>
      <c r="J20763" s="5"/>
      <c r="K20763" s="5"/>
    </row>
    <row r="20764" spans="1:11" x14ac:dyDescent="0.25">
      <c r="A20764" s="5">
        <f>20757</f>
      </c>
      <c r="B20764" s="5" t="s">
        <v>20772</v>
      </c>
      <c r="C20764" s="5">
        <v>121.4</v>
      </c>
      <c r="D20764" s="5">
        <v>0.1</v>
      </c>
      <c r="E20764" s="5">
        <v>121.5</v>
      </c>
      <c r="F20764" s="5">
        <v>242.6</v>
      </c>
      <c r="G20764" s="5">
        <v>121.1</v>
      </c>
      <c r="H20764" s="5">
        <v>120.9</v>
      </c>
      <c r="I20764" s="5"/>
      <c r="J20764" s="5"/>
      <c r="K20764" s="5"/>
    </row>
    <row r="20765" spans="1:11" x14ac:dyDescent="0.25">
      <c r="A20765" s="5">
        <f>20758</f>
      </c>
      <c r="B20765" s="5" t="s">
        <v>20773</v>
      </c>
      <c r="C20765" s="5">
        <v>121.4</v>
      </c>
      <c r="D20765" s="5">
        <v>0.1</v>
      </c>
      <c r="E20765" s="5">
        <v>121.5</v>
      </c>
      <c r="F20765" s="5">
        <v>242.6</v>
      </c>
      <c r="G20765" s="5">
        <v>121.1</v>
      </c>
      <c r="H20765" s="5">
        <v>120.9</v>
      </c>
      <c r="I20765" s="5"/>
      <c r="J20765" s="5"/>
      <c r="K20765" s="5"/>
    </row>
    <row r="20766" spans="1:11" x14ac:dyDescent="0.25">
      <c r="A20766" s="5">
        <f>20759</f>
      </c>
      <c r="B20766" s="5" t="s">
        <v>20774</v>
      </c>
      <c r="C20766" s="5">
        <v>121.4</v>
      </c>
      <c r="D20766" s="5">
        <v>0.1</v>
      </c>
      <c r="E20766" s="5">
        <v>121.5</v>
      </c>
      <c r="F20766" s="5">
        <v>242.6</v>
      </c>
      <c r="G20766" s="5">
        <v>121.1</v>
      </c>
      <c r="H20766" s="5">
        <v>120.9</v>
      </c>
      <c r="I20766" s="5"/>
      <c r="J20766" s="5"/>
      <c r="K20766" s="5"/>
    </row>
    <row r="20767" spans="1:11" x14ac:dyDescent="0.25">
      <c r="A20767" s="5">
        <f>20760</f>
      </c>
      <c r="B20767" s="5" t="s">
        <v>20775</v>
      </c>
      <c r="C20767" s="5">
        <v>121.4</v>
      </c>
      <c r="D20767" s="5">
        <v>0.1</v>
      </c>
      <c r="E20767" s="5">
        <v>121.5</v>
      </c>
      <c r="F20767" s="5">
        <v>242.7</v>
      </c>
      <c r="G20767" s="5">
        <v>121.1</v>
      </c>
      <c r="H20767" s="5">
        <v>121</v>
      </c>
      <c r="I20767" s="5"/>
      <c r="J20767" s="5"/>
      <c r="K20767" s="5"/>
    </row>
    <row r="20768" spans="1:11" x14ac:dyDescent="0.25">
      <c r="A20768" s="5">
        <f>20761</f>
      </c>
      <c r="B20768" s="5" t="s">
        <v>20776</v>
      </c>
      <c r="C20768" s="5">
        <v>121.4</v>
      </c>
      <c r="D20768" s="5">
        <v>0.1</v>
      </c>
      <c r="E20768" s="5">
        <v>121.5</v>
      </c>
      <c r="F20768" s="5">
        <v>242.7</v>
      </c>
      <c r="G20768" s="5">
        <v>121.1</v>
      </c>
      <c r="H20768" s="5">
        <v>121</v>
      </c>
      <c r="I20768" s="5"/>
      <c r="J20768" s="5"/>
      <c r="K20768" s="5"/>
    </row>
    <row r="20769" spans="1:11" x14ac:dyDescent="0.25">
      <c r="A20769" s="5">
        <f>20762</f>
      </c>
      <c r="B20769" s="5" t="s">
        <v>20777</v>
      </c>
      <c r="C20769" s="5">
        <v>121.7</v>
      </c>
      <c r="D20769" s="5">
        <v>0.1</v>
      </c>
      <c r="E20769" s="5">
        <v>121.9</v>
      </c>
      <c r="F20769" s="5">
        <v>243</v>
      </c>
      <c r="G20769" s="5">
        <v>121.3</v>
      </c>
      <c r="H20769" s="5">
        <v>121.1</v>
      </c>
      <c r="I20769" s="5"/>
      <c r="J20769" s="5"/>
      <c r="K20769" s="5"/>
    </row>
    <row r="20770" spans="1:11" x14ac:dyDescent="0.25">
      <c r="A20770" s="5">
        <f>20763</f>
      </c>
      <c r="B20770" s="5" t="s">
        <v>20778</v>
      </c>
      <c r="C20770" s="5">
        <v>121.7</v>
      </c>
      <c r="D20770" s="5">
        <v>0.1</v>
      </c>
      <c r="E20770" s="5">
        <v>121.9</v>
      </c>
      <c r="F20770" s="5">
        <v>243</v>
      </c>
      <c r="G20770" s="5">
        <v>121.3</v>
      </c>
      <c r="H20770" s="5">
        <v>121.1</v>
      </c>
      <c r="I20770" s="5"/>
      <c r="J20770" s="5"/>
      <c r="K20770" s="5"/>
    </row>
    <row r="20771" spans="1:11" x14ac:dyDescent="0.25">
      <c r="A20771" s="5">
        <f>20764</f>
      </c>
      <c r="B20771" s="5" t="s">
        <v>20779</v>
      </c>
      <c r="C20771" s="5">
        <v>121.7</v>
      </c>
      <c r="D20771" s="5">
        <v>0.1</v>
      </c>
      <c r="E20771" s="5">
        <v>121.8</v>
      </c>
      <c r="F20771" s="5">
        <v>243.4</v>
      </c>
      <c r="G20771" s="5">
        <v>121.4</v>
      </c>
      <c r="H20771" s="5">
        <v>121.3</v>
      </c>
      <c r="I20771" s="5"/>
      <c r="J20771" s="5"/>
      <c r="K20771" s="5"/>
    </row>
    <row r="20772" spans="1:11" x14ac:dyDescent="0.25">
      <c r="A20772" s="5">
        <f>20765</f>
      </c>
      <c r="B20772" s="5" t="s">
        <v>20780</v>
      </c>
      <c r="C20772" s="5">
        <v>121.7</v>
      </c>
      <c r="D20772" s="5">
        <v>0.1</v>
      </c>
      <c r="E20772" s="5">
        <v>121.8</v>
      </c>
      <c r="F20772" s="5">
        <v>243.4</v>
      </c>
      <c r="G20772" s="5">
        <v>121.4</v>
      </c>
      <c r="H20772" s="5">
        <v>121.3</v>
      </c>
      <c r="I20772" s="5"/>
      <c r="J20772" s="5"/>
      <c r="K20772" s="5"/>
    </row>
    <row r="20773" spans="1:11" x14ac:dyDescent="0.25">
      <c r="A20773" s="5">
        <f>20766</f>
      </c>
      <c r="B20773" s="5" t="s">
        <v>20781</v>
      </c>
      <c r="C20773" s="5">
        <v>121.9</v>
      </c>
      <c r="D20773" s="5">
        <v>0.1</v>
      </c>
      <c r="E20773" s="5">
        <v>122.1</v>
      </c>
      <c r="F20773" s="5">
        <v>243.4</v>
      </c>
      <c r="G20773" s="5">
        <v>121.5</v>
      </c>
      <c r="H20773" s="5">
        <v>121.3</v>
      </c>
      <c r="I20773" s="5"/>
      <c r="J20773" s="5"/>
      <c r="K20773" s="5"/>
    </row>
    <row r="20774" spans="1:11" x14ac:dyDescent="0.25">
      <c r="A20774" s="5">
        <f>20767</f>
      </c>
      <c r="B20774" s="5" t="s">
        <v>20782</v>
      </c>
      <c r="C20774" s="5">
        <v>121.9</v>
      </c>
      <c r="D20774" s="5">
        <v>0.1</v>
      </c>
      <c r="E20774" s="5">
        <v>122.1</v>
      </c>
      <c r="F20774" s="5">
        <v>243.4</v>
      </c>
      <c r="G20774" s="5">
        <v>121.5</v>
      </c>
      <c r="H20774" s="5">
        <v>121.3</v>
      </c>
      <c r="I20774" s="5"/>
      <c r="J20774" s="5"/>
      <c r="K20774" s="5"/>
    </row>
    <row r="20775" spans="1:11" x14ac:dyDescent="0.25">
      <c r="A20775" s="5">
        <f>20768</f>
      </c>
      <c r="B20775" s="5" t="s">
        <v>20783</v>
      </c>
      <c r="C20775" s="5">
        <v>121.9</v>
      </c>
      <c r="D20775" s="5">
        <v>0.1</v>
      </c>
      <c r="E20775" s="5">
        <v>122.1</v>
      </c>
      <c r="F20775" s="5">
        <v>243.4</v>
      </c>
      <c r="G20775" s="5">
        <v>121.5</v>
      </c>
      <c r="H20775" s="5">
        <v>121.3</v>
      </c>
      <c r="I20775" s="5"/>
      <c r="J20775" s="5"/>
      <c r="K20775" s="5"/>
    </row>
    <row r="20776" spans="1:11" x14ac:dyDescent="0.25">
      <c r="A20776" s="5">
        <f>20769</f>
      </c>
      <c r="B20776" s="5" t="s">
        <v>20784</v>
      </c>
      <c r="C20776" s="5">
        <v>121.9</v>
      </c>
      <c r="D20776" s="5">
        <v>0.1</v>
      </c>
      <c r="E20776" s="5">
        <v>122.1</v>
      </c>
      <c r="F20776" s="5">
        <v>243.4</v>
      </c>
      <c r="G20776" s="5">
        <v>121.5</v>
      </c>
      <c r="H20776" s="5">
        <v>121.3</v>
      </c>
      <c r="I20776" s="5"/>
      <c r="J20776" s="5"/>
      <c r="K20776" s="5"/>
    </row>
    <row r="20777" spans="1:11" x14ac:dyDescent="0.25">
      <c r="A20777" s="5">
        <f>20770</f>
      </c>
      <c r="B20777" s="5" t="s">
        <v>20785</v>
      </c>
      <c r="C20777" s="5">
        <v>121.4</v>
      </c>
      <c r="D20777" s="5">
        <v>0.1</v>
      </c>
      <c r="E20777" s="5">
        <v>121.5</v>
      </c>
      <c r="F20777" s="5">
        <v>242.4</v>
      </c>
      <c r="G20777" s="5">
        <v>121</v>
      </c>
      <c r="H20777" s="5">
        <v>120.8</v>
      </c>
      <c r="I20777" s="5"/>
      <c r="J20777" s="5"/>
      <c r="K20777" s="5"/>
    </row>
    <row r="20778" spans="1:11" x14ac:dyDescent="0.25">
      <c r="A20778" s="5">
        <f>20771</f>
      </c>
      <c r="B20778" s="5" t="s">
        <v>20786</v>
      </c>
      <c r="C20778" s="5">
        <v>121.4</v>
      </c>
      <c r="D20778" s="5">
        <v>0.1</v>
      </c>
      <c r="E20778" s="5">
        <v>121.5</v>
      </c>
      <c r="F20778" s="5">
        <v>242.4</v>
      </c>
      <c r="G20778" s="5">
        <v>121</v>
      </c>
      <c r="H20778" s="5">
        <v>120.8</v>
      </c>
      <c r="I20778" s="5"/>
      <c r="J20778" s="5"/>
      <c r="K20778" s="5"/>
    </row>
    <row r="20779" spans="1:11" x14ac:dyDescent="0.25">
      <c r="A20779" s="5">
        <f>20772</f>
      </c>
      <c r="B20779" s="5" t="s">
        <v>20787</v>
      </c>
      <c r="C20779" s="5">
        <v>120.9</v>
      </c>
      <c r="D20779" s="5">
        <v>0.1</v>
      </c>
      <c r="E20779" s="5">
        <v>121</v>
      </c>
      <c r="F20779" s="5">
        <v>242.1</v>
      </c>
      <c r="G20779" s="5">
        <v>120.9</v>
      </c>
      <c r="H20779" s="5">
        <v>120.7</v>
      </c>
      <c r="I20779" s="5"/>
      <c r="J20779" s="5"/>
      <c r="K20779" s="5"/>
    </row>
    <row r="20780" spans="1:11" x14ac:dyDescent="0.25">
      <c r="A20780" s="5">
        <f>20773</f>
      </c>
      <c r="B20780" s="5" t="s">
        <v>20788</v>
      </c>
      <c r="C20780" s="5">
        <v>120.9</v>
      </c>
      <c r="D20780" s="5">
        <v>0.1</v>
      </c>
      <c r="E20780" s="5">
        <v>121</v>
      </c>
      <c r="F20780" s="5">
        <v>242.1</v>
      </c>
      <c r="G20780" s="5">
        <v>120.9</v>
      </c>
      <c r="H20780" s="5">
        <v>120.7</v>
      </c>
      <c r="I20780" s="5"/>
      <c r="J20780" s="5"/>
      <c r="K20780" s="5"/>
    </row>
    <row r="20781" spans="1:11" x14ac:dyDescent="0.25">
      <c r="A20781" s="5">
        <f>20774</f>
      </c>
      <c r="B20781" s="5" t="s">
        <v>20789</v>
      </c>
      <c r="C20781" s="5">
        <v>121.7</v>
      </c>
      <c r="D20781" s="5">
        <v>0.1</v>
      </c>
      <c r="E20781" s="5">
        <v>121.8</v>
      </c>
      <c r="F20781" s="5">
        <v>243</v>
      </c>
      <c r="G20781" s="5">
        <v>121.3</v>
      </c>
      <c r="H20781" s="5">
        <v>121.1</v>
      </c>
      <c r="I20781" s="5"/>
      <c r="J20781" s="5"/>
      <c r="K20781" s="5"/>
    </row>
    <row r="20782" spans="1:11" x14ac:dyDescent="0.25">
      <c r="A20782" s="5">
        <f>20775</f>
      </c>
      <c r="B20782" s="5" t="s">
        <v>20790</v>
      </c>
      <c r="C20782" s="5">
        <v>121.7</v>
      </c>
      <c r="D20782" s="5">
        <v>0.1</v>
      </c>
      <c r="E20782" s="5">
        <v>121.8</v>
      </c>
      <c r="F20782" s="5">
        <v>243</v>
      </c>
      <c r="G20782" s="5">
        <v>121.3</v>
      </c>
      <c r="H20782" s="5">
        <v>121.1</v>
      </c>
      <c r="I20782" s="5"/>
      <c r="J20782" s="5"/>
      <c r="K20782" s="5"/>
    </row>
    <row r="20783" spans="1:11" x14ac:dyDescent="0.25">
      <c r="A20783" s="5">
        <f>20776</f>
      </c>
      <c r="B20783" s="5" t="s">
        <v>20791</v>
      </c>
      <c r="C20783" s="5">
        <v>121.2</v>
      </c>
      <c r="D20783" s="5">
        <v>0.1</v>
      </c>
      <c r="E20783" s="5">
        <v>121.4</v>
      </c>
      <c r="F20783" s="5">
        <v>242.6</v>
      </c>
      <c r="G20783" s="5">
        <v>121.1</v>
      </c>
      <c r="H20783" s="5">
        <v>120.9</v>
      </c>
      <c r="I20783" s="5"/>
      <c r="J20783" s="5"/>
      <c r="K20783" s="5"/>
    </row>
    <row r="20784" spans="1:11" x14ac:dyDescent="0.25">
      <c r="A20784" s="5">
        <f>20777</f>
      </c>
      <c r="B20784" s="5" t="s">
        <v>20792</v>
      </c>
      <c r="C20784" s="5">
        <v>121.2</v>
      </c>
      <c r="D20784" s="5">
        <v>0.1</v>
      </c>
      <c r="E20784" s="5">
        <v>121.4</v>
      </c>
      <c r="F20784" s="5">
        <v>242.6</v>
      </c>
      <c r="G20784" s="5">
        <v>121.1</v>
      </c>
      <c r="H20784" s="5">
        <v>120.9</v>
      </c>
      <c r="I20784" s="5"/>
      <c r="J20784" s="5"/>
      <c r="K20784" s="5"/>
    </row>
    <row r="20785" spans="1:11" x14ac:dyDescent="0.25">
      <c r="A20785" s="5">
        <f>20778</f>
      </c>
      <c r="B20785" s="5" t="s">
        <v>20793</v>
      </c>
      <c r="C20785" s="5">
        <v>121.2</v>
      </c>
      <c r="D20785" s="5">
        <v>0.1</v>
      </c>
      <c r="E20785" s="5">
        <v>121.4</v>
      </c>
      <c r="F20785" s="5">
        <v>242.6</v>
      </c>
      <c r="G20785" s="5">
        <v>121.1</v>
      </c>
      <c r="H20785" s="5">
        <v>120.9</v>
      </c>
      <c r="I20785" s="5"/>
      <c r="J20785" s="5"/>
      <c r="K20785" s="5"/>
    </row>
    <row r="20786" spans="1:11" x14ac:dyDescent="0.25">
      <c r="A20786" s="5">
        <f>20779</f>
      </c>
      <c r="B20786" s="5" t="s">
        <v>20794</v>
      </c>
      <c r="C20786" s="5">
        <v>121.2</v>
      </c>
      <c r="D20786" s="5">
        <v>0.1</v>
      </c>
      <c r="E20786" s="5">
        <v>121.4</v>
      </c>
      <c r="F20786" s="5">
        <v>242.7</v>
      </c>
      <c r="G20786" s="5">
        <v>121.1</v>
      </c>
      <c r="H20786" s="5">
        <v>120.9</v>
      </c>
      <c r="I20786" s="5"/>
      <c r="J20786" s="5"/>
      <c r="K20786" s="5"/>
    </row>
    <row r="20787" spans="1:11" x14ac:dyDescent="0.25">
      <c r="A20787" s="5">
        <f>20780</f>
      </c>
      <c r="B20787" s="5" t="s">
        <v>20795</v>
      </c>
      <c r="C20787" s="5">
        <v>121.2</v>
      </c>
      <c r="D20787" s="5">
        <v>0.1</v>
      </c>
      <c r="E20787" s="5">
        <v>121.4</v>
      </c>
      <c r="F20787" s="5">
        <v>242.7</v>
      </c>
      <c r="G20787" s="5">
        <v>121.1</v>
      </c>
      <c r="H20787" s="5">
        <v>120.9</v>
      </c>
      <c r="I20787" s="5"/>
      <c r="J20787" s="5"/>
      <c r="K20787" s="5"/>
    </row>
    <row r="20788" spans="1:11" x14ac:dyDescent="0.25">
      <c r="A20788" s="5">
        <f>20781</f>
      </c>
      <c r="B20788" s="5" t="s">
        <v>20796</v>
      </c>
      <c r="C20788" s="5">
        <v>121.4</v>
      </c>
      <c r="D20788" s="5">
        <v>0.1</v>
      </c>
      <c r="E20788" s="5">
        <v>121.6</v>
      </c>
      <c r="F20788" s="5">
        <v>243</v>
      </c>
      <c r="G20788" s="5">
        <v>121.3</v>
      </c>
      <c r="H20788" s="5">
        <v>121.1</v>
      </c>
      <c r="I20788" s="5"/>
      <c r="J20788" s="5"/>
      <c r="K20788" s="5"/>
    </row>
    <row r="20789" spans="1:11" x14ac:dyDescent="0.25">
      <c r="A20789" s="5">
        <f>20782</f>
      </c>
      <c r="B20789" s="5" t="s">
        <v>20797</v>
      </c>
      <c r="C20789" s="5">
        <v>121.4</v>
      </c>
      <c r="D20789" s="5">
        <v>0.1</v>
      </c>
      <c r="E20789" s="5">
        <v>121.6</v>
      </c>
      <c r="F20789" s="5">
        <v>243</v>
      </c>
      <c r="G20789" s="5">
        <v>121.3</v>
      </c>
      <c r="H20789" s="5">
        <v>121.1</v>
      </c>
      <c r="I20789" s="5"/>
      <c r="J20789" s="5"/>
      <c r="K20789" s="5"/>
    </row>
    <row r="20790" spans="1:11" x14ac:dyDescent="0.25">
      <c r="A20790" s="5">
        <f>20783</f>
      </c>
      <c r="B20790" s="5" t="s">
        <v>20798</v>
      </c>
      <c r="C20790" s="5">
        <v>120.8</v>
      </c>
      <c r="D20790" s="5">
        <v>0.1</v>
      </c>
      <c r="E20790" s="5">
        <v>120.9</v>
      </c>
      <c r="F20790" s="5">
        <v>242.2</v>
      </c>
      <c r="G20790" s="5">
        <v>120.9</v>
      </c>
      <c r="H20790" s="5">
        <v>120.7</v>
      </c>
      <c r="I20790" s="5"/>
      <c r="J20790" s="5"/>
      <c r="K20790" s="5"/>
    </row>
    <row r="20791" spans="1:11" x14ac:dyDescent="0.25">
      <c r="A20791" s="5">
        <f>20784</f>
      </c>
      <c r="B20791" s="5" t="s">
        <v>20799</v>
      </c>
      <c r="C20791" s="5">
        <v>120.8</v>
      </c>
      <c r="D20791" s="5">
        <v>0.1</v>
      </c>
      <c r="E20791" s="5">
        <v>120.9</v>
      </c>
      <c r="F20791" s="5">
        <v>242.2</v>
      </c>
      <c r="G20791" s="5">
        <v>120.9</v>
      </c>
      <c r="H20791" s="5">
        <v>120.7</v>
      </c>
      <c r="I20791" s="5"/>
      <c r="J20791" s="5"/>
      <c r="K20791" s="5"/>
    </row>
    <row r="20792" spans="1:11" x14ac:dyDescent="0.25">
      <c r="A20792" s="5">
        <f>20785</f>
      </c>
      <c r="B20792" s="5" t="s">
        <v>20800</v>
      </c>
      <c r="C20792" s="5">
        <v>121.2</v>
      </c>
      <c r="D20792" s="5">
        <v>0.1</v>
      </c>
      <c r="E20792" s="5">
        <v>121.4</v>
      </c>
      <c r="F20792" s="5">
        <v>242.4</v>
      </c>
      <c r="G20792" s="5">
        <v>120.9</v>
      </c>
      <c r="H20792" s="5">
        <v>120.8</v>
      </c>
      <c r="I20792" s="5"/>
      <c r="J20792" s="5"/>
      <c r="K20792" s="5"/>
    </row>
    <row r="20793" spans="1:11" x14ac:dyDescent="0.25">
      <c r="A20793" s="5">
        <f>20786</f>
      </c>
      <c r="B20793" s="5" t="s">
        <v>20801</v>
      </c>
      <c r="C20793" s="5">
        <v>121.2</v>
      </c>
      <c r="D20793" s="5">
        <v>0.1</v>
      </c>
      <c r="E20793" s="5">
        <v>121.4</v>
      </c>
      <c r="F20793" s="5">
        <v>242.4</v>
      </c>
      <c r="G20793" s="5">
        <v>120.9</v>
      </c>
      <c r="H20793" s="5">
        <v>120.8</v>
      </c>
      <c r="I20793" s="5"/>
      <c r="J20793" s="5"/>
      <c r="K20793" s="5"/>
    </row>
    <row r="20794" spans="1:11" x14ac:dyDescent="0.25">
      <c r="A20794" s="5">
        <f>20787</f>
      </c>
      <c r="B20794" s="5" t="s">
        <v>20802</v>
      </c>
      <c r="C20794" s="5">
        <v>121.2</v>
      </c>
      <c r="D20794" s="5">
        <v>0.1</v>
      </c>
      <c r="E20794" s="5">
        <v>121.4</v>
      </c>
      <c r="F20794" s="5">
        <v>242.4</v>
      </c>
      <c r="G20794" s="5">
        <v>120.9</v>
      </c>
      <c r="H20794" s="5">
        <v>120.8</v>
      </c>
      <c r="I20794" s="5"/>
      <c r="J20794" s="5"/>
      <c r="K20794" s="5"/>
    </row>
    <row r="20795" spans="1:11" x14ac:dyDescent="0.25">
      <c r="A20795" s="5">
        <f>20788</f>
      </c>
      <c r="B20795" s="5" t="s">
        <v>20803</v>
      </c>
      <c r="C20795" s="5">
        <v>121.2</v>
      </c>
      <c r="D20795" s="5">
        <v>0.1</v>
      </c>
      <c r="E20795" s="5">
        <v>121.4</v>
      </c>
      <c r="F20795" s="5">
        <v>242.4</v>
      </c>
      <c r="G20795" s="5">
        <v>120.9</v>
      </c>
      <c r="H20795" s="5">
        <v>120.8</v>
      </c>
      <c r="I20795" s="5"/>
      <c r="J20795" s="5"/>
      <c r="K20795" s="5"/>
    </row>
    <row r="20796" spans="1:11" x14ac:dyDescent="0.25">
      <c r="A20796" s="5">
        <f>20789</f>
      </c>
      <c r="B20796" s="5" t="s">
        <v>20804</v>
      </c>
      <c r="C20796" s="5">
        <v>120.9</v>
      </c>
      <c r="D20796" s="5">
        <v>0.1</v>
      </c>
      <c r="E20796" s="5">
        <v>121.1</v>
      </c>
      <c r="F20796" s="5">
        <v>242</v>
      </c>
      <c r="G20796" s="5">
        <v>120.8</v>
      </c>
      <c r="H20796" s="5">
        <v>120.6</v>
      </c>
      <c r="I20796" s="5"/>
      <c r="J20796" s="5"/>
      <c r="K20796" s="5"/>
    </row>
    <row r="20797" spans="1:11" x14ac:dyDescent="0.25">
      <c r="A20797" s="5">
        <f>20790</f>
      </c>
      <c r="B20797" s="5" t="s">
        <v>20805</v>
      </c>
      <c r="C20797" s="5">
        <v>120.9</v>
      </c>
      <c r="D20797" s="5">
        <v>0.1</v>
      </c>
      <c r="E20797" s="5">
        <v>121.1</v>
      </c>
      <c r="F20797" s="5">
        <v>242</v>
      </c>
      <c r="G20797" s="5">
        <v>120.8</v>
      </c>
      <c r="H20797" s="5">
        <v>120.6</v>
      </c>
      <c r="I20797" s="5"/>
      <c r="J20797" s="5"/>
      <c r="K20797" s="5"/>
    </row>
    <row r="20798" spans="1:11" x14ac:dyDescent="0.25">
      <c r="A20798" s="5">
        <f>20791</f>
      </c>
      <c r="B20798" s="5" t="s">
        <v>20806</v>
      </c>
      <c r="C20798" s="5">
        <v>121.2</v>
      </c>
      <c r="D20798" s="5">
        <v>0.1</v>
      </c>
      <c r="E20798" s="5">
        <v>121.3</v>
      </c>
      <c r="F20798" s="5">
        <v>242.1</v>
      </c>
      <c r="G20798" s="5">
        <v>120.8</v>
      </c>
      <c r="H20798" s="5">
        <v>120.7</v>
      </c>
      <c r="I20798" s="5"/>
      <c r="J20798" s="5"/>
      <c r="K20798" s="5"/>
    </row>
    <row r="20799" spans="1:11" x14ac:dyDescent="0.25">
      <c r="A20799" s="5">
        <f>20792</f>
      </c>
      <c r="B20799" s="5" t="s">
        <v>20807</v>
      </c>
      <c r="C20799" s="5">
        <v>121.2</v>
      </c>
      <c r="D20799" s="5">
        <v>0.1</v>
      </c>
      <c r="E20799" s="5">
        <v>121.3</v>
      </c>
      <c r="F20799" s="5">
        <v>242.1</v>
      </c>
      <c r="G20799" s="5">
        <v>120.8</v>
      </c>
      <c r="H20799" s="5">
        <v>120.7</v>
      </c>
      <c r="I20799" s="5"/>
      <c r="J20799" s="5"/>
      <c r="K20799" s="5"/>
    </row>
    <row r="20800" spans="1:11" x14ac:dyDescent="0.25">
      <c r="A20800" s="5">
        <f>20793</f>
      </c>
      <c r="B20800" s="5" t="s">
        <v>20808</v>
      </c>
      <c r="C20800" s="5">
        <v>121.2</v>
      </c>
      <c r="D20800" s="5">
        <v>0.1</v>
      </c>
      <c r="E20800" s="5">
        <v>121.3</v>
      </c>
      <c r="F20800" s="5">
        <v>242.2</v>
      </c>
      <c r="G20800" s="5">
        <v>120.9</v>
      </c>
      <c r="H20800" s="5">
        <v>120.7</v>
      </c>
      <c r="I20800" s="5"/>
      <c r="J20800" s="5"/>
      <c r="K20800" s="5"/>
    </row>
    <row r="20801" spans="1:11" x14ac:dyDescent="0.25">
      <c r="A20801" s="5">
        <f>20794</f>
      </c>
      <c r="B20801" s="5" t="s">
        <v>20809</v>
      </c>
      <c r="C20801" s="5">
        <v>121.2</v>
      </c>
      <c r="D20801" s="5">
        <v>0.1</v>
      </c>
      <c r="E20801" s="5">
        <v>121.3</v>
      </c>
      <c r="F20801" s="5">
        <v>242.2</v>
      </c>
      <c r="G20801" s="5">
        <v>120.9</v>
      </c>
      <c r="H20801" s="5">
        <v>120.7</v>
      </c>
      <c r="I20801" s="5"/>
      <c r="J20801" s="5"/>
      <c r="K20801" s="5"/>
    </row>
    <row r="20802" spans="1:11" x14ac:dyDescent="0.25">
      <c r="A20802" s="5">
        <f>20795</f>
      </c>
      <c r="B20802" s="5" t="s">
        <v>20810</v>
      </c>
      <c r="C20802" s="5">
        <v>121.4</v>
      </c>
      <c r="D20802" s="5">
        <v>0.1</v>
      </c>
      <c r="E20802" s="5">
        <v>121.5</v>
      </c>
      <c r="F20802" s="5">
        <v>242.7</v>
      </c>
      <c r="G20802" s="5">
        <v>121.1</v>
      </c>
      <c r="H20802" s="5">
        <v>120.9</v>
      </c>
      <c r="I20802" s="5"/>
      <c r="J20802" s="5"/>
      <c r="K20802" s="5"/>
    </row>
    <row r="20803" spans="1:11" x14ac:dyDescent="0.25">
      <c r="A20803" s="5">
        <f>20796</f>
      </c>
      <c r="B20803" s="5" t="s">
        <v>20811</v>
      </c>
      <c r="C20803" s="5">
        <v>121.4</v>
      </c>
      <c r="D20803" s="5">
        <v>0.1</v>
      </c>
      <c r="E20803" s="5">
        <v>121.5</v>
      </c>
      <c r="F20803" s="5">
        <v>242.7</v>
      </c>
      <c r="G20803" s="5">
        <v>121.1</v>
      </c>
      <c r="H20803" s="5">
        <v>120.9</v>
      </c>
      <c r="I20803" s="5"/>
      <c r="J20803" s="5"/>
      <c r="K20803" s="5"/>
    </row>
    <row r="20804" spans="1:11" x14ac:dyDescent="0.25">
      <c r="A20804" s="5">
        <f>20797</f>
      </c>
      <c r="B20804" s="5" t="s">
        <v>20812</v>
      </c>
      <c r="C20804" s="5">
        <v>121.4</v>
      </c>
      <c r="D20804" s="5">
        <v>0.1</v>
      </c>
      <c r="E20804" s="5">
        <v>121.5</v>
      </c>
      <c r="F20804" s="5">
        <v>242.7</v>
      </c>
      <c r="G20804" s="5">
        <v>121.1</v>
      </c>
      <c r="H20804" s="5">
        <v>120.9</v>
      </c>
      <c r="I20804" s="5"/>
      <c r="J20804" s="5"/>
      <c r="K20804" s="5"/>
    </row>
    <row r="20805" spans="1:11" x14ac:dyDescent="0.25">
      <c r="A20805" s="5">
        <f>20798</f>
      </c>
      <c r="B20805" s="5" t="s">
        <v>20813</v>
      </c>
      <c r="C20805" s="5">
        <v>121.4</v>
      </c>
      <c r="D20805" s="5">
        <v>0.1</v>
      </c>
      <c r="E20805" s="5">
        <v>121.5</v>
      </c>
      <c r="F20805" s="5">
        <v>242.7</v>
      </c>
      <c r="G20805" s="5">
        <v>121.1</v>
      </c>
      <c r="H20805" s="5">
        <v>120.9</v>
      </c>
      <c r="I20805" s="5"/>
      <c r="J20805" s="5"/>
      <c r="K20805" s="5"/>
    </row>
    <row r="20806" spans="1:11" x14ac:dyDescent="0.25">
      <c r="A20806" s="5">
        <f>20799</f>
      </c>
      <c r="B20806" s="5" t="s">
        <v>20814</v>
      </c>
      <c r="C20806" s="5">
        <v>121.4</v>
      </c>
      <c r="D20806" s="5">
        <v>0.1</v>
      </c>
      <c r="E20806" s="5">
        <v>121.6</v>
      </c>
      <c r="F20806" s="5">
        <v>242.7</v>
      </c>
      <c r="G20806" s="5">
        <v>121.1</v>
      </c>
      <c r="H20806" s="5">
        <v>120.9</v>
      </c>
      <c r="I20806" s="5"/>
      <c r="J20806" s="5"/>
      <c r="K20806" s="5"/>
    </row>
    <row r="20807" spans="1:11" x14ac:dyDescent="0.25">
      <c r="A20807" s="5">
        <f>20800</f>
      </c>
      <c r="B20807" s="5" t="s">
        <v>20815</v>
      </c>
      <c r="C20807" s="5">
        <v>121.4</v>
      </c>
      <c r="D20807" s="5">
        <v>0.1</v>
      </c>
      <c r="E20807" s="5">
        <v>121.6</v>
      </c>
      <c r="F20807" s="5">
        <v>242.9</v>
      </c>
      <c r="G20807" s="5">
        <v>121.2</v>
      </c>
      <c r="H20807" s="5">
        <v>121</v>
      </c>
      <c r="I20807" s="5"/>
      <c r="J20807" s="5"/>
      <c r="K20807" s="5"/>
    </row>
    <row r="20808" spans="1:11" x14ac:dyDescent="0.25">
      <c r="A20808" s="5">
        <f>20801</f>
      </c>
      <c r="B20808" s="5" t="s">
        <v>20816</v>
      </c>
      <c r="C20808" s="5">
        <v>121.2</v>
      </c>
      <c r="D20808" s="5">
        <v>0.1</v>
      </c>
      <c r="E20808" s="5">
        <v>121.6</v>
      </c>
      <c r="F20808" s="5">
        <v>242.9</v>
      </c>
      <c r="G20808" s="5">
        <v>121.2</v>
      </c>
      <c r="H20808" s="5">
        <v>121</v>
      </c>
      <c r="I20808" s="5"/>
      <c r="J20808" s="5"/>
      <c r="K20808" s="5"/>
    </row>
    <row r="20809" spans="1:11" x14ac:dyDescent="0.25">
      <c r="A20809" s="5">
        <f>20802</f>
      </c>
      <c r="B20809" s="5" t="s">
        <v>20817</v>
      </c>
      <c r="C20809" s="5">
        <v>121.2</v>
      </c>
      <c r="D20809" s="5">
        <v>0.1</v>
      </c>
      <c r="E20809" s="5">
        <v>121.5</v>
      </c>
      <c r="F20809" s="5">
        <v>242.6</v>
      </c>
      <c r="G20809" s="5">
        <v>121</v>
      </c>
      <c r="H20809" s="5">
        <v>120.9</v>
      </c>
      <c r="I20809" s="5"/>
      <c r="J20809" s="5"/>
      <c r="K20809" s="5"/>
    </row>
    <row r="20810" spans="1:11" x14ac:dyDescent="0.25">
      <c r="A20810" s="5">
        <f>20803</f>
      </c>
      <c r="B20810" s="5" t="s">
        <v>20818</v>
      </c>
      <c r="C20810" s="5">
        <v>121.2</v>
      </c>
      <c r="D20810" s="5">
        <v>0.1</v>
      </c>
      <c r="E20810" s="5">
        <v>121.5</v>
      </c>
      <c r="F20810" s="5">
        <v>242.6</v>
      </c>
      <c r="G20810" s="5">
        <v>121</v>
      </c>
      <c r="H20810" s="5">
        <v>120.9</v>
      </c>
      <c r="I20810" s="5"/>
      <c r="J20810" s="5"/>
      <c r="K20810" s="5"/>
    </row>
    <row r="20811" spans="1:11" x14ac:dyDescent="0.25">
      <c r="A20811" s="5">
        <f>20804</f>
      </c>
      <c r="B20811" s="5" t="s">
        <v>20819</v>
      </c>
      <c r="C20811" s="5">
        <v>121.5</v>
      </c>
      <c r="D20811" s="5">
        <v>0.1</v>
      </c>
      <c r="E20811" s="5">
        <v>121.6</v>
      </c>
      <c r="F20811" s="5">
        <v>242.8</v>
      </c>
      <c r="G20811" s="5">
        <v>121.2</v>
      </c>
      <c r="H20811" s="5">
        <v>121</v>
      </c>
      <c r="I20811" s="5"/>
      <c r="J20811" s="5"/>
      <c r="K20811" s="5"/>
    </row>
    <row r="20812" spans="1:11" x14ac:dyDescent="0.25">
      <c r="A20812" s="5">
        <f>20805</f>
      </c>
      <c r="B20812" s="5" t="s">
        <v>20820</v>
      </c>
      <c r="C20812" s="5">
        <v>121.5</v>
      </c>
      <c r="D20812" s="5">
        <v>0.1</v>
      </c>
      <c r="E20812" s="5">
        <v>121.6</v>
      </c>
      <c r="F20812" s="5">
        <v>242.8</v>
      </c>
      <c r="G20812" s="5">
        <v>121.2</v>
      </c>
      <c r="H20812" s="5">
        <v>121</v>
      </c>
      <c r="I20812" s="5"/>
      <c r="J20812" s="5"/>
      <c r="K20812" s="5"/>
    </row>
    <row r="20813" spans="1:11" x14ac:dyDescent="0.25">
      <c r="A20813" s="5">
        <f>20806</f>
      </c>
      <c r="B20813" s="5" t="s">
        <v>20821</v>
      </c>
      <c r="C20813" s="5">
        <v>121.5</v>
      </c>
      <c r="D20813" s="5">
        <v>0.1</v>
      </c>
      <c r="E20813" s="5">
        <v>121.6</v>
      </c>
      <c r="F20813" s="5">
        <v>242.7</v>
      </c>
      <c r="G20813" s="5">
        <v>121.1</v>
      </c>
      <c r="H20813" s="5">
        <v>120.9</v>
      </c>
      <c r="I20813" s="5"/>
      <c r="J20813" s="5"/>
      <c r="K20813" s="5"/>
    </row>
    <row r="20814" spans="1:11" x14ac:dyDescent="0.25">
      <c r="A20814" s="5">
        <f>20807</f>
      </c>
      <c r="B20814" s="5" t="s">
        <v>20822</v>
      </c>
      <c r="C20814" s="5">
        <v>121.5</v>
      </c>
      <c r="D20814" s="5">
        <v>0.1</v>
      </c>
      <c r="E20814" s="5">
        <v>121.6</v>
      </c>
      <c r="F20814" s="5">
        <v>242.7</v>
      </c>
      <c r="G20814" s="5">
        <v>121.1</v>
      </c>
      <c r="H20814" s="5">
        <v>120.9</v>
      </c>
      <c r="I20814" s="5"/>
      <c r="J20814" s="5"/>
      <c r="K20814" s="5"/>
    </row>
    <row r="20815" spans="1:11" x14ac:dyDescent="0.25">
      <c r="A20815" s="5">
        <f>20808</f>
      </c>
      <c r="B20815" s="5" t="s">
        <v>20823</v>
      </c>
      <c r="C20815" s="5">
        <v>121.5</v>
      </c>
      <c r="D20815" s="5">
        <v>0.1</v>
      </c>
      <c r="E20815" s="5">
        <v>121.6</v>
      </c>
      <c r="F20815" s="5">
        <v>242.7</v>
      </c>
      <c r="G20815" s="5">
        <v>121.1</v>
      </c>
      <c r="H20815" s="5">
        <v>120.9</v>
      </c>
      <c r="I20815" s="5"/>
      <c r="J20815" s="5"/>
      <c r="K20815" s="5"/>
    </row>
    <row r="20816" spans="1:11" x14ac:dyDescent="0.25">
      <c r="A20816" s="5">
        <f>20809</f>
      </c>
      <c r="B20816" s="5" t="s">
        <v>20824</v>
      </c>
      <c r="C20816" s="5">
        <v>121.5</v>
      </c>
      <c r="D20816" s="5">
        <v>0.1</v>
      </c>
      <c r="E20816" s="5">
        <v>121.7</v>
      </c>
      <c r="F20816" s="5">
        <v>242.2</v>
      </c>
      <c r="G20816" s="5">
        <v>120.8</v>
      </c>
      <c r="H20816" s="5">
        <v>120.6</v>
      </c>
      <c r="I20816" s="5"/>
      <c r="J20816" s="5"/>
      <c r="K20816" s="5"/>
    </row>
    <row r="20817" spans="1:11" x14ac:dyDescent="0.25">
      <c r="A20817" s="5">
        <f>20810</f>
      </c>
      <c r="B20817" s="5" t="s">
        <v>20825</v>
      </c>
      <c r="C20817" s="5">
        <v>121.5</v>
      </c>
      <c r="D20817" s="5">
        <v>0.1</v>
      </c>
      <c r="E20817" s="5">
        <v>121.7</v>
      </c>
      <c r="F20817" s="5">
        <v>242.2</v>
      </c>
      <c r="G20817" s="5">
        <v>120.8</v>
      </c>
      <c r="H20817" s="5">
        <v>120.6</v>
      </c>
      <c r="I20817" s="5"/>
      <c r="J20817" s="5"/>
      <c r="K20817" s="5"/>
    </row>
    <row r="20818" spans="1:11" x14ac:dyDescent="0.25">
      <c r="A20818" s="5">
        <f>20811</f>
      </c>
      <c r="B20818" s="5" t="s">
        <v>20826</v>
      </c>
      <c r="C20818" s="5">
        <v>120.9</v>
      </c>
      <c r="D20818" s="5">
        <v>0.1</v>
      </c>
      <c r="E20818" s="5">
        <v>121.1</v>
      </c>
      <c r="F20818" s="5">
        <v>242.1</v>
      </c>
      <c r="G20818" s="5">
        <v>120.8</v>
      </c>
      <c r="H20818" s="5">
        <v>120.7</v>
      </c>
      <c r="I20818" s="5"/>
      <c r="J20818" s="5"/>
      <c r="K20818" s="5"/>
    </row>
    <row r="20819" spans="1:11" x14ac:dyDescent="0.25">
      <c r="A20819" s="5">
        <f>20812</f>
      </c>
      <c r="B20819" s="5" t="s">
        <v>20827</v>
      </c>
      <c r="C20819" s="5">
        <v>120.9</v>
      </c>
      <c r="D20819" s="5">
        <v>0.1</v>
      </c>
      <c r="E20819" s="5">
        <v>121.1</v>
      </c>
      <c r="F20819" s="5">
        <v>242.1</v>
      </c>
      <c r="G20819" s="5">
        <v>120.8</v>
      </c>
      <c r="H20819" s="5">
        <v>120.7</v>
      </c>
      <c r="I20819" s="5"/>
      <c r="J20819" s="5"/>
      <c r="K20819" s="5"/>
    </row>
    <row r="20820" spans="1:11" x14ac:dyDescent="0.25">
      <c r="A20820" s="5">
        <f>20813</f>
      </c>
      <c r="B20820" s="5" t="s">
        <v>20828</v>
      </c>
      <c r="C20820" s="5">
        <v>121.4</v>
      </c>
      <c r="D20820" s="5">
        <v>0.1</v>
      </c>
      <c r="E20820" s="5">
        <v>121.6</v>
      </c>
      <c r="F20820" s="5">
        <v>242.3</v>
      </c>
      <c r="G20820" s="5">
        <v>120.9</v>
      </c>
      <c r="H20820" s="5">
        <v>120.7</v>
      </c>
      <c r="I20820" s="5"/>
      <c r="J20820" s="5"/>
      <c r="K20820" s="5"/>
    </row>
    <row r="20821" spans="1:11" x14ac:dyDescent="0.25">
      <c r="A20821" s="5">
        <f>20814</f>
      </c>
      <c r="B20821" s="5" t="s">
        <v>20829</v>
      </c>
      <c r="C20821" s="5">
        <v>121.4</v>
      </c>
      <c r="D20821" s="5">
        <v>0.1</v>
      </c>
      <c r="E20821" s="5">
        <v>121.6</v>
      </c>
      <c r="F20821" s="5">
        <v>242.3</v>
      </c>
      <c r="G20821" s="5">
        <v>120.9</v>
      </c>
      <c r="H20821" s="5">
        <v>120.7</v>
      </c>
      <c r="I20821" s="5"/>
      <c r="J20821" s="5"/>
      <c r="K20821" s="5"/>
    </row>
    <row r="20822" spans="1:11" x14ac:dyDescent="0.25">
      <c r="A20822" s="5">
        <f>20815</f>
      </c>
      <c r="B20822" s="5" t="s">
        <v>20830</v>
      </c>
      <c r="C20822" s="5">
        <v>121.2</v>
      </c>
      <c r="D20822" s="5">
        <v>0.1</v>
      </c>
      <c r="E20822" s="5">
        <v>121.3</v>
      </c>
      <c r="F20822" s="5">
        <v>242.5</v>
      </c>
      <c r="G20822" s="5">
        <v>121</v>
      </c>
      <c r="H20822" s="5">
        <v>120.9</v>
      </c>
      <c r="I20822" s="5"/>
      <c r="J20822" s="5"/>
      <c r="K20822" s="5"/>
    </row>
    <row r="20823" spans="1:11" x14ac:dyDescent="0.25">
      <c r="A20823" s="5">
        <f>20816</f>
      </c>
      <c r="B20823" s="5" t="s">
        <v>20831</v>
      </c>
      <c r="C20823" s="5">
        <v>121.2</v>
      </c>
      <c r="D20823" s="5">
        <v>0.1</v>
      </c>
      <c r="E20823" s="5">
        <v>121.3</v>
      </c>
      <c r="F20823" s="5">
        <v>242.5</v>
      </c>
      <c r="G20823" s="5">
        <v>121</v>
      </c>
      <c r="H20823" s="5">
        <v>120.9</v>
      </c>
      <c r="I20823" s="5"/>
      <c r="J20823" s="5"/>
      <c r="K20823" s="5"/>
    </row>
    <row r="20824" spans="1:11" x14ac:dyDescent="0.25">
      <c r="A20824" s="5">
        <f>20817</f>
      </c>
      <c r="B20824" s="5" t="s">
        <v>20832</v>
      </c>
      <c r="C20824" s="5">
        <v>121.2</v>
      </c>
      <c r="D20824" s="5">
        <v>0.1</v>
      </c>
      <c r="E20824" s="5">
        <v>121.3</v>
      </c>
      <c r="F20824" s="5">
        <v>242.5</v>
      </c>
      <c r="G20824" s="5">
        <v>121</v>
      </c>
      <c r="H20824" s="5">
        <v>120.9</v>
      </c>
      <c r="I20824" s="5"/>
      <c r="J20824" s="5"/>
      <c r="K20824" s="5"/>
    </row>
    <row r="20825" spans="1:11" x14ac:dyDescent="0.25">
      <c r="A20825" s="5">
        <f>20818</f>
      </c>
      <c r="B20825" s="5" t="s">
        <v>20833</v>
      </c>
      <c r="C20825" s="5">
        <v>121.2</v>
      </c>
      <c r="D20825" s="5">
        <v>0.1</v>
      </c>
      <c r="E20825" s="5">
        <v>121.3</v>
      </c>
      <c r="F20825" s="5">
        <v>242.5</v>
      </c>
      <c r="G20825" s="5">
        <v>121</v>
      </c>
      <c r="H20825" s="5">
        <v>120.9</v>
      </c>
      <c r="I20825" s="5"/>
      <c r="J20825" s="5"/>
      <c r="K20825" s="5"/>
    </row>
    <row r="20826" spans="1:11" x14ac:dyDescent="0.25">
      <c r="A20826" s="5">
        <f>20819</f>
      </c>
      <c r="B20826" s="5" t="s">
        <v>20834</v>
      </c>
      <c r="C20826" s="5">
        <v>121.5</v>
      </c>
      <c r="D20826" s="5">
        <v>0.1</v>
      </c>
      <c r="E20826" s="5">
        <v>121.6</v>
      </c>
      <c r="F20826" s="5">
        <v>242.5</v>
      </c>
      <c r="G20826" s="5">
        <v>121</v>
      </c>
      <c r="H20826" s="5">
        <v>120.8</v>
      </c>
      <c r="I20826" s="5"/>
      <c r="J20826" s="5"/>
      <c r="K20826" s="5"/>
    </row>
    <row r="20827" spans="1:11" x14ac:dyDescent="0.25">
      <c r="A20827" s="5">
        <f>20820</f>
      </c>
      <c r="B20827" s="5" t="s">
        <v>20835</v>
      </c>
      <c r="C20827" s="5">
        <v>121.5</v>
      </c>
      <c r="D20827" s="5">
        <v>0.1</v>
      </c>
      <c r="E20827" s="5">
        <v>121.6</v>
      </c>
      <c r="F20827" s="5">
        <v>242.5</v>
      </c>
      <c r="G20827" s="5">
        <v>121</v>
      </c>
      <c r="H20827" s="5">
        <v>120.8</v>
      </c>
      <c r="I20827" s="5"/>
      <c r="J20827" s="5"/>
      <c r="K20827" s="5"/>
    </row>
    <row r="20828" spans="1:11" x14ac:dyDescent="0.25">
      <c r="A20828" s="5">
        <f>20821</f>
      </c>
      <c r="B20828" s="5" t="s">
        <v>20836</v>
      </c>
      <c r="C20828" s="5">
        <v>121.2</v>
      </c>
      <c r="D20828" s="5">
        <v>0.1</v>
      </c>
      <c r="E20828" s="5">
        <v>121.4</v>
      </c>
      <c r="F20828" s="5">
        <v>242.4</v>
      </c>
      <c r="G20828" s="5">
        <v>120.9</v>
      </c>
      <c r="H20828" s="5">
        <v>120.8</v>
      </c>
      <c r="I20828" s="5"/>
      <c r="J20828" s="5"/>
      <c r="K20828" s="5"/>
    </row>
    <row r="20829" spans="1:11" x14ac:dyDescent="0.25">
      <c r="A20829" s="5">
        <f>20822</f>
      </c>
      <c r="B20829" s="5" t="s">
        <v>20837</v>
      </c>
      <c r="C20829" s="5">
        <v>121.2</v>
      </c>
      <c r="D20829" s="5">
        <v>0.1</v>
      </c>
      <c r="E20829" s="5">
        <v>121.4</v>
      </c>
      <c r="F20829" s="5">
        <v>242.4</v>
      </c>
      <c r="G20829" s="5">
        <v>120.9</v>
      </c>
      <c r="H20829" s="5">
        <v>120.8</v>
      </c>
      <c r="I20829" s="5"/>
      <c r="J20829" s="5"/>
      <c r="K20829" s="5"/>
    </row>
    <row r="20830" spans="1:11" x14ac:dyDescent="0.25">
      <c r="A20830" s="5">
        <f>20823</f>
      </c>
      <c r="B20830" s="5" t="s">
        <v>20838</v>
      </c>
      <c r="C20830" s="5">
        <v>121.3</v>
      </c>
      <c r="D20830" s="5">
        <v>0.1</v>
      </c>
      <c r="E20830" s="5">
        <v>121.5</v>
      </c>
      <c r="F20830" s="5">
        <v>242.6</v>
      </c>
      <c r="G20830" s="5">
        <v>121.1</v>
      </c>
      <c r="H20830" s="5">
        <v>120.9</v>
      </c>
      <c r="I20830" s="5"/>
      <c r="J20830" s="5"/>
      <c r="K20830" s="5"/>
    </row>
    <row r="20831" spans="1:11" x14ac:dyDescent="0.25">
      <c r="A20831" s="5">
        <f>20824</f>
      </c>
      <c r="B20831" s="5" t="s">
        <v>20839</v>
      </c>
      <c r="C20831" s="5">
        <v>121.3</v>
      </c>
      <c r="D20831" s="5">
        <v>0.1</v>
      </c>
      <c r="E20831" s="5">
        <v>121.5</v>
      </c>
      <c r="F20831" s="5">
        <v>242.6</v>
      </c>
      <c r="G20831" s="5">
        <v>121.1</v>
      </c>
      <c r="H20831" s="5">
        <v>120.9</v>
      </c>
      <c r="I20831" s="5"/>
      <c r="J20831" s="5"/>
      <c r="K20831" s="5"/>
    </row>
    <row r="20832" spans="1:11" x14ac:dyDescent="0.25">
      <c r="A20832" s="5">
        <f>20825</f>
      </c>
      <c r="B20832" s="5" t="s">
        <v>20840</v>
      </c>
      <c r="C20832" s="5">
        <v>121.5</v>
      </c>
      <c r="D20832" s="5">
        <v>0.1</v>
      </c>
      <c r="E20832" s="5">
        <v>121.6</v>
      </c>
      <c r="F20832" s="5">
        <v>243</v>
      </c>
      <c r="G20832" s="5">
        <v>121.3</v>
      </c>
      <c r="H20832" s="5">
        <v>121.1</v>
      </c>
      <c r="I20832" s="5"/>
      <c r="J20832" s="5"/>
      <c r="K20832" s="5"/>
    </row>
    <row r="20833" spans="1:11" x14ac:dyDescent="0.25">
      <c r="A20833" s="5">
        <f>20826</f>
      </c>
      <c r="B20833" s="5" t="s">
        <v>20841</v>
      </c>
      <c r="C20833" s="5">
        <v>121.5</v>
      </c>
      <c r="D20833" s="5">
        <v>0.1</v>
      </c>
      <c r="E20833" s="5">
        <v>121.6</v>
      </c>
      <c r="F20833" s="5">
        <v>243</v>
      </c>
      <c r="G20833" s="5">
        <v>121.3</v>
      </c>
      <c r="H20833" s="5">
        <v>121.1</v>
      </c>
      <c r="I20833" s="5"/>
      <c r="J20833" s="5"/>
      <c r="K20833" s="5"/>
    </row>
    <row r="20834" spans="1:11" x14ac:dyDescent="0.25">
      <c r="A20834" s="5">
        <f>20827</f>
      </c>
      <c r="B20834" s="5" t="s">
        <v>20842</v>
      </c>
      <c r="C20834" s="5">
        <v>121.5</v>
      </c>
      <c r="D20834" s="5">
        <v>0.1</v>
      </c>
      <c r="E20834" s="5">
        <v>121.6</v>
      </c>
      <c r="F20834" s="5">
        <v>243</v>
      </c>
      <c r="G20834" s="5">
        <v>121.3</v>
      </c>
      <c r="H20834" s="5">
        <v>121.1</v>
      </c>
      <c r="I20834" s="5"/>
      <c r="J20834" s="5"/>
      <c r="K20834" s="5"/>
    </row>
    <row r="20835" spans="1:11" x14ac:dyDescent="0.25">
      <c r="A20835" s="5">
        <f>20828</f>
      </c>
      <c r="B20835" s="5" t="s">
        <v>20843</v>
      </c>
      <c r="C20835" s="5">
        <v>121.5</v>
      </c>
      <c r="D20835" s="5">
        <v>0.1</v>
      </c>
      <c r="E20835" s="5">
        <v>121.6</v>
      </c>
      <c r="F20835" s="5">
        <v>243</v>
      </c>
      <c r="G20835" s="5">
        <v>121.3</v>
      </c>
      <c r="H20835" s="5">
        <v>121.1</v>
      </c>
      <c r="I20835" s="5"/>
      <c r="J20835" s="5"/>
      <c r="K20835" s="5"/>
    </row>
    <row r="20836" spans="1:11" x14ac:dyDescent="0.25">
      <c r="A20836" s="5">
        <f>20829</f>
      </c>
      <c r="B20836" s="5" t="s">
        <v>20844</v>
      </c>
      <c r="C20836" s="5">
        <v>121.6</v>
      </c>
      <c r="D20836" s="5">
        <v>0.1</v>
      </c>
      <c r="E20836" s="5">
        <v>121.8</v>
      </c>
      <c r="F20836" s="5">
        <v>242.6</v>
      </c>
      <c r="G20836" s="5">
        <v>121.1</v>
      </c>
      <c r="H20836" s="5">
        <v>120.9</v>
      </c>
      <c r="I20836" s="5"/>
      <c r="J20836" s="5"/>
      <c r="K20836" s="5"/>
    </row>
    <row r="20837" spans="1:11" x14ac:dyDescent="0.25">
      <c r="A20837" s="5">
        <f>20830</f>
      </c>
      <c r="B20837" s="5" t="s">
        <v>20845</v>
      </c>
      <c r="C20837" s="5">
        <v>121.6</v>
      </c>
      <c r="D20837" s="5">
        <v>0.1</v>
      </c>
      <c r="E20837" s="5">
        <v>121.8</v>
      </c>
      <c r="F20837" s="5">
        <v>242.6</v>
      </c>
      <c r="G20837" s="5">
        <v>121.1</v>
      </c>
      <c r="H20837" s="5">
        <v>120.9</v>
      </c>
      <c r="I20837" s="5"/>
      <c r="J20837" s="5"/>
      <c r="K20837" s="5"/>
    </row>
    <row r="20838" spans="1:11" x14ac:dyDescent="0.25">
      <c r="A20838" s="5">
        <f>20831</f>
      </c>
      <c r="B20838" s="5" t="s">
        <v>20846</v>
      </c>
      <c r="C20838" s="5">
        <v>121.8</v>
      </c>
      <c r="D20838" s="5">
        <v>0.1</v>
      </c>
      <c r="E20838" s="5">
        <v>122</v>
      </c>
      <c r="F20838" s="5">
        <v>243.3</v>
      </c>
      <c r="G20838" s="5">
        <v>121.5</v>
      </c>
      <c r="H20838" s="5">
        <v>121.3</v>
      </c>
      <c r="I20838" s="5"/>
      <c r="J20838" s="5"/>
      <c r="K20838" s="5"/>
    </row>
    <row r="20839" spans="1:11" x14ac:dyDescent="0.25">
      <c r="A20839" s="5">
        <f>20832</f>
      </c>
      <c r="B20839" s="5" t="s">
        <v>20847</v>
      </c>
      <c r="C20839" s="5">
        <v>121.8</v>
      </c>
      <c r="D20839" s="5">
        <v>0.1</v>
      </c>
      <c r="E20839" s="5">
        <v>122</v>
      </c>
      <c r="F20839" s="5">
        <v>243.3</v>
      </c>
      <c r="G20839" s="5">
        <v>121.5</v>
      </c>
      <c r="H20839" s="5">
        <v>121.3</v>
      </c>
      <c r="I20839" s="5"/>
      <c r="J20839" s="5"/>
      <c r="K20839" s="5"/>
    </row>
    <row r="20840" spans="1:11" x14ac:dyDescent="0.25">
      <c r="A20840" s="5">
        <f>20833</f>
      </c>
      <c r="B20840" s="5" t="s">
        <v>20848</v>
      </c>
      <c r="C20840" s="5">
        <v>121.8</v>
      </c>
      <c r="D20840" s="5">
        <v>0.1</v>
      </c>
      <c r="E20840" s="5">
        <v>122</v>
      </c>
      <c r="F20840" s="5">
        <v>243.2</v>
      </c>
      <c r="G20840" s="5">
        <v>121.4</v>
      </c>
      <c r="H20840" s="5">
        <v>121.2</v>
      </c>
      <c r="I20840" s="5"/>
      <c r="J20840" s="5"/>
      <c r="K20840" s="5"/>
    </row>
    <row r="20841" spans="1:11" x14ac:dyDescent="0.25">
      <c r="A20841" s="5">
        <f>20834</f>
      </c>
      <c r="B20841" s="5" t="s">
        <v>20849</v>
      </c>
      <c r="C20841" s="5">
        <v>121.8</v>
      </c>
      <c r="D20841" s="5">
        <v>0.1</v>
      </c>
      <c r="E20841" s="5">
        <v>122</v>
      </c>
      <c r="F20841" s="5">
        <v>243.2</v>
      </c>
      <c r="G20841" s="5">
        <v>121.4</v>
      </c>
      <c r="H20841" s="5">
        <v>121.2</v>
      </c>
      <c r="I20841" s="5"/>
      <c r="J20841" s="5"/>
      <c r="K20841" s="5"/>
    </row>
    <row r="20842" spans="1:11" x14ac:dyDescent="0.25">
      <c r="A20842" s="5">
        <f>20835</f>
      </c>
      <c r="B20842" s="5" t="s">
        <v>20850</v>
      </c>
      <c r="C20842" s="5">
        <v>121.5</v>
      </c>
      <c r="D20842" s="5">
        <v>0.1</v>
      </c>
      <c r="E20842" s="5">
        <v>121.7</v>
      </c>
      <c r="F20842" s="5">
        <v>242.9</v>
      </c>
      <c r="G20842" s="5">
        <v>121.2</v>
      </c>
      <c r="H20842" s="5">
        <v>121.1</v>
      </c>
      <c r="I20842" s="5"/>
      <c r="J20842" s="5"/>
      <c r="K20842" s="5"/>
    </row>
    <row r="20843" spans="1:11" x14ac:dyDescent="0.25">
      <c r="A20843" s="5">
        <f>20836</f>
      </c>
      <c r="B20843" s="5" t="s">
        <v>20851</v>
      </c>
      <c r="C20843" s="5">
        <v>121.5</v>
      </c>
      <c r="D20843" s="5">
        <v>0.1</v>
      </c>
      <c r="E20843" s="5">
        <v>121.7</v>
      </c>
      <c r="F20843" s="5">
        <v>242.9</v>
      </c>
      <c r="G20843" s="5">
        <v>121.2</v>
      </c>
      <c r="H20843" s="5">
        <v>121.1</v>
      </c>
      <c r="I20843" s="5"/>
      <c r="J20843" s="5"/>
      <c r="K20843" s="5"/>
    </row>
    <row r="20844" spans="1:11" x14ac:dyDescent="0.25">
      <c r="A20844" s="5">
        <f>20837</f>
      </c>
      <c r="B20844" s="5" t="s">
        <v>20852</v>
      </c>
      <c r="C20844" s="5">
        <v>121.5</v>
      </c>
      <c r="D20844" s="5">
        <v>0.1</v>
      </c>
      <c r="E20844" s="5">
        <v>121.7</v>
      </c>
      <c r="F20844" s="5">
        <v>242.9</v>
      </c>
      <c r="G20844" s="5">
        <v>121.2</v>
      </c>
      <c r="H20844" s="5">
        <v>121.1</v>
      </c>
      <c r="I20844" s="5"/>
      <c r="J20844" s="5"/>
      <c r="K20844" s="5"/>
    </row>
    <row r="20845" spans="1:11" x14ac:dyDescent="0.25">
      <c r="A20845" s="5">
        <f>20838</f>
      </c>
      <c r="B20845" s="5" t="s">
        <v>20853</v>
      </c>
      <c r="C20845" s="5">
        <v>121.5</v>
      </c>
      <c r="D20845" s="5">
        <v>0.1</v>
      </c>
      <c r="E20845" s="5">
        <v>121.7</v>
      </c>
      <c r="F20845" s="5">
        <v>242.9</v>
      </c>
      <c r="G20845" s="5">
        <v>121.2</v>
      </c>
      <c r="H20845" s="5">
        <v>121.1</v>
      </c>
      <c r="I20845" s="5"/>
      <c r="J20845" s="5"/>
      <c r="K20845" s="5"/>
    </row>
    <row r="20846" spans="1:11" x14ac:dyDescent="0.25">
      <c r="A20846" s="5">
        <f>20839</f>
      </c>
      <c r="B20846" s="5" t="s">
        <v>20854</v>
      </c>
      <c r="C20846" s="5">
        <v>121.8</v>
      </c>
      <c r="D20846" s="5">
        <v>0.1</v>
      </c>
      <c r="E20846" s="5">
        <v>122</v>
      </c>
      <c r="F20846" s="5">
        <v>243.3</v>
      </c>
      <c r="G20846" s="5">
        <v>121.4</v>
      </c>
      <c r="H20846" s="5">
        <v>121.3</v>
      </c>
      <c r="I20846" s="5"/>
      <c r="J20846" s="5"/>
      <c r="K20846" s="5"/>
    </row>
    <row r="20847" spans="1:11" x14ac:dyDescent="0.25">
      <c r="A20847" s="5">
        <f>20840</f>
      </c>
      <c r="B20847" s="5" t="s">
        <v>20855</v>
      </c>
      <c r="C20847" s="5">
        <v>121.8</v>
      </c>
      <c r="D20847" s="5">
        <v>0.1</v>
      </c>
      <c r="E20847" s="5">
        <v>122</v>
      </c>
      <c r="F20847" s="5">
        <v>243.3</v>
      </c>
      <c r="G20847" s="5">
        <v>121.4</v>
      </c>
      <c r="H20847" s="5">
        <v>121.3</v>
      </c>
      <c r="I20847" s="5"/>
      <c r="J20847" s="5"/>
      <c r="K20847" s="5"/>
    </row>
    <row r="20848" spans="1:11" x14ac:dyDescent="0.25">
      <c r="A20848" s="5">
        <f>20841</f>
      </c>
      <c r="B20848" s="5" t="s">
        <v>20856</v>
      </c>
      <c r="C20848" s="5">
        <v>121.8</v>
      </c>
      <c r="D20848" s="5">
        <v>0.1</v>
      </c>
      <c r="E20848" s="5">
        <v>122</v>
      </c>
      <c r="F20848" s="5">
        <v>243.3</v>
      </c>
      <c r="G20848" s="5">
        <v>121.4</v>
      </c>
      <c r="H20848" s="5">
        <v>121.3</v>
      </c>
      <c r="I20848" s="5"/>
      <c r="J20848" s="5"/>
      <c r="K20848" s="5"/>
    </row>
    <row r="20849" spans="1:11" x14ac:dyDescent="0.25">
      <c r="A20849" s="5">
        <f>20842</f>
      </c>
      <c r="B20849" s="5" t="s">
        <v>20857</v>
      </c>
      <c r="C20849" s="5">
        <v>121.8</v>
      </c>
      <c r="D20849" s="5">
        <v>0.1</v>
      </c>
      <c r="E20849" s="5">
        <v>122</v>
      </c>
      <c r="F20849" s="5">
        <v>243.3</v>
      </c>
      <c r="G20849" s="5">
        <v>121.4</v>
      </c>
      <c r="H20849" s="5">
        <v>121.3</v>
      </c>
      <c r="I20849" s="5"/>
      <c r="J20849" s="5"/>
      <c r="K20849" s="5"/>
    </row>
    <row r="20850" spans="1:11" x14ac:dyDescent="0.25">
      <c r="A20850" s="5">
        <f>20843</f>
      </c>
      <c r="B20850" s="5" t="s">
        <v>20858</v>
      </c>
      <c r="C20850" s="5">
        <v>121.9</v>
      </c>
      <c r="D20850" s="5">
        <v>0.1</v>
      </c>
      <c r="E20850" s="5">
        <v>122.1</v>
      </c>
      <c r="F20850" s="5">
        <v>243.2</v>
      </c>
      <c r="G20850" s="5">
        <v>121.3</v>
      </c>
      <c r="H20850" s="5">
        <v>121.2</v>
      </c>
      <c r="I20850" s="5"/>
      <c r="J20850" s="5"/>
      <c r="K20850" s="5"/>
    </row>
    <row r="20851" spans="1:11" x14ac:dyDescent="0.25">
      <c r="A20851" s="5">
        <f>20844</f>
      </c>
      <c r="B20851" s="5" t="s">
        <v>20859</v>
      </c>
      <c r="C20851" s="5">
        <v>121.9</v>
      </c>
      <c r="D20851" s="5">
        <v>0.1</v>
      </c>
      <c r="E20851" s="5">
        <v>122.1</v>
      </c>
      <c r="F20851" s="5">
        <v>243.2</v>
      </c>
      <c r="G20851" s="5">
        <v>121.3</v>
      </c>
      <c r="H20851" s="5">
        <v>121.2</v>
      </c>
      <c r="I20851" s="5"/>
      <c r="J20851" s="5"/>
      <c r="K20851" s="5"/>
    </row>
    <row r="20852" spans="1:11" x14ac:dyDescent="0.25">
      <c r="A20852" s="5">
        <f>20845</f>
      </c>
      <c r="B20852" s="5" t="s">
        <v>20860</v>
      </c>
      <c r="C20852" s="5">
        <v>122</v>
      </c>
      <c r="D20852" s="5">
        <v>0.1</v>
      </c>
      <c r="E20852" s="5">
        <v>122.1</v>
      </c>
      <c r="F20852" s="5">
        <v>243.4</v>
      </c>
      <c r="G20852" s="5">
        <v>121.5</v>
      </c>
      <c r="H20852" s="5">
        <v>121.3</v>
      </c>
      <c r="I20852" s="5"/>
      <c r="J20852" s="5"/>
      <c r="K20852" s="5"/>
    </row>
    <row r="20853" spans="1:11" x14ac:dyDescent="0.25">
      <c r="A20853" s="5">
        <f>20846</f>
      </c>
      <c r="B20853" s="5" t="s">
        <v>20861</v>
      </c>
      <c r="C20853" s="5">
        <v>122</v>
      </c>
      <c r="D20853" s="5">
        <v>0.1</v>
      </c>
      <c r="E20853" s="5">
        <v>122.1</v>
      </c>
      <c r="F20853" s="5">
        <v>243.4</v>
      </c>
      <c r="G20853" s="5">
        <v>121.5</v>
      </c>
      <c r="H20853" s="5">
        <v>121.3</v>
      </c>
      <c r="I20853" s="5"/>
      <c r="J20853" s="5"/>
      <c r="K20853" s="5"/>
    </row>
    <row r="20854" spans="1:11" x14ac:dyDescent="0.25">
      <c r="A20854" s="5">
        <f>20847</f>
      </c>
      <c r="B20854" s="5" t="s">
        <v>20862</v>
      </c>
      <c r="C20854" s="5">
        <v>122</v>
      </c>
      <c r="D20854" s="5">
        <v>0.1</v>
      </c>
      <c r="E20854" s="5">
        <v>122.1</v>
      </c>
      <c r="F20854" s="5">
        <v>243.4</v>
      </c>
      <c r="G20854" s="5">
        <v>121.5</v>
      </c>
      <c r="H20854" s="5">
        <v>121.3</v>
      </c>
      <c r="I20854" s="5"/>
      <c r="J20854" s="5"/>
      <c r="K20854" s="5"/>
    </row>
    <row r="20855" spans="1:11" x14ac:dyDescent="0.25">
      <c r="A20855" s="5">
        <f>20848</f>
      </c>
      <c r="B20855" s="5" t="s">
        <v>20863</v>
      </c>
      <c r="C20855" s="5">
        <v>122</v>
      </c>
      <c r="D20855" s="5">
        <v>0.1</v>
      </c>
      <c r="E20855" s="5">
        <v>122.1</v>
      </c>
      <c r="F20855" s="5">
        <v>243.4</v>
      </c>
      <c r="G20855" s="5">
        <v>121.5</v>
      </c>
      <c r="H20855" s="5">
        <v>121.3</v>
      </c>
      <c r="I20855" s="5"/>
      <c r="J20855" s="5"/>
      <c r="K20855" s="5"/>
    </row>
    <row r="20856" spans="1:11" x14ac:dyDescent="0.25">
      <c r="A20856" s="5">
        <f>20849</f>
      </c>
      <c r="B20856" s="5" t="s">
        <v>20864</v>
      </c>
      <c r="C20856" s="5">
        <v>121.8</v>
      </c>
      <c r="D20856" s="5">
        <v>0.1</v>
      </c>
      <c r="E20856" s="5">
        <v>122</v>
      </c>
      <c r="F20856" s="5">
        <v>243.4</v>
      </c>
      <c r="G20856" s="5">
        <v>121.5</v>
      </c>
      <c r="H20856" s="5">
        <v>121.3</v>
      </c>
      <c r="I20856" s="5"/>
      <c r="J20856" s="5"/>
      <c r="K20856" s="5"/>
    </row>
    <row r="20857" spans="1:11" x14ac:dyDescent="0.25">
      <c r="A20857" s="5">
        <f>20850</f>
      </c>
      <c r="B20857" s="5" t="s">
        <v>20865</v>
      </c>
      <c r="C20857" s="5">
        <v>121.8</v>
      </c>
      <c r="D20857" s="5">
        <v>0.1</v>
      </c>
      <c r="E20857" s="5">
        <v>122</v>
      </c>
      <c r="F20857" s="5">
        <v>243.4</v>
      </c>
      <c r="G20857" s="5">
        <v>121.5</v>
      </c>
      <c r="H20857" s="5">
        <v>121.3</v>
      </c>
      <c r="I20857" s="5"/>
      <c r="J20857" s="5"/>
      <c r="K20857" s="5"/>
    </row>
    <row r="20858" spans="1:11" x14ac:dyDescent="0.25">
      <c r="A20858" s="5">
        <f>20851</f>
      </c>
      <c r="B20858" s="5" t="s">
        <v>20866</v>
      </c>
      <c r="C20858" s="5">
        <v>121.7</v>
      </c>
      <c r="D20858" s="5">
        <v>0.1</v>
      </c>
      <c r="E20858" s="5">
        <v>121.9</v>
      </c>
      <c r="F20858" s="5">
        <v>243.5</v>
      </c>
      <c r="G20858" s="5">
        <v>121.5</v>
      </c>
      <c r="H20858" s="5">
        <v>121.3</v>
      </c>
      <c r="I20858" s="5"/>
      <c r="J20858" s="5"/>
      <c r="K20858" s="5"/>
    </row>
    <row r="20859" spans="1:11" x14ac:dyDescent="0.25">
      <c r="A20859" s="5">
        <f>20852</f>
      </c>
      <c r="B20859" s="5" t="s">
        <v>20867</v>
      </c>
      <c r="C20859" s="5">
        <v>121.7</v>
      </c>
      <c r="D20859" s="5">
        <v>0.1</v>
      </c>
      <c r="E20859" s="5">
        <v>121.9</v>
      </c>
      <c r="F20859" s="5">
        <v>243.5</v>
      </c>
      <c r="G20859" s="5">
        <v>121.5</v>
      </c>
      <c r="H20859" s="5">
        <v>121.3</v>
      </c>
      <c r="I20859" s="5"/>
      <c r="J20859" s="5"/>
      <c r="K20859" s="5"/>
    </row>
    <row r="20860" spans="1:11" x14ac:dyDescent="0.25">
      <c r="A20860" s="5">
        <f>20853</f>
      </c>
      <c r="B20860" s="5" t="s">
        <v>20868</v>
      </c>
      <c r="C20860" s="5">
        <v>121.9</v>
      </c>
      <c r="D20860" s="5">
        <v>0.1</v>
      </c>
      <c r="E20860" s="5">
        <v>122.1</v>
      </c>
      <c r="F20860" s="5">
        <v>243.4</v>
      </c>
      <c r="G20860" s="5">
        <v>121.5</v>
      </c>
      <c r="H20860" s="5">
        <v>121.3</v>
      </c>
      <c r="I20860" s="5"/>
      <c r="J20860" s="5"/>
      <c r="K20860" s="5"/>
    </row>
    <row r="20861" spans="1:11" x14ac:dyDescent="0.25">
      <c r="A20861" s="5">
        <f>20854</f>
      </c>
      <c r="B20861" s="5" t="s">
        <v>20869</v>
      </c>
      <c r="C20861" s="5">
        <v>121.9</v>
      </c>
      <c r="D20861" s="5">
        <v>0.1</v>
      </c>
      <c r="E20861" s="5">
        <v>122.1</v>
      </c>
      <c r="F20861" s="5">
        <v>243.4</v>
      </c>
      <c r="G20861" s="5">
        <v>121.5</v>
      </c>
      <c r="H20861" s="5">
        <v>121.3</v>
      </c>
      <c r="I20861" s="5"/>
      <c r="J20861" s="5"/>
      <c r="K20861" s="5"/>
    </row>
    <row r="20862" spans="1:11" x14ac:dyDescent="0.25">
      <c r="A20862" s="5">
        <f>20855</f>
      </c>
      <c r="B20862" s="5" t="s">
        <v>20870</v>
      </c>
      <c r="C20862" s="5">
        <v>121.8</v>
      </c>
      <c r="D20862" s="5">
        <v>0.1</v>
      </c>
      <c r="E20862" s="5">
        <v>122.1</v>
      </c>
      <c r="F20862" s="5">
        <v>243.5</v>
      </c>
      <c r="G20862" s="5">
        <v>121.5</v>
      </c>
      <c r="H20862" s="5">
        <v>121.3</v>
      </c>
      <c r="I20862" s="5"/>
      <c r="J20862" s="5"/>
      <c r="K20862" s="5"/>
    </row>
    <row r="20863" spans="1:11" x14ac:dyDescent="0.25">
      <c r="A20863" s="5">
        <f>20856</f>
      </c>
      <c r="B20863" s="5" t="s">
        <v>20871</v>
      </c>
      <c r="C20863" s="5">
        <v>121.8</v>
      </c>
      <c r="D20863" s="5">
        <v>0.1</v>
      </c>
      <c r="E20863" s="5">
        <v>122.1</v>
      </c>
      <c r="F20863" s="5">
        <v>243.5</v>
      </c>
      <c r="G20863" s="5">
        <v>121.5</v>
      </c>
      <c r="H20863" s="5">
        <v>121.3</v>
      </c>
      <c r="I20863" s="5"/>
      <c r="J20863" s="5"/>
      <c r="K20863" s="5"/>
    </row>
    <row r="20864" spans="1:11" x14ac:dyDescent="0.25">
      <c r="A20864" s="5">
        <f>20857</f>
      </c>
      <c r="B20864" s="5" t="s">
        <v>20872</v>
      </c>
      <c r="C20864" s="5">
        <v>121.8</v>
      </c>
      <c r="D20864" s="5">
        <v>0.1</v>
      </c>
      <c r="E20864" s="5">
        <v>122.1</v>
      </c>
      <c r="F20864" s="5">
        <v>243.5</v>
      </c>
      <c r="G20864" s="5">
        <v>121.5</v>
      </c>
      <c r="H20864" s="5">
        <v>121.3</v>
      </c>
      <c r="I20864" s="5"/>
      <c r="J20864" s="5"/>
      <c r="K20864" s="5"/>
    </row>
    <row r="20865" spans="1:11" x14ac:dyDescent="0.25">
      <c r="A20865" s="5">
        <f>20858</f>
      </c>
      <c r="B20865" s="5" t="s">
        <v>20873</v>
      </c>
      <c r="C20865" s="5">
        <v>121.8</v>
      </c>
      <c r="D20865" s="5">
        <v>0.1</v>
      </c>
      <c r="E20865" s="5">
        <v>122.1</v>
      </c>
      <c r="F20865" s="5">
        <v>243.5</v>
      </c>
      <c r="G20865" s="5">
        <v>121.5</v>
      </c>
      <c r="H20865" s="5">
        <v>121.3</v>
      </c>
      <c r="I20865" s="5"/>
      <c r="J20865" s="5"/>
      <c r="K20865" s="5"/>
    </row>
    <row r="20866" spans="1:11" x14ac:dyDescent="0.25">
      <c r="A20866" s="5">
        <f>20859</f>
      </c>
      <c r="B20866" s="5" t="s">
        <v>20874</v>
      </c>
      <c r="C20866" s="5">
        <v>121.8</v>
      </c>
      <c r="D20866" s="5">
        <v>0.1</v>
      </c>
      <c r="E20866" s="5">
        <v>122</v>
      </c>
      <c r="F20866" s="5">
        <v>243.7</v>
      </c>
      <c r="G20866" s="5">
        <v>121.6</v>
      </c>
      <c r="H20866" s="5">
        <v>121.4</v>
      </c>
      <c r="I20866" s="5"/>
      <c r="J20866" s="5"/>
      <c r="K20866" s="5"/>
    </row>
    <row r="20867" spans="1:11" x14ac:dyDescent="0.25">
      <c r="A20867" s="5">
        <f>20860</f>
      </c>
      <c r="B20867" s="5" t="s">
        <v>20875</v>
      </c>
      <c r="C20867" s="5">
        <v>121.8</v>
      </c>
      <c r="D20867" s="5">
        <v>0.1</v>
      </c>
      <c r="E20867" s="5">
        <v>122</v>
      </c>
      <c r="F20867" s="5">
        <v>243.7</v>
      </c>
      <c r="G20867" s="5">
        <v>121.6</v>
      </c>
      <c r="H20867" s="5">
        <v>121.4</v>
      </c>
      <c r="I20867" s="5"/>
      <c r="J20867" s="5"/>
      <c r="K20867" s="5"/>
    </row>
    <row r="20868" spans="1:11" x14ac:dyDescent="0.25">
      <c r="A20868" s="5">
        <f>20861</f>
      </c>
      <c r="B20868" s="5" t="s">
        <v>20876</v>
      </c>
      <c r="C20868" s="5">
        <v>121.9</v>
      </c>
      <c r="D20868" s="5">
        <v>0.1</v>
      </c>
      <c r="E20868" s="5">
        <v>122.1</v>
      </c>
      <c r="F20868" s="5">
        <v>243.4</v>
      </c>
      <c r="G20868" s="5">
        <v>121.5</v>
      </c>
      <c r="H20868" s="5">
        <v>121.3</v>
      </c>
      <c r="I20868" s="5"/>
      <c r="J20868" s="5"/>
      <c r="K20868" s="5"/>
    </row>
    <row r="20869" spans="1:11" x14ac:dyDescent="0.25">
      <c r="A20869" s="5">
        <f>20862</f>
      </c>
      <c r="B20869" s="5" t="s">
        <v>20877</v>
      </c>
      <c r="C20869" s="5">
        <v>121.9</v>
      </c>
      <c r="D20869" s="5">
        <v>0.1</v>
      </c>
      <c r="E20869" s="5">
        <v>122.1</v>
      </c>
      <c r="F20869" s="5">
        <v>243.4</v>
      </c>
      <c r="G20869" s="5">
        <v>121.5</v>
      </c>
      <c r="H20869" s="5">
        <v>121.3</v>
      </c>
      <c r="I20869" s="5"/>
      <c r="J20869" s="5"/>
      <c r="K20869" s="5"/>
    </row>
    <row r="20870" spans="1:11" x14ac:dyDescent="0.25">
      <c r="A20870" s="5">
        <f>20863</f>
      </c>
      <c r="B20870" s="5" t="s">
        <v>20878</v>
      </c>
      <c r="C20870" s="5">
        <v>122.2</v>
      </c>
      <c r="D20870" s="5">
        <v>0.1</v>
      </c>
      <c r="E20870" s="5">
        <v>122.5</v>
      </c>
      <c r="F20870" s="5">
        <v>244</v>
      </c>
      <c r="G20870" s="5">
        <v>121.8</v>
      </c>
      <c r="H20870" s="5">
        <v>121.6</v>
      </c>
      <c r="I20870" s="5"/>
      <c r="J20870" s="5"/>
      <c r="K20870" s="5"/>
    </row>
    <row r="20871" spans="1:11" x14ac:dyDescent="0.25">
      <c r="A20871" s="5">
        <f>20864</f>
      </c>
      <c r="B20871" s="5" t="s">
        <v>20879</v>
      </c>
      <c r="C20871" s="5">
        <v>122.2</v>
      </c>
      <c r="D20871" s="5">
        <v>0.1</v>
      </c>
      <c r="E20871" s="5">
        <v>122.5</v>
      </c>
      <c r="F20871" s="5">
        <v>244</v>
      </c>
      <c r="G20871" s="5">
        <v>121.8</v>
      </c>
      <c r="H20871" s="5">
        <v>121.6</v>
      </c>
      <c r="I20871" s="5"/>
      <c r="J20871" s="5"/>
      <c r="K20871" s="5"/>
    </row>
    <row r="20872" spans="1:11" x14ac:dyDescent="0.25">
      <c r="A20872" s="5">
        <f>20865</f>
      </c>
      <c r="B20872" s="5" t="s">
        <v>20880</v>
      </c>
      <c r="C20872" s="5">
        <v>122.1</v>
      </c>
      <c r="D20872" s="5">
        <v>0.1</v>
      </c>
      <c r="E20872" s="5">
        <v>122.3</v>
      </c>
      <c r="F20872" s="5">
        <v>244</v>
      </c>
      <c r="G20872" s="5">
        <v>121.8</v>
      </c>
      <c r="H20872" s="5">
        <v>121.6</v>
      </c>
      <c r="I20872" s="5"/>
      <c r="J20872" s="5"/>
      <c r="K20872" s="5"/>
    </row>
    <row r="20873" spans="1:11" x14ac:dyDescent="0.25">
      <c r="A20873" s="5">
        <f>20866</f>
      </c>
      <c r="B20873" s="5" t="s">
        <v>20881</v>
      </c>
      <c r="C20873" s="5">
        <v>122.1</v>
      </c>
      <c r="D20873" s="5">
        <v>0.1</v>
      </c>
      <c r="E20873" s="5">
        <v>122.3</v>
      </c>
      <c r="F20873" s="5">
        <v>244</v>
      </c>
      <c r="G20873" s="5">
        <v>121.8</v>
      </c>
      <c r="H20873" s="5">
        <v>121.6</v>
      </c>
      <c r="I20873" s="5"/>
      <c r="J20873" s="5"/>
      <c r="K20873" s="5"/>
    </row>
    <row r="20874" spans="1:11" x14ac:dyDescent="0.25">
      <c r="A20874" s="5">
        <f>20867</f>
      </c>
      <c r="B20874" s="5" t="s">
        <v>20882</v>
      </c>
      <c r="C20874" s="5">
        <v>122.1</v>
      </c>
      <c r="D20874" s="5">
        <v>0.1</v>
      </c>
      <c r="E20874" s="5">
        <v>122.3</v>
      </c>
      <c r="F20874" s="5">
        <v>244</v>
      </c>
      <c r="G20874" s="5">
        <v>121.8</v>
      </c>
      <c r="H20874" s="5">
        <v>121.6</v>
      </c>
      <c r="I20874" s="5"/>
      <c r="J20874" s="5"/>
      <c r="K20874" s="5"/>
    </row>
    <row r="20875" spans="1:11" x14ac:dyDescent="0.25">
      <c r="A20875" s="5">
        <f>20868</f>
      </c>
      <c r="B20875" s="5" t="s">
        <v>20883</v>
      </c>
      <c r="C20875" s="5">
        <v>122.1</v>
      </c>
      <c r="D20875" s="5">
        <v>0.1</v>
      </c>
      <c r="E20875" s="5">
        <v>122.3</v>
      </c>
      <c r="F20875" s="5">
        <v>244</v>
      </c>
      <c r="G20875" s="5">
        <v>121.8</v>
      </c>
      <c r="H20875" s="5">
        <v>121.6</v>
      </c>
      <c r="I20875" s="5"/>
      <c r="J20875" s="5"/>
      <c r="K20875" s="5"/>
    </row>
    <row r="20876" spans="1:11" x14ac:dyDescent="0.25">
      <c r="A20876" s="5">
        <f>20869</f>
      </c>
      <c r="B20876" s="5" t="s">
        <v>20884</v>
      </c>
      <c r="C20876" s="5">
        <v>121.9</v>
      </c>
      <c r="D20876" s="5">
        <v>0.1</v>
      </c>
      <c r="E20876" s="5">
        <v>122.1</v>
      </c>
      <c r="F20876" s="5">
        <v>243.8</v>
      </c>
      <c r="G20876" s="5">
        <v>121.7</v>
      </c>
      <c r="H20876" s="5">
        <v>121.5</v>
      </c>
      <c r="I20876" s="5"/>
      <c r="J20876" s="5"/>
      <c r="K20876" s="5"/>
    </row>
    <row r="20877" spans="1:11" x14ac:dyDescent="0.25">
      <c r="A20877" s="5">
        <f>20870</f>
      </c>
      <c r="B20877" s="5" t="s">
        <v>20885</v>
      </c>
      <c r="C20877" s="5">
        <v>121.9</v>
      </c>
      <c r="D20877" s="5">
        <v>0.1</v>
      </c>
      <c r="E20877" s="5">
        <v>122.1</v>
      </c>
      <c r="F20877" s="5">
        <v>243.8</v>
      </c>
      <c r="G20877" s="5">
        <v>121.7</v>
      </c>
      <c r="H20877" s="5">
        <v>121.5</v>
      </c>
      <c r="I20877" s="5"/>
      <c r="J20877" s="5"/>
      <c r="K20877" s="5"/>
    </row>
    <row r="20878" spans="1:11" x14ac:dyDescent="0.25">
      <c r="A20878" s="5">
        <f>20871</f>
      </c>
      <c r="B20878" s="5" t="s">
        <v>20886</v>
      </c>
      <c r="C20878" s="5">
        <v>121.9</v>
      </c>
      <c r="D20878" s="5">
        <v>0.1</v>
      </c>
      <c r="E20878" s="5">
        <v>122.1</v>
      </c>
      <c r="F20878" s="5">
        <v>243.9</v>
      </c>
      <c r="G20878" s="5">
        <v>121.7</v>
      </c>
      <c r="H20878" s="5">
        <v>121.6</v>
      </c>
      <c r="I20878" s="5"/>
      <c r="J20878" s="5"/>
      <c r="K20878" s="5"/>
    </row>
    <row r="20879" spans="1:11" x14ac:dyDescent="0.25">
      <c r="A20879" s="5">
        <f>20872</f>
      </c>
      <c r="B20879" s="5" t="s">
        <v>20887</v>
      </c>
      <c r="C20879" s="5">
        <v>121.9</v>
      </c>
      <c r="D20879" s="5">
        <v>0.1</v>
      </c>
      <c r="E20879" s="5">
        <v>122.1</v>
      </c>
      <c r="F20879" s="5">
        <v>243.9</v>
      </c>
      <c r="G20879" s="5">
        <v>121.7</v>
      </c>
      <c r="H20879" s="5">
        <v>121.6</v>
      </c>
      <c r="I20879" s="5"/>
      <c r="J20879" s="5"/>
      <c r="K20879" s="5"/>
    </row>
    <row r="20880" spans="1:11" x14ac:dyDescent="0.25">
      <c r="A20880" s="5">
        <f>20873</f>
      </c>
      <c r="B20880" s="5" t="s">
        <v>20888</v>
      </c>
      <c r="C20880" s="5">
        <v>121.8</v>
      </c>
      <c r="D20880" s="5">
        <v>0.1</v>
      </c>
      <c r="E20880" s="5">
        <v>122</v>
      </c>
      <c r="F20880" s="5">
        <v>243.1</v>
      </c>
      <c r="G20880" s="5">
        <v>121.4</v>
      </c>
      <c r="H20880" s="5">
        <v>121.3</v>
      </c>
      <c r="I20880" s="5"/>
      <c r="J20880" s="5"/>
      <c r="K20880" s="5"/>
    </row>
    <row r="20881" spans="1:11" x14ac:dyDescent="0.25">
      <c r="A20881" s="5">
        <f>20874</f>
      </c>
      <c r="B20881" s="5" t="s">
        <v>20889</v>
      </c>
      <c r="C20881" s="5">
        <v>121.8</v>
      </c>
      <c r="D20881" s="5">
        <v>0.1</v>
      </c>
      <c r="E20881" s="5">
        <v>122</v>
      </c>
      <c r="F20881" s="5">
        <v>243.1</v>
      </c>
      <c r="G20881" s="5">
        <v>121.4</v>
      </c>
      <c r="H20881" s="5">
        <v>121.3</v>
      </c>
      <c r="I20881" s="5"/>
      <c r="J20881" s="5"/>
      <c r="K20881" s="5"/>
    </row>
    <row r="20882" spans="1:11" x14ac:dyDescent="0.25">
      <c r="A20882" s="5">
        <f>20875</f>
      </c>
      <c r="B20882" s="5" t="s">
        <v>20890</v>
      </c>
      <c r="C20882" s="5">
        <v>121.9</v>
      </c>
      <c r="D20882" s="5">
        <v>0.1</v>
      </c>
      <c r="E20882" s="5">
        <v>122.1</v>
      </c>
      <c r="F20882" s="5">
        <v>243.3</v>
      </c>
      <c r="G20882" s="5">
        <v>121.4</v>
      </c>
      <c r="H20882" s="5">
        <v>121.2</v>
      </c>
      <c r="I20882" s="5"/>
      <c r="J20882" s="5"/>
      <c r="K20882" s="5"/>
    </row>
    <row r="20883" spans="1:11" x14ac:dyDescent="0.25">
      <c r="A20883" s="5">
        <f>20876</f>
      </c>
      <c r="B20883" s="5" t="s">
        <v>20891</v>
      </c>
      <c r="C20883" s="5">
        <v>121.9</v>
      </c>
      <c r="D20883" s="5">
        <v>0.1</v>
      </c>
      <c r="E20883" s="5">
        <v>122.1</v>
      </c>
      <c r="F20883" s="5">
        <v>243.3</v>
      </c>
      <c r="G20883" s="5">
        <v>121.4</v>
      </c>
      <c r="H20883" s="5">
        <v>121.2</v>
      </c>
      <c r="I20883" s="5"/>
      <c r="J20883" s="5"/>
      <c r="K20883" s="5"/>
    </row>
    <row r="20884" spans="1:11" x14ac:dyDescent="0.25">
      <c r="A20884" s="5">
        <f>20877</f>
      </c>
      <c r="B20884" s="5" t="s">
        <v>20892</v>
      </c>
      <c r="C20884" s="5">
        <v>121.9</v>
      </c>
      <c r="D20884" s="5">
        <v>0.1</v>
      </c>
      <c r="E20884" s="5">
        <v>122.1</v>
      </c>
      <c r="F20884" s="5">
        <v>243.3</v>
      </c>
      <c r="G20884" s="5">
        <v>121.4</v>
      </c>
      <c r="H20884" s="5">
        <v>121.2</v>
      </c>
      <c r="I20884" s="5"/>
      <c r="J20884" s="5"/>
      <c r="K20884" s="5"/>
    </row>
    <row r="20885" spans="1:11" x14ac:dyDescent="0.25">
      <c r="A20885" s="5">
        <f>20878</f>
      </c>
      <c r="B20885" s="5" t="s">
        <v>20893</v>
      </c>
      <c r="C20885" s="5">
        <v>121.9</v>
      </c>
      <c r="D20885" s="5">
        <v>0.1</v>
      </c>
      <c r="E20885" s="5">
        <v>122.1</v>
      </c>
      <c r="F20885" s="5">
        <v>243.3</v>
      </c>
      <c r="G20885" s="5">
        <v>121.4</v>
      </c>
      <c r="H20885" s="5">
        <v>121.2</v>
      </c>
      <c r="I20885" s="5"/>
      <c r="J20885" s="5"/>
      <c r="K20885" s="5"/>
    </row>
    <row r="20886" spans="1:11" x14ac:dyDescent="0.25">
      <c r="A20886" s="5">
        <f>20879</f>
      </c>
      <c r="B20886" s="5" t="s">
        <v>20894</v>
      </c>
      <c r="C20886" s="5">
        <v>121.8</v>
      </c>
      <c r="D20886" s="5">
        <v>0.1</v>
      </c>
      <c r="E20886" s="5">
        <v>121.9</v>
      </c>
      <c r="F20886" s="5">
        <v>243.3</v>
      </c>
      <c r="G20886" s="5">
        <v>121.4</v>
      </c>
      <c r="H20886" s="5">
        <v>121.2</v>
      </c>
      <c r="I20886" s="5"/>
      <c r="J20886" s="5"/>
      <c r="K20886" s="5"/>
    </row>
    <row r="20887" spans="1:11" x14ac:dyDescent="0.25">
      <c r="A20887" s="5">
        <f>20880</f>
      </c>
      <c r="B20887" s="5" t="s">
        <v>20895</v>
      </c>
      <c r="C20887" s="5">
        <v>121.8</v>
      </c>
      <c r="D20887" s="5">
        <v>0.1</v>
      </c>
      <c r="E20887" s="5">
        <v>121.9</v>
      </c>
      <c r="F20887" s="5">
        <v>243.3</v>
      </c>
      <c r="G20887" s="5">
        <v>121.4</v>
      </c>
      <c r="H20887" s="5">
        <v>121.2</v>
      </c>
      <c r="I20887" s="5"/>
      <c r="J20887" s="5"/>
      <c r="K20887" s="5"/>
    </row>
    <row r="20888" spans="1:11" x14ac:dyDescent="0.25">
      <c r="A20888" s="5">
        <f>20881</f>
      </c>
      <c r="B20888" s="5" t="s">
        <v>20896</v>
      </c>
      <c r="C20888" s="5">
        <v>121.5</v>
      </c>
      <c r="D20888" s="5">
        <v>0.1</v>
      </c>
      <c r="E20888" s="5">
        <v>121.6</v>
      </c>
      <c r="F20888" s="5">
        <v>243</v>
      </c>
      <c r="G20888" s="5">
        <v>121.2</v>
      </c>
      <c r="H20888" s="5">
        <v>121.1</v>
      </c>
      <c r="I20888" s="5"/>
      <c r="J20888" s="5"/>
      <c r="K20888" s="5"/>
    </row>
    <row r="20889" spans="1:11" x14ac:dyDescent="0.25">
      <c r="A20889" s="5">
        <f>20882</f>
      </c>
      <c r="B20889" s="5" t="s">
        <v>20897</v>
      </c>
      <c r="C20889" s="5">
        <v>121.5</v>
      </c>
      <c r="D20889" s="5">
        <v>0.1</v>
      </c>
      <c r="E20889" s="5">
        <v>121.6</v>
      </c>
      <c r="F20889" s="5">
        <v>243</v>
      </c>
      <c r="G20889" s="5">
        <v>121.2</v>
      </c>
      <c r="H20889" s="5">
        <v>121.1</v>
      </c>
      <c r="I20889" s="5"/>
      <c r="J20889" s="5"/>
      <c r="K20889" s="5"/>
    </row>
    <row r="20890" spans="1:11" x14ac:dyDescent="0.25">
      <c r="A20890" s="5">
        <f>20883</f>
      </c>
      <c r="B20890" s="5" t="s">
        <v>20898</v>
      </c>
      <c r="C20890" s="5">
        <v>121.8</v>
      </c>
      <c r="D20890" s="5">
        <v>0.1</v>
      </c>
      <c r="E20890" s="5">
        <v>121.9</v>
      </c>
      <c r="F20890" s="5">
        <v>243.5</v>
      </c>
      <c r="G20890" s="5">
        <v>121.5</v>
      </c>
      <c r="H20890" s="5">
        <v>121.4</v>
      </c>
      <c r="I20890" s="5"/>
      <c r="J20890" s="5"/>
      <c r="K20890" s="5"/>
    </row>
    <row r="20891" spans="1:11" x14ac:dyDescent="0.25">
      <c r="A20891" s="5">
        <f>20884</f>
      </c>
      <c r="B20891" s="5" t="s">
        <v>20899</v>
      </c>
      <c r="C20891" s="5">
        <v>121.8</v>
      </c>
      <c r="D20891" s="5">
        <v>0.1</v>
      </c>
      <c r="E20891" s="5">
        <v>121.9</v>
      </c>
      <c r="F20891" s="5">
        <v>243.5</v>
      </c>
      <c r="G20891" s="5">
        <v>121.5</v>
      </c>
      <c r="H20891" s="5">
        <v>121.4</v>
      </c>
      <c r="I20891" s="5"/>
      <c r="J20891" s="5"/>
      <c r="K20891" s="5"/>
    </row>
    <row r="20892" spans="1:11" x14ac:dyDescent="0.25">
      <c r="A20892" s="5">
        <f>20885</f>
      </c>
      <c r="B20892" s="5" t="s">
        <v>20900</v>
      </c>
      <c r="C20892" s="5">
        <v>121.8</v>
      </c>
      <c r="D20892" s="5">
        <v>0.1</v>
      </c>
      <c r="E20892" s="5">
        <v>121.9</v>
      </c>
      <c r="F20892" s="5">
        <v>243.5</v>
      </c>
      <c r="G20892" s="5">
        <v>121.5</v>
      </c>
      <c r="H20892" s="5">
        <v>121.3</v>
      </c>
      <c r="I20892" s="5"/>
      <c r="J20892" s="5"/>
      <c r="K20892" s="5"/>
    </row>
    <row r="20893" spans="1:11" x14ac:dyDescent="0.25">
      <c r="A20893" s="5">
        <f>20886</f>
      </c>
      <c r="B20893" s="5" t="s">
        <v>20901</v>
      </c>
      <c r="C20893" s="5">
        <v>121.8</v>
      </c>
      <c r="D20893" s="5">
        <v>0.1</v>
      </c>
      <c r="E20893" s="5">
        <v>121.9</v>
      </c>
      <c r="F20893" s="5">
        <v>243.5</v>
      </c>
      <c r="G20893" s="5">
        <v>121.5</v>
      </c>
      <c r="H20893" s="5">
        <v>121.3</v>
      </c>
      <c r="I20893" s="5"/>
      <c r="J20893" s="5"/>
      <c r="K20893" s="5"/>
    </row>
    <row r="20894" spans="1:11" x14ac:dyDescent="0.25">
      <c r="A20894" s="5">
        <f>20887</f>
      </c>
      <c r="B20894" s="5" t="s">
        <v>20902</v>
      </c>
      <c r="C20894" s="5">
        <v>121.8</v>
      </c>
      <c r="D20894" s="5">
        <v>0.1</v>
      </c>
      <c r="E20894" s="5">
        <v>121.9</v>
      </c>
      <c r="F20894" s="5">
        <v>243.5</v>
      </c>
      <c r="G20894" s="5">
        <v>121.5</v>
      </c>
      <c r="H20894" s="5">
        <v>121.3</v>
      </c>
      <c r="I20894" s="5"/>
      <c r="J20894" s="5"/>
      <c r="K20894" s="5"/>
    </row>
    <row r="20895" spans="1:11" x14ac:dyDescent="0.25">
      <c r="A20895" s="5">
        <f>20888</f>
      </c>
      <c r="B20895" s="5" t="s">
        <v>20903</v>
      </c>
      <c r="C20895" s="5">
        <v>121.8</v>
      </c>
      <c r="D20895" s="5">
        <v>0.1</v>
      </c>
      <c r="E20895" s="5">
        <v>121.9</v>
      </c>
      <c r="F20895" s="5">
        <v>243.5</v>
      </c>
      <c r="G20895" s="5">
        <v>121.5</v>
      </c>
      <c r="H20895" s="5">
        <v>121.3</v>
      </c>
      <c r="I20895" s="5"/>
      <c r="J20895" s="5"/>
      <c r="K20895" s="5"/>
    </row>
    <row r="20896" spans="1:11" x14ac:dyDescent="0.25">
      <c r="A20896" s="5">
        <f>20889</f>
      </c>
      <c r="B20896" s="5" t="s">
        <v>20904</v>
      </c>
      <c r="C20896" s="5">
        <v>122</v>
      </c>
      <c r="D20896" s="5">
        <v>0.1</v>
      </c>
      <c r="E20896" s="5">
        <v>122.1</v>
      </c>
      <c r="F20896" s="5">
        <v>243.4</v>
      </c>
      <c r="G20896" s="5">
        <v>121.5</v>
      </c>
      <c r="H20896" s="5">
        <v>121.3</v>
      </c>
      <c r="I20896" s="5"/>
      <c r="J20896" s="5"/>
      <c r="K20896" s="5"/>
    </row>
    <row r="20897" spans="1:11" x14ac:dyDescent="0.25">
      <c r="A20897" s="5">
        <f>20890</f>
      </c>
      <c r="B20897" s="5" t="s">
        <v>20905</v>
      </c>
      <c r="C20897" s="5">
        <v>122</v>
      </c>
      <c r="D20897" s="5">
        <v>0.1</v>
      </c>
      <c r="E20897" s="5">
        <v>122.1</v>
      </c>
      <c r="F20897" s="5">
        <v>243.4</v>
      </c>
      <c r="G20897" s="5">
        <v>121.5</v>
      </c>
      <c r="H20897" s="5">
        <v>121.3</v>
      </c>
      <c r="I20897" s="5"/>
      <c r="J20897" s="5"/>
      <c r="K20897" s="5"/>
    </row>
    <row r="20898" spans="1:11" x14ac:dyDescent="0.25">
      <c r="A20898" s="5">
        <f>20891</f>
      </c>
      <c r="B20898" s="5" t="s">
        <v>20906</v>
      </c>
      <c r="C20898" s="5">
        <v>121.8</v>
      </c>
      <c r="D20898" s="5">
        <v>0.1</v>
      </c>
      <c r="E20898" s="5">
        <v>121.9</v>
      </c>
      <c r="F20898" s="5">
        <v>243.2</v>
      </c>
      <c r="G20898" s="5">
        <v>121.4</v>
      </c>
      <c r="H20898" s="5">
        <v>121.2</v>
      </c>
      <c r="I20898" s="5"/>
      <c r="J20898" s="5"/>
      <c r="K20898" s="5"/>
    </row>
    <row r="20899" spans="1:11" x14ac:dyDescent="0.25">
      <c r="A20899" s="5">
        <f>20892</f>
      </c>
      <c r="B20899" s="5" t="s">
        <v>20907</v>
      </c>
      <c r="C20899" s="5">
        <v>121.8</v>
      </c>
      <c r="D20899" s="5">
        <v>0.1</v>
      </c>
      <c r="E20899" s="5">
        <v>121.9</v>
      </c>
      <c r="F20899" s="5">
        <v>243.2</v>
      </c>
      <c r="G20899" s="5">
        <v>121.4</v>
      </c>
      <c r="H20899" s="5">
        <v>121.2</v>
      </c>
      <c r="I20899" s="5"/>
      <c r="J20899" s="5"/>
      <c r="K20899" s="5"/>
    </row>
    <row r="20900" spans="1:11" x14ac:dyDescent="0.25">
      <c r="A20900" s="5">
        <f>20893</f>
      </c>
      <c r="B20900" s="5" t="s">
        <v>20908</v>
      </c>
      <c r="C20900" s="5">
        <v>121.9</v>
      </c>
      <c r="D20900" s="5">
        <v>0.1</v>
      </c>
      <c r="E20900" s="5">
        <v>122.1</v>
      </c>
      <c r="F20900" s="5">
        <v>243.1</v>
      </c>
      <c r="G20900" s="5">
        <v>121.3</v>
      </c>
      <c r="H20900" s="5">
        <v>121.1</v>
      </c>
      <c r="I20900" s="5"/>
      <c r="J20900" s="5"/>
      <c r="K20900" s="5"/>
    </row>
    <row r="20901" spans="1:11" x14ac:dyDescent="0.25">
      <c r="A20901" s="5">
        <f>20894</f>
      </c>
      <c r="B20901" s="5" t="s">
        <v>20909</v>
      </c>
      <c r="C20901" s="5">
        <v>121.9</v>
      </c>
      <c r="D20901" s="5">
        <v>0.1</v>
      </c>
      <c r="E20901" s="5">
        <v>122.1</v>
      </c>
      <c r="F20901" s="5">
        <v>243.1</v>
      </c>
      <c r="G20901" s="5">
        <v>121.3</v>
      </c>
      <c r="H20901" s="5">
        <v>121.1</v>
      </c>
      <c r="I20901" s="5"/>
      <c r="J20901" s="5"/>
      <c r="K20901" s="5"/>
    </row>
    <row r="20902" spans="1:11" x14ac:dyDescent="0.25">
      <c r="A20902" s="5">
        <f>20895</f>
      </c>
      <c r="B20902" s="5" t="s">
        <v>20910</v>
      </c>
      <c r="C20902" s="5">
        <v>122.3</v>
      </c>
      <c r="D20902" s="5">
        <v>0.1</v>
      </c>
      <c r="E20902" s="5">
        <v>122.5</v>
      </c>
      <c r="F20902" s="5">
        <v>243.3</v>
      </c>
      <c r="G20902" s="5">
        <v>121.4</v>
      </c>
      <c r="H20902" s="5">
        <v>121.2</v>
      </c>
      <c r="I20902" s="5"/>
      <c r="J20902" s="5"/>
      <c r="K20902" s="5"/>
    </row>
    <row r="20903" spans="1:11" x14ac:dyDescent="0.25">
      <c r="A20903" s="5">
        <f>20896</f>
      </c>
      <c r="B20903" s="5" t="s">
        <v>20911</v>
      </c>
      <c r="C20903" s="5">
        <v>122.3</v>
      </c>
      <c r="D20903" s="5">
        <v>0.1</v>
      </c>
      <c r="E20903" s="5">
        <v>122.5</v>
      </c>
      <c r="F20903" s="5">
        <v>243.3</v>
      </c>
      <c r="G20903" s="5">
        <v>121.4</v>
      </c>
      <c r="H20903" s="5">
        <v>121.2</v>
      </c>
      <c r="I20903" s="5"/>
      <c r="J20903" s="5"/>
      <c r="K20903" s="5"/>
    </row>
    <row r="20904" spans="1:11" x14ac:dyDescent="0.25">
      <c r="A20904" s="5">
        <f>20897</f>
      </c>
      <c r="B20904" s="5" t="s">
        <v>20912</v>
      </c>
      <c r="C20904" s="5">
        <v>122.3</v>
      </c>
      <c r="D20904" s="5">
        <v>0.1</v>
      </c>
      <c r="E20904" s="5">
        <v>122.5</v>
      </c>
      <c r="F20904" s="5">
        <v>243.3</v>
      </c>
      <c r="G20904" s="5">
        <v>121.4</v>
      </c>
      <c r="H20904" s="5">
        <v>121.2</v>
      </c>
      <c r="I20904" s="5"/>
      <c r="J20904" s="5"/>
      <c r="K20904" s="5"/>
    </row>
    <row r="20905" spans="1:11" x14ac:dyDescent="0.25">
      <c r="A20905" s="5">
        <f>20898</f>
      </c>
      <c r="B20905" s="5" t="s">
        <v>20913</v>
      </c>
      <c r="C20905" s="5">
        <v>122.3</v>
      </c>
      <c r="D20905" s="5">
        <v>0.1</v>
      </c>
      <c r="E20905" s="5">
        <v>122.5</v>
      </c>
      <c r="F20905" s="5">
        <v>243.3</v>
      </c>
      <c r="G20905" s="5">
        <v>121.4</v>
      </c>
      <c r="H20905" s="5">
        <v>121.2</v>
      </c>
      <c r="I20905" s="5"/>
      <c r="J20905" s="5"/>
      <c r="K20905" s="5"/>
    </row>
    <row r="20906" spans="1:11" x14ac:dyDescent="0.25">
      <c r="A20906" s="5">
        <f>20899</f>
      </c>
      <c r="B20906" s="5" t="s">
        <v>20914</v>
      </c>
      <c r="C20906" s="5">
        <v>121.5</v>
      </c>
      <c r="D20906" s="5">
        <v>0.1</v>
      </c>
      <c r="E20906" s="5">
        <v>121.7</v>
      </c>
      <c r="F20906" s="5">
        <v>243.2</v>
      </c>
      <c r="G20906" s="5">
        <v>121.4</v>
      </c>
      <c r="H20906" s="5">
        <v>121.2</v>
      </c>
      <c r="I20906" s="5"/>
      <c r="J20906" s="5"/>
      <c r="K20906" s="5"/>
    </row>
    <row r="20907" spans="1:11" x14ac:dyDescent="0.25">
      <c r="A20907" s="5">
        <f>20900</f>
      </c>
      <c r="B20907" s="5" t="s">
        <v>20915</v>
      </c>
      <c r="C20907" s="5">
        <v>121.5</v>
      </c>
      <c r="D20907" s="5">
        <v>0.1</v>
      </c>
      <c r="E20907" s="5">
        <v>121.7</v>
      </c>
      <c r="F20907" s="5">
        <v>243.2</v>
      </c>
      <c r="G20907" s="5">
        <v>121.4</v>
      </c>
      <c r="H20907" s="5">
        <v>121.2</v>
      </c>
      <c r="I20907" s="5"/>
      <c r="J20907" s="5"/>
      <c r="K20907" s="5"/>
    </row>
    <row r="20908" spans="1:11" x14ac:dyDescent="0.25">
      <c r="A20908" s="5">
        <f>20901</f>
      </c>
      <c r="B20908" s="5" t="s">
        <v>20916</v>
      </c>
      <c r="C20908" s="5">
        <v>121.7</v>
      </c>
      <c r="D20908" s="5">
        <v>0.1</v>
      </c>
      <c r="E20908" s="5">
        <v>121.8</v>
      </c>
      <c r="F20908" s="5">
        <v>243.5</v>
      </c>
      <c r="G20908" s="5">
        <v>121.5</v>
      </c>
      <c r="H20908" s="5">
        <v>121.4</v>
      </c>
      <c r="I20908" s="5"/>
      <c r="J20908" s="5"/>
      <c r="K20908" s="5"/>
    </row>
    <row r="20909" spans="1:11" x14ac:dyDescent="0.25">
      <c r="A20909" s="5">
        <f>20902</f>
      </c>
      <c r="B20909" s="5" t="s">
        <v>20917</v>
      </c>
      <c r="C20909" s="5">
        <v>121.7</v>
      </c>
      <c r="D20909" s="5">
        <v>0.1</v>
      </c>
      <c r="E20909" s="5">
        <v>121.8</v>
      </c>
      <c r="F20909" s="5">
        <v>243.5</v>
      </c>
      <c r="G20909" s="5">
        <v>121.5</v>
      </c>
      <c r="H20909" s="5">
        <v>121.4</v>
      </c>
      <c r="I20909" s="5"/>
      <c r="J20909" s="5"/>
      <c r="K20909" s="5"/>
    </row>
    <row r="20910" spans="1:11" x14ac:dyDescent="0.25">
      <c r="A20910" s="5">
        <f>20903</f>
      </c>
      <c r="B20910" s="5" t="s">
        <v>20918</v>
      </c>
      <c r="C20910" s="5">
        <v>121.5</v>
      </c>
      <c r="D20910" s="5">
        <v>0.1</v>
      </c>
      <c r="E20910" s="5">
        <v>121.7</v>
      </c>
      <c r="F20910" s="5">
        <v>243.5</v>
      </c>
      <c r="G20910" s="5">
        <v>121.5</v>
      </c>
      <c r="H20910" s="5">
        <v>121.3</v>
      </c>
      <c r="I20910" s="5"/>
      <c r="J20910" s="5"/>
      <c r="K20910" s="5"/>
    </row>
    <row r="20911" spans="1:11" x14ac:dyDescent="0.25">
      <c r="A20911" s="5">
        <f>20904</f>
      </c>
      <c r="B20911" s="5" t="s">
        <v>20919</v>
      </c>
      <c r="C20911" s="5">
        <v>121.5</v>
      </c>
      <c r="D20911" s="5">
        <v>0.1</v>
      </c>
      <c r="E20911" s="5">
        <v>121.7</v>
      </c>
      <c r="F20911" s="5">
        <v>243.5</v>
      </c>
      <c r="G20911" s="5">
        <v>121.5</v>
      </c>
      <c r="H20911" s="5">
        <v>121.3</v>
      </c>
      <c r="I20911" s="5"/>
      <c r="J20911" s="5"/>
      <c r="K20911" s="5"/>
    </row>
    <row r="20912" spans="1:11" x14ac:dyDescent="0.25">
      <c r="A20912" s="5">
        <f>20905</f>
      </c>
      <c r="B20912" s="5" t="s">
        <v>20920</v>
      </c>
      <c r="C20912" s="5">
        <v>121.6</v>
      </c>
      <c r="D20912" s="5">
        <v>0.1</v>
      </c>
      <c r="E20912" s="5">
        <v>121.8</v>
      </c>
      <c r="F20912" s="5">
        <v>243.3</v>
      </c>
      <c r="G20912" s="5">
        <v>121.4</v>
      </c>
      <c r="H20912" s="5">
        <v>121.2</v>
      </c>
      <c r="I20912" s="5"/>
      <c r="J20912" s="5"/>
      <c r="K20912" s="5"/>
    </row>
    <row r="20913" spans="1:11" x14ac:dyDescent="0.25">
      <c r="A20913" s="5">
        <f>20906</f>
      </c>
      <c r="B20913" s="5" t="s">
        <v>20921</v>
      </c>
      <c r="C20913" s="5">
        <v>121.6</v>
      </c>
      <c r="D20913" s="5">
        <v>0.1</v>
      </c>
      <c r="E20913" s="5">
        <v>121.8</v>
      </c>
      <c r="F20913" s="5">
        <v>243.3</v>
      </c>
      <c r="G20913" s="5">
        <v>121.4</v>
      </c>
      <c r="H20913" s="5">
        <v>121.2</v>
      </c>
      <c r="I20913" s="5"/>
      <c r="J20913" s="5"/>
      <c r="K20913" s="5"/>
    </row>
    <row r="20914" spans="1:11" x14ac:dyDescent="0.25">
      <c r="A20914" s="5">
        <f>20907</f>
      </c>
      <c r="B20914" s="5" t="s">
        <v>20922</v>
      </c>
      <c r="C20914" s="5">
        <v>121.6</v>
      </c>
      <c r="D20914" s="5">
        <v>0.1</v>
      </c>
      <c r="E20914" s="5">
        <v>121.8</v>
      </c>
      <c r="F20914" s="5">
        <v>243.3</v>
      </c>
      <c r="G20914" s="5">
        <v>121.4</v>
      </c>
      <c r="H20914" s="5">
        <v>121.2</v>
      </c>
      <c r="I20914" s="5"/>
      <c r="J20914" s="5"/>
      <c r="K20914" s="5"/>
    </row>
    <row r="20915" spans="1:11" x14ac:dyDescent="0.25">
      <c r="A20915" s="5">
        <f>20908</f>
      </c>
      <c r="B20915" s="5" t="s">
        <v>20923</v>
      </c>
      <c r="C20915" s="5">
        <v>121.6</v>
      </c>
      <c r="D20915" s="5">
        <v>0.1</v>
      </c>
      <c r="E20915" s="5">
        <v>122.3</v>
      </c>
      <c r="F20915" s="5">
        <v>243.4</v>
      </c>
      <c r="G20915" s="5">
        <v>121.5</v>
      </c>
      <c r="H20915" s="5">
        <v>121.3</v>
      </c>
      <c r="I20915" s="5"/>
      <c r="J20915" s="5"/>
      <c r="K20915" s="5"/>
    </row>
    <row r="20916" spans="1:11" x14ac:dyDescent="0.25">
      <c r="A20916" s="5">
        <f>20909</f>
      </c>
      <c r="B20916" s="5" t="s">
        <v>20924</v>
      </c>
      <c r="C20916" s="5">
        <v>122.1</v>
      </c>
      <c r="D20916" s="5">
        <v>0.1</v>
      </c>
      <c r="E20916" s="5">
        <v>122.3</v>
      </c>
      <c r="F20916" s="5">
        <v>243.4</v>
      </c>
      <c r="G20916" s="5">
        <v>121.5</v>
      </c>
      <c r="H20916" s="5">
        <v>121.3</v>
      </c>
      <c r="I20916" s="5"/>
      <c r="J20916" s="5"/>
      <c r="K20916" s="5"/>
    </row>
    <row r="20917" spans="1:11" x14ac:dyDescent="0.25">
      <c r="A20917" s="5">
        <f>20910</f>
      </c>
      <c r="B20917" s="5" t="s">
        <v>20925</v>
      </c>
      <c r="C20917" s="5">
        <v>122.1</v>
      </c>
      <c r="D20917" s="5">
        <v>0.1</v>
      </c>
      <c r="E20917" s="5">
        <v>122</v>
      </c>
      <c r="F20917" s="5">
        <v>243.6</v>
      </c>
      <c r="G20917" s="5">
        <v>121.5</v>
      </c>
      <c r="H20917" s="5">
        <v>121.4</v>
      </c>
      <c r="I20917" s="5"/>
      <c r="J20917" s="5"/>
      <c r="K20917" s="5"/>
    </row>
    <row r="20918" spans="1:11" x14ac:dyDescent="0.25">
      <c r="A20918" s="5">
        <f>20911</f>
      </c>
      <c r="B20918" s="5" t="s">
        <v>20926</v>
      </c>
      <c r="C20918" s="5">
        <v>121.8</v>
      </c>
      <c r="D20918" s="5">
        <v>0.1</v>
      </c>
      <c r="E20918" s="5">
        <v>122</v>
      </c>
      <c r="F20918" s="5">
        <v>243.6</v>
      </c>
      <c r="G20918" s="5">
        <v>121.5</v>
      </c>
      <c r="H20918" s="5">
        <v>121.4</v>
      </c>
      <c r="I20918" s="5"/>
      <c r="J20918" s="5"/>
      <c r="K20918" s="5"/>
    </row>
    <row r="20919" spans="1:11" x14ac:dyDescent="0.25">
      <c r="A20919" s="5">
        <f>20912</f>
      </c>
      <c r="B20919" s="5" t="s">
        <v>20927</v>
      </c>
      <c r="C20919" s="5">
        <v>121.8</v>
      </c>
      <c r="D20919" s="5">
        <v>0.1</v>
      </c>
      <c r="E20919" s="5">
        <v>122</v>
      </c>
      <c r="F20919" s="5">
        <v>243</v>
      </c>
      <c r="G20919" s="5">
        <v>121.3</v>
      </c>
      <c r="H20919" s="5">
        <v>121.1</v>
      </c>
      <c r="I20919" s="5"/>
      <c r="J20919" s="5"/>
      <c r="K20919" s="5"/>
    </row>
    <row r="20920" spans="1:11" x14ac:dyDescent="0.25">
      <c r="A20920" s="5">
        <f>20913</f>
      </c>
      <c r="B20920" s="5" t="s">
        <v>20928</v>
      </c>
      <c r="C20920" s="5">
        <v>121.5</v>
      </c>
      <c r="D20920" s="5">
        <v>0.1</v>
      </c>
      <c r="E20920" s="5">
        <v>121.7</v>
      </c>
      <c r="F20920" s="5">
        <v>243</v>
      </c>
      <c r="G20920" s="5">
        <v>121.3</v>
      </c>
      <c r="H20920" s="5">
        <v>121.1</v>
      </c>
      <c r="I20920" s="5"/>
      <c r="J20920" s="5"/>
      <c r="K20920" s="5"/>
    </row>
    <row r="20921" spans="1:11" x14ac:dyDescent="0.25">
      <c r="A20921" s="5">
        <f>20914</f>
      </c>
      <c r="B20921" s="5" t="s">
        <v>20929</v>
      </c>
      <c r="C20921" s="5">
        <v>121.5</v>
      </c>
      <c r="D20921" s="5">
        <v>0.1</v>
      </c>
      <c r="E20921" s="5">
        <v>121.7</v>
      </c>
      <c r="F20921" s="5">
        <v>243</v>
      </c>
      <c r="G20921" s="5">
        <v>121.3</v>
      </c>
      <c r="H20921" s="5">
        <v>121.4</v>
      </c>
      <c r="I20921" s="5"/>
      <c r="J20921" s="5"/>
      <c r="K20921" s="5"/>
    </row>
    <row r="20922" spans="1:11" x14ac:dyDescent="0.25">
      <c r="A20922" s="5">
        <f>20915</f>
      </c>
      <c r="B20922" s="5" t="s">
        <v>20930</v>
      </c>
      <c r="C20922" s="5">
        <v>121.8</v>
      </c>
      <c r="D20922" s="5">
        <v>0.1</v>
      </c>
      <c r="E20922" s="5">
        <v>121.9</v>
      </c>
      <c r="F20922" s="5">
        <v>243.5</v>
      </c>
      <c r="G20922" s="5">
        <v>121.6</v>
      </c>
      <c r="H20922" s="5">
        <v>121.4</v>
      </c>
      <c r="I20922" s="5"/>
      <c r="J20922" s="5"/>
      <c r="K20922" s="5"/>
    </row>
    <row r="20923" spans="1:11" x14ac:dyDescent="0.25">
      <c r="A20923" s="5">
        <f>20916</f>
      </c>
      <c r="B20923" s="5" t="s">
        <v>20931</v>
      </c>
      <c r="C20923" s="5">
        <v>121.8</v>
      </c>
      <c r="D20923" s="5">
        <v>0.1</v>
      </c>
      <c r="E20923" s="5">
        <v>121.9</v>
      </c>
      <c r="F20923" s="5">
        <v>243.5</v>
      </c>
      <c r="G20923" s="5">
        <v>121.6</v>
      </c>
      <c r="H20923" s="5">
        <v>121.4</v>
      </c>
      <c r="I20923" s="5"/>
      <c r="J20923" s="5"/>
      <c r="K20923" s="5"/>
    </row>
    <row r="20924" spans="1:11" x14ac:dyDescent="0.25">
      <c r="A20924" s="5">
        <f>20917</f>
      </c>
      <c r="B20924" s="5" t="s">
        <v>20932</v>
      </c>
      <c r="C20924" s="5">
        <v>121.8</v>
      </c>
      <c r="D20924" s="5">
        <v>0.1</v>
      </c>
      <c r="E20924" s="5">
        <v>121.9</v>
      </c>
      <c r="F20924" s="5">
        <v>243.5</v>
      </c>
      <c r="G20924" s="5">
        <v>121.6</v>
      </c>
      <c r="H20924" s="5">
        <v>121.4</v>
      </c>
      <c r="I20924" s="5"/>
      <c r="J20924" s="5"/>
      <c r="K20924" s="5"/>
    </row>
    <row r="20925" spans="1:11" x14ac:dyDescent="0.25">
      <c r="A20925" s="5">
        <f>20918</f>
      </c>
      <c r="B20925" s="5" t="s">
        <v>20933</v>
      </c>
      <c r="C20925" s="5">
        <v>121.9</v>
      </c>
      <c r="D20925" s="5">
        <v>0.1</v>
      </c>
      <c r="E20925" s="5">
        <v>122.1</v>
      </c>
      <c r="F20925" s="5">
        <v>243.5</v>
      </c>
      <c r="G20925" s="5">
        <v>121.6</v>
      </c>
      <c r="H20925" s="5">
        <v>121.4</v>
      </c>
      <c r="I20925" s="5"/>
      <c r="J20925" s="5"/>
      <c r="K20925" s="5"/>
    </row>
    <row r="20926" spans="1:11" x14ac:dyDescent="0.25">
      <c r="A20926" s="5">
        <f>20919</f>
      </c>
      <c r="B20926" s="5" t="s">
        <v>20934</v>
      </c>
      <c r="C20926" s="5">
        <v>121.9</v>
      </c>
      <c r="D20926" s="5">
        <v>0.1</v>
      </c>
      <c r="E20926" s="5">
        <v>122.1</v>
      </c>
      <c r="F20926" s="5">
        <v>243.8</v>
      </c>
      <c r="G20926" s="5">
        <v>121.7</v>
      </c>
      <c r="H20926" s="5">
        <v>121.5</v>
      </c>
      <c r="I20926" s="5"/>
      <c r="J20926" s="5"/>
      <c r="K20926" s="5"/>
    </row>
    <row r="20927" spans="1:11" x14ac:dyDescent="0.25">
      <c r="A20927" s="5">
        <f>20920</f>
      </c>
      <c r="B20927" s="5" t="s">
        <v>20935</v>
      </c>
      <c r="C20927" s="5">
        <v>121.8</v>
      </c>
      <c r="D20927" s="5">
        <v>0.1</v>
      </c>
      <c r="E20927" s="5">
        <v>122.1</v>
      </c>
      <c r="F20927" s="5">
        <v>243.8</v>
      </c>
      <c r="G20927" s="5">
        <v>121.7</v>
      </c>
      <c r="H20927" s="5">
        <v>121.5</v>
      </c>
      <c r="I20927" s="5"/>
      <c r="J20927" s="5"/>
      <c r="K20927" s="5"/>
    </row>
    <row r="20928" spans="1:11" x14ac:dyDescent="0.25">
      <c r="A20928" s="5">
        <f>20921</f>
      </c>
      <c r="B20928" s="5" t="s">
        <v>20936</v>
      </c>
      <c r="C20928" s="5">
        <v>121.8</v>
      </c>
      <c r="D20928" s="5">
        <v>0.1</v>
      </c>
      <c r="E20928" s="5">
        <v>121.9</v>
      </c>
      <c r="F20928" s="5">
        <v>243.3</v>
      </c>
      <c r="G20928" s="5">
        <v>121.4</v>
      </c>
      <c r="H20928" s="5">
        <v>121.2</v>
      </c>
      <c r="I20928" s="5"/>
      <c r="J20928" s="5"/>
      <c r="K20928" s="5"/>
    </row>
    <row r="20929" spans="1:11" x14ac:dyDescent="0.25">
      <c r="A20929" s="5">
        <f>20922</f>
      </c>
      <c r="B20929" s="5" t="s">
        <v>20937</v>
      </c>
      <c r="C20929" s="5">
        <v>121.8</v>
      </c>
      <c r="D20929" s="5">
        <v>0.1</v>
      </c>
      <c r="E20929" s="5">
        <v>121.9</v>
      </c>
      <c r="F20929" s="5">
        <v>243.3</v>
      </c>
      <c r="G20929" s="5">
        <v>121.4</v>
      </c>
      <c r="H20929" s="5">
        <v>121.2</v>
      </c>
      <c r="I20929" s="5"/>
      <c r="J20929" s="5"/>
      <c r="K20929" s="5"/>
    </row>
    <row r="20930" spans="1:11" x14ac:dyDescent="0.25">
      <c r="A20930" s="5">
        <f>20923</f>
      </c>
      <c r="B20930" s="5" t="s">
        <v>20938</v>
      </c>
      <c r="C20930" s="5">
        <v>121.5</v>
      </c>
      <c r="D20930" s="5">
        <v>0.1</v>
      </c>
      <c r="E20930" s="5">
        <v>121.8</v>
      </c>
      <c r="F20930" s="5">
        <v>242.9</v>
      </c>
      <c r="G20930" s="5">
        <v>121.3</v>
      </c>
      <c r="H20930" s="5">
        <v>121.1</v>
      </c>
      <c r="I20930" s="5"/>
      <c r="J20930" s="5"/>
      <c r="K20930" s="5"/>
    </row>
    <row r="20931" spans="1:11" x14ac:dyDescent="0.25">
      <c r="A20931" s="5">
        <f>20924</f>
      </c>
      <c r="B20931" s="5" t="s">
        <v>20939</v>
      </c>
      <c r="C20931" s="5">
        <v>121.5</v>
      </c>
      <c r="D20931" s="5">
        <v>0.1</v>
      </c>
      <c r="E20931" s="5">
        <v>121.8</v>
      </c>
      <c r="F20931" s="5">
        <v>242.9</v>
      </c>
      <c r="G20931" s="5">
        <v>121.3</v>
      </c>
      <c r="H20931" s="5">
        <v>121.1</v>
      </c>
      <c r="I20931" s="5"/>
      <c r="J20931" s="5"/>
      <c r="K20931" s="5"/>
    </row>
    <row r="20932" spans="1:11" x14ac:dyDescent="0.25">
      <c r="A20932" s="5">
        <f>20925</f>
      </c>
      <c r="B20932" s="5" t="s">
        <v>20940</v>
      </c>
      <c r="C20932" s="5">
        <v>121.9</v>
      </c>
      <c r="D20932" s="5">
        <v>0.1</v>
      </c>
      <c r="E20932" s="5">
        <v>122.1</v>
      </c>
      <c r="F20932" s="5">
        <v>243.4</v>
      </c>
      <c r="G20932" s="5">
        <v>121.5</v>
      </c>
      <c r="H20932" s="5">
        <v>121.3</v>
      </c>
      <c r="I20932" s="5"/>
      <c r="J20932" s="5"/>
      <c r="K20932" s="5"/>
    </row>
    <row r="20933" spans="1:11" x14ac:dyDescent="0.25">
      <c r="A20933" s="5">
        <f>20926</f>
      </c>
      <c r="B20933" s="5" t="s">
        <v>20941</v>
      </c>
      <c r="C20933" s="5">
        <v>121.9</v>
      </c>
      <c r="D20933" s="5">
        <v>0.1</v>
      </c>
      <c r="E20933" s="5">
        <v>122.1</v>
      </c>
      <c r="F20933" s="5">
        <v>243.4</v>
      </c>
      <c r="G20933" s="5">
        <v>121.5</v>
      </c>
      <c r="H20933" s="5">
        <v>121.3</v>
      </c>
      <c r="I20933" s="5"/>
      <c r="J20933" s="5"/>
      <c r="K20933" s="5"/>
    </row>
    <row r="20934" spans="1:11" x14ac:dyDescent="0.25">
      <c r="A20934" s="5">
        <f>20927</f>
      </c>
      <c r="B20934" s="5" t="s">
        <v>20942</v>
      </c>
      <c r="C20934" s="5">
        <v>121.9</v>
      </c>
      <c r="D20934" s="5">
        <v>0.1</v>
      </c>
      <c r="E20934" s="5">
        <v>122.1</v>
      </c>
      <c r="F20934" s="5">
        <v>243.4</v>
      </c>
      <c r="G20934" s="5">
        <v>121.5</v>
      </c>
      <c r="H20934" s="5">
        <v>121.3</v>
      </c>
      <c r="I20934" s="5"/>
      <c r="J20934" s="5"/>
      <c r="K20934" s="5"/>
    </row>
    <row r="20935" spans="1:11" x14ac:dyDescent="0.25">
      <c r="A20935" s="5">
        <f>20928</f>
      </c>
      <c r="B20935" s="5" t="s">
        <v>20943</v>
      </c>
      <c r="C20935" s="5">
        <v>121.9</v>
      </c>
      <c r="D20935" s="5">
        <v>0.1</v>
      </c>
      <c r="E20935" s="5">
        <v>122.1</v>
      </c>
      <c r="F20935" s="5">
        <v>243.4</v>
      </c>
      <c r="G20935" s="5">
        <v>121.5</v>
      </c>
      <c r="H20935" s="5">
        <v>121.3</v>
      </c>
      <c r="I20935" s="5"/>
      <c r="J20935" s="5"/>
      <c r="K20935" s="5"/>
    </row>
    <row r="20936" spans="1:11" x14ac:dyDescent="0.25">
      <c r="A20936" s="5">
        <f>20929</f>
      </c>
      <c r="B20936" s="5" t="s">
        <v>20944</v>
      </c>
      <c r="C20936" s="5">
        <v>121.7</v>
      </c>
      <c r="D20936" s="5">
        <v>0.1</v>
      </c>
      <c r="E20936" s="5">
        <v>121.8</v>
      </c>
      <c r="F20936" s="5">
        <v>243.8</v>
      </c>
      <c r="G20936" s="5">
        <v>121.7</v>
      </c>
      <c r="H20936" s="5">
        <v>121.5</v>
      </c>
      <c r="I20936" s="5"/>
      <c r="J20936" s="5"/>
      <c r="K20936" s="5"/>
    </row>
    <row r="20937" spans="1:11" x14ac:dyDescent="0.25">
      <c r="A20937" s="5">
        <f>20930</f>
      </c>
      <c r="B20937" s="5" t="s">
        <v>20945</v>
      </c>
      <c r="C20937" s="5">
        <v>121.7</v>
      </c>
      <c r="D20937" s="5">
        <v>0.1</v>
      </c>
      <c r="E20937" s="5">
        <v>121.8</v>
      </c>
      <c r="F20937" s="5">
        <v>243.8</v>
      </c>
      <c r="G20937" s="5">
        <v>121.7</v>
      </c>
      <c r="H20937" s="5">
        <v>121.5</v>
      </c>
      <c r="I20937" s="5"/>
      <c r="J20937" s="5"/>
      <c r="K20937" s="5"/>
    </row>
    <row r="20938" spans="1:11" x14ac:dyDescent="0.25">
      <c r="A20938" s="5">
        <f>20931</f>
      </c>
      <c r="B20938" s="5" t="s">
        <v>20946</v>
      </c>
      <c r="C20938" s="5">
        <v>122</v>
      </c>
      <c r="D20938" s="5">
        <v>0.1</v>
      </c>
      <c r="E20938" s="5">
        <v>122.1</v>
      </c>
      <c r="F20938" s="5">
        <v>243.6</v>
      </c>
      <c r="G20938" s="5">
        <v>121.5</v>
      </c>
      <c r="H20938" s="5">
        <v>121.4</v>
      </c>
      <c r="I20938" s="5"/>
      <c r="J20938" s="5"/>
      <c r="K20938" s="5"/>
    </row>
    <row r="20939" spans="1:11" x14ac:dyDescent="0.25">
      <c r="A20939" s="5">
        <f>20932</f>
      </c>
      <c r="B20939" s="5" t="s">
        <v>20947</v>
      </c>
      <c r="C20939" s="5">
        <v>122</v>
      </c>
      <c r="D20939" s="5">
        <v>0.1</v>
      </c>
      <c r="E20939" s="5">
        <v>122.1</v>
      </c>
      <c r="F20939" s="5">
        <v>243.6</v>
      </c>
      <c r="G20939" s="5">
        <v>121.5</v>
      </c>
      <c r="H20939" s="5">
        <v>121.4</v>
      </c>
      <c r="I20939" s="5"/>
      <c r="J20939" s="5"/>
      <c r="K20939" s="5"/>
    </row>
    <row r="20940" spans="1:11" x14ac:dyDescent="0.25">
      <c r="A20940" s="5">
        <f>20933</f>
      </c>
      <c r="B20940" s="5" t="s">
        <v>20948</v>
      </c>
      <c r="C20940" s="5">
        <v>121.8</v>
      </c>
      <c r="D20940" s="5">
        <v>0.1</v>
      </c>
      <c r="E20940" s="5">
        <v>122</v>
      </c>
      <c r="F20940" s="5">
        <v>243.2</v>
      </c>
      <c r="G20940" s="5">
        <v>121.3</v>
      </c>
      <c r="H20940" s="5">
        <v>121.2</v>
      </c>
      <c r="I20940" s="5"/>
      <c r="J20940" s="5"/>
      <c r="K20940" s="5"/>
    </row>
    <row r="20941" spans="1:11" x14ac:dyDescent="0.25">
      <c r="A20941" s="5">
        <f>20934</f>
      </c>
      <c r="B20941" s="5" t="s">
        <v>20949</v>
      </c>
      <c r="C20941" s="5">
        <v>121.8</v>
      </c>
      <c r="D20941" s="5">
        <v>0.1</v>
      </c>
      <c r="E20941" s="5">
        <v>122</v>
      </c>
      <c r="F20941" s="5">
        <v>243.2</v>
      </c>
      <c r="G20941" s="5">
        <v>121.3</v>
      </c>
      <c r="H20941" s="5">
        <v>121.2</v>
      </c>
      <c r="I20941" s="5"/>
      <c r="J20941" s="5"/>
      <c r="K20941" s="5"/>
    </row>
    <row r="20942" spans="1:11" x14ac:dyDescent="0.25">
      <c r="A20942" s="5">
        <f>20935</f>
      </c>
      <c r="B20942" s="5" t="s">
        <v>20950</v>
      </c>
      <c r="C20942" s="5">
        <v>122</v>
      </c>
      <c r="D20942" s="5">
        <v>0.1</v>
      </c>
      <c r="E20942" s="5">
        <v>122.2</v>
      </c>
      <c r="F20942" s="5">
        <v>243.2</v>
      </c>
      <c r="G20942" s="5">
        <v>121.4</v>
      </c>
      <c r="H20942" s="5">
        <v>121.2</v>
      </c>
      <c r="I20942" s="5"/>
      <c r="J20942" s="5"/>
      <c r="K20942" s="5"/>
    </row>
    <row r="20943" spans="1:11" x14ac:dyDescent="0.25">
      <c r="A20943" s="5">
        <f>20936</f>
      </c>
      <c r="B20943" s="5" t="s">
        <v>20951</v>
      </c>
      <c r="C20943" s="5">
        <v>122</v>
      </c>
      <c r="D20943" s="5">
        <v>0.1</v>
      </c>
      <c r="E20943" s="5">
        <v>122.2</v>
      </c>
      <c r="F20943" s="5">
        <v>243.2</v>
      </c>
      <c r="G20943" s="5">
        <v>121.4</v>
      </c>
      <c r="H20943" s="5">
        <v>121.2</v>
      </c>
      <c r="I20943" s="5"/>
      <c r="J20943" s="5"/>
      <c r="K20943" s="5"/>
    </row>
    <row r="20944" spans="1:11" x14ac:dyDescent="0.25">
      <c r="A20944" s="5">
        <f>20937</f>
      </c>
      <c r="B20944" s="5" t="s">
        <v>20952</v>
      </c>
      <c r="C20944" s="5">
        <v>122</v>
      </c>
      <c r="D20944" s="5">
        <v>0.1</v>
      </c>
      <c r="E20944" s="5">
        <v>122.2</v>
      </c>
      <c r="F20944" s="5">
        <v>243.2</v>
      </c>
      <c r="G20944" s="5">
        <v>121.4</v>
      </c>
      <c r="H20944" s="5">
        <v>121.2</v>
      </c>
      <c r="I20944" s="5"/>
      <c r="J20944" s="5"/>
      <c r="K20944" s="5"/>
    </row>
    <row r="20945" spans="1:11" x14ac:dyDescent="0.25">
      <c r="A20945" s="5">
        <f>20938</f>
      </c>
      <c r="B20945" s="5" t="s">
        <v>20953</v>
      </c>
      <c r="C20945" s="5">
        <v>121.5</v>
      </c>
      <c r="D20945" s="5">
        <v>0.1</v>
      </c>
      <c r="E20945" s="5">
        <v>121.6</v>
      </c>
      <c r="F20945" s="5">
        <v>243.4</v>
      </c>
      <c r="G20945" s="5">
        <v>121.4</v>
      </c>
      <c r="H20945" s="5">
        <v>121.3</v>
      </c>
      <c r="I20945" s="5"/>
      <c r="J20945" s="5"/>
      <c r="K20945" s="5"/>
    </row>
    <row r="20946" spans="1:11" x14ac:dyDescent="0.25">
      <c r="A20946" s="5">
        <f>20939</f>
      </c>
      <c r="B20946" s="5" t="s">
        <v>20954</v>
      </c>
      <c r="C20946" s="5">
        <v>121.5</v>
      </c>
      <c r="D20946" s="5">
        <v>0.1</v>
      </c>
      <c r="E20946" s="5">
        <v>121.6</v>
      </c>
      <c r="F20946" s="5">
        <v>243.4</v>
      </c>
      <c r="G20946" s="5">
        <v>121.4</v>
      </c>
      <c r="H20946" s="5">
        <v>121.3</v>
      </c>
      <c r="I20946" s="5"/>
      <c r="J20946" s="5"/>
      <c r="K20946" s="5"/>
    </row>
    <row r="20947" spans="1:11" x14ac:dyDescent="0.25">
      <c r="A20947" s="5">
        <f>20940</f>
      </c>
      <c r="B20947" s="5" t="s">
        <v>20955</v>
      </c>
      <c r="C20947" s="5">
        <v>121.3</v>
      </c>
      <c r="D20947" s="5">
        <v>0.1</v>
      </c>
      <c r="E20947" s="5">
        <v>121.5</v>
      </c>
      <c r="F20947" s="5">
        <v>243</v>
      </c>
      <c r="G20947" s="5">
        <v>121.3</v>
      </c>
      <c r="H20947" s="5">
        <v>121.1</v>
      </c>
      <c r="I20947" s="5"/>
      <c r="J20947" s="5"/>
      <c r="K20947" s="5"/>
    </row>
    <row r="20948" spans="1:11" x14ac:dyDescent="0.25">
      <c r="A20948" s="5">
        <f>20941</f>
      </c>
      <c r="B20948" s="5" t="s">
        <v>20956</v>
      </c>
      <c r="C20948" s="5">
        <v>121.3</v>
      </c>
      <c r="D20948" s="5">
        <v>0.1</v>
      </c>
      <c r="E20948" s="5">
        <v>121.5</v>
      </c>
      <c r="F20948" s="5">
        <v>243</v>
      </c>
      <c r="G20948" s="5">
        <v>121.3</v>
      </c>
      <c r="H20948" s="5">
        <v>121.1</v>
      </c>
      <c r="I20948" s="5"/>
      <c r="J20948" s="5"/>
      <c r="K20948" s="5"/>
    </row>
    <row r="20949" spans="1:11" x14ac:dyDescent="0.25">
      <c r="A20949" s="5">
        <f>20942</f>
      </c>
      <c r="B20949" s="5" t="s">
        <v>20957</v>
      </c>
      <c r="C20949" s="5">
        <v>121.4</v>
      </c>
      <c r="D20949" s="5">
        <v>0.1</v>
      </c>
      <c r="E20949" s="5">
        <v>121.5</v>
      </c>
      <c r="F20949" s="5">
        <v>242.9</v>
      </c>
      <c r="G20949" s="5">
        <v>121.2</v>
      </c>
      <c r="H20949" s="5">
        <v>121.1</v>
      </c>
      <c r="I20949" s="5"/>
      <c r="J20949" s="5"/>
      <c r="K20949" s="5"/>
    </row>
    <row r="20950" spans="1:11" x14ac:dyDescent="0.25">
      <c r="A20950" s="5">
        <f>20943</f>
      </c>
      <c r="B20950" s="5" t="s">
        <v>20958</v>
      </c>
      <c r="C20950" s="5">
        <v>121.4</v>
      </c>
      <c r="D20950" s="5">
        <v>0.1</v>
      </c>
      <c r="E20950" s="5">
        <v>121.5</v>
      </c>
      <c r="F20950" s="5">
        <v>242.9</v>
      </c>
      <c r="G20950" s="5">
        <v>121.2</v>
      </c>
      <c r="H20950" s="5">
        <v>121.1</v>
      </c>
      <c r="I20950" s="5"/>
      <c r="J20950" s="5"/>
      <c r="K20950" s="5"/>
    </row>
    <row r="20951" spans="1:11" x14ac:dyDescent="0.25">
      <c r="A20951" s="5">
        <f>20944</f>
      </c>
      <c r="B20951" s="5" t="s">
        <v>20959</v>
      </c>
      <c r="C20951" s="5">
        <v>121.8</v>
      </c>
      <c r="D20951" s="5">
        <v>0.1</v>
      </c>
      <c r="E20951" s="5">
        <v>121.9</v>
      </c>
      <c r="F20951" s="5">
        <v>242.8</v>
      </c>
      <c r="G20951" s="5">
        <v>121.2</v>
      </c>
      <c r="H20951" s="5">
        <v>121</v>
      </c>
      <c r="I20951" s="5"/>
      <c r="J20951" s="5"/>
      <c r="K20951" s="5"/>
    </row>
    <row r="20952" spans="1:11" x14ac:dyDescent="0.25">
      <c r="A20952" s="5">
        <f>20945</f>
      </c>
      <c r="B20952" s="5" t="s">
        <v>20960</v>
      </c>
      <c r="C20952" s="5">
        <v>121.8</v>
      </c>
      <c r="D20952" s="5">
        <v>0.1</v>
      </c>
      <c r="E20952" s="5">
        <v>121.9</v>
      </c>
      <c r="F20952" s="5">
        <v>242.8</v>
      </c>
      <c r="G20952" s="5">
        <v>121.2</v>
      </c>
      <c r="H20952" s="5">
        <v>121</v>
      </c>
      <c r="I20952" s="5"/>
      <c r="J20952" s="5"/>
      <c r="K20952" s="5"/>
    </row>
    <row r="20953" spans="1:11" x14ac:dyDescent="0.25">
      <c r="A20953" s="5">
        <f>20946</f>
      </c>
      <c r="B20953" s="5" t="s">
        <v>20961</v>
      </c>
      <c r="C20953" s="5">
        <v>121.8</v>
      </c>
      <c r="D20953" s="5">
        <v>0.1</v>
      </c>
      <c r="E20953" s="5">
        <v>121.9</v>
      </c>
      <c r="F20953" s="5">
        <v>242.8</v>
      </c>
      <c r="G20953" s="5">
        <v>121.2</v>
      </c>
      <c r="H20953" s="5">
        <v>121</v>
      </c>
      <c r="I20953" s="5"/>
      <c r="J20953" s="5"/>
      <c r="K20953" s="5"/>
    </row>
    <row r="20954" spans="1:11" x14ac:dyDescent="0.25">
      <c r="A20954" s="5">
        <f>20947</f>
      </c>
      <c r="B20954" s="5" t="s">
        <v>20962</v>
      </c>
      <c r="C20954" s="5">
        <v>121.8</v>
      </c>
      <c r="D20954" s="5">
        <v>0.1</v>
      </c>
      <c r="E20954" s="5">
        <v>121.9</v>
      </c>
      <c r="F20954" s="5">
        <v>242.8</v>
      </c>
      <c r="G20954" s="5">
        <v>121.2</v>
      </c>
      <c r="H20954" s="5">
        <v>121</v>
      </c>
      <c r="I20954" s="5"/>
      <c r="J20954" s="5"/>
      <c r="K20954" s="5"/>
    </row>
    <row r="20955" spans="1:11" x14ac:dyDescent="0.25">
      <c r="A20955" s="5">
        <f>20948</f>
      </c>
      <c r="B20955" s="5" t="s">
        <v>20963</v>
      </c>
      <c r="C20955" s="5">
        <v>121.5</v>
      </c>
      <c r="D20955" s="5">
        <v>0.1</v>
      </c>
      <c r="E20955" s="5">
        <v>121.6</v>
      </c>
      <c r="F20955" s="5">
        <v>243</v>
      </c>
      <c r="G20955" s="5">
        <v>121.3</v>
      </c>
      <c r="H20955" s="5">
        <v>121</v>
      </c>
      <c r="I20955" s="5"/>
      <c r="J20955" s="5"/>
      <c r="K20955" s="5"/>
    </row>
    <row r="20956" spans="1:11" x14ac:dyDescent="0.25">
      <c r="A20956" s="5">
        <f>20949</f>
      </c>
      <c r="B20956" s="5" t="s">
        <v>20964</v>
      </c>
      <c r="C20956" s="5">
        <v>121.5</v>
      </c>
      <c r="D20956" s="5">
        <v>0.1</v>
      </c>
      <c r="E20956" s="5">
        <v>121.6</v>
      </c>
      <c r="F20956" s="5">
        <v>243</v>
      </c>
      <c r="G20956" s="5">
        <v>121.3</v>
      </c>
      <c r="H20956" s="5">
        <v>121</v>
      </c>
      <c r="I20956" s="5"/>
      <c r="J20956" s="5"/>
      <c r="K20956" s="5"/>
    </row>
    <row r="20957" spans="1:11" x14ac:dyDescent="0.25">
      <c r="A20957" s="5">
        <f>20950</f>
      </c>
      <c r="B20957" s="5" t="s">
        <v>20965</v>
      </c>
      <c r="C20957" s="5">
        <v>121.5</v>
      </c>
      <c r="D20957" s="5">
        <v>0.1</v>
      </c>
      <c r="E20957" s="5">
        <v>121.6</v>
      </c>
      <c r="F20957" s="5">
        <v>242.6</v>
      </c>
      <c r="G20957" s="5">
        <v>121.1</v>
      </c>
      <c r="H20957" s="5">
        <v>121</v>
      </c>
      <c r="I20957" s="5"/>
      <c r="J20957" s="5"/>
      <c r="K20957" s="5"/>
    </row>
    <row r="20958" spans="1:11" x14ac:dyDescent="0.25">
      <c r="A20958" s="5">
        <f>20951</f>
      </c>
      <c r="B20958" s="5" t="s">
        <v>20966</v>
      </c>
      <c r="C20958" s="5">
        <v>121.5</v>
      </c>
      <c r="D20958" s="5">
        <v>0.1</v>
      </c>
      <c r="E20958" s="5">
        <v>121.6</v>
      </c>
      <c r="F20958" s="5">
        <v>242.6</v>
      </c>
      <c r="G20958" s="5">
        <v>121.1</v>
      </c>
      <c r="H20958" s="5">
        <v>121</v>
      </c>
      <c r="I20958" s="5"/>
      <c r="J20958" s="5"/>
      <c r="K20958" s="5"/>
    </row>
    <row r="20959" spans="1:11" x14ac:dyDescent="0.25">
      <c r="A20959" s="5">
        <f>20952</f>
      </c>
      <c r="B20959" s="5" t="s">
        <v>20967</v>
      </c>
      <c r="C20959" s="5">
        <v>121.4</v>
      </c>
      <c r="D20959" s="5">
        <v>0.1</v>
      </c>
      <c r="E20959" s="5">
        <v>121.5</v>
      </c>
      <c r="F20959" s="5">
        <v>243.1</v>
      </c>
      <c r="G20959" s="5">
        <v>121.3</v>
      </c>
      <c r="H20959" s="5">
        <v>121.1</v>
      </c>
      <c r="I20959" s="5"/>
      <c r="J20959" s="5"/>
      <c r="K20959" s="5"/>
    </row>
    <row r="20960" spans="1:11" x14ac:dyDescent="0.25">
      <c r="A20960" s="5">
        <f>20953</f>
      </c>
      <c r="B20960" s="5" t="s">
        <v>20968</v>
      </c>
      <c r="C20960" s="5">
        <v>121.4</v>
      </c>
      <c r="D20960" s="5">
        <v>0.1</v>
      </c>
      <c r="E20960" s="5">
        <v>121.5</v>
      </c>
      <c r="F20960" s="5">
        <v>243.1</v>
      </c>
      <c r="G20960" s="5">
        <v>121.3</v>
      </c>
      <c r="H20960" s="5">
        <v>121.1</v>
      </c>
      <c r="I20960" s="5"/>
      <c r="J20960" s="5"/>
      <c r="K20960" s="5"/>
    </row>
    <row r="20961" spans="1:11" x14ac:dyDescent="0.25">
      <c r="A20961" s="5">
        <f>20954</f>
      </c>
      <c r="B20961" s="5" t="s">
        <v>20969</v>
      </c>
      <c r="C20961" s="5">
        <v>121.3</v>
      </c>
      <c r="D20961" s="5">
        <v>0.1</v>
      </c>
      <c r="E20961" s="5">
        <v>121.5</v>
      </c>
      <c r="F20961" s="5">
        <v>242.8</v>
      </c>
      <c r="G20961" s="5">
        <v>121.2</v>
      </c>
      <c r="H20961" s="5">
        <v>121</v>
      </c>
      <c r="I20961" s="5"/>
      <c r="J20961" s="5"/>
      <c r="K20961" s="5"/>
    </row>
    <row r="20962" spans="1:11" x14ac:dyDescent="0.25">
      <c r="A20962" s="5">
        <f>20955</f>
      </c>
      <c r="B20962" s="5" t="s">
        <v>20970</v>
      </c>
      <c r="C20962" s="5">
        <v>121.3</v>
      </c>
      <c r="D20962" s="5">
        <v>0.1</v>
      </c>
      <c r="E20962" s="5">
        <v>121.5</v>
      </c>
      <c r="F20962" s="5">
        <v>242.8</v>
      </c>
      <c r="G20962" s="5">
        <v>121.2</v>
      </c>
      <c r="H20962" s="5">
        <v>121</v>
      </c>
      <c r="I20962" s="5"/>
      <c r="J20962" s="5"/>
      <c r="K20962" s="5"/>
    </row>
    <row r="20963" spans="1:11" x14ac:dyDescent="0.25">
      <c r="A20963" s="5">
        <f>20956</f>
      </c>
      <c r="B20963" s="5" t="s">
        <v>20971</v>
      </c>
      <c r="C20963" s="5">
        <v>121.3</v>
      </c>
      <c r="D20963" s="5">
        <v>0.1</v>
      </c>
      <c r="E20963" s="5">
        <v>121.5</v>
      </c>
      <c r="F20963" s="5">
        <v>242.8</v>
      </c>
      <c r="G20963" s="5">
        <v>121.2</v>
      </c>
      <c r="H20963" s="5">
        <v>121</v>
      </c>
      <c r="I20963" s="5"/>
      <c r="J20963" s="5"/>
      <c r="K20963" s="5"/>
    </row>
    <row r="20964" spans="1:11" x14ac:dyDescent="0.25">
      <c r="A20964" s="5">
        <f>20957</f>
      </c>
      <c r="B20964" s="5" t="s">
        <v>20972</v>
      </c>
      <c r="C20964" s="5">
        <v>121.3</v>
      </c>
      <c r="D20964" s="5">
        <v>0.1</v>
      </c>
      <c r="E20964" s="5">
        <v>121.5</v>
      </c>
      <c r="F20964" s="5">
        <v>242.8</v>
      </c>
      <c r="G20964" s="5">
        <v>121.2</v>
      </c>
      <c r="H20964" s="5">
        <v>121</v>
      </c>
      <c r="I20964" s="5"/>
      <c r="J20964" s="5"/>
      <c r="K20964" s="5"/>
    </row>
    <row r="20965" spans="1:11" x14ac:dyDescent="0.25">
      <c r="A20965" s="5">
        <f>20958</f>
      </c>
      <c r="B20965" s="5" t="s">
        <v>20973</v>
      </c>
      <c r="C20965" s="5">
        <v>121.7</v>
      </c>
      <c r="D20965" s="5">
        <v>0.1</v>
      </c>
      <c r="E20965" s="5">
        <v>121.8</v>
      </c>
      <c r="F20965" s="5">
        <v>242.8</v>
      </c>
      <c r="G20965" s="5">
        <v>121.2</v>
      </c>
      <c r="H20965" s="5">
        <v>121.1</v>
      </c>
      <c r="I20965" s="5"/>
      <c r="J20965" s="5"/>
      <c r="K20965" s="5"/>
    </row>
    <row r="20966" spans="1:11" x14ac:dyDescent="0.25">
      <c r="A20966" s="5">
        <f>20959</f>
      </c>
      <c r="B20966" s="5" t="s">
        <v>20974</v>
      </c>
      <c r="C20966" s="5">
        <v>121.7</v>
      </c>
      <c r="D20966" s="5">
        <v>0.1</v>
      </c>
      <c r="E20966" s="5">
        <v>121.8</v>
      </c>
      <c r="F20966" s="5">
        <v>243.1</v>
      </c>
      <c r="G20966" s="5">
        <v>121.3</v>
      </c>
      <c r="H20966" s="5">
        <v>121.1</v>
      </c>
      <c r="I20966" s="5"/>
      <c r="J20966" s="5"/>
      <c r="K20966" s="5"/>
    </row>
    <row r="20967" spans="1:11" x14ac:dyDescent="0.25">
      <c r="A20967" s="5">
        <f>20960</f>
      </c>
      <c r="B20967" s="5" t="s">
        <v>20975</v>
      </c>
      <c r="C20967" s="5">
        <v>121.5</v>
      </c>
      <c r="D20967" s="5">
        <v>0.1</v>
      </c>
      <c r="E20967" s="5">
        <v>121.8</v>
      </c>
      <c r="F20967" s="5">
        <v>243.1</v>
      </c>
      <c r="G20967" s="5">
        <v>121.3</v>
      </c>
      <c r="H20967" s="5">
        <v>121.1</v>
      </c>
      <c r="I20967" s="5"/>
      <c r="J20967" s="5"/>
      <c r="K20967" s="5"/>
    </row>
    <row r="20968" spans="1:11" x14ac:dyDescent="0.25">
      <c r="A20968" s="5">
        <f>20961</f>
      </c>
      <c r="B20968" s="5" t="s">
        <v>20976</v>
      </c>
      <c r="C20968" s="5">
        <v>121.5</v>
      </c>
      <c r="D20968" s="5">
        <v>0.1</v>
      </c>
      <c r="E20968" s="5">
        <v>121.7</v>
      </c>
      <c r="F20968" s="5">
        <v>242.7</v>
      </c>
      <c r="G20968" s="5">
        <v>121.2</v>
      </c>
      <c r="H20968" s="5">
        <v>121</v>
      </c>
      <c r="I20968" s="5"/>
      <c r="J20968" s="5"/>
      <c r="K20968" s="5"/>
    </row>
    <row r="20969" spans="1:11" x14ac:dyDescent="0.25">
      <c r="A20969" s="5">
        <f>20962</f>
      </c>
      <c r="B20969" s="5" t="s">
        <v>20977</v>
      </c>
      <c r="C20969" s="5">
        <v>121.5</v>
      </c>
      <c r="D20969" s="5">
        <v>0.1</v>
      </c>
      <c r="E20969" s="5">
        <v>121.7</v>
      </c>
      <c r="F20969" s="5">
        <v>242.7</v>
      </c>
      <c r="G20969" s="5">
        <v>121.2</v>
      </c>
      <c r="H20969" s="5">
        <v>121</v>
      </c>
      <c r="I20969" s="5"/>
      <c r="J20969" s="5"/>
      <c r="K20969" s="5"/>
    </row>
    <row r="20970" spans="1:11" x14ac:dyDescent="0.25">
      <c r="A20970" s="5">
        <f>20963</f>
      </c>
      <c r="B20970" s="5" t="s">
        <v>20978</v>
      </c>
      <c r="C20970" s="5">
        <v>121.4</v>
      </c>
      <c r="D20970" s="5">
        <v>0.1</v>
      </c>
      <c r="E20970" s="5">
        <v>121.5</v>
      </c>
      <c r="F20970" s="5">
        <v>242.4</v>
      </c>
      <c r="G20970" s="5">
        <v>121</v>
      </c>
      <c r="H20970" s="5">
        <v>120.8</v>
      </c>
      <c r="I20970" s="5"/>
      <c r="J20970" s="5"/>
      <c r="K20970" s="5"/>
    </row>
    <row r="20971" spans="1:11" x14ac:dyDescent="0.25">
      <c r="A20971" s="5">
        <f>20964</f>
      </c>
      <c r="B20971" s="5" t="s">
        <v>20979</v>
      </c>
      <c r="C20971" s="5">
        <v>121.4</v>
      </c>
      <c r="D20971" s="5">
        <v>0.1</v>
      </c>
      <c r="E20971" s="5">
        <v>121.5</v>
      </c>
      <c r="F20971" s="5">
        <v>242.4</v>
      </c>
      <c r="G20971" s="5">
        <v>121</v>
      </c>
      <c r="H20971" s="5">
        <v>120.8</v>
      </c>
      <c r="I20971" s="5"/>
      <c r="J20971" s="5"/>
      <c r="K20971" s="5"/>
    </row>
    <row r="20972" spans="1:11" x14ac:dyDescent="0.25">
      <c r="A20972" s="5">
        <f>20965</f>
      </c>
      <c r="B20972" s="5" t="s">
        <v>20980</v>
      </c>
      <c r="C20972" s="5">
        <v>118</v>
      </c>
      <c r="D20972" s="5">
        <v>0.1</v>
      </c>
      <c r="E20972" s="5">
        <v>118.2</v>
      </c>
      <c r="F20972" s="5">
        <v>222.1</v>
      </c>
      <c r="G20972" s="5">
        <v>111.6</v>
      </c>
      <c r="H20972" s="5">
        <v>112.1</v>
      </c>
      <c r="I20972" s="5"/>
      <c r="J20972" s="5"/>
      <c r="K20972" s="5"/>
    </row>
    <row r="20973" spans="1:11" x14ac:dyDescent="0.25">
      <c r="A20973" s="5">
        <f>20966</f>
      </c>
      <c r="B20973" s="5" t="s">
        <v>20981</v>
      </c>
      <c r="C20973" s="5">
        <v>118</v>
      </c>
      <c r="D20973" s="5">
        <v>0.1</v>
      </c>
      <c r="E20973" s="5">
        <v>118.2</v>
      </c>
      <c r="F20973" s="5">
        <v>222.1</v>
      </c>
      <c r="G20973" s="5">
        <v>111.6</v>
      </c>
      <c r="H20973" s="5">
        <v>112.1</v>
      </c>
      <c r="I20973" s="5"/>
      <c r="J20973" s="5"/>
      <c r="K20973" s="5"/>
    </row>
    <row r="20974" spans="1:11" x14ac:dyDescent="0.25">
      <c r="A20974" s="5">
        <f>20967</f>
      </c>
      <c r="B20974" s="5" t="s">
        <v>20982</v>
      </c>
      <c r="C20974" s="5">
        <v>118</v>
      </c>
      <c r="D20974" s="5">
        <v>0.1</v>
      </c>
      <c r="E20974" s="5">
        <v>118.2</v>
      </c>
      <c r="F20974" s="5">
        <v>222.1</v>
      </c>
      <c r="G20974" s="5">
        <v>111.6</v>
      </c>
      <c r="H20974" s="5">
        <v>112.1</v>
      </c>
      <c r="I20974" s="5"/>
      <c r="J20974" s="5"/>
      <c r="K20974" s="5"/>
    </row>
    <row r="20975" spans="1:11" x14ac:dyDescent="0.25">
      <c r="A20975" s="5">
        <f>20968</f>
      </c>
      <c r="B20975" s="5" t="s">
        <v>20983</v>
      </c>
      <c r="C20975" s="5">
        <v>117.1</v>
      </c>
      <c r="D20975" s="5">
        <v>0.1</v>
      </c>
      <c r="E20975" s="5">
        <v>117.3</v>
      </c>
      <c r="F20975" s="5">
        <v>233.4</v>
      </c>
      <c r="G20975" s="5">
        <v>116.5</v>
      </c>
      <c r="H20975" s="5">
        <v>116.3</v>
      </c>
      <c r="I20975" s="5"/>
      <c r="J20975" s="5"/>
      <c r="K20975" s="5"/>
    </row>
    <row r="20976" spans="1:11" x14ac:dyDescent="0.25">
      <c r="A20976" s="5">
        <f>20969</f>
      </c>
      <c r="B20976" s="5" t="s">
        <v>20984</v>
      </c>
      <c r="C20976" s="5">
        <v>117.1</v>
      </c>
      <c r="D20976" s="5">
        <v>0.1</v>
      </c>
      <c r="E20976" s="5">
        <v>117.3</v>
      </c>
      <c r="F20976" s="5">
        <v>233.4</v>
      </c>
      <c r="G20976" s="5">
        <v>116.5</v>
      </c>
      <c r="H20976" s="5">
        <v>116.3</v>
      </c>
      <c r="I20976" s="5"/>
      <c r="J20976" s="5"/>
      <c r="K20976" s="5"/>
    </row>
    <row r="20977" spans="1:11" x14ac:dyDescent="0.25">
      <c r="A20977" s="5">
        <f>20970</f>
      </c>
      <c r="B20977" s="5" t="s">
        <v>20985</v>
      </c>
      <c r="C20977" s="5">
        <v>116.7</v>
      </c>
      <c r="D20977" s="5">
        <v>0.1</v>
      </c>
      <c r="E20977" s="5">
        <v>116.9</v>
      </c>
      <c r="F20977" s="5">
        <v>233.2</v>
      </c>
      <c r="G20977" s="5">
        <v>116.4</v>
      </c>
      <c r="H20977" s="5">
        <v>116.2</v>
      </c>
      <c r="I20977" s="5"/>
      <c r="J20977" s="5"/>
      <c r="K20977" s="5"/>
    </row>
    <row r="20978" spans="1:11" x14ac:dyDescent="0.25">
      <c r="A20978" s="5">
        <f>20971</f>
      </c>
      <c r="B20978" s="5" t="s">
        <v>20986</v>
      </c>
      <c r="C20978" s="5">
        <v>116.7</v>
      </c>
      <c r="D20978" s="5">
        <v>0.1</v>
      </c>
      <c r="E20978" s="5">
        <v>116.9</v>
      </c>
      <c r="F20978" s="5">
        <v>233.2</v>
      </c>
      <c r="G20978" s="5">
        <v>116.4</v>
      </c>
      <c r="H20978" s="5">
        <v>116.2</v>
      </c>
      <c r="I20978" s="5"/>
      <c r="J20978" s="5"/>
      <c r="K20978" s="5"/>
    </row>
    <row r="20979" spans="1:11" x14ac:dyDescent="0.25">
      <c r="A20979" s="5">
        <f>20972</f>
      </c>
      <c r="B20979" s="5" t="s">
        <v>20987</v>
      </c>
      <c r="C20979" s="5">
        <v>117</v>
      </c>
      <c r="D20979" s="5">
        <v>0.1</v>
      </c>
      <c r="E20979" s="5">
        <v>117.2</v>
      </c>
      <c r="F20979" s="5">
        <v>233.5</v>
      </c>
      <c r="G20979" s="5">
        <v>116.5</v>
      </c>
      <c r="H20979" s="5">
        <v>116.4</v>
      </c>
      <c r="I20979" s="5"/>
      <c r="J20979" s="5"/>
      <c r="K20979" s="5"/>
    </row>
    <row r="20980" spans="1:11" x14ac:dyDescent="0.25">
      <c r="A20980" s="5">
        <f>20973</f>
      </c>
      <c r="B20980" s="5" t="s">
        <v>20988</v>
      </c>
      <c r="C20980" s="5">
        <v>117</v>
      </c>
      <c r="D20980" s="5">
        <v>0.1</v>
      </c>
      <c r="E20980" s="5">
        <v>117.2</v>
      </c>
      <c r="F20980" s="5">
        <v>233.5</v>
      </c>
      <c r="G20980" s="5">
        <v>116.5</v>
      </c>
      <c r="H20980" s="5">
        <v>116.4</v>
      </c>
      <c r="I20980" s="5"/>
      <c r="J20980" s="5"/>
      <c r="K20980" s="5"/>
    </row>
    <row r="20981" spans="1:11" x14ac:dyDescent="0.25">
      <c r="A20981" s="5">
        <f>20974</f>
      </c>
      <c r="B20981" s="5" t="s">
        <v>20989</v>
      </c>
      <c r="C20981" s="5">
        <v>117.1</v>
      </c>
      <c r="D20981" s="5">
        <v>0.1</v>
      </c>
      <c r="E20981" s="5">
        <v>117.4</v>
      </c>
      <c r="F20981" s="5">
        <v>233.9</v>
      </c>
      <c r="G20981" s="5">
        <v>116.7</v>
      </c>
      <c r="H20981" s="5">
        <v>116.6</v>
      </c>
      <c r="I20981" s="5"/>
      <c r="J20981" s="5"/>
      <c r="K20981" s="5"/>
    </row>
    <row r="20982" spans="1:11" x14ac:dyDescent="0.25">
      <c r="A20982" s="5">
        <f>20975</f>
      </c>
      <c r="B20982" s="5" t="s">
        <v>20990</v>
      </c>
      <c r="C20982" s="5">
        <v>117.1</v>
      </c>
      <c r="D20982" s="5">
        <v>0.1</v>
      </c>
      <c r="E20982" s="5">
        <v>117.4</v>
      </c>
      <c r="F20982" s="5">
        <v>233.9</v>
      </c>
      <c r="G20982" s="5">
        <v>116.7</v>
      </c>
      <c r="H20982" s="5">
        <v>116.6</v>
      </c>
      <c r="I20982" s="5"/>
      <c r="J20982" s="5"/>
      <c r="K20982" s="5"/>
    </row>
    <row r="20983" spans="1:11" x14ac:dyDescent="0.25">
      <c r="A20983" s="5">
        <f>20976</f>
      </c>
      <c r="B20983" s="5" t="s">
        <v>20991</v>
      </c>
      <c r="C20983" s="5">
        <v>117.1</v>
      </c>
      <c r="D20983" s="5">
        <v>0.1</v>
      </c>
      <c r="E20983" s="5">
        <v>117.4</v>
      </c>
      <c r="F20983" s="5">
        <v>233.9</v>
      </c>
      <c r="G20983" s="5">
        <v>116.7</v>
      </c>
      <c r="H20983" s="5">
        <v>116.6</v>
      </c>
      <c r="I20983" s="5"/>
      <c r="J20983" s="5"/>
      <c r="K20983" s="5"/>
    </row>
    <row r="20984" spans="1:11" x14ac:dyDescent="0.25">
      <c r="A20984" s="5">
        <f>20977</f>
      </c>
      <c r="B20984" s="5" t="s">
        <v>20992</v>
      </c>
      <c r="C20984" s="5">
        <v>117.1</v>
      </c>
      <c r="D20984" s="5">
        <v>0.1</v>
      </c>
      <c r="E20984" s="5">
        <v>117.4</v>
      </c>
      <c r="F20984" s="5">
        <v>233.9</v>
      </c>
      <c r="G20984" s="5">
        <v>116.7</v>
      </c>
      <c r="H20984" s="5">
        <v>116.6</v>
      </c>
      <c r="I20984" s="5"/>
      <c r="J20984" s="5"/>
      <c r="K20984" s="5"/>
    </row>
    <row r="20985" spans="1:11" x14ac:dyDescent="0.25">
      <c r="A20985" s="5">
        <f>20978</f>
      </c>
      <c r="B20985" s="5" t="s">
        <v>20993</v>
      </c>
      <c r="C20985" s="5">
        <v>117.2</v>
      </c>
      <c r="D20985" s="5">
        <v>0.1</v>
      </c>
      <c r="E20985" s="5">
        <v>117.4</v>
      </c>
      <c r="F20985" s="5">
        <v>234.1</v>
      </c>
      <c r="G20985" s="5">
        <v>116.8</v>
      </c>
      <c r="H20985" s="5">
        <v>116.7</v>
      </c>
      <c r="I20985" s="5"/>
      <c r="J20985" s="5"/>
      <c r="K20985" s="5"/>
    </row>
    <row r="20986" spans="1:11" x14ac:dyDescent="0.25">
      <c r="A20986" s="5">
        <f>20979</f>
      </c>
      <c r="B20986" s="5" t="s">
        <v>20994</v>
      </c>
      <c r="C20986" s="5">
        <v>117.2</v>
      </c>
      <c r="D20986" s="5">
        <v>0.1</v>
      </c>
      <c r="E20986" s="5">
        <v>117.4</v>
      </c>
      <c r="F20986" s="5">
        <v>234.1</v>
      </c>
      <c r="G20986" s="5">
        <v>116.8</v>
      </c>
      <c r="H20986" s="5">
        <v>116.7</v>
      </c>
      <c r="I20986" s="5"/>
      <c r="J20986" s="5"/>
      <c r="K20986" s="5"/>
    </row>
    <row r="20987" spans="1:11" x14ac:dyDescent="0.25">
      <c r="A20987" s="5">
        <f>20980</f>
      </c>
      <c r="B20987" s="5" t="s">
        <v>20995</v>
      </c>
      <c r="C20987" s="5">
        <v>117.4</v>
      </c>
      <c r="D20987" s="5">
        <v>0.1</v>
      </c>
      <c r="E20987" s="5">
        <v>117.6</v>
      </c>
      <c r="F20987" s="5">
        <v>234.2</v>
      </c>
      <c r="G20987" s="5">
        <v>116.9</v>
      </c>
      <c r="H20987" s="5">
        <v>116.7</v>
      </c>
      <c r="I20987" s="5"/>
      <c r="J20987" s="5"/>
      <c r="K20987" s="5"/>
    </row>
    <row r="20988" spans="1:11" x14ac:dyDescent="0.25">
      <c r="A20988" s="5">
        <f>20981</f>
      </c>
      <c r="B20988" s="5" t="s">
        <v>20996</v>
      </c>
      <c r="C20988" s="5">
        <v>117.4</v>
      </c>
      <c r="D20988" s="5">
        <v>0.1</v>
      </c>
      <c r="E20988" s="5">
        <v>117.6</v>
      </c>
      <c r="F20988" s="5">
        <v>234.2</v>
      </c>
      <c r="G20988" s="5">
        <v>116.9</v>
      </c>
      <c r="H20988" s="5">
        <v>116.7</v>
      </c>
      <c r="I20988" s="5"/>
      <c r="J20988" s="5"/>
      <c r="K20988" s="5"/>
    </row>
    <row r="20989" spans="1:11" x14ac:dyDescent="0.25">
      <c r="A20989" s="5">
        <f>20982</f>
      </c>
      <c r="B20989" s="5" t="s">
        <v>20997</v>
      </c>
      <c r="C20989" s="5">
        <v>117.5</v>
      </c>
      <c r="D20989" s="5">
        <v>0.1</v>
      </c>
      <c r="E20989" s="5">
        <v>117.7</v>
      </c>
      <c r="F20989" s="5">
        <v>234.6</v>
      </c>
      <c r="G20989" s="5">
        <v>117.1</v>
      </c>
      <c r="H20989" s="5">
        <v>116.9</v>
      </c>
      <c r="I20989" s="5"/>
      <c r="J20989" s="5"/>
      <c r="K20989" s="5"/>
    </row>
    <row r="20990" spans="1:11" x14ac:dyDescent="0.25">
      <c r="A20990" s="5">
        <f>20983</f>
      </c>
      <c r="B20990" s="5" t="s">
        <v>20998</v>
      </c>
      <c r="C20990" s="5">
        <v>117.5</v>
      </c>
      <c r="D20990" s="5">
        <v>0.1</v>
      </c>
      <c r="E20990" s="5">
        <v>117.7</v>
      </c>
      <c r="F20990" s="5">
        <v>234.6</v>
      </c>
      <c r="G20990" s="5">
        <v>117.1</v>
      </c>
      <c r="H20990" s="5">
        <v>116.9</v>
      </c>
      <c r="I20990" s="5"/>
      <c r="J20990" s="5"/>
      <c r="K20990" s="5"/>
    </row>
    <row r="20991" spans="1:11" x14ac:dyDescent="0.25">
      <c r="A20991" s="5">
        <f>20984</f>
      </c>
      <c r="B20991" s="5" t="s">
        <v>20999</v>
      </c>
      <c r="C20991" s="5">
        <v>117.8</v>
      </c>
      <c r="D20991" s="5">
        <v>0.1</v>
      </c>
      <c r="E20991" s="5">
        <v>118</v>
      </c>
      <c r="F20991" s="5">
        <v>235.7</v>
      </c>
      <c r="G20991" s="5">
        <v>117.6</v>
      </c>
      <c r="H20991" s="5">
        <v>117.4</v>
      </c>
      <c r="I20991" s="5"/>
      <c r="J20991" s="5"/>
      <c r="K20991" s="5"/>
    </row>
    <row r="20992" spans="1:11" x14ac:dyDescent="0.25">
      <c r="A20992" s="5">
        <f>20985</f>
      </c>
      <c r="B20992" s="5" t="s">
        <v>21000</v>
      </c>
      <c r="C20992" s="5">
        <v>117.8</v>
      </c>
      <c r="D20992" s="5">
        <v>0.1</v>
      </c>
      <c r="E20992" s="5">
        <v>118</v>
      </c>
      <c r="F20992" s="5">
        <v>235.7</v>
      </c>
      <c r="G20992" s="5">
        <v>117.6</v>
      </c>
      <c r="H20992" s="5">
        <v>117.4</v>
      </c>
      <c r="I20992" s="5"/>
      <c r="J20992" s="5"/>
      <c r="K20992" s="5"/>
    </row>
    <row r="20993" spans="1:11" x14ac:dyDescent="0.25">
      <c r="A20993" s="5">
        <f>20986</f>
      </c>
      <c r="B20993" s="5" t="s">
        <v>21001</v>
      </c>
      <c r="C20993" s="5">
        <v>117.8</v>
      </c>
      <c r="D20993" s="5">
        <v>0.1</v>
      </c>
      <c r="E20993" s="5">
        <v>118</v>
      </c>
      <c r="F20993" s="5">
        <v>235.7</v>
      </c>
      <c r="G20993" s="5">
        <v>117.6</v>
      </c>
      <c r="H20993" s="5">
        <v>117.4</v>
      </c>
      <c r="I20993" s="5"/>
      <c r="J20993" s="5"/>
      <c r="K20993" s="5"/>
    </row>
    <row r="20994" spans="1:11" x14ac:dyDescent="0.25">
      <c r="A20994" s="5">
        <f>20987</f>
      </c>
      <c r="B20994" s="5" t="s">
        <v>21002</v>
      </c>
      <c r="C20994" s="5">
        <v>117.8</v>
      </c>
      <c r="D20994" s="5">
        <v>0.1</v>
      </c>
      <c r="E20994" s="5">
        <v>118</v>
      </c>
      <c r="F20994" s="5">
        <v>235.7</v>
      </c>
      <c r="G20994" s="5">
        <v>117.6</v>
      </c>
      <c r="H20994" s="5">
        <v>117.4</v>
      </c>
      <c r="I20994" s="5"/>
      <c r="J20994" s="5"/>
      <c r="K20994" s="5"/>
    </row>
    <row r="20995" spans="1:11" x14ac:dyDescent="0.25">
      <c r="A20995" s="5">
        <f>20988</f>
      </c>
      <c r="B20995" s="5" t="s">
        <v>21003</v>
      </c>
      <c r="C20995" s="5">
        <v>118.3</v>
      </c>
      <c r="D20995" s="5">
        <v>0.1</v>
      </c>
      <c r="E20995" s="5">
        <v>118.5</v>
      </c>
      <c r="F20995" s="5">
        <v>235.7</v>
      </c>
      <c r="G20995" s="5">
        <v>117.6</v>
      </c>
      <c r="H20995" s="5">
        <v>117.4</v>
      </c>
      <c r="I20995" s="5"/>
      <c r="J20995" s="5"/>
      <c r="K20995" s="5"/>
    </row>
    <row r="20996" spans="1:11" x14ac:dyDescent="0.25">
      <c r="A20996" s="5">
        <f>20989</f>
      </c>
      <c r="B20996" s="5" t="s">
        <v>21004</v>
      </c>
      <c r="C20996" s="5">
        <v>118.3</v>
      </c>
      <c r="D20996" s="5">
        <v>0.1</v>
      </c>
      <c r="E20996" s="5">
        <v>118.5</v>
      </c>
      <c r="F20996" s="5">
        <v>235.7</v>
      </c>
      <c r="G20996" s="5">
        <v>117.6</v>
      </c>
      <c r="H20996" s="5">
        <v>117.4</v>
      </c>
      <c r="I20996" s="5"/>
      <c r="J20996" s="5"/>
      <c r="K20996" s="5"/>
    </row>
    <row r="20997" spans="1:11" x14ac:dyDescent="0.25">
      <c r="A20997" s="5">
        <f>20990</f>
      </c>
      <c r="B20997" s="5" t="s">
        <v>21005</v>
      </c>
      <c r="C20997" s="5">
        <v>118.1</v>
      </c>
      <c r="D20997" s="5">
        <v>0.1</v>
      </c>
      <c r="E20997" s="5">
        <v>118.3</v>
      </c>
      <c r="F20997" s="5">
        <v>235.6</v>
      </c>
      <c r="G20997" s="5">
        <v>117.6</v>
      </c>
      <c r="H20997" s="5">
        <v>117.4</v>
      </c>
      <c r="I20997" s="5"/>
      <c r="J20997" s="5"/>
      <c r="K20997" s="5"/>
    </row>
    <row r="20998" spans="1:11" x14ac:dyDescent="0.25">
      <c r="A20998" s="5">
        <f>20991</f>
      </c>
      <c r="B20998" s="5" t="s">
        <v>21006</v>
      </c>
      <c r="C20998" s="5">
        <v>118.1</v>
      </c>
      <c r="D20998" s="5">
        <v>0.1</v>
      </c>
      <c r="E20998" s="5">
        <v>118.3</v>
      </c>
      <c r="F20998" s="5">
        <v>235.6</v>
      </c>
      <c r="G20998" s="5">
        <v>117.6</v>
      </c>
      <c r="H20998" s="5">
        <v>117.4</v>
      </c>
      <c r="I20998" s="5"/>
      <c r="J20998" s="5"/>
      <c r="K20998" s="5"/>
    </row>
    <row r="20999" spans="1:11" x14ac:dyDescent="0.25">
      <c r="A20999" s="5">
        <f>20992</f>
      </c>
      <c r="B20999" s="5" t="s">
        <v>21007</v>
      </c>
      <c r="C20999" s="5">
        <v>118.1</v>
      </c>
      <c r="D20999" s="5">
        <v>0.1</v>
      </c>
      <c r="E20999" s="5">
        <v>118.3</v>
      </c>
      <c r="F20999" s="5">
        <v>235.3</v>
      </c>
      <c r="G20999" s="5">
        <v>117.4</v>
      </c>
      <c r="H20999" s="5">
        <v>117.3</v>
      </c>
      <c r="I20999" s="5"/>
      <c r="J20999" s="5"/>
      <c r="K20999" s="5"/>
    </row>
    <row r="21000" spans="1:11" x14ac:dyDescent="0.25">
      <c r="A21000" s="5">
        <f>20993</f>
      </c>
      <c r="B21000" s="5" t="s">
        <v>21008</v>
      </c>
      <c r="C21000" s="5">
        <v>118.1</v>
      </c>
      <c r="D21000" s="5">
        <v>0.1</v>
      </c>
      <c r="E21000" s="5">
        <v>118.3</v>
      </c>
      <c r="F21000" s="5">
        <v>235.3</v>
      </c>
      <c r="G21000" s="5">
        <v>117.4</v>
      </c>
      <c r="H21000" s="5">
        <v>117.3</v>
      </c>
      <c r="I21000" s="5"/>
      <c r="J21000" s="5"/>
      <c r="K21000" s="5"/>
    </row>
    <row r="21001" spans="1:11" x14ac:dyDescent="0.25">
      <c r="A21001" s="5">
        <f>20994</f>
      </c>
      <c r="B21001" s="5" t="s">
        <v>21009</v>
      </c>
      <c r="C21001" s="5">
        <v>118.2</v>
      </c>
      <c r="D21001" s="5">
        <v>0.1</v>
      </c>
      <c r="E21001" s="5">
        <v>118.3</v>
      </c>
      <c r="F21001" s="5">
        <v>235.7</v>
      </c>
      <c r="G21001" s="5">
        <v>117.6</v>
      </c>
      <c r="H21001" s="5">
        <v>117.4</v>
      </c>
      <c r="I21001" s="5"/>
      <c r="J21001" s="5"/>
      <c r="K21001" s="5"/>
    </row>
    <row r="21002" spans="1:11" x14ac:dyDescent="0.25">
      <c r="A21002" s="5">
        <f>20995</f>
      </c>
      <c r="B21002" s="5" t="s">
        <v>21010</v>
      </c>
      <c r="C21002" s="5">
        <v>118.2</v>
      </c>
      <c r="D21002" s="5">
        <v>0.1</v>
      </c>
      <c r="E21002" s="5">
        <v>118.3</v>
      </c>
      <c r="F21002" s="5">
        <v>235.7</v>
      </c>
      <c r="G21002" s="5">
        <v>117.6</v>
      </c>
      <c r="H21002" s="5">
        <v>117.4</v>
      </c>
      <c r="I21002" s="5"/>
      <c r="J21002" s="5"/>
      <c r="K21002" s="5"/>
    </row>
    <row r="21003" spans="1:11" x14ac:dyDescent="0.25">
      <c r="A21003" s="5">
        <f>20996</f>
      </c>
      <c r="B21003" s="5" t="s">
        <v>21011</v>
      </c>
      <c r="C21003" s="5">
        <v>118.2</v>
      </c>
      <c r="D21003" s="5">
        <v>0.1</v>
      </c>
      <c r="E21003" s="5">
        <v>118.3</v>
      </c>
      <c r="F21003" s="5">
        <v>235.7</v>
      </c>
      <c r="G21003" s="5">
        <v>117.6</v>
      </c>
      <c r="H21003" s="5">
        <v>117.4</v>
      </c>
      <c r="I21003" s="5"/>
      <c r="J21003" s="5"/>
      <c r="K21003" s="5"/>
    </row>
    <row r="21004" spans="1:11" x14ac:dyDescent="0.25">
      <c r="A21004" s="5">
        <f>20997</f>
      </c>
      <c r="B21004" s="5" t="s">
        <v>21012</v>
      </c>
      <c r="C21004" s="5">
        <v>118.2</v>
      </c>
      <c r="D21004" s="5">
        <v>0.1</v>
      </c>
      <c r="E21004" s="5">
        <v>118.3</v>
      </c>
      <c r="F21004" s="5">
        <v>235.7</v>
      </c>
      <c r="G21004" s="5">
        <v>117.6</v>
      </c>
      <c r="H21004" s="5">
        <v>117.4</v>
      </c>
      <c r="I21004" s="5"/>
      <c r="J21004" s="5"/>
      <c r="K21004" s="5"/>
    </row>
    <row r="21005" spans="1:11" x14ac:dyDescent="0.25">
      <c r="A21005" s="5">
        <f>20998</f>
      </c>
      <c r="B21005" s="5" t="s">
        <v>21013</v>
      </c>
      <c r="C21005" s="5">
        <v>117.9</v>
      </c>
      <c r="D21005" s="5">
        <v>0.1</v>
      </c>
      <c r="E21005" s="5">
        <v>118</v>
      </c>
      <c r="F21005" s="5">
        <v>235.9</v>
      </c>
      <c r="G21005" s="5">
        <v>117.7</v>
      </c>
      <c r="H21005" s="5">
        <v>117.5</v>
      </c>
      <c r="I21005" s="5"/>
      <c r="J21005" s="5"/>
      <c r="K21005" s="5"/>
    </row>
    <row r="21006" spans="1:11" x14ac:dyDescent="0.25">
      <c r="A21006" s="5">
        <f>20999</f>
      </c>
      <c r="B21006" s="5" t="s">
        <v>21014</v>
      </c>
      <c r="C21006" s="5">
        <v>117.9</v>
      </c>
      <c r="D21006" s="5">
        <v>0.1</v>
      </c>
      <c r="E21006" s="5">
        <v>118</v>
      </c>
      <c r="F21006" s="5">
        <v>235.9</v>
      </c>
      <c r="G21006" s="5">
        <v>117.7</v>
      </c>
      <c r="H21006" s="5">
        <v>117.5</v>
      </c>
      <c r="I21006" s="5"/>
      <c r="J21006" s="5"/>
      <c r="K21006" s="5"/>
    </row>
    <row r="21007" spans="1:11" x14ac:dyDescent="0.25">
      <c r="A21007" s="5">
        <f>21000</f>
      </c>
      <c r="B21007" s="5" t="s">
        <v>21015</v>
      </c>
      <c r="C21007" s="5">
        <v>118</v>
      </c>
      <c r="D21007" s="5">
        <v>0.1</v>
      </c>
      <c r="E21007" s="5">
        <v>118.1</v>
      </c>
      <c r="F21007" s="5">
        <v>236.2</v>
      </c>
      <c r="G21007" s="5">
        <v>117.7</v>
      </c>
      <c r="H21007" s="5">
        <v>117.6</v>
      </c>
      <c r="I21007" s="5"/>
      <c r="J21007" s="5"/>
      <c r="K21007" s="5"/>
    </row>
    <row r="21008" spans="1:11" x14ac:dyDescent="0.25">
      <c r="A21008" s="5">
        <f>21001</f>
      </c>
      <c r="B21008" s="5" t="s">
        <v>21016</v>
      </c>
      <c r="C21008" s="5">
        <v>118</v>
      </c>
      <c r="D21008" s="5">
        <v>0.1</v>
      </c>
      <c r="E21008" s="5">
        <v>118.1</v>
      </c>
      <c r="F21008" s="5">
        <v>236.2</v>
      </c>
      <c r="G21008" s="5">
        <v>117.7</v>
      </c>
      <c r="H21008" s="5">
        <v>117.6</v>
      </c>
      <c r="I21008" s="5"/>
      <c r="J21008" s="5"/>
      <c r="K21008" s="5"/>
    </row>
    <row r="21009" spans="1:11" x14ac:dyDescent="0.25">
      <c r="A21009" s="5">
        <f>21002</f>
      </c>
      <c r="B21009" s="5" t="s">
        <v>21017</v>
      </c>
      <c r="C21009" s="5">
        <v>117.9</v>
      </c>
      <c r="D21009" s="5">
        <v>0.1</v>
      </c>
      <c r="E21009" s="5">
        <v>118</v>
      </c>
      <c r="F21009" s="5">
        <v>235.9</v>
      </c>
      <c r="G21009" s="5">
        <v>117.7</v>
      </c>
      <c r="H21009" s="5">
        <v>117.6</v>
      </c>
      <c r="I21009" s="5"/>
      <c r="J21009" s="5"/>
      <c r="K21009" s="5"/>
    </row>
    <row r="21010" spans="1:11" x14ac:dyDescent="0.25">
      <c r="A21010" s="5">
        <f>21003</f>
      </c>
      <c r="B21010" s="5" t="s">
        <v>21018</v>
      </c>
      <c r="C21010" s="5">
        <v>117.9</v>
      </c>
      <c r="D21010" s="5">
        <v>0.1</v>
      </c>
      <c r="E21010" s="5">
        <v>118</v>
      </c>
      <c r="F21010" s="5">
        <v>235.9</v>
      </c>
      <c r="G21010" s="5">
        <v>117.7</v>
      </c>
      <c r="H21010" s="5">
        <v>117.6</v>
      </c>
      <c r="I21010" s="5"/>
      <c r="J21010" s="5"/>
      <c r="K21010" s="5"/>
    </row>
    <row r="21011" spans="1:11" x14ac:dyDescent="0.25">
      <c r="A21011" s="5">
        <f>21004</f>
      </c>
      <c r="B21011" s="5" t="s">
        <v>21019</v>
      </c>
      <c r="C21011" s="5">
        <v>117.8</v>
      </c>
      <c r="D21011" s="5">
        <v>0.1</v>
      </c>
      <c r="E21011" s="5">
        <v>118</v>
      </c>
      <c r="F21011" s="5">
        <v>235.5</v>
      </c>
      <c r="G21011" s="5">
        <v>117.6</v>
      </c>
      <c r="H21011" s="5">
        <v>117.4</v>
      </c>
      <c r="I21011" s="5"/>
      <c r="J21011" s="5"/>
      <c r="K21011" s="5"/>
    </row>
    <row r="21012" spans="1:11" x14ac:dyDescent="0.25">
      <c r="A21012" s="5">
        <f>21005</f>
      </c>
      <c r="B21012" s="5" t="s">
        <v>21020</v>
      </c>
      <c r="C21012" s="5">
        <v>117.8</v>
      </c>
      <c r="D21012" s="5">
        <v>0.1</v>
      </c>
      <c r="E21012" s="5">
        <v>118</v>
      </c>
      <c r="F21012" s="5">
        <v>235.5</v>
      </c>
      <c r="G21012" s="5">
        <v>117.6</v>
      </c>
      <c r="H21012" s="5">
        <v>117.4</v>
      </c>
      <c r="I21012" s="5"/>
      <c r="J21012" s="5"/>
      <c r="K21012" s="5"/>
    </row>
    <row r="21013" spans="1:11" x14ac:dyDescent="0.25">
      <c r="A21013" s="5">
        <f>21006</f>
      </c>
      <c r="B21013" s="5" t="s">
        <v>21021</v>
      </c>
      <c r="C21013" s="5">
        <v>117.8</v>
      </c>
      <c r="D21013" s="5">
        <v>0.1</v>
      </c>
      <c r="E21013" s="5">
        <v>118</v>
      </c>
      <c r="F21013" s="5">
        <v>235.5</v>
      </c>
      <c r="G21013" s="5">
        <v>117.6</v>
      </c>
      <c r="H21013" s="5">
        <v>117.4</v>
      </c>
      <c r="I21013" s="5"/>
      <c r="J21013" s="5"/>
      <c r="K21013" s="5"/>
    </row>
    <row r="21014" spans="1:11" x14ac:dyDescent="0.25">
      <c r="A21014" s="5">
        <f>21007</f>
      </c>
      <c r="B21014" s="5" t="s">
        <v>21022</v>
      </c>
      <c r="C21014" s="5">
        <v>117.8</v>
      </c>
      <c r="D21014" s="5">
        <v>0.1</v>
      </c>
      <c r="E21014" s="5">
        <v>118</v>
      </c>
      <c r="F21014" s="5">
        <v>235.5</v>
      </c>
      <c r="G21014" s="5">
        <v>117.6</v>
      </c>
      <c r="H21014" s="5">
        <v>117.4</v>
      </c>
      <c r="I21014" s="5"/>
      <c r="J21014" s="5"/>
      <c r="K21014" s="5"/>
    </row>
    <row r="21015" spans="1:11" x14ac:dyDescent="0.25">
      <c r="A21015" s="5">
        <f>21008</f>
      </c>
      <c r="B21015" s="5" t="s">
        <v>21023</v>
      </c>
      <c r="C21015" s="5">
        <v>118.2</v>
      </c>
      <c r="D21015" s="5">
        <v>0.1</v>
      </c>
      <c r="E21015" s="5">
        <v>118.3</v>
      </c>
      <c r="F21015" s="5">
        <v>236.3</v>
      </c>
      <c r="G21015" s="5">
        <v>117.9</v>
      </c>
      <c r="H21015" s="5">
        <v>117.7</v>
      </c>
      <c r="I21015" s="5"/>
      <c r="J21015" s="5"/>
      <c r="K21015" s="5"/>
    </row>
    <row r="21016" spans="1:11" x14ac:dyDescent="0.25">
      <c r="A21016" s="5">
        <f>21009</f>
      </c>
      <c r="B21016" s="5" t="s">
        <v>21024</v>
      </c>
      <c r="C21016" s="5">
        <v>118.2</v>
      </c>
      <c r="D21016" s="5">
        <v>0.1</v>
      </c>
      <c r="E21016" s="5">
        <v>118.3</v>
      </c>
      <c r="F21016" s="5">
        <v>236.3</v>
      </c>
      <c r="G21016" s="5">
        <v>117.9</v>
      </c>
      <c r="H21016" s="5">
        <v>117.7</v>
      </c>
      <c r="I21016" s="5"/>
      <c r="J21016" s="5"/>
      <c r="K21016" s="5"/>
    </row>
    <row r="21017" spans="1:11" x14ac:dyDescent="0.25">
      <c r="A21017" s="5">
        <f>21010</f>
      </c>
      <c r="B21017" s="5" t="s">
        <v>21025</v>
      </c>
      <c r="C21017" s="5">
        <v>118.6</v>
      </c>
      <c r="D21017" s="5">
        <v>0.1</v>
      </c>
      <c r="E21017" s="5">
        <v>118.7</v>
      </c>
      <c r="F21017" s="5">
        <v>236.8</v>
      </c>
      <c r="G21017" s="5">
        <v>118.2</v>
      </c>
      <c r="H21017" s="5">
        <v>118</v>
      </c>
      <c r="I21017" s="5"/>
      <c r="J21017" s="5"/>
      <c r="K21017" s="5"/>
    </row>
    <row r="21018" spans="1:11" x14ac:dyDescent="0.25">
      <c r="A21018" s="5">
        <f>21011</f>
      </c>
      <c r="B21018" s="5" t="s">
        <v>21026</v>
      </c>
      <c r="C21018" s="5">
        <v>118.6</v>
      </c>
      <c r="D21018" s="5">
        <v>0.1</v>
      </c>
      <c r="E21018" s="5">
        <v>118.7</v>
      </c>
      <c r="F21018" s="5">
        <v>236.8</v>
      </c>
      <c r="G21018" s="5">
        <v>118.2</v>
      </c>
      <c r="H21018" s="5">
        <v>118</v>
      </c>
      <c r="I21018" s="5"/>
      <c r="J21018" s="5"/>
      <c r="K21018" s="5"/>
    </row>
    <row r="21019" spans="1:11" x14ac:dyDescent="0.25">
      <c r="A21019" s="5">
        <f>21012</f>
      </c>
      <c r="B21019" s="5" t="s">
        <v>21027</v>
      </c>
      <c r="C21019" s="5">
        <v>118.8</v>
      </c>
      <c r="D21019" s="5">
        <v>0.1</v>
      </c>
      <c r="E21019" s="5">
        <v>119</v>
      </c>
      <c r="F21019" s="5">
        <v>237.2</v>
      </c>
      <c r="G21019" s="5">
        <v>118.4</v>
      </c>
      <c r="H21019" s="5">
        <v>118.3</v>
      </c>
      <c r="I21019" s="5"/>
      <c r="J21019" s="5"/>
      <c r="K21019" s="5"/>
    </row>
    <row r="21020" spans="1:11" x14ac:dyDescent="0.25">
      <c r="A21020" s="5">
        <f>21013</f>
      </c>
      <c r="B21020" s="5" t="s">
        <v>21028</v>
      </c>
      <c r="C21020" s="5">
        <v>118.8</v>
      </c>
      <c r="D21020" s="5">
        <v>0.1</v>
      </c>
      <c r="E21020" s="5">
        <v>119</v>
      </c>
      <c r="F21020" s="5">
        <v>237.2</v>
      </c>
      <c r="G21020" s="5">
        <v>118.4</v>
      </c>
      <c r="H21020" s="5">
        <v>118.3</v>
      </c>
      <c r="I21020" s="5"/>
      <c r="J21020" s="5"/>
      <c r="K21020" s="5"/>
    </row>
    <row r="21021" spans="1:11" x14ac:dyDescent="0.25">
      <c r="A21021" s="5">
        <f>21014</f>
      </c>
      <c r="B21021" s="5" t="s">
        <v>21029</v>
      </c>
      <c r="C21021" s="5">
        <v>118.5</v>
      </c>
      <c r="D21021" s="5">
        <v>0.1</v>
      </c>
      <c r="E21021" s="5">
        <v>118.6</v>
      </c>
      <c r="F21021" s="5">
        <v>236.9</v>
      </c>
      <c r="G21021" s="5">
        <v>118.2</v>
      </c>
      <c r="H21021" s="5">
        <v>118.1</v>
      </c>
      <c r="I21021" s="5"/>
      <c r="J21021" s="5"/>
      <c r="K21021" s="5"/>
    </row>
    <row r="21022" spans="1:11" x14ac:dyDescent="0.25">
      <c r="A21022" s="5">
        <f>21015</f>
      </c>
      <c r="B21022" s="5" t="s">
        <v>21030</v>
      </c>
      <c r="C21022" s="5">
        <v>118.5</v>
      </c>
      <c r="D21022" s="5">
        <v>0.1</v>
      </c>
      <c r="E21022" s="5">
        <v>118.6</v>
      </c>
      <c r="F21022" s="5">
        <v>236.9</v>
      </c>
      <c r="G21022" s="5">
        <v>118.2</v>
      </c>
      <c r="H21022" s="5">
        <v>118.1</v>
      </c>
      <c r="I21022" s="5"/>
      <c r="J21022" s="5"/>
      <c r="K21022" s="5"/>
    </row>
    <row r="21023" spans="1:11" x14ac:dyDescent="0.25">
      <c r="A21023" s="5">
        <f>21016</f>
      </c>
      <c r="B21023" s="5" t="s">
        <v>21031</v>
      </c>
      <c r="C21023" s="5">
        <v>118.5</v>
      </c>
      <c r="D21023" s="5">
        <v>0.1</v>
      </c>
      <c r="E21023" s="5">
        <v>118.6</v>
      </c>
      <c r="F21023" s="5">
        <v>236.9</v>
      </c>
      <c r="G21023" s="5">
        <v>118.2</v>
      </c>
      <c r="H21023" s="5">
        <v>118.1</v>
      </c>
      <c r="I21023" s="5"/>
      <c r="J21023" s="5"/>
      <c r="K21023" s="5"/>
    </row>
    <row r="21024" spans="1:11" x14ac:dyDescent="0.25">
      <c r="A21024" s="5">
        <f>21017</f>
      </c>
      <c r="B21024" s="5" t="s">
        <v>21032</v>
      </c>
      <c r="C21024" s="5">
        <v>118.5</v>
      </c>
      <c r="D21024" s="5">
        <v>0.1</v>
      </c>
      <c r="E21024" s="5">
        <v>118.6</v>
      </c>
      <c r="F21024" s="5">
        <v>236.9</v>
      </c>
      <c r="G21024" s="5">
        <v>118.2</v>
      </c>
      <c r="H21024" s="5">
        <v>118.1</v>
      </c>
      <c r="I21024" s="5"/>
      <c r="J21024" s="5"/>
      <c r="K21024" s="5"/>
    </row>
    <row r="21025" spans="1:11" x14ac:dyDescent="0.25">
      <c r="A21025" s="5">
        <f>21018</f>
      </c>
      <c r="B21025" s="5" t="s">
        <v>21033</v>
      </c>
      <c r="C21025" s="5">
        <v>118.7</v>
      </c>
      <c r="D21025" s="5">
        <v>0.1</v>
      </c>
      <c r="E21025" s="5">
        <v>118.9</v>
      </c>
      <c r="F21025" s="5">
        <v>237.3</v>
      </c>
      <c r="G21025" s="5">
        <v>118.4</v>
      </c>
      <c r="H21025" s="5">
        <v>118.3</v>
      </c>
      <c r="I21025" s="5"/>
      <c r="J21025" s="5"/>
      <c r="K21025" s="5"/>
    </row>
    <row r="21026" spans="1:11" x14ac:dyDescent="0.25">
      <c r="A21026" s="5">
        <f>21019</f>
      </c>
      <c r="B21026" s="5" t="s">
        <v>21034</v>
      </c>
      <c r="C21026" s="5">
        <v>118.7</v>
      </c>
      <c r="D21026" s="5">
        <v>0.1</v>
      </c>
      <c r="E21026" s="5">
        <v>118.9</v>
      </c>
      <c r="F21026" s="5">
        <v>237.3</v>
      </c>
      <c r="G21026" s="5">
        <v>118.4</v>
      </c>
      <c r="H21026" s="5">
        <v>118.3</v>
      </c>
      <c r="I21026" s="5"/>
      <c r="J21026" s="5"/>
      <c r="K21026" s="5"/>
    </row>
    <row r="21027" spans="1:11" x14ac:dyDescent="0.25">
      <c r="A21027" s="5">
        <f>21020</f>
      </c>
      <c r="B21027" s="5" t="s">
        <v>21035</v>
      </c>
      <c r="C21027" s="5">
        <v>118.8</v>
      </c>
      <c r="D21027" s="5">
        <v>0.1</v>
      </c>
      <c r="E21027" s="5">
        <v>119</v>
      </c>
      <c r="F21027" s="5">
        <v>237.7</v>
      </c>
      <c r="G21027" s="5">
        <v>118.6</v>
      </c>
      <c r="H21027" s="5">
        <v>118.5</v>
      </c>
      <c r="I21027" s="5"/>
      <c r="J21027" s="5"/>
      <c r="K21027" s="5"/>
    </row>
    <row r="21028" spans="1:11" x14ac:dyDescent="0.25">
      <c r="A21028" s="5">
        <f>21021</f>
      </c>
      <c r="B21028" s="5" t="s">
        <v>21036</v>
      </c>
      <c r="C21028" s="5">
        <v>118.8</v>
      </c>
      <c r="D21028" s="5">
        <v>0.1</v>
      </c>
      <c r="E21028" s="5">
        <v>119</v>
      </c>
      <c r="F21028" s="5">
        <v>237.7</v>
      </c>
      <c r="G21028" s="5">
        <v>118.6</v>
      </c>
      <c r="H21028" s="5">
        <v>118.5</v>
      </c>
      <c r="I21028" s="5"/>
      <c r="J21028" s="5"/>
      <c r="K21028" s="5"/>
    </row>
    <row r="21029" spans="1:11" x14ac:dyDescent="0.25">
      <c r="A21029" s="5">
        <f>21022</f>
      </c>
      <c r="B21029" s="5" t="s">
        <v>21037</v>
      </c>
      <c r="C21029" s="5">
        <v>118.7</v>
      </c>
      <c r="D21029" s="5">
        <v>0.1</v>
      </c>
      <c r="E21029" s="5">
        <v>118.9</v>
      </c>
      <c r="F21029" s="5">
        <v>237.2</v>
      </c>
      <c r="G21029" s="5">
        <v>118.4</v>
      </c>
      <c r="H21029" s="5">
        <v>118.3</v>
      </c>
      <c r="I21029" s="5"/>
      <c r="J21029" s="5"/>
      <c r="K21029" s="5"/>
    </row>
    <row r="21030" spans="1:11" x14ac:dyDescent="0.25">
      <c r="A21030" s="5">
        <f>21023</f>
      </c>
      <c r="B21030" s="5" t="s">
        <v>21038</v>
      </c>
      <c r="C21030" s="5">
        <v>118.7</v>
      </c>
      <c r="D21030" s="5">
        <v>0.1</v>
      </c>
      <c r="E21030" s="5">
        <v>118.9</v>
      </c>
      <c r="F21030" s="5">
        <v>237.2</v>
      </c>
      <c r="G21030" s="5">
        <v>118.4</v>
      </c>
      <c r="H21030" s="5">
        <v>118.3</v>
      </c>
      <c r="I21030" s="5"/>
      <c r="J21030" s="5"/>
      <c r="K21030" s="5"/>
    </row>
    <row r="21031" spans="1:11" x14ac:dyDescent="0.25">
      <c r="A21031" s="5">
        <f>21024</f>
      </c>
      <c r="B21031" s="5" t="s">
        <v>21039</v>
      </c>
      <c r="C21031" s="5">
        <v>118.7</v>
      </c>
      <c r="D21031" s="5">
        <v>0.1</v>
      </c>
      <c r="E21031" s="5">
        <v>118.9</v>
      </c>
      <c r="F21031" s="5">
        <v>237</v>
      </c>
      <c r="G21031" s="5">
        <v>118.3</v>
      </c>
      <c r="H21031" s="5">
        <v>118.1</v>
      </c>
      <c r="I21031" s="5"/>
      <c r="J21031" s="5"/>
      <c r="K21031" s="5"/>
    </row>
    <row r="21032" spans="1:11" x14ac:dyDescent="0.25">
      <c r="A21032" s="5">
        <f>21025</f>
      </c>
      <c r="B21032" s="5" t="s">
        <v>21040</v>
      </c>
      <c r="C21032" s="5">
        <v>118.7</v>
      </c>
      <c r="D21032" s="5">
        <v>0.1</v>
      </c>
      <c r="E21032" s="5">
        <v>118.9</v>
      </c>
      <c r="F21032" s="5">
        <v>237</v>
      </c>
      <c r="G21032" s="5">
        <v>118.3</v>
      </c>
      <c r="H21032" s="5">
        <v>118.1</v>
      </c>
      <c r="I21032" s="5"/>
      <c r="J21032" s="5"/>
      <c r="K21032" s="5"/>
    </row>
    <row r="21033" spans="1:11" x14ac:dyDescent="0.25">
      <c r="A21033" s="5">
        <f>21026</f>
      </c>
      <c r="B21033" s="5" t="s">
        <v>21041</v>
      </c>
      <c r="C21033" s="5">
        <v>118.7</v>
      </c>
      <c r="D21033" s="5">
        <v>0.1</v>
      </c>
      <c r="E21033" s="5">
        <v>118.9</v>
      </c>
      <c r="F21033" s="5">
        <v>237</v>
      </c>
      <c r="G21033" s="5">
        <v>118.3</v>
      </c>
      <c r="H21033" s="5">
        <v>118.1</v>
      </c>
      <c r="I21033" s="5"/>
      <c r="J21033" s="5"/>
      <c r="K21033" s="5"/>
    </row>
    <row r="21034" spans="1:11" x14ac:dyDescent="0.25">
      <c r="A21034" s="5">
        <f>21027</f>
      </c>
      <c r="B21034" s="5" t="s">
        <v>21042</v>
      </c>
      <c r="C21034" s="5">
        <v>118.7</v>
      </c>
      <c r="D21034" s="5">
        <v>0.1</v>
      </c>
      <c r="E21034" s="5">
        <v>118.9</v>
      </c>
      <c r="F21034" s="5">
        <v>237</v>
      </c>
      <c r="G21034" s="5">
        <v>118.3</v>
      </c>
      <c r="H21034" s="5">
        <v>118.1</v>
      </c>
      <c r="I21034" s="5"/>
      <c r="J21034" s="5"/>
      <c r="K21034" s="5"/>
    </row>
    <row r="21035" spans="1:11" x14ac:dyDescent="0.25">
      <c r="A21035" s="5">
        <f>21028</f>
      </c>
      <c r="B21035" s="5" t="s">
        <v>21043</v>
      </c>
      <c r="C21035" s="5">
        <v>118.6</v>
      </c>
      <c r="D21035" s="5">
        <v>0.1</v>
      </c>
      <c r="E21035" s="5">
        <v>118.8</v>
      </c>
      <c r="F21035" s="5">
        <v>237.3</v>
      </c>
      <c r="G21035" s="5">
        <v>118.4</v>
      </c>
      <c r="H21035" s="5">
        <v>118.2</v>
      </c>
      <c r="I21035" s="5"/>
      <c r="J21035" s="5"/>
      <c r="K21035" s="5"/>
    </row>
    <row r="21036" spans="1:11" x14ac:dyDescent="0.25">
      <c r="A21036" s="5">
        <f>21029</f>
      </c>
      <c r="B21036" s="5" t="s">
        <v>21044</v>
      </c>
      <c r="C21036" s="5">
        <v>118.6</v>
      </c>
      <c r="D21036" s="5">
        <v>0.1</v>
      </c>
      <c r="E21036" s="5">
        <v>118.8</v>
      </c>
      <c r="F21036" s="5">
        <v>237.3</v>
      </c>
      <c r="G21036" s="5">
        <v>118.4</v>
      </c>
      <c r="H21036" s="5">
        <v>118.2</v>
      </c>
      <c r="I21036" s="5"/>
      <c r="J21036" s="5"/>
      <c r="K21036" s="5"/>
    </row>
    <row r="21037" spans="1:11" x14ac:dyDescent="0.25">
      <c r="A21037" s="5">
        <f>21030</f>
      </c>
      <c r="B21037" s="5" t="s">
        <v>21045</v>
      </c>
      <c r="C21037" s="5">
        <v>118.6</v>
      </c>
      <c r="D21037" s="5">
        <v>0.1</v>
      </c>
      <c r="E21037" s="5">
        <v>118.8</v>
      </c>
      <c r="F21037" s="5">
        <v>237.3</v>
      </c>
      <c r="G21037" s="5">
        <v>118.4</v>
      </c>
      <c r="H21037" s="5">
        <v>118.2</v>
      </c>
      <c r="I21037" s="5"/>
      <c r="J21037" s="5"/>
      <c r="K21037" s="5"/>
    </row>
    <row r="21038" spans="1:11" x14ac:dyDescent="0.25">
      <c r="A21038" s="5">
        <f>21031</f>
      </c>
      <c r="B21038" s="5" t="s">
        <v>21046</v>
      </c>
      <c r="C21038" s="5">
        <v>118.6</v>
      </c>
      <c r="D21038" s="5">
        <v>0.1</v>
      </c>
      <c r="E21038" s="5">
        <v>118.8</v>
      </c>
      <c r="F21038" s="5">
        <v>237.3</v>
      </c>
      <c r="G21038" s="5">
        <v>118.4</v>
      </c>
      <c r="H21038" s="5">
        <v>118.2</v>
      </c>
      <c r="I21038" s="5"/>
      <c r="J21038" s="5"/>
      <c r="K21038" s="5"/>
    </row>
    <row r="21039" spans="1:11" x14ac:dyDescent="0.25">
      <c r="A21039" s="5">
        <f>21032</f>
      </c>
      <c r="B21039" s="5" t="s">
        <v>21047</v>
      </c>
      <c r="C21039" s="5">
        <v>118.5</v>
      </c>
      <c r="D21039" s="5">
        <v>0.1</v>
      </c>
      <c r="E21039" s="5">
        <v>118.6</v>
      </c>
      <c r="F21039" s="5">
        <v>237</v>
      </c>
      <c r="G21039" s="5">
        <v>118.3</v>
      </c>
      <c r="H21039" s="5">
        <v>118.1</v>
      </c>
      <c r="I21039" s="5"/>
      <c r="J21039" s="5"/>
      <c r="K21039" s="5"/>
    </row>
    <row r="21040" spans="1:11" x14ac:dyDescent="0.25">
      <c r="A21040" s="5">
        <f>21033</f>
      </c>
      <c r="B21040" s="5" t="s">
        <v>21048</v>
      </c>
      <c r="C21040" s="5">
        <v>118.5</v>
      </c>
      <c r="D21040" s="5">
        <v>0.1</v>
      </c>
      <c r="E21040" s="5">
        <v>118.6</v>
      </c>
      <c r="F21040" s="5">
        <v>237</v>
      </c>
      <c r="G21040" s="5">
        <v>118.3</v>
      </c>
      <c r="H21040" s="5">
        <v>118.1</v>
      </c>
      <c r="I21040" s="5"/>
      <c r="J21040" s="5"/>
      <c r="K21040" s="5"/>
    </row>
    <row r="21041" spans="1:11" x14ac:dyDescent="0.25">
      <c r="A21041" s="5">
        <f>21034</f>
      </c>
      <c r="B21041" s="5" t="s">
        <v>21049</v>
      </c>
      <c r="C21041" s="5">
        <v>118.5</v>
      </c>
      <c r="D21041" s="5">
        <v>0.1</v>
      </c>
      <c r="E21041" s="5">
        <v>118.6</v>
      </c>
      <c r="F21041" s="5">
        <v>237.1</v>
      </c>
      <c r="G21041" s="5">
        <v>118.3</v>
      </c>
      <c r="H21041" s="5">
        <v>118.1</v>
      </c>
      <c r="I21041" s="5"/>
      <c r="J21041" s="5"/>
      <c r="K21041" s="5"/>
    </row>
    <row r="21042" spans="1:11" x14ac:dyDescent="0.25">
      <c r="A21042" s="5">
        <f>21035</f>
      </c>
      <c r="B21042" s="5" t="s">
        <v>21050</v>
      </c>
      <c r="C21042" s="5">
        <v>118.5</v>
      </c>
      <c r="D21042" s="5">
        <v>0.1</v>
      </c>
      <c r="E21042" s="5">
        <v>118.6</v>
      </c>
      <c r="F21042" s="5">
        <v>237.1</v>
      </c>
      <c r="G21042" s="5">
        <v>118.3</v>
      </c>
      <c r="H21042" s="5">
        <v>118.1</v>
      </c>
      <c r="I21042" s="5"/>
      <c r="J21042" s="5"/>
      <c r="K21042" s="5"/>
    </row>
    <row r="21043" spans="1:11" x14ac:dyDescent="0.25">
      <c r="A21043" s="5">
        <f>21036</f>
      </c>
      <c r="B21043" s="5" t="s">
        <v>21051</v>
      </c>
      <c r="C21043" s="5">
        <v>118.5</v>
      </c>
      <c r="D21043" s="5">
        <v>0.1</v>
      </c>
      <c r="E21043" s="5">
        <v>118.6</v>
      </c>
      <c r="F21043" s="5">
        <v>237.1</v>
      </c>
      <c r="G21043" s="5">
        <v>118.3</v>
      </c>
      <c r="H21043" s="5">
        <v>118.1</v>
      </c>
      <c r="I21043" s="5"/>
      <c r="J21043" s="5"/>
      <c r="K21043" s="5"/>
    </row>
    <row r="21044" spans="1:11" x14ac:dyDescent="0.25">
      <c r="A21044" s="5">
        <f>21037</f>
      </c>
      <c r="B21044" s="5" t="s">
        <v>21052</v>
      </c>
      <c r="C21044" s="5">
        <v>118.5</v>
      </c>
      <c r="D21044" s="5">
        <v>0.1</v>
      </c>
      <c r="E21044" s="5">
        <v>118.6</v>
      </c>
      <c r="F21044" s="5">
        <v>237.4</v>
      </c>
      <c r="G21044" s="5">
        <v>118.5</v>
      </c>
      <c r="H21044" s="5">
        <v>118.4</v>
      </c>
      <c r="I21044" s="5"/>
      <c r="J21044" s="5"/>
      <c r="K21044" s="5"/>
    </row>
    <row r="21045" spans="1:11" x14ac:dyDescent="0.25">
      <c r="A21045" s="5">
        <f>21038</f>
      </c>
      <c r="B21045" s="5" t="s">
        <v>21053</v>
      </c>
      <c r="C21045" s="5">
        <v>118.9</v>
      </c>
      <c r="D21045" s="5">
        <v>0.1</v>
      </c>
      <c r="E21045" s="5">
        <v>119</v>
      </c>
      <c r="F21045" s="5">
        <v>237.4</v>
      </c>
      <c r="G21045" s="5">
        <v>118.5</v>
      </c>
      <c r="H21045" s="5">
        <v>118.4</v>
      </c>
      <c r="I21045" s="5"/>
      <c r="J21045" s="5"/>
      <c r="K21045" s="5"/>
    </row>
    <row r="21046" spans="1:11" x14ac:dyDescent="0.25">
      <c r="A21046" s="5">
        <f>21039</f>
      </c>
      <c r="B21046" s="5" t="s">
        <v>21054</v>
      </c>
      <c r="C21046" s="5">
        <v>118.9</v>
      </c>
      <c r="D21046" s="5">
        <v>0.1</v>
      </c>
      <c r="E21046" s="5">
        <v>119</v>
      </c>
      <c r="F21046" s="5">
        <v>237.4</v>
      </c>
      <c r="G21046" s="5">
        <v>118.3</v>
      </c>
      <c r="H21046" s="5">
        <v>118.2</v>
      </c>
      <c r="I21046" s="5"/>
      <c r="J21046" s="5"/>
      <c r="K21046" s="5"/>
    </row>
    <row r="21047" spans="1:11" x14ac:dyDescent="0.25">
      <c r="A21047" s="5">
        <f>21040</f>
      </c>
      <c r="B21047" s="5" t="s">
        <v>21055</v>
      </c>
      <c r="C21047" s="5">
        <v>118.8</v>
      </c>
      <c r="D21047" s="5">
        <v>0.1</v>
      </c>
      <c r="E21047" s="5">
        <v>119</v>
      </c>
      <c r="F21047" s="5">
        <v>237.1</v>
      </c>
      <c r="G21047" s="5">
        <v>118.3</v>
      </c>
      <c r="H21047" s="5">
        <v>118.2</v>
      </c>
      <c r="I21047" s="5"/>
      <c r="J21047" s="5"/>
      <c r="K21047" s="5"/>
    </row>
    <row r="21048" spans="1:11" x14ac:dyDescent="0.25">
      <c r="A21048" s="5">
        <f>21041</f>
      </c>
      <c r="B21048" s="5" t="s">
        <v>21056</v>
      </c>
      <c r="C21048" s="5">
        <v>118.8</v>
      </c>
      <c r="D21048" s="5">
        <v>0.1</v>
      </c>
      <c r="E21048" s="5">
        <v>119</v>
      </c>
      <c r="F21048" s="5">
        <v>237.1</v>
      </c>
      <c r="G21048" s="5">
        <v>118.3</v>
      </c>
      <c r="H21048" s="5">
        <v>118.2</v>
      </c>
      <c r="I21048" s="5"/>
      <c r="J21048" s="5"/>
      <c r="K21048" s="5"/>
    </row>
    <row r="21049" spans="1:11" x14ac:dyDescent="0.25">
      <c r="A21049" s="5">
        <f>21042</f>
      </c>
      <c r="B21049" s="5" t="s">
        <v>21057</v>
      </c>
      <c r="C21049" s="5">
        <v>118.6</v>
      </c>
      <c r="D21049" s="5">
        <v>0.1</v>
      </c>
      <c r="E21049" s="5">
        <v>118.8</v>
      </c>
      <c r="F21049" s="5">
        <v>237.1</v>
      </c>
      <c r="G21049" s="5">
        <v>118.3</v>
      </c>
      <c r="H21049" s="5">
        <v>118.2</v>
      </c>
      <c r="I21049" s="5"/>
      <c r="J21049" s="5"/>
      <c r="K21049" s="5"/>
    </row>
    <row r="21050" spans="1:11" x14ac:dyDescent="0.25">
      <c r="A21050" s="5">
        <f>21043</f>
      </c>
      <c r="B21050" s="5" t="s">
        <v>21058</v>
      </c>
      <c r="C21050" s="5">
        <v>118.6</v>
      </c>
      <c r="D21050" s="5">
        <v>0.1</v>
      </c>
      <c r="E21050" s="5">
        <v>118.8</v>
      </c>
      <c r="F21050" s="5">
        <v>237.1</v>
      </c>
      <c r="G21050" s="5">
        <v>118.3</v>
      </c>
      <c r="H21050" s="5">
        <v>118</v>
      </c>
      <c r="I21050" s="5"/>
      <c r="J21050" s="5"/>
      <c r="K21050" s="5"/>
    </row>
    <row r="21051" spans="1:11" x14ac:dyDescent="0.25">
      <c r="A21051" s="5">
        <f>21044</f>
      </c>
      <c r="B21051" s="5" t="s">
        <v>21059</v>
      </c>
      <c r="C21051" s="5">
        <v>118.6</v>
      </c>
      <c r="D21051" s="5">
        <v>0.1</v>
      </c>
      <c r="E21051" s="5">
        <v>118.7</v>
      </c>
      <c r="F21051" s="5">
        <v>236.8</v>
      </c>
      <c r="G21051" s="5">
        <v>118.2</v>
      </c>
      <c r="H21051" s="5">
        <v>118</v>
      </c>
      <c r="I21051" s="5"/>
      <c r="J21051" s="5"/>
      <c r="K21051" s="5"/>
    </row>
    <row r="21052" spans="1:11" x14ac:dyDescent="0.25">
      <c r="A21052" s="5">
        <f>21045</f>
      </c>
      <c r="B21052" s="5" t="s">
        <v>21060</v>
      </c>
      <c r="C21052" s="5">
        <v>118.6</v>
      </c>
      <c r="D21052" s="5">
        <v>0.1</v>
      </c>
      <c r="E21052" s="5">
        <v>118.7</v>
      </c>
      <c r="F21052" s="5">
        <v>236.8</v>
      </c>
      <c r="G21052" s="5">
        <v>118.2</v>
      </c>
      <c r="H21052" s="5">
        <v>118</v>
      </c>
      <c r="I21052" s="5"/>
      <c r="J21052" s="5"/>
      <c r="K21052" s="5"/>
    </row>
    <row r="21053" spans="1:11" x14ac:dyDescent="0.25">
      <c r="A21053" s="5">
        <f>21046</f>
      </c>
      <c r="B21053" s="5" t="s">
        <v>21061</v>
      </c>
      <c r="C21053" s="5">
        <v>118.6</v>
      </c>
      <c r="D21053" s="5">
        <v>0.1</v>
      </c>
      <c r="E21053" s="5">
        <v>118.7</v>
      </c>
      <c r="F21053" s="5">
        <v>236.8</v>
      </c>
      <c r="G21053" s="5">
        <v>118.2</v>
      </c>
      <c r="H21053" s="5">
        <v>118</v>
      </c>
      <c r="I21053" s="5"/>
      <c r="J21053" s="5"/>
      <c r="K21053" s="5"/>
    </row>
    <row r="21054" spans="1:11" x14ac:dyDescent="0.25">
      <c r="A21054" s="5">
        <f>21047</f>
      </c>
      <c r="B21054" s="5" t="s">
        <v>21062</v>
      </c>
      <c r="C21054" s="5">
        <v>118.4</v>
      </c>
      <c r="D21054" s="5">
        <v>0.1</v>
      </c>
      <c r="E21054" s="5">
        <v>118.6</v>
      </c>
      <c r="F21054" s="5">
        <v>237.1</v>
      </c>
      <c r="G21054" s="5">
        <v>118.3</v>
      </c>
      <c r="H21054" s="5">
        <v>118</v>
      </c>
      <c r="I21054" s="5"/>
      <c r="J21054" s="5"/>
      <c r="K21054" s="5"/>
    </row>
    <row r="21055" spans="1:11" x14ac:dyDescent="0.25">
      <c r="A21055" s="5">
        <f>21048</f>
      </c>
      <c r="B21055" s="5" t="s">
        <v>21063</v>
      </c>
      <c r="C21055" s="5">
        <v>118.4</v>
      </c>
      <c r="D21055" s="5">
        <v>0.1</v>
      </c>
      <c r="E21055" s="5">
        <v>118.6</v>
      </c>
      <c r="F21055" s="5">
        <v>237.1</v>
      </c>
      <c r="G21055" s="5">
        <v>118.3</v>
      </c>
      <c r="H21055" s="5">
        <v>118.2</v>
      </c>
      <c r="I21055" s="5"/>
      <c r="J21055" s="5"/>
      <c r="K21055" s="5"/>
    </row>
    <row r="21056" spans="1:11" x14ac:dyDescent="0.25">
      <c r="A21056" s="5">
        <f>21049</f>
      </c>
      <c r="B21056" s="5" t="s">
        <v>21064</v>
      </c>
      <c r="C21056" s="5">
        <v>118.9</v>
      </c>
      <c r="D21056" s="5">
        <v>0.1</v>
      </c>
      <c r="E21056" s="5">
        <v>119</v>
      </c>
      <c r="F21056" s="5">
        <v>237.2</v>
      </c>
      <c r="G21056" s="5">
        <v>118.4</v>
      </c>
      <c r="H21056" s="5">
        <v>118.2</v>
      </c>
      <c r="I21056" s="5"/>
      <c r="J21056" s="5"/>
      <c r="K21056" s="5"/>
    </row>
    <row r="21057" spans="1:11" x14ac:dyDescent="0.25">
      <c r="A21057" s="5">
        <f>21050</f>
      </c>
      <c r="B21057" s="5" t="s">
        <v>21065</v>
      </c>
      <c r="C21057" s="5">
        <v>118.9</v>
      </c>
      <c r="D21057" s="5">
        <v>0.1</v>
      </c>
      <c r="E21057" s="5">
        <v>119</v>
      </c>
      <c r="F21057" s="5">
        <v>237.2</v>
      </c>
      <c r="G21057" s="5">
        <v>118.4</v>
      </c>
      <c r="H21057" s="5">
        <v>118.2</v>
      </c>
      <c r="I21057" s="5"/>
      <c r="J21057" s="5"/>
      <c r="K21057" s="5"/>
    </row>
    <row r="21058" spans="1:11" x14ac:dyDescent="0.25">
      <c r="A21058" s="5">
        <f>21051</f>
      </c>
      <c r="B21058" s="5" t="s">
        <v>21066</v>
      </c>
      <c r="C21058" s="5">
        <v>118.9</v>
      </c>
      <c r="D21058" s="5">
        <v>0.1</v>
      </c>
      <c r="E21058" s="5">
        <v>119</v>
      </c>
      <c r="F21058" s="5">
        <v>237.2</v>
      </c>
      <c r="G21058" s="5">
        <v>118.4</v>
      </c>
      <c r="H21058" s="5">
        <v>118.2</v>
      </c>
      <c r="I21058" s="5"/>
      <c r="J21058" s="5"/>
      <c r="K21058" s="5"/>
    </row>
    <row r="21059" spans="1:11" x14ac:dyDescent="0.25">
      <c r="A21059" s="5">
        <f>21052</f>
      </c>
      <c r="B21059" s="5" t="s">
        <v>21067</v>
      </c>
      <c r="C21059" s="5">
        <v>118.9</v>
      </c>
      <c r="D21059" s="5">
        <v>0.1</v>
      </c>
      <c r="E21059" s="5">
        <v>119</v>
      </c>
      <c r="F21059" s="5">
        <v>236.9</v>
      </c>
      <c r="G21059" s="5">
        <v>118.2</v>
      </c>
      <c r="H21059" s="5">
        <v>118</v>
      </c>
      <c r="I21059" s="5"/>
      <c r="J21059" s="5"/>
      <c r="K21059" s="5"/>
    </row>
    <row r="21060" spans="1:11" x14ac:dyDescent="0.25">
      <c r="A21060" s="5">
        <f>21053</f>
      </c>
      <c r="B21060" s="5" t="s">
        <v>21068</v>
      </c>
      <c r="C21060" s="5">
        <v>118.9</v>
      </c>
      <c r="D21060" s="5">
        <v>0.1</v>
      </c>
      <c r="E21060" s="5">
        <v>119</v>
      </c>
      <c r="F21060" s="5">
        <v>236.9</v>
      </c>
      <c r="G21060" s="5">
        <v>118.2</v>
      </c>
      <c r="H21060" s="5">
        <v>118</v>
      </c>
      <c r="I21060" s="5"/>
      <c r="J21060" s="5"/>
      <c r="K21060" s="5"/>
    </row>
    <row r="21061" spans="1:11" x14ac:dyDescent="0.25">
      <c r="A21061" s="5">
        <f>21054</f>
      </c>
      <c r="B21061" s="5" t="s">
        <v>21069</v>
      </c>
      <c r="C21061" s="5">
        <v>118.6</v>
      </c>
      <c r="D21061" s="5">
        <v>0.1</v>
      </c>
      <c r="E21061" s="5">
        <v>118.7</v>
      </c>
      <c r="F21061" s="5">
        <v>236.7</v>
      </c>
      <c r="G21061" s="5">
        <v>118.1</v>
      </c>
      <c r="H21061" s="5">
        <v>118</v>
      </c>
      <c r="I21061" s="5"/>
      <c r="J21061" s="5"/>
      <c r="K21061" s="5"/>
    </row>
    <row r="21062" spans="1:11" x14ac:dyDescent="0.25">
      <c r="A21062" s="5">
        <f>21055</f>
      </c>
      <c r="B21062" s="5" t="s">
        <v>21070</v>
      </c>
      <c r="C21062" s="5">
        <v>118.6</v>
      </c>
      <c r="D21062" s="5">
        <v>0.1</v>
      </c>
      <c r="E21062" s="5">
        <v>118.7</v>
      </c>
      <c r="F21062" s="5">
        <v>236.7</v>
      </c>
      <c r="G21062" s="5">
        <v>118.1</v>
      </c>
      <c r="H21062" s="5">
        <v>118</v>
      </c>
      <c r="I21062" s="5"/>
      <c r="J21062" s="5"/>
      <c r="K21062" s="5"/>
    </row>
    <row r="21063" spans="1:11" x14ac:dyDescent="0.25">
      <c r="A21063" s="5">
        <f>21056</f>
      </c>
      <c r="B21063" s="5" t="s">
        <v>21071</v>
      </c>
      <c r="C21063" s="5">
        <v>118.6</v>
      </c>
      <c r="D21063" s="5">
        <v>0.1</v>
      </c>
      <c r="E21063" s="5">
        <v>118.7</v>
      </c>
      <c r="F21063" s="5">
        <v>236.7</v>
      </c>
      <c r="G21063" s="5">
        <v>118.1</v>
      </c>
      <c r="H21063" s="5">
        <v>118</v>
      </c>
      <c r="I21063" s="5"/>
      <c r="J21063" s="5"/>
      <c r="K21063" s="5"/>
    </row>
    <row r="21064" spans="1:11" x14ac:dyDescent="0.25">
      <c r="A21064" s="5">
        <f>21057</f>
      </c>
      <c r="B21064" s="5" t="s">
        <v>21072</v>
      </c>
      <c r="C21064" s="5">
        <v>118.6</v>
      </c>
      <c r="D21064" s="5">
        <v>0.1</v>
      </c>
      <c r="E21064" s="5">
        <v>118.7</v>
      </c>
      <c r="F21064" s="5">
        <v>236.7</v>
      </c>
      <c r="G21064" s="5">
        <v>118.1</v>
      </c>
      <c r="H21064" s="5">
        <v>118</v>
      </c>
      <c r="I21064" s="5"/>
      <c r="J21064" s="5"/>
      <c r="K21064" s="5"/>
    </row>
    <row r="21065" spans="1:11" x14ac:dyDescent="0.25">
      <c r="A21065" s="5">
        <f>21058</f>
      </c>
      <c r="B21065" s="5" t="s">
        <v>21073</v>
      </c>
      <c r="C21065" s="5">
        <v>118.3</v>
      </c>
      <c r="D21065" s="5">
        <v>0.1</v>
      </c>
      <c r="E21065" s="5">
        <v>118.5</v>
      </c>
      <c r="F21065" s="5">
        <v>236.8</v>
      </c>
      <c r="G21065" s="5">
        <v>118.2</v>
      </c>
      <c r="H21065" s="5">
        <v>118</v>
      </c>
      <c r="I21065" s="5"/>
      <c r="J21065" s="5"/>
      <c r="K21065" s="5"/>
    </row>
    <row r="21066" spans="1:11" x14ac:dyDescent="0.25">
      <c r="A21066" s="5">
        <f>21059</f>
      </c>
      <c r="B21066" s="5" t="s">
        <v>21074</v>
      </c>
      <c r="C21066" s="5">
        <v>118.3</v>
      </c>
      <c r="D21066" s="5">
        <v>0.1</v>
      </c>
      <c r="E21066" s="5">
        <v>118.5</v>
      </c>
      <c r="F21066" s="5">
        <v>236.8</v>
      </c>
      <c r="G21066" s="5">
        <v>118.2</v>
      </c>
      <c r="H21066" s="5">
        <v>118</v>
      </c>
      <c r="I21066" s="5"/>
      <c r="J21066" s="5"/>
      <c r="K21066" s="5"/>
    </row>
    <row r="21067" spans="1:11" x14ac:dyDescent="0.25">
      <c r="A21067" s="5">
        <f>21060</f>
      </c>
      <c r="B21067" s="5" t="s">
        <v>21075</v>
      </c>
      <c r="C21067" s="5">
        <v>118.4</v>
      </c>
      <c r="D21067" s="5">
        <v>0.1</v>
      </c>
      <c r="E21067" s="5">
        <v>118.6</v>
      </c>
      <c r="F21067" s="5">
        <v>236.7</v>
      </c>
      <c r="G21067" s="5">
        <v>118.1</v>
      </c>
      <c r="H21067" s="5">
        <v>118</v>
      </c>
      <c r="I21067" s="5"/>
      <c r="J21067" s="5"/>
      <c r="K21067" s="5"/>
    </row>
    <row r="21068" spans="1:11" x14ac:dyDescent="0.25">
      <c r="A21068" s="5">
        <f>21061</f>
      </c>
      <c r="B21068" s="5" t="s">
        <v>21076</v>
      </c>
      <c r="C21068" s="5">
        <v>118.4</v>
      </c>
      <c r="D21068" s="5">
        <v>0.1</v>
      </c>
      <c r="E21068" s="5">
        <v>118.6</v>
      </c>
      <c r="F21068" s="5">
        <v>236.7</v>
      </c>
      <c r="G21068" s="5">
        <v>118.1</v>
      </c>
      <c r="H21068" s="5">
        <v>118</v>
      </c>
      <c r="I21068" s="5"/>
      <c r="J21068" s="5"/>
      <c r="K21068" s="5"/>
    </row>
    <row r="21069" spans="1:11" x14ac:dyDescent="0.25">
      <c r="A21069" s="5">
        <f>21062</f>
      </c>
      <c r="B21069" s="5" t="s">
        <v>21077</v>
      </c>
      <c r="C21069" s="5">
        <v>118.4</v>
      </c>
      <c r="D21069" s="5">
        <v>0.1</v>
      </c>
      <c r="E21069" s="5">
        <v>118.6</v>
      </c>
      <c r="F21069" s="5">
        <v>236.4</v>
      </c>
      <c r="G21069" s="5">
        <v>118</v>
      </c>
      <c r="H21069" s="5">
        <v>117.8</v>
      </c>
      <c r="I21069" s="5"/>
      <c r="J21069" s="5"/>
      <c r="K21069" s="5"/>
    </row>
    <row r="21070" spans="1:11" x14ac:dyDescent="0.25">
      <c r="A21070" s="5">
        <f>21063</f>
      </c>
      <c r="B21070" s="5" t="s">
        <v>21078</v>
      </c>
      <c r="C21070" s="5">
        <v>118.4</v>
      </c>
      <c r="D21070" s="5">
        <v>0.1</v>
      </c>
      <c r="E21070" s="5">
        <v>118.6</v>
      </c>
      <c r="F21070" s="5">
        <v>236.4</v>
      </c>
      <c r="G21070" s="5">
        <v>118</v>
      </c>
      <c r="H21070" s="5">
        <v>117.8</v>
      </c>
      <c r="I21070" s="5"/>
      <c r="J21070" s="5"/>
      <c r="K21070" s="5"/>
    </row>
    <row r="21071" spans="1:11" x14ac:dyDescent="0.25">
      <c r="A21071" s="5">
        <f>21064</f>
      </c>
      <c r="B21071" s="5" t="s">
        <v>21079</v>
      </c>
      <c r="C21071" s="5">
        <v>118.6</v>
      </c>
      <c r="D21071" s="5">
        <v>0.1</v>
      </c>
      <c r="E21071" s="5">
        <v>118.8</v>
      </c>
      <c r="F21071" s="5">
        <v>236.5</v>
      </c>
      <c r="G21071" s="5">
        <v>118.1</v>
      </c>
      <c r="H21071" s="5">
        <v>117.9</v>
      </c>
      <c r="I21071" s="5"/>
      <c r="J21071" s="5"/>
      <c r="K21071" s="5"/>
    </row>
    <row r="21072" spans="1:11" x14ac:dyDescent="0.25">
      <c r="A21072" s="5">
        <f>21065</f>
      </c>
      <c r="B21072" s="5" t="s">
        <v>21080</v>
      </c>
      <c r="C21072" s="5">
        <v>118.6</v>
      </c>
      <c r="D21072" s="5">
        <v>0.1</v>
      </c>
      <c r="E21072" s="5">
        <v>118.8</v>
      </c>
      <c r="F21072" s="5">
        <v>236.5</v>
      </c>
      <c r="G21072" s="5">
        <v>118.1</v>
      </c>
      <c r="H21072" s="5">
        <v>117.9</v>
      </c>
      <c r="I21072" s="5"/>
      <c r="J21072" s="5"/>
      <c r="K21072" s="5"/>
    </row>
    <row r="21073" spans="1:11" x14ac:dyDescent="0.25">
      <c r="A21073" s="5">
        <f>21066</f>
      </c>
      <c r="B21073" s="5" t="s">
        <v>21081</v>
      </c>
      <c r="C21073" s="5">
        <v>118.6</v>
      </c>
      <c r="D21073" s="5">
        <v>0.1</v>
      </c>
      <c r="E21073" s="5">
        <v>118.8</v>
      </c>
      <c r="F21073" s="5">
        <v>236.5</v>
      </c>
      <c r="G21073" s="5">
        <v>118.1</v>
      </c>
      <c r="H21073" s="5">
        <v>117.9</v>
      </c>
      <c r="I21073" s="5"/>
      <c r="J21073" s="5"/>
      <c r="K21073" s="5"/>
    </row>
    <row r="21074" spans="1:11" x14ac:dyDescent="0.25">
      <c r="A21074" s="5">
        <f>21067</f>
      </c>
      <c r="B21074" s="5" t="s">
        <v>21082</v>
      </c>
      <c r="C21074" s="5">
        <v>118.6</v>
      </c>
      <c r="D21074" s="5">
        <v>0.1</v>
      </c>
      <c r="E21074" s="5">
        <v>118.8</v>
      </c>
      <c r="F21074" s="5">
        <v>236.5</v>
      </c>
      <c r="G21074" s="5">
        <v>118.1</v>
      </c>
      <c r="H21074" s="5">
        <v>117.9</v>
      </c>
      <c r="I21074" s="5"/>
      <c r="J21074" s="5"/>
      <c r="K21074" s="5"/>
    </row>
    <row r="21075" spans="1:11" x14ac:dyDescent="0.25">
      <c r="A21075" s="5">
        <f>21068</f>
      </c>
      <c r="B21075" s="5" t="s">
        <v>21083</v>
      </c>
      <c r="C21075" s="5">
        <v>118.3</v>
      </c>
      <c r="D21075" s="5">
        <v>0.1</v>
      </c>
      <c r="E21075" s="5">
        <v>118.4</v>
      </c>
      <c r="F21075" s="5">
        <v>236.1</v>
      </c>
      <c r="G21075" s="5">
        <v>117.9</v>
      </c>
      <c r="H21075" s="5">
        <v>117.6</v>
      </c>
      <c r="I21075" s="5"/>
      <c r="J21075" s="5"/>
      <c r="K21075" s="5"/>
    </row>
    <row r="21076" spans="1:11" x14ac:dyDescent="0.25">
      <c r="A21076" s="5">
        <f>21069</f>
      </c>
      <c r="B21076" s="5" t="s">
        <v>21084</v>
      </c>
      <c r="C21076" s="5">
        <v>118.3</v>
      </c>
      <c r="D21076" s="5">
        <v>0.1</v>
      </c>
      <c r="E21076" s="5">
        <v>118.4</v>
      </c>
      <c r="F21076" s="5">
        <v>236.1</v>
      </c>
      <c r="G21076" s="5">
        <v>117.9</v>
      </c>
      <c r="H21076" s="5">
        <v>117.6</v>
      </c>
      <c r="I21076" s="5"/>
      <c r="J21076" s="5"/>
      <c r="K21076" s="5"/>
    </row>
    <row r="21077" spans="1:11" x14ac:dyDescent="0.25">
      <c r="A21077" s="5">
        <f>21070</f>
      </c>
      <c r="B21077" s="5" t="s">
        <v>21085</v>
      </c>
      <c r="C21077" s="5">
        <v>118.1</v>
      </c>
      <c r="D21077" s="5">
        <v>0.1</v>
      </c>
      <c r="E21077" s="5">
        <v>118.3</v>
      </c>
      <c r="F21077" s="5">
        <v>235.9</v>
      </c>
      <c r="G21077" s="5">
        <v>117.7</v>
      </c>
      <c r="H21077" s="5">
        <v>117.5</v>
      </c>
      <c r="I21077" s="5"/>
      <c r="J21077" s="5"/>
      <c r="K21077" s="5"/>
    </row>
    <row r="21078" spans="1:11" x14ac:dyDescent="0.25">
      <c r="A21078" s="5">
        <f>21071</f>
      </c>
      <c r="B21078" s="5" t="s">
        <v>21086</v>
      </c>
      <c r="C21078" s="5">
        <v>118.1</v>
      </c>
      <c r="D21078" s="5">
        <v>0.1</v>
      </c>
      <c r="E21078" s="5">
        <v>118.3</v>
      </c>
      <c r="F21078" s="5">
        <v>235.9</v>
      </c>
      <c r="G21078" s="5">
        <v>117.7</v>
      </c>
      <c r="H21078" s="5">
        <v>117.5</v>
      </c>
      <c r="I21078" s="5"/>
      <c r="J21078" s="5"/>
      <c r="K21078" s="5"/>
    </row>
    <row r="21079" spans="1:11" x14ac:dyDescent="0.25">
      <c r="A21079" s="5">
        <f>21072</f>
      </c>
      <c r="B21079" s="5" t="s">
        <v>21087</v>
      </c>
      <c r="C21079" s="5">
        <v>118.5</v>
      </c>
      <c r="D21079" s="5">
        <v>0.1</v>
      </c>
      <c r="E21079" s="5">
        <v>118.6</v>
      </c>
      <c r="F21079" s="5">
        <v>236.9</v>
      </c>
      <c r="G21079" s="5">
        <v>118.2</v>
      </c>
      <c r="H21079" s="5">
        <v>118.1</v>
      </c>
      <c r="I21079" s="5"/>
      <c r="J21079" s="5"/>
      <c r="K21079" s="5"/>
    </row>
    <row r="21080" spans="1:11" x14ac:dyDescent="0.25">
      <c r="A21080" s="5">
        <f>21073</f>
      </c>
      <c r="B21080" s="5" t="s">
        <v>21088</v>
      </c>
      <c r="C21080" s="5">
        <v>118.5</v>
      </c>
      <c r="D21080" s="5">
        <v>0.1</v>
      </c>
      <c r="E21080" s="5">
        <v>118.6</v>
      </c>
      <c r="F21080" s="5">
        <v>236.9</v>
      </c>
      <c r="G21080" s="5">
        <v>118.2</v>
      </c>
      <c r="H21080" s="5">
        <v>118.1</v>
      </c>
      <c r="I21080" s="5"/>
      <c r="J21080" s="5"/>
      <c r="K21080" s="5"/>
    </row>
    <row r="21081" spans="1:11" x14ac:dyDescent="0.25">
      <c r="A21081" s="5">
        <f>21074</f>
      </c>
      <c r="B21081" s="5" t="s">
        <v>21089</v>
      </c>
      <c r="C21081" s="5">
        <v>118.4</v>
      </c>
      <c r="D21081" s="5">
        <v>0.1</v>
      </c>
      <c r="E21081" s="5">
        <v>118.6</v>
      </c>
      <c r="F21081" s="5">
        <v>236.6</v>
      </c>
      <c r="G21081" s="5">
        <v>118.1</v>
      </c>
      <c r="H21081" s="5">
        <v>117.9</v>
      </c>
      <c r="I21081" s="5"/>
      <c r="J21081" s="5"/>
      <c r="K21081" s="5"/>
    </row>
    <row r="21082" spans="1:11" x14ac:dyDescent="0.25">
      <c r="A21082" s="5">
        <f>21075</f>
      </c>
      <c r="B21082" s="5" t="s">
        <v>21090</v>
      </c>
      <c r="C21082" s="5">
        <v>118.4</v>
      </c>
      <c r="D21082" s="5">
        <v>0.1</v>
      </c>
      <c r="E21082" s="5">
        <v>118.6</v>
      </c>
      <c r="F21082" s="5">
        <v>236.6</v>
      </c>
      <c r="G21082" s="5">
        <v>118.1</v>
      </c>
      <c r="H21082" s="5">
        <v>117.9</v>
      </c>
      <c r="I21082" s="5"/>
      <c r="J21082" s="5"/>
      <c r="K21082" s="5"/>
    </row>
    <row r="21083" spans="1:11" x14ac:dyDescent="0.25">
      <c r="A21083" s="5">
        <f>21076</f>
      </c>
      <c r="B21083" s="5" t="s">
        <v>21091</v>
      </c>
      <c r="C21083" s="5">
        <v>119</v>
      </c>
      <c r="D21083" s="5">
        <v>0.1</v>
      </c>
      <c r="E21083" s="5">
        <v>119.1</v>
      </c>
      <c r="F21083" s="5">
        <v>237</v>
      </c>
      <c r="G21083" s="5">
        <v>118.3</v>
      </c>
      <c r="H21083" s="5">
        <v>118.1</v>
      </c>
      <c r="I21083" s="5"/>
      <c r="J21083" s="5"/>
      <c r="K21083" s="5"/>
    </row>
    <row r="21084" spans="1:11" x14ac:dyDescent="0.25">
      <c r="A21084" s="5">
        <f>21077</f>
      </c>
      <c r="B21084" s="5" t="s">
        <v>21092</v>
      </c>
      <c r="C21084" s="5">
        <v>119</v>
      </c>
      <c r="D21084" s="5">
        <v>0.1</v>
      </c>
      <c r="E21084" s="5">
        <v>119.1</v>
      </c>
      <c r="F21084" s="5">
        <v>237</v>
      </c>
      <c r="G21084" s="5">
        <v>118.3</v>
      </c>
      <c r="H21084" s="5">
        <v>118.1</v>
      </c>
      <c r="I21084" s="5"/>
      <c r="J21084" s="5"/>
      <c r="K21084" s="5"/>
    </row>
    <row r="21085" spans="1:11" x14ac:dyDescent="0.25">
      <c r="A21085" s="5">
        <f>21078</f>
      </c>
      <c r="B21085" s="5" t="s">
        <v>21093</v>
      </c>
      <c r="C21085" s="5">
        <v>118.7</v>
      </c>
      <c r="D21085" s="5">
        <v>0.1</v>
      </c>
      <c r="E21085" s="5">
        <v>118.9</v>
      </c>
      <c r="F21085" s="5">
        <v>236.7</v>
      </c>
      <c r="G21085" s="5">
        <v>118.1</v>
      </c>
      <c r="H21085" s="5">
        <v>118</v>
      </c>
      <c r="I21085" s="5"/>
      <c r="J21085" s="5"/>
      <c r="K21085" s="5"/>
    </row>
    <row r="21086" spans="1:11" x14ac:dyDescent="0.25">
      <c r="A21086" s="5">
        <f>21079</f>
      </c>
      <c r="B21086" s="5" t="s">
        <v>21094</v>
      </c>
      <c r="C21086" s="5">
        <v>118.7</v>
      </c>
      <c r="D21086" s="5">
        <v>0.1</v>
      </c>
      <c r="E21086" s="5">
        <v>118.9</v>
      </c>
      <c r="F21086" s="5">
        <v>236.7</v>
      </c>
      <c r="G21086" s="5">
        <v>118.1</v>
      </c>
      <c r="H21086" s="5">
        <v>118</v>
      </c>
      <c r="I21086" s="5"/>
      <c r="J21086" s="5"/>
      <c r="K21086" s="5"/>
    </row>
    <row r="21087" spans="1:11" x14ac:dyDescent="0.25">
      <c r="A21087" s="5">
        <f>21080</f>
      </c>
      <c r="B21087" s="5" t="s">
        <v>21095</v>
      </c>
      <c r="C21087" s="5">
        <v>118.7</v>
      </c>
      <c r="D21087" s="5">
        <v>0.1</v>
      </c>
      <c r="E21087" s="5">
        <v>118.9</v>
      </c>
      <c r="F21087" s="5">
        <v>236.7</v>
      </c>
      <c r="G21087" s="5">
        <v>118.2</v>
      </c>
      <c r="H21087" s="5">
        <v>118</v>
      </c>
      <c r="I21087" s="5"/>
      <c r="J21087" s="5"/>
      <c r="K21087" s="5"/>
    </row>
    <row r="21088" spans="1:11" x14ac:dyDescent="0.25">
      <c r="A21088" s="5">
        <f>21081</f>
      </c>
      <c r="B21088" s="5" t="s">
        <v>21096</v>
      </c>
      <c r="C21088" s="5">
        <v>118.7</v>
      </c>
      <c r="D21088" s="5">
        <v>0.1</v>
      </c>
      <c r="E21088" s="5">
        <v>118.9</v>
      </c>
      <c r="F21088" s="5">
        <v>236.7</v>
      </c>
      <c r="G21088" s="5">
        <v>118.2</v>
      </c>
      <c r="H21088" s="5">
        <v>118</v>
      </c>
      <c r="I21088" s="5"/>
      <c r="J21088" s="5"/>
      <c r="K21088" s="5"/>
    </row>
    <row r="21089" spans="1:11" x14ac:dyDescent="0.25">
      <c r="A21089" s="5">
        <f>21082</f>
      </c>
      <c r="B21089" s="5" t="s">
        <v>21097</v>
      </c>
      <c r="C21089" s="5">
        <v>118.7</v>
      </c>
      <c r="D21089" s="5">
        <v>0.1</v>
      </c>
      <c r="E21089" s="5">
        <v>118.9</v>
      </c>
      <c r="F21089" s="5">
        <v>236.7</v>
      </c>
      <c r="G21089" s="5">
        <v>118.2</v>
      </c>
      <c r="H21089" s="5">
        <v>118</v>
      </c>
      <c r="I21089" s="5"/>
      <c r="J21089" s="5"/>
      <c r="K21089" s="5"/>
    </row>
    <row r="21090" spans="1:11" x14ac:dyDescent="0.25">
      <c r="A21090" s="5">
        <f>21083</f>
      </c>
      <c r="B21090" s="5" t="s">
        <v>21098</v>
      </c>
      <c r="C21090" s="5">
        <v>118.7</v>
      </c>
      <c r="D21090" s="5">
        <v>0.1</v>
      </c>
      <c r="E21090" s="5">
        <v>118.9</v>
      </c>
      <c r="F21090" s="5">
        <v>236.7</v>
      </c>
      <c r="G21090" s="5">
        <v>118.2</v>
      </c>
      <c r="H21090" s="5">
        <v>118</v>
      </c>
      <c r="I21090" s="5"/>
      <c r="J21090" s="5"/>
      <c r="K21090" s="5"/>
    </row>
    <row r="21091" spans="1:11" x14ac:dyDescent="0.25">
      <c r="A21091" s="5">
        <f>21084</f>
      </c>
      <c r="B21091" s="5" t="s">
        <v>21099</v>
      </c>
      <c r="C21091" s="5">
        <v>118.6</v>
      </c>
      <c r="D21091" s="5">
        <v>0.1</v>
      </c>
      <c r="E21091" s="5">
        <v>118.7</v>
      </c>
      <c r="F21091" s="5">
        <v>236.7</v>
      </c>
      <c r="G21091" s="5">
        <v>118.1</v>
      </c>
      <c r="H21091" s="5">
        <v>117.9</v>
      </c>
      <c r="I21091" s="5"/>
      <c r="J21091" s="5"/>
      <c r="K21091" s="5"/>
    </row>
    <row r="21092" spans="1:11" x14ac:dyDescent="0.25">
      <c r="A21092" s="5">
        <f>21085</f>
      </c>
      <c r="B21092" s="5" t="s">
        <v>21100</v>
      </c>
      <c r="C21092" s="5">
        <v>118.6</v>
      </c>
      <c r="D21092" s="5">
        <v>0.1</v>
      </c>
      <c r="E21092" s="5">
        <v>118.7</v>
      </c>
      <c r="F21092" s="5">
        <v>236.7</v>
      </c>
      <c r="G21092" s="5">
        <v>118.1</v>
      </c>
      <c r="H21092" s="5">
        <v>117.9</v>
      </c>
      <c r="I21092" s="5"/>
      <c r="J21092" s="5"/>
      <c r="K21092" s="5"/>
    </row>
    <row r="21093" spans="1:11" x14ac:dyDescent="0.25">
      <c r="A21093" s="5">
        <f>21086</f>
      </c>
      <c r="B21093" s="5" t="s">
        <v>21101</v>
      </c>
      <c r="C21093" s="5">
        <v>118.6</v>
      </c>
      <c r="D21093" s="5">
        <v>0.1</v>
      </c>
      <c r="E21093" s="5">
        <v>118.7</v>
      </c>
      <c r="F21093" s="5">
        <v>236.9</v>
      </c>
      <c r="G21093" s="5">
        <v>118.2</v>
      </c>
      <c r="H21093" s="5">
        <v>118</v>
      </c>
      <c r="I21093" s="5"/>
      <c r="J21093" s="5"/>
      <c r="K21093" s="5"/>
    </row>
    <row r="21094" spans="1:11" x14ac:dyDescent="0.25">
      <c r="A21094" s="5">
        <f>21087</f>
      </c>
      <c r="B21094" s="5" t="s">
        <v>21102</v>
      </c>
      <c r="C21094" s="5">
        <v>118.6</v>
      </c>
      <c r="D21094" s="5">
        <v>0.1</v>
      </c>
      <c r="E21094" s="5">
        <v>118.7</v>
      </c>
      <c r="F21094" s="5">
        <v>236.9</v>
      </c>
      <c r="G21094" s="5">
        <v>118.2</v>
      </c>
      <c r="H21094" s="5">
        <v>118</v>
      </c>
      <c r="I21094" s="5"/>
      <c r="J21094" s="5"/>
      <c r="K21094" s="5"/>
    </row>
    <row r="21095" spans="1:11" x14ac:dyDescent="0.25">
      <c r="A21095" s="5">
        <f>21088</f>
      </c>
      <c r="B21095" s="5" t="s">
        <v>21103</v>
      </c>
      <c r="C21095" s="5">
        <v>118.7</v>
      </c>
      <c r="D21095" s="5">
        <v>0.1</v>
      </c>
      <c r="E21095" s="5">
        <v>118.9</v>
      </c>
      <c r="F21095" s="5">
        <v>237.1</v>
      </c>
      <c r="G21095" s="5">
        <v>118.4</v>
      </c>
      <c r="H21095" s="5">
        <v>118.2</v>
      </c>
      <c r="I21095" s="5"/>
      <c r="J21095" s="5"/>
      <c r="K21095" s="5"/>
    </row>
    <row r="21096" spans="1:11" x14ac:dyDescent="0.25">
      <c r="A21096" s="5">
        <f>21089</f>
      </c>
      <c r="B21096" s="5" t="s">
        <v>21104</v>
      </c>
      <c r="C21096" s="5">
        <v>118.7</v>
      </c>
      <c r="D21096" s="5">
        <v>0.1</v>
      </c>
      <c r="E21096" s="5">
        <v>118.9</v>
      </c>
      <c r="F21096" s="5">
        <v>237.1</v>
      </c>
      <c r="G21096" s="5">
        <v>118.4</v>
      </c>
      <c r="H21096" s="5">
        <v>118.2</v>
      </c>
      <c r="I21096" s="5"/>
      <c r="J21096" s="5"/>
      <c r="K21096" s="5"/>
    </row>
    <row r="21097" spans="1:11" x14ac:dyDescent="0.25">
      <c r="A21097" s="5">
        <f>21090</f>
      </c>
      <c r="B21097" s="5" t="s">
        <v>21105</v>
      </c>
      <c r="C21097" s="5">
        <v>118.8</v>
      </c>
      <c r="D21097" s="5">
        <v>0.1</v>
      </c>
      <c r="E21097" s="5">
        <v>119</v>
      </c>
      <c r="F21097" s="5">
        <v>237</v>
      </c>
      <c r="G21097" s="5">
        <v>118.3</v>
      </c>
      <c r="H21097" s="5">
        <v>118.1</v>
      </c>
      <c r="I21097" s="5"/>
      <c r="J21097" s="5"/>
      <c r="K21097" s="5"/>
    </row>
    <row r="21098" spans="1:11" x14ac:dyDescent="0.25">
      <c r="A21098" s="5">
        <f>21091</f>
      </c>
      <c r="B21098" s="5" t="s">
        <v>21106</v>
      </c>
      <c r="C21098" s="5">
        <v>118.8</v>
      </c>
      <c r="D21098" s="5">
        <v>0.1</v>
      </c>
      <c r="E21098" s="5">
        <v>119</v>
      </c>
      <c r="F21098" s="5">
        <v>237</v>
      </c>
      <c r="G21098" s="5">
        <v>118.3</v>
      </c>
      <c r="H21098" s="5">
        <v>118.1</v>
      </c>
      <c r="I21098" s="5"/>
      <c r="J21098" s="5"/>
      <c r="K21098" s="5"/>
    </row>
    <row r="21099" spans="1:11" x14ac:dyDescent="0.25">
      <c r="A21099" s="5">
        <f>21092</f>
      </c>
      <c r="B21099" s="5" t="s">
        <v>21107</v>
      </c>
      <c r="C21099" s="5">
        <v>118.8</v>
      </c>
      <c r="D21099" s="5">
        <v>0.1</v>
      </c>
      <c r="E21099" s="5">
        <v>119</v>
      </c>
      <c r="F21099" s="5">
        <v>237</v>
      </c>
      <c r="G21099" s="5">
        <v>118.3</v>
      </c>
      <c r="H21099" s="5">
        <v>118.1</v>
      </c>
      <c r="I21099" s="5"/>
      <c r="J21099" s="5"/>
      <c r="K21099" s="5"/>
    </row>
    <row r="21100" spans="1:11" x14ac:dyDescent="0.25">
      <c r="A21100" s="5">
        <f>21093</f>
      </c>
      <c r="B21100" s="5" t="s">
        <v>21108</v>
      </c>
      <c r="C21100" s="5">
        <v>118.8</v>
      </c>
      <c r="D21100" s="5">
        <v>0.1</v>
      </c>
      <c r="E21100" s="5">
        <v>119</v>
      </c>
      <c r="F21100" s="5">
        <v>237</v>
      </c>
      <c r="G21100" s="5">
        <v>118.3</v>
      </c>
      <c r="H21100" s="5">
        <v>118.1</v>
      </c>
      <c r="I21100" s="5"/>
      <c r="J21100" s="5"/>
      <c r="K21100" s="5"/>
    </row>
    <row r="21101" spans="1:11" x14ac:dyDescent="0.25">
      <c r="A21101" s="5">
        <f>21094</f>
      </c>
      <c r="B21101" s="5" t="s">
        <v>21109</v>
      </c>
      <c r="C21101" s="5">
        <v>122.7</v>
      </c>
      <c r="D21101" s="5">
        <v>0.1</v>
      </c>
      <c r="E21101" s="5">
        <v>122.8</v>
      </c>
      <c r="F21101" s="5">
        <v>245.2</v>
      </c>
      <c r="G21101" s="5">
        <v>122.4</v>
      </c>
      <c r="H21101" s="5">
        <v>122.2</v>
      </c>
      <c r="I21101" s="5"/>
      <c r="J21101" s="5"/>
      <c r="K21101" s="5"/>
    </row>
    <row r="21102" spans="1:11" x14ac:dyDescent="0.25">
      <c r="A21102" s="5">
        <f>21095</f>
      </c>
      <c r="B21102" s="5" t="s">
        <v>21110</v>
      </c>
      <c r="C21102" s="5">
        <v>122.7</v>
      </c>
      <c r="D21102" s="5">
        <v>0.1</v>
      </c>
      <c r="E21102" s="5">
        <v>122.8</v>
      </c>
      <c r="F21102" s="5">
        <v>245.2</v>
      </c>
      <c r="G21102" s="5">
        <v>122.4</v>
      </c>
      <c r="H21102" s="5">
        <v>122.2</v>
      </c>
      <c r="I21102" s="5"/>
      <c r="J21102" s="5"/>
      <c r="K21102" s="5"/>
    </row>
    <row r="21103" spans="1:11" x14ac:dyDescent="0.25">
      <c r="A21103" s="5">
        <f>21096</f>
      </c>
      <c r="B21103" s="5" t="s">
        <v>21111</v>
      </c>
      <c r="C21103" s="5">
        <v>122.5</v>
      </c>
      <c r="D21103" s="5">
        <v>0.1</v>
      </c>
      <c r="E21103" s="5">
        <v>122.6</v>
      </c>
      <c r="F21103" s="5">
        <v>244.8</v>
      </c>
      <c r="G21103" s="5">
        <v>122.2</v>
      </c>
      <c r="H21103" s="5">
        <v>122</v>
      </c>
      <c r="I21103" s="5"/>
      <c r="J21103" s="5"/>
      <c r="K21103" s="5"/>
    </row>
    <row r="21104" spans="1:11" x14ac:dyDescent="0.25">
      <c r="A21104" s="5">
        <f>21097</f>
      </c>
      <c r="B21104" s="5" t="s">
        <v>21112</v>
      </c>
      <c r="C21104" s="5">
        <v>122.5</v>
      </c>
      <c r="D21104" s="5">
        <v>0.1</v>
      </c>
      <c r="E21104" s="5">
        <v>122.6</v>
      </c>
      <c r="F21104" s="5">
        <v>244.8</v>
      </c>
      <c r="G21104" s="5">
        <v>122.2</v>
      </c>
      <c r="H21104" s="5">
        <v>122</v>
      </c>
      <c r="I21104" s="5"/>
      <c r="J21104" s="5"/>
      <c r="K21104" s="5"/>
    </row>
    <row r="21105" spans="1:11" x14ac:dyDescent="0.25">
      <c r="A21105" s="5">
        <f>21098</f>
      </c>
      <c r="B21105" s="5" t="s">
        <v>21113</v>
      </c>
      <c r="C21105" s="5">
        <v>122.5</v>
      </c>
      <c r="D21105" s="5">
        <v>0.1</v>
      </c>
      <c r="E21105" s="5">
        <v>122.7</v>
      </c>
      <c r="F21105" s="5">
        <v>244.7</v>
      </c>
      <c r="G21105" s="5">
        <v>122.1</v>
      </c>
      <c r="H21105" s="5">
        <v>121.9</v>
      </c>
      <c r="I21105" s="5"/>
      <c r="J21105" s="5"/>
      <c r="K21105" s="5"/>
    </row>
    <row r="21106" spans="1:11" x14ac:dyDescent="0.25">
      <c r="A21106" s="5">
        <f>21099</f>
      </c>
      <c r="B21106" s="5" t="s">
        <v>21114</v>
      </c>
      <c r="C21106" s="5">
        <v>122.5</v>
      </c>
      <c r="D21106" s="5">
        <v>0.1</v>
      </c>
      <c r="E21106" s="5">
        <v>122.7</v>
      </c>
      <c r="F21106" s="5">
        <v>244.7</v>
      </c>
      <c r="G21106" s="5">
        <v>122.1</v>
      </c>
      <c r="H21106" s="5">
        <v>121.9</v>
      </c>
      <c r="I21106" s="5"/>
      <c r="J21106" s="5"/>
      <c r="K21106" s="5"/>
    </row>
    <row r="21107" spans="1:11" x14ac:dyDescent="0.25">
      <c r="A21107" s="5">
        <f>21100</f>
      </c>
      <c r="B21107" s="5" t="s">
        <v>21115</v>
      </c>
      <c r="C21107" s="5">
        <v>122.8</v>
      </c>
      <c r="D21107" s="5">
        <v>0.1</v>
      </c>
      <c r="E21107" s="5">
        <v>123</v>
      </c>
      <c r="F21107" s="5">
        <v>245.4</v>
      </c>
      <c r="G21107" s="5">
        <v>122.5</v>
      </c>
      <c r="H21107" s="5">
        <v>122.3</v>
      </c>
      <c r="I21107" s="5"/>
      <c r="J21107" s="5"/>
      <c r="K21107" s="5"/>
    </row>
    <row r="21108" spans="1:11" x14ac:dyDescent="0.25">
      <c r="A21108" s="5">
        <f>21101</f>
      </c>
      <c r="B21108" s="5" t="s">
        <v>21116</v>
      </c>
      <c r="C21108" s="5">
        <v>122.8</v>
      </c>
      <c r="D21108" s="5">
        <v>0.1</v>
      </c>
      <c r="E21108" s="5">
        <v>123</v>
      </c>
      <c r="F21108" s="5">
        <v>245.4</v>
      </c>
      <c r="G21108" s="5">
        <v>122.5</v>
      </c>
      <c r="H21108" s="5">
        <v>122.3</v>
      </c>
      <c r="I21108" s="5"/>
      <c r="J21108" s="5"/>
      <c r="K21108" s="5"/>
    </row>
    <row r="21109" spans="1:11" x14ac:dyDescent="0.25">
      <c r="A21109" s="5">
        <f>21102</f>
      </c>
      <c r="B21109" s="5" t="s">
        <v>21117</v>
      </c>
      <c r="C21109" s="5">
        <v>122.8</v>
      </c>
      <c r="D21109" s="5">
        <v>0.1</v>
      </c>
      <c r="E21109" s="5">
        <v>123</v>
      </c>
      <c r="F21109" s="5">
        <v>245.4</v>
      </c>
      <c r="G21109" s="5">
        <v>122.5</v>
      </c>
      <c r="H21109" s="5">
        <v>122.3</v>
      </c>
      <c r="I21109" s="5"/>
      <c r="J21109" s="5"/>
      <c r="K21109" s="5"/>
    </row>
    <row r="21110" spans="1:11" x14ac:dyDescent="0.25">
      <c r="A21110" s="5">
        <f>21103</f>
      </c>
      <c r="B21110" s="5" t="s">
        <v>21118</v>
      </c>
      <c r="C21110" s="5">
        <v>122.8</v>
      </c>
      <c r="D21110" s="5">
        <v>0.1</v>
      </c>
      <c r="E21110" s="5">
        <v>123</v>
      </c>
      <c r="F21110" s="5">
        <v>245.4</v>
      </c>
      <c r="G21110" s="5">
        <v>122.5</v>
      </c>
      <c r="H21110" s="5">
        <v>122.3</v>
      </c>
      <c r="I21110" s="5"/>
      <c r="J21110" s="5"/>
      <c r="K21110" s="5"/>
    </row>
    <row r="21111" spans="1:11" x14ac:dyDescent="0.25">
      <c r="A21111" s="5">
        <f>21104</f>
      </c>
      <c r="B21111" s="5" t="s">
        <v>21119</v>
      </c>
      <c r="C21111" s="5">
        <v>122.7</v>
      </c>
      <c r="D21111" s="5">
        <v>0.1</v>
      </c>
      <c r="E21111" s="5">
        <v>122.9</v>
      </c>
      <c r="F21111" s="5">
        <v>244.6</v>
      </c>
      <c r="G21111" s="5">
        <v>122.1</v>
      </c>
      <c r="H21111" s="5">
        <v>121.9</v>
      </c>
      <c r="I21111" s="5"/>
      <c r="J21111" s="5"/>
      <c r="K21111" s="5"/>
    </row>
    <row r="21112" spans="1:11" x14ac:dyDescent="0.25">
      <c r="A21112" s="5">
        <f>21105</f>
      </c>
      <c r="B21112" s="5" t="s">
        <v>21120</v>
      </c>
      <c r="C21112" s="5">
        <v>122.7</v>
      </c>
      <c r="D21112" s="5">
        <v>0.1</v>
      </c>
      <c r="E21112" s="5">
        <v>122.9</v>
      </c>
      <c r="F21112" s="5">
        <v>244.6</v>
      </c>
      <c r="G21112" s="5">
        <v>122.1</v>
      </c>
      <c r="H21112" s="5">
        <v>121.9</v>
      </c>
      <c r="I21112" s="5"/>
      <c r="J21112" s="5"/>
      <c r="K21112" s="5"/>
    </row>
    <row r="21113" spans="1:11" x14ac:dyDescent="0.25">
      <c r="A21113" s="5">
        <f>21106</f>
      </c>
      <c r="B21113" s="5" t="s">
        <v>21121</v>
      </c>
      <c r="C21113" s="5">
        <v>122.5</v>
      </c>
      <c r="D21113" s="5">
        <v>0.1</v>
      </c>
      <c r="E21113" s="5">
        <v>122.6</v>
      </c>
      <c r="F21113" s="5">
        <v>245</v>
      </c>
      <c r="G21113" s="5">
        <v>122.3</v>
      </c>
      <c r="H21113" s="5">
        <v>122.1</v>
      </c>
      <c r="I21113" s="5"/>
      <c r="J21113" s="5"/>
      <c r="K21113" s="5"/>
    </row>
    <row r="21114" spans="1:11" x14ac:dyDescent="0.25">
      <c r="A21114" s="5">
        <f>21107</f>
      </c>
      <c r="B21114" s="5" t="s">
        <v>21122</v>
      </c>
      <c r="C21114" s="5">
        <v>122.5</v>
      </c>
      <c r="D21114" s="5">
        <v>0.1</v>
      </c>
      <c r="E21114" s="5">
        <v>122.6</v>
      </c>
      <c r="F21114" s="5">
        <v>245</v>
      </c>
      <c r="G21114" s="5">
        <v>122.3</v>
      </c>
      <c r="H21114" s="5">
        <v>122.1</v>
      </c>
      <c r="I21114" s="5"/>
      <c r="J21114" s="5"/>
      <c r="K21114" s="5"/>
    </row>
    <row r="21115" spans="1:11" x14ac:dyDescent="0.25">
      <c r="A21115" s="5">
        <f>21108</f>
      </c>
      <c r="B21115" s="5" t="s">
        <v>21123</v>
      </c>
      <c r="C21115" s="5">
        <v>122.4</v>
      </c>
      <c r="D21115" s="5">
        <v>0.1</v>
      </c>
      <c r="E21115" s="5">
        <v>122.5</v>
      </c>
      <c r="F21115" s="5">
        <v>244.6</v>
      </c>
      <c r="G21115" s="5">
        <v>122</v>
      </c>
      <c r="H21115" s="5">
        <v>121.9</v>
      </c>
      <c r="I21115" s="5"/>
      <c r="J21115" s="5"/>
      <c r="K21115" s="5"/>
    </row>
    <row r="21116" spans="1:11" x14ac:dyDescent="0.25">
      <c r="A21116" s="5">
        <f>21109</f>
      </c>
      <c r="B21116" s="5" t="s">
        <v>21124</v>
      </c>
      <c r="C21116" s="5">
        <v>122.4</v>
      </c>
      <c r="D21116" s="5">
        <v>0.1</v>
      </c>
      <c r="E21116" s="5">
        <v>122.5</v>
      </c>
      <c r="F21116" s="5">
        <v>244.6</v>
      </c>
      <c r="G21116" s="5">
        <v>122</v>
      </c>
      <c r="H21116" s="5">
        <v>121.9</v>
      </c>
      <c r="I21116" s="5"/>
      <c r="J21116" s="5"/>
      <c r="K21116" s="5"/>
    </row>
    <row r="21117" spans="1:11" x14ac:dyDescent="0.25">
      <c r="A21117" s="5">
        <f>21110</f>
      </c>
      <c r="B21117" s="5" t="s">
        <v>21125</v>
      </c>
      <c r="C21117" s="5">
        <v>122.5</v>
      </c>
      <c r="D21117" s="5">
        <v>0.1</v>
      </c>
      <c r="E21117" s="5">
        <v>122.6</v>
      </c>
      <c r="F21117" s="5">
        <v>244.5</v>
      </c>
      <c r="G21117" s="5">
        <v>122</v>
      </c>
      <c r="H21117" s="5">
        <v>121.9</v>
      </c>
      <c r="I21117" s="5"/>
      <c r="J21117" s="5"/>
      <c r="K21117" s="5"/>
    </row>
    <row r="21118" spans="1:11" x14ac:dyDescent="0.25">
      <c r="A21118" s="5">
        <f>21111</f>
      </c>
      <c r="B21118" s="5" t="s">
        <v>21126</v>
      </c>
      <c r="C21118" s="5">
        <v>122.5</v>
      </c>
      <c r="D21118" s="5">
        <v>0.1</v>
      </c>
      <c r="E21118" s="5">
        <v>122.6</v>
      </c>
      <c r="F21118" s="5">
        <v>244.5</v>
      </c>
      <c r="G21118" s="5">
        <v>122</v>
      </c>
      <c r="H21118" s="5">
        <v>121.9</v>
      </c>
      <c r="I21118" s="5"/>
      <c r="J21118" s="5"/>
      <c r="K21118" s="5"/>
    </row>
    <row r="21119" spans="1:11" x14ac:dyDescent="0.25">
      <c r="A21119" s="5">
        <f>21112</f>
      </c>
      <c r="B21119" s="5" t="s">
        <v>21127</v>
      </c>
      <c r="C21119" s="5">
        <v>122.5</v>
      </c>
      <c r="D21119" s="5">
        <v>0.1</v>
      </c>
      <c r="E21119" s="5">
        <v>122.6</v>
      </c>
      <c r="F21119" s="5">
        <v>244.5</v>
      </c>
      <c r="G21119" s="5">
        <v>122</v>
      </c>
      <c r="H21119" s="5">
        <v>121.9</v>
      </c>
      <c r="I21119" s="5"/>
      <c r="J21119" s="5"/>
      <c r="K21119" s="5"/>
    </row>
    <row r="21120" spans="1:11" x14ac:dyDescent="0.25">
      <c r="A21120" s="5">
        <f>21113</f>
      </c>
      <c r="B21120" s="5" t="s">
        <v>21128</v>
      </c>
      <c r="C21120" s="5">
        <v>122.5</v>
      </c>
      <c r="D21120" s="5">
        <v>0.1</v>
      </c>
      <c r="E21120" s="5">
        <v>122.6</v>
      </c>
      <c r="F21120" s="5">
        <v>244.5</v>
      </c>
      <c r="G21120" s="5">
        <v>122</v>
      </c>
      <c r="H21120" s="5">
        <v>121.9</v>
      </c>
      <c r="I21120" s="5"/>
      <c r="J21120" s="5"/>
      <c r="K21120" s="5"/>
    </row>
    <row r="21121" spans="1:11" x14ac:dyDescent="0.25">
      <c r="A21121" s="5">
        <f>21114</f>
      </c>
      <c r="B21121" s="5" t="s">
        <v>21129</v>
      </c>
      <c r="C21121" s="5">
        <v>122.5</v>
      </c>
      <c r="D21121" s="5">
        <v>0.1</v>
      </c>
      <c r="E21121" s="5">
        <v>122.6</v>
      </c>
      <c r="F21121" s="5">
        <v>244.4</v>
      </c>
      <c r="G21121" s="5">
        <v>122</v>
      </c>
      <c r="H21121" s="5">
        <v>121.8</v>
      </c>
      <c r="I21121" s="5"/>
      <c r="J21121" s="5"/>
      <c r="K21121" s="5"/>
    </row>
    <row r="21122" spans="1:11" x14ac:dyDescent="0.25">
      <c r="A21122" s="5">
        <f>21115</f>
      </c>
      <c r="B21122" s="5" t="s">
        <v>21130</v>
      </c>
      <c r="C21122" s="5">
        <v>122.5</v>
      </c>
      <c r="D21122" s="5">
        <v>0.1</v>
      </c>
      <c r="E21122" s="5">
        <v>122.6</v>
      </c>
      <c r="F21122" s="5">
        <v>244.4</v>
      </c>
      <c r="G21122" s="5">
        <v>122</v>
      </c>
      <c r="H21122" s="5">
        <v>121.8</v>
      </c>
      <c r="I21122" s="5"/>
      <c r="J21122" s="5"/>
      <c r="K21122" s="5"/>
    </row>
    <row r="21123" spans="1:11" x14ac:dyDescent="0.25">
      <c r="A21123" s="5">
        <f>21116</f>
      </c>
      <c r="B21123" s="5" t="s">
        <v>21131</v>
      </c>
      <c r="C21123" s="5">
        <v>122.8</v>
      </c>
      <c r="D21123" s="5">
        <v>0.1</v>
      </c>
      <c r="E21123" s="5">
        <v>123</v>
      </c>
      <c r="F21123" s="5">
        <v>245</v>
      </c>
      <c r="G21123" s="5">
        <v>122.3</v>
      </c>
      <c r="H21123" s="5">
        <v>122.1</v>
      </c>
      <c r="I21123" s="5"/>
      <c r="J21123" s="5"/>
      <c r="K21123" s="5"/>
    </row>
    <row r="21124" spans="1:11" x14ac:dyDescent="0.25">
      <c r="A21124" s="5">
        <f>21117</f>
      </c>
      <c r="B21124" s="5" t="s">
        <v>21132</v>
      </c>
      <c r="C21124" s="5">
        <v>122.8</v>
      </c>
      <c r="D21124" s="5">
        <v>0.1</v>
      </c>
      <c r="E21124" s="5">
        <v>123</v>
      </c>
      <c r="F21124" s="5">
        <v>245</v>
      </c>
      <c r="G21124" s="5">
        <v>122.3</v>
      </c>
      <c r="H21124" s="5">
        <v>122.1</v>
      </c>
      <c r="I21124" s="5"/>
      <c r="J21124" s="5"/>
      <c r="K21124" s="5"/>
    </row>
    <row r="21125" spans="1:11" x14ac:dyDescent="0.25">
      <c r="A21125" s="5">
        <f>21118</f>
      </c>
      <c r="B21125" s="5" t="s">
        <v>21133</v>
      </c>
      <c r="C21125" s="5">
        <v>122.7</v>
      </c>
      <c r="D21125" s="5">
        <v>0.1</v>
      </c>
      <c r="E21125" s="5">
        <v>122.8</v>
      </c>
      <c r="F21125" s="5">
        <v>245</v>
      </c>
      <c r="G21125" s="5">
        <v>122.3</v>
      </c>
      <c r="H21125" s="5">
        <v>122.1</v>
      </c>
      <c r="I21125" s="5"/>
      <c r="J21125" s="5"/>
      <c r="K21125" s="5"/>
    </row>
    <row r="21126" spans="1:11" x14ac:dyDescent="0.25">
      <c r="A21126" s="5">
        <f>21119</f>
      </c>
      <c r="B21126" s="5" t="s">
        <v>21134</v>
      </c>
      <c r="C21126" s="5">
        <v>122.7</v>
      </c>
      <c r="D21126" s="5">
        <v>0.1</v>
      </c>
      <c r="E21126" s="5">
        <v>122.8</v>
      </c>
      <c r="F21126" s="5">
        <v>245</v>
      </c>
      <c r="G21126" s="5">
        <v>122.3</v>
      </c>
      <c r="H21126" s="5">
        <v>122.1</v>
      </c>
      <c r="I21126" s="5"/>
      <c r="J21126" s="5"/>
      <c r="K21126" s="5"/>
    </row>
    <row r="21127" spans="1:11" x14ac:dyDescent="0.25">
      <c r="A21127" s="5">
        <f>21120</f>
      </c>
      <c r="B21127" s="5" t="s">
        <v>21135</v>
      </c>
      <c r="C21127" s="5">
        <v>122.6</v>
      </c>
      <c r="D21127" s="5">
        <v>0.1</v>
      </c>
      <c r="E21127" s="5">
        <v>122.8</v>
      </c>
      <c r="F21127" s="5">
        <v>244.9</v>
      </c>
      <c r="G21127" s="5">
        <v>122.2</v>
      </c>
      <c r="H21127" s="5">
        <v>122</v>
      </c>
      <c r="I21127" s="5"/>
      <c r="J21127" s="5"/>
      <c r="K21127" s="5"/>
    </row>
    <row r="21128" spans="1:11" x14ac:dyDescent="0.25">
      <c r="A21128" s="5">
        <f>21121</f>
      </c>
      <c r="B21128" s="5" t="s">
        <v>21136</v>
      </c>
      <c r="C21128" s="5">
        <v>122.6</v>
      </c>
      <c r="D21128" s="5">
        <v>0.1</v>
      </c>
      <c r="E21128" s="5">
        <v>122.8</v>
      </c>
      <c r="F21128" s="5">
        <v>244.9</v>
      </c>
      <c r="G21128" s="5">
        <v>122.2</v>
      </c>
      <c r="H21128" s="5">
        <v>122</v>
      </c>
      <c r="I21128" s="5"/>
      <c r="J21128" s="5"/>
      <c r="K21128" s="5"/>
    </row>
    <row r="21129" spans="1:11" x14ac:dyDescent="0.25">
      <c r="A21129" s="5">
        <f>21122</f>
      </c>
      <c r="B21129" s="5" t="s">
        <v>21137</v>
      </c>
      <c r="C21129" s="5">
        <v>122.6</v>
      </c>
      <c r="D21129" s="5">
        <v>0.1</v>
      </c>
      <c r="E21129" s="5">
        <v>122.8</v>
      </c>
      <c r="F21129" s="5">
        <v>244.9</v>
      </c>
      <c r="G21129" s="5">
        <v>122.2</v>
      </c>
      <c r="H21129" s="5">
        <v>122</v>
      </c>
      <c r="I21129" s="5"/>
      <c r="J21129" s="5"/>
      <c r="K21129" s="5"/>
    </row>
    <row r="21130" spans="1:11" x14ac:dyDescent="0.25">
      <c r="A21130" s="5">
        <f>21123</f>
      </c>
      <c r="B21130" s="5" t="s">
        <v>21138</v>
      </c>
      <c r="C21130" s="5">
        <v>122.6</v>
      </c>
      <c r="D21130" s="5">
        <v>0.1</v>
      </c>
      <c r="E21130" s="5">
        <v>122.7</v>
      </c>
      <c r="F21130" s="5">
        <v>245</v>
      </c>
      <c r="G21130" s="5">
        <v>122.3</v>
      </c>
      <c r="H21130" s="5">
        <v>122</v>
      </c>
      <c r="I21130" s="5"/>
      <c r="J21130" s="5"/>
      <c r="K21130" s="5"/>
    </row>
    <row r="21131" spans="1:11" x14ac:dyDescent="0.25">
      <c r="A21131" s="5">
        <f>21124</f>
      </c>
      <c r="B21131" s="5" t="s">
        <v>21139</v>
      </c>
      <c r="C21131" s="5">
        <v>122.5</v>
      </c>
      <c r="D21131" s="5">
        <v>0.1</v>
      </c>
      <c r="E21131" s="5">
        <v>122.7</v>
      </c>
      <c r="F21131" s="5">
        <v>245</v>
      </c>
      <c r="G21131" s="5">
        <v>122.3</v>
      </c>
      <c r="H21131" s="5">
        <v>122.1</v>
      </c>
      <c r="I21131" s="5"/>
      <c r="J21131" s="5"/>
      <c r="K21131" s="5"/>
    </row>
    <row r="21132" spans="1:11" x14ac:dyDescent="0.25">
      <c r="A21132" s="5">
        <f>21125</f>
      </c>
      <c r="B21132" s="5" t="s">
        <v>21140</v>
      </c>
      <c r="C21132" s="5">
        <v>122.5</v>
      </c>
      <c r="D21132" s="5">
        <v>0.1</v>
      </c>
      <c r="E21132" s="5">
        <v>122.7</v>
      </c>
      <c r="F21132" s="5">
        <v>244.5</v>
      </c>
      <c r="G21132" s="5">
        <v>122</v>
      </c>
      <c r="H21132" s="5">
        <v>122.1</v>
      </c>
      <c r="I21132" s="5"/>
      <c r="J21132" s="5"/>
      <c r="K21132" s="5"/>
    </row>
    <row r="21133" spans="1:11" x14ac:dyDescent="0.25">
      <c r="A21133" s="5">
        <f>21126</f>
      </c>
      <c r="B21133" s="5" t="s">
        <v>21141</v>
      </c>
      <c r="C21133" s="5">
        <v>122.4</v>
      </c>
      <c r="D21133" s="5">
        <v>0.1</v>
      </c>
      <c r="E21133" s="5">
        <v>122.5</v>
      </c>
      <c r="F21133" s="5">
        <v>244.5</v>
      </c>
      <c r="G21133" s="5">
        <v>122</v>
      </c>
      <c r="H21133" s="5">
        <v>121.9</v>
      </c>
      <c r="I21133" s="5"/>
      <c r="J21133" s="5"/>
      <c r="K21133" s="5"/>
    </row>
    <row r="21134" spans="1:11" x14ac:dyDescent="0.25">
      <c r="A21134" s="5">
        <f>21127</f>
      </c>
      <c r="B21134" s="5" t="s">
        <v>21142</v>
      </c>
      <c r="C21134" s="5">
        <v>122.4</v>
      </c>
      <c r="D21134" s="5">
        <v>0.1</v>
      </c>
      <c r="E21134" s="5">
        <v>122.5</v>
      </c>
      <c r="F21134" s="5">
        <v>244.5</v>
      </c>
      <c r="G21134" s="5">
        <v>122</v>
      </c>
      <c r="H21134" s="5">
        <v>121.9</v>
      </c>
      <c r="I21134" s="5"/>
      <c r="J21134" s="5"/>
      <c r="K21134" s="5"/>
    </row>
    <row r="21135" spans="1:11" x14ac:dyDescent="0.25">
      <c r="A21135" s="5">
        <f>21128</f>
      </c>
      <c r="B21135" s="5" t="s">
        <v>21143</v>
      </c>
      <c r="C21135" s="5">
        <v>122</v>
      </c>
      <c r="D21135" s="5">
        <v>0.1</v>
      </c>
      <c r="E21135" s="5">
        <v>122.1</v>
      </c>
      <c r="F21135" s="5">
        <v>243.2</v>
      </c>
      <c r="G21135" s="5">
        <v>121.4</v>
      </c>
      <c r="H21135" s="5">
        <v>121.3</v>
      </c>
      <c r="I21135" s="5"/>
      <c r="J21135" s="5"/>
      <c r="K21135" s="5"/>
    </row>
    <row r="21136" spans="1:11" x14ac:dyDescent="0.25">
      <c r="A21136" s="5">
        <f>21129</f>
      </c>
      <c r="B21136" s="5" t="s">
        <v>21144</v>
      </c>
      <c r="C21136" s="5">
        <v>122</v>
      </c>
      <c r="D21136" s="5">
        <v>0.1</v>
      </c>
      <c r="E21136" s="5">
        <v>122.1</v>
      </c>
      <c r="F21136" s="5">
        <v>243.2</v>
      </c>
      <c r="G21136" s="5">
        <v>121.4</v>
      </c>
      <c r="H21136" s="5">
        <v>121.3</v>
      </c>
      <c r="I21136" s="5"/>
      <c r="J21136" s="5"/>
      <c r="K21136" s="5"/>
    </row>
    <row r="21137" spans="1:11" x14ac:dyDescent="0.25">
      <c r="A21137" s="5">
        <f>21130</f>
      </c>
      <c r="B21137" s="5" t="s">
        <v>21145</v>
      </c>
      <c r="C21137" s="5">
        <v>121.8</v>
      </c>
      <c r="D21137" s="5">
        <v>0.1</v>
      </c>
      <c r="E21137" s="5">
        <v>122</v>
      </c>
      <c r="F21137" s="5">
        <v>243.2</v>
      </c>
      <c r="G21137" s="5">
        <v>121.4</v>
      </c>
      <c r="H21137" s="5">
        <v>121.2</v>
      </c>
      <c r="I21137" s="5"/>
      <c r="J21137" s="5"/>
      <c r="K21137" s="5"/>
    </row>
    <row r="21138" spans="1:11" x14ac:dyDescent="0.25">
      <c r="A21138" s="5">
        <f>21131</f>
      </c>
      <c r="B21138" s="5" t="s">
        <v>21146</v>
      </c>
      <c r="C21138" s="5">
        <v>121.8</v>
      </c>
      <c r="D21138" s="5">
        <v>0.1</v>
      </c>
      <c r="E21138" s="5">
        <v>122</v>
      </c>
      <c r="F21138" s="5">
        <v>243.2</v>
      </c>
      <c r="G21138" s="5">
        <v>121.4</v>
      </c>
      <c r="H21138" s="5">
        <v>121.2</v>
      </c>
      <c r="I21138" s="5"/>
      <c r="J21138" s="5"/>
      <c r="K21138" s="5"/>
    </row>
    <row r="21139" spans="1:11" x14ac:dyDescent="0.25">
      <c r="A21139" s="5">
        <f>21132</f>
      </c>
      <c r="B21139" s="5" t="s">
        <v>21147</v>
      </c>
      <c r="C21139" s="5">
        <v>121.8</v>
      </c>
      <c r="D21139" s="5">
        <v>0.1</v>
      </c>
      <c r="E21139" s="5">
        <v>122</v>
      </c>
      <c r="F21139" s="5">
        <v>243.2</v>
      </c>
      <c r="G21139" s="5">
        <v>121.4</v>
      </c>
      <c r="H21139" s="5">
        <v>121.2</v>
      </c>
      <c r="I21139" s="5"/>
      <c r="J21139" s="5"/>
      <c r="K21139" s="5"/>
    </row>
    <row r="21140" spans="1:11" x14ac:dyDescent="0.25">
      <c r="A21140" s="5">
        <f>21133</f>
      </c>
      <c r="B21140" s="5" t="s">
        <v>21148</v>
      </c>
      <c r="C21140" s="5">
        <v>122.2</v>
      </c>
      <c r="D21140" s="5">
        <v>0.1</v>
      </c>
      <c r="E21140" s="5">
        <v>122</v>
      </c>
      <c r="F21140" s="5">
        <v>243.2</v>
      </c>
      <c r="G21140" s="5">
        <v>121.4</v>
      </c>
      <c r="H21140" s="5">
        <v>121.2</v>
      </c>
      <c r="I21140" s="5"/>
      <c r="J21140" s="5"/>
      <c r="K21140" s="5"/>
    </row>
    <row r="21141" spans="1:11" x14ac:dyDescent="0.25">
      <c r="A21141" s="5">
        <f>21134</f>
      </c>
      <c r="B21141" s="5" t="s">
        <v>21149</v>
      </c>
      <c r="C21141" s="5">
        <v>122.2</v>
      </c>
      <c r="D21141" s="5">
        <v>0.1</v>
      </c>
      <c r="E21141" s="5">
        <v>122.4</v>
      </c>
      <c r="F21141" s="5">
        <v>244</v>
      </c>
      <c r="G21141" s="5">
        <v>121.8</v>
      </c>
      <c r="H21141" s="5">
        <v>121.6</v>
      </c>
      <c r="I21141" s="5"/>
      <c r="J21141" s="5"/>
      <c r="K21141" s="5"/>
    </row>
    <row r="21142" spans="1:11" x14ac:dyDescent="0.25">
      <c r="A21142" s="5">
        <f>21135</f>
      </c>
      <c r="B21142" s="5" t="s">
        <v>21150</v>
      </c>
      <c r="C21142" s="5">
        <v>122.2</v>
      </c>
      <c r="D21142" s="5">
        <v>0.1</v>
      </c>
      <c r="E21142" s="5">
        <v>122.4</v>
      </c>
      <c r="F21142" s="5">
        <v>244</v>
      </c>
      <c r="G21142" s="5">
        <v>121.8</v>
      </c>
      <c r="H21142" s="5">
        <v>121.6</v>
      </c>
      <c r="I21142" s="5"/>
      <c r="J21142" s="5"/>
      <c r="K21142" s="5"/>
    </row>
    <row r="21143" spans="1:11" x14ac:dyDescent="0.25">
      <c r="A21143" s="5">
        <f>21136</f>
      </c>
      <c r="B21143" s="5" t="s">
        <v>21151</v>
      </c>
      <c r="C21143" s="5">
        <v>121.7</v>
      </c>
      <c r="D21143" s="5">
        <v>0.1</v>
      </c>
      <c r="E21143" s="5">
        <v>121.9</v>
      </c>
      <c r="F21143" s="5">
        <v>243.5</v>
      </c>
      <c r="G21143" s="5">
        <v>121.5</v>
      </c>
      <c r="H21143" s="5">
        <v>121.4</v>
      </c>
      <c r="I21143" s="5"/>
      <c r="J21143" s="5"/>
      <c r="K21143" s="5"/>
    </row>
    <row r="21144" spans="1:11" x14ac:dyDescent="0.25">
      <c r="A21144" s="5">
        <f>21137</f>
      </c>
      <c r="B21144" s="5" t="s">
        <v>21152</v>
      </c>
      <c r="C21144" s="5">
        <v>121.7</v>
      </c>
      <c r="D21144" s="5">
        <v>0.1</v>
      </c>
      <c r="E21144" s="5">
        <v>121.9</v>
      </c>
      <c r="F21144" s="5">
        <v>243.5</v>
      </c>
      <c r="G21144" s="5">
        <v>121.5</v>
      </c>
      <c r="H21144" s="5">
        <v>121.4</v>
      </c>
      <c r="I21144" s="5"/>
      <c r="J21144" s="5"/>
      <c r="K21144" s="5"/>
    </row>
    <row r="21145" spans="1:11" x14ac:dyDescent="0.25">
      <c r="A21145" s="5">
        <f>21138</f>
      </c>
      <c r="B21145" s="5" t="s">
        <v>21153</v>
      </c>
      <c r="C21145" s="5">
        <v>122.1</v>
      </c>
      <c r="D21145" s="5">
        <v>0.1</v>
      </c>
      <c r="E21145" s="5">
        <v>122.2</v>
      </c>
      <c r="F21145" s="5">
        <v>243.4</v>
      </c>
      <c r="G21145" s="5">
        <v>121.5</v>
      </c>
      <c r="H21145" s="5">
        <v>121.3</v>
      </c>
      <c r="I21145" s="5"/>
      <c r="J21145" s="5"/>
      <c r="K21145" s="5"/>
    </row>
    <row r="21146" spans="1:11" x14ac:dyDescent="0.25">
      <c r="A21146" s="5">
        <f>21139</f>
      </c>
      <c r="B21146" s="5" t="s">
        <v>21154</v>
      </c>
      <c r="C21146" s="5">
        <v>122.1</v>
      </c>
      <c r="D21146" s="5">
        <v>0.1</v>
      </c>
      <c r="E21146" s="5">
        <v>122.2</v>
      </c>
      <c r="F21146" s="5">
        <v>243.4</v>
      </c>
      <c r="G21146" s="5">
        <v>121.5</v>
      </c>
      <c r="H21146" s="5">
        <v>121.3</v>
      </c>
      <c r="I21146" s="5"/>
      <c r="J21146" s="5"/>
      <c r="K21146" s="5"/>
    </row>
    <row r="21147" spans="1:11" x14ac:dyDescent="0.25">
      <c r="A21147" s="5">
        <f>21140</f>
      </c>
      <c r="B21147" s="5" t="s">
        <v>21155</v>
      </c>
      <c r="C21147" s="5">
        <v>122</v>
      </c>
      <c r="D21147" s="5">
        <v>0.1</v>
      </c>
      <c r="E21147" s="5">
        <v>122.1</v>
      </c>
      <c r="F21147" s="5">
        <v>243.5</v>
      </c>
      <c r="G21147" s="5">
        <v>121.5</v>
      </c>
      <c r="H21147" s="5">
        <v>121.3</v>
      </c>
      <c r="I21147" s="5"/>
      <c r="J21147" s="5"/>
      <c r="K21147" s="5"/>
    </row>
    <row r="21148" spans="1:11" x14ac:dyDescent="0.25">
      <c r="A21148" s="5">
        <f>21141</f>
      </c>
      <c r="B21148" s="5" t="s">
        <v>21156</v>
      </c>
      <c r="C21148" s="5">
        <v>122</v>
      </c>
      <c r="D21148" s="5">
        <v>0.1</v>
      </c>
      <c r="E21148" s="5">
        <v>122.1</v>
      </c>
      <c r="F21148" s="5">
        <v>243.5</v>
      </c>
      <c r="G21148" s="5">
        <v>121.5</v>
      </c>
      <c r="H21148" s="5">
        <v>121.3</v>
      </c>
      <c r="I21148" s="5"/>
      <c r="J21148" s="5"/>
      <c r="K21148" s="5"/>
    </row>
    <row r="21149" spans="1:11" x14ac:dyDescent="0.25">
      <c r="A21149" s="5">
        <f>21142</f>
      </c>
      <c r="B21149" s="5" t="s">
        <v>21157</v>
      </c>
      <c r="C21149" s="5">
        <v>122</v>
      </c>
      <c r="D21149" s="5">
        <v>0.1</v>
      </c>
      <c r="E21149" s="5">
        <v>122.1</v>
      </c>
      <c r="F21149" s="5">
        <v>243.5</v>
      </c>
      <c r="G21149" s="5">
        <v>121.5</v>
      </c>
      <c r="H21149" s="5">
        <v>121.3</v>
      </c>
      <c r="I21149" s="5"/>
      <c r="J21149" s="5"/>
      <c r="K21149" s="5"/>
    </row>
    <row r="21150" spans="1:11" x14ac:dyDescent="0.25">
      <c r="A21150" s="5">
        <f>21143</f>
      </c>
      <c r="B21150" s="5" t="s">
        <v>21158</v>
      </c>
      <c r="C21150" s="5">
        <v>122</v>
      </c>
      <c r="D21150" s="5">
        <v>0.1</v>
      </c>
      <c r="E21150" s="5">
        <v>122.1</v>
      </c>
      <c r="F21150" s="5">
        <v>243.5</v>
      </c>
      <c r="G21150" s="5">
        <v>121.5</v>
      </c>
      <c r="H21150" s="5">
        <v>121.3</v>
      </c>
      <c r="I21150" s="5"/>
      <c r="J21150" s="5"/>
      <c r="K21150" s="5"/>
    </row>
    <row r="21151" spans="1:11" x14ac:dyDescent="0.25">
      <c r="A21151" s="5">
        <f>21144</f>
      </c>
      <c r="B21151" s="5" t="s">
        <v>21159</v>
      </c>
      <c r="C21151" s="5">
        <v>122.1</v>
      </c>
      <c r="D21151" s="5">
        <v>0.1</v>
      </c>
      <c r="E21151" s="5">
        <v>122.3</v>
      </c>
      <c r="F21151" s="5">
        <v>243.7</v>
      </c>
      <c r="G21151" s="5">
        <v>121.6</v>
      </c>
      <c r="H21151" s="5">
        <v>121.4</v>
      </c>
      <c r="I21151" s="5"/>
      <c r="J21151" s="5"/>
      <c r="K21151" s="5"/>
    </row>
    <row r="21152" spans="1:11" x14ac:dyDescent="0.25">
      <c r="A21152" s="5">
        <f>21145</f>
      </c>
      <c r="B21152" s="5" t="s">
        <v>21160</v>
      </c>
      <c r="C21152" s="5">
        <v>122.1</v>
      </c>
      <c r="D21152" s="5">
        <v>0.1</v>
      </c>
      <c r="E21152" s="5">
        <v>122.3</v>
      </c>
      <c r="F21152" s="5">
        <v>243.7</v>
      </c>
      <c r="G21152" s="5">
        <v>121.6</v>
      </c>
      <c r="H21152" s="5">
        <v>121.4</v>
      </c>
      <c r="I21152" s="5"/>
      <c r="J21152" s="5"/>
      <c r="K21152" s="5"/>
    </row>
    <row r="21153" spans="1:11" x14ac:dyDescent="0.25">
      <c r="A21153" s="5">
        <f>21146</f>
      </c>
      <c r="B21153" s="5" t="s">
        <v>21161</v>
      </c>
      <c r="C21153" s="5">
        <v>122.1</v>
      </c>
      <c r="D21153" s="5">
        <v>0.1</v>
      </c>
      <c r="E21153" s="5">
        <v>122.4</v>
      </c>
      <c r="F21153" s="5">
        <v>243.8</v>
      </c>
      <c r="G21153" s="5">
        <v>121.6</v>
      </c>
      <c r="H21153" s="5">
        <v>121.5</v>
      </c>
      <c r="I21153" s="5"/>
      <c r="J21153" s="5"/>
      <c r="K21153" s="5"/>
    </row>
    <row r="21154" spans="1:11" x14ac:dyDescent="0.25">
      <c r="A21154" s="5">
        <f>21147</f>
      </c>
      <c r="B21154" s="5" t="s">
        <v>21162</v>
      </c>
      <c r="C21154" s="5">
        <v>122.1</v>
      </c>
      <c r="D21154" s="5">
        <v>0.1</v>
      </c>
      <c r="E21154" s="5">
        <v>122.4</v>
      </c>
      <c r="F21154" s="5">
        <v>243.8</v>
      </c>
      <c r="G21154" s="5">
        <v>121.6</v>
      </c>
      <c r="H21154" s="5">
        <v>121.5</v>
      </c>
      <c r="I21154" s="5"/>
      <c r="J21154" s="5"/>
      <c r="K21154" s="5"/>
    </row>
    <row r="21155" spans="1:11" x14ac:dyDescent="0.25">
      <c r="A21155" s="5">
        <f>21148</f>
      </c>
      <c r="B21155" s="5" t="s">
        <v>21163</v>
      </c>
      <c r="C21155" s="5">
        <v>122.5</v>
      </c>
      <c r="D21155" s="5">
        <v>0.1</v>
      </c>
      <c r="E21155" s="5">
        <v>122.6</v>
      </c>
      <c r="F21155" s="5">
        <v>244.1</v>
      </c>
      <c r="G21155" s="5">
        <v>121.8</v>
      </c>
      <c r="H21155" s="5">
        <v>121.7</v>
      </c>
      <c r="I21155" s="5"/>
      <c r="J21155" s="5"/>
      <c r="K21155" s="5"/>
    </row>
    <row r="21156" spans="1:11" x14ac:dyDescent="0.25">
      <c r="A21156" s="5">
        <f>21149</f>
      </c>
      <c r="B21156" s="5" t="s">
        <v>21164</v>
      </c>
      <c r="C21156" s="5">
        <v>122.5</v>
      </c>
      <c r="D21156" s="5">
        <v>0.1</v>
      </c>
      <c r="E21156" s="5">
        <v>122.6</v>
      </c>
      <c r="F21156" s="5">
        <v>244.1</v>
      </c>
      <c r="G21156" s="5">
        <v>121.8</v>
      </c>
      <c r="H21156" s="5">
        <v>121.7</v>
      </c>
      <c r="I21156" s="5"/>
      <c r="J21156" s="5"/>
      <c r="K21156" s="5"/>
    </row>
    <row r="21157" spans="1:11" x14ac:dyDescent="0.25">
      <c r="A21157" s="5">
        <f>21150</f>
      </c>
      <c r="B21157" s="5" t="s">
        <v>21165</v>
      </c>
      <c r="C21157" s="5">
        <v>122.5</v>
      </c>
      <c r="D21157" s="5">
        <v>0.1</v>
      </c>
      <c r="E21157" s="5">
        <v>122.6</v>
      </c>
      <c r="F21157" s="5">
        <v>244.3</v>
      </c>
      <c r="G21157" s="5">
        <v>121.9</v>
      </c>
      <c r="H21157" s="5">
        <v>121.7</v>
      </c>
      <c r="I21157" s="5"/>
      <c r="J21157" s="5"/>
      <c r="K21157" s="5"/>
    </row>
    <row r="21158" spans="1:11" x14ac:dyDescent="0.25">
      <c r="A21158" s="5">
        <f>21151</f>
      </c>
      <c r="B21158" s="5" t="s">
        <v>21166</v>
      </c>
      <c r="C21158" s="5">
        <v>122.5</v>
      </c>
      <c r="D21158" s="5">
        <v>0.1</v>
      </c>
      <c r="E21158" s="5">
        <v>122.6</v>
      </c>
      <c r="F21158" s="5">
        <v>244.3</v>
      </c>
      <c r="G21158" s="5">
        <v>121.9</v>
      </c>
      <c r="H21158" s="5">
        <v>121.7</v>
      </c>
      <c r="I21158" s="5"/>
      <c r="J21158" s="5"/>
      <c r="K21158" s="5"/>
    </row>
    <row r="21159" spans="1:11" x14ac:dyDescent="0.25">
      <c r="A21159" s="5">
        <f>21152</f>
      </c>
      <c r="B21159" s="5" t="s">
        <v>21167</v>
      </c>
      <c r="C21159" s="5">
        <v>122.5</v>
      </c>
      <c r="D21159" s="5">
        <v>0.1</v>
      </c>
      <c r="E21159" s="5">
        <v>122.6</v>
      </c>
      <c r="F21159" s="5">
        <v>244.3</v>
      </c>
      <c r="G21159" s="5">
        <v>121.9</v>
      </c>
      <c r="H21159" s="5">
        <v>121.7</v>
      </c>
      <c r="I21159" s="5"/>
      <c r="J21159" s="5"/>
      <c r="K21159" s="5"/>
    </row>
    <row r="21160" spans="1:11" x14ac:dyDescent="0.25">
      <c r="A21160" s="5">
        <f>21153</f>
      </c>
      <c r="B21160" s="5" t="s">
        <v>21168</v>
      </c>
      <c r="C21160" s="5">
        <v>122.5</v>
      </c>
      <c r="D21160" s="5">
        <v>0.1</v>
      </c>
      <c r="E21160" s="5">
        <v>122.6</v>
      </c>
      <c r="F21160" s="5">
        <v>244.3</v>
      </c>
      <c r="G21160" s="5">
        <v>121.9</v>
      </c>
      <c r="H21160" s="5">
        <v>121.5</v>
      </c>
      <c r="I21160" s="5"/>
      <c r="J21160" s="5"/>
      <c r="K21160" s="5"/>
    </row>
    <row r="21161" spans="1:11" x14ac:dyDescent="0.25">
      <c r="A21161" s="5">
        <f>21154</f>
      </c>
      <c r="B21161" s="5" t="s">
        <v>21169</v>
      </c>
      <c r="C21161" s="5">
        <v>122.1</v>
      </c>
      <c r="D21161" s="5">
        <v>0.1</v>
      </c>
      <c r="E21161" s="5">
        <v>122.2</v>
      </c>
      <c r="F21161" s="5">
        <v>243.7</v>
      </c>
      <c r="G21161" s="5">
        <v>121.6</v>
      </c>
      <c r="H21161" s="5">
        <v>121.5</v>
      </c>
      <c r="I21161" s="5"/>
      <c r="J21161" s="5"/>
      <c r="K21161" s="5"/>
    </row>
    <row r="21162" spans="1:11" x14ac:dyDescent="0.25">
      <c r="A21162" s="5">
        <f>21155</f>
      </c>
      <c r="B21162" s="5" t="s">
        <v>21170</v>
      </c>
      <c r="C21162" s="5">
        <v>122.1</v>
      </c>
      <c r="D21162" s="5">
        <v>0.1</v>
      </c>
      <c r="E21162" s="5">
        <v>122.2</v>
      </c>
      <c r="F21162" s="5">
        <v>243.7</v>
      </c>
      <c r="G21162" s="5">
        <v>121.6</v>
      </c>
      <c r="H21162" s="5">
        <v>121.5</v>
      </c>
      <c r="I21162" s="5"/>
      <c r="J21162" s="5"/>
      <c r="K21162" s="5"/>
    </row>
    <row r="21163" spans="1:11" x14ac:dyDescent="0.25">
      <c r="A21163" s="5">
        <f>21156</f>
      </c>
      <c r="B21163" s="5" t="s">
        <v>21171</v>
      </c>
      <c r="C21163" s="5">
        <v>121.8</v>
      </c>
      <c r="D21163" s="5">
        <v>0.1</v>
      </c>
      <c r="E21163" s="5">
        <v>122</v>
      </c>
      <c r="F21163" s="5">
        <v>243.8</v>
      </c>
      <c r="G21163" s="5">
        <v>121.7</v>
      </c>
      <c r="H21163" s="5">
        <v>121.5</v>
      </c>
      <c r="I21163" s="5"/>
      <c r="J21163" s="5"/>
      <c r="K21163" s="5"/>
    </row>
    <row r="21164" spans="1:11" x14ac:dyDescent="0.25">
      <c r="A21164" s="5">
        <f>21157</f>
      </c>
      <c r="B21164" s="5" t="s">
        <v>21172</v>
      </c>
      <c r="C21164" s="5">
        <v>121.8</v>
      </c>
      <c r="D21164" s="5">
        <v>0.1</v>
      </c>
      <c r="E21164" s="5">
        <v>122</v>
      </c>
      <c r="F21164" s="5">
        <v>243.8</v>
      </c>
      <c r="G21164" s="5">
        <v>121.7</v>
      </c>
      <c r="H21164" s="5">
        <v>121.5</v>
      </c>
      <c r="I21164" s="5"/>
      <c r="J21164" s="5"/>
      <c r="K21164" s="5"/>
    </row>
    <row r="21165" spans="1:11" x14ac:dyDescent="0.25">
      <c r="A21165" s="5">
        <f>21158</f>
      </c>
      <c r="B21165" s="5" t="s">
        <v>21173</v>
      </c>
      <c r="C21165" s="5">
        <v>121.9</v>
      </c>
      <c r="D21165" s="5">
        <v>0.1</v>
      </c>
      <c r="E21165" s="5">
        <v>122.1</v>
      </c>
      <c r="F21165" s="5">
        <v>243.9</v>
      </c>
      <c r="G21165" s="5">
        <v>121.7</v>
      </c>
      <c r="H21165" s="5">
        <v>121.5</v>
      </c>
      <c r="I21165" s="5"/>
      <c r="J21165" s="5"/>
      <c r="K21165" s="5"/>
    </row>
    <row r="21166" spans="1:11" x14ac:dyDescent="0.25">
      <c r="A21166" s="5">
        <f>21159</f>
      </c>
      <c r="B21166" s="5" t="s">
        <v>21174</v>
      </c>
      <c r="C21166" s="5">
        <v>121.9</v>
      </c>
      <c r="D21166" s="5">
        <v>0.1</v>
      </c>
      <c r="E21166" s="5">
        <v>122.1</v>
      </c>
      <c r="F21166" s="5">
        <v>243.9</v>
      </c>
      <c r="G21166" s="5">
        <v>121.7</v>
      </c>
      <c r="H21166" s="5">
        <v>121.5</v>
      </c>
      <c r="I21166" s="5"/>
      <c r="J21166" s="5"/>
      <c r="K21166" s="5"/>
    </row>
    <row r="21167" spans="1:11" x14ac:dyDescent="0.25">
      <c r="A21167" s="5">
        <f>21160</f>
      </c>
      <c r="B21167" s="5" t="s">
        <v>21175</v>
      </c>
      <c r="C21167" s="5">
        <v>121.5</v>
      </c>
      <c r="D21167" s="5">
        <v>0.1</v>
      </c>
      <c r="E21167" s="5">
        <v>121.8</v>
      </c>
      <c r="F21167" s="5">
        <v>243.8</v>
      </c>
      <c r="G21167" s="5">
        <v>121.7</v>
      </c>
      <c r="H21167" s="5">
        <v>121.5</v>
      </c>
      <c r="I21167" s="5"/>
      <c r="J21167" s="5"/>
      <c r="K21167" s="5"/>
    </row>
    <row r="21168" spans="1:11" x14ac:dyDescent="0.25">
      <c r="A21168" s="5">
        <f>21161</f>
      </c>
      <c r="B21168" s="5" t="s">
        <v>21176</v>
      </c>
      <c r="C21168" s="5">
        <v>121.5</v>
      </c>
      <c r="D21168" s="5">
        <v>0.1</v>
      </c>
      <c r="E21168" s="5">
        <v>121.8</v>
      </c>
      <c r="F21168" s="5">
        <v>243.8</v>
      </c>
      <c r="G21168" s="5">
        <v>121.7</v>
      </c>
      <c r="H21168" s="5">
        <v>121.5</v>
      </c>
      <c r="I21168" s="5"/>
      <c r="J21168" s="5"/>
      <c r="K21168" s="5"/>
    </row>
    <row r="21169" spans="1:11" x14ac:dyDescent="0.25">
      <c r="A21169" s="5">
        <f>21162</f>
      </c>
      <c r="B21169" s="5" t="s">
        <v>21177</v>
      </c>
      <c r="C21169" s="5">
        <v>121.5</v>
      </c>
      <c r="D21169" s="5">
        <v>0.1</v>
      </c>
      <c r="E21169" s="5">
        <v>121.8</v>
      </c>
      <c r="F21169" s="5">
        <v>243.8</v>
      </c>
      <c r="G21169" s="5">
        <v>121.7</v>
      </c>
      <c r="H21169" s="5">
        <v>121.5</v>
      </c>
      <c r="I21169" s="5"/>
      <c r="J21169" s="5"/>
      <c r="K21169" s="5"/>
    </row>
    <row r="21170" spans="1:11" x14ac:dyDescent="0.25">
      <c r="A21170" s="5">
        <f>21163</f>
      </c>
      <c r="B21170" s="5" t="s">
        <v>21178</v>
      </c>
      <c r="C21170" s="5">
        <v>121.9</v>
      </c>
      <c r="D21170" s="5">
        <v>0.1</v>
      </c>
      <c r="E21170" s="5">
        <v>122.1</v>
      </c>
      <c r="F21170" s="5">
        <v>244</v>
      </c>
      <c r="G21170" s="5">
        <v>121.8</v>
      </c>
      <c r="H21170" s="5">
        <v>121.6</v>
      </c>
      <c r="I21170" s="5"/>
      <c r="J21170" s="5"/>
      <c r="K21170" s="5"/>
    </row>
    <row r="21171" spans="1:11" x14ac:dyDescent="0.25">
      <c r="A21171" s="5">
        <f>21164</f>
      </c>
      <c r="B21171" s="5" t="s">
        <v>21179</v>
      </c>
      <c r="C21171" s="5">
        <v>121.9</v>
      </c>
      <c r="D21171" s="5">
        <v>0.1</v>
      </c>
      <c r="E21171" s="5">
        <v>122.1</v>
      </c>
      <c r="F21171" s="5">
        <v>244</v>
      </c>
      <c r="G21171" s="5">
        <v>121.8</v>
      </c>
      <c r="H21171" s="5">
        <v>121.6</v>
      </c>
      <c r="I21171" s="5"/>
      <c r="J21171" s="5"/>
      <c r="K21171" s="5"/>
    </row>
    <row r="21172" spans="1:11" x14ac:dyDescent="0.25">
      <c r="A21172" s="5">
        <f>21165</f>
      </c>
      <c r="B21172" s="5" t="s">
        <v>21180</v>
      </c>
      <c r="C21172" s="5">
        <v>122.2</v>
      </c>
      <c r="D21172" s="5">
        <v>0.1</v>
      </c>
      <c r="E21172" s="5">
        <v>122.4</v>
      </c>
      <c r="F21172" s="5">
        <v>243.9</v>
      </c>
      <c r="G21172" s="5">
        <v>121.8</v>
      </c>
      <c r="H21172" s="5">
        <v>121.6</v>
      </c>
      <c r="I21172" s="5"/>
      <c r="J21172" s="5"/>
      <c r="K21172" s="5"/>
    </row>
    <row r="21173" spans="1:11" x14ac:dyDescent="0.25">
      <c r="A21173" s="5">
        <f>21166</f>
      </c>
      <c r="B21173" s="5" t="s">
        <v>21181</v>
      </c>
      <c r="C21173" s="5">
        <v>122.2</v>
      </c>
      <c r="D21173" s="5">
        <v>0.1</v>
      </c>
      <c r="E21173" s="5">
        <v>122.4</v>
      </c>
      <c r="F21173" s="5">
        <v>243.9</v>
      </c>
      <c r="G21173" s="5">
        <v>121.8</v>
      </c>
      <c r="H21173" s="5">
        <v>121.6</v>
      </c>
      <c r="I21173" s="5"/>
      <c r="J21173" s="5"/>
      <c r="K21173" s="5"/>
    </row>
    <row r="21174" spans="1:11" x14ac:dyDescent="0.25">
      <c r="A21174" s="5">
        <f>21167</f>
      </c>
      <c r="B21174" s="5" t="s">
        <v>21182</v>
      </c>
      <c r="C21174" s="5">
        <v>121.8</v>
      </c>
      <c r="D21174" s="5">
        <v>0.1</v>
      </c>
      <c r="E21174" s="5">
        <v>122</v>
      </c>
      <c r="F21174" s="5">
        <v>243.6</v>
      </c>
      <c r="G21174" s="5">
        <v>121.6</v>
      </c>
      <c r="H21174" s="5">
        <v>121.4</v>
      </c>
      <c r="I21174" s="5"/>
      <c r="J21174" s="5"/>
      <c r="K21174" s="5"/>
    </row>
    <row r="21175" spans="1:11" x14ac:dyDescent="0.25">
      <c r="A21175" s="5">
        <f>21168</f>
      </c>
      <c r="B21175" s="5" t="s">
        <v>21183</v>
      </c>
      <c r="C21175" s="5">
        <v>121.8</v>
      </c>
      <c r="D21175" s="5">
        <v>0.1</v>
      </c>
      <c r="E21175" s="5">
        <v>122</v>
      </c>
      <c r="F21175" s="5">
        <v>243.6</v>
      </c>
      <c r="G21175" s="5">
        <v>121.6</v>
      </c>
      <c r="H21175" s="5">
        <v>121.4</v>
      </c>
      <c r="I21175" s="5"/>
      <c r="J21175" s="5"/>
      <c r="K21175" s="5"/>
    </row>
    <row r="21176" spans="1:11" x14ac:dyDescent="0.25">
      <c r="A21176" s="5">
        <f>21169</f>
      </c>
      <c r="B21176" s="5" t="s">
        <v>21184</v>
      </c>
      <c r="C21176" s="5">
        <v>122</v>
      </c>
      <c r="D21176" s="5">
        <v>0.1</v>
      </c>
      <c r="E21176" s="5">
        <v>122.2</v>
      </c>
      <c r="F21176" s="5">
        <v>243.7</v>
      </c>
      <c r="G21176" s="5">
        <v>121.6</v>
      </c>
      <c r="H21176" s="5">
        <v>121.5</v>
      </c>
      <c r="I21176" s="5"/>
      <c r="J21176" s="5"/>
      <c r="K21176" s="5"/>
    </row>
    <row r="21177" spans="1:11" x14ac:dyDescent="0.25">
      <c r="A21177" s="5">
        <f>21170</f>
      </c>
      <c r="B21177" s="5" t="s">
        <v>21185</v>
      </c>
      <c r="C21177" s="5">
        <v>122</v>
      </c>
      <c r="D21177" s="5">
        <v>0.1</v>
      </c>
      <c r="E21177" s="5">
        <v>122.2</v>
      </c>
      <c r="F21177" s="5">
        <v>243.7</v>
      </c>
      <c r="G21177" s="5">
        <v>121.6</v>
      </c>
      <c r="H21177" s="5">
        <v>121.5</v>
      </c>
      <c r="I21177" s="5"/>
      <c r="J21177" s="5"/>
      <c r="K21177" s="5"/>
    </row>
    <row r="21178" spans="1:11" x14ac:dyDescent="0.25">
      <c r="A21178" s="5">
        <f>21171</f>
      </c>
      <c r="B21178" s="5" t="s">
        <v>21186</v>
      </c>
      <c r="C21178" s="5">
        <v>122</v>
      </c>
      <c r="D21178" s="5">
        <v>0.1</v>
      </c>
      <c r="E21178" s="5">
        <v>122.2</v>
      </c>
      <c r="F21178" s="5">
        <v>243.7</v>
      </c>
      <c r="G21178" s="5">
        <v>121.6</v>
      </c>
      <c r="H21178" s="5">
        <v>121.5</v>
      </c>
      <c r="I21178" s="5"/>
      <c r="J21178" s="5"/>
      <c r="K21178" s="5"/>
    </row>
    <row r="21179" spans="1:11" x14ac:dyDescent="0.25">
      <c r="A21179" s="5">
        <f>21172</f>
      </c>
      <c r="B21179" s="5" t="s">
        <v>21187</v>
      </c>
      <c r="C21179" s="5">
        <v>122</v>
      </c>
      <c r="D21179" s="5">
        <v>0.1</v>
      </c>
      <c r="E21179" s="5">
        <v>122.2</v>
      </c>
      <c r="F21179" s="5">
        <v>243.7</v>
      </c>
      <c r="G21179" s="5">
        <v>121.6</v>
      </c>
      <c r="H21179" s="5">
        <v>121.5</v>
      </c>
      <c r="I21179" s="5"/>
      <c r="J21179" s="5"/>
      <c r="K21179" s="5"/>
    </row>
    <row r="21180" spans="1:11" x14ac:dyDescent="0.25">
      <c r="A21180" s="5">
        <f>21173</f>
      </c>
      <c r="B21180" s="5" t="s">
        <v>21188</v>
      </c>
      <c r="C21180" s="5">
        <v>122</v>
      </c>
      <c r="D21180" s="5">
        <v>0.1</v>
      </c>
      <c r="E21180" s="5">
        <v>122.1</v>
      </c>
      <c r="F21180" s="5">
        <v>243.6</v>
      </c>
      <c r="G21180" s="5">
        <v>121.5</v>
      </c>
      <c r="H21180" s="5">
        <v>121.4</v>
      </c>
      <c r="I21180" s="5"/>
      <c r="J21180" s="5"/>
      <c r="K21180" s="5"/>
    </row>
    <row r="21181" spans="1:11" x14ac:dyDescent="0.25">
      <c r="A21181" s="5">
        <f>21174</f>
      </c>
      <c r="B21181" s="5" t="s">
        <v>21189</v>
      </c>
      <c r="C21181" s="5">
        <v>122</v>
      </c>
      <c r="D21181" s="5">
        <v>0.1</v>
      </c>
      <c r="E21181" s="5">
        <v>122.1</v>
      </c>
      <c r="F21181" s="5">
        <v>243.6</v>
      </c>
      <c r="G21181" s="5">
        <v>121.5</v>
      </c>
      <c r="H21181" s="5">
        <v>121.4</v>
      </c>
      <c r="I21181" s="5"/>
      <c r="J21181" s="5"/>
      <c r="K21181" s="5"/>
    </row>
    <row r="21182" spans="1:11" x14ac:dyDescent="0.25">
      <c r="A21182" s="5">
        <f>21175</f>
      </c>
      <c r="B21182" s="5" t="s">
        <v>21190</v>
      </c>
      <c r="C21182" s="5">
        <v>121.5</v>
      </c>
      <c r="D21182" s="5">
        <v>0.1</v>
      </c>
      <c r="E21182" s="5">
        <v>121.8</v>
      </c>
      <c r="F21182" s="5">
        <v>243</v>
      </c>
      <c r="G21182" s="5">
        <v>121.2</v>
      </c>
      <c r="H21182" s="5">
        <v>121.1</v>
      </c>
      <c r="I21182" s="5"/>
      <c r="J21182" s="5"/>
      <c r="K21182" s="5"/>
    </row>
    <row r="21183" spans="1:11" x14ac:dyDescent="0.25">
      <c r="A21183" s="5">
        <f>21176</f>
      </c>
      <c r="B21183" s="5" t="s">
        <v>21191</v>
      </c>
      <c r="C21183" s="5">
        <v>121.5</v>
      </c>
      <c r="D21183" s="5">
        <v>0.1</v>
      </c>
      <c r="E21183" s="5">
        <v>121.8</v>
      </c>
      <c r="F21183" s="5">
        <v>243</v>
      </c>
      <c r="G21183" s="5">
        <v>121.2</v>
      </c>
      <c r="H21183" s="5">
        <v>121.1</v>
      </c>
      <c r="I21183" s="5"/>
      <c r="J21183" s="5"/>
      <c r="K21183" s="5"/>
    </row>
    <row r="21184" spans="1:11" x14ac:dyDescent="0.25">
      <c r="A21184" s="5">
        <f>21177</f>
      </c>
      <c r="B21184" s="5" t="s">
        <v>21192</v>
      </c>
      <c r="C21184" s="5">
        <v>121.9</v>
      </c>
      <c r="D21184" s="5">
        <v>0.1</v>
      </c>
      <c r="E21184" s="5">
        <v>122.1</v>
      </c>
      <c r="F21184" s="5">
        <v>243.7</v>
      </c>
      <c r="G21184" s="5">
        <v>121.6</v>
      </c>
      <c r="H21184" s="5">
        <v>121.4</v>
      </c>
      <c r="I21184" s="5"/>
      <c r="J21184" s="5"/>
      <c r="K21184" s="5"/>
    </row>
    <row r="21185" spans="1:11" x14ac:dyDescent="0.25">
      <c r="A21185" s="5">
        <f>21178</f>
      </c>
      <c r="B21185" s="5" t="s">
        <v>21193</v>
      </c>
      <c r="C21185" s="5">
        <v>121.9</v>
      </c>
      <c r="D21185" s="5">
        <v>0.1</v>
      </c>
      <c r="E21185" s="5">
        <v>122.1</v>
      </c>
      <c r="F21185" s="5">
        <v>243.7</v>
      </c>
      <c r="G21185" s="5">
        <v>121.6</v>
      </c>
      <c r="H21185" s="5">
        <v>121.4</v>
      </c>
      <c r="I21185" s="5"/>
      <c r="J21185" s="5"/>
      <c r="K21185" s="5"/>
    </row>
    <row r="21186" spans="1:11" x14ac:dyDescent="0.25">
      <c r="A21186" s="5">
        <f>21179</f>
      </c>
      <c r="B21186" s="5" t="s">
        <v>21194</v>
      </c>
      <c r="C21186" s="5">
        <v>121.8</v>
      </c>
      <c r="D21186" s="5">
        <v>0.1</v>
      </c>
      <c r="E21186" s="5">
        <v>122</v>
      </c>
      <c r="F21186" s="5">
        <v>243.4</v>
      </c>
      <c r="G21186" s="5">
        <v>121.5</v>
      </c>
      <c r="H21186" s="5">
        <v>121.4</v>
      </c>
      <c r="I21186" s="5"/>
      <c r="J21186" s="5"/>
      <c r="K21186" s="5"/>
    </row>
    <row r="21187" spans="1:11" x14ac:dyDescent="0.25">
      <c r="A21187" s="5">
        <f>21180</f>
      </c>
      <c r="B21187" s="5" t="s">
        <v>21195</v>
      </c>
      <c r="C21187" s="5">
        <v>121.8</v>
      </c>
      <c r="D21187" s="5">
        <v>0.1</v>
      </c>
      <c r="E21187" s="5">
        <v>122</v>
      </c>
      <c r="F21187" s="5">
        <v>243.4</v>
      </c>
      <c r="G21187" s="5">
        <v>121.5</v>
      </c>
      <c r="H21187" s="5">
        <v>121.4</v>
      </c>
      <c r="I21187" s="5"/>
      <c r="J21187" s="5"/>
      <c r="K21187" s="5"/>
    </row>
    <row r="21188" spans="1:11" x14ac:dyDescent="0.25">
      <c r="A21188" s="5">
        <f>21181</f>
      </c>
      <c r="B21188" s="5" t="s">
        <v>21196</v>
      </c>
      <c r="C21188" s="5">
        <v>121.8</v>
      </c>
      <c r="D21188" s="5">
        <v>0.1</v>
      </c>
      <c r="E21188" s="5">
        <v>122</v>
      </c>
      <c r="F21188" s="5">
        <v>243.4</v>
      </c>
      <c r="G21188" s="5">
        <v>121.5</v>
      </c>
      <c r="H21188" s="5">
        <v>121.4</v>
      </c>
      <c r="I21188" s="5"/>
      <c r="J21188" s="5"/>
      <c r="K21188" s="5"/>
    </row>
    <row r="21189" spans="1:11" x14ac:dyDescent="0.25">
      <c r="A21189" s="5">
        <f>21182</f>
      </c>
      <c r="B21189" s="5" t="s">
        <v>21197</v>
      </c>
      <c r="C21189" s="5">
        <v>121.8</v>
      </c>
      <c r="D21189" s="5">
        <v>0.1</v>
      </c>
      <c r="E21189" s="5">
        <v>122</v>
      </c>
      <c r="F21189" s="5">
        <v>243.4</v>
      </c>
      <c r="G21189" s="5">
        <v>121.5</v>
      </c>
      <c r="H21189" s="5">
        <v>121.4</v>
      </c>
      <c r="I21189" s="5"/>
      <c r="J21189" s="5"/>
      <c r="K21189" s="5"/>
    </row>
    <row r="21190" spans="1:11" x14ac:dyDescent="0.25">
      <c r="A21190" s="5">
        <f>21183</f>
      </c>
      <c r="B21190" s="5" t="s">
        <v>21198</v>
      </c>
      <c r="C21190" s="5">
        <v>122</v>
      </c>
      <c r="D21190" s="5">
        <v>0.1</v>
      </c>
      <c r="E21190" s="5">
        <v>122.1</v>
      </c>
      <c r="F21190" s="5">
        <v>243.5</v>
      </c>
      <c r="G21190" s="5">
        <v>121.5</v>
      </c>
      <c r="H21190" s="5">
        <v>121.3</v>
      </c>
      <c r="I21190" s="5"/>
      <c r="J21190" s="5"/>
      <c r="K21190" s="5"/>
    </row>
    <row r="21191" spans="1:11" x14ac:dyDescent="0.25">
      <c r="A21191" s="5">
        <f>21184</f>
      </c>
      <c r="B21191" s="5" t="s">
        <v>21199</v>
      </c>
      <c r="C21191" s="5">
        <v>122</v>
      </c>
      <c r="D21191" s="5">
        <v>0.1</v>
      </c>
      <c r="E21191" s="5">
        <v>122.1</v>
      </c>
      <c r="F21191" s="5">
        <v>243.5</v>
      </c>
      <c r="G21191" s="5">
        <v>121.5</v>
      </c>
      <c r="H21191" s="5">
        <v>121.3</v>
      </c>
      <c r="I21191" s="5"/>
      <c r="J21191" s="5"/>
      <c r="K21191" s="5"/>
    </row>
    <row r="21192" spans="1:11" x14ac:dyDescent="0.25">
      <c r="A21192" s="5">
        <f>21185</f>
      </c>
      <c r="B21192" s="5" t="s">
        <v>21200</v>
      </c>
      <c r="C21192" s="5">
        <v>121.7</v>
      </c>
      <c r="D21192" s="5">
        <v>0.1</v>
      </c>
      <c r="E21192" s="5">
        <v>121.8</v>
      </c>
      <c r="F21192" s="5">
        <v>243</v>
      </c>
      <c r="G21192" s="5">
        <v>121.3</v>
      </c>
      <c r="H21192" s="5">
        <v>121.2</v>
      </c>
      <c r="I21192" s="5"/>
      <c r="J21192" s="5"/>
      <c r="K21192" s="5"/>
    </row>
    <row r="21193" spans="1:11" x14ac:dyDescent="0.25">
      <c r="A21193" s="5">
        <f>21186</f>
      </c>
      <c r="B21193" s="5" t="s">
        <v>21201</v>
      </c>
      <c r="C21193" s="5">
        <v>121.7</v>
      </c>
      <c r="D21193" s="5">
        <v>0.1</v>
      </c>
      <c r="E21193" s="5">
        <v>121.8</v>
      </c>
      <c r="F21193" s="5">
        <v>243</v>
      </c>
      <c r="G21193" s="5">
        <v>121.3</v>
      </c>
      <c r="H21193" s="5">
        <v>121.2</v>
      </c>
      <c r="I21193" s="5"/>
      <c r="J21193" s="5"/>
      <c r="K21193" s="5"/>
    </row>
    <row r="21194" spans="1:11" x14ac:dyDescent="0.25">
      <c r="A21194" s="5">
        <f>21187</f>
      </c>
      <c r="B21194" s="5" t="s">
        <v>21202</v>
      </c>
      <c r="C21194" s="5">
        <v>121.7</v>
      </c>
      <c r="D21194" s="5">
        <v>0.1</v>
      </c>
      <c r="E21194" s="5">
        <v>122</v>
      </c>
      <c r="F21194" s="5">
        <v>243.5</v>
      </c>
      <c r="G21194" s="5">
        <v>121.5</v>
      </c>
      <c r="H21194" s="5">
        <v>121.3</v>
      </c>
      <c r="I21194" s="5"/>
      <c r="J21194" s="5"/>
      <c r="K21194" s="5"/>
    </row>
    <row r="21195" spans="1:11" x14ac:dyDescent="0.25">
      <c r="A21195" s="5">
        <f>21188</f>
      </c>
      <c r="B21195" s="5" t="s">
        <v>21203</v>
      </c>
      <c r="C21195" s="5">
        <v>121.8</v>
      </c>
      <c r="D21195" s="5">
        <v>0.1</v>
      </c>
      <c r="E21195" s="5">
        <v>122</v>
      </c>
      <c r="F21195" s="5">
        <v>243.5</v>
      </c>
      <c r="G21195" s="5">
        <v>121.5</v>
      </c>
      <c r="H21195" s="5">
        <v>121.3</v>
      </c>
      <c r="I21195" s="5"/>
      <c r="J21195" s="5"/>
      <c r="K21195" s="5"/>
    </row>
    <row r="21196" spans="1:11" x14ac:dyDescent="0.25">
      <c r="A21196" s="5">
        <f>21189</f>
      </c>
      <c r="B21196" s="5" t="s">
        <v>21204</v>
      </c>
      <c r="C21196" s="5">
        <v>121.8</v>
      </c>
      <c r="D21196" s="5">
        <v>0.1</v>
      </c>
      <c r="E21196" s="5">
        <v>117.7</v>
      </c>
      <c r="F21196" s="5">
        <v>237.5</v>
      </c>
      <c r="G21196" s="5">
        <v>118.4</v>
      </c>
      <c r="H21196" s="5">
        <v>118.1</v>
      </c>
      <c r="I21196" s="5"/>
      <c r="J21196" s="5"/>
      <c r="K21196" s="5"/>
    </row>
    <row r="21197" spans="1:11" x14ac:dyDescent="0.25">
      <c r="A21197" s="5">
        <f>21190</f>
      </c>
      <c r="B21197" s="5" t="s">
        <v>21205</v>
      </c>
      <c r="C21197" s="5">
        <v>117.6</v>
      </c>
      <c r="D21197" s="5">
        <v>0.1</v>
      </c>
      <c r="E21197" s="5">
        <v>117.7</v>
      </c>
      <c r="F21197" s="5">
        <v>237.5</v>
      </c>
      <c r="G21197" s="5">
        <v>118.4</v>
      </c>
      <c r="H21197" s="5">
        <v>118.1</v>
      </c>
      <c r="I21197" s="5"/>
      <c r="J21197" s="5"/>
      <c r="K21197" s="5"/>
    </row>
    <row r="21198" spans="1:11" x14ac:dyDescent="0.25">
      <c r="A21198" s="5">
        <f>21191</f>
      </c>
      <c r="B21198" s="5" t="s">
        <v>21206</v>
      </c>
      <c r="C21198" s="5">
        <v>117.6</v>
      </c>
      <c r="D21198" s="5">
        <v>0.1</v>
      </c>
      <c r="E21198" s="5">
        <v>117.7</v>
      </c>
      <c r="F21198" s="5">
        <v>237.5</v>
      </c>
      <c r="G21198" s="5">
        <v>118.4</v>
      </c>
      <c r="H21198" s="5">
        <v>118.1</v>
      </c>
      <c r="I21198" s="5"/>
      <c r="J21198" s="5"/>
      <c r="K21198" s="5"/>
    </row>
    <row r="21199" spans="1:11" x14ac:dyDescent="0.25">
      <c r="A21199" s="5">
        <f>21192</f>
      </c>
      <c r="B21199" s="5" t="s">
        <v>21207</v>
      </c>
      <c r="C21199" s="5">
        <v>117.6</v>
      </c>
      <c r="D21199" s="5">
        <v>0.1</v>
      </c>
      <c r="E21199" s="5">
        <v>117.7</v>
      </c>
      <c r="F21199" s="5">
        <v>237.5</v>
      </c>
      <c r="G21199" s="5">
        <v>118.4</v>
      </c>
      <c r="H21199" s="5">
        <v>118.1</v>
      </c>
      <c r="I21199" s="5"/>
      <c r="J21199" s="5"/>
      <c r="K21199" s="5"/>
    </row>
    <row r="21200" spans="1:11" x14ac:dyDescent="0.25">
      <c r="A21200" s="5">
        <f>21193</f>
      </c>
      <c r="B21200" s="5" t="s">
        <v>21208</v>
      </c>
      <c r="C21200" s="5">
        <v>118.2</v>
      </c>
      <c r="D21200" s="5">
        <v>0.1</v>
      </c>
      <c r="E21200" s="5">
        <v>118.3</v>
      </c>
      <c r="F21200" s="5">
        <v>236.2</v>
      </c>
      <c r="G21200" s="5">
        <v>117.9</v>
      </c>
      <c r="H21200" s="5">
        <v>117.7</v>
      </c>
      <c r="I21200" s="5"/>
      <c r="J21200" s="5"/>
      <c r="K21200" s="5"/>
    </row>
    <row r="21201" spans="1:11" x14ac:dyDescent="0.25">
      <c r="A21201" s="5">
        <f>21194</f>
      </c>
      <c r="B21201" s="5" t="s">
        <v>21209</v>
      </c>
      <c r="C21201" s="5">
        <v>118.2</v>
      </c>
      <c r="D21201" s="5">
        <v>0.1</v>
      </c>
      <c r="E21201" s="5">
        <v>118.3</v>
      </c>
      <c r="F21201" s="5">
        <v>236.2</v>
      </c>
      <c r="G21201" s="5">
        <v>117.9</v>
      </c>
      <c r="H21201" s="5">
        <v>117.7</v>
      </c>
      <c r="I21201" s="5"/>
      <c r="J21201" s="5"/>
      <c r="K21201" s="5"/>
    </row>
    <row r="21202" spans="1:11" x14ac:dyDescent="0.25">
      <c r="A21202" s="5">
        <f>21195</f>
      </c>
      <c r="B21202" s="5" t="s">
        <v>21210</v>
      </c>
      <c r="C21202" s="5">
        <v>118.1</v>
      </c>
      <c r="D21202" s="5">
        <v>0.1</v>
      </c>
      <c r="E21202" s="5">
        <v>118.3</v>
      </c>
      <c r="F21202" s="5">
        <v>235.9</v>
      </c>
      <c r="G21202" s="5">
        <v>117.7</v>
      </c>
      <c r="H21202" s="5">
        <v>117.6</v>
      </c>
      <c r="I21202" s="5"/>
      <c r="J21202" s="5"/>
      <c r="K21202" s="5"/>
    </row>
    <row r="21203" spans="1:11" x14ac:dyDescent="0.25">
      <c r="A21203" s="5">
        <f>21196</f>
      </c>
      <c r="B21203" s="5" t="s">
        <v>21211</v>
      </c>
      <c r="C21203" s="5">
        <v>118.1</v>
      </c>
      <c r="D21203" s="5">
        <v>0.1</v>
      </c>
      <c r="E21203" s="5">
        <v>118.3</v>
      </c>
      <c r="F21203" s="5">
        <v>235.9</v>
      </c>
      <c r="G21203" s="5">
        <v>117.7</v>
      </c>
      <c r="H21203" s="5">
        <v>117.6</v>
      </c>
      <c r="I21203" s="5"/>
      <c r="J21203" s="5"/>
      <c r="K21203" s="5"/>
    </row>
    <row r="21204" spans="1:11" x14ac:dyDescent="0.25">
      <c r="A21204" s="5">
        <f>21197</f>
      </c>
      <c r="B21204" s="5" t="s">
        <v>21212</v>
      </c>
      <c r="C21204" s="5">
        <v>119</v>
      </c>
      <c r="D21204" s="5">
        <v>0.1</v>
      </c>
      <c r="E21204" s="5">
        <v>119.2</v>
      </c>
      <c r="F21204" s="5">
        <v>237.7</v>
      </c>
      <c r="G21204" s="5">
        <v>118.6</v>
      </c>
      <c r="H21204" s="5">
        <v>118.5</v>
      </c>
      <c r="I21204" s="5"/>
      <c r="J21204" s="5"/>
      <c r="K21204" s="5"/>
    </row>
    <row r="21205" spans="1:11" x14ac:dyDescent="0.25">
      <c r="A21205" s="5">
        <f>21198</f>
      </c>
      <c r="B21205" s="5" t="s">
        <v>21213</v>
      </c>
      <c r="C21205" s="5">
        <v>119</v>
      </c>
      <c r="D21205" s="5">
        <v>0.1</v>
      </c>
      <c r="E21205" s="5">
        <v>119.2</v>
      </c>
      <c r="F21205" s="5">
        <v>237.7</v>
      </c>
      <c r="G21205" s="5">
        <v>118.6</v>
      </c>
      <c r="H21205" s="5">
        <v>118.5</v>
      </c>
      <c r="I21205" s="5"/>
      <c r="J21205" s="5"/>
      <c r="K21205" s="5"/>
    </row>
    <row r="21206" spans="1:11" x14ac:dyDescent="0.25">
      <c r="A21206" s="5">
        <f>21199</f>
      </c>
      <c r="B21206" s="5" t="s">
        <v>21214</v>
      </c>
      <c r="C21206" s="5">
        <v>118.3</v>
      </c>
      <c r="D21206" s="5">
        <v>0.1</v>
      </c>
      <c r="E21206" s="5">
        <v>118.5</v>
      </c>
      <c r="F21206" s="5">
        <v>236.7</v>
      </c>
      <c r="G21206" s="5">
        <v>118.1</v>
      </c>
      <c r="H21206" s="5">
        <v>118</v>
      </c>
      <c r="I21206" s="5"/>
      <c r="J21206" s="5"/>
      <c r="K21206" s="5"/>
    </row>
    <row r="21207" spans="1:11" x14ac:dyDescent="0.25">
      <c r="A21207" s="5">
        <f>21200</f>
      </c>
      <c r="B21207" s="5" t="s">
        <v>21215</v>
      </c>
      <c r="C21207" s="5">
        <v>118.3</v>
      </c>
      <c r="D21207" s="5">
        <v>0.1</v>
      </c>
      <c r="E21207" s="5">
        <v>118.5</v>
      </c>
      <c r="F21207" s="5">
        <v>236.7</v>
      </c>
      <c r="G21207" s="5">
        <v>118.1</v>
      </c>
      <c r="H21207" s="5">
        <v>118</v>
      </c>
      <c r="I21207" s="5"/>
      <c r="J21207" s="5"/>
      <c r="K21207" s="5"/>
    </row>
    <row r="21208" spans="1:11" x14ac:dyDescent="0.25">
      <c r="A21208" s="5">
        <f>21201</f>
      </c>
      <c r="B21208" s="5" t="s">
        <v>21216</v>
      </c>
      <c r="C21208" s="5">
        <v>118.3</v>
      </c>
      <c r="D21208" s="5">
        <v>0.1</v>
      </c>
      <c r="E21208" s="5">
        <v>118.5</v>
      </c>
      <c r="F21208" s="5">
        <v>236.7</v>
      </c>
      <c r="G21208" s="5">
        <v>118.1</v>
      </c>
      <c r="H21208" s="5">
        <v>118</v>
      </c>
      <c r="I21208" s="5"/>
      <c r="J21208" s="5"/>
      <c r="K21208" s="5"/>
    </row>
    <row r="21209" spans="1:11" x14ac:dyDescent="0.25">
      <c r="A21209" s="5">
        <f>21202</f>
      </c>
      <c r="B21209" s="5" t="s">
        <v>21217</v>
      </c>
      <c r="C21209" s="5">
        <v>118.3</v>
      </c>
      <c r="D21209" s="5">
        <v>0.1</v>
      </c>
      <c r="E21209" s="5">
        <v>118.5</v>
      </c>
      <c r="F21209" s="5">
        <v>236.7</v>
      </c>
      <c r="G21209" s="5">
        <v>118.1</v>
      </c>
      <c r="H21209" s="5">
        <v>118</v>
      </c>
      <c r="I21209" s="5"/>
      <c r="J21209" s="5"/>
      <c r="K21209" s="5"/>
    </row>
    <row r="21210" spans="1:11" x14ac:dyDescent="0.25">
      <c r="A21210" s="5">
        <f>21203</f>
      </c>
      <c r="B21210" s="5" t="s">
        <v>21218</v>
      </c>
      <c r="C21210" s="5">
        <v>119</v>
      </c>
      <c r="D21210" s="5">
        <v>0.1</v>
      </c>
      <c r="E21210" s="5">
        <v>119.2</v>
      </c>
      <c r="F21210" s="5">
        <v>237.9</v>
      </c>
      <c r="G21210" s="5">
        <v>118.7</v>
      </c>
      <c r="H21210" s="5">
        <v>118.6</v>
      </c>
      <c r="I21210" s="5"/>
      <c r="J21210" s="5"/>
      <c r="K21210" s="5"/>
    </row>
    <row r="21211" spans="1:11" x14ac:dyDescent="0.25">
      <c r="A21211" s="5">
        <f>21204</f>
      </c>
      <c r="B21211" s="5" t="s">
        <v>21219</v>
      </c>
      <c r="C21211" s="5">
        <v>119</v>
      </c>
      <c r="D21211" s="5">
        <v>0.1</v>
      </c>
      <c r="E21211" s="5">
        <v>119.2</v>
      </c>
      <c r="F21211" s="5">
        <v>237.9</v>
      </c>
      <c r="G21211" s="5">
        <v>118.7</v>
      </c>
      <c r="H21211" s="5">
        <v>118.6</v>
      </c>
      <c r="I21211" s="5"/>
      <c r="J21211" s="5"/>
      <c r="K21211" s="5"/>
    </row>
    <row r="21212" spans="1:11" x14ac:dyDescent="0.25">
      <c r="A21212" s="5">
        <f>21205</f>
      </c>
      <c r="B21212" s="5" t="s">
        <v>21220</v>
      </c>
      <c r="C21212" s="5">
        <v>119.6</v>
      </c>
      <c r="D21212" s="5">
        <v>0.1</v>
      </c>
      <c r="E21212" s="5">
        <v>119.9</v>
      </c>
      <c r="F21212" s="5">
        <v>239</v>
      </c>
      <c r="G21212" s="5">
        <v>119.3</v>
      </c>
      <c r="H21212" s="5">
        <v>119.1</v>
      </c>
      <c r="I21212" s="5"/>
      <c r="J21212" s="5"/>
      <c r="K21212" s="5"/>
    </row>
    <row r="21213" spans="1:11" x14ac:dyDescent="0.25">
      <c r="A21213" s="5">
        <f>21206</f>
      </c>
      <c r="B21213" s="5" t="s">
        <v>21221</v>
      </c>
      <c r="C21213" s="5">
        <v>119.6</v>
      </c>
      <c r="D21213" s="5">
        <v>0.1</v>
      </c>
      <c r="E21213" s="5">
        <v>119.9</v>
      </c>
      <c r="F21213" s="5">
        <v>239</v>
      </c>
      <c r="G21213" s="5">
        <v>119.3</v>
      </c>
      <c r="H21213" s="5">
        <v>119.1</v>
      </c>
      <c r="I21213" s="5"/>
      <c r="J21213" s="5"/>
      <c r="K21213" s="5"/>
    </row>
    <row r="21214" spans="1:11" x14ac:dyDescent="0.25">
      <c r="A21214" s="5">
        <f>21207</f>
      </c>
      <c r="B21214" s="5" t="s">
        <v>21222</v>
      </c>
      <c r="C21214" s="5">
        <v>119.7</v>
      </c>
      <c r="D21214" s="5">
        <v>0.1</v>
      </c>
      <c r="E21214" s="5">
        <v>119.9</v>
      </c>
      <c r="F21214" s="5">
        <v>238.9</v>
      </c>
      <c r="G21214" s="5">
        <v>119.2</v>
      </c>
      <c r="H21214" s="5">
        <v>119.1</v>
      </c>
      <c r="I21214" s="5"/>
      <c r="J21214" s="5"/>
      <c r="K21214" s="5"/>
    </row>
    <row r="21215" spans="1:11" x14ac:dyDescent="0.25">
      <c r="A21215" s="5">
        <f>21208</f>
      </c>
      <c r="B21215" s="5" t="s">
        <v>21223</v>
      </c>
      <c r="C21215" s="5">
        <v>119.7</v>
      </c>
      <c r="D21215" s="5">
        <v>0.1</v>
      </c>
      <c r="E21215" s="5">
        <v>119.9</v>
      </c>
      <c r="F21215" s="5">
        <v>238.9</v>
      </c>
      <c r="G21215" s="5">
        <v>119.2</v>
      </c>
      <c r="H21215" s="5">
        <v>119.1</v>
      </c>
      <c r="I21215" s="5"/>
      <c r="J21215" s="5"/>
      <c r="K21215" s="5"/>
    </row>
    <row r="21216" spans="1:11" x14ac:dyDescent="0.25">
      <c r="A21216" s="5">
        <f>21209</f>
      </c>
      <c r="B21216" s="5" t="s">
        <v>21224</v>
      </c>
      <c r="C21216" s="5">
        <v>119</v>
      </c>
      <c r="D21216" s="5">
        <v>0.1</v>
      </c>
      <c r="E21216" s="5">
        <v>119.3</v>
      </c>
      <c r="F21216" s="5">
        <v>238.1</v>
      </c>
      <c r="G21216" s="5">
        <v>118.8</v>
      </c>
      <c r="H21216" s="5">
        <v>118.7</v>
      </c>
      <c r="I21216" s="5"/>
      <c r="J21216" s="5"/>
      <c r="K21216" s="5"/>
    </row>
    <row r="21217" spans="1:11" x14ac:dyDescent="0.25">
      <c r="A21217" s="5">
        <f>21210</f>
      </c>
      <c r="B21217" s="5" t="s">
        <v>21225</v>
      </c>
      <c r="C21217" s="5">
        <v>119</v>
      </c>
      <c r="D21217" s="5">
        <v>0.1</v>
      </c>
      <c r="E21217" s="5">
        <v>119.3</v>
      </c>
      <c r="F21217" s="5">
        <v>238.1</v>
      </c>
      <c r="G21217" s="5">
        <v>118.8</v>
      </c>
      <c r="H21217" s="5">
        <v>118.7</v>
      </c>
      <c r="I21217" s="5"/>
      <c r="J21217" s="5"/>
      <c r="K21217" s="5"/>
    </row>
    <row r="21218" spans="1:11" x14ac:dyDescent="0.25">
      <c r="A21218" s="5">
        <f>21211</f>
      </c>
      <c r="B21218" s="5" t="s">
        <v>21226</v>
      </c>
      <c r="C21218" s="5">
        <v>119</v>
      </c>
      <c r="D21218" s="5">
        <v>0.1</v>
      </c>
      <c r="E21218" s="5">
        <v>119.3</v>
      </c>
      <c r="F21218" s="5">
        <v>238.1</v>
      </c>
      <c r="G21218" s="5">
        <v>118.8</v>
      </c>
      <c r="H21218" s="5">
        <v>118.7</v>
      </c>
      <c r="I21218" s="5"/>
      <c r="J21218" s="5"/>
      <c r="K21218" s="5"/>
    </row>
    <row r="21219" spans="1:11" x14ac:dyDescent="0.25">
      <c r="A21219" s="5">
        <f>21212</f>
      </c>
      <c r="B21219" s="5" t="s">
        <v>21227</v>
      </c>
      <c r="C21219" s="5">
        <v>119</v>
      </c>
      <c r="D21219" s="5">
        <v>0.1</v>
      </c>
      <c r="E21219" s="5">
        <v>119.3</v>
      </c>
      <c r="F21219" s="5">
        <v>238.1</v>
      </c>
      <c r="G21219" s="5">
        <v>118.8</v>
      </c>
      <c r="H21219" s="5">
        <v>118.7</v>
      </c>
      <c r="I21219" s="5"/>
      <c r="J21219" s="5"/>
      <c r="K21219" s="5"/>
    </row>
    <row r="21220" spans="1:11" x14ac:dyDescent="0.25">
      <c r="A21220" s="5">
        <f>21213</f>
      </c>
      <c r="B21220" s="5" t="s">
        <v>21228</v>
      </c>
      <c r="C21220" s="5">
        <v>119.4</v>
      </c>
      <c r="D21220" s="5">
        <v>0.1</v>
      </c>
      <c r="E21220" s="5">
        <v>119.6</v>
      </c>
      <c r="F21220" s="5">
        <v>238.3</v>
      </c>
      <c r="G21220" s="5">
        <v>118.9</v>
      </c>
      <c r="H21220" s="5">
        <v>118.7</v>
      </c>
      <c r="I21220" s="5"/>
      <c r="J21220" s="5"/>
      <c r="K21220" s="5"/>
    </row>
    <row r="21221" spans="1:11" x14ac:dyDescent="0.25">
      <c r="A21221" s="5">
        <f>21214</f>
      </c>
      <c r="B21221" s="5" t="s">
        <v>21229</v>
      </c>
      <c r="C21221" s="5">
        <v>119.4</v>
      </c>
      <c r="D21221" s="5">
        <v>0.1</v>
      </c>
      <c r="E21221" s="5">
        <v>119.6</v>
      </c>
      <c r="F21221" s="5">
        <v>238.3</v>
      </c>
      <c r="G21221" s="5">
        <v>118.9</v>
      </c>
      <c r="H21221" s="5">
        <v>118.7</v>
      </c>
      <c r="I21221" s="5"/>
      <c r="J21221" s="5"/>
      <c r="K21221" s="5"/>
    </row>
    <row r="21222" spans="1:11" x14ac:dyDescent="0.25">
      <c r="A21222" s="5">
        <f>21215</f>
      </c>
      <c r="B21222" s="5" t="s">
        <v>21230</v>
      </c>
      <c r="C21222" s="5">
        <v>119.2</v>
      </c>
      <c r="D21222" s="5">
        <v>0.1</v>
      </c>
      <c r="E21222" s="5">
        <v>119.3</v>
      </c>
      <c r="F21222" s="5">
        <v>238.4</v>
      </c>
      <c r="G21222" s="5">
        <v>118.9</v>
      </c>
      <c r="H21222" s="5">
        <v>118.8</v>
      </c>
      <c r="I21222" s="5"/>
      <c r="J21222" s="5"/>
      <c r="K21222" s="5"/>
    </row>
    <row r="21223" spans="1:11" x14ac:dyDescent="0.25">
      <c r="A21223" s="5">
        <f>21216</f>
      </c>
      <c r="B21223" s="5" t="s">
        <v>21231</v>
      </c>
      <c r="C21223" s="5">
        <v>119.2</v>
      </c>
      <c r="D21223" s="5">
        <v>0.1</v>
      </c>
      <c r="E21223" s="5">
        <v>119.3</v>
      </c>
      <c r="F21223" s="5">
        <v>238.4</v>
      </c>
      <c r="G21223" s="5">
        <v>118.9</v>
      </c>
      <c r="H21223" s="5">
        <v>118.8</v>
      </c>
      <c r="I21223" s="5"/>
      <c r="J21223" s="5"/>
      <c r="K21223" s="5"/>
    </row>
    <row r="21224" spans="1:11" x14ac:dyDescent="0.25">
      <c r="A21224" s="5">
        <f>21217</f>
      </c>
      <c r="B21224" s="5" t="s">
        <v>21232</v>
      </c>
      <c r="C21224" s="5">
        <v>119.3</v>
      </c>
      <c r="D21224" s="5">
        <v>0.1</v>
      </c>
      <c r="E21224" s="5">
        <v>119.4</v>
      </c>
      <c r="F21224" s="5">
        <v>238.3</v>
      </c>
      <c r="G21224" s="5">
        <v>118.9</v>
      </c>
      <c r="H21224" s="5">
        <v>118.8</v>
      </c>
      <c r="I21224" s="5"/>
      <c r="J21224" s="5"/>
      <c r="K21224" s="5"/>
    </row>
    <row r="21225" spans="1:11" x14ac:dyDescent="0.25">
      <c r="A21225" s="5">
        <f>21218</f>
      </c>
      <c r="B21225" s="5" t="s">
        <v>21233</v>
      </c>
      <c r="C21225" s="5">
        <v>119.3</v>
      </c>
      <c r="D21225" s="5">
        <v>0.1</v>
      </c>
      <c r="E21225" s="5">
        <v>119.4</v>
      </c>
      <c r="F21225" s="5">
        <v>238.3</v>
      </c>
      <c r="G21225" s="5">
        <v>118.9</v>
      </c>
      <c r="H21225" s="5">
        <v>118.8</v>
      </c>
      <c r="I21225" s="5"/>
      <c r="J21225" s="5"/>
      <c r="K21225" s="5"/>
    </row>
    <row r="21226" spans="1:11" x14ac:dyDescent="0.25">
      <c r="A21226" s="5">
        <f>21219</f>
      </c>
      <c r="B21226" s="5" t="s">
        <v>21234</v>
      </c>
      <c r="C21226" s="5">
        <v>119.6</v>
      </c>
      <c r="D21226" s="5">
        <v>0.1</v>
      </c>
      <c r="E21226" s="5">
        <v>119.7</v>
      </c>
      <c r="F21226" s="5">
        <v>238.3</v>
      </c>
      <c r="G21226" s="5">
        <v>118.9</v>
      </c>
      <c r="H21226" s="5">
        <v>118.7</v>
      </c>
      <c r="I21226" s="5"/>
      <c r="J21226" s="5"/>
      <c r="K21226" s="5"/>
    </row>
    <row r="21227" spans="1:11" x14ac:dyDescent="0.25">
      <c r="A21227" s="5">
        <f>21220</f>
      </c>
      <c r="B21227" s="5" t="s">
        <v>21235</v>
      </c>
      <c r="C21227" s="5">
        <v>119.6</v>
      </c>
      <c r="D21227" s="5">
        <v>0.1</v>
      </c>
      <c r="E21227" s="5">
        <v>119.7</v>
      </c>
      <c r="F21227" s="5">
        <v>238.3</v>
      </c>
      <c r="G21227" s="5">
        <v>118.9</v>
      </c>
      <c r="H21227" s="5">
        <v>118.7</v>
      </c>
      <c r="I21227" s="5"/>
      <c r="J21227" s="5"/>
      <c r="K21227" s="5"/>
    </row>
    <row r="21228" spans="1:11" x14ac:dyDescent="0.25">
      <c r="A21228" s="5">
        <f>21221</f>
      </c>
      <c r="B21228" s="5" t="s">
        <v>21236</v>
      </c>
      <c r="C21228" s="5">
        <v>119.6</v>
      </c>
      <c r="D21228" s="5">
        <v>0.1</v>
      </c>
      <c r="E21228" s="5">
        <v>119.7</v>
      </c>
      <c r="F21228" s="5">
        <v>238.3</v>
      </c>
      <c r="G21228" s="5">
        <v>118.9</v>
      </c>
      <c r="H21228" s="5">
        <v>118.7</v>
      </c>
      <c r="I21228" s="5"/>
      <c r="J21228" s="5"/>
      <c r="K21228" s="5"/>
    </row>
    <row r="21229" spans="1:11" x14ac:dyDescent="0.25">
      <c r="A21229" s="5">
        <f>21222</f>
      </c>
      <c r="B21229" s="5" t="s">
        <v>21237</v>
      </c>
      <c r="C21229" s="5">
        <v>119.6</v>
      </c>
      <c r="D21229" s="5">
        <v>0.1</v>
      </c>
      <c r="E21229" s="5">
        <v>119.7</v>
      </c>
      <c r="F21229" s="5">
        <v>238.3</v>
      </c>
      <c r="G21229" s="5">
        <v>118.9</v>
      </c>
      <c r="H21229" s="5">
        <v>118.7</v>
      </c>
      <c r="I21229" s="5"/>
      <c r="J21229" s="5"/>
      <c r="K21229" s="5"/>
    </row>
    <row r="21230" spans="1:11" x14ac:dyDescent="0.25">
      <c r="A21230" s="5">
        <f>21223</f>
      </c>
      <c r="B21230" s="5" t="s">
        <v>21238</v>
      </c>
      <c r="C21230" s="5">
        <v>119</v>
      </c>
      <c r="D21230" s="5">
        <v>0.1</v>
      </c>
      <c r="E21230" s="5">
        <v>119.2</v>
      </c>
      <c r="F21230" s="5">
        <v>237.8</v>
      </c>
      <c r="G21230" s="5">
        <v>118.7</v>
      </c>
      <c r="H21230" s="5">
        <v>118.6</v>
      </c>
      <c r="I21230" s="5"/>
      <c r="J21230" s="5"/>
      <c r="K21230" s="5"/>
    </row>
    <row r="21231" spans="1:11" x14ac:dyDescent="0.25">
      <c r="A21231" s="5">
        <f>21224</f>
      </c>
      <c r="B21231" s="5" t="s">
        <v>21239</v>
      </c>
      <c r="C21231" s="5">
        <v>119</v>
      </c>
      <c r="D21231" s="5">
        <v>0.1</v>
      </c>
      <c r="E21231" s="5">
        <v>119.2</v>
      </c>
      <c r="F21231" s="5">
        <v>237.8</v>
      </c>
      <c r="G21231" s="5">
        <v>118.7</v>
      </c>
      <c r="H21231" s="5">
        <v>118.6</v>
      </c>
      <c r="I21231" s="5"/>
      <c r="J21231" s="5"/>
      <c r="K21231" s="5"/>
    </row>
    <row r="21232" spans="1:11" x14ac:dyDescent="0.25">
      <c r="A21232" s="5">
        <f>21225</f>
      </c>
      <c r="B21232" s="5" t="s">
        <v>21240</v>
      </c>
      <c r="C21232" s="5">
        <v>119.3</v>
      </c>
      <c r="D21232" s="5">
        <v>0.1</v>
      </c>
      <c r="E21232" s="5">
        <v>119.4</v>
      </c>
      <c r="F21232" s="5">
        <v>238</v>
      </c>
      <c r="G21232" s="5">
        <v>118.8</v>
      </c>
      <c r="H21232" s="5">
        <v>118.6</v>
      </c>
      <c r="I21232" s="5"/>
      <c r="J21232" s="5"/>
      <c r="K21232" s="5"/>
    </row>
    <row r="21233" spans="1:11" x14ac:dyDescent="0.25">
      <c r="A21233" s="5">
        <f>21226</f>
      </c>
      <c r="B21233" s="5" t="s">
        <v>21241</v>
      </c>
      <c r="C21233" s="5">
        <v>119.3</v>
      </c>
      <c r="D21233" s="5">
        <v>0.1</v>
      </c>
      <c r="E21233" s="5">
        <v>119.4</v>
      </c>
      <c r="F21233" s="5">
        <v>238</v>
      </c>
      <c r="G21233" s="5">
        <v>118.8</v>
      </c>
      <c r="H21233" s="5">
        <v>118.6</v>
      </c>
      <c r="I21233" s="5"/>
      <c r="J21233" s="5"/>
      <c r="K21233" s="5"/>
    </row>
    <row r="21234" spans="1:11" x14ac:dyDescent="0.25">
      <c r="A21234" s="5">
        <f>21227</f>
      </c>
      <c r="B21234" s="5" t="s">
        <v>21242</v>
      </c>
      <c r="C21234" s="5">
        <v>119.4</v>
      </c>
      <c r="D21234" s="5">
        <v>0.1</v>
      </c>
      <c r="E21234" s="5">
        <v>119.6</v>
      </c>
      <c r="F21234" s="5">
        <v>238.3</v>
      </c>
      <c r="G21234" s="5">
        <v>118.9</v>
      </c>
      <c r="H21234" s="5">
        <v>118.8</v>
      </c>
      <c r="I21234" s="5"/>
      <c r="J21234" s="5"/>
      <c r="K21234" s="5"/>
    </row>
    <row r="21235" spans="1:11" x14ac:dyDescent="0.25">
      <c r="A21235" s="5">
        <f>21228</f>
      </c>
      <c r="B21235" s="5" t="s">
        <v>21243</v>
      </c>
      <c r="C21235" s="5">
        <v>119.4</v>
      </c>
      <c r="D21235" s="5">
        <v>0.1</v>
      </c>
      <c r="E21235" s="5">
        <v>119.6</v>
      </c>
      <c r="F21235" s="5">
        <v>238.3</v>
      </c>
      <c r="G21235" s="5">
        <v>118.9</v>
      </c>
      <c r="H21235" s="5">
        <v>118.8</v>
      </c>
      <c r="I21235" s="5"/>
      <c r="J21235" s="5"/>
      <c r="K21235" s="5"/>
    </row>
    <row r="21236" spans="1:11" x14ac:dyDescent="0.25">
      <c r="A21236" s="5">
        <f>21229</f>
      </c>
      <c r="B21236" s="5" t="s">
        <v>21244</v>
      </c>
      <c r="C21236" s="5">
        <v>119.3</v>
      </c>
      <c r="D21236" s="5">
        <v>0.1</v>
      </c>
      <c r="E21236" s="5">
        <v>119.6</v>
      </c>
      <c r="F21236" s="5">
        <v>238.1</v>
      </c>
      <c r="G21236" s="5">
        <v>118.8</v>
      </c>
      <c r="H21236" s="5">
        <v>118.7</v>
      </c>
      <c r="I21236" s="5"/>
      <c r="J21236" s="5"/>
      <c r="K21236" s="5"/>
    </row>
    <row r="21237" spans="1:11" x14ac:dyDescent="0.25">
      <c r="A21237" s="5">
        <f>21230</f>
      </c>
      <c r="B21237" s="5" t="s">
        <v>21245</v>
      </c>
      <c r="C21237" s="5">
        <v>119.3</v>
      </c>
      <c r="D21237" s="5">
        <v>0.1</v>
      </c>
      <c r="E21237" s="5">
        <v>119.6</v>
      </c>
      <c r="F21237" s="5">
        <v>238.1</v>
      </c>
      <c r="G21237" s="5">
        <v>118.8</v>
      </c>
      <c r="H21237" s="5">
        <v>118.7</v>
      </c>
      <c r="I21237" s="5"/>
      <c r="J21237" s="5"/>
      <c r="K21237" s="5"/>
    </row>
    <row r="21238" spans="1:11" x14ac:dyDescent="0.25">
      <c r="A21238" s="5">
        <f>21231</f>
      </c>
      <c r="B21238" s="5" t="s">
        <v>21246</v>
      </c>
      <c r="C21238" s="5">
        <v>119.3</v>
      </c>
      <c r="D21238" s="5">
        <v>0.1</v>
      </c>
      <c r="E21238" s="5">
        <v>119.6</v>
      </c>
      <c r="F21238" s="5">
        <v>238.1</v>
      </c>
      <c r="G21238" s="5">
        <v>118.8</v>
      </c>
      <c r="H21238" s="5">
        <v>118.7</v>
      </c>
      <c r="I21238" s="5"/>
      <c r="J21238" s="5"/>
      <c r="K21238" s="5"/>
    </row>
    <row r="21239" spans="1:11" x14ac:dyDescent="0.25">
      <c r="A21239" s="5">
        <f>21232</f>
      </c>
      <c r="B21239" s="5" t="s">
        <v>21247</v>
      </c>
      <c r="C21239" s="5">
        <v>119.3</v>
      </c>
      <c r="D21239" s="5">
        <v>0.1</v>
      </c>
      <c r="E21239" s="5">
        <v>119.6</v>
      </c>
      <c r="F21239" s="5">
        <v>238.1</v>
      </c>
      <c r="G21239" s="5">
        <v>118.8</v>
      </c>
      <c r="H21239" s="5">
        <v>118.7</v>
      </c>
      <c r="I21239" s="5"/>
      <c r="J21239" s="5"/>
      <c r="K21239" s="5"/>
    </row>
    <row r="21240" spans="1:11" x14ac:dyDescent="0.25">
      <c r="A21240" s="5">
        <f>21233</f>
      </c>
      <c r="B21240" s="5" t="s">
        <v>21248</v>
      </c>
      <c r="C21240" s="5">
        <v>120.2</v>
      </c>
      <c r="D21240" s="5">
        <v>0.1</v>
      </c>
      <c r="E21240" s="5">
        <v>120.4</v>
      </c>
      <c r="F21240" s="5">
        <v>240.2</v>
      </c>
      <c r="G21240" s="5">
        <v>119.8</v>
      </c>
      <c r="H21240" s="5">
        <v>119.7</v>
      </c>
      <c r="I21240" s="5"/>
      <c r="J21240" s="5"/>
      <c r="K21240" s="5"/>
    </row>
    <row r="21241" spans="1:11" x14ac:dyDescent="0.25">
      <c r="A21241" s="5">
        <f>21234</f>
      </c>
      <c r="B21241" s="5" t="s">
        <v>21249</v>
      </c>
      <c r="C21241" s="5">
        <v>120.2</v>
      </c>
      <c r="D21241" s="5">
        <v>0.1</v>
      </c>
      <c r="E21241" s="5">
        <v>120.4</v>
      </c>
      <c r="F21241" s="5">
        <v>240.2</v>
      </c>
      <c r="G21241" s="5">
        <v>119.8</v>
      </c>
      <c r="H21241" s="5">
        <v>119.7</v>
      </c>
      <c r="I21241" s="5"/>
      <c r="J21241" s="5"/>
      <c r="K21241" s="5"/>
    </row>
    <row r="21242" spans="1:11" x14ac:dyDescent="0.25">
      <c r="A21242" s="5">
        <f>21235</f>
      </c>
      <c r="B21242" s="5" t="s">
        <v>21250</v>
      </c>
      <c r="C21242" s="5">
        <v>120</v>
      </c>
      <c r="D21242" s="5">
        <v>0.1</v>
      </c>
      <c r="E21242" s="5">
        <v>120.2</v>
      </c>
      <c r="F21242" s="5">
        <v>239.9</v>
      </c>
      <c r="G21242" s="5">
        <v>119.7</v>
      </c>
      <c r="H21242" s="5">
        <v>119.5</v>
      </c>
      <c r="I21242" s="5"/>
      <c r="J21242" s="5"/>
      <c r="K21242" s="5"/>
    </row>
    <row r="21243" spans="1:11" x14ac:dyDescent="0.25">
      <c r="A21243" s="5">
        <f>21236</f>
      </c>
      <c r="B21243" s="5" t="s">
        <v>21251</v>
      </c>
      <c r="C21243" s="5">
        <v>120</v>
      </c>
      <c r="D21243" s="5">
        <v>0.1</v>
      </c>
      <c r="E21243" s="5">
        <v>120.2</v>
      </c>
      <c r="F21243" s="5">
        <v>239.9</v>
      </c>
      <c r="G21243" s="5">
        <v>119.7</v>
      </c>
      <c r="H21243" s="5">
        <v>119.5</v>
      </c>
      <c r="I21243" s="5"/>
      <c r="J21243" s="5"/>
      <c r="K21243" s="5"/>
    </row>
    <row r="21244" spans="1:11" x14ac:dyDescent="0.25">
      <c r="A21244" s="5">
        <f>21237</f>
      </c>
      <c r="B21244" s="5" t="s">
        <v>21252</v>
      </c>
      <c r="C21244" s="5">
        <v>120.2</v>
      </c>
      <c r="D21244" s="5">
        <v>0.1</v>
      </c>
      <c r="E21244" s="5">
        <v>120.3</v>
      </c>
      <c r="F21244" s="5">
        <v>239.9</v>
      </c>
      <c r="G21244" s="5">
        <v>119.7</v>
      </c>
      <c r="H21244" s="5">
        <v>119.6</v>
      </c>
      <c r="I21244" s="5"/>
      <c r="J21244" s="5"/>
      <c r="K21244" s="5"/>
    </row>
    <row r="21245" spans="1:11" x14ac:dyDescent="0.25">
      <c r="A21245" s="5">
        <f>21238</f>
      </c>
      <c r="B21245" s="5" t="s">
        <v>21253</v>
      </c>
      <c r="C21245" s="5">
        <v>120.2</v>
      </c>
      <c r="D21245" s="5">
        <v>0.1</v>
      </c>
      <c r="E21245" s="5">
        <v>120.3</v>
      </c>
      <c r="F21245" s="5">
        <v>239.9</v>
      </c>
      <c r="G21245" s="5">
        <v>119.7</v>
      </c>
      <c r="H21245" s="5">
        <v>119.6</v>
      </c>
      <c r="I21245" s="5"/>
      <c r="J21245" s="5"/>
      <c r="K21245" s="5"/>
    </row>
    <row r="21246" spans="1:11" x14ac:dyDescent="0.25">
      <c r="A21246" s="5">
        <f>21239</f>
      </c>
      <c r="B21246" s="5" t="s">
        <v>21254</v>
      </c>
      <c r="C21246" s="5">
        <v>120</v>
      </c>
      <c r="D21246" s="5">
        <v>0.1</v>
      </c>
      <c r="E21246" s="5">
        <v>120.2</v>
      </c>
      <c r="F21246" s="5">
        <v>239.8</v>
      </c>
      <c r="G21246" s="5">
        <v>119.7</v>
      </c>
      <c r="H21246" s="5">
        <v>119.5</v>
      </c>
      <c r="I21246" s="5"/>
      <c r="J21246" s="5"/>
      <c r="K21246" s="5"/>
    </row>
    <row r="21247" spans="1:11" x14ac:dyDescent="0.25">
      <c r="A21247" s="5">
        <f>21240</f>
      </c>
      <c r="B21247" s="5" t="s">
        <v>21255</v>
      </c>
      <c r="C21247" s="5">
        <v>120</v>
      </c>
      <c r="D21247" s="5">
        <v>0.1</v>
      </c>
      <c r="E21247" s="5">
        <v>120.2</v>
      </c>
      <c r="F21247" s="5">
        <v>239.8</v>
      </c>
      <c r="G21247" s="5">
        <v>119.7</v>
      </c>
      <c r="H21247" s="5">
        <v>119.5</v>
      </c>
      <c r="I21247" s="5"/>
      <c r="J21247" s="5"/>
      <c r="K21247" s="5"/>
    </row>
    <row r="21248" spans="1:11" x14ac:dyDescent="0.25">
      <c r="A21248" s="5">
        <f>21241</f>
      </c>
      <c r="B21248" s="5" t="s">
        <v>21256</v>
      </c>
      <c r="C21248" s="5">
        <v>120</v>
      </c>
      <c r="D21248" s="5">
        <v>0.1</v>
      </c>
      <c r="E21248" s="5">
        <v>120.2</v>
      </c>
      <c r="F21248" s="5">
        <v>239.8</v>
      </c>
      <c r="G21248" s="5">
        <v>119.7</v>
      </c>
      <c r="H21248" s="5">
        <v>119.5</v>
      </c>
      <c r="I21248" s="5"/>
      <c r="J21248" s="5"/>
      <c r="K21248" s="5"/>
    </row>
    <row r="21249" spans="1:11" x14ac:dyDescent="0.25">
      <c r="A21249" s="5">
        <f>21242</f>
      </c>
      <c r="B21249" s="5" t="s">
        <v>21257</v>
      </c>
      <c r="C21249" s="5">
        <v>120</v>
      </c>
      <c r="D21249" s="5">
        <v>0.1</v>
      </c>
      <c r="E21249" s="5">
        <v>120.2</v>
      </c>
      <c r="F21249" s="5">
        <v>239.8</v>
      </c>
      <c r="G21249" s="5">
        <v>119.7</v>
      </c>
      <c r="H21249" s="5">
        <v>119.5</v>
      </c>
      <c r="I21249" s="5"/>
      <c r="J21249" s="5"/>
      <c r="K21249" s="5"/>
    </row>
    <row r="21250" spans="1:11" x14ac:dyDescent="0.25">
      <c r="A21250" s="5">
        <f>21243</f>
      </c>
      <c r="B21250" s="5" t="s">
        <v>21258</v>
      </c>
      <c r="C21250" s="5">
        <v>120.1</v>
      </c>
      <c r="D21250" s="5">
        <v>0.1</v>
      </c>
      <c r="E21250" s="5">
        <v>120.2</v>
      </c>
      <c r="F21250" s="5">
        <v>239.8</v>
      </c>
      <c r="G21250" s="5">
        <v>119.7</v>
      </c>
      <c r="H21250" s="5">
        <v>119.5</v>
      </c>
      <c r="I21250" s="5"/>
      <c r="J21250" s="5"/>
      <c r="K21250" s="5"/>
    </row>
    <row r="21251" spans="1:11" x14ac:dyDescent="0.25">
      <c r="A21251" s="5">
        <f>21244</f>
      </c>
      <c r="B21251" s="5" t="s">
        <v>21259</v>
      </c>
      <c r="C21251" s="5">
        <v>120.1</v>
      </c>
      <c r="D21251" s="5">
        <v>0.1</v>
      </c>
      <c r="E21251" s="5">
        <v>120.2</v>
      </c>
      <c r="F21251" s="5">
        <v>239.8</v>
      </c>
      <c r="G21251" s="5">
        <v>119.7</v>
      </c>
      <c r="H21251" s="5">
        <v>119.5</v>
      </c>
      <c r="I21251" s="5"/>
      <c r="J21251" s="5"/>
      <c r="K21251" s="5"/>
    </row>
    <row r="21252" spans="1:11" x14ac:dyDescent="0.25">
      <c r="A21252" s="5">
        <f>21245</f>
      </c>
      <c r="B21252" s="5" t="s">
        <v>21260</v>
      </c>
      <c r="C21252" s="5">
        <v>119.6</v>
      </c>
      <c r="D21252" s="5">
        <v>0.1</v>
      </c>
      <c r="E21252" s="5">
        <v>119.8</v>
      </c>
      <c r="F21252" s="5">
        <v>239.3</v>
      </c>
      <c r="G21252" s="5">
        <v>119.4</v>
      </c>
      <c r="H21252" s="5">
        <v>119.2</v>
      </c>
      <c r="I21252" s="5"/>
      <c r="J21252" s="5"/>
      <c r="K21252" s="5"/>
    </row>
    <row r="21253" spans="1:11" x14ac:dyDescent="0.25">
      <c r="A21253" s="5">
        <f>21246</f>
      </c>
      <c r="B21253" s="5" t="s">
        <v>21261</v>
      </c>
      <c r="C21253" s="5">
        <v>119.6</v>
      </c>
      <c r="D21253" s="5">
        <v>0.1</v>
      </c>
      <c r="E21253" s="5">
        <v>119.8</v>
      </c>
      <c r="F21253" s="5">
        <v>239.3</v>
      </c>
      <c r="G21253" s="5">
        <v>119.4</v>
      </c>
      <c r="H21253" s="5">
        <v>119.2</v>
      </c>
      <c r="I21253" s="5"/>
      <c r="J21253" s="5"/>
      <c r="K21253" s="5"/>
    </row>
    <row r="21254" spans="1:11" x14ac:dyDescent="0.25">
      <c r="A21254" s="5">
        <f>21247</f>
      </c>
      <c r="B21254" s="5" t="s">
        <v>21262</v>
      </c>
      <c r="C21254" s="5">
        <v>119.7</v>
      </c>
      <c r="D21254" s="5">
        <v>0.1</v>
      </c>
      <c r="E21254" s="5">
        <v>119.9</v>
      </c>
      <c r="F21254" s="5">
        <v>239.2</v>
      </c>
      <c r="G21254" s="5">
        <v>119.4</v>
      </c>
      <c r="H21254" s="5">
        <v>119.3</v>
      </c>
      <c r="I21254" s="5"/>
      <c r="J21254" s="5"/>
      <c r="K21254" s="5"/>
    </row>
    <row r="21255" spans="1:11" x14ac:dyDescent="0.25">
      <c r="A21255" s="5">
        <f>21248</f>
      </c>
      <c r="B21255" s="5" t="s">
        <v>21263</v>
      </c>
      <c r="C21255" s="5">
        <v>119.7</v>
      </c>
      <c r="D21255" s="5">
        <v>0.1</v>
      </c>
      <c r="E21255" s="5">
        <v>119.9</v>
      </c>
      <c r="F21255" s="5">
        <v>239.2</v>
      </c>
      <c r="G21255" s="5">
        <v>119.4</v>
      </c>
      <c r="H21255" s="5">
        <v>119.3</v>
      </c>
      <c r="I21255" s="5"/>
      <c r="J21255" s="5"/>
      <c r="K21255" s="5"/>
    </row>
    <row r="21256" spans="1:11" x14ac:dyDescent="0.25">
      <c r="A21256" s="5">
        <f>21249</f>
      </c>
      <c r="B21256" s="5" t="s">
        <v>21264</v>
      </c>
      <c r="C21256" s="5">
        <v>119.4</v>
      </c>
      <c r="D21256" s="5">
        <v>0.1</v>
      </c>
      <c r="E21256" s="5">
        <v>119.6</v>
      </c>
      <c r="F21256" s="5">
        <v>238.7</v>
      </c>
      <c r="G21256" s="5">
        <v>119.2</v>
      </c>
      <c r="H21256" s="5">
        <v>119</v>
      </c>
      <c r="I21256" s="5"/>
      <c r="J21256" s="5"/>
      <c r="K21256" s="5"/>
    </row>
    <row r="21257" spans="1:11" x14ac:dyDescent="0.25">
      <c r="A21257" s="5">
        <f>21250</f>
      </c>
      <c r="B21257" s="5" t="s">
        <v>21265</v>
      </c>
      <c r="C21257" s="5">
        <v>119.4</v>
      </c>
      <c r="D21257" s="5">
        <v>0.1</v>
      </c>
      <c r="E21257" s="5">
        <v>119.6</v>
      </c>
      <c r="F21257" s="5">
        <v>238.7</v>
      </c>
      <c r="G21257" s="5">
        <v>119.2</v>
      </c>
      <c r="H21257" s="5">
        <v>119</v>
      </c>
      <c r="I21257" s="5"/>
      <c r="J21257" s="5"/>
      <c r="K21257" s="5"/>
    </row>
    <row r="21258" spans="1:11" x14ac:dyDescent="0.25">
      <c r="A21258" s="5">
        <f>21251</f>
      </c>
      <c r="B21258" s="5" t="s">
        <v>21266</v>
      </c>
      <c r="C21258" s="5">
        <v>119.4</v>
      </c>
      <c r="D21258" s="5">
        <v>0.1</v>
      </c>
      <c r="E21258" s="5">
        <v>119.6</v>
      </c>
      <c r="F21258" s="5">
        <v>238.7</v>
      </c>
      <c r="G21258" s="5">
        <v>119.2</v>
      </c>
      <c r="H21258" s="5">
        <v>119</v>
      </c>
      <c r="I21258" s="5"/>
      <c r="J21258" s="5"/>
      <c r="K21258" s="5"/>
    </row>
    <row r="21259" spans="1:11" x14ac:dyDescent="0.25">
      <c r="A21259" s="5">
        <f>21252</f>
      </c>
      <c r="B21259" s="5" t="s">
        <v>21267</v>
      </c>
      <c r="C21259" s="5">
        <v>119.4</v>
      </c>
      <c r="D21259" s="5">
        <v>0.1</v>
      </c>
      <c r="E21259" s="5">
        <v>119.6</v>
      </c>
      <c r="F21259" s="5">
        <v>238.7</v>
      </c>
      <c r="G21259" s="5">
        <v>119.2</v>
      </c>
      <c r="H21259" s="5">
        <v>119</v>
      </c>
      <c r="I21259" s="5"/>
      <c r="J21259" s="5"/>
      <c r="K21259" s="5"/>
    </row>
    <row r="21260" spans="1:11" x14ac:dyDescent="0.25">
      <c r="A21260" s="5">
        <f>21253</f>
      </c>
      <c r="B21260" s="5" t="s">
        <v>21268</v>
      </c>
      <c r="C21260" s="5">
        <v>120.4</v>
      </c>
      <c r="D21260" s="5">
        <v>0.1</v>
      </c>
      <c r="E21260" s="5">
        <v>120.6</v>
      </c>
      <c r="F21260" s="5">
        <v>239.7</v>
      </c>
      <c r="G21260" s="5">
        <v>119.6</v>
      </c>
      <c r="H21260" s="5">
        <v>119.5</v>
      </c>
      <c r="I21260" s="5"/>
      <c r="J21260" s="5"/>
      <c r="K21260" s="5"/>
    </row>
    <row r="21261" spans="1:11" x14ac:dyDescent="0.25">
      <c r="A21261" s="5">
        <f>21254</f>
      </c>
      <c r="B21261" s="5" t="s">
        <v>21269</v>
      </c>
      <c r="C21261" s="5">
        <v>120.4</v>
      </c>
      <c r="D21261" s="5">
        <v>0.1</v>
      </c>
      <c r="E21261" s="5">
        <v>120.6</v>
      </c>
      <c r="F21261" s="5">
        <v>239.7</v>
      </c>
      <c r="G21261" s="5">
        <v>119.6</v>
      </c>
      <c r="H21261" s="5">
        <v>119.5</v>
      </c>
      <c r="I21261" s="5"/>
      <c r="J21261" s="5"/>
      <c r="K21261" s="5"/>
    </row>
    <row r="21262" spans="1:11" x14ac:dyDescent="0.25">
      <c r="A21262" s="5">
        <f>21255</f>
      </c>
      <c r="B21262" s="5" t="s">
        <v>21270</v>
      </c>
      <c r="C21262" s="5">
        <v>119.9</v>
      </c>
      <c r="D21262" s="5">
        <v>0.1</v>
      </c>
      <c r="E21262" s="5">
        <v>120.1</v>
      </c>
      <c r="F21262" s="5">
        <v>239.8</v>
      </c>
      <c r="G21262" s="5">
        <v>119.7</v>
      </c>
      <c r="H21262" s="5">
        <v>119.5</v>
      </c>
      <c r="I21262" s="5"/>
      <c r="J21262" s="5"/>
      <c r="K21262" s="5"/>
    </row>
    <row r="21263" spans="1:11" x14ac:dyDescent="0.25">
      <c r="A21263" s="5">
        <f>21256</f>
      </c>
      <c r="B21263" s="5" t="s">
        <v>21271</v>
      </c>
      <c r="C21263" s="5">
        <v>119.9</v>
      </c>
      <c r="D21263" s="5">
        <v>0.1</v>
      </c>
      <c r="E21263" s="5">
        <v>120.1</v>
      </c>
      <c r="F21263" s="5">
        <v>239.8</v>
      </c>
      <c r="G21263" s="5">
        <v>119.7</v>
      </c>
      <c r="H21263" s="5">
        <v>119.5</v>
      </c>
      <c r="I21263" s="5"/>
      <c r="J21263" s="5"/>
      <c r="K21263" s="5"/>
    </row>
    <row r="21264" spans="1:11" x14ac:dyDescent="0.25">
      <c r="A21264" s="5">
        <f>21257</f>
      </c>
      <c r="B21264" s="5" t="s">
        <v>21272</v>
      </c>
      <c r="C21264" s="5">
        <v>119.6</v>
      </c>
      <c r="D21264" s="5">
        <v>0.1</v>
      </c>
      <c r="E21264" s="5">
        <v>119.7</v>
      </c>
      <c r="F21264" s="5">
        <v>238.6</v>
      </c>
      <c r="G21264" s="5">
        <v>119</v>
      </c>
      <c r="H21264" s="5">
        <v>118.8</v>
      </c>
      <c r="I21264" s="5"/>
      <c r="J21264" s="5"/>
      <c r="K21264" s="5"/>
    </row>
    <row r="21265" spans="1:11" x14ac:dyDescent="0.25">
      <c r="A21265" s="5">
        <f>21258</f>
      </c>
      <c r="B21265" s="5" t="s">
        <v>21273</v>
      </c>
      <c r="C21265" s="5">
        <v>119.6</v>
      </c>
      <c r="D21265" s="5">
        <v>0.1</v>
      </c>
      <c r="E21265" s="5">
        <v>119.7</v>
      </c>
      <c r="F21265" s="5">
        <v>238.6</v>
      </c>
      <c r="G21265" s="5">
        <v>119</v>
      </c>
      <c r="H21265" s="5">
        <v>118.8</v>
      </c>
      <c r="I21265" s="5"/>
      <c r="J21265" s="5"/>
      <c r="K21265" s="5"/>
    </row>
    <row r="21266" spans="1:11" x14ac:dyDescent="0.25">
      <c r="A21266" s="5">
        <f>21259</f>
      </c>
      <c r="B21266" s="5" t="s">
        <v>21274</v>
      </c>
      <c r="C21266" s="5">
        <v>119.9</v>
      </c>
      <c r="D21266" s="5">
        <v>0.1</v>
      </c>
      <c r="E21266" s="5">
        <v>120.1</v>
      </c>
      <c r="F21266" s="5">
        <v>239.8</v>
      </c>
      <c r="G21266" s="5">
        <v>119.6</v>
      </c>
      <c r="H21266" s="5">
        <v>119.4</v>
      </c>
      <c r="I21266" s="5"/>
      <c r="J21266" s="5"/>
      <c r="K21266" s="5"/>
    </row>
    <row r="21267" spans="1:11" x14ac:dyDescent="0.25">
      <c r="A21267" s="5">
        <f>21260</f>
      </c>
      <c r="B21267" s="5" t="s">
        <v>21275</v>
      </c>
      <c r="C21267" s="5">
        <v>119.9</v>
      </c>
      <c r="D21267" s="5">
        <v>0.1</v>
      </c>
      <c r="E21267" s="5">
        <v>120.1</v>
      </c>
      <c r="F21267" s="5">
        <v>239.8</v>
      </c>
      <c r="G21267" s="5">
        <v>119.6</v>
      </c>
      <c r="H21267" s="5">
        <v>119.4</v>
      </c>
      <c r="I21267" s="5"/>
      <c r="J21267" s="5"/>
      <c r="K21267" s="5"/>
    </row>
    <row r="21268" spans="1:11" x14ac:dyDescent="0.25">
      <c r="A21268" s="5">
        <f>21261</f>
      </c>
      <c r="B21268" s="5" t="s">
        <v>21276</v>
      </c>
      <c r="C21268" s="5">
        <v>119.9</v>
      </c>
      <c r="D21268" s="5">
        <v>0.1</v>
      </c>
      <c r="E21268" s="5">
        <v>120.1</v>
      </c>
      <c r="F21268" s="5">
        <v>239.8</v>
      </c>
      <c r="G21268" s="5">
        <v>119.6</v>
      </c>
      <c r="H21268" s="5">
        <v>119.4</v>
      </c>
      <c r="I21268" s="5"/>
      <c r="J21268" s="5"/>
      <c r="K21268" s="5"/>
    </row>
    <row r="21269" spans="1:11" x14ac:dyDescent="0.25">
      <c r="A21269" s="5">
        <f>21262</f>
      </c>
      <c r="B21269" s="5" t="s">
        <v>21277</v>
      </c>
      <c r="C21269" s="5">
        <v>119.6</v>
      </c>
      <c r="D21269" s="5">
        <v>0.1</v>
      </c>
      <c r="E21269" s="5">
        <v>119.8</v>
      </c>
      <c r="F21269" s="5">
        <v>239.3</v>
      </c>
      <c r="G21269" s="5">
        <v>119.4</v>
      </c>
      <c r="H21269" s="5">
        <v>119.2</v>
      </c>
      <c r="I21269" s="5"/>
      <c r="J21269" s="5"/>
      <c r="K21269" s="5"/>
    </row>
    <row r="21270" spans="1:11" x14ac:dyDescent="0.25">
      <c r="A21270" s="5">
        <f>21263</f>
      </c>
      <c r="B21270" s="5" t="s">
        <v>21278</v>
      </c>
      <c r="C21270" s="5">
        <v>119.6</v>
      </c>
      <c r="D21270" s="5">
        <v>0.1</v>
      </c>
      <c r="E21270" s="5">
        <v>119.8</v>
      </c>
      <c r="F21270" s="5">
        <v>239.3</v>
      </c>
      <c r="G21270" s="5">
        <v>119.4</v>
      </c>
      <c r="H21270" s="5">
        <v>119.2</v>
      </c>
      <c r="I21270" s="5"/>
      <c r="J21270" s="5"/>
      <c r="K21270" s="5"/>
    </row>
    <row r="21271" spans="1:11" x14ac:dyDescent="0.25">
      <c r="A21271" s="5">
        <f>21264</f>
      </c>
      <c r="B21271" s="5" t="s">
        <v>21279</v>
      </c>
      <c r="C21271" s="5">
        <v>119.7</v>
      </c>
      <c r="D21271" s="5">
        <v>0.1</v>
      </c>
      <c r="E21271" s="5">
        <v>119.9</v>
      </c>
      <c r="F21271" s="5">
        <v>239.2</v>
      </c>
      <c r="G21271" s="5">
        <v>119.4</v>
      </c>
      <c r="H21271" s="5">
        <v>119.2</v>
      </c>
      <c r="I21271" s="5"/>
      <c r="J21271" s="5"/>
      <c r="K21271" s="5"/>
    </row>
    <row r="21272" spans="1:11" x14ac:dyDescent="0.25">
      <c r="A21272" s="5">
        <f>21265</f>
      </c>
      <c r="B21272" s="5" t="s">
        <v>21280</v>
      </c>
      <c r="C21272" s="5">
        <v>119.7</v>
      </c>
      <c r="D21272" s="5">
        <v>0.1</v>
      </c>
      <c r="E21272" s="5">
        <v>119.9</v>
      </c>
      <c r="F21272" s="5">
        <v>239.2</v>
      </c>
      <c r="G21272" s="5">
        <v>119.4</v>
      </c>
      <c r="H21272" s="5">
        <v>119.2</v>
      </c>
      <c r="I21272" s="5"/>
      <c r="J21272" s="5"/>
      <c r="K21272" s="5"/>
    </row>
    <row r="21273" spans="1:11" x14ac:dyDescent="0.25">
      <c r="A21273" s="5">
        <f>21266</f>
      </c>
      <c r="B21273" s="5" t="s">
        <v>21281</v>
      </c>
      <c r="C21273" s="5">
        <v>119.9</v>
      </c>
      <c r="D21273" s="5">
        <v>0.1</v>
      </c>
      <c r="E21273" s="5">
        <v>120</v>
      </c>
      <c r="F21273" s="5">
        <v>239.3</v>
      </c>
      <c r="G21273" s="5">
        <v>119.4</v>
      </c>
      <c r="H21273" s="5">
        <v>119.3</v>
      </c>
      <c r="I21273" s="5"/>
      <c r="J21273" s="5"/>
      <c r="K21273" s="5"/>
    </row>
    <row r="21274" spans="1:11" x14ac:dyDescent="0.25">
      <c r="A21274" s="5">
        <f>21267</f>
      </c>
      <c r="B21274" s="5" t="s">
        <v>21282</v>
      </c>
      <c r="C21274" s="5">
        <v>119.9</v>
      </c>
      <c r="D21274" s="5">
        <v>0.1</v>
      </c>
      <c r="E21274" s="5">
        <v>120</v>
      </c>
      <c r="F21274" s="5">
        <v>239.3</v>
      </c>
      <c r="G21274" s="5">
        <v>119.4</v>
      </c>
      <c r="H21274" s="5">
        <v>119.3</v>
      </c>
      <c r="I21274" s="5"/>
      <c r="J21274" s="5"/>
      <c r="K21274" s="5"/>
    </row>
    <row r="21275" spans="1:11" x14ac:dyDescent="0.25">
      <c r="A21275" s="5">
        <f>21268</f>
      </c>
      <c r="B21275" s="5" t="s">
        <v>21283</v>
      </c>
      <c r="C21275" s="5">
        <v>119.9</v>
      </c>
      <c r="D21275" s="5">
        <v>0.1</v>
      </c>
      <c r="E21275" s="5">
        <v>120</v>
      </c>
      <c r="F21275" s="5">
        <v>239.4</v>
      </c>
      <c r="G21275" s="5">
        <v>119.5</v>
      </c>
      <c r="H21275" s="5">
        <v>119.3</v>
      </c>
      <c r="I21275" s="5"/>
      <c r="J21275" s="5"/>
      <c r="K21275" s="5"/>
    </row>
    <row r="21276" spans="1:11" x14ac:dyDescent="0.25">
      <c r="A21276" s="5">
        <f>21269</f>
      </c>
      <c r="B21276" s="5" t="s">
        <v>21284</v>
      </c>
      <c r="C21276" s="5">
        <v>119.9</v>
      </c>
      <c r="D21276" s="5">
        <v>0.1</v>
      </c>
      <c r="E21276" s="5">
        <v>120</v>
      </c>
      <c r="F21276" s="5">
        <v>239.4</v>
      </c>
      <c r="G21276" s="5">
        <v>119.5</v>
      </c>
      <c r="H21276" s="5">
        <v>119.3</v>
      </c>
      <c r="I21276" s="5"/>
      <c r="J21276" s="5"/>
      <c r="K21276" s="5"/>
    </row>
    <row r="21277" spans="1:11" x14ac:dyDescent="0.25">
      <c r="A21277" s="5">
        <f>21270</f>
      </c>
      <c r="B21277" s="5" t="s">
        <v>21285</v>
      </c>
      <c r="C21277" s="5">
        <v>119.9</v>
      </c>
      <c r="D21277" s="5">
        <v>0.1</v>
      </c>
      <c r="E21277" s="5">
        <v>120</v>
      </c>
      <c r="F21277" s="5">
        <v>239.4</v>
      </c>
      <c r="G21277" s="5">
        <v>119.5</v>
      </c>
      <c r="H21277" s="5">
        <v>119.3</v>
      </c>
      <c r="I21277" s="5"/>
      <c r="J21277" s="5"/>
      <c r="K21277" s="5"/>
    </row>
    <row r="21278" spans="1:11" x14ac:dyDescent="0.25">
      <c r="A21278" s="5">
        <f>21271</f>
      </c>
      <c r="B21278" s="5" t="s">
        <v>21286</v>
      </c>
      <c r="C21278" s="5">
        <v>119.9</v>
      </c>
      <c r="D21278" s="5">
        <v>0.1</v>
      </c>
      <c r="E21278" s="5">
        <v>120</v>
      </c>
      <c r="F21278" s="5">
        <v>239.4</v>
      </c>
      <c r="G21278" s="5">
        <v>119.5</v>
      </c>
      <c r="H21278" s="5">
        <v>119.3</v>
      </c>
      <c r="I21278" s="5"/>
      <c r="J21278" s="5"/>
      <c r="K21278" s="5"/>
    </row>
    <row r="21279" spans="1:11" x14ac:dyDescent="0.25">
      <c r="A21279" s="5">
        <f>21272</f>
      </c>
      <c r="B21279" s="5" t="s">
        <v>21287</v>
      </c>
      <c r="C21279" s="5">
        <v>120.3</v>
      </c>
      <c r="D21279" s="5">
        <v>0.1</v>
      </c>
      <c r="E21279" s="5">
        <v>120.6</v>
      </c>
      <c r="F21279" s="5">
        <v>240.7</v>
      </c>
      <c r="G21279" s="5">
        <v>119.5</v>
      </c>
      <c r="H21279" s="5">
        <v>119.3</v>
      </c>
      <c r="I21279" s="5"/>
      <c r="J21279" s="5"/>
      <c r="K21279" s="5"/>
    </row>
    <row r="21280" spans="1:11" x14ac:dyDescent="0.25">
      <c r="A21280" s="5">
        <f>21273</f>
      </c>
      <c r="B21280" s="5" t="s">
        <v>21288</v>
      </c>
      <c r="C21280" s="5">
        <v>120.3</v>
      </c>
      <c r="D21280" s="5">
        <v>0.1</v>
      </c>
      <c r="E21280" s="5">
        <v>120.6</v>
      </c>
      <c r="F21280" s="5">
        <v>240.7</v>
      </c>
      <c r="G21280" s="5">
        <v>120.1</v>
      </c>
      <c r="H21280" s="5">
        <v>119.9</v>
      </c>
      <c r="I21280" s="5"/>
      <c r="J21280" s="5"/>
      <c r="K21280" s="5"/>
    </row>
    <row r="21281" spans="1:11" x14ac:dyDescent="0.25">
      <c r="A21281" s="5">
        <f>21274</f>
      </c>
      <c r="B21281" s="5" t="s">
        <v>21289</v>
      </c>
      <c r="C21281" s="5">
        <v>118.3</v>
      </c>
      <c r="D21281" s="5">
        <v>0.1</v>
      </c>
      <c r="E21281" s="5">
        <v>118.4</v>
      </c>
      <c r="F21281" s="5">
        <v>240.7</v>
      </c>
      <c r="G21281" s="5">
        <v>120.1</v>
      </c>
      <c r="H21281" s="5">
        <v>119.9</v>
      </c>
      <c r="I21281" s="5"/>
      <c r="J21281" s="5"/>
      <c r="K21281" s="5"/>
    </row>
    <row r="21282" spans="1:11" x14ac:dyDescent="0.25">
      <c r="A21282" s="5">
        <f>21275</f>
      </c>
      <c r="B21282" s="5" t="s">
        <v>21290</v>
      </c>
      <c r="C21282" s="5">
        <v>118.3</v>
      </c>
      <c r="D21282" s="5">
        <v>0.1</v>
      </c>
      <c r="E21282" s="5">
        <v>118.4</v>
      </c>
      <c r="F21282" s="5">
        <v>236.3</v>
      </c>
      <c r="G21282" s="5">
        <v>118</v>
      </c>
      <c r="H21282" s="5">
        <v>117.8</v>
      </c>
      <c r="I21282" s="5"/>
      <c r="J21282" s="5"/>
      <c r="K21282" s="5"/>
    </row>
    <row r="21283" spans="1:11" x14ac:dyDescent="0.25">
      <c r="A21283" s="5">
        <f>21276</f>
      </c>
      <c r="B21283" s="5" t="s">
        <v>21291</v>
      </c>
      <c r="C21283" s="5">
        <v>118.3</v>
      </c>
      <c r="D21283" s="5">
        <v>0.1</v>
      </c>
      <c r="E21283" s="5">
        <v>118.4</v>
      </c>
      <c r="F21283" s="5">
        <v>236.3</v>
      </c>
      <c r="G21283" s="5">
        <v>118</v>
      </c>
      <c r="H21283" s="5">
        <v>117.8</v>
      </c>
      <c r="I21283" s="5"/>
      <c r="J21283" s="5"/>
      <c r="K21283" s="5"/>
    </row>
    <row r="21284" spans="1:11" x14ac:dyDescent="0.25">
      <c r="A21284" s="5">
        <f>21277</f>
      </c>
      <c r="B21284" s="5" t="s">
        <v>21292</v>
      </c>
      <c r="C21284" s="5">
        <v>119.3</v>
      </c>
      <c r="D21284" s="5">
        <v>0.1</v>
      </c>
      <c r="E21284" s="5">
        <v>119.6</v>
      </c>
      <c r="F21284" s="5">
        <v>238.6</v>
      </c>
      <c r="G21284" s="5">
        <v>119.1</v>
      </c>
      <c r="H21284" s="5">
        <v>118.9</v>
      </c>
      <c r="I21284" s="5"/>
      <c r="J21284" s="5"/>
      <c r="K21284" s="5"/>
    </row>
    <row r="21285" spans="1:11" x14ac:dyDescent="0.25">
      <c r="A21285" s="5">
        <f>21278</f>
      </c>
      <c r="B21285" s="5" t="s">
        <v>21293</v>
      </c>
      <c r="C21285" s="5">
        <v>119.3</v>
      </c>
      <c r="D21285" s="5">
        <v>0.1</v>
      </c>
      <c r="E21285" s="5">
        <v>119.6</v>
      </c>
      <c r="F21285" s="5">
        <v>238.6</v>
      </c>
      <c r="G21285" s="5">
        <v>119.1</v>
      </c>
      <c r="H21285" s="5">
        <v>118.9</v>
      </c>
      <c r="I21285" s="5"/>
      <c r="J21285" s="5"/>
      <c r="K21285" s="5"/>
    </row>
    <row r="21286" spans="1:11" x14ac:dyDescent="0.25">
      <c r="A21286" s="5">
        <f>21279</f>
      </c>
      <c r="B21286" s="5" t="s">
        <v>21294</v>
      </c>
      <c r="C21286" s="5">
        <v>119.3</v>
      </c>
      <c r="D21286" s="5">
        <v>0.1</v>
      </c>
      <c r="E21286" s="5">
        <v>119.5</v>
      </c>
      <c r="F21286" s="5">
        <v>238.7</v>
      </c>
      <c r="G21286" s="5">
        <v>119.1</v>
      </c>
      <c r="H21286" s="5">
        <v>119</v>
      </c>
      <c r="I21286" s="5"/>
      <c r="J21286" s="5"/>
      <c r="K21286" s="5"/>
    </row>
    <row r="21287" spans="1:11" x14ac:dyDescent="0.25">
      <c r="A21287" s="5">
        <f>21280</f>
      </c>
      <c r="B21287" s="5" t="s">
        <v>21295</v>
      </c>
      <c r="C21287" s="5">
        <v>119.3</v>
      </c>
      <c r="D21287" s="5">
        <v>0.1</v>
      </c>
      <c r="E21287" s="5">
        <v>119.5</v>
      </c>
      <c r="F21287" s="5">
        <v>238.7</v>
      </c>
      <c r="G21287" s="5">
        <v>119.1</v>
      </c>
      <c r="H21287" s="5">
        <v>119</v>
      </c>
      <c r="I21287" s="5"/>
      <c r="J21287" s="5"/>
      <c r="K21287" s="5"/>
    </row>
    <row r="21288" spans="1:11" x14ac:dyDescent="0.25">
      <c r="A21288" s="5">
        <f>21281</f>
      </c>
      <c r="B21288" s="5" t="s">
        <v>21296</v>
      </c>
      <c r="C21288" s="5">
        <v>119.3</v>
      </c>
      <c r="D21288" s="5">
        <v>0.1</v>
      </c>
      <c r="E21288" s="5">
        <v>119.5</v>
      </c>
      <c r="F21288" s="5">
        <v>238.7</v>
      </c>
      <c r="G21288" s="5">
        <v>119.1</v>
      </c>
      <c r="H21288" s="5">
        <v>119</v>
      </c>
      <c r="I21288" s="5"/>
      <c r="J21288" s="5"/>
      <c r="K21288" s="5"/>
    </row>
    <row r="21289" spans="1:11" x14ac:dyDescent="0.25">
      <c r="A21289" s="5">
        <f>21282</f>
      </c>
      <c r="B21289" s="5" t="s">
        <v>21297</v>
      </c>
      <c r="C21289" s="5">
        <v>119.3</v>
      </c>
      <c r="D21289" s="5">
        <v>0.1</v>
      </c>
      <c r="E21289" s="5">
        <v>119.5</v>
      </c>
      <c r="F21289" s="5">
        <v>238.7</v>
      </c>
      <c r="G21289" s="5">
        <v>119.1</v>
      </c>
      <c r="H21289" s="5">
        <v>119</v>
      </c>
      <c r="I21289" s="5"/>
      <c r="J21289" s="5"/>
      <c r="K21289" s="5"/>
    </row>
    <row r="21290" spans="1:11" x14ac:dyDescent="0.25">
      <c r="A21290" s="5">
        <f>21283</f>
      </c>
      <c r="B21290" s="5" t="s">
        <v>21298</v>
      </c>
      <c r="C21290" s="5">
        <v>116.4</v>
      </c>
      <c r="D21290" s="5">
        <v>0.1</v>
      </c>
      <c r="E21290" s="5">
        <v>116.6</v>
      </c>
      <c r="F21290" s="5">
        <v>232.6</v>
      </c>
      <c r="G21290" s="5">
        <v>116.1</v>
      </c>
      <c r="H21290" s="5">
        <v>115.9</v>
      </c>
      <c r="I21290" s="5"/>
      <c r="J21290" s="5"/>
      <c r="K21290" s="5"/>
    </row>
    <row r="21291" spans="1:11" x14ac:dyDescent="0.25">
      <c r="A21291" s="5">
        <f>21284</f>
      </c>
      <c r="B21291" s="5" t="s">
        <v>21299</v>
      </c>
      <c r="C21291" s="5">
        <v>116.4</v>
      </c>
      <c r="D21291" s="5">
        <v>0.1</v>
      </c>
      <c r="E21291" s="5">
        <v>116.6</v>
      </c>
      <c r="F21291" s="5">
        <v>232.6</v>
      </c>
      <c r="G21291" s="5">
        <v>116.1</v>
      </c>
      <c r="H21291" s="5">
        <v>115.9</v>
      </c>
      <c r="I21291" s="5"/>
      <c r="J21291" s="5"/>
      <c r="K21291" s="5"/>
    </row>
    <row r="21292" spans="1:11" x14ac:dyDescent="0.25">
      <c r="A21292" s="5">
        <f>21285</f>
      </c>
      <c r="B21292" s="5" t="s">
        <v>21300</v>
      </c>
      <c r="C21292" s="5">
        <v>115.8</v>
      </c>
      <c r="D21292" s="5">
        <v>0.1</v>
      </c>
      <c r="E21292" s="5">
        <v>116.1</v>
      </c>
      <c r="F21292" s="5">
        <v>231.7</v>
      </c>
      <c r="G21292" s="5">
        <v>115.6</v>
      </c>
      <c r="H21292" s="5">
        <v>115.4</v>
      </c>
      <c r="I21292" s="5"/>
      <c r="J21292" s="5"/>
      <c r="K21292" s="5"/>
    </row>
    <row r="21293" spans="1:11" x14ac:dyDescent="0.25">
      <c r="A21293" s="5">
        <f>21286</f>
      </c>
      <c r="B21293" s="5" t="s">
        <v>21301</v>
      </c>
      <c r="C21293" s="5">
        <v>115.8</v>
      </c>
      <c r="D21293" s="5">
        <v>0.1</v>
      </c>
      <c r="E21293" s="5">
        <v>116.1</v>
      </c>
      <c r="F21293" s="5">
        <v>231.7</v>
      </c>
      <c r="G21293" s="5">
        <v>115.6</v>
      </c>
      <c r="H21293" s="5">
        <v>115.4</v>
      </c>
      <c r="I21293" s="5"/>
      <c r="J21293" s="5"/>
      <c r="K21293" s="5"/>
    </row>
    <row r="21294" spans="1:11" x14ac:dyDescent="0.25">
      <c r="A21294" s="5">
        <f>21287</f>
      </c>
      <c r="B21294" s="5" t="s">
        <v>21302</v>
      </c>
      <c r="C21294" s="5">
        <v>115.5</v>
      </c>
      <c r="D21294" s="5">
        <v>0.1</v>
      </c>
      <c r="E21294" s="5">
        <v>115.7</v>
      </c>
      <c r="F21294" s="5">
        <v>230.8</v>
      </c>
      <c r="G21294" s="5">
        <v>115.2</v>
      </c>
      <c r="H21294" s="5">
        <v>115</v>
      </c>
      <c r="I21294" s="5"/>
      <c r="J21294" s="5"/>
      <c r="K21294" s="5"/>
    </row>
    <row r="21295" spans="1:11" x14ac:dyDescent="0.25">
      <c r="A21295" s="5">
        <f>21288</f>
      </c>
      <c r="B21295" s="5" t="s">
        <v>21303</v>
      </c>
      <c r="C21295" s="5">
        <v>115.5</v>
      </c>
      <c r="D21295" s="5">
        <v>0.1</v>
      </c>
      <c r="E21295" s="5">
        <v>115.7</v>
      </c>
      <c r="F21295" s="5">
        <v>230.8</v>
      </c>
      <c r="G21295" s="5">
        <v>115.2</v>
      </c>
      <c r="H21295" s="5">
        <v>115</v>
      </c>
      <c r="I21295" s="5"/>
      <c r="J21295" s="5"/>
      <c r="K21295" s="5"/>
    </row>
    <row r="21296" spans="1:11" x14ac:dyDescent="0.25">
      <c r="A21296" s="5">
        <f>21289</f>
      </c>
      <c r="B21296" s="5" t="s">
        <v>21304</v>
      </c>
      <c r="C21296" s="5">
        <v>115.9</v>
      </c>
      <c r="D21296" s="5">
        <v>0.1</v>
      </c>
      <c r="E21296" s="5">
        <v>116.1</v>
      </c>
      <c r="F21296" s="5">
        <v>231.4</v>
      </c>
      <c r="G21296" s="5">
        <v>115.4</v>
      </c>
      <c r="H21296" s="5">
        <v>115.2</v>
      </c>
      <c r="I21296" s="5"/>
      <c r="J21296" s="5"/>
      <c r="K21296" s="5"/>
    </row>
    <row r="21297" spans="1:11" x14ac:dyDescent="0.25">
      <c r="A21297" s="5">
        <f>21290</f>
      </c>
      <c r="B21297" s="5" t="s">
        <v>21305</v>
      </c>
      <c r="C21297" s="5">
        <v>115.9</v>
      </c>
      <c r="D21297" s="5">
        <v>0.1</v>
      </c>
      <c r="E21297" s="5">
        <v>116.1</v>
      </c>
      <c r="F21297" s="5">
        <v>231.4</v>
      </c>
      <c r="G21297" s="5">
        <v>115.4</v>
      </c>
      <c r="H21297" s="5">
        <v>115.2</v>
      </c>
      <c r="I21297" s="5"/>
      <c r="J21297" s="5"/>
      <c r="K21297" s="5"/>
    </row>
    <row r="21298" spans="1:11" x14ac:dyDescent="0.25">
      <c r="A21298" s="5">
        <f>21291</f>
      </c>
      <c r="B21298" s="5" t="s">
        <v>21306</v>
      </c>
      <c r="C21298" s="5">
        <v>115.9</v>
      </c>
      <c r="D21298" s="5">
        <v>0.1</v>
      </c>
      <c r="E21298" s="5">
        <v>116.1</v>
      </c>
      <c r="F21298" s="5">
        <v>231.4</v>
      </c>
      <c r="G21298" s="5">
        <v>115.4</v>
      </c>
      <c r="H21298" s="5">
        <v>115.2</v>
      </c>
      <c r="I21298" s="5"/>
      <c r="J21298" s="5"/>
      <c r="K21298" s="5"/>
    </row>
    <row r="21299" spans="1:11" x14ac:dyDescent="0.25">
      <c r="A21299" s="5">
        <f>21292</f>
      </c>
      <c r="B21299" s="5" t="s">
        <v>21307</v>
      </c>
      <c r="C21299" s="5">
        <v>115.8</v>
      </c>
      <c r="D21299" s="5">
        <v>0.1</v>
      </c>
      <c r="E21299" s="5">
        <v>116</v>
      </c>
      <c r="F21299" s="5">
        <v>231.6</v>
      </c>
      <c r="G21299" s="5">
        <v>115.6</v>
      </c>
      <c r="H21299" s="5">
        <v>115.5</v>
      </c>
      <c r="I21299" s="5"/>
      <c r="J21299" s="5"/>
      <c r="K21299" s="5"/>
    </row>
    <row r="21300" spans="1:11" x14ac:dyDescent="0.25">
      <c r="A21300" s="5">
        <f>21293</f>
      </c>
      <c r="B21300" s="5" t="s">
        <v>21308</v>
      </c>
      <c r="C21300" s="5">
        <v>115.8</v>
      </c>
      <c r="D21300" s="5">
        <v>0.1</v>
      </c>
      <c r="E21300" s="5">
        <v>116</v>
      </c>
      <c r="F21300" s="5">
        <v>231.6</v>
      </c>
      <c r="G21300" s="5">
        <v>115.6</v>
      </c>
      <c r="H21300" s="5">
        <v>115.5</v>
      </c>
      <c r="I21300" s="5"/>
      <c r="J21300" s="5"/>
      <c r="K21300" s="5"/>
    </row>
    <row r="21301" spans="1:11" x14ac:dyDescent="0.25">
      <c r="A21301" s="5">
        <f>21294</f>
      </c>
      <c r="B21301" s="5" t="s">
        <v>21309</v>
      </c>
      <c r="C21301" s="5">
        <v>116.1</v>
      </c>
      <c r="D21301" s="5">
        <v>0.1</v>
      </c>
      <c r="E21301" s="5">
        <v>116.3</v>
      </c>
      <c r="F21301" s="5">
        <v>231.7</v>
      </c>
      <c r="G21301" s="5">
        <v>115.6</v>
      </c>
      <c r="H21301" s="5">
        <v>115.5</v>
      </c>
      <c r="I21301" s="5"/>
      <c r="J21301" s="5"/>
      <c r="K21301" s="5"/>
    </row>
    <row r="21302" spans="1:11" x14ac:dyDescent="0.25">
      <c r="A21302" s="5">
        <f>21295</f>
      </c>
      <c r="B21302" s="5" t="s">
        <v>21310</v>
      </c>
      <c r="C21302" s="5">
        <v>116.1</v>
      </c>
      <c r="D21302" s="5">
        <v>0.1</v>
      </c>
      <c r="E21302" s="5">
        <v>116.3</v>
      </c>
      <c r="F21302" s="5">
        <v>231.7</v>
      </c>
      <c r="G21302" s="5">
        <v>115.6</v>
      </c>
      <c r="H21302" s="5">
        <v>115.5</v>
      </c>
      <c r="I21302" s="5"/>
      <c r="J21302" s="5"/>
      <c r="K21302" s="5"/>
    </row>
    <row r="21303" spans="1:11" x14ac:dyDescent="0.25">
      <c r="A21303" s="5">
        <f>21296</f>
      </c>
      <c r="B21303" s="5" t="s">
        <v>21311</v>
      </c>
      <c r="C21303" s="5">
        <v>115.8</v>
      </c>
      <c r="D21303" s="5">
        <v>0.1</v>
      </c>
      <c r="E21303" s="5">
        <v>115.9</v>
      </c>
      <c r="F21303" s="5">
        <v>231.3</v>
      </c>
      <c r="G21303" s="5">
        <v>115.4</v>
      </c>
      <c r="H21303" s="5">
        <v>115.2</v>
      </c>
      <c r="I21303" s="5"/>
      <c r="J21303" s="5"/>
      <c r="K21303" s="5"/>
    </row>
    <row r="21304" spans="1:11" x14ac:dyDescent="0.25">
      <c r="A21304" s="5">
        <f>21297</f>
      </c>
      <c r="B21304" s="5" t="s">
        <v>21312</v>
      </c>
      <c r="C21304" s="5">
        <v>115.8</v>
      </c>
      <c r="D21304" s="5">
        <v>0.1</v>
      </c>
      <c r="E21304" s="5">
        <v>115.9</v>
      </c>
      <c r="F21304" s="5">
        <v>231.3</v>
      </c>
      <c r="G21304" s="5">
        <v>115.4</v>
      </c>
      <c r="H21304" s="5">
        <v>115.2</v>
      </c>
      <c r="I21304" s="5"/>
      <c r="J21304" s="5"/>
      <c r="K21304" s="5"/>
    </row>
    <row r="21305" spans="1:11" x14ac:dyDescent="0.25">
      <c r="A21305" s="5">
        <f>21298</f>
      </c>
      <c r="B21305" s="5" t="s">
        <v>21313</v>
      </c>
      <c r="C21305" s="5">
        <v>116.1</v>
      </c>
      <c r="D21305" s="5">
        <v>0.1</v>
      </c>
      <c r="E21305" s="5">
        <v>116.2</v>
      </c>
      <c r="F21305" s="5">
        <v>232.3</v>
      </c>
      <c r="G21305" s="5">
        <v>115.9</v>
      </c>
      <c r="H21305" s="5">
        <v>115.8</v>
      </c>
      <c r="I21305" s="5"/>
      <c r="J21305" s="5"/>
      <c r="K21305" s="5"/>
    </row>
    <row r="21306" spans="1:11" x14ac:dyDescent="0.25">
      <c r="A21306" s="5">
        <f>21299</f>
      </c>
      <c r="B21306" s="5" t="s">
        <v>21314</v>
      </c>
      <c r="C21306" s="5">
        <v>116.1</v>
      </c>
      <c r="D21306" s="5">
        <v>0.1</v>
      </c>
      <c r="E21306" s="5">
        <v>116.2</v>
      </c>
      <c r="F21306" s="5">
        <v>232.3</v>
      </c>
      <c r="G21306" s="5">
        <v>115.9</v>
      </c>
      <c r="H21306" s="5">
        <v>115.8</v>
      </c>
      <c r="I21306" s="5"/>
      <c r="J21306" s="5"/>
      <c r="K21306" s="5"/>
    </row>
    <row r="21307" spans="1:11" x14ac:dyDescent="0.25">
      <c r="A21307" s="5">
        <f>21300</f>
      </c>
      <c r="B21307" s="5" t="s">
        <v>21315</v>
      </c>
      <c r="C21307" s="5">
        <v>116.1</v>
      </c>
      <c r="D21307" s="5">
        <v>0.1</v>
      </c>
      <c r="E21307" s="5">
        <v>116.2</v>
      </c>
      <c r="F21307" s="5">
        <v>232.3</v>
      </c>
      <c r="G21307" s="5">
        <v>115.9</v>
      </c>
      <c r="H21307" s="5">
        <v>115.8</v>
      </c>
      <c r="I21307" s="5"/>
      <c r="J21307" s="5"/>
      <c r="K21307" s="5"/>
    </row>
    <row r="21308" spans="1:11" x14ac:dyDescent="0.25">
      <c r="A21308" s="5">
        <f>21301</f>
      </c>
      <c r="B21308" s="5" t="s">
        <v>21316</v>
      </c>
      <c r="C21308" s="5">
        <v>116.1</v>
      </c>
      <c r="D21308" s="5">
        <v>0.1</v>
      </c>
      <c r="E21308" s="5">
        <v>116.2</v>
      </c>
      <c r="F21308" s="5">
        <v>232.3</v>
      </c>
      <c r="G21308" s="5">
        <v>115.9</v>
      </c>
      <c r="H21308" s="5">
        <v>115.8</v>
      </c>
      <c r="I21308" s="5"/>
      <c r="J21308" s="5"/>
      <c r="K21308" s="5"/>
    </row>
    <row r="21309" spans="1:11" x14ac:dyDescent="0.25">
      <c r="A21309" s="5">
        <f>21302</f>
      </c>
      <c r="B21309" s="5" t="s">
        <v>21317</v>
      </c>
      <c r="C21309" s="5">
        <v>116.2</v>
      </c>
      <c r="D21309" s="5">
        <v>0.1</v>
      </c>
      <c r="E21309" s="5">
        <v>116.4</v>
      </c>
      <c r="F21309" s="5">
        <v>232.4</v>
      </c>
      <c r="G21309" s="5">
        <v>116</v>
      </c>
      <c r="H21309" s="5">
        <v>115.8</v>
      </c>
      <c r="I21309" s="5"/>
      <c r="J21309" s="5"/>
      <c r="K21309" s="5"/>
    </row>
    <row r="21310" spans="1:11" x14ac:dyDescent="0.25">
      <c r="A21310" s="5">
        <f>21303</f>
      </c>
      <c r="B21310" s="5" t="s">
        <v>21318</v>
      </c>
      <c r="C21310" s="5">
        <v>116.2</v>
      </c>
      <c r="D21310" s="5">
        <v>0.1</v>
      </c>
      <c r="E21310" s="5">
        <v>116.4</v>
      </c>
      <c r="F21310" s="5">
        <v>232.4</v>
      </c>
      <c r="G21310" s="5">
        <v>116</v>
      </c>
      <c r="H21310" s="5">
        <v>115.8</v>
      </c>
      <c r="I21310" s="5"/>
      <c r="J21310" s="5"/>
      <c r="K21310" s="5"/>
    </row>
    <row r="21311" spans="1:11" x14ac:dyDescent="0.25">
      <c r="A21311" s="5">
        <f>21304</f>
      </c>
      <c r="B21311" s="5" t="s">
        <v>21319</v>
      </c>
      <c r="C21311" s="5">
        <v>116.5</v>
      </c>
      <c r="D21311" s="5">
        <v>0.1</v>
      </c>
      <c r="E21311" s="5">
        <v>116.7</v>
      </c>
      <c r="F21311" s="5">
        <v>232.9</v>
      </c>
      <c r="G21311" s="5">
        <v>116.3</v>
      </c>
      <c r="H21311" s="5">
        <v>116.1</v>
      </c>
      <c r="I21311" s="5"/>
      <c r="J21311" s="5"/>
      <c r="K21311" s="5"/>
    </row>
    <row r="21312" spans="1:11" x14ac:dyDescent="0.25">
      <c r="A21312" s="5">
        <f>21305</f>
      </c>
      <c r="B21312" s="5" t="s">
        <v>21320</v>
      </c>
      <c r="C21312" s="5">
        <v>116.5</v>
      </c>
      <c r="D21312" s="5">
        <v>0.1</v>
      </c>
      <c r="E21312" s="5">
        <v>116.7</v>
      </c>
      <c r="F21312" s="5">
        <v>232.9</v>
      </c>
      <c r="G21312" s="5">
        <v>116.3</v>
      </c>
      <c r="H21312" s="5">
        <v>116.1</v>
      </c>
      <c r="I21312" s="5"/>
      <c r="J21312" s="5"/>
      <c r="K21312" s="5"/>
    </row>
    <row r="21313" spans="1:11" x14ac:dyDescent="0.25">
      <c r="A21313" s="5">
        <f>21306</f>
      </c>
      <c r="B21313" s="5" t="s">
        <v>21321</v>
      </c>
      <c r="C21313" s="5">
        <v>116.3</v>
      </c>
      <c r="D21313" s="5">
        <v>0.1</v>
      </c>
      <c r="E21313" s="5">
        <v>116.4</v>
      </c>
      <c r="F21313" s="5">
        <v>232.4</v>
      </c>
      <c r="G21313" s="5">
        <v>116</v>
      </c>
      <c r="H21313" s="5">
        <v>116.1</v>
      </c>
      <c r="I21313" s="5"/>
      <c r="J21313" s="5"/>
      <c r="K21313" s="5"/>
    </row>
    <row r="21314" spans="1:11" x14ac:dyDescent="0.25">
      <c r="A21314" s="5">
        <f>21307</f>
      </c>
      <c r="B21314" s="5" t="s">
        <v>21322</v>
      </c>
      <c r="C21314" s="5">
        <v>116.3</v>
      </c>
      <c r="D21314" s="5">
        <v>0.1</v>
      </c>
      <c r="E21314" s="5">
        <v>116.4</v>
      </c>
      <c r="F21314" s="5">
        <v>232.4</v>
      </c>
      <c r="G21314" s="5">
        <v>116</v>
      </c>
      <c r="H21314" s="5">
        <v>115.8</v>
      </c>
      <c r="I21314" s="5"/>
      <c r="J21314" s="5"/>
      <c r="K21314" s="5"/>
    </row>
    <row r="21315" spans="1:11" x14ac:dyDescent="0.25">
      <c r="A21315" s="5">
        <f>21308</f>
      </c>
      <c r="B21315" s="5" t="s">
        <v>21323</v>
      </c>
      <c r="C21315" s="5">
        <v>116.7</v>
      </c>
      <c r="D21315" s="5">
        <v>0.1</v>
      </c>
      <c r="E21315" s="5">
        <v>117</v>
      </c>
      <c r="F21315" s="5">
        <v>232.4</v>
      </c>
      <c r="G21315" s="5">
        <v>116</v>
      </c>
      <c r="H21315" s="5">
        <v>115.8</v>
      </c>
      <c r="I21315" s="5"/>
      <c r="J21315" s="5"/>
      <c r="K21315" s="5"/>
    </row>
    <row r="21316" spans="1:11" x14ac:dyDescent="0.25">
      <c r="A21316" s="5">
        <f>21309</f>
      </c>
      <c r="B21316" s="5" t="s">
        <v>21324</v>
      </c>
      <c r="C21316" s="5">
        <v>116.7</v>
      </c>
      <c r="D21316" s="5">
        <v>0.1</v>
      </c>
      <c r="E21316" s="5">
        <v>117</v>
      </c>
      <c r="F21316" s="5">
        <v>233.1</v>
      </c>
      <c r="G21316" s="5">
        <v>116.3</v>
      </c>
      <c r="H21316" s="5">
        <v>116.2</v>
      </c>
      <c r="I21316" s="5"/>
      <c r="J21316" s="5"/>
      <c r="K21316" s="5"/>
    </row>
    <row r="21317" spans="1:11" x14ac:dyDescent="0.25">
      <c r="A21317" s="5">
        <f>21310</f>
      </c>
      <c r="B21317" s="5" t="s">
        <v>21325</v>
      </c>
      <c r="C21317" s="5">
        <v>116.7</v>
      </c>
      <c r="D21317" s="5">
        <v>0.1</v>
      </c>
      <c r="E21317" s="5">
        <v>117</v>
      </c>
      <c r="F21317" s="5">
        <v>233.1</v>
      </c>
      <c r="G21317" s="5">
        <v>116.3</v>
      </c>
      <c r="H21317" s="5">
        <v>116.2</v>
      </c>
      <c r="I21317" s="5"/>
      <c r="J21317" s="5"/>
      <c r="K21317" s="5"/>
    </row>
    <row r="21318" spans="1:11" x14ac:dyDescent="0.25">
      <c r="A21318" s="5">
        <f>21311</f>
      </c>
      <c r="B21318" s="5" t="s">
        <v>21326</v>
      </c>
      <c r="C21318" s="5">
        <v>116.7</v>
      </c>
      <c r="D21318" s="5">
        <v>0.1</v>
      </c>
      <c r="E21318" s="5">
        <v>117</v>
      </c>
      <c r="F21318" s="5">
        <v>233.1</v>
      </c>
      <c r="G21318" s="5">
        <v>116.3</v>
      </c>
      <c r="H21318" s="5">
        <v>116.2</v>
      </c>
      <c r="I21318" s="5"/>
      <c r="J21318" s="5"/>
      <c r="K21318" s="5"/>
    </row>
    <row r="21319" spans="1:11" x14ac:dyDescent="0.25">
      <c r="A21319" s="5">
        <f>21312</f>
      </c>
      <c r="B21319" s="5" t="s">
        <v>21327</v>
      </c>
      <c r="C21319" s="5">
        <v>116.6</v>
      </c>
      <c r="D21319" s="5">
        <v>0.1</v>
      </c>
      <c r="E21319" s="5">
        <v>116.7</v>
      </c>
      <c r="F21319" s="5">
        <v>233.2</v>
      </c>
      <c r="G21319" s="5">
        <v>116.4</v>
      </c>
      <c r="H21319" s="5">
        <v>116.3</v>
      </c>
      <c r="I21319" s="5"/>
      <c r="J21319" s="5"/>
      <c r="K21319" s="5"/>
    </row>
    <row r="21320" spans="1:11" x14ac:dyDescent="0.25">
      <c r="A21320" s="5">
        <f>21313</f>
      </c>
      <c r="B21320" s="5" t="s">
        <v>21328</v>
      </c>
      <c r="C21320" s="5">
        <v>116.6</v>
      </c>
      <c r="D21320" s="5">
        <v>0.1</v>
      </c>
      <c r="E21320" s="5">
        <v>116.7</v>
      </c>
      <c r="F21320" s="5">
        <v>233.2</v>
      </c>
      <c r="G21320" s="5">
        <v>116.4</v>
      </c>
      <c r="H21320" s="5">
        <v>116.3</v>
      </c>
      <c r="I21320" s="5"/>
      <c r="J21320" s="5"/>
      <c r="K21320" s="5"/>
    </row>
    <row r="21321" spans="1:11" x14ac:dyDescent="0.25">
      <c r="A21321" s="5">
        <f>21314</f>
      </c>
      <c r="B21321" s="5" t="s">
        <v>21329</v>
      </c>
      <c r="C21321" s="5">
        <v>116.6</v>
      </c>
      <c r="D21321" s="5">
        <v>0.1</v>
      </c>
      <c r="E21321" s="5">
        <v>116.7</v>
      </c>
      <c r="F21321" s="5">
        <v>233.3</v>
      </c>
      <c r="G21321" s="5">
        <v>116.4</v>
      </c>
      <c r="H21321" s="5">
        <v>116.2</v>
      </c>
      <c r="I21321" s="5"/>
      <c r="J21321" s="5"/>
      <c r="K21321" s="5"/>
    </row>
    <row r="21322" spans="1:11" x14ac:dyDescent="0.25">
      <c r="A21322" s="5">
        <f>21315</f>
      </c>
      <c r="B21322" s="5" t="s">
        <v>21330</v>
      </c>
      <c r="C21322" s="5">
        <v>116.4</v>
      </c>
      <c r="D21322" s="5">
        <v>0.1</v>
      </c>
      <c r="E21322" s="5">
        <v>116.7</v>
      </c>
      <c r="F21322" s="5">
        <v>233.3</v>
      </c>
      <c r="G21322" s="5">
        <v>116.4</v>
      </c>
      <c r="H21322" s="5">
        <v>116.2</v>
      </c>
      <c r="I21322" s="5"/>
      <c r="J21322" s="5"/>
      <c r="K21322" s="5"/>
    </row>
    <row r="21323" spans="1:11" x14ac:dyDescent="0.25">
      <c r="A21323" s="5">
        <f>21316</f>
      </c>
      <c r="B21323" s="5" t="s">
        <v>21331</v>
      </c>
      <c r="C21323" s="5">
        <v>116.4</v>
      </c>
      <c r="D21323" s="5">
        <v>0.1</v>
      </c>
      <c r="E21323" s="5">
        <v>116.7</v>
      </c>
      <c r="F21323" s="5">
        <v>233.7</v>
      </c>
      <c r="G21323" s="5">
        <v>116.6</v>
      </c>
      <c r="H21323" s="5">
        <v>116.5</v>
      </c>
      <c r="I21323" s="5"/>
      <c r="J21323" s="5"/>
      <c r="K21323" s="5"/>
    </row>
    <row r="21324" spans="1:11" x14ac:dyDescent="0.25">
      <c r="A21324" s="5">
        <f>21317</f>
      </c>
      <c r="B21324" s="5" t="s">
        <v>21332</v>
      </c>
      <c r="C21324" s="5">
        <v>117</v>
      </c>
      <c r="D21324" s="5">
        <v>0.1</v>
      </c>
      <c r="E21324" s="5">
        <v>117.1</v>
      </c>
      <c r="F21324" s="5">
        <v>233.7</v>
      </c>
      <c r="G21324" s="5">
        <v>116.6</v>
      </c>
      <c r="H21324" s="5">
        <v>116.5</v>
      </c>
      <c r="I21324" s="5"/>
      <c r="J21324" s="5"/>
      <c r="K21324" s="5"/>
    </row>
    <row r="21325" spans="1:11" x14ac:dyDescent="0.25">
      <c r="A21325" s="5">
        <f>21318</f>
      </c>
      <c r="B21325" s="5" t="s">
        <v>21333</v>
      </c>
      <c r="C21325" s="5">
        <v>117</v>
      </c>
      <c r="D21325" s="5">
        <v>0.1</v>
      </c>
      <c r="E21325" s="5">
        <v>117.1</v>
      </c>
      <c r="F21325" s="5">
        <v>233.7</v>
      </c>
      <c r="G21325" s="5">
        <v>116.6</v>
      </c>
      <c r="H21325" s="5">
        <v>116.5</v>
      </c>
      <c r="I21325" s="5"/>
      <c r="J21325" s="5"/>
      <c r="K21325" s="5"/>
    </row>
    <row r="21326" spans="1:11" x14ac:dyDescent="0.25">
      <c r="A21326" s="5">
        <f>21319</f>
      </c>
      <c r="B21326" s="5" t="s">
        <v>21334</v>
      </c>
      <c r="C21326" s="5">
        <v>116.9</v>
      </c>
      <c r="D21326" s="5">
        <v>0.1</v>
      </c>
      <c r="E21326" s="5">
        <v>117.1</v>
      </c>
      <c r="F21326" s="5">
        <v>233.8</v>
      </c>
      <c r="G21326" s="5">
        <v>116.7</v>
      </c>
      <c r="H21326" s="5">
        <v>116.5</v>
      </c>
      <c r="I21326" s="5"/>
      <c r="J21326" s="5"/>
      <c r="K21326" s="5"/>
    </row>
    <row r="21327" spans="1:11" x14ac:dyDescent="0.25">
      <c r="A21327" s="5">
        <f>21320</f>
      </c>
      <c r="B21327" s="5" t="s">
        <v>21335</v>
      </c>
      <c r="C21327" s="5">
        <v>116.9</v>
      </c>
      <c r="D21327" s="5">
        <v>0.1</v>
      </c>
      <c r="E21327" s="5">
        <v>117.1</v>
      </c>
      <c r="F21327" s="5">
        <v>233.8</v>
      </c>
      <c r="G21327" s="5">
        <v>116.7</v>
      </c>
      <c r="H21327" s="5">
        <v>116.5</v>
      </c>
      <c r="I21327" s="5"/>
      <c r="J21327" s="5"/>
      <c r="K21327" s="5"/>
    </row>
    <row r="21328" spans="1:11" x14ac:dyDescent="0.25">
      <c r="A21328" s="5">
        <f>21321</f>
      </c>
      <c r="B21328" s="5" t="s">
        <v>21336</v>
      </c>
      <c r="C21328" s="5">
        <v>116.9</v>
      </c>
      <c r="D21328" s="5">
        <v>0.1</v>
      </c>
      <c r="E21328" s="5">
        <v>117.1</v>
      </c>
      <c r="F21328" s="5">
        <v>233.8</v>
      </c>
      <c r="G21328" s="5">
        <v>116.7</v>
      </c>
      <c r="H21328" s="5">
        <v>116.5</v>
      </c>
      <c r="I21328" s="5"/>
      <c r="J21328" s="5"/>
      <c r="K21328" s="5"/>
    </row>
    <row r="21329" spans="1:11" x14ac:dyDescent="0.25">
      <c r="A21329" s="5">
        <f>21322</f>
      </c>
      <c r="B21329" s="5" t="s">
        <v>21337</v>
      </c>
      <c r="C21329" s="5">
        <v>116.6</v>
      </c>
      <c r="D21329" s="5">
        <v>0.1</v>
      </c>
      <c r="E21329" s="5">
        <v>116.8</v>
      </c>
      <c r="F21329" s="5">
        <v>233.3</v>
      </c>
      <c r="G21329" s="5">
        <v>116.4</v>
      </c>
      <c r="H21329" s="5">
        <v>116.2</v>
      </c>
      <c r="I21329" s="5"/>
      <c r="J21329" s="5"/>
      <c r="K21329" s="5"/>
    </row>
    <row r="21330" spans="1:11" x14ac:dyDescent="0.25">
      <c r="A21330" s="5">
        <f>21323</f>
      </c>
      <c r="B21330" s="5" t="s">
        <v>21338</v>
      </c>
      <c r="C21330" s="5">
        <v>116.6</v>
      </c>
      <c r="D21330" s="5">
        <v>0.1</v>
      </c>
      <c r="E21330" s="5">
        <v>116.8</v>
      </c>
      <c r="F21330" s="5">
        <v>233.3</v>
      </c>
      <c r="G21330" s="5">
        <v>116.4</v>
      </c>
      <c r="H21330" s="5">
        <v>116.2</v>
      </c>
      <c r="I21330" s="5"/>
      <c r="J21330" s="5"/>
      <c r="K21330" s="5"/>
    </row>
    <row r="21331" spans="1:11" x14ac:dyDescent="0.25">
      <c r="A21331" s="5">
        <f>21324</f>
      </c>
      <c r="B21331" s="5" t="s">
        <v>21339</v>
      </c>
      <c r="C21331" s="5">
        <v>116.7</v>
      </c>
      <c r="D21331" s="5">
        <v>0.1</v>
      </c>
      <c r="E21331" s="5">
        <v>116.9</v>
      </c>
      <c r="F21331" s="5">
        <v>233.2</v>
      </c>
      <c r="G21331" s="5">
        <v>116.4</v>
      </c>
      <c r="H21331" s="5">
        <v>116.2</v>
      </c>
      <c r="I21331" s="5"/>
      <c r="J21331" s="5"/>
      <c r="K21331" s="5"/>
    </row>
    <row r="21332" spans="1:11" x14ac:dyDescent="0.25">
      <c r="A21332" s="5">
        <f>21325</f>
      </c>
      <c r="B21332" s="5" t="s">
        <v>21340</v>
      </c>
      <c r="C21332" s="5">
        <v>116.7</v>
      </c>
      <c r="D21332" s="5">
        <v>0.1</v>
      </c>
      <c r="E21332" s="5">
        <v>116.9</v>
      </c>
      <c r="F21332" s="5">
        <v>233.2</v>
      </c>
      <c r="G21332" s="5">
        <v>116.4</v>
      </c>
      <c r="H21332" s="5">
        <v>116.2</v>
      </c>
      <c r="I21332" s="5"/>
      <c r="J21332" s="5"/>
      <c r="K21332" s="5"/>
    </row>
    <row r="21333" spans="1:11" x14ac:dyDescent="0.25">
      <c r="A21333" s="5">
        <f>21326</f>
      </c>
      <c r="B21333" s="5" t="s">
        <v>21341</v>
      </c>
      <c r="C21333" s="5">
        <v>116.5</v>
      </c>
      <c r="D21333" s="5">
        <v>0.1</v>
      </c>
      <c r="E21333" s="5">
        <v>116.7</v>
      </c>
      <c r="F21333" s="5">
        <v>233</v>
      </c>
      <c r="G21333" s="5">
        <v>116.3</v>
      </c>
      <c r="H21333" s="5">
        <v>116.1</v>
      </c>
      <c r="I21333" s="5"/>
      <c r="J21333" s="5"/>
      <c r="K21333" s="5"/>
    </row>
    <row r="21334" spans="1:11" x14ac:dyDescent="0.25">
      <c r="A21334" s="5">
        <f>21327</f>
      </c>
      <c r="B21334" s="5" t="s">
        <v>21342</v>
      </c>
      <c r="C21334" s="5">
        <v>116.5</v>
      </c>
      <c r="D21334" s="5">
        <v>0.1</v>
      </c>
      <c r="E21334" s="5">
        <v>116.7</v>
      </c>
      <c r="F21334" s="5">
        <v>233</v>
      </c>
      <c r="G21334" s="5">
        <v>116.3</v>
      </c>
      <c r="H21334" s="5">
        <v>116.1</v>
      </c>
      <c r="I21334" s="5"/>
      <c r="J21334" s="5"/>
      <c r="K21334" s="5"/>
    </row>
    <row r="21335" spans="1:11" x14ac:dyDescent="0.25">
      <c r="A21335" s="5">
        <f>21328</f>
      </c>
      <c r="B21335" s="5" t="s">
        <v>21343</v>
      </c>
      <c r="C21335" s="5">
        <v>116.5</v>
      </c>
      <c r="D21335" s="5">
        <v>0.1</v>
      </c>
      <c r="E21335" s="5">
        <v>116.7</v>
      </c>
      <c r="F21335" s="5">
        <v>233.2</v>
      </c>
      <c r="G21335" s="5">
        <v>116.4</v>
      </c>
      <c r="H21335" s="5">
        <v>116.2</v>
      </c>
      <c r="I21335" s="5"/>
      <c r="J21335" s="5"/>
      <c r="K21335" s="5"/>
    </row>
    <row r="21336" spans="1:11" x14ac:dyDescent="0.25">
      <c r="A21336" s="5">
        <f>21329</f>
      </c>
      <c r="B21336" s="5" t="s">
        <v>21344</v>
      </c>
      <c r="C21336" s="5">
        <v>116.5</v>
      </c>
      <c r="D21336" s="5">
        <v>0.1</v>
      </c>
      <c r="E21336" s="5">
        <v>116.7</v>
      </c>
      <c r="F21336" s="5">
        <v>233.2</v>
      </c>
      <c r="G21336" s="5">
        <v>116.4</v>
      </c>
      <c r="H21336" s="5">
        <v>116.2</v>
      </c>
      <c r="I21336" s="5"/>
      <c r="J21336" s="5"/>
      <c r="K21336" s="5"/>
    </row>
    <row r="21337" spans="1:11" x14ac:dyDescent="0.25">
      <c r="A21337" s="5">
        <f>21330</f>
      </c>
      <c r="B21337" s="5" t="s">
        <v>21345</v>
      </c>
      <c r="C21337" s="5">
        <v>116.5</v>
      </c>
      <c r="D21337" s="5">
        <v>0.1</v>
      </c>
      <c r="E21337" s="5">
        <v>116.7</v>
      </c>
      <c r="F21337" s="5">
        <v>233.2</v>
      </c>
      <c r="G21337" s="5">
        <v>116.4</v>
      </c>
      <c r="H21337" s="5">
        <v>116.2</v>
      </c>
      <c r="I21337" s="5"/>
      <c r="J21337" s="5"/>
      <c r="K21337" s="5"/>
    </row>
    <row r="21338" spans="1:11" x14ac:dyDescent="0.25">
      <c r="A21338" s="5">
        <f>21331</f>
      </c>
      <c r="B21338" s="5" t="s">
        <v>21346</v>
      </c>
      <c r="C21338" s="5">
        <v>116.5</v>
      </c>
      <c r="D21338" s="5">
        <v>0.1</v>
      </c>
      <c r="E21338" s="5">
        <v>116.7</v>
      </c>
      <c r="F21338" s="5">
        <v>233.2</v>
      </c>
      <c r="G21338" s="5">
        <v>116.4</v>
      </c>
      <c r="H21338" s="5">
        <v>116.2</v>
      </c>
      <c r="I21338" s="5"/>
      <c r="J21338" s="5"/>
      <c r="K21338" s="5"/>
    </row>
    <row r="21339" spans="1:11" x14ac:dyDescent="0.25">
      <c r="A21339" s="5">
        <f>21332</f>
      </c>
      <c r="B21339" s="5" t="s">
        <v>21347</v>
      </c>
      <c r="C21339" s="5">
        <v>116.8</v>
      </c>
      <c r="D21339" s="5">
        <v>0.1</v>
      </c>
      <c r="E21339" s="5">
        <v>117</v>
      </c>
      <c r="F21339" s="5">
        <v>232.9</v>
      </c>
      <c r="G21339" s="5">
        <v>116.3</v>
      </c>
      <c r="H21339" s="5">
        <v>116.1</v>
      </c>
      <c r="I21339" s="5"/>
      <c r="J21339" s="5"/>
      <c r="K21339" s="5"/>
    </row>
    <row r="21340" spans="1:11" x14ac:dyDescent="0.25">
      <c r="A21340" s="5">
        <f>21333</f>
      </c>
      <c r="B21340" s="5" t="s">
        <v>21348</v>
      </c>
      <c r="C21340" s="5">
        <v>116.8</v>
      </c>
      <c r="D21340" s="5">
        <v>0.1</v>
      </c>
      <c r="E21340" s="5">
        <v>117</v>
      </c>
      <c r="F21340" s="5">
        <v>232.9</v>
      </c>
      <c r="G21340" s="5">
        <v>116.3</v>
      </c>
      <c r="H21340" s="5">
        <v>116.1</v>
      </c>
      <c r="I21340" s="5"/>
      <c r="J21340" s="5"/>
      <c r="K21340" s="5"/>
    </row>
    <row r="21341" spans="1:11" x14ac:dyDescent="0.25">
      <c r="A21341" s="5">
        <f>21334</f>
      </c>
      <c r="B21341" s="5" t="s">
        <v>21349</v>
      </c>
      <c r="C21341" s="5">
        <v>116.7</v>
      </c>
      <c r="D21341" s="5">
        <v>0.1</v>
      </c>
      <c r="E21341" s="5">
        <v>116.8</v>
      </c>
      <c r="F21341" s="5">
        <v>232.7</v>
      </c>
      <c r="G21341" s="5">
        <v>116.1</v>
      </c>
      <c r="H21341" s="5">
        <v>116</v>
      </c>
      <c r="I21341" s="5"/>
      <c r="J21341" s="5"/>
      <c r="K21341" s="5"/>
    </row>
    <row r="21342" spans="1:11" x14ac:dyDescent="0.25">
      <c r="A21342" s="5">
        <f>21335</f>
      </c>
      <c r="B21342" s="5" t="s">
        <v>21350</v>
      </c>
      <c r="C21342" s="5">
        <v>116.7</v>
      </c>
      <c r="D21342" s="5">
        <v>0.1</v>
      </c>
      <c r="E21342" s="5">
        <v>116.8</v>
      </c>
      <c r="F21342" s="5">
        <v>232.7</v>
      </c>
      <c r="G21342" s="5">
        <v>116.1</v>
      </c>
      <c r="H21342" s="5">
        <v>116</v>
      </c>
      <c r="I21342" s="5"/>
      <c r="J21342" s="5"/>
      <c r="K21342" s="5"/>
    </row>
    <row r="21343" spans="1:11" x14ac:dyDescent="0.25">
      <c r="A21343" s="5">
        <f>21336</f>
      </c>
      <c r="B21343" s="5" t="s">
        <v>21351</v>
      </c>
      <c r="C21343" s="5">
        <v>116.7</v>
      </c>
      <c r="D21343" s="5">
        <v>0.1</v>
      </c>
      <c r="E21343" s="5">
        <v>116.9</v>
      </c>
      <c r="F21343" s="5">
        <v>232.8</v>
      </c>
      <c r="G21343" s="5">
        <v>116.2</v>
      </c>
      <c r="H21343" s="5">
        <v>116</v>
      </c>
      <c r="I21343" s="5"/>
      <c r="J21343" s="5"/>
      <c r="K21343" s="5"/>
    </row>
    <row r="21344" spans="1:11" x14ac:dyDescent="0.25">
      <c r="A21344" s="5">
        <f>21337</f>
      </c>
      <c r="B21344" s="5" t="s">
        <v>21352</v>
      </c>
      <c r="C21344" s="5">
        <v>116.7</v>
      </c>
      <c r="D21344" s="5">
        <v>0.1</v>
      </c>
      <c r="E21344" s="5">
        <v>116.9</v>
      </c>
      <c r="F21344" s="5">
        <v>232.8</v>
      </c>
      <c r="G21344" s="5">
        <v>116.2</v>
      </c>
      <c r="H21344" s="5">
        <v>116</v>
      </c>
      <c r="I21344" s="5"/>
      <c r="J21344" s="5"/>
      <c r="K21344" s="5"/>
    </row>
    <row r="21345" spans="1:11" x14ac:dyDescent="0.25">
      <c r="A21345" s="5">
        <f>21338</f>
      </c>
      <c r="B21345" s="5" t="s">
        <v>21353</v>
      </c>
      <c r="C21345" s="5">
        <v>116.5</v>
      </c>
      <c r="D21345" s="5">
        <v>0.1</v>
      </c>
      <c r="E21345" s="5">
        <v>116.7</v>
      </c>
      <c r="F21345" s="5">
        <v>233.1</v>
      </c>
      <c r="G21345" s="5">
        <v>116.3</v>
      </c>
      <c r="H21345" s="5">
        <v>116.1</v>
      </c>
      <c r="I21345" s="5"/>
      <c r="J21345" s="5"/>
      <c r="K21345" s="5"/>
    </row>
    <row r="21346" spans="1:11" x14ac:dyDescent="0.25">
      <c r="A21346" s="5">
        <f>21339</f>
      </c>
      <c r="B21346" s="5" t="s">
        <v>21354</v>
      </c>
      <c r="C21346" s="5">
        <v>116.5</v>
      </c>
      <c r="D21346" s="5">
        <v>0.1</v>
      </c>
      <c r="E21346" s="5">
        <v>116.7</v>
      </c>
      <c r="F21346" s="5">
        <v>233.1</v>
      </c>
      <c r="G21346" s="5">
        <v>116.3</v>
      </c>
      <c r="H21346" s="5">
        <v>116.1</v>
      </c>
      <c r="I21346" s="5"/>
      <c r="J21346" s="5"/>
      <c r="K21346" s="5"/>
    </row>
    <row r="21347" spans="1:11" x14ac:dyDescent="0.25">
      <c r="A21347" s="5">
        <f>21340</f>
      </c>
      <c r="B21347" s="5" t="s">
        <v>21355</v>
      </c>
      <c r="C21347" s="5">
        <v>116.5</v>
      </c>
      <c r="D21347" s="5">
        <v>0.1</v>
      </c>
      <c r="E21347" s="5">
        <v>116.7</v>
      </c>
      <c r="F21347" s="5">
        <v>233.1</v>
      </c>
      <c r="G21347" s="5">
        <v>116.3</v>
      </c>
      <c r="H21347" s="5">
        <v>116.1</v>
      </c>
      <c r="I21347" s="5"/>
      <c r="J21347" s="5"/>
      <c r="K21347" s="5"/>
    </row>
    <row r="21348" spans="1:11" x14ac:dyDescent="0.25">
      <c r="A21348" s="5">
        <f>21341</f>
      </c>
      <c r="B21348" s="5" t="s">
        <v>21356</v>
      </c>
      <c r="C21348" s="5">
        <v>116.5</v>
      </c>
      <c r="D21348" s="5">
        <v>0.1</v>
      </c>
      <c r="E21348" s="5">
        <v>116.7</v>
      </c>
      <c r="F21348" s="5">
        <v>233.1</v>
      </c>
      <c r="G21348" s="5">
        <v>116.3</v>
      </c>
      <c r="H21348" s="5">
        <v>116.1</v>
      </c>
      <c r="I21348" s="5"/>
      <c r="J21348" s="5"/>
      <c r="K21348" s="5"/>
    </row>
    <row r="21349" spans="1:11" x14ac:dyDescent="0.25">
      <c r="A21349" s="5">
        <f>21342</f>
      </c>
      <c r="B21349" s="5" t="s">
        <v>21357</v>
      </c>
      <c r="C21349" s="5">
        <v>116.9</v>
      </c>
      <c r="D21349" s="5">
        <v>0.1</v>
      </c>
      <c r="E21349" s="5">
        <v>117.1</v>
      </c>
      <c r="F21349" s="5">
        <v>233.1</v>
      </c>
      <c r="G21349" s="5">
        <v>116.3</v>
      </c>
      <c r="H21349" s="5">
        <v>116.1</v>
      </c>
      <c r="I21349" s="5"/>
      <c r="J21349" s="5"/>
      <c r="K21349" s="5"/>
    </row>
    <row r="21350" spans="1:11" x14ac:dyDescent="0.25">
      <c r="A21350" s="5">
        <f>21343</f>
      </c>
      <c r="B21350" s="5" t="s">
        <v>21358</v>
      </c>
      <c r="C21350" s="5">
        <v>116.9</v>
      </c>
      <c r="D21350" s="5">
        <v>0.1</v>
      </c>
      <c r="E21350" s="5">
        <v>117.1</v>
      </c>
      <c r="F21350" s="5">
        <v>233.1</v>
      </c>
      <c r="G21350" s="5">
        <v>116.3</v>
      </c>
      <c r="H21350" s="5">
        <v>116.1</v>
      </c>
      <c r="I21350" s="5"/>
      <c r="J21350" s="5"/>
      <c r="K21350" s="5"/>
    </row>
    <row r="21351" spans="1:11" x14ac:dyDescent="0.25">
      <c r="A21351" s="5">
        <f>21344</f>
      </c>
      <c r="B21351" s="5" t="s">
        <v>21359</v>
      </c>
      <c r="C21351" s="5">
        <v>116.7</v>
      </c>
      <c r="D21351" s="5">
        <v>0.1</v>
      </c>
      <c r="E21351" s="5">
        <v>116.8</v>
      </c>
      <c r="F21351" s="5">
        <v>233.2</v>
      </c>
      <c r="G21351" s="5">
        <v>116.4</v>
      </c>
      <c r="H21351" s="5">
        <v>116.2</v>
      </c>
      <c r="I21351" s="5"/>
      <c r="J21351" s="5"/>
      <c r="K21351" s="5"/>
    </row>
    <row r="21352" spans="1:11" x14ac:dyDescent="0.25">
      <c r="A21352" s="5">
        <f>21345</f>
      </c>
      <c r="B21352" s="5" t="s">
        <v>21360</v>
      </c>
      <c r="C21352" s="5">
        <v>116.7</v>
      </c>
      <c r="D21352" s="5">
        <v>0.1</v>
      </c>
      <c r="E21352" s="5">
        <v>116.8</v>
      </c>
      <c r="F21352" s="5">
        <v>233.2</v>
      </c>
      <c r="G21352" s="5">
        <v>116.4</v>
      </c>
      <c r="H21352" s="5">
        <v>116.2</v>
      </c>
      <c r="I21352" s="5"/>
      <c r="J21352" s="5"/>
      <c r="K21352" s="5"/>
    </row>
    <row r="21353" spans="1:11" x14ac:dyDescent="0.25">
      <c r="A21353" s="5">
        <f>21346</f>
      </c>
      <c r="B21353" s="5" t="s">
        <v>21361</v>
      </c>
      <c r="C21353" s="5">
        <v>116.4</v>
      </c>
      <c r="D21353" s="5">
        <v>0.1</v>
      </c>
      <c r="E21353" s="5">
        <v>116.6</v>
      </c>
      <c r="F21353" s="5">
        <v>233.2</v>
      </c>
      <c r="G21353" s="5">
        <v>116.4</v>
      </c>
      <c r="H21353" s="5">
        <v>116.2</v>
      </c>
      <c r="I21353" s="5"/>
      <c r="J21353" s="5"/>
      <c r="K21353" s="5"/>
    </row>
    <row r="21354" spans="1:11" x14ac:dyDescent="0.25">
      <c r="A21354" s="5">
        <f>21347</f>
      </c>
      <c r="B21354" s="5" t="s">
        <v>21362</v>
      </c>
      <c r="C21354" s="5">
        <v>116.4</v>
      </c>
      <c r="D21354" s="5">
        <v>0.1</v>
      </c>
      <c r="E21354" s="5">
        <v>116.6</v>
      </c>
      <c r="F21354" s="5">
        <v>233.2</v>
      </c>
      <c r="G21354" s="5">
        <v>116.4</v>
      </c>
      <c r="H21354" s="5">
        <v>116.2</v>
      </c>
      <c r="I21354" s="5"/>
      <c r="J21354" s="5"/>
      <c r="K21354" s="5"/>
    </row>
    <row r="21355" spans="1:11" x14ac:dyDescent="0.25">
      <c r="A21355" s="5">
        <f>21348</f>
      </c>
      <c r="B21355" s="5" t="s">
        <v>21363</v>
      </c>
      <c r="C21355" s="5">
        <v>116.3</v>
      </c>
      <c r="D21355" s="5">
        <v>0.1</v>
      </c>
      <c r="E21355" s="5">
        <v>116.4</v>
      </c>
      <c r="F21355" s="5">
        <v>232.9</v>
      </c>
      <c r="G21355" s="5">
        <v>116.2</v>
      </c>
      <c r="H21355" s="5">
        <v>116</v>
      </c>
      <c r="I21355" s="5"/>
      <c r="J21355" s="5"/>
      <c r="K21355" s="5"/>
    </row>
    <row r="21356" spans="1:11" x14ac:dyDescent="0.25">
      <c r="A21356" s="5">
        <f>21349</f>
      </c>
      <c r="B21356" s="5" t="s">
        <v>21364</v>
      </c>
      <c r="C21356" s="5">
        <v>116.3</v>
      </c>
      <c r="D21356" s="5">
        <v>0.1</v>
      </c>
      <c r="E21356" s="5">
        <v>116.4</v>
      </c>
      <c r="F21356" s="5">
        <v>232.9</v>
      </c>
      <c r="G21356" s="5">
        <v>116.2</v>
      </c>
      <c r="H21356" s="5">
        <v>116</v>
      </c>
      <c r="I21356" s="5"/>
      <c r="J21356" s="5"/>
      <c r="K21356" s="5"/>
    </row>
    <row r="21357" spans="1:11" x14ac:dyDescent="0.25">
      <c r="A21357" s="5">
        <f>21350</f>
      </c>
      <c r="B21357" s="5" t="s">
        <v>21365</v>
      </c>
      <c r="C21357" s="5">
        <v>116.3</v>
      </c>
      <c r="D21357" s="5">
        <v>0.1</v>
      </c>
      <c r="E21357" s="5">
        <v>116.4</v>
      </c>
      <c r="F21357" s="5">
        <v>232.9</v>
      </c>
      <c r="G21357" s="5">
        <v>116.2</v>
      </c>
      <c r="H21357" s="5">
        <v>116</v>
      </c>
      <c r="I21357" s="5"/>
      <c r="J21357" s="5"/>
      <c r="K21357" s="5"/>
    </row>
    <row r="21358" spans="1:11" x14ac:dyDescent="0.25">
      <c r="A21358" s="5">
        <f>21351</f>
      </c>
      <c r="B21358" s="5" t="s">
        <v>21366</v>
      </c>
      <c r="C21358" s="5">
        <v>116.3</v>
      </c>
      <c r="D21358" s="5">
        <v>0.1</v>
      </c>
      <c r="E21358" s="5">
        <v>116.4</v>
      </c>
      <c r="F21358" s="5">
        <v>232.9</v>
      </c>
      <c r="G21358" s="5">
        <v>116.2</v>
      </c>
      <c r="H21358" s="5">
        <v>116</v>
      </c>
      <c r="I21358" s="5"/>
      <c r="J21358" s="5"/>
      <c r="K21358" s="5"/>
    </row>
    <row r="21359" spans="1:11" x14ac:dyDescent="0.25">
      <c r="A21359" s="5">
        <f>21352</f>
      </c>
      <c r="B21359" s="5" t="s">
        <v>21367</v>
      </c>
      <c r="C21359" s="5">
        <v>116.7</v>
      </c>
      <c r="D21359" s="5">
        <v>0.1</v>
      </c>
      <c r="E21359" s="5">
        <v>116.9</v>
      </c>
      <c r="F21359" s="5">
        <v>232.8</v>
      </c>
      <c r="G21359" s="5">
        <v>116.2</v>
      </c>
      <c r="H21359" s="5">
        <v>116</v>
      </c>
      <c r="I21359" s="5"/>
      <c r="J21359" s="5"/>
      <c r="K21359" s="5"/>
    </row>
    <row r="21360" spans="1:11" x14ac:dyDescent="0.25">
      <c r="A21360" s="5">
        <f>21353</f>
      </c>
      <c r="B21360" s="5" t="s">
        <v>21368</v>
      </c>
      <c r="C21360" s="5">
        <v>116.7</v>
      </c>
      <c r="D21360" s="5">
        <v>0.1</v>
      </c>
      <c r="E21360" s="5">
        <v>116.9</v>
      </c>
      <c r="F21360" s="5">
        <v>232.8</v>
      </c>
      <c r="G21360" s="5">
        <v>116.2</v>
      </c>
      <c r="H21360" s="5">
        <v>116</v>
      </c>
      <c r="I21360" s="5"/>
      <c r="J21360" s="5"/>
      <c r="K21360" s="5"/>
    </row>
    <row r="21361" spans="1:11" x14ac:dyDescent="0.25">
      <c r="A21361" s="5">
        <f>21354</f>
      </c>
      <c r="B21361" s="5" t="s">
        <v>21369</v>
      </c>
      <c r="C21361" s="5">
        <v>116.6</v>
      </c>
      <c r="D21361" s="5">
        <v>0.1</v>
      </c>
      <c r="E21361" s="5">
        <v>116.7</v>
      </c>
      <c r="F21361" s="5">
        <v>232.9</v>
      </c>
      <c r="G21361" s="5">
        <v>116.2</v>
      </c>
      <c r="H21361" s="5">
        <v>116.1</v>
      </c>
      <c r="I21361" s="5"/>
      <c r="J21361" s="5"/>
      <c r="K21361" s="5"/>
    </row>
    <row r="21362" spans="1:11" x14ac:dyDescent="0.25">
      <c r="A21362" s="5">
        <f>21355</f>
      </c>
      <c r="B21362" s="5" t="s">
        <v>21370</v>
      </c>
      <c r="C21362" s="5">
        <v>116.6</v>
      </c>
      <c r="D21362" s="5">
        <v>0.1</v>
      </c>
      <c r="E21362" s="5">
        <v>116.7</v>
      </c>
      <c r="F21362" s="5">
        <v>232.9</v>
      </c>
      <c r="G21362" s="5">
        <v>116.2</v>
      </c>
      <c r="H21362" s="5">
        <v>116.1</v>
      </c>
      <c r="I21362" s="5"/>
      <c r="J21362" s="5"/>
      <c r="K21362" s="5"/>
    </row>
    <row r="21363" spans="1:11" x14ac:dyDescent="0.25">
      <c r="A21363" s="5">
        <f>21356</f>
      </c>
      <c r="B21363" s="5" t="s">
        <v>21371</v>
      </c>
      <c r="C21363" s="5">
        <v>116.7</v>
      </c>
      <c r="D21363" s="5">
        <v>0.1</v>
      </c>
      <c r="E21363" s="5">
        <v>116.8</v>
      </c>
      <c r="F21363" s="5">
        <v>233.2</v>
      </c>
      <c r="G21363" s="5">
        <v>116.4</v>
      </c>
      <c r="H21363" s="5">
        <v>116.2</v>
      </c>
      <c r="I21363" s="5"/>
      <c r="J21363" s="5"/>
      <c r="K21363" s="5"/>
    </row>
    <row r="21364" spans="1:11" x14ac:dyDescent="0.25">
      <c r="A21364" s="5">
        <f>21357</f>
      </c>
      <c r="B21364" s="5" t="s">
        <v>21372</v>
      </c>
      <c r="C21364" s="5">
        <v>116.7</v>
      </c>
      <c r="D21364" s="5">
        <v>0.1</v>
      </c>
      <c r="E21364" s="5">
        <v>116.8</v>
      </c>
      <c r="F21364" s="5">
        <v>233.2</v>
      </c>
      <c r="G21364" s="5">
        <v>116.4</v>
      </c>
      <c r="H21364" s="5">
        <v>116.2</v>
      </c>
      <c r="I21364" s="5"/>
      <c r="J21364" s="5"/>
      <c r="K21364" s="5"/>
    </row>
    <row r="21365" spans="1:11" x14ac:dyDescent="0.25">
      <c r="A21365" s="5">
        <f>21358</f>
      </c>
      <c r="B21365" s="5" t="s">
        <v>21373</v>
      </c>
      <c r="C21365" s="5">
        <v>116.1</v>
      </c>
      <c r="D21365" s="5">
        <v>0.1</v>
      </c>
      <c r="E21365" s="5">
        <v>116.3</v>
      </c>
      <c r="F21365" s="5">
        <v>232.7</v>
      </c>
      <c r="G21365" s="5">
        <v>116.1</v>
      </c>
      <c r="H21365" s="5">
        <v>116</v>
      </c>
      <c r="I21365" s="5"/>
      <c r="J21365" s="5"/>
      <c r="K21365" s="5"/>
    </row>
    <row r="21366" spans="1:11" x14ac:dyDescent="0.25">
      <c r="A21366" s="5">
        <f>21359</f>
      </c>
      <c r="B21366" s="5" t="s">
        <v>21374</v>
      </c>
      <c r="C21366" s="5">
        <v>116.1</v>
      </c>
      <c r="D21366" s="5">
        <v>0.1</v>
      </c>
      <c r="E21366" s="5">
        <v>116.3</v>
      </c>
      <c r="F21366" s="5">
        <v>232.7</v>
      </c>
      <c r="G21366" s="5">
        <v>116.1</v>
      </c>
      <c r="H21366" s="5">
        <v>116</v>
      </c>
      <c r="I21366" s="5"/>
      <c r="J21366" s="5"/>
      <c r="K21366" s="5"/>
    </row>
    <row r="21367" spans="1:11" x14ac:dyDescent="0.25">
      <c r="A21367" s="5">
        <f>21360</f>
      </c>
      <c r="B21367" s="5" t="s">
        <v>21375</v>
      </c>
      <c r="C21367" s="5">
        <v>116.1</v>
      </c>
      <c r="D21367" s="5">
        <v>0.1</v>
      </c>
      <c r="E21367" s="5">
        <v>116.3</v>
      </c>
      <c r="F21367" s="5">
        <v>232.7</v>
      </c>
      <c r="G21367" s="5">
        <v>116.1</v>
      </c>
      <c r="H21367" s="5">
        <v>116</v>
      </c>
      <c r="I21367" s="5"/>
      <c r="J21367" s="5"/>
      <c r="K21367" s="5"/>
    </row>
    <row r="21368" spans="1:11" x14ac:dyDescent="0.25">
      <c r="A21368" s="5">
        <f>21361</f>
      </c>
      <c r="B21368" s="5" t="s">
        <v>21376</v>
      </c>
      <c r="C21368" s="5">
        <v>116.1</v>
      </c>
      <c r="D21368" s="5">
        <v>0.1</v>
      </c>
      <c r="E21368" s="5">
        <v>116.3</v>
      </c>
      <c r="F21368" s="5">
        <v>232.7</v>
      </c>
      <c r="G21368" s="5">
        <v>116.1</v>
      </c>
      <c r="H21368" s="5">
        <v>116</v>
      </c>
      <c r="I21368" s="5"/>
      <c r="J21368" s="5"/>
      <c r="K21368" s="5"/>
    </row>
    <row r="21369" spans="1:11" x14ac:dyDescent="0.25">
      <c r="A21369" s="5">
        <f>21362</f>
      </c>
      <c r="B21369" s="5" t="s">
        <v>21377</v>
      </c>
      <c r="C21369" s="5">
        <v>116.7</v>
      </c>
      <c r="D21369" s="5">
        <v>0.1</v>
      </c>
      <c r="E21369" s="5">
        <v>116.8</v>
      </c>
      <c r="F21369" s="5">
        <v>232.6</v>
      </c>
      <c r="G21369" s="5">
        <v>116.1</v>
      </c>
      <c r="H21369" s="5">
        <v>115.9</v>
      </c>
      <c r="I21369" s="5"/>
      <c r="J21369" s="5"/>
      <c r="K21369" s="5"/>
    </row>
    <row r="21370" spans="1:11" x14ac:dyDescent="0.25">
      <c r="A21370" s="5">
        <f>21363</f>
      </c>
      <c r="B21370" s="5" t="s">
        <v>21378</v>
      </c>
      <c r="C21370" s="5">
        <v>116.7</v>
      </c>
      <c r="D21370" s="5">
        <v>0.1</v>
      </c>
      <c r="E21370" s="5">
        <v>116.8</v>
      </c>
      <c r="F21370" s="5">
        <v>232.6</v>
      </c>
      <c r="G21370" s="5">
        <v>116.1</v>
      </c>
      <c r="H21370" s="5">
        <v>115.9</v>
      </c>
      <c r="I21370" s="5"/>
      <c r="J21370" s="5"/>
      <c r="K21370" s="5"/>
    </row>
    <row r="21371" spans="1:11" x14ac:dyDescent="0.25">
      <c r="A21371" s="5">
        <f>21364</f>
      </c>
      <c r="B21371" s="5" t="s">
        <v>21379</v>
      </c>
      <c r="C21371" s="5">
        <v>116.7</v>
      </c>
      <c r="D21371" s="5">
        <v>0.1</v>
      </c>
      <c r="E21371" s="5">
        <v>116.8</v>
      </c>
      <c r="F21371" s="5">
        <v>232.7</v>
      </c>
      <c r="G21371" s="5">
        <v>116.1</v>
      </c>
      <c r="H21371" s="5">
        <v>115.9</v>
      </c>
      <c r="I21371" s="5"/>
      <c r="J21371" s="5"/>
      <c r="K21371" s="5"/>
    </row>
    <row r="21372" spans="1:11" x14ac:dyDescent="0.25">
      <c r="A21372" s="5">
        <f>21365</f>
      </c>
      <c r="B21372" s="5" t="s">
        <v>21380</v>
      </c>
      <c r="C21372" s="5">
        <v>116.7</v>
      </c>
      <c r="D21372" s="5">
        <v>0.1</v>
      </c>
      <c r="E21372" s="5">
        <v>116.8</v>
      </c>
      <c r="F21372" s="5">
        <v>232.7</v>
      </c>
      <c r="G21372" s="5">
        <v>116.1</v>
      </c>
      <c r="H21372" s="5">
        <v>115.9</v>
      </c>
      <c r="I21372" s="5"/>
      <c r="J21372" s="5"/>
      <c r="K21372" s="5"/>
    </row>
    <row r="21373" spans="1:11" x14ac:dyDescent="0.25">
      <c r="A21373" s="5">
        <f>21366</f>
      </c>
      <c r="B21373" s="5" t="s">
        <v>21381</v>
      </c>
      <c r="C21373" s="5">
        <v>116.6</v>
      </c>
      <c r="D21373" s="5">
        <v>0.1</v>
      </c>
      <c r="E21373" s="5">
        <v>116.7</v>
      </c>
      <c r="F21373" s="5">
        <v>232.8</v>
      </c>
      <c r="G21373" s="5">
        <v>116.2</v>
      </c>
      <c r="H21373" s="5">
        <v>116</v>
      </c>
      <c r="I21373" s="5"/>
      <c r="J21373" s="5"/>
      <c r="K21373" s="5"/>
    </row>
    <row r="21374" spans="1:11" x14ac:dyDescent="0.25">
      <c r="A21374" s="5">
        <f>21367</f>
      </c>
      <c r="B21374" s="5" t="s">
        <v>21382</v>
      </c>
      <c r="C21374" s="5">
        <v>116.6</v>
      </c>
      <c r="D21374" s="5">
        <v>0.1</v>
      </c>
      <c r="E21374" s="5">
        <v>116.7</v>
      </c>
      <c r="F21374" s="5">
        <v>232.8</v>
      </c>
      <c r="G21374" s="5">
        <v>116.2</v>
      </c>
      <c r="H21374" s="5">
        <v>116</v>
      </c>
      <c r="I21374" s="5"/>
      <c r="J21374" s="5"/>
      <c r="K21374" s="5"/>
    </row>
    <row r="21375" spans="1:11" x14ac:dyDescent="0.25">
      <c r="A21375" s="5">
        <f>21368</f>
      </c>
      <c r="B21375" s="5" t="s">
        <v>21383</v>
      </c>
      <c r="C21375" s="5">
        <v>116.5</v>
      </c>
      <c r="D21375" s="5">
        <v>0.1</v>
      </c>
      <c r="E21375" s="5">
        <v>116.7</v>
      </c>
      <c r="F21375" s="5">
        <v>232.6</v>
      </c>
      <c r="G21375" s="5">
        <v>116.1</v>
      </c>
      <c r="H21375" s="5">
        <v>115.9</v>
      </c>
      <c r="I21375" s="5"/>
      <c r="J21375" s="5"/>
      <c r="K21375" s="5"/>
    </row>
    <row r="21376" spans="1:11" x14ac:dyDescent="0.25">
      <c r="A21376" s="5">
        <f>21369</f>
      </c>
      <c r="B21376" s="5" t="s">
        <v>21384</v>
      </c>
      <c r="C21376" s="5">
        <v>116.5</v>
      </c>
      <c r="D21376" s="5">
        <v>0.1</v>
      </c>
      <c r="E21376" s="5">
        <v>116.7</v>
      </c>
      <c r="F21376" s="5">
        <v>232.6</v>
      </c>
      <c r="G21376" s="5">
        <v>116.1</v>
      </c>
      <c r="H21376" s="5">
        <v>115.9</v>
      </c>
      <c r="I21376" s="5"/>
      <c r="J21376" s="5"/>
      <c r="K21376" s="5"/>
    </row>
    <row r="21377" spans="1:11" x14ac:dyDescent="0.25">
      <c r="A21377" s="5">
        <f>21370</f>
      </c>
      <c r="B21377" s="5" t="s">
        <v>21385</v>
      </c>
      <c r="C21377" s="5">
        <v>116.5</v>
      </c>
      <c r="D21377" s="5">
        <v>0.1</v>
      </c>
      <c r="E21377" s="5">
        <v>116.7</v>
      </c>
      <c r="F21377" s="5">
        <v>232.6</v>
      </c>
      <c r="G21377" s="5">
        <v>116.1</v>
      </c>
      <c r="H21377" s="5">
        <v>115.9</v>
      </c>
      <c r="I21377" s="5"/>
      <c r="J21377" s="5"/>
      <c r="K21377" s="5"/>
    </row>
    <row r="21378" spans="1:11" x14ac:dyDescent="0.25">
      <c r="A21378" s="5">
        <f>21371</f>
      </c>
      <c r="B21378" s="5" t="s">
        <v>21386</v>
      </c>
      <c r="C21378" s="5">
        <v>116.5</v>
      </c>
      <c r="D21378" s="5">
        <v>0.1</v>
      </c>
      <c r="E21378" s="5">
        <v>116.7</v>
      </c>
      <c r="F21378" s="5">
        <v>232.6</v>
      </c>
      <c r="G21378" s="5">
        <v>116.1</v>
      </c>
      <c r="H21378" s="5">
        <v>115.9</v>
      </c>
      <c r="I21378" s="5"/>
      <c r="J21378" s="5"/>
      <c r="K21378" s="5"/>
    </row>
    <row r="21379" spans="1:11" x14ac:dyDescent="0.25">
      <c r="A21379" s="5">
        <f>21372</f>
      </c>
      <c r="B21379" s="5" t="s">
        <v>21387</v>
      </c>
      <c r="C21379" s="5">
        <v>116.2</v>
      </c>
      <c r="D21379" s="5">
        <v>0.1</v>
      </c>
      <c r="E21379" s="5">
        <v>116.4</v>
      </c>
      <c r="F21379" s="5">
        <v>232.7</v>
      </c>
      <c r="G21379" s="5">
        <v>116.1</v>
      </c>
      <c r="H21379" s="5">
        <v>116</v>
      </c>
      <c r="I21379" s="5"/>
      <c r="J21379" s="5"/>
      <c r="K21379" s="5"/>
    </row>
    <row r="21380" spans="1:11" x14ac:dyDescent="0.25">
      <c r="A21380" s="5">
        <f>21373</f>
      </c>
      <c r="B21380" s="5" t="s">
        <v>21388</v>
      </c>
      <c r="C21380" s="5">
        <v>116.2</v>
      </c>
      <c r="D21380" s="5">
        <v>0.1</v>
      </c>
      <c r="E21380" s="5">
        <v>116.4</v>
      </c>
      <c r="F21380" s="5">
        <v>232.7</v>
      </c>
      <c r="G21380" s="5">
        <v>116.1</v>
      </c>
      <c r="H21380" s="5">
        <v>116</v>
      </c>
      <c r="I21380" s="5"/>
      <c r="J21380" s="5"/>
      <c r="K21380" s="5"/>
    </row>
    <row r="21381" spans="1:11" x14ac:dyDescent="0.25">
      <c r="A21381" s="5">
        <f>21374</f>
      </c>
      <c r="B21381" s="5" t="s">
        <v>21389</v>
      </c>
      <c r="C21381" s="5">
        <v>116</v>
      </c>
      <c r="D21381" s="5">
        <v>0.1</v>
      </c>
      <c r="E21381" s="5">
        <v>116.1</v>
      </c>
      <c r="F21381" s="5">
        <v>232.2</v>
      </c>
      <c r="G21381" s="5">
        <v>115.9</v>
      </c>
      <c r="H21381" s="5">
        <v>115.8</v>
      </c>
      <c r="I21381" s="5"/>
      <c r="J21381" s="5"/>
      <c r="K21381" s="5"/>
    </row>
    <row r="21382" spans="1:11" x14ac:dyDescent="0.25">
      <c r="A21382" s="5">
        <f>21375</f>
      </c>
      <c r="B21382" s="5" t="s">
        <v>21390</v>
      </c>
      <c r="C21382" s="5">
        <v>116</v>
      </c>
      <c r="D21382" s="5">
        <v>0.1</v>
      </c>
      <c r="E21382" s="5">
        <v>116.1</v>
      </c>
      <c r="F21382" s="5">
        <v>232.2</v>
      </c>
      <c r="G21382" s="5">
        <v>115.9</v>
      </c>
      <c r="H21382" s="5">
        <v>115.8</v>
      </c>
      <c r="I21382" s="5"/>
      <c r="J21382" s="5"/>
      <c r="K21382" s="5"/>
    </row>
    <row r="21383" spans="1:11" x14ac:dyDescent="0.25">
      <c r="A21383" s="5">
        <f>21376</f>
      </c>
      <c r="B21383" s="5" t="s">
        <v>21391</v>
      </c>
      <c r="C21383" s="5">
        <v>116.1</v>
      </c>
      <c r="D21383" s="5">
        <v>0.1</v>
      </c>
      <c r="E21383" s="5">
        <v>116.3</v>
      </c>
      <c r="F21383" s="5">
        <v>232.6</v>
      </c>
      <c r="G21383" s="5">
        <v>116.1</v>
      </c>
      <c r="H21383" s="5">
        <v>115.9</v>
      </c>
      <c r="I21383" s="5"/>
      <c r="J21383" s="5"/>
      <c r="K21383" s="5"/>
    </row>
    <row r="21384" spans="1:11" x14ac:dyDescent="0.25">
      <c r="A21384" s="5">
        <f>21377</f>
      </c>
      <c r="B21384" s="5" t="s">
        <v>21392</v>
      </c>
      <c r="C21384" s="5">
        <v>116.1</v>
      </c>
      <c r="D21384" s="5">
        <v>0.1</v>
      </c>
      <c r="E21384" s="5">
        <v>116.3</v>
      </c>
      <c r="F21384" s="5">
        <v>232.6</v>
      </c>
      <c r="G21384" s="5">
        <v>116.1</v>
      </c>
      <c r="H21384" s="5">
        <v>115.9</v>
      </c>
      <c r="I21384" s="5"/>
      <c r="J21384" s="5"/>
      <c r="K21384" s="5"/>
    </row>
    <row r="21385" spans="1:11" x14ac:dyDescent="0.25">
      <c r="A21385" s="5">
        <f>21378</f>
      </c>
      <c r="B21385" s="5" t="s">
        <v>21393</v>
      </c>
      <c r="C21385" s="5">
        <v>116.3</v>
      </c>
      <c r="D21385" s="5">
        <v>0.1</v>
      </c>
      <c r="E21385" s="5">
        <v>116.4</v>
      </c>
      <c r="F21385" s="5">
        <v>232.7</v>
      </c>
      <c r="G21385" s="5">
        <v>116.1</v>
      </c>
      <c r="H21385" s="5">
        <v>116</v>
      </c>
      <c r="I21385" s="5"/>
      <c r="J21385" s="5"/>
      <c r="K21385" s="5"/>
    </row>
    <row r="21386" spans="1:11" x14ac:dyDescent="0.25">
      <c r="A21386" s="5">
        <f>21379</f>
      </c>
      <c r="B21386" s="5" t="s">
        <v>21394</v>
      </c>
      <c r="C21386" s="5">
        <v>116.3</v>
      </c>
      <c r="D21386" s="5">
        <v>0.1</v>
      </c>
      <c r="E21386" s="5">
        <v>116.4</v>
      </c>
      <c r="F21386" s="5">
        <v>232.7</v>
      </c>
      <c r="G21386" s="5">
        <v>116.1</v>
      </c>
      <c r="H21386" s="5">
        <v>116</v>
      </c>
      <c r="I21386" s="5"/>
      <c r="J21386" s="5"/>
      <c r="K21386" s="5"/>
    </row>
    <row r="21387" spans="1:11" x14ac:dyDescent="0.25">
      <c r="A21387" s="5">
        <f>21380</f>
      </c>
      <c r="B21387" s="5" t="s">
        <v>21395</v>
      </c>
      <c r="C21387" s="5">
        <v>116.3</v>
      </c>
      <c r="D21387" s="5">
        <v>0.1</v>
      </c>
      <c r="E21387" s="5">
        <v>116.4</v>
      </c>
      <c r="F21387" s="5">
        <v>232.7</v>
      </c>
      <c r="G21387" s="5">
        <v>116.1</v>
      </c>
      <c r="H21387" s="5">
        <v>116</v>
      </c>
      <c r="I21387" s="5"/>
      <c r="J21387" s="5"/>
      <c r="K21387" s="5"/>
    </row>
    <row r="21388" spans="1:11" x14ac:dyDescent="0.25">
      <c r="A21388" s="5">
        <f>21381</f>
      </c>
      <c r="B21388" s="5" t="s">
        <v>21396</v>
      </c>
      <c r="C21388" s="5">
        <v>116.3</v>
      </c>
      <c r="D21388" s="5">
        <v>0.1</v>
      </c>
      <c r="E21388" s="5">
        <v>116.4</v>
      </c>
      <c r="F21388" s="5">
        <v>232.7</v>
      </c>
      <c r="G21388" s="5">
        <v>116.1</v>
      </c>
      <c r="H21388" s="5">
        <v>116</v>
      </c>
      <c r="I21388" s="5"/>
      <c r="J21388" s="5"/>
      <c r="K21388" s="5"/>
    </row>
    <row r="21389" spans="1:11" x14ac:dyDescent="0.25">
      <c r="A21389" s="5">
        <f>21382</f>
      </c>
      <c r="B21389" s="5" t="s">
        <v>21397</v>
      </c>
      <c r="C21389" s="5">
        <v>116.4</v>
      </c>
      <c r="D21389" s="5">
        <v>0.1</v>
      </c>
      <c r="E21389" s="5">
        <v>116.5</v>
      </c>
      <c r="F21389" s="5">
        <v>232.3</v>
      </c>
      <c r="G21389" s="5">
        <v>115.9</v>
      </c>
      <c r="H21389" s="5">
        <v>115.8</v>
      </c>
      <c r="I21389" s="5"/>
      <c r="J21389" s="5"/>
      <c r="K21389" s="5"/>
    </row>
    <row r="21390" spans="1:11" x14ac:dyDescent="0.25">
      <c r="A21390" s="5">
        <f>21383</f>
      </c>
      <c r="B21390" s="5" t="s">
        <v>21398</v>
      </c>
      <c r="C21390" s="5">
        <v>116.4</v>
      </c>
      <c r="D21390" s="5">
        <v>0.1</v>
      </c>
      <c r="E21390" s="5">
        <v>116.5</v>
      </c>
      <c r="F21390" s="5">
        <v>232.3</v>
      </c>
      <c r="G21390" s="5">
        <v>115.9</v>
      </c>
      <c r="H21390" s="5">
        <v>115.8</v>
      </c>
      <c r="I21390" s="5"/>
      <c r="J21390" s="5"/>
      <c r="K21390" s="5"/>
    </row>
    <row r="21391" spans="1:11" x14ac:dyDescent="0.25">
      <c r="A21391" s="5">
        <f>21384</f>
      </c>
      <c r="B21391" s="5" t="s">
        <v>21399</v>
      </c>
      <c r="C21391" s="5">
        <v>116.4</v>
      </c>
      <c r="D21391" s="5">
        <v>0.1</v>
      </c>
      <c r="E21391" s="5">
        <v>116.6</v>
      </c>
      <c r="F21391" s="5">
        <v>232.7</v>
      </c>
      <c r="G21391" s="5">
        <v>116.1</v>
      </c>
      <c r="H21391" s="5">
        <v>116</v>
      </c>
      <c r="I21391" s="5"/>
      <c r="J21391" s="5"/>
      <c r="K21391" s="5"/>
    </row>
    <row r="21392" spans="1:11" x14ac:dyDescent="0.25">
      <c r="A21392" s="5">
        <f>21385</f>
      </c>
      <c r="B21392" s="5" t="s">
        <v>21400</v>
      </c>
      <c r="C21392" s="5">
        <v>116.4</v>
      </c>
      <c r="D21392" s="5">
        <v>0.1</v>
      </c>
      <c r="E21392" s="5">
        <v>116.6</v>
      </c>
      <c r="F21392" s="5">
        <v>232.7</v>
      </c>
      <c r="G21392" s="5">
        <v>116.1</v>
      </c>
      <c r="H21392" s="5">
        <v>116</v>
      </c>
      <c r="I21392" s="5"/>
      <c r="J21392" s="5"/>
      <c r="K21392" s="5"/>
    </row>
    <row r="21393" spans="1:11" x14ac:dyDescent="0.25">
      <c r="A21393" s="5">
        <f>21386</f>
      </c>
      <c r="B21393" s="5" t="s">
        <v>21401</v>
      </c>
      <c r="C21393" s="5">
        <v>116.3</v>
      </c>
      <c r="D21393" s="5">
        <v>0.1</v>
      </c>
      <c r="E21393" s="5">
        <v>116.4</v>
      </c>
      <c r="F21393" s="5">
        <v>231.9</v>
      </c>
      <c r="G21393" s="5">
        <v>115.8</v>
      </c>
      <c r="H21393" s="5">
        <v>115.6</v>
      </c>
      <c r="I21393" s="5"/>
      <c r="J21393" s="5"/>
      <c r="K21393" s="5"/>
    </row>
    <row r="21394" spans="1:11" x14ac:dyDescent="0.25">
      <c r="A21394" s="5">
        <f>21387</f>
      </c>
      <c r="B21394" s="5" t="s">
        <v>21402</v>
      </c>
      <c r="C21394" s="5">
        <v>116.3</v>
      </c>
      <c r="D21394" s="5">
        <v>0.1</v>
      </c>
      <c r="E21394" s="5">
        <v>116.4</v>
      </c>
      <c r="F21394" s="5">
        <v>231.9</v>
      </c>
      <c r="G21394" s="5">
        <v>115.8</v>
      </c>
      <c r="H21394" s="5">
        <v>115.6</v>
      </c>
      <c r="I21394" s="5"/>
      <c r="J21394" s="5"/>
      <c r="K21394" s="5"/>
    </row>
    <row r="21395" spans="1:11" x14ac:dyDescent="0.25">
      <c r="A21395" s="5">
        <f>21388</f>
      </c>
      <c r="B21395" s="5" t="s">
        <v>21403</v>
      </c>
      <c r="C21395" s="5">
        <v>116</v>
      </c>
      <c r="D21395" s="5">
        <v>0.1</v>
      </c>
      <c r="E21395" s="5">
        <v>116.1</v>
      </c>
      <c r="F21395" s="5">
        <v>231.8</v>
      </c>
      <c r="G21395" s="5">
        <v>115.7</v>
      </c>
      <c r="H21395" s="5">
        <v>115.6</v>
      </c>
      <c r="I21395" s="5"/>
      <c r="J21395" s="5"/>
      <c r="K21395" s="5"/>
    </row>
    <row r="21396" spans="1:11" x14ac:dyDescent="0.25">
      <c r="A21396" s="5">
        <f>21389</f>
      </c>
      <c r="B21396" s="5" t="s">
        <v>21404</v>
      </c>
      <c r="C21396" s="5">
        <v>116</v>
      </c>
      <c r="D21396" s="5">
        <v>0.1</v>
      </c>
      <c r="E21396" s="5">
        <v>116.1</v>
      </c>
      <c r="F21396" s="5">
        <v>231.8</v>
      </c>
      <c r="G21396" s="5">
        <v>115.7</v>
      </c>
      <c r="H21396" s="5">
        <v>115.6</v>
      </c>
      <c r="I21396" s="5"/>
      <c r="J21396" s="5"/>
      <c r="K21396" s="5"/>
    </row>
    <row r="21397" spans="1:11" x14ac:dyDescent="0.25">
      <c r="A21397" s="5">
        <f>21390</f>
      </c>
      <c r="B21397" s="5" t="s">
        <v>21405</v>
      </c>
      <c r="C21397" s="5">
        <v>116</v>
      </c>
      <c r="D21397" s="5">
        <v>0.1</v>
      </c>
      <c r="E21397" s="5">
        <v>116.1</v>
      </c>
      <c r="F21397" s="5">
        <v>231.8</v>
      </c>
      <c r="G21397" s="5">
        <v>115.7</v>
      </c>
      <c r="H21397" s="5">
        <v>115.6</v>
      </c>
      <c r="I21397" s="5"/>
      <c r="J21397" s="5"/>
      <c r="K21397" s="5"/>
    </row>
    <row r="21398" spans="1:11" x14ac:dyDescent="0.25">
      <c r="A21398" s="5">
        <f>21391</f>
      </c>
      <c r="B21398" s="5" t="s">
        <v>21406</v>
      </c>
      <c r="C21398" s="5">
        <v>115.9</v>
      </c>
      <c r="D21398" s="5">
        <v>0.1</v>
      </c>
      <c r="E21398" s="5">
        <v>116.1</v>
      </c>
      <c r="F21398" s="5">
        <v>232.1</v>
      </c>
      <c r="G21398" s="5">
        <v>115.9</v>
      </c>
      <c r="H21398" s="5">
        <v>115.7</v>
      </c>
      <c r="I21398" s="5"/>
      <c r="J21398" s="5"/>
      <c r="K21398" s="5"/>
    </row>
    <row r="21399" spans="1:11" x14ac:dyDescent="0.25">
      <c r="A21399" s="5">
        <f>21392</f>
      </c>
      <c r="B21399" s="5" t="s">
        <v>21407</v>
      </c>
      <c r="C21399" s="5">
        <v>115.9</v>
      </c>
      <c r="D21399" s="5">
        <v>0.1</v>
      </c>
      <c r="E21399" s="5">
        <v>116.1</v>
      </c>
      <c r="F21399" s="5">
        <v>232.1</v>
      </c>
      <c r="G21399" s="5">
        <v>115.9</v>
      </c>
      <c r="H21399" s="5">
        <v>115.7</v>
      </c>
      <c r="I21399" s="5"/>
      <c r="J21399" s="5"/>
      <c r="K21399" s="5"/>
    </row>
    <row r="21400" spans="1:11" x14ac:dyDescent="0.25">
      <c r="A21400" s="5">
        <f>21393</f>
      </c>
      <c r="B21400" s="5" t="s">
        <v>21408</v>
      </c>
      <c r="C21400" s="5">
        <v>116.2</v>
      </c>
      <c r="D21400" s="5">
        <v>0.1</v>
      </c>
      <c r="E21400" s="5">
        <v>116.4</v>
      </c>
      <c r="F21400" s="5">
        <v>232.2</v>
      </c>
      <c r="G21400" s="5">
        <v>115.9</v>
      </c>
      <c r="H21400" s="5">
        <v>115.8</v>
      </c>
      <c r="I21400" s="5"/>
      <c r="J21400" s="5"/>
      <c r="K21400" s="5"/>
    </row>
    <row r="21401" spans="1:11" x14ac:dyDescent="0.25">
      <c r="A21401" s="5">
        <f>21394</f>
      </c>
      <c r="B21401" s="5" t="s">
        <v>21409</v>
      </c>
      <c r="C21401" s="5">
        <v>116.2</v>
      </c>
      <c r="D21401" s="5">
        <v>0.1</v>
      </c>
      <c r="E21401" s="5">
        <v>116.4</v>
      </c>
      <c r="F21401" s="5">
        <v>232.2</v>
      </c>
      <c r="G21401" s="5">
        <v>115.9</v>
      </c>
      <c r="H21401" s="5">
        <v>115.8</v>
      </c>
      <c r="I21401" s="5"/>
      <c r="J21401" s="5"/>
      <c r="K21401" s="5"/>
    </row>
    <row r="21402" spans="1:11" x14ac:dyDescent="0.25">
      <c r="A21402" s="5">
        <f>21395</f>
      </c>
      <c r="B21402" s="5" t="s">
        <v>21410</v>
      </c>
      <c r="C21402" s="5">
        <v>116.2</v>
      </c>
      <c r="D21402" s="5">
        <v>0.1</v>
      </c>
      <c r="E21402" s="5">
        <v>116.4</v>
      </c>
      <c r="F21402" s="5">
        <v>232.4</v>
      </c>
      <c r="G21402" s="5">
        <v>116</v>
      </c>
      <c r="H21402" s="5">
        <v>115.8</v>
      </c>
      <c r="I21402" s="5"/>
      <c r="J21402" s="5"/>
      <c r="K21402" s="5"/>
    </row>
    <row r="21403" spans="1:11" x14ac:dyDescent="0.25">
      <c r="A21403" s="5">
        <f>21396</f>
      </c>
      <c r="B21403" s="5" t="s">
        <v>21411</v>
      </c>
      <c r="C21403" s="5">
        <v>116.2</v>
      </c>
      <c r="D21403" s="5">
        <v>0.1</v>
      </c>
      <c r="E21403" s="5">
        <v>116.4</v>
      </c>
      <c r="F21403" s="5">
        <v>232.4</v>
      </c>
      <c r="G21403" s="5">
        <v>116</v>
      </c>
      <c r="H21403" s="5">
        <v>115.8</v>
      </c>
      <c r="I21403" s="5"/>
      <c r="J21403" s="5"/>
      <c r="K21403" s="5"/>
    </row>
    <row r="21404" spans="1:11" x14ac:dyDescent="0.25">
      <c r="A21404" s="5">
        <f>21397</f>
      </c>
      <c r="B21404" s="5" t="s">
        <v>21412</v>
      </c>
      <c r="C21404" s="5">
        <v>116.2</v>
      </c>
      <c r="D21404" s="5">
        <v>0.1</v>
      </c>
      <c r="E21404" s="5">
        <v>116.4</v>
      </c>
      <c r="F21404" s="5">
        <v>231.7</v>
      </c>
      <c r="G21404" s="5">
        <v>115.6</v>
      </c>
      <c r="H21404" s="5">
        <v>115.8</v>
      </c>
      <c r="I21404" s="5"/>
      <c r="J21404" s="5"/>
      <c r="K21404" s="5"/>
    </row>
    <row r="21405" spans="1:11" x14ac:dyDescent="0.25">
      <c r="A21405" s="5">
        <f>21398</f>
      </c>
      <c r="B21405" s="5" t="s">
        <v>21413</v>
      </c>
      <c r="C21405" s="5">
        <v>116.3</v>
      </c>
      <c r="D21405" s="5">
        <v>0.1</v>
      </c>
      <c r="E21405" s="5">
        <v>116.4</v>
      </c>
      <c r="F21405" s="5">
        <v>231.7</v>
      </c>
      <c r="G21405" s="5">
        <v>115.6</v>
      </c>
      <c r="H21405" s="5">
        <v>115.5</v>
      </c>
      <c r="I21405" s="5"/>
      <c r="J21405" s="5"/>
      <c r="K21405" s="5"/>
    </row>
    <row r="21406" spans="1:11" x14ac:dyDescent="0.25">
      <c r="A21406" s="5">
        <f>21399</f>
      </c>
      <c r="B21406" s="5" t="s">
        <v>21414</v>
      </c>
      <c r="C21406" s="5">
        <v>116.3</v>
      </c>
      <c r="D21406" s="5">
        <v>0.1</v>
      </c>
      <c r="E21406" s="5">
        <v>116.4</v>
      </c>
      <c r="F21406" s="5">
        <v>231.7</v>
      </c>
      <c r="G21406" s="5">
        <v>115.6</v>
      </c>
      <c r="H21406" s="5">
        <v>115.5</v>
      </c>
      <c r="I21406" s="5"/>
      <c r="J21406" s="5"/>
      <c r="K21406" s="5"/>
    </row>
    <row r="21407" spans="1:11" x14ac:dyDescent="0.25">
      <c r="A21407" s="5">
        <f>21400</f>
      </c>
      <c r="B21407" s="5" t="s">
        <v>21415</v>
      </c>
      <c r="C21407" s="5">
        <v>116.3</v>
      </c>
      <c r="D21407" s="5">
        <v>0.1</v>
      </c>
      <c r="E21407" s="5">
        <v>116.4</v>
      </c>
      <c r="F21407" s="5">
        <v>231.7</v>
      </c>
      <c r="G21407" s="5">
        <v>115.6</v>
      </c>
      <c r="H21407" s="5">
        <v>115.5</v>
      </c>
      <c r="I21407" s="5"/>
      <c r="J21407" s="5"/>
      <c r="K21407" s="5"/>
    </row>
    <row r="21408" spans="1:11" x14ac:dyDescent="0.25">
      <c r="A21408" s="5">
        <f>21401</f>
      </c>
      <c r="B21408" s="5" t="s">
        <v>21416</v>
      </c>
      <c r="C21408" s="5">
        <v>116.4</v>
      </c>
      <c r="D21408" s="5">
        <v>0.1</v>
      </c>
      <c r="E21408" s="5">
        <v>116.4</v>
      </c>
      <c r="F21408" s="5">
        <v>231.7</v>
      </c>
      <c r="G21408" s="5">
        <v>115.6</v>
      </c>
      <c r="H21408" s="5">
        <v>115.5</v>
      </c>
      <c r="I21408" s="5"/>
      <c r="J21408" s="5"/>
      <c r="K21408" s="5"/>
    </row>
    <row r="21409" spans="1:11" x14ac:dyDescent="0.25">
      <c r="A21409" s="5">
        <f>21402</f>
      </c>
      <c r="B21409" s="5" t="s">
        <v>21417</v>
      </c>
      <c r="C21409" s="5">
        <v>116.4</v>
      </c>
      <c r="D21409" s="5">
        <v>0.1</v>
      </c>
      <c r="E21409" s="5">
        <v>116.5</v>
      </c>
      <c r="F21409" s="5">
        <v>232</v>
      </c>
      <c r="G21409" s="5">
        <v>115.8</v>
      </c>
      <c r="H21409" s="5">
        <v>115.6</v>
      </c>
      <c r="I21409" s="5"/>
      <c r="J21409" s="5"/>
      <c r="K21409" s="5"/>
    </row>
    <row r="21410" spans="1:11" x14ac:dyDescent="0.25">
      <c r="A21410" s="5">
        <f>21403</f>
      </c>
      <c r="B21410" s="5" t="s">
        <v>21418</v>
      </c>
      <c r="C21410" s="5">
        <v>116.1</v>
      </c>
      <c r="D21410" s="5">
        <v>0.1</v>
      </c>
      <c r="E21410" s="5">
        <v>116.5</v>
      </c>
      <c r="F21410" s="5">
        <v>232</v>
      </c>
      <c r="G21410" s="5">
        <v>115.8</v>
      </c>
      <c r="H21410" s="5">
        <v>115.6</v>
      </c>
      <c r="I21410" s="5"/>
      <c r="J21410" s="5"/>
      <c r="K21410" s="5"/>
    </row>
    <row r="21411" spans="1:11" x14ac:dyDescent="0.25">
      <c r="A21411" s="5">
        <f>21404</f>
      </c>
      <c r="B21411" s="5" t="s">
        <v>21419</v>
      </c>
      <c r="C21411" s="5">
        <v>116.1</v>
      </c>
      <c r="D21411" s="5">
        <v>0.1</v>
      </c>
      <c r="E21411" s="5">
        <v>116.2</v>
      </c>
      <c r="F21411" s="5">
        <v>231.5</v>
      </c>
      <c r="G21411" s="5">
        <v>115.5</v>
      </c>
      <c r="H21411" s="5">
        <v>115.4</v>
      </c>
      <c r="I21411" s="5"/>
      <c r="J21411" s="5"/>
      <c r="K21411" s="5"/>
    </row>
    <row r="21412" spans="1:11" x14ac:dyDescent="0.25">
      <c r="A21412" s="5">
        <f>21405</f>
      </c>
      <c r="B21412" s="5" t="s">
        <v>21420</v>
      </c>
      <c r="C21412" s="5">
        <v>116.1</v>
      </c>
      <c r="D21412" s="5">
        <v>0.1</v>
      </c>
      <c r="E21412" s="5">
        <v>116.2</v>
      </c>
      <c r="F21412" s="5">
        <v>231.5</v>
      </c>
      <c r="G21412" s="5">
        <v>115.5</v>
      </c>
      <c r="H21412" s="5">
        <v>115.4</v>
      </c>
      <c r="I21412" s="5"/>
      <c r="J21412" s="5"/>
      <c r="K21412" s="5"/>
    </row>
    <row r="21413" spans="1:11" x14ac:dyDescent="0.25">
      <c r="A21413" s="5">
        <f>21406</f>
      </c>
      <c r="B21413" s="5" t="s">
        <v>21421</v>
      </c>
      <c r="C21413" s="5">
        <v>115.5</v>
      </c>
      <c r="D21413" s="5">
        <v>0.1</v>
      </c>
      <c r="E21413" s="5">
        <v>115.7</v>
      </c>
      <c r="F21413" s="5">
        <v>231.5</v>
      </c>
      <c r="G21413" s="5">
        <v>115.5</v>
      </c>
      <c r="H21413" s="5">
        <v>115.3</v>
      </c>
      <c r="I21413" s="5"/>
      <c r="J21413" s="5"/>
      <c r="K21413" s="5"/>
    </row>
    <row r="21414" spans="1:11" x14ac:dyDescent="0.25">
      <c r="A21414" s="5">
        <f>21407</f>
      </c>
      <c r="B21414" s="5" t="s">
        <v>21422</v>
      </c>
      <c r="C21414" s="5">
        <v>115.5</v>
      </c>
      <c r="D21414" s="5">
        <v>0.1</v>
      </c>
      <c r="E21414" s="5">
        <v>115.7</v>
      </c>
      <c r="F21414" s="5">
        <v>231.5</v>
      </c>
      <c r="G21414" s="5">
        <v>115.5</v>
      </c>
      <c r="H21414" s="5">
        <v>115.3</v>
      </c>
      <c r="I21414" s="5"/>
      <c r="J21414" s="5"/>
      <c r="K21414" s="5"/>
    </row>
    <row r="21415" spans="1:11" x14ac:dyDescent="0.25">
      <c r="A21415" s="5">
        <f>21408</f>
      </c>
      <c r="B21415" s="5" t="s">
        <v>21423</v>
      </c>
      <c r="C21415" s="5">
        <v>116.1</v>
      </c>
      <c r="D21415" s="5">
        <v>0.1</v>
      </c>
      <c r="E21415" s="5">
        <v>116.3</v>
      </c>
      <c r="F21415" s="5">
        <v>231.9</v>
      </c>
      <c r="G21415" s="5">
        <v>115.7</v>
      </c>
      <c r="H21415" s="5">
        <v>115.6</v>
      </c>
      <c r="I21415" s="5"/>
      <c r="J21415" s="5"/>
      <c r="K21415" s="5"/>
    </row>
    <row r="21416" spans="1:11" x14ac:dyDescent="0.25">
      <c r="A21416" s="5">
        <f>21409</f>
      </c>
      <c r="B21416" s="5" t="s">
        <v>21424</v>
      </c>
      <c r="C21416" s="5">
        <v>116.1</v>
      </c>
      <c r="D21416" s="5">
        <v>0.1</v>
      </c>
      <c r="E21416" s="5">
        <v>116.3</v>
      </c>
      <c r="F21416" s="5">
        <v>231.9</v>
      </c>
      <c r="G21416" s="5">
        <v>115.7</v>
      </c>
      <c r="H21416" s="5">
        <v>115.6</v>
      </c>
      <c r="I21416" s="5"/>
      <c r="J21416" s="5"/>
      <c r="K21416" s="5"/>
    </row>
    <row r="21417" spans="1:11" x14ac:dyDescent="0.25">
      <c r="A21417" s="5">
        <f>21410</f>
      </c>
      <c r="B21417" s="5" t="s">
        <v>21425</v>
      </c>
      <c r="C21417" s="5">
        <v>116.1</v>
      </c>
      <c r="D21417" s="5">
        <v>0.1</v>
      </c>
      <c r="E21417" s="5">
        <v>116.3</v>
      </c>
      <c r="F21417" s="5">
        <v>231.9</v>
      </c>
      <c r="G21417" s="5">
        <v>115.7</v>
      </c>
      <c r="H21417" s="5">
        <v>115.6</v>
      </c>
      <c r="I21417" s="5"/>
      <c r="J21417" s="5"/>
      <c r="K21417" s="5"/>
    </row>
    <row r="21418" spans="1:11" x14ac:dyDescent="0.25">
      <c r="A21418" s="5">
        <f>21411</f>
      </c>
      <c r="B21418" s="5" t="s">
        <v>21426</v>
      </c>
      <c r="C21418" s="5">
        <v>116.1</v>
      </c>
      <c r="D21418" s="5">
        <v>0.1</v>
      </c>
      <c r="E21418" s="5">
        <v>116.3</v>
      </c>
      <c r="F21418" s="5">
        <v>231.9</v>
      </c>
      <c r="G21418" s="5">
        <v>115.7</v>
      </c>
      <c r="H21418" s="5">
        <v>115.6</v>
      </c>
      <c r="I21418" s="5"/>
      <c r="J21418" s="5"/>
      <c r="K21418" s="5"/>
    </row>
    <row r="21419" spans="1:11" x14ac:dyDescent="0.25">
      <c r="A21419" s="5">
        <f>21412</f>
      </c>
      <c r="B21419" s="5" t="s">
        <v>21427</v>
      </c>
      <c r="C21419" s="5">
        <v>115.9</v>
      </c>
      <c r="D21419" s="5">
        <v>0.1</v>
      </c>
      <c r="E21419" s="5">
        <v>116.1</v>
      </c>
      <c r="F21419" s="5">
        <v>231.8</v>
      </c>
      <c r="G21419" s="5">
        <v>115.7</v>
      </c>
      <c r="H21419" s="5">
        <v>115.5</v>
      </c>
      <c r="I21419" s="5"/>
      <c r="J21419" s="5"/>
      <c r="K21419" s="5"/>
    </row>
    <row r="21420" spans="1:11" x14ac:dyDescent="0.25">
      <c r="A21420" s="5">
        <f>21413</f>
      </c>
      <c r="B21420" s="5" t="s">
        <v>21428</v>
      </c>
      <c r="C21420" s="5">
        <v>115.9</v>
      </c>
      <c r="D21420" s="5">
        <v>0.1</v>
      </c>
      <c r="E21420" s="5">
        <v>116.1</v>
      </c>
      <c r="F21420" s="5">
        <v>231.8</v>
      </c>
      <c r="G21420" s="5">
        <v>115.7</v>
      </c>
      <c r="H21420" s="5">
        <v>115.5</v>
      </c>
      <c r="I21420" s="5"/>
      <c r="J21420" s="5"/>
      <c r="K21420" s="5"/>
    </row>
    <row r="21421" spans="1:11" x14ac:dyDescent="0.25">
      <c r="A21421" s="5">
        <f>21414</f>
      </c>
      <c r="B21421" s="5" t="s">
        <v>21429</v>
      </c>
      <c r="C21421" s="5">
        <v>115.9</v>
      </c>
      <c r="D21421" s="5">
        <v>0.1</v>
      </c>
      <c r="E21421" s="5">
        <v>116.1</v>
      </c>
      <c r="F21421" s="5">
        <v>231.8</v>
      </c>
      <c r="G21421" s="5">
        <v>115.7</v>
      </c>
      <c r="H21421" s="5">
        <v>115.5</v>
      </c>
      <c r="I21421" s="5"/>
      <c r="J21421" s="5"/>
      <c r="K21421" s="5"/>
    </row>
    <row r="21422" spans="1:11" x14ac:dyDescent="0.25">
      <c r="A21422" s="5">
        <f>21415</f>
      </c>
      <c r="B21422" s="5" t="s">
        <v>21430</v>
      </c>
      <c r="C21422" s="5">
        <v>115.9</v>
      </c>
      <c r="D21422" s="5">
        <v>0.1</v>
      </c>
      <c r="E21422" s="5">
        <v>116.1</v>
      </c>
      <c r="F21422" s="5">
        <v>231.8</v>
      </c>
      <c r="G21422" s="5">
        <v>115.7</v>
      </c>
      <c r="H21422" s="5">
        <v>115.5</v>
      </c>
      <c r="I21422" s="5"/>
      <c r="J21422" s="5"/>
      <c r="K21422" s="5"/>
    </row>
    <row r="21423" spans="1:11" x14ac:dyDescent="0.25">
      <c r="A21423" s="5">
        <f>21416</f>
      </c>
      <c r="B21423" s="5" t="s">
        <v>21431</v>
      </c>
      <c r="C21423" s="5">
        <v>115.8</v>
      </c>
      <c r="D21423" s="5">
        <v>0.1</v>
      </c>
      <c r="E21423" s="5">
        <v>116</v>
      </c>
      <c r="F21423" s="5">
        <v>231.8</v>
      </c>
      <c r="G21423" s="5">
        <v>115.7</v>
      </c>
      <c r="H21423" s="5">
        <v>115.6</v>
      </c>
      <c r="I21423" s="5"/>
      <c r="J21423" s="5"/>
      <c r="K21423" s="5"/>
    </row>
    <row r="21424" spans="1:11" x14ac:dyDescent="0.25">
      <c r="A21424" s="5">
        <f>21417</f>
      </c>
      <c r="B21424" s="5" t="s">
        <v>21432</v>
      </c>
      <c r="C21424" s="5">
        <v>115.8</v>
      </c>
      <c r="D21424" s="5">
        <v>0.1</v>
      </c>
      <c r="E21424" s="5">
        <v>116</v>
      </c>
      <c r="F21424" s="5">
        <v>231.8</v>
      </c>
      <c r="G21424" s="5">
        <v>115.7</v>
      </c>
      <c r="H21424" s="5">
        <v>115.6</v>
      </c>
      <c r="I21424" s="5"/>
      <c r="J21424" s="5"/>
      <c r="K21424" s="5"/>
    </row>
    <row r="21425" spans="1:11" x14ac:dyDescent="0.25">
      <c r="A21425" s="5">
        <f>21418</f>
      </c>
      <c r="B21425" s="5" t="s">
        <v>21433</v>
      </c>
      <c r="C21425" s="5">
        <v>115.8</v>
      </c>
      <c r="D21425" s="5">
        <v>0.1</v>
      </c>
      <c r="E21425" s="5">
        <v>116</v>
      </c>
      <c r="F21425" s="5">
        <v>232</v>
      </c>
      <c r="G21425" s="5">
        <v>115.8</v>
      </c>
      <c r="H21425" s="5">
        <v>115.6</v>
      </c>
      <c r="I21425" s="5"/>
      <c r="J21425" s="5"/>
      <c r="K21425" s="5"/>
    </row>
    <row r="21426" spans="1:11" x14ac:dyDescent="0.25">
      <c r="A21426" s="5">
        <f>21419</f>
      </c>
      <c r="B21426" s="5" t="s">
        <v>21434</v>
      </c>
      <c r="C21426" s="5">
        <v>115.8</v>
      </c>
      <c r="D21426" s="5">
        <v>0.1</v>
      </c>
      <c r="E21426" s="5">
        <v>116</v>
      </c>
      <c r="F21426" s="5">
        <v>232</v>
      </c>
      <c r="G21426" s="5">
        <v>115.8</v>
      </c>
      <c r="H21426" s="5">
        <v>115.6</v>
      </c>
      <c r="I21426" s="5"/>
      <c r="J21426" s="5"/>
      <c r="K21426" s="5"/>
    </row>
    <row r="21427" spans="1:11" x14ac:dyDescent="0.25">
      <c r="A21427" s="5">
        <f>21420</f>
      </c>
      <c r="B21427" s="5" t="s">
        <v>21435</v>
      </c>
      <c r="C21427" s="5">
        <v>115.8</v>
      </c>
      <c r="D21427" s="5">
        <v>0.1</v>
      </c>
      <c r="E21427" s="5">
        <v>116</v>
      </c>
      <c r="F21427" s="5">
        <v>232</v>
      </c>
      <c r="G21427" s="5">
        <v>115.8</v>
      </c>
      <c r="H21427" s="5">
        <v>115.6</v>
      </c>
      <c r="I21427" s="5"/>
      <c r="J21427" s="5"/>
      <c r="K21427" s="5"/>
    </row>
    <row r="21428" spans="1:11" x14ac:dyDescent="0.25">
      <c r="A21428" s="5">
        <f>21421</f>
      </c>
      <c r="B21428" s="5" t="s">
        <v>21436</v>
      </c>
      <c r="C21428" s="5">
        <v>115.8</v>
      </c>
      <c r="D21428" s="5">
        <v>0.1</v>
      </c>
      <c r="E21428" s="5">
        <v>116.1</v>
      </c>
      <c r="F21428" s="5">
        <v>232</v>
      </c>
      <c r="G21428" s="5">
        <v>115.8</v>
      </c>
      <c r="H21428" s="5">
        <v>115.7</v>
      </c>
      <c r="I21428" s="5"/>
      <c r="J21428" s="5"/>
      <c r="K21428" s="5"/>
    </row>
    <row r="21429" spans="1:11" x14ac:dyDescent="0.25">
      <c r="A21429" s="5">
        <f>21422</f>
      </c>
      <c r="B21429" s="5" t="s">
        <v>21437</v>
      </c>
      <c r="C21429" s="5">
        <v>116</v>
      </c>
      <c r="D21429" s="5">
        <v>0.1</v>
      </c>
      <c r="E21429" s="5">
        <v>116.1</v>
      </c>
      <c r="F21429" s="5">
        <v>232</v>
      </c>
      <c r="G21429" s="5">
        <v>115.8</v>
      </c>
      <c r="H21429" s="5">
        <v>115.7</v>
      </c>
      <c r="I21429" s="5"/>
      <c r="J21429" s="5"/>
      <c r="K21429" s="5"/>
    </row>
    <row r="21430" spans="1:11" x14ac:dyDescent="0.25">
      <c r="A21430" s="5">
        <f>21423</f>
      </c>
      <c r="B21430" s="5" t="s">
        <v>21438</v>
      </c>
      <c r="C21430" s="5">
        <v>120.1</v>
      </c>
      <c r="D21430" s="5">
        <v>0.1</v>
      </c>
      <c r="E21430" s="5">
        <v>120.2</v>
      </c>
      <c r="F21430" s="5">
        <v>240.2</v>
      </c>
      <c r="G21430" s="5">
        <v>119.9</v>
      </c>
      <c r="H21430" s="5">
        <v>119.7</v>
      </c>
      <c r="I21430" s="5"/>
      <c r="J21430" s="5"/>
      <c r="K21430" s="5"/>
    </row>
    <row r="21431" spans="1:11" x14ac:dyDescent="0.25">
      <c r="A21431" s="5">
        <f>21424</f>
      </c>
      <c r="B21431" s="5" t="s">
        <v>21439</v>
      </c>
      <c r="C21431" s="5">
        <v>120.1</v>
      </c>
      <c r="D21431" s="5">
        <v>0.1</v>
      </c>
      <c r="E21431" s="5">
        <v>120.2</v>
      </c>
      <c r="F21431" s="5">
        <v>240.2</v>
      </c>
      <c r="G21431" s="5">
        <v>119.9</v>
      </c>
      <c r="H21431" s="5">
        <v>119.7</v>
      </c>
      <c r="I21431" s="5"/>
      <c r="J21431" s="5"/>
      <c r="K21431" s="5"/>
    </row>
    <row r="21432" spans="1:11" x14ac:dyDescent="0.25">
      <c r="A21432" s="5">
        <f>21425</f>
      </c>
      <c r="B21432" s="5" t="s">
        <v>21440</v>
      </c>
      <c r="C21432" s="5">
        <v>120.1</v>
      </c>
      <c r="D21432" s="5">
        <v>0.1</v>
      </c>
      <c r="E21432" s="5">
        <v>120.1</v>
      </c>
      <c r="F21432" s="5">
        <v>240.3</v>
      </c>
      <c r="G21432" s="5">
        <v>119.9</v>
      </c>
      <c r="H21432" s="5">
        <v>119.7</v>
      </c>
      <c r="I21432" s="5"/>
      <c r="J21432" s="5"/>
      <c r="K21432" s="5"/>
    </row>
    <row r="21433" spans="1:11" x14ac:dyDescent="0.25">
      <c r="A21433" s="5">
        <f>21426</f>
      </c>
      <c r="B21433" s="5" t="s">
        <v>21441</v>
      </c>
      <c r="C21433" s="5">
        <v>119.9</v>
      </c>
      <c r="D21433" s="5">
        <v>0.1</v>
      </c>
      <c r="E21433" s="5">
        <v>120.1</v>
      </c>
      <c r="F21433" s="5">
        <v>240.3</v>
      </c>
      <c r="G21433" s="5">
        <v>119.9</v>
      </c>
      <c r="H21433" s="5">
        <v>119.7</v>
      </c>
      <c r="I21433" s="5"/>
      <c r="J21433" s="5"/>
      <c r="K21433" s="5"/>
    </row>
    <row r="21434" spans="1:11" x14ac:dyDescent="0.25">
      <c r="A21434" s="5">
        <f>21427</f>
      </c>
      <c r="B21434" s="5" t="s">
        <v>21442</v>
      </c>
      <c r="C21434" s="5">
        <v>119.9</v>
      </c>
      <c r="D21434" s="5">
        <v>0.1</v>
      </c>
      <c r="E21434" s="5">
        <v>120.1</v>
      </c>
      <c r="F21434" s="5">
        <v>240.2</v>
      </c>
      <c r="G21434" s="5">
        <v>119.9</v>
      </c>
      <c r="H21434" s="5">
        <v>119.7</v>
      </c>
      <c r="I21434" s="5"/>
      <c r="J21434" s="5"/>
      <c r="K21434" s="5"/>
    </row>
    <row r="21435" spans="1:11" x14ac:dyDescent="0.25">
      <c r="A21435" s="5">
        <f>21428</f>
      </c>
      <c r="B21435" s="5" t="s">
        <v>21443</v>
      </c>
      <c r="C21435" s="5">
        <v>120.2</v>
      </c>
      <c r="D21435" s="5">
        <v>0.1</v>
      </c>
      <c r="E21435" s="5">
        <v>120.3</v>
      </c>
      <c r="F21435" s="5">
        <v>240.2</v>
      </c>
      <c r="G21435" s="5">
        <v>119.9</v>
      </c>
      <c r="H21435" s="5">
        <v>119.7</v>
      </c>
      <c r="I21435" s="5"/>
      <c r="J21435" s="5"/>
      <c r="K21435" s="5"/>
    </row>
    <row r="21436" spans="1:11" x14ac:dyDescent="0.25">
      <c r="A21436" s="5">
        <f>21429</f>
      </c>
      <c r="B21436" s="5" t="s">
        <v>21444</v>
      </c>
      <c r="C21436" s="5">
        <v>120.2</v>
      </c>
      <c r="D21436" s="5">
        <v>0.1</v>
      </c>
      <c r="E21436" s="5">
        <v>120.3</v>
      </c>
      <c r="F21436" s="5">
        <v>240.2</v>
      </c>
      <c r="G21436" s="5">
        <v>119.9</v>
      </c>
      <c r="H21436" s="5">
        <v>119.7</v>
      </c>
      <c r="I21436" s="5"/>
      <c r="J21436" s="5"/>
      <c r="K21436" s="5"/>
    </row>
    <row r="21437" spans="1:11" x14ac:dyDescent="0.25">
      <c r="A21437" s="5">
        <f>21430</f>
      </c>
      <c r="B21437" s="5" t="s">
        <v>21445</v>
      </c>
      <c r="C21437" s="5">
        <v>120.2</v>
      </c>
      <c r="D21437" s="5">
        <v>0.1</v>
      </c>
      <c r="E21437" s="5">
        <v>120.3</v>
      </c>
      <c r="F21437" s="5">
        <v>240.2</v>
      </c>
      <c r="G21437" s="5">
        <v>119.9</v>
      </c>
      <c r="H21437" s="5">
        <v>119.7</v>
      </c>
      <c r="I21437" s="5"/>
      <c r="J21437" s="5"/>
      <c r="K21437" s="5"/>
    </row>
    <row r="21438" spans="1:11" x14ac:dyDescent="0.25">
      <c r="A21438" s="5">
        <f>21431</f>
      </c>
      <c r="B21438" s="5" t="s">
        <v>21446</v>
      </c>
      <c r="C21438" s="5">
        <v>119.3</v>
      </c>
      <c r="D21438" s="5">
        <v>0.1</v>
      </c>
      <c r="E21438" s="5">
        <v>119.5</v>
      </c>
      <c r="F21438" s="5">
        <v>236.3</v>
      </c>
      <c r="G21438" s="5">
        <v>117.9</v>
      </c>
      <c r="H21438" s="5">
        <v>117.7</v>
      </c>
      <c r="I21438" s="5"/>
      <c r="J21438" s="5"/>
      <c r="K21438" s="5"/>
    </row>
    <row r="21439" spans="1:11" x14ac:dyDescent="0.25">
      <c r="A21439" s="5">
        <f>21432</f>
      </c>
      <c r="B21439" s="5" t="s">
        <v>21447</v>
      </c>
      <c r="C21439" s="5">
        <v>119.3</v>
      </c>
      <c r="D21439" s="5">
        <v>0.1</v>
      </c>
      <c r="E21439" s="5">
        <v>119.5</v>
      </c>
      <c r="F21439" s="5">
        <v>236.3</v>
      </c>
      <c r="G21439" s="5">
        <v>117.9</v>
      </c>
      <c r="H21439" s="5">
        <v>117.7</v>
      </c>
      <c r="I21439" s="5"/>
      <c r="J21439" s="5"/>
      <c r="K21439" s="5"/>
    </row>
    <row r="21440" spans="1:11" x14ac:dyDescent="0.25">
      <c r="A21440" s="5">
        <f>21433</f>
      </c>
      <c r="B21440" s="5" t="s">
        <v>21448</v>
      </c>
      <c r="C21440" s="5">
        <v>119.6</v>
      </c>
      <c r="D21440" s="5">
        <v>0.1</v>
      </c>
      <c r="E21440" s="5">
        <v>119.7</v>
      </c>
      <c r="F21440" s="5">
        <v>238.4</v>
      </c>
      <c r="G21440" s="5">
        <v>119</v>
      </c>
      <c r="H21440" s="5">
        <v>118.8</v>
      </c>
      <c r="I21440" s="5"/>
      <c r="J21440" s="5"/>
      <c r="K21440" s="5"/>
    </row>
    <row r="21441" spans="1:11" x14ac:dyDescent="0.25">
      <c r="A21441" s="5">
        <f>21434</f>
      </c>
      <c r="B21441" s="5" t="s">
        <v>21449</v>
      </c>
      <c r="C21441" s="5">
        <v>119.6</v>
      </c>
      <c r="D21441" s="5">
        <v>0.1</v>
      </c>
      <c r="E21441" s="5">
        <v>119.7</v>
      </c>
      <c r="F21441" s="5">
        <v>238.4</v>
      </c>
      <c r="G21441" s="5">
        <v>119</v>
      </c>
      <c r="H21441" s="5">
        <v>118.8</v>
      </c>
      <c r="I21441" s="5"/>
      <c r="J21441" s="5"/>
      <c r="K21441" s="5"/>
    </row>
    <row r="21442" spans="1:11" x14ac:dyDescent="0.25">
      <c r="A21442" s="5">
        <f>21435</f>
      </c>
      <c r="B21442" s="5" t="s">
        <v>21450</v>
      </c>
      <c r="C21442" s="5">
        <v>119.5</v>
      </c>
      <c r="D21442" s="5">
        <v>0.1</v>
      </c>
      <c r="E21442" s="5">
        <v>119.6</v>
      </c>
      <c r="F21442" s="5">
        <v>238.3</v>
      </c>
      <c r="G21442" s="5">
        <v>118.9</v>
      </c>
      <c r="H21442" s="5">
        <v>118.8</v>
      </c>
      <c r="I21442" s="5"/>
      <c r="J21442" s="5"/>
      <c r="K21442" s="5"/>
    </row>
    <row r="21443" spans="1:11" x14ac:dyDescent="0.25">
      <c r="A21443" s="5">
        <f>21436</f>
      </c>
      <c r="B21443" s="5" t="s">
        <v>21451</v>
      </c>
      <c r="C21443" s="5">
        <v>119.5</v>
      </c>
      <c r="D21443" s="5">
        <v>0.1</v>
      </c>
      <c r="E21443" s="5">
        <v>119.6</v>
      </c>
      <c r="F21443" s="5">
        <v>238.3</v>
      </c>
      <c r="G21443" s="5">
        <v>118.9</v>
      </c>
      <c r="H21443" s="5">
        <v>118.8</v>
      </c>
      <c r="I21443" s="5"/>
      <c r="J21443" s="5"/>
      <c r="K21443" s="5"/>
    </row>
    <row r="21444" spans="1:11" x14ac:dyDescent="0.25">
      <c r="A21444" s="5">
        <f>21437</f>
      </c>
      <c r="B21444" s="5" t="s">
        <v>21452</v>
      </c>
      <c r="C21444" s="5">
        <v>120.5</v>
      </c>
      <c r="D21444" s="5">
        <v>0.1</v>
      </c>
      <c r="E21444" s="5">
        <v>120.6</v>
      </c>
      <c r="F21444" s="5">
        <v>239.9</v>
      </c>
      <c r="G21444" s="5">
        <v>119.7</v>
      </c>
      <c r="H21444" s="5">
        <v>119.5</v>
      </c>
      <c r="I21444" s="5"/>
      <c r="J21444" s="5"/>
      <c r="K21444" s="5"/>
    </row>
    <row r="21445" spans="1:11" x14ac:dyDescent="0.25">
      <c r="A21445" s="5">
        <f>21438</f>
      </c>
      <c r="B21445" s="5" t="s">
        <v>21453</v>
      </c>
      <c r="C21445" s="5">
        <v>120.5</v>
      </c>
      <c r="D21445" s="5">
        <v>0.1</v>
      </c>
      <c r="E21445" s="5">
        <v>120.6</v>
      </c>
      <c r="F21445" s="5">
        <v>239.9</v>
      </c>
      <c r="G21445" s="5">
        <v>119.7</v>
      </c>
      <c r="H21445" s="5">
        <v>119.5</v>
      </c>
      <c r="I21445" s="5"/>
      <c r="J21445" s="5"/>
      <c r="K21445" s="5"/>
    </row>
    <row r="21446" spans="1:11" x14ac:dyDescent="0.25">
      <c r="A21446" s="5">
        <f>21439</f>
      </c>
      <c r="B21446" s="5" t="s">
        <v>21454</v>
      </c>
      <c r="C21446" s="5">
        <v>120.5</v>
      </c>
      <c r="D21446" s="5">
        <v>0.1</v>
      </c>
      <c r="E21446" s="5">
        <v>120.6</v>
      </c>
      <c r="F21446" s="5">
        <v>239.9</v>
      </c>
      <c r="G21446" s="5">
        <v>119.7</v>
      </c>
      <c r="H21446" s="5">
        <v>119.5</v>
      </c>
      <c r="I21446" s="5"/>
      <c r="J21446" s="5"/>
      <c r="K21446" s="5"/>
    </row>
    <row r="21447" spans="1:11" x14ac:dyDescent="0.25">
      <c r="A21447" s="5">
        <f>21440</f>
      </c>
      <c r="B21447" s="5" t="s">
        <v>21455</v>
      </c>
      <c r="C21447" s="5">
        <v>120.5</v>
      </c>
      <c r="D21447" s="5">
        <v>0.1</v>
      </c>
      <c r="E21447" s="5">
        <v>120.6</v>
      </c>
      <c r="F21447" s="5">
        <v>239.9</v>
      </c>
      <c r="G21447" s="5">
        <v>119.7</v>
      </c>
      <c r="H21447" s="5">
        <v>119.5</v>
      </c>
      <c r="I21447" s="5"/>
      <c r="J21447" s="5"/>
      <c r="K21447" s="5"/>
    </row>
    <row r="21448" spans="1:11" x14ac:dyDescent="0.25">
      <c r="A21448" s="5">
        <f>21441</f>
      </c>
      <c r="B21448" s="5" t="s">
        <v>21456</v>
      </c>
      <c r="C21448" s="5">
        <v>120.6</v>
      </c>
      <c r="D21448" s="5">
        <v>0.1</v>
      </c>
      <c r="E21448" s="5">
        <v>120.8</v>
      </c>
      <c r="F21448" s="5">
        <v>240.6</v>
      </c>
      <c r="G21448" s="5">
        <v>120.1</v>
      </c>
      <c r="H21448" s="5">
        <v>119.9</v>
      </c>
      <c r="I21448" s="5"/>
      <c r="J21448" s="5"/>
      <c r="K21448" s="5"/>
    </row>
    <row r="21449" spans="1:11" x14ac:dyDescent="0.25">
      <c r="A21449" s="5">
        <f>21442</f>
      </c>
      <c r="B21449" s="5" t="s">
        <v>21457</v>
      </c>
      <c r="C21449" s="5">
        <v>120.6</v>
      </c>
      <c r="D21449" s="5">
        <v>0.1</v>
      </c>
      <c r="E21449" s="5">
        <v>120.8</v>
      </c>
      <c r="F21449" s="5">
        <v>240.6</v>
      </c>
      <c r="G21449" s="5">
        <v>120.1</v>
      </c>
      <c r="H21449" s="5">
        <v>119.9</v>
      </c>
      <c r="I21449" s="5"/>
      <c r="J21449" s="5"/>
      <c r="K21449" s="5"/>
    </row>
    <row r="21450" spans="1:11" x14ac:dyDescent="0.25">
      <c r="A21450" s="5">
        <f>21443</f>
      </c>
      <c r="B21450" s="5" t="s">
        <v>21458</v>
      </c>
      <c r="C21450" s="5">
        <v>120.9</v>
      </c>
      <c r="D21450" s="5">
        <v>0.1</v>
      </c>
      <c r="E21450" s="5">
        <v>121.1</v>
      </c>
      <c r="F21450" s="5">
        <v>241</v>
      </c>
      <c r="G21450" s="5">
        <v>120.3</v>
      </c>
      <c r="H21450" s="5">
        <v>120.1</v>
      </c>
      <c r="I21450" s="5"/>
      <c r="J21450" s="5"/>
      <c r="K21450" s="5"/>
    </row>
    <row r="21451" spans="1:11" x14ac:dyDescent="0.25">
      <c r="A21451" s="5">
        <f>21444</f>
      </c>
      <c r="B21451" s="5" t="s">
        <v>21459</v>
      </c>
      <c r="C21451" s="5">
        <v>120.9</v>
      </c>
      <c r="D21451" s="5">
        <v>0.1</v>
      </c>
      <c r="E21451" s="5">
        <v>121.1</v>
      </c>
      <c r="F21451" s="5">
        <v>241</v>
      </c>
      <c r="G21451" s="5">
        <v>120.3</v>
      </c>
      <c r="H21451" s="5">
        <v>120.1</v>
      </c>
      <c r="I21451" s="5"/>
      <c r="J21451" s="5"/>
      <c r="K21451" s="5"/>
    </row>
    <row r="21452" spans="1:11" x14ac:dyDescent="0.25">
      <c r="A21452" s="5">
        <f>21445</f>
      </c>
      <c r="B21452" s="5" t="s">
        <v>21460</v>
      </c>
      <c r="C21452" s="5">
        <v>120.5</v>
      </c>
      <c r="D21452" s="5">
        <v>0.1</v>
      </c>
      <c r="E21452" s="5">
        <v>120.6</v>
      </c>
      <c r="F21452" s="5">
        <v>240.8</v>
      </c>
      <c r="G21452" s="5">
        <v>120.2</v>
      </c>
      <c r="H21452" s="5">
        <v>120</v>
      </c>
      <c r="I21452" s="5"/>
      <c r="J21452" s="5"/>
      <c r="K21452" s="5"/>
    </row>
    <row r="21453" spans="1:11" x14ac:dyDescent="0.25">
      <c r="A21453" s="5">
        <f>21446</f>
      </c>
      <c r="B21453" s="5" t="s">
        <v>21461</v>
      </c>
      <c r="C21453" s="5">
        <v>120.5</v>
      </c>
      <c r="D21453" s="5">
        <v>0.1</v>
      </c>
      <c r="E21453" s="5">
        <v>120.6</v>
      </c>
      <c r="F21453" s="5">
        <v>240.8</v>
      </c>
      <c r="G21453" s="5">
        <v>120.2</v>
      </c>
      <c r="H21453" s="5">
        <v>120</v>
      </c>
      <c r="I21453" s="5"/>
      <c r="J21453" s="5"/>
      <c r="K21453" s="5"/>
    </row>
    <row r="21454" spans="1:11" x14ac:dyDescent="0.25">
      <c r="A21454" s="5">
        <f>21447</f>
      </c>
      <c r="B21454" s="5" t="s">
        <v>21462</v>
      </c>
      <c r="C21454" s="5">
        <v>120.4</v>
      </c>
      <c r="D21454" s="5">
        <v>0.1</v>
      </c>
      <c r="E21454" s="5">
        <v>120.6</v>
      </c>
      <c r="F21454" s="5">
        <v>240.8</v>
      </c>
      <c r="G21454" s="5">
        <v>120.2</v>
      </c>
      <c r="H21454" s="5">
        <v>120</v>
      </c>
      <c r="I21454" s="5"/>
      <c r="J21454" s="5"/>
      <c r="K21454" s="5"/>
    </row>
    <row r="21455" spans="1:11" x14ac:dyDescent="0.25">
      <c r="A21455" s="5">
        <f>21448</f>
      </c>
      <c r="B21455" s="5" t="s">
        <v>21463</v>
      </c>
      <c r="C21455" s="5">
        <v>120.4</v>
      </c>
      <c r="D21455" s="5">
        <v>0.1</v>
      </c>
      <c r="E21455" s="5">
        <v>120.6</v>
      </c>
      <c r="F21455" s="5">
        <v>240.9</v>
      </c>
      <c r="G21455" s="5">
        <v>120.2</v>
      </c>
      <c r="H21455" s="5">
        <v>120</v>
      </c>
      <c r="I21455" s="5"/>
      <c r="J21455" s="5"/>
      <c r="K21455" s="5"/>
    </row>
    <row r="21456" spans="1:11" x14ac:dyDescent="0.25">
      <c r="A21456" s="5">
        <f>21449</f>
      </c>
      <c r="B21456" s="5" t="s">
        <v>21464</v>
      </c>
      <c r="C21456" s="5">
        <v>120.4</v>
      </c>
      <c r="D21456" s="5">
        <v>0.1</v>
      </c>
      <c r="E21456" s="5">
        <v>120.6</v>
      </c>
      <c r="F21456" s="5">
        <v>240.9</v>
      </c>
      <c r="G21456" s="5">
        <v>120.2</v>
      </c>
      <c r="H21456" s="5">
        <v>120</v>
      </c>
      <c r="I21456" s="5"/>
      <c r="J21456" s="5"/>
      <c r="K21456" s="5"/>
    </row>
    <row r="21457" spans="1:11" x14ac:dyDescent="0.25">
      <c r="A21457" s="5">
        <f>21450</f>
      </c>
      <c r="B21457" s="5" t="s">
        <v>21465</v>
      </c>
      <c r="C21457" s="5">
        <v>120.4</v>
      </c>
      <c r="D21457" s="5">
        <v>0.1</v>
      </c>
      <c r="E21457" s="5">
        <v>120.6</v>
      </c>
      <c r="F21457" s="5">
        <v>240.9</v>
      </c>
      <c r="G21457" s="5">
        <v>120.2</v>
      </c>
      <c r="H21457" s="5">
        <v>120</v>
      </c>
      <c r="I21457" s="5"/>
      <c r="J21457" s="5"/>
      <c r="K21457" s="5"/>
    </row>
    <row r="21458" spans="1:11" x14ac:dyDescent="0.25">
      <c r="A21458" s="5">
        <f>21451</f>
      </c>
      <c r="B21458" s="5" t="s">
        <v>21466</v>
      </c>
      <c r="C21458" s="5">
        <v>120.6</v>
      </c>
      <c r="D21458" s="5">
        <v>0.1</v>
      </c>
      <c r="E21458" s="5">
        <v>120.8</v>
      </c>
      <c r="F21458" s="5">
        <v>240.4</v>
      </c>
      <c r="G21458" s="5">
        <v>120</v>
      </c>
      <c r="H21458" s="5">
        <v>119.9</v>
      </c>
      <c r="I21458" s="5"/>
      <c r="J21458" s="5"/>
      <c r="K21458" s="5"/>
    </row>
    <row r="21459" spans="1:11" x14ac:dyDescent="0.25">
      <c r="A21459" s="5">
        <f>21452</f>
      </c>
      <c r="B21459" s="5" t="s">
        <v>21467</v>
      </c>
      <c r="C21459" s="5">
        <v>120.6</v>
      </c>
      <c r="D21459" s="5">
        <v>0.1</v>
      </c>
      <c r="E21459" s="5">
        <v>120.8</v>
      </c>
      <c r="F21459" s="5">
        <v>240.4</v>
      </c>
      <c r="G21459" s="5">
        <v>120</v>
      </c>
      <c r="H21459" s="5">
        <v>119.9</v>
      </c>
      <c r="I21459" s="5"/>
      <c r="J21459" s="5"/>
      <c r="K21459" s="5"/>
    </row>
    <row r="21460" spans="1:11" x14ac:dyDescent="0.25">
      <c r="A21460" s="5">
        <f>21453</f>
      </c>
      <c r="B21460" s="5" t="s">
        <v>21468</v>
      </c>
      <c r="C21460" s="5">
        <v>120.3</v>
      </c>
      <c r="D21460" s="5">
        <v>0.1</v>
      </c>
      <c r="E21460" s="5">
        <v>120.5</v>
      </c>
      <c r="F21460" s="5">
        <v>240.1</v>
      </c>
      <c r="G21460" s="5">
        <v>119.8</v>
      </c>
      <c r="H21460" s="5">
        <v>119.7</v>
      </c>
      <c r="I21460" s="5"/>
      <c r="J21460" s="5"/>
      <c r="K21460" s="5"/>
    </row>
    <row r="21461" spans="1:11" x14ac:dyDescent="0.25">
      <c r="A21461" s="5">
        <f>21454</f>
      </c>
      <c r="B21461" s="5" t="s">
        <v>21469</v>
      </c>
      <c r="C21461" s="5">
        <v>120.3</v>
      </c>
      <c r="D21461" s="5">
        <v>0.1</v>
      </c>
      <c r="E21461" s="5">
        <v>120.5</v>
      </c>
      <c r="F21461" s="5">
        <v>240.1</v>
      </c>
      <c r="G21461" s="5">
        <v>119.8</v>
      </c>
      <c r="H21461" s="5">
        <v>119.7</v>
      </c>
      <c r="I21461" s="5"/>
      <c r="J21461" s="5"/>
      <c r="K21461" s="5"/>
    </row>
    <row r="21462" spans="1:11" x14ac:dyDescent="0.25">
      <c r="A21462" s="5">
        <f>21455</f>
      </c>
      <c r="B21462" s="5" t="s">
        <v>21470</v>
      </c>
      <c r="C21462" s="5">
        <v>120.3</v>
      </c>
      <c r="D21462" s="5">
        <v>0.1</v>
      </c>
      <c r="E21462" s="5">
        <v>120.6</v>
      </c>
      <c r="F21462" s="5">
        <v>240.3</v>
      </c>
      <c r="G21462" s="5">
        <v>120</v>
      </c>
      <c r="H21462" s="5">
        <v>119.8</v>
      </c>
      <c r="I21462" s="5"/>
      <c r="J21462" s="5"/>
      <c r="K21462" s="5"/>
    </row>
    <row r="21463" spans="1:11" x14ac:dyDescent="0.25">
      <c r="A21463" s="5">
        <f>21456</f>
      </c>
      <c r="B21463" s="5" t="s">
        <v>21471</v>
      </c>
      <c r="C21463" s="5">
        <v>120.3</v>
      </c>
      <c r="D21463" s="5">
        <v>0.1</v>
      </c>
      <c r="E21463" s="5">
        <v>120.6</v>
      </c>
      <c r="F21463" s="5">
        <v>240.3</v>
      </c>
      <c r="G21463" s="5">
        <v>120</v>
      </c>
      <c r="H21463" s="5">
        <v>119.8</v>
      </c>
      <c r="I21463" s="5"/>
      <c r="J21463" s="5"/>
      <c r="K21463" s="5"/>
    </row>
    <row r="21464" spans="1:11" x14ac:dyDescent="0.25">
      <c r="A21464" s="5">
        <f>21457</f>
      </c>
      <c r="B21464" s="5" t="s">
        <v>21472</v>
      </c>
      <c r="C21464" s="5">
        <v>120.3</v>
      </c>
      <c r="D21464" s="5">
        <v>0.1</v>
      </c>
      <c r="E21464" s="5">
        <v>120.5</v>
      </c>
      <c r="F21464" s="5">
        <v>240.7</v>
      </c>
      <c r="G21464" s="5">
        <v>120.1</v>
      </c>
      <c r="H21464" s="5">
        <v>120</v>
      </c>
      <c r="I21464" s="5"/>
      <c r="J21464" s="5"/>
      <c r="K21464" s="5"/>
    </row>
    <row r="21465" spans="1:11" x14ac:dyDescent="0.25">
      <c r="A21465" s="5">
        <f>21458</f>
      </c>
      <c r="B21465" s="5" t="s">
        <v>21473</v>
      </c>
      <c r="C21465" s="5">
        <v>120.3</v>
      </c>
      <c r="D21465" s="5">
        <v>0.1</v>
      </c>
      <c r="E21465" s="5">
        <v>120.5</v>
      </c>
      <c r="F21465" s="5">
        <v>240.7</v>
      </c>
      <c r="G21465" s="5">
        <v>120.1</v>
      </c>
      <c r="H21465" s="5">
        <v>120</v>
      </c>
      <c r="I21465" s="5"/>
      <c r="J21465" s="5"/>
      <c r="K21465" s="5"/>
    </row>
    <row r="21466" spans="1:11" x14ac:dyDescent="0.25">
      <c r="A21466" s="5">
        <f>21459</f>
      </c>
      <c r="B21466" s="5" t="s">
        <v>21474</v>
      </c>
      <c r="C21466" s="5">
        <v>120.3</v>
      </c>
      <c r="D21466" s="5">
        <v>0.1</v>
      </c>
      <c r="E21466" s="5">
        <v>120.5</v>
      </c>
      <c r="F21466" s="5">
        <v>240.7</v>
      </c>
      <c r="G21466" s="5">
        <v>120.1</v>
      </c>
      <c r="H21466" s="5">
        <v>120</v>
      </c>
      <c r="I21466" s="5"/>
      <c r="J21466" s="5"/>
      <c r="K21466" s="5"/>
    </row>
    <row r="21467" spans="1:11" x14ac:dyDescent="0.25">
      <c r="A21467" s="5">
        <f>21460</f>
      </c>
      <c r="B21467" s="5" t="s">
        <v>21475</v>
      </c>
      <c r="C21467" s="5">
        <v>120.3</v>
      </c>
      <c r="D21467" s="5">
        <v>0.1</v>
      </c>
      <c r="E21467" s="5">
        <v>120.5</v>
      </c>
      <c r="F21467" s="5">
        <v>240.7</v>
      </c>
      <c r="G21467" s="5">
        <v>120.1</v>
      </c>
      <c r="H21467" s="5">
        <v>120</v>
      </c>
      <c r="I21467" s="5"/>
      <c r="J21467" s="5"/>
      <c r="K21467" s="5"/>
    </row>
    <row r="21468" spans="1:11" x14ac:dyDescent="0.25">
      <c r="A21468" s="5">
        <f>21461</f>
      </c>
      <c r="B21468" s="5" t="s">
        <v>21476</v>
      </c>
      <c r="C21468" s="5">
        <v>120.1</v>
      </c>
      <c r="D21468" s="5">
        <v>0.1</v>
      </c>
      <c r="E21468" s="5">
        <v>120.2</v>
      </c>
      <c r="F21468" s="5">
        <v>240.1</v>
      </c>
      <c r="G21468" s="5">
        <v>119.8</v>
      </c>
      <c r="H21468" s="5">
        <v>119.7</v>
      </c>
      <c r="I21468" s="5"/>
      <c r="J21468" s="5"/>
      <c r="K21468" s="5"/>
    </row>
    <row r="21469" spans="1:11" x14ac:dyDescent="0.25">
      <c r="A21469" s="5">
        <f>21462</f>
      </c>
      <c r="B21469" s="5" t="s">
        <v>21477</v>
      </c>
      <c r="C21469" s="5">
        <v>120.1</v>
      </c>
      <c r="D21469" s="5">
        <v>0.1</v>
      </c>
      <c r="E21469" s="5">
        <v>120.2</v>
      </c>
      <c r="F21469" s="5">
        <v>240.1</v>
      </c>
      <c r="G21469" s="5">
        <v>119.8</v>
      </c>
      <c r="H21469" s="5">
        <v>119.7</v>
      </c>
      <c r="I21469" s="5"/>
      <c r="J21469" s="5"/>
      <c r="K21469" s="5"/>
    </row>
    <row r="21470" spans="1:11" x14ac:dyDescent="0.25">
      <c r="A21470" s="5">
        <f>21463</f>
      </c>
      <c r="B21470" s="5" t="s">
        <v>21478</v>
      </c>
      <c r="C21470" s="5">
        <v>120.4</v>
      </c>
      <c r="D21470" s="5">
        <v>0.1</v>
      </c>
      <c r="E21470" s="5">
        <v>120.6</v>
      </c>
      <c r="F21470" s="5">
        <v>240.6</v>
      </c>
      <c r="G21470" s="5">
        <v>120.1</v>
      </c>
      <c r="H21470" s="5">
        <v>120</v>
      </c>
      <c r="I21470" s="5"/>
      <c r="J21470" s="5"/>
      <c r="K21470" s="5"/>
    </row>
    <row r="21471" spans="1:11" x14ac:dyDescent="0.25">
      <c r="A21471" s="5">
        <f>21464</f>
      </c>
      <c r="B21471" s="5" t="s">
        <v>21479</v>
      </c>
      <c r="C21471" s="5">
        <v>120.4</v>
      </c>
      <c r="D21471" s="5">
        <v>0.1</v>
      </c>
      <c r="E21471" s="5">
        <v>120.6</v>
      </c>
      <c r="F21471" s="5">
        <v>240.6</v>
      </c>
      <c r="G21471" s="5">
        <v>120.1</v>
      </c>
      <c r="H21471" s="5">
        <v>120</v>
      </c>
      <c r="I21471" s="5"/>
      <c r="J21471" s="5"/>
      <c r="K21471" s="5"/>
    </row>
    <row r="21472" spans="1:11" x14ac:dyDescent="0.25">
      <c r="A21472" s="5">
        <f>21465</f>
      </c>
      <c r="B21472" s="5" t="s">
        <v>21480</v>
      </c>
      <c r="C21472" s="5">
        <v>120</v>
      </c>
      <c r="D21472" s="5">
        <v>0.1</v>
      </c>
      <c r="E21472" s="5">
        <v>120.2</v>
      </c>
      <c r="F21472" s="5">
        <v>240.3</v>
      </c>
      <c r="G21472" s="5">
        <v>120</v>
      </c>
      <c r="H21472" s="5">
        <v>119.8</v>
      </c>
      <c r="I21472" s="5"/>
      <c r="J21472" s="5"/>
      <c r="K21472" s="5"/>
    </row>
    <row r="21473" spans="1:11" x14ac:dyDescent="0.25">
      <c r="A21473" s="5">
        <f>21466</f>
      </c>
      <c r="B21473" s="5" t="s">
        <v>21481</v>
      </c>
      <c r="C21473" s="5">
        <v>120</v>
      </c>
      <c r="D21473" s="5">
        <v>0.1</v>
      </c>
      <c r="E21473" s="5">
        <v>120.2</v>
      </c>
      <c r="F21473" s="5">
        <v>240.3</v>
      </c>
      <c r="G21473" s="5">
        <v>120</v>
      </c>
      <c r="H21473" s="5">
        <v>119.8</v>
      </c>
      <c r="I21473" s="5"/>
      <c r="J21473" s="5"/>
      <c r="K21473" s="5"/>
    </row>
    <row r="21474" spans="1:11" x14ac:dyDescent="0.25">
      <c r="A21474" s="5">
        <f>21467</f>
      </c>
      <c r="B21474" s="5" t="s">
        <v>21482</v>
      </c>
      <c r="C21474" s="5">
        <v>120.1</v>
      </c>
      <c r="D21474" s="5">
        <v>0.1</v>
      </c>
      <c r="E21474" s="5">
        <v>120.2</v>
      </c>
      <c r="F21474" s="5">
        <v>240.3</v>
      </c>
      <c r="G21474" s="5">
        <v>119.9</v>
      </c>
      <c r="H21474" s="5">
        <v>119.8</v>
      </c>
      <c r="I21474" s="5"/>
      <c r="J21474" s="5"/>
      <c r="K21474" s="5"/>
    </row>
    <row r="21475" spans="1:11" x14ac:dyDescent="0.25">
      <c r="A21475" s="5">
        <f>21468</f>
      </c>
      <c r="B21475" s="5" t="s">
        <v>21483</v>
      </c>
      <c r="C21475" s="5">
        <v>120.1</v>
      </c>
      <c r="D21475" s="5">
        <v>0.1</v>
      </c>
      <c r="E21475" s="5">
        <v>120.2</v>
      </c>
      <c r="F21475" s="5">
        <v>240.3</v>
      </c>
      <c r="G21475" s="5">
        <v>119.9</v>
      </c>
      <c r="H21475" s="5">
        <v>119.8</v>
      </c>
      <c r="I21475" s="5"/>
      <c r="J21475" s="5"/>
      <c r="K21475" s="5"/>
    </row>
    <row r="21476" spans="1:11" x14ac:dyDescent="0.25">
      <c r="A21476" s="5">
        <f>21469</f>
      </c>
      <c r="B21476" s="5" t="s">
        <v>21484</v>
      </c>
      <c r="C21476" s="5">
        <v>120.1</v>
      </c>
      <c r="D21476" s="5">
        <v>0.1</v>
      </c>
      <c r="E21476" s="5">
        <v>120.2</v>
      </c>
      <c r="F21476" s="5">
        <v>240.3</v>
      </c>
      <c r="G21476" s="5">
        <v>119.9</v>
      </c>
      <c r="H21476" s="5">
        <v>119.8</v>
      </c>
      <c r="I21476" s="5"/>
      <c r="J21476" s="5"/>
      <c r="K21476" s="5"/>
    </row>
    <row r="21477" spans="1:11" x14ac:dyDescent="0.25">
      <c r="A21477" s="5">
        <f>21470</f>
      </c>
      <c r="B21477" s="5" t="s">
        <v>21485</v>
      </c>
      <c r="C21477" s="5">
        <v>120.1</v>
      </c>
      <c r="D21477" s="5">
        <v>0.1</v>
      </c>
      <c r="E21477" s="5">
        <v>120.2</v>
      </c>
      <c r="F21477" s="5">
        <v>240.3</v>
      </c>
      <c r="G21477" s="5">
        <v>119.9</v>
      </c>
      <c r="H21477" s="5">
        <v>119.8</v>
      </c>
      <c r="I21477" s="5"/>
      <c r="J21477" s="5"/>
      <c r="K21477" s="5"/>
    </row>
    <row r="21478" spans="1:11" x14ac:dyDescent="0.25">
      <c r="A21478" s="5">
        <f>21471</f>
      </c>
      <c r="B21478" s="5" t="s">
        <v>21486</v>
      </c>
      <c r="C21478" s="5">
        <v>120.5</v>
      </c>
      <c r="D21478" s="5">
        <v>0.1</v>
      </c>
      <c r="E21478" s="5">
        <v>120.6</v>
      </c>
      <c r="F21478" s="5">
        <v>239.9</v>
      </c>
      <c r="G21478" s="5">
        <v>119.7</v>
      </c>
      <c r="H21478" s="5">
        <v>119.6</v>
      </c>
      <c r="I21478" s="5"/>
      <c r="J21478" s="5"/>
      <c r="K21478" s="5"/>
    </row>
    <row r="21479" spans="1:11" x14ac:dyDescent="0.25">
      <c r="A21479" s="5">
        <f>21472</f>
      </c>
      <c r="B21479" s="5" t="s">
        <v>21487</v>
      </c>
      <c r="C21479" s="5">
        <v>120.5</v>
      </c>
      <c r="D21479" s="5">
        <v>0.1</v>
      </c>
      <c r="E21479" s="5">
        <v>120.6</v>
      </c>
      <c r="F21479" s="5">
        <v>239.9</v>
      </c>
      <c r="G21479" s="5">
        <v>119.7</v>
      </c>
      <c r="H21479" s="5">
        <v>119.6</v>
      </c>
      <c r="I21479" s="5"/>
      <c r="J21479" s="5"/>
      <c r="K21479" s="5"/>
    </row>
    <row r="21480" spans="1:11" x14ac:dyDescent="0.25">
      <c r="A21480" s="5">
        <f>21473</f>
      </c>
      <c r="B21480" s="5" t="s">
        <v>21488</v>
      </c>
      <c r="C21480" s="5">
        <v>120.3</v>
      </c>
      <c r="D21480" s="5">
        <v>0.1</v>
      </c>
      <c r="E21480" s="5">
        <v>120.6</v>
      </c>
      <c r="F21480" s="5">
        <v>240.5</v>
      </c>
      <c r="G21480" s="5">
        <v>120</v>
      </c>
      <c r="H21480" s="5">
        <v>119.8</v>
      </c>
      <c r="I21480" s="5"/>
      <c r="J21480" s="5"/>
      <c r="K21480" s="5"/>
    </row>
    <row r="21481" spans="1:11" x14ac:dyDescent="0.25">
      <c r="A21481" s="5">
        <f>21474</f>
      </c>
      <c r="B21481" s="5" t="s">
        <v>21489</v>
      </c>
      <c r="C21481" s="5">
        <v>120.3</v>
      </c>
      <c r="D21481" s="5">
        <v>0.1</v>
      </c>
      <c r="E21481" s="5">
        <v>120.6</v>
      </c>
      <c r="F21481" s="5">
        <v>240.5</v>
      </c>
      <c r="G21481" s="5">
        <v>120</v>
      </c>
      <c r="H21481" s="5">
        <v>119.8</v>
      </c>
      <c r="I21481" s="5"/>
      <c r="J21481" s="5"/>
      <c r="K21481" s="5"/>
    </row>
    <row r="21482" spans="1:11" x14ac:dyDescent="0.25">
      <c r="A21482" s="5">
        <f>21475</f>
      </c>
      <c r="B21482" s="5" t="s">
        <v>21490</v>
      </c>
      <c r="C21482" s="5">
        <v>120.5</v>
      </c>
      <c r="D21482" s="5">
        <v>0.1</v>
      </c>
      <c r="E21482" s="5">
        <v>120.6</v>
      </c>
      <c r="F21482" s="5">
        <v>240.7</v>
      </c>
      <c r="G21482" s="5">
        <v>120.1</v>
      </c>
      <c r="H21482" s="5">
        <v>120</v>
      </c>
      <c r="I21482" s="5"/>
      <c r="J21482" s="5"/>
      <c r="K21482" s="5"/>
    </row>
    <row r="21483" spans="1:11" x14ac:dyDescent="0.25">
      <c r="A21483" s="5">
        <f>21476</f>
      </c>
      <c r="B21483" s="5" t="s">
        <v>21491</v>
      </c>
      <c r="C21483" s="5">
        <v>120.6</v>
      </c>
      <c r="D21483" s="5">
        <v>0.1</v>
      </c>
      <c r="E21483" s="5">
        <v>120.7</v>
      </c>
      <c r="F21483" s="5">
        <v>240.8</v>
      </c>
      <c r="G21483" s="5">
        <v>120.2</v>
      </c>
      <c r="H21483" s="5">
        <v>120</v>
      </c>
      <c r="I21483" s="5"/>
      <c r="J21483" s="5"/>
      <c r="K21483" s="5"/>
    </row>
    <row r="21484" spans="1:11" x14ac:dyDescent="0.25">
      <c r="A21484" s="5">
        <f>21477</f>
      </c>
      <c r="B21484" s="5" t="s">
        <v>21492</v>
      </c>
      <c r="C21484" s="5">
        <v>120.6</v>
      </c>
      <c r="D21484" s="5">
        <v>0.1</v>
      </c>
      <c r="E21484" s="5">
        <v>120.7</v>
      </c>
      <c r="F21484" s="5">
        <v>240.8</v>
      </c>
      <c r="G21484" s="5">
        <v>120.2</v>
      </c>
      <c r="H21484" s="5">
        <v>120</v>
      </c>
      <c r="I21484" s="5"/>
      <c r="J21484" s="5"/>
      <c r="K21484" s="5"/>
    </row>
    <row r="21485" spans="1:11" x14ac:dyDescent="0.25">
      <c r="A21485" s="5">
        <f>21478</f>
      </c>
      <c r="B21485" s="5" t="s">
        <v>21493</v>
      </c>
      <c r="C21485" s="5">
        <v>120.6</v>
      </c>
      <c r="D21485" s="5">
        <v>0.1</v>
      </c>
      <c r="E21485" s="5">
        <v>120.7</v>
      </c>
      <c r="F21485" s="5">
        <v>240.8</v>
      </c>
      <c r="G21485" s="5">
        <v>120.2</v>
      </c>
      <c r="H21485" s="5">
        <v>120</v>
      </c>
      <c r="I21485" s="5"/>
      <c r="J21485" s="5"/>
      <c r="K21485" s="5"/>
    </row>
    <row r="21486" spans="1:11" x14ac:dyDescent="0.25">
      <c r="A21486" s="5">
        <f>21479</f>
      </c>
      <c r="B21486" s="5" t="s">
        <v>21494</v>
      </c>
      <c r="C21486" s="5">
        <v>120.6</v>
      </c>
      <c r="D21486" s="5">
        <v>0.1</v>
      </c>
      <c r="E21486" s="5">
        <v>120.7</v>
      </c>
      <c r="F21486" s="5">
        <v>240.8</v>
      </c>
      <c r="G21486" s="5">
        <v>120.2</v>
      </c>
      <c r="H21486" s="5">
        <v>120</v>
      </c>
      <c r="I21486" s="5"/>
      <c r="J21486" s="5"/>
      <c r="K21486" s="5"/>
    </row>
    <row r="21487" spans="1:11" x14ac:dyDescent="0.25">
      <c r="A21487" s="5">
        <f>21480</f>
      </c>
      <c r="B21487" s="5" t="s">
        <v>21495</v>
      </c>
      <c r="C21487" s="5">
        <v>120.1</v>
      </c>
      <c r="D21487" s="5">
        <v>0.1</v>
      </c>
      <c r="E21487" s="5">
        <v>120.2</v>
      </c>
      <c r="F21487" s="5">
        <v>240.1</v>
      </c>
      <c r="G21487" s="5">
        <v>119.9</v>
      </c>
      <c r="H21487" s="5">
        <v>119.7</v>
      </c>
      <c r="I21487" s="5"/>
      <c r="J21487" s="5"/>
      <c r="K21487" s="5"/>
    </row>
    <row r="21488" spans="1:11" x14ac:dyDescent="0.25">
      <c r="A21488" s="5">
        <f>21481</f>
      </c>
      <c r="B21488" s="5" t="s">
        <v>21496</v>
      </c>
      <c r="C21488" s="5">
        <v>120.1</v>
      </c>
      <c r="D21488" s="5">
        <v>0.1</v>
      </c>
      <c r="E21488" s="5">
        <v>120.2</v>
      </c>
      <c r="F21488" s="5">
        <v>240.1</v>
      </c>
      <c r="G21488" s="5">
        <v>119.9</v>
      </c>
      <c r="H21488" s="5">
        <v>119.7</v>
      </c>
      <c r="I21488" s="5"/>
      <c r="J21488" s="5"/>
      <c r="K21488" s="5"/>
    </row>
    <row r="21489" spans="1:11" x14ac:dyDescent="0.25">
      <c r="A21489" s="5">
        <f>21482</f>
      </c>
      <c r="B21489" s="5" t="s">
        <v>21497</v>
      </c>
      <c r="C21489" s="5">
        <v>120.3</v>
      </c>
      <c r="D21489" s="5">
        <v>0.1</v>
      </c>
      <c r="E21489" s="5">
        <v>120.5</v>
      </c>
      <c r="F21489" s="5">
        <v>240.3</v>
      </c>
      <c r="G21489" s="5">
        <v>119.9</v>
      </c>
      <c r="H21489" s="5">
        <v>119.7</v>
      </c>
      <c r="I21489" s="5"/>
      <c r="J21489" s="5"/>
      <c r="K21489" s="5"/>
    </row>
    <row r="21490" spans="1:11" x14ac:dyDescent="0.25">
      <c r="A21490" s="5">
        <f>21483</f>
      </c>
      <c r="B21490" s="5" t="s">
        <v>21498</v>
      </c>
      <c r="C21490" s="5">
        <v>120.3</v>
      </c>
      <c r="D21490" s="5">
        <v>0.1</v>
      </c>
      <c r="E21490" s="5">
        <v>120.5</v>
      </c>
      <c r="F21490" s="5">
        <v>240.3</v>
      </c>
      <c r="G21490" s="5">
        <v>119.9</v>
      </c>
      <c r="H21490" s="5">
        <v>119.7</v>
      </c>
      <c r="I21490" s="5"/>
      <c r="J21490" s="5"/>
      <c r="K21490" s="5"/>
    </row>
    <row r="21491" spans="1:11" x14ac:dyDescent="0.25">
      <c r="A21491" s="5">
        <f>21484</f>
      </c>
      <c r="B21491" s="5" t="s">
        <v>21499</v>
      </c>
      <c r="C21491" s="5">
        <v>120.4</v>
      </c>
      <c r="D21491" s="5">
        <v>0.1</v>
      </c>
      <c r="E21491" s="5">
        <v>120.6</v>
      </c>
      <c r="F21491" s="5">
        <v>240.8</v>
      </c>
      <c r="G21491" s="5">
        <v>120.2</v>
      </c>
      <c r="H21491" s="5">
        <v>120</v>
      </c>
      <c r="I21491" s="5"/>
      <c r="J21491" s="5"/>
      <c r="K21491" s="5"/>
    </row>
    <row r="21492" spans="1:11" x14ac:dyDescent="0.25">
      <c r="A21492" s="5">
        <f>21485</f>
      </c>
      <c r="B21492" s="5" t="s">
        <v>21500</v>
      </c>
      <c r="C21492" s="5">
        <v>120.4</v>
      </c>
      <c r="D21492" s="5">
        <v>0.1</v>
      </c>
      <c r="E21492" s="5">
        <v>120.6</v>
      </c>
      <c r="F21492" s="5">
        <v>240.8</v>
      </c>
      <c r="G21492" s="5">
        <v>120.2</v>
      </c>
      <c r="H21492" s="5">
        <v>120</v>
      </c>
      <c r="I21492" s="5"/>
      <c r="J21492" s="5"/>
      <c r="K21492" s="5"/>
    </row>
    <row r="21493" spans="1:11" x14ac:dyDescent="0.25">
      <c r="A21493" s="5">
        <f>21486</f>
      </c>
      <c r="B21493" s="5" t="s">
        <v>21501</v>
      </c>
      <c r="C21493" s="5">
        <v>120.6</v>
      </c>
      <c r="D21493" s="5">
        <v>0.1</v>
      </c>
      <c r="E21493" s="5">
        <v>120.7</v>
      </c>
      <c r="F21493" s="5">
        <v>240.7</v>
      </c>
      <c r="G21493" s="5">
        <v>120.1</v>
      </c>
      <c r="H21493" s="5">
        <v>119.9</v>
      </c>
      <c r="I21493" s="5"/>
      <c r="J21493" s="5"/>
      <c r="K21493" s="5"/>
    </row>
    <row r="21494" spans="1:11" x14ac:dyDescent="0.25">
      <c r="A21494" s="5">
        <f>21487</f>
      </c>
      <c r="B21494" s="5" t="s">
        <v>21502</v>
      </c>
      <c r="C21494" s="5">
        <v>120.6</v>
      </c>
      <c r="D21494" s="5">
        <v>0.1</v>
      </c>
      <c r="E21494" s="5">
        <v>120.7</v>
      </c>
      <c r="F21494" s="5">
        <v>240.7</v>
      </c>
      <c r="G21494" s="5">
        <v>120.1</v>
      </c>
      <c r="H21494" s="5">
        <v>119.9</v>
      </c>
      <c r="I21494" s="5"/>
      <c r="J21494" s="5"/>
      <c r="K21494" s="5"/>
    </row>
    <row r="21495" spans="1:11" x14ac:dyDescent="0.25">
      <c r="A21495" s="5">
        <f>21488</f>
      </c>
      <c r="B21495" s="5" t="s">
        <v>21503</v>
      </c>
      <c r="C21495" s="5">
        <v>120.6</v>
      </c>
      <c r="D21495" s="5">
        <v>0.1</v>
      </c>
      <c r="E21495" s="5">
        <v>120.7</v>
      </c>
      <c r="F21495" s="5">
        <v>240.7</v>
      </c>
      <c r="G21495" s="5">
        <v>120.1</v>
      </c>
      <c r="H21495" s="5">
        <v>119.9</v>
      </c>
      <c r="I21495" s="5"/>
      <c r="J21495" s="5"/>
      <c r="K21495" s="5"/>
    </row>
    <row r="21496" spans="1:11" x14ac:dyDescent="0.25">
      <c r="A21496" s="5">
        <f>21489</f>
      </c>
      <c r="B21496" s="5" t="s">
        <v>21504</v>
      </c>
      <c r="C21496" s="5">
        <v>120.6</v>
      </c>
      <c r="D21496" s="5">
        <v>0.1</v>
      </c>
      <c r="E21496" s="5">
        <v>120.7</v>
      </c>
      <c r="F21496" s="5">
        <v>240.7</v>
      </c>
      <c r="G21496" s="5">
        <v>120.1</v>
      </c>
      <c r="H21496" s="5">
        <v>119.9</v>
      </c>
      <c r="I21496" s="5"/>
      <c r="J21496" s="5"/>
      <c r="K21496" s="5"/>
    </row>
    <row r="21497" spans="1:11" x14ac:dyDescent="0.25">
      <c r="A21497" s="5">
        <f>21490</f>
      </c>
      <c r="B21497" s="5" t="s">
        <v>21505</v>
      </c>
      <c r="C21497" s="5">
        <v>120.4</v>
      </c>
      <c r="D21497" s="5">
        <v>0.1</v>
      </c>
      <c r="E21497" s="5">
        <v>120.6</v>
      </c>
      <c r="F21497" s="5">
        <v>240.9</v>
      </c>
      <c r="G21497" s="5">
        <v>120.2</v>
      </c>
      <c r="H21497" s="5">
        <v>120</v>
      </c>
      <c r="I21497" s="5"/>
      <c r="J21497" s="5"/>
      <c r="K21497" s="5"/>
    </row>
    <row r="21498" spans="1:11" x14ac:dyDescent="0.25">
      <c r="A21498" s="5">
        <f>21491</f>
      </c>
      <c r="B21498" s="5" t="s">
        <v>21506</v>
      </c>
      <c r="C21498" s="5">
        <v>120.4</v>
      </c>
      <c r="D21498" s="5">
        <v>0.1</v>
      </c>
      <c r="E21498" s="5">
        <v>120.6</v>
      </c>
      <c r="F21498" s="5">
        <v>240.9</v>
      </c>
      <c r="G21498" s="5">
        <v>120.2</v>
      </c>
      <c r="H21498" s="5">
        <v>120</v>
      </c>
      <c r="I21498" s="5"/>
      <c r="J21498" s="5"/>
      <c r="K21498" s="5"/>
    </row>
    <row r="21499" spans="1:11" x14ac:dyDescent="0.25">
      <c r="A21499" s="5">
        <f>21492</f>
      </c>
      <c r="B21499" s="5" t="s">
        <v>21507</v>
      </c>
      <c r="C21499" s="5">
        <v>120.6</v>
      </c>
      <c r="D21499" s="5">
        <v>0.1</v>
      </c>
      <c r="E21499" s="5">
        <v>120.9</v>
      </c>
      <c r="F21499" s="5">
        <v>241</v>
      </c>
      <c r="G21499" s="5">
        <v>120.3</v>
      </c>
      <c r="H21499" s="5">
        <v>120.1</v>
      </c>
      <c r="I21499" s="5"/>
      <c r="J21499" s="5"/>
      <c r="K21499" s="5"/>
    </row>
    <row r="21500" spans="1:11" x14ac:dyDescent="0.25">
      <c r="A21500" s="5">
        <f>21493</f>
      </c>
      <c r="B21500" s="5" t="s">
        <v>21508</v>
      </c>
      <c r="C21500" s="5">
        <v>120.6</v>
      </c>
      <c r="D21500" s="5">
        <v>0.1</v>
      </c>
      <c r="E21500" s="5">
        <v>120.9</v>
      </c>
      <c r="F21500" s="5">
        <v>241</v>
      </c>
      <c r="G21500" s="5">
        <v>120.3</v>
      </c>
      <c r="H21500" s="5">
        <v>120.1</v>
      </c>
      <c r="I21500" s="5"/>
      <c r="J21500" s="5"/>
      <c r="K21500" s="5"/>
    </row>
    <row r="21501" spans="1:11" x14ac:dyDescent="0.25">
      <c r="A21501" s="5">
        <f>21494</f>
      </c>
      <c r="B21501" s="5" t="s">
        <v>21509</v>
      </c>
      <c r="C21501" s="5">
        <v>120.8</v>
      </c>
      <c r="D21501" s="5">
        <v>0.1</v>
      </c>
      <c r="E21501" s="5">
        <v>120.9</v>
      </c>
      <c r="F21501" s="5">
        <v>241</v>
      </c>
      <c r="G21501" s="5">
        <v>120.3</v>
      </c>
      <c r="H21501" s="5">
        <v>120.1</v>
      </c>
      <c r="I21501" s="5"/>
      <c r="J21501" s="5"/>
      <c r="K21501" s="5"/>
    </row>
    <row r="21502" spans="1:11" x14ac:dyDescent="0.25">
      <c r="A21502" s="5">
        <f>21495</f>
      </c>
      <c r="B21502" s="5" t="s">
        <v>21510</v>
      </c>
      <c r="C21502" s="5">
        <v>120.8</v>
      </c>
      <c r="D21502" s="5">
        <v>0.1</v>
      </c>
      <c r="E21502" s="5">
        <v>120.9</v>
      </c>
      <c r="F21502" s="5">
        <v>241</v>
      </c>
      <c r="G21502" s="5">
        <v>120.3</v>
      </c>
      <c r="H21502" s="5">
        <v>120.1</v>
      </c>
      <c r="I21502" s="5"/>
      <c r="J21502" s="5"/>
      <c r="K21502" s="5"/>
    </row>
    <row r="21503" spans="1:11" x14ac:dyDescent="0.25">
      <c r="A21503" s="5">
        <f>21496</f>
      </c>
      <c r="B21503" s="5" t="s">
        <v>21511</v>
      </c>
      <c r="C21503" s="5">
        <v>120.5</v>
      </c>
      <c r="D21503" s="5">
        <v>0.1</v>
      </c>
      <c r="E21503" s="5">
        <v>120.6</v>
      </c>
      <c r="F21503" s="5">
        <v>241</v>
      </c>
      <c r="G21503" s="5">
        <v>120.3</v>
      </c>
      <c r="H21503" s="5">
        <v>120.1</v>
      </c>
      <c r="I21503" s="5"/>
      <c r="J21503" s="5"/>
      <c r="K21503" s="5"/>
    </row>
    <row r="21504" spans="1:11" x14ac:dyDescent="0.25">
      <c r="A21504" s="5">
        <f>21497</f>
      </c>
      <c r="B21504" s="5" t="s">
        <v>21512</v>
      </c>
      <c r="C21504" s="5">
        <v>120.5</v>
      </c>
      <c r="D21504" s="5">
        <v>0.1</v>
      </c>
      <c r="E21504" s="5">
        <v>120.6</v>
      </c>
      <c r="F21504" s="5">
        <v>241</v>
      </c>
      <c r="G21504" s="5">
        <v>120.3</v>
      </c>
      <c r="H21504" s="5">
        <v>120.1</v>
      </c>
      <c r="I21504" s="5"/>
      <c r="J21504" s="5"/>
      <c r="K21504" s="5"/>
    </row>
    <row r="21505" spans="1:11" x14ac:dyDescent="0.25">
      <c r="A21505" s="5">
        <f>21498</f>
      </c>
      <c r="B21505" s="5" t="s">
        <v>21513</v>
      </c>
      <c r="C21505" s="5">
        <v>120.5</v>
      </c>
      <c r="D21505" s="5">
        <v>0.1</v>
      </c>
      <c r="E21505" s="5">
        <v>120.6</v>
      </c>
      <c r="F21505" s="5">
        <v>241</v>
      </c>
      <c r="G21505" s="5">
        <v>120.3</v>
      </c>
      <c r="H21505" s="5">
        <v>120.1</v>
      </c>
      <c r="I21505" s="5"/>
      <c r="J21505" s="5"/>
      <c r="K21505" s="5"/>
    </row>
    <row r="21506" spans="1:11" x14ac:dyDescent="0.25">
      <c r="A21506" s="5">
        <f>21499</f>
      </c>
      <c r="B21506" s="5" t="s">
        <v>21514</v>
      </c>
      <c r="C21506" s="5">
        <v>120.5</v>
      </c>
      <c r="D21506" s="5">
        <v>0.1</v>
      </c>
      <c r="E21506" s="5">
        <v>120.6</v>
      </c>
      <c r="F21506" s="5">
        <v>241</v>
      </c>
      <c r="G21506" s="5">
        <v>120.3</v>
      </c>
      <c r="H21506" s="5">
        <v>120.1</v>
      </c>
      <c r="I21506" s="5"/>
      <c r="J21506" s="5"/>
      <c r="K21506" s="5"/>
    </row>
    <row r="21507" spans="1:11" x14ac:dyDescent="0.25">
      <c r="A21507" s="5">
        <f>21500</f>
      </c>
      <c r="B21507" s="5" t="s">
        <v>21515</v>
      </c>
      <c r="C21507" s="5">
        <v>120.4</v>
      </c>
      <c r="D21507" s="5">
        <v>0.1</v>
      </c>
      <c r="E21507" s="5">
        <v>120.6</v>
      </c>
      <c r="F21507" s="5">
        <v>240.6</v>
      </c>
      <c r="G21507" s="5">
        <v>120.1</v>
      </c>
      <c r="H21507" s="5">
        <v>119.9</v>
      </c>
      <c r="I21507" s="5"/>
      <c r="J21507" s="5"/>
      <c r="K21507" s="5"/>
    </row>
    <row r="21508" spans="1:11" x14ac:dyDescent="0.25">
      <c r="A21508" s="5">
        <f>21501</f>
      </c>
      <c r="B21508" s="5" t="s">
        <v>21516</v>
      </c>
      <c r="C21508" s="5">
        <v>120.4</v>
      </c>
      <c r="D21508" s="5">
        <v>0.1</v>
      </c>
      <c r="E21508" s="5">
        <v>120.6</v>
      </c>
      <c r="F21508" s="5">
        <v>240.6</v>
      </c>
      <c r="G21508" s="5">
        <v>120.1</v>
      </c>
      <c r="H21508" s="5">
        <v>119.9</v>
      </c>
      <c r="I21508" s="5"/>
      <c r="J21508" s="5"/>
      <c r="K21508" s="5"/>
    </row>
    <row r="21509" spans="1:11" x14ac:dyDescent="0.25">
      <c r="A21509" s="5">
        <f>21502</f>
      </c>
      <c r="B21509" s="5" t="s">
        <v>21517</v>
      </c>
      <c r="C21509" s="5">
        <v>120.5</v>
      </c>
      <c r="D21509" s="5">
        <v>0.1</v>
      </c>
      <c r="E21509" s="5">
        <v>120.7</v>
      </c>
      <c r="F21509" s="5">
        <v>240.4</v>
      </c>
      <c r="G21509" s="5">
        <v>120</v>
      </c>
      <c r="H21509" s="5">
        <v>119.8</v>
      </c>
      <c r="I21509" s="5"/>
      <c r="J21509" s="5"/>
      <c r="K21509" s="5"/>
    </row>
    <row r="21510" spans="1:11" x14ac:dyDescent="0.25">
      <c r="A21510" s="5">
        <f>21503</f>
      </c>
      <c r="B21510" s="5" t="s">
        <v>21518</v>
      </c>
      <c r="C21510" s="5">
        <v>120.5</v>
      </c>
      <c r="D21510" s="5">
        <v>0.1</v>
      </c>
      <c r="E21510" s="5">
        <v>120.7</v>
      </c>
      <c r="F21510" s="5">
        <v>240.4</v>
      </c>
      <c r="G21510" s="5">
        <v>120</v>
      </c>
      <c r="H21510" s="5">
        <v>119.8</v>
      </c>
      <c r="I21510" s="5"/>
      <c r="J21510" s="5"/>
      <c r="K21510" s="5"/>
    </row>
    <row r="21511" spans="1:11" x14ac:dyDescent="0.25">
      <c r="A21511" s="5">
        <f>21504</f>
      </c>
      <c r="B21511" s="5" t="s">
        <v>21519</v>
      </c>
      <c r="C21511" s="5">
        <v>120.7</v>
      </c>
      <c r="D21511" s="5">
        <v>0.1</v>
      </c>
      <c r="E21511" s="5">
        <v>120.9</v>
      </c>
      <c r="F21511" s="5">
        <v>240.4</v>
      </c>
      <c r="G21511" s="5">
        <v>119.9</v>
      </c>
      <c r="H21511" s="5">
        <v>119.8</v>
      </c>
      <c r="I21511" s="5"/>
      <c r="J21511" s="5"/>
      <c r="K21511" s="5"/>
    </row>
    <row r="21512" spans="1:11" x14ac:dyDescent="0.25">
      <c r="A21512" s="5">
        <f>21505</f>
      </c>
      <c r="B21512" s="5" t="s">
        <v>21520</v>
      </c>
      <c r="C21512" s="5">
        <v>120.7</v>
      </c>
      <c r="D21512" s="5">
        <v>0.1</v>
      </c>
      <c r="E21512" s="5">
        <v>120.9</v>
      </c>
      <c r="F21512" s="5">
        <v>240.4</v>
      </c>
      <c r="G21512" s="5">
        <v>119.9</v>
      </c>
      <c r="H21512" s="5">
        <v>119.8</v>
      </c>
      <c r="I21512" s="5"/>
      <c r="J21512" s="5"/>
      <c r="K21512" s="5"/>
    </row>
    <row r="21513" spans="1:11" x14ac:dyDescent="0.25">
      <c r="A21513" s="5">
        <f>21506</f>
      </c>
      <c r="B21513" s="5" t="s">
        <v>21521</v>
      </c>
      <c r="C21513" s="5">
        <v>120.6</v>
      </c>
      <c r="D21513" s="5">
        <v>0.1</v>
      </c>
      <c r="E21513" s="5">
        <v>120.7</v>
      </c>
      <c r="F21513" s="5">
        <v>240.7</v>
      </c>
      <c r="G21513" s="5">
        <v>120.1</v>
      </c>
      <c r="H21513" s="5">
        <v>119.9</v>
      </c>
      <c r="I21513" s="5"/>
      <c r="J21513" s="5"/>
      <c r="K21513" s="5"/>
    </row>
    <row r="21514" spans="1:11" x14ac:dyDescent="0.25">
      <c r="A21514" s="5">
        <f>21507</f>
      </c>
      <c r="B21514" s="5" t="s">
        <v>21522</v>
      </c>
      <c r="C21514" s="5">
        <v>120.6</v>
      </c>
      <c r="D21514" s="5">
        <v>0.1</v>
      </c>
      <c r="E21514" s="5">
        <v>120.7</v>
      </c>
      <c r="F21514" s="5">
        <v>240.7</v>
      </c>
      <c r="G21514" s="5">
        <v>120.1</v>
      </c>
      <c r="H21514" s="5">
        <v>119.9</v>
      </c>
      <c r="I21514" s="5"/>
      <c r="J21514" s="5"/>
      <c r="K21514" s="5"/>
    </row>
    <row r="21515" spans="1:11" x14ac:dyDescent="0.25">
      <c r="A21515" s="5">
        <f>21508</f>
      </c>
      <c r="B21515" s="5" t="s">
        <v>21523</v>
      </c>
      <c r="C21515" s="5">
        <v>120.6</v>
      </c>
      <c r="D21515" s="5">
        <v>0.1</v>
      </c>
      <c r="E21515" s="5">
        <v>120.7</v>
      </c>
      <c r="F21515" s="5">
        <v>240.7</v>
      </c>
      <c r="G21515" s="5">
        <v>120.1</v>
      </c>
      <c r="H21515" s="5">
        <v>119.9</v>
      </c>
      <c r="I21515" s="5"/>
      <c r="J21515" s="5"/>
      <c r="K21515" s="5"/>
    </row>
    <row r="21516" spans="1:11" x14ac:dyDescent="0.25">
      <c r="A21516" s="5">
        <f>21509</f>
      </c>
      <c r="B21516" s="5" t="s">
        <v>21524</v>
      </c>
      <c r="C21516" s="5">
        <v>120.6</v>
      </c>
      <c r="D21516" s="5">
        <v>0.1</v>
      </c>
      <c r="E21516" s="5">
        <v>120.7</v>
      </c>
      <c r="F21516" s="5">
        <v>240.7</v>
      </c>
      <c r="G21516" s="5">
        <v>120.1</v>
      </c>
      <c r="H21516" s="5">
        <v>119.9</v>
      </c>
      <c r="I21516" s="5"/>
      <c r="J21516" s="5"/>
      <c r="K21516" s="5"/>
    </row>
    <row r="21517" spans="1:11" x14ac:dyDescent="0.25">
      <c r="A21517" s="5">
        <f>21510</f>
      </c>
      <c r="B21517" s="5" t="s">
        <v>21525</v>
      </c>
      <c r="C21517" s="5">
        <v>120.8</v>
      </c>
      <c r="D21517" s="5">
        <v>0.1</v>
      </c>
      <c r="E21517" s="5">
        <v>120.9</v>
      </c>
      <c r="F21517" s="5">
        <v>240.8</v>
      </c>
      <c r="G21517" s="5">
        <v>120.2</v>
      </c>
      <c r="H21517" s="5">
        <v>120</v>
      </c>
      <c r="I21517" s="5"/>
      <c r="J21517" s="5"/>
      <c r="K21517" s="5"/>
    </row>
    <row r="21518" spans="1:11" x14ac:dyDescent="0.25">
      <c r="A21518" s="5">
        <f>21511</f>
      </c>
      <c r="B21518" s="5" t="s">
        <v>21526</v>
      </c>
      <c r="C21518" s="5">
        <v>120.8</v>
      </c>
      <c r="D21518" s="5">
        <v>0.1</v>
      </c>
      <c r="E21518" s="5">
        <v>120.9</v>
      </c>
      <c r="F21518" s="5">
        <v>240.8</v>
      </c>
      <c r="G21518" s="5">
        <v>120.2</v>
      </c>
      <c r="H21518" s="5">
        <v>120</v>
      </c>
      <c r="I21518" s="5"/>
      <c r="J21518" s="5"/>
      <c r="K21518" s="5"/>
    </row>
    <row r="21519" spans="1:11" x14ac:dyDescent="0.25">
      <c r="A21519" s="5">
        <f>21512</f>
      </c>
      <c r="B21519" s="5" t="s">
        <v>21527</v>
      </c>
      <c r="C21519" s="5">
        <v>120.9</v>
      </c>
      <c r="D21519" s="5">
        <v>0.1</v>
      </c>
      <c r="E21519" s="5">
        <v>121.1</v>
      </c>
      <c r="F21519" s="5">
        <v>241.3</v>
      </c>
      <c r="G21519" s="5">
        <v>120.4</v>
      </c>
      <c r="H21519" s="5">
        <v>120.3</v>
      </c>
      <c r="I21519" s="5"/>
      <c r="J21519" s="5"/>
      <c r="K21519" s="5"/>
    </row>
    <row r="21520" spans="1:11" x14ac:dyDescent="0.25">
      <c r="A21520" s="5">
        <f>21513</f>
      </c>
      <c r="B21520" s="5" t="s">
        <v>21528</v>
      </c>
      <c r="C21520" s="5">
        <v>120.9</v>
      </c>
      <c r="D21520" s="5">
        <v>0.1</v>
      </c>
      <c r="E21520" s="5">
        <v>121.1</v>
      </c>
      <c r="F21520" s="5">
        <v>241.3</v>
      </c>
      <c r="G21520" s="5">
        <v>120.4</v>
      </c>
      <c r="H21520" s="5">
        <v>120.3</v>
      </c>
      <c r="I21520" s="5"/>
      <c r="J21520" s="5"/>
      <c r="K21520" s="5"/>
    </row>
    <row r="21521" spans="1:11" x14ac:dyDescent="0.25">
      <c r="A21521" s="5">
        <f>21514</f>
      </c>
      <c r="B21521" s="5" t="s">
        <v>21529</v>
      </c>
      <c r="C21521" s="5">
        <v>120.6</v>
      </c>
      <c r="D21521" s="5">
        <v>0.1</v>
      </c>
      <c r="E21521" s="5">
        <v>120.8</v>
      </c>
      <c r="F21521" s="5">
        <v>241.1</v>
      </c>
      <c r="G21521" s="5">
        <v>120.3</v>
      </c>
      <c r="H21521" s="5">
        <v>120.1</v>
      </c>
      <c r="I21521" s="5"/>
      <c r="J21521" s="5"/>
      <c r="K21521" s="5"/>
    </row>
    <row r="21522" spans="1:11" x14ac:dyDescent="0.25">
      <c r="A21522" s="5">
        <f>21515</f>
      </c>
      <c r="B21522" s="5" t="s">
        <v>21530</v>
      </c>
      <c r="C21522" s="5">
        <v>120.6</v>
      </c>
      <c r="D21522" s="5">
        <v>0.1</v>
      </c>
      <c r="E21522" s="5">
        <v>120.8</v>
      </c>
      <c r="F21522" s="5">
        <v>241.1</v>
      </c>
      <c r="G21522" s="5">
        <v>120.3</v>
      </c>
      <c r="H21522" s="5">
        <v>120.1</v>
      </c>
      <c r="I21522" s="5"/>
      <c r="J21522" s="5"/>
      <c r="K21522" s="5"/>
    </row>
    <row r="21523" spans="1:11" x14ac:dyDescent="0.25">
      <c r="A21523" s="5">
        <f>21516</f>
      </c>
      <c r="B21523" s="5" t="s">
        <v>21531</v>
      </c>
      <c r="C21523" s="5">
        <v>120.5</v>
      </c>
      <c r="D21523" s="5">
        <v>0.1</v>
      </c>
      <c r="E21523" s="5">
        <v>120.7</v>
      </c>
      <c r="F21523" s="5">
        <v>241.2</v>
      </c>
      <c r="G21523" s="5">
        <v>120.4</v>
      </c>
      <c r="H21523" s="5">
        <v>120.2</v>
      </c>
      <c r="I21523" s="5"/>
      <c r="J21523" s="5"/>
      <c r="K21523" s="5"/>
    </row>
    <row r="21524" spans="1:11" x14ac:dyDescent="0.25">
      <c r="A21524" s="5">
        <f>21517</f>
      </c>
      <c r="B21524" s="5" t="s">
        <v>21532</v>
      </c>
      <c r="C21524" s="5">
        <v>120.5</v>
      </c>
      <c r="D21524" s="5">
        <v>0.1</v>
      </c>
      <c r="E21524" s="5">
        <v>120.7</v>
      </c>
      <c r="F21524" s="5">
        <v>241.2</v>
      </c>
      <c r="G21524" s="5">
        <v>120.4</v>
      </c>
      <c r="H21524" s="5">
        <v>120.2</v>
      </c>
      <c r="I21524" s="5"/>
      <c r="J21524" s="5"/>
      <c r="K21524" s="5"/>
    </row>
    <row r="21525" spans="1:11" x14ac:dyDescent="0.25">
      <c r="A21525" s="5">
        <f>21518</f>
      </c>
      <c r="B21525" s="5" t="s">
        <v>21533</v>
      </c>
      <c r="C21525" s="5">
        <v>120.5</v>
      </c>
      <c r="D21525" s="5">
        <v>0.1</v>
      </c>
      <c r="E21525" s="5">
        <v>120.7</v>
      </c>
      <c r="F21525" s="5">
        <v>241.2</v>
      </c>
      <c r="G21525" s="5">
        <v>120.4</v>
      </c>
      <c r="H21525" s="5">
        <v>120.2</v>
      </c>
      <c r="I21525" s="5"/>
      <c r="J21525" s="5"/>
      <c r="K21525" s="5"/>
    </row>
    <row r="21526" spans="1:11" x14ac:dyDescent="0.25">
      <c r="A21526" s="5">
        <f>21519</f>
      </c>
      <c r="B21526" s="5" t="s">
        <v>21534</v>
      </c>
      <c r="C21526" s="5">
        <v>120.5</v>
      </c>
      <c r="D21526" s="5">
        <v>0.1</v>
      </c>
      <c r="E21526" s="5">
        <v>120.7</v>
      </c>
      <c r="F21526" s="5">
        <v>241.2</v>
      </c>
      <c r="G21526" s="5">
        <v>120.4</v>
      </c>
      <c r="H21526" s="5">
        <v>120</v>
      </c>
      <c r="I21526" s="5"/>
      <c r="J21526" s="5"/>
      <c r="K21526" s="5"/>
    </row>
    <row r="21527" spans="1:11" x14ac:dyDescent="0.25">
      <c r="A21527" s="5">
        <f>21520</f>
      </c>
      <c r="B21527" s="5" t="s">
        <v>21535</v>
      </c>
      <c r="C21527" s="5">
        <v>120.5</v>
      </c>
      <c r="D21527" s="5">
        <v>0.1</v>
      </c>
      <c r="E21527" s="5">
        <v>120.6</v>
      </c>
      <c r="F21527" s="5">
        <v>240.8</v>
      </c>
      <c r="G21527" s="5">
        <v>120.1</v>
      </c>
      <c r="H21527" s="5">
        <v>120</v>
      </c>
      <c r="I21527" s="5"/>
      <c r="J21527" s="5"/>
      <c r="K21527" s="5"/>
    </row>
    <row r="21528" spans="1:11" x14ac:dyDescent="0.25">
      <c r="A21528" s="5">
        <f>21521</f>
      </c>
      <c r="B21528" s="5" t="s">
        <v>21536</v>
      </c>
      <c r="C21528" s="5">
        <v>120.5</v>
      </c>
      <c r="D21528" s="5">
        <v>0.1</v>
      </c>
      <c r="E21528" s="5">
        <v>120.6</v>
      </c>
      <c r="F21528" s="5">
        <v>240.8</v>
      </c>
      <c r="G21528" s="5">
        <v>120.1</v>
      </c>
      <c r="H21528" s="5">
        <v>120</v>
      </c>
      <c r="I21528" s="5"/>
      <c r="J21528" s="5"/>
      <c r="K21528" s="5"/>
    </row>
    <row r="21529" spans="1:11" x14ac:dyDescent="0.25">
      <c r="A21529" s="5">
        <f>21522</f>
      </c>
      <c r="B21529" s="5" t="s">
        <v>21537</v>
      </c>
      <c r="C21529" s="5">
        <v>120.5</v>
      </c>
      <c r="D21529" s="5">
        <v>0.1</v>
      </c>
      <c r="E21529" s="5">
        <v>120.6</v>
      </c>
      <c r="F21529" s="5">
        <v>240.6</v>
      </c>
      <c r="G21529" s="5">
        <v>120.1</v>
      </c>
      <c r="H21529" s="5">
        <v>120</v>
      </c>
      <c r="I21529" s="5"/>
      <c r="J21529" s="5"/>
      <c r="K21529" s="5"/>
    </row>
    <row r="21530" spans="1:11" x14ac:dyDescent="0.25">
      <c r="A21530" s="5">
        <f>21523</f>
      </c>
      <c r="B21530" s="5" t="s">
        <v>21538</v>
      </c>
      <c r="C21530" s="5">
        <v>120.5</v>
      </c>
      <c r="D21530" s="5">
        <v>0.1</v>
      </c>
      <c r="E21530" s="5">
        <v>120.6</v>
      </c>
      <c r="F21530" s="5">
        <v>240.6</v>
      </c>
      <c r="G21530" s="5">
        <v>120.1</v>
      </c>
      <c r="H21530" s="5">
        <v>120</v>
      </c>
      <c r="I21530" s="5"/>
      <c r="J21530" s="5"/>
      <c r="K21530" s="5"/>
    </row>
    <row r="21531" spans="1:11" x14ac:dyDescent="0.25">
      <c r="A21531" s="5">
        <f>21524</f>
      </c>
      <c r="B21531" s="5" t="s">
        <v>21539</v>
      </c>
      <c r="C21531" s="5">
        <v>120.2</v>
      </c>
      <c r="D21531" s="5">
        <v>0.1</v>
      </c>
      <c r="E21531" s="5">
        <v>120.4</v>
      </c>
      <c r="F21531" s="5">
        <v>240.6</v>
      </c>
      <c r="G21531" s="5">
        <v>120.1</v>
      </c>
      <c r="H21531" s="5">
        <v>119.9</v>
      </c>
      <c r="I21531" s="5"/>
      <c r="J21531" s="5"/>
      <c r="K21531" s="5"/>
    </row>
    <row r="21532" spans="1:11" x14ac:dyDescent="0.25">
      <c r="A21532" s="5">
        <f>21525</f>
      </c>
      <c r="B21532" s="5" t="s">
        <v>21540</v>
      </c>
      <c r="C21532" s="5">
        <v>120.2</v>
      </c>
      <c r="D21532" s="5">
        <v>0.1</v>
      </c>
      <c r="E21532" s="5">
        <v>120.4</v>
      </c>
      <c r="F21532" s="5">
        <v>240.6</v>
      </c>
      <c r="G21532" s="5">
        <v>120.1</v>
      </c>
      <c r="H21532" s="5">
        <v>119.9</v>
      </c>
      <c r="I21532" s="5"/>
      <c r="J21532" s="5"/>
      <c r="K21532" s="5"/>
    </row>
    <row r="21533" spans="1:11" x14ac:dyDescent="0.25">
      <c r="A21533" s="5">
        <f>21526</f>
      </c>
      <c r="B21533" s="5" t="s">
        <v>21541</v>
      </c>
      <c r="C21533" s="5">
        <v>120.4</v>
      </c>
      <c r="D21533" s="5">
        <v>0.1</v>
      </c>
      <c r="E21533" s="5">
        <v>120.6</v>
      </c>
      <c r="F21533" s="5">
        <v>240.7</v>
      </c>
      <c r="G21533" s="5">
        <v>120.1</v>
      </c>
      <c r="H21533" s="5">
        <v>119.9</v>
      </c>
      <c r="I21533" s="5"/>
      <c r="J21533" s="5"/>
      <c r="K21533" s="5"/>
    </row>
    <row r="21534" spans="1:11" x14ac:dyDescent="0.25">
      <c r="A21534" s="5">
        <f>21527</f>
      </c>
      <c r="B21534" s="5" t="s">
        <v>21542</v>
      </c>
      <c r="C21534" s="5">
        <v>120.4</v>
      </c>
      <c r="D21534" s="5">
        <v>0.1</v>
      </c>
      <c r="E21534" s="5">
        <v>120.6</v>
      </c>
      <c r="F21534" s="5">
        <v>240.7</v>
      </c>
      <c r="G21534" s="5">
        <v>120.1</v>
      </c>
      <c r="H21534" s="5">
        <v>119.9</v>
      </c>
      <c r="I21534" s="5"/>
      <c r="J21534" s="5"/>
      <c r="K21534" s="5"/>
    </row>
    <row r="21535" spans="1:11" x14ac:dyDescent="0.25">
      <c r="A21535" s="5">
        <f>21528</f>
      </c>
      <c r="B21535" s="5" t="s">
        <v>21543</v>
      </c>
      <c r="C21535" s="5">
        <v>120.4</v>
      </c>
      <c r="D21535" s="5">
        <v>0.1</v>
      </c>
      <c r="E21535" s="5">
        <v>120.6</v>
      </c>
      <c r="F21535" s="5">
        <v>240.7</v>
      </c>
      <c r="G21535" s="5">
        <v>120.1</v>
      </c>
      <c r="H21535" s="5">
        <v>119.9</v>
      </c>
      <c r="I21535" s="5"/>
      <c r="J21535" s="5"/>
      <c r="K21535" s="5"/>
    </row>
    <row r="21536" spans="1:11" x14ac:dyDescent="0.25">
      <c r="A21536" s="5">
        <f>21529</f>
      </c>
      <c r="B21536" s="5" t="s">
        <v>21544</v>
      </c>
      <c r="C21536" s="5">
        <v>120.4</v>
      </c>
      <c r="D21536" s="5">
        <v>0.1</v>
      </c>
      <c r="E21536" s="5">
        <v>120.6</v>
      </c>
      <c r="F21536" s="5">
        <v>240.7</v>
      </c>
      <c r="G21536" s="5">
        <v>120.1</v>
      </c>
      <c r="H21536" s="5">
        <v>119.9</v>
      </c>
      <c r="I21536" s="5"/>
      <c r="J21536" s="5"/>
      <c r="K21536" s="5"/>
    </row>
    <row r="21537" spans="1:11" x14ac:dyDescent="0.25">
      <c r="A21537" s="5">
        <f>21530</f>
      </c>
      <c r="B21537" s="5" t="s">
        <v>21545</v>
      </c>
      <c r="C21537" s="5">
        <v>120.3</v>
      </c>
      <c r="D21537" s="5">
        <v>0.1</v>
      </c>
      <c r="E21537" s="5">
        <v>120.5</v>
      </c>
      <c r="F21537" s="5">
        <v>240.8</v>
      </c>
      <c r="G21537" s="5">
        <v>120.2</v>
      </c>
      <c r="H21537" s="5">
        <v>120</v>
      </c>
      <c r="I21537" s="5"/>
      <c r="J21537" s="5"/>
      <c r="K21537" s="5"/>
    </row>
    <row r="21538" spans="1:11" x14ac:dyDescent="0.25">
      <c r="A21538" s="5">
        <f>21531</f>
      </c>
      <c r="B21538" s="5" t="s">
        <v>21546</v>
      </c>
      <c r="C21538" s="5">
        <v>120.3</v>
      </c>
      <c r="D21538" s="5">
        <v>0.1</v>
      </c>
      <c r="E21538" s="5">
        <v>120.5</v>
      </c>
      <c r="F21538" s="5">
        <v>240.8</v>
      </c>
      <c r="G21538" s="5">
        <v>120.2</v>
      </c>
      <c r="H21538" s="5">
        <v>120</v>
      </c>
      <c r="I21538" s="5"/>
      <c r="J21538" s="5"/>
      <c r="K21538" s="5"/>
    </row>
    <row r="21539" spans="1:11" x14ac:dyDescent="0.25">
      <c r="A21539" s="5">
        <f>21532</f>
      </c>
      <c r="B21539" s="5" t="s">
        <v>21547</v>
      </c>
      <c r="C21539" s="5">
        <v>120.7</v>
      </c>
      <c r="D21539" s="5">
        <v>0.1</v>
      </c>
      <c r="E21539" s="5">
        <v>120.9</v>
      </c>
      <c r="F21539" s="5">
        <v>241.1</v>
      </c>
      <c r="G21539" s="5">
        <v>120.3</v>
      </c>
      <c r="H21539" s="5">
        <v>120.1</v>
      </c>
      <c r="I21539" s="5"/>
      <c r="J21539" s="5"/>
      <c r="K21539" s="5"/>
    </row>
    <row r="21540" spans="1:11" x14ac:dyDescent="0.25">
      <c r="A21540" s="5">
        <f>21533</f>
      </c>
      <c r="B21540" s="5" t="s">
        <v>21548</v>
      </c>
      <c r="C21540" s="5">
        <v>120.7</v>
      </c>
      <c r="D21540" s="5">
        <v>0.1</v>
      </c>
      <c r="E21540" s="5">
        <v>120.9</v>
      </c>
      <c r="F21540" s="5">
        <v>241.1</v>
      </c>
      <c r="G21540" s="5">
        <v>120.3</v>
      </c>
      <c r="H21540" s="5">
        <v>120.1</v>
      </c>
      <c r="I21540" s="5"/>
      <c r="J21540" s="5"/>
      <c r="K21540" s="5"/>
    </row>
    <row r="21541" spans="1:11" x14ac:dyDescent="0.25">
      <c r="A21541" s="5">
        <f>21534</f>
      </c>
      <c r="B21541" s="5" t="s">
        <v>21549</v>
      </c>
      <c r="C21541" s="5">
        <v>120.8</v>
      </c>
      <c r="D21541" s="5">
        <v>0.1</v>
      </c>
      <c r="E21541" s="5">
        <v>120.9</v>
      </c>
      <c r="F21541" s="5">
        <v>241</v>
      </c>
      <c r="G21541" s="5">
        <v>120.3</v>
      </c>
      <c r="H21541" s="5">
        <v>120.1</v>
      </c>
      <c r="I21541" s="5"/>
      <c r="J21541" s="5"/>
      <c r="K21541" s="5"/>
    </row>
    <row r="21542" spans="1:11" x14ac:dyDescent="0.25">
      <c r="A21542" s="5">
        <f>21535</f>
      </c>
      <c r="B21542" s="5" t="s">
        <v>21550</v>
      </c>
      <c r="C21542" s="5">
        <v>120.8</v>
      </c>
      <c r="D21542" s="5">
        <v>0.1</v>
      </c>
      <c r="E21542" s="5">
        <v>120.9</v>
      </c>
      <c r="F21542" s="5">
        <v>241</v>
      </c>
      <c r="G21542" s="5">
        <v>120.3</v>
      </c>
      <c r="H21542" s="5">
        <v>120.1</v>
      </c>
      <c r="I21542" s="5"/>
      <c r="J21542" s="5"/>
      <c r="K21542" s="5"/>
    </row>
    <row r="21543" spans="1:11" x14ac:dyDescent="0.25">
      <c r="A21543" s="5">
        <f>21536</f>
      </c>
      <c r="B21543" s="5" t="s">
        <v>21551</v>
      </c>
      <c r="C21543" s="5">
        <v>120.9</v>
      </c>
      <c r="D21543" s="5">
        <v>0.1</v>
      </c>
      <c r="E21543" s="5">
        <v>121</v>
      </c>
      <c r="F21543" s="5">
        <v>241</v>
      </c>
      <c r="G21543" s="5">
        <v>120.3</v>
      </c>
      <c r="H21543" s="5">
        <v>120.1</v>
      </c>
      <c r="I21543" s="5"/>
      <c r="J21543" s="5"/>
      <c r="K21543" s="5"/>
    </row>
    <row r="21544" spans="1:11" x14ac:dyDescent="0.25">
      <c r="A21544" s="5">
        <f>21537</f>
      </c>
      <c r="B21544" s="5" t="s">
        <v>21552</v>
      </c>
      <c r="C21544" s="5">
        <v>120.9</v>
      </c>
      <c r="D21544" s="5">
        <v>0.1</v>
      </c>
      <c r="E21544" s="5">
        <v>121</v>
      </c>
      <c r="F21544" s="5">
        <v>241</v>
      </c>
      <c r="G21544" s="5">
        <v>120.3</v>
      </c>
      <c r="H21544" s="5">
        <v>120.1</v>
      </c>
      <c r="I21544" s="5"/>
      <c r="J21544" s="5"/>
      <c r="K21544" s="5"/>
    </row>
    <row r="21545" spans="1:11" x14ac:dyDescent="0.25">
      <c r="A21545" s="5">
        <f>21538</f>
      </c>
      <c r="B21545" s="5" t="s">
        <v>21553</v>
      </c>
      <c r="C21545" s="5">
        <v>120.9</v>
      </c>
      <c r="D21545" s="5">
        <v>0.1</v>
      </c>
      <c r="E21545" s="5">
        <v>121</v>
      </c>
      <c r="F21545" s="5">
        <v>241</v>
      </c>
      <c r="G21545" s="5">
        <v>120.3</v>
      </c>
      <c r="H21545" s="5">
        <v>120.1</v>
      </c>
      <c r="I21545" s="5"/>
      <c r="J21545" s="5"/>
      <c r="K21545" s="5"/>
    </row>
    <row r="21546" spans="1:11" x14ac:dyDescent="0.25">
      <c r="A21546" s="5">
        <f>21539</f>
      </c>
      <c r="B21546" s="5" t="s">
        <v>21554</v>
      </c>
      <c r="C21546" s="5">
        <v>120.9</v>
      </c>
      <c r="D21546" s="5">
        <v>0.1</v>
      </c>
      <c r="E21546" s="5">
        <v>121</v>
      </c>
      <c r="F21546" s="5">
        <v>241</v>
      </c>
      <c r="G21546" s="5">
        <v>120.3</v>
      </c>
      <c r="H21546" s="5">
        <v>120.1</v>
      </c>
      <c r="I21546" s="5"/>
      <c r="J21546" s="5"/>
      <c r="K21546" s="5"/>
    </row>
    <row r="21547" spans="1:11" x14ac:dyDescent="0.25">
      <c r="A21547" s="5">
        <f>21540</f>
      </c>
      <c r="B21547" s="5" t="s">
        <v>21555</v>
      </c>
      <c r="C21547" s="5">
        <v>119.9</v>
      </c>
      <c r="D21547" s="5">
        <v>0.1</v>
      </c>
      <c r="E21547" s="5">
        <v>120.1</v>
      </c>
      <c r="F21547" s="5">
        <v>240.3</v>
      </c>
      <c r="G21547" s="5">
        <v>119.9</v>
      </c>
      <c r="H21547" s="5">
        <v>119.8</v>
      </c>
      <c r="I21547" s="5"/>
      <c r="J21547" s="5"/>
      <c r="K21547" s="5"/>
    </row>
    <row r="21548" spans="1:11" x14ac:dyDescent="0.25">
      <c r="A21548" s="5">
        <f>21541</f>
      </c>
      <c r="B21548" s="5" t="s">
        <v>21556</v>
      </c>
      <c r="C21548" s="5">
        <v>119.9</v>
      </c>
      <c r="D21548" s="5">
        <v>0.1</v>
      </c>
      <c r="E21548" s="5">
        <v>120.1</v>
      </c>
      <c r="F21548" s="5">
        <v>240.3</v>
      </c>
      <c r="G21548" s="5">
        <v>119.9</v>
      </c>
      <c r="H21548" s="5">
        <v>119.8</v>
      </c>
      <c r="I21548" s="5"/>
      <c r="J21548" s="5"/>
      <c r="K21548" s="5"/>
    </row>
    <row r="21549" spans="1:11" x14ac:dyDescent="0.25">
      <c r="A21549" s="5">
        <f>21542</f>
      </c>
      <c r="B21549" s="5" t="s">
        <v>21557</v>
      </c>
      <c r="C21549" s="5">
        <v>120.2</v>
      </c>
      <c r="D21549" s="5">
        <v>0.1</v>
      </c>
      <c r="E21549" s="5">
        <v>120.4</v>
      </c>
      <c r="F21549" s="5">
        <v>240.8</v>
      </c>
      <c r="G21549" s="5">
        <v>120.2</v>
      </c>
      <c r="H21549" s="5">
        <v>120</v>
      </c>
      <c r="I21549" s="5"/>
      <c r="J21549" s="5"/>
      <c r="K21549" s="5"/>
    </row>
    <row r="21550" spans="1:11" x14ac:dyDescent="0.25">
      <c r="A21550" s="5">
        <f>21543</f>
      </c>
      <c r="B21550" s="5" t="s">
        <v>21558</v>
      </c>
      <c r="C21550" s="5">
        <v>120.2</v>
      </c>
      <c r="D21550" s="5">
        <v>0.1</v>
      </c>
      <c r="E21550" s="5">
        <v>120.4</v>
      </c>
      <c r="F21550" s="5">
        <v>240.8</v>
      </c>
      <c r="G21550" s="5">
        <v>120.2</v>
      </c>
      <c r="H21550" s="5">
        <v>120</v>
      </c>
      <c r="I21550" s="5"/>
      <c r="J21550" s="5"/>
      <c r="K21550" s="5"/>
    </row>
    <row r="21551" spans="1:11" x14ac:dyDescent="0.25">
      <c r="A21551" s="5">
        <f>21544</f>
      </c>
      <c r="B21551" s="5" t="s">
        <v>21559</v>
      </c>
      <c r="C21551" s="5">
        <v>120.6</v>
      </c>
      <c r="D21551" s="5">
        <v>0.1</v>
      </c>
      <c r="E21551" s="5">
        <v>120.8</v>
      </c>
      <c r="F21551" s="5">
        <v>240.8</v>
      </c>
      <c r="G21551" s="5">
        <v>120.2</v>
      </c>
      <c r="H21551" s="5">
        <v>120.1</v>
      </c>
      <c r="I21551" s="5"/>
      <c r="J21551" s="5"/>
      <c r="K21551" s="5"/>
    </row>
    <row r="21552" spans="1:11" x14ac:dyDescent="0.25">
      <c r="A21552" s="5">
        <f>21545</f>
      </c>
      <c r="B21552" s="5" t="s">
        <v>21560</v>
      </c>
      <c r="C21552" s="5">
        <v>120.6</v>
      </c>
      <c r="D21552" s="5">
        <v>0.1</v>
      </c>
      <c r="E21552" s="5">
        <v>120.8</v>
      </c>
      <c r="F21552" s="5">
        <v>240.8</v>
      </c>
      <c r="G21552" s="5">
        <v>120.2</v>
      </c>
      <c r="H21552" s="5">
        <v>120.1</v>
      </c>
      <c r="I21552" s="5"/>
      <c r="J21552" s="5"/>
      <c r="K21552" s="5"/>
    </row>
    <row r="21553" spans="1:11" x14ac:dyDescent="0.25">
      <c r="A21553" s="5">
        <f>21546</f>
      </c>
      <c r="B21553" s="5" t="s">
        <v>21561</v>
      </c>
      <c r="C21553" s="5">
        <v>120.6</v>
      </c>
      <c r="D21553" s="5">
        <v>0.1</v>
      </c>
      <c r="E21553" s="5">
        <v>120.7</v>
      </c>
      <c r="F21553" s="5">
        <v>240.5</v>
      </c>
      <c r="G21553" s="5">
        <v>120</v>
      </c>
      <c r="H21553" s="5">
        <v>119.8</v>
      </c>
      <c r="I21553" s="5"/>
      <c r="J21553" s="5"/>
      <c r="K21553" s="5"/>
    </row>
    <row r="21554" spans="1:11" x14ac:dyDescent="0.25">
      <c r="A21554" s="5">
        <f>21547</f>
      </c>
      <c r="B21554" s="5" t="s">
        <v>21562</v>
      </c>
      <c r="C21554" s="5">
        <v>120.6</v>
      </c>
      <c r="D21554" s="5">
        <v>0.1</v>
      </c>
      <c r="E21554" s="5">
        <v>120.7</v>
      </c>
      <c r="F21554" s="5">
        <v>240.5</v>
      </c>
      <c r="G21554" s="5">
        <v>120</v>
      </c>
      <c r="H21554" s="5">
        <v>119.8</v>
      </c>
      <c r="I21554" s="5"/>
      <c r="J21554" s="5"/>
      <c r="K21554" s="5"/>
    </row>
    <row r="21555" spans="1:11" x14ac:dyDescent="0.25">
      <c r="A21555" s="5">
        <f>21548</f>
      </c>
      <c r="B21555" s="5" t="s">
        <v>21563</v>
      </c>
      <c r="C21555" s="5">
        <v>120.6</v>
      </c>
      <c r="D21555" s="5">
        <v>0.1</v>
      </c>
      <c r="E21555" s="5">
        <v>120.7</v>
      </c>
      <c r="F21555" s="5">
        <v>240.5</v>
      </c>
      <c r="G21555" s="5">
        <v>120</v>
      </c>
      <c r="H21555" s="5">
        <v>119.8</v>
      </c>
      <c r="I21555" s="5"/>
      <c r="J21555" s="5"/>
      <c r="K21555" s="5"/>
    </row>
    <row r="21556" spans="1:11" x14ac:dyDescent="0.25">
      <c r="A21556" s="5">
        <f>21549</f>
      </c>
      <c r="B21556" s="5" t="s">
        <v>21564</v>
      </c>
      <c r="C21556" s="5">
        <v>120.6</v>
      </c>
      <c r="D21556" s="5">
        <v>0.1</v>
      </c>
      <c r="E21556" s="5">
        <v>120.7</v>
      </c>
      <c r="F21556" s="5">
        <v>240.5</v>
      </c>
      <c r="G21556" s="5">
        <v>120.1</v>
      </c>
      <c r="H21556" s="5">
        <v>120</v>
      </c>
      <c r="I21556" s="5"/>
      <c r="J21556" s="5"/>
      <c r="K21556" s="5"/>
    </row>
    <row r="21557" spans="1:11" x14ac:dyDescent="0.25">
      <c r="A21557" s="5">
        <f>21550</f>
      </c>
      <c r="B21557" s="5" t="s">
        <v>21565</v>
      </c>
      <c r="C21557" s="5">
        <v>120.5</v>
      </c>
      <c r="D21557" s="5">
        <v>0.1</v>
      </c>
      <c r="E21557" s="5">
        <v>120.6</v>
      </c>
      <c r="F21557" s="5">
        <v>240.6</v>
      </c>
      <c r="G21557" s="5">
        <v>120.1</v>
      </c>
      <c r="H21557" s="5">
        <v>120</v>
      </c>
      <c r="I21557" s="5"/>
      <c r="J21557" s="5"/>
      <c r="K21557" s="5"/>
    </row>
    <row r="21558" spans="1:11" x14ac:dyDescent="0.25">
      <c r="A21558" s="5">
        <f>21551</f>
      </c>
      <c r="B21558" s="5" t="s">
        <v>21566</v>
      </c>
      <c r="C21558" s="5">
        <v>120.5</v>
      </c>
      <c r="D21558" s="5">
        <v>0.1</v>
      </c>
      <c r="E21558" s="5">
        <v>120.6</v>
      </c>
      <c r="F21558" s="5">
        <v>240.6</v>
      </c>
      <c r="G21558" s="5">
        <v>120</v>
      </c>
      <c r="H21558" s="5">
        <v>119.8</v>
      </c>
      <c r="I21558" s="5"/>
      <c r="J21558" s="5"/>
      <c r="K21558" s="5"/>
    </row>
    <row r="21559" spans="1:11" x14ac:dyDescent="0.25">
      <c r="A21559" s="5">
        <f>21552</f>
      </c>
      <c r="B21559" s="5" t="s">
        <v>21567</v>
      </c>
      <c r="C21559" s="5">
        <v>120.5</v>
      </c>
      <c r="D21559" s="5">
        <v>0.1</v>
      </c>
      <c r="E21559" s="5">
        <v>120.7</v>
      </c>
      <c r="F21559" s="5">
        <v>240.5</v>
      </c>
      <c r="G21559" s="5">
        <v>120</v>
      </c>
      <c r="H21559" s="5">
        <v>119.8</v>
      </c>
      <c r="I21559" s="5"/>
      <c r="J21559" s="5"/>
      <c r="K21559" s="5"/>
    </row>
    <row r="21560" spans="1:11" x14ac:dyDescent="0.25">
      <c r="A21560" s="5">
        <f>21553</f>
      </c>
      <c r="B21560" s="5" t="s">
        <v>21568</v>
      </c>
      <c r="C21560" s="5">
        <v>120.5</v>
      </c>
      <c r="D21560" s="5">
        <v>0.1</v>
      </c>
      <c r="E21560" s="5">
        <v>120.7</v>
      </c>
      <c r="F21560" s="5">
        <v>240.5</v>
      </c>
      <c r="G21560" s="5">
        <v>120</v>
      </c>
      <c r="H21560" s="5">
        <v>120</v>
      </c>
      <c r="I21560" s="5"/>
      <c r="J21560" s="5"/>
      <c r="K21560" s="5"/>
    </row>
    <row r="21561" spans="1:11" x14ac:dyDescent="0.25">
      <c r="A21561" s="5">
        <f>21554</f>
      </c>
      <c r="B21561" s="5" t="s">
        <v>21569</v>
      </c>
      <c r="C21561" s="5">
        <v>120.7</v>
      </c>
      <c r="D21561" s="5">
        <v>0.1</v>
      </c>
      <c r="E21561" s="5">
        <v>120.9</v>
      </c>
      <c r="F21561" s="5">
        <v>240.8</v>
      </c>
      <c r="G21561" s="5">
        <v>120.2</v>
      </c>
      <c r="H21561" s="5">
        <v>120</v>
      </c>
      <c r="I21561" s="5"/>
      <c r="J21561" s="5"/>
      <c r="K21561" s="5"/>
    </row>
    <row r="21562" spans="1:11" x14ac:dyDescent="0.25">
      <c r="A21562" s="5">
        <f>21555</f>
      </c>
      <c r="B21562" s="5" t="s">
        <v>21570</v>
      </c>
      <c r="C21562" s="5">
        <v>120.7</v>
      </c>
      <c r="D21562" s="5">
        <v>0.1</v>
      </c>
      <c r="E21562" s="5">
        <v>120.9</v>
      </c>
      <c r="F21562" s="5">
        <v>240.8</v>
      </c>
      <c r="G21562" s="5">
        <v>120.2</v>
      </c>
      <c r="H21562" s="5">
        <v>120</v>
      </c>
      <c r="I21562" s="5"/>
      <c r="J21562" s="5"/>
      <c r="K21562" s="5"/>
    </row>
    <row r="21563" spans="1:11" x14ac:dyDescent="0.25">
      <c r="A21563" s="5">
        <f>21556</f>
      </c>
      <c r="B21563" s="5" t="s">
        <v>21571</v>
      </c>
      <c r="C21563" s="5">
        <v>118.6</v>
      </c>
      <c r="D21563" s="5">
        <v>0.1</v>
      </c>
      <c r="E21563" s="5">
        <v>118.8</v>
      </c>
      <c r="F21563" s="5">
        <v>236.6</v>
      </c>
      <c r="G21563" s="5">
        <v>118.1</v>
      </c>
      <c r="H21563" s="5">
        <v>117.9</v>
      </c>
      <c r="I21563" s="5"/>
      <c r="J21563" s="5"/>
      <c r="K21563" s="5"/>
    </row>
    <row r="21564" spans="1:11" x14ac:dyDescent="0.25">
      <c r="A21564" s="5">
        <f>21557</f>
      </c>
      <c r="B21564" s="5" t="s">
        <v>21572</v>
      </c>
      <c r="C21564" s="5">
        <v>118.6</v>
      </c>
      <c r="D21564" s="5">
        <v>0.1</v>
      </c>
      <c r="E21564" s="5">
        <v>118.8</v>
      </c>
      <c r="F21564" s="5">
        <v>236.6</v>
      </c>
      <c r="G21564" s="5">
        <v>118.1</v>
      </c>
      <c r="H21564" s="5">
        <v>117.9</v>
      </c>
      <c r="I21564" s="5"/>
      <c r="J21564" s="5"/>
      <c r="K21564" s="5"/>
    </row>
    <row r="21565" spans="1:11" x14ac:dyDescent="0.25">
      <c r="A21565" s="5">
        <f>21558</f>
      </c>
      <c r="B21565" s="5" t="s">
        <v>21573</v>
      </c>
      <c r="C21565" s="5">
        <v>118.6</v>
      </c>
      <c r="D21565" s="5">
        <v>0.1</v>
      </c>
      <c r="E21565" s="5">
        <v>118.8</v>
      </c>
      <c r="F21565" s="5">
        <v>236.6</v>
      </c>
      <c r="G21565" s="5">
        <v>118.1</v>
      </c>
      <c r="H21565" s="5">
        <v>117.9</v>
      </c>
      <c r="I21565" s="5"/>
      <c r="J21565" s="5"/>
      <c r="K21565" s="5"/>
    </row>
    <row r="21566" spans="1:11" x14ac:dyDescent="0.25">
      <c r="A21566" s="5">
        <f>21559</f>
      </c>
      <c r="B21566" s="5" t="s">
        <v>21574</v>
      </c>
      <c r="C21566" s="5">
        <v>119.6</v>
      </c>
      <c r="D21566" s="5">
        <v>0.1</v>
      </c>
      <c r="E21566" s="5">
        <v>119.7</v>
      </c>
      <c r="F21566" s="5">
        <v>239.2</v>
      </c>
      <c r="G21566" s="5">
        <v>119.4</v>
      </c>
      <c r="H21566" s="5">
        <v>119.2</v>
      </c>
      <c r="I21566" s="5"/>
      <c r="J21566" s="5"/>
      <c r="K21566" s="5"/>
    </row>
    <row r="21567" spans="1:11" x14ac:dyDescent="0.25">
      <c r="A21567" s="5">
        <f>21560</f>
      </c>
      <c r="B21567" s="5" t="s">
        <v>21575</v>
      </c>
      <c r="C21567" s="5">
        <v>119.6</v>
      </c>
      <c r="D21567" s="5">
        <v>0.1</v>
      </c>
      <c r="E21567" s="5">
        <v>119.7</v>
      </c>
      <c r="F21567" s="5">
        <v>239.2</v>
      </c>
      <c r="G21567" s="5">
        <v>119.4</v>
      </c>
      <c r="H21567" s="5">
        <v>119.2</v>
      </c>
      <c r="I21567" s="5"/>
      <c r="J21567" s="5"/>
      <c r="K21567" s="5"/>
    </row>
    <row r="21568" spans="1:11" x14ac:dyDescent="0.25">
      <c r="A21568" s="5">
        <f>21561</f>
      </c>
      <c r="B21568" s="5" t="s">
        <v>21576</v>
      </c>
      <c r="C21568" s="5">
        <v>119.6</v>
      </c>
      <c r="D21568" s="5">
        <v>0.1</v>
      </c>
      <c r="E21568" s="5">
        <v>119.7</v>
      </c>
      <c r="F21568" s="5">
        <v>239</v>
      </c>
      <c r="G21568" s="5">
        <v>119.3</v>
      </c>
      <c r="H21568" s="5">
        <v>119.1</v>
      </c>
      <c r="I21568" s="5"/>
      <c r="J21568" s="5"/>
      <c r="K21568" s="5"/>
    </row>
    <row r="21569" spans="1:11" x14ac:dyDescent="0.25">
      <c r="A21569" s="5">
        <f>21562</f>
      </c>
      <c r="B21569" s="5" t="s">
        <v>21577</v>
      </c>
      <c r="C21569" s="5">
        <v>119.6</v>
      </c>
      <c r="D21569" s="5">
        <v>0.1</v>
      </c>
      <c r="E21569" s="5">
        <v>119.7</v>
      </c>
      <c r="F21569" s="5">
        <v>239</v>
      </c>
      <c r="G21569" s="5">
        <v>119.3</v>
      </c>
      <c r="H21569" s="5">
        <v>119.1</v>
      </c>
      <c r="I21569" s="5"/>
      <c r="J21569" s="5"/>
      <c r="K21569" s="5"/>
    </row>
    <row r="21570" spans="1:11" x14ac:dyDescent="0.25">
      <c r="A21570" s="5">
        <f>21563</f>
      </c>
      <c r="B21570" s="5" t="s">
        <v>21578</v>
      </c>
      <c r="C21570" s="5">
        <v>120.6</v>
      </c>
      <c r="D21570" s="5">
        <v>0.1</v>
      </c>
      <c r="E21570" s="5">
        <v>120.8</v>
      </c>
      <c r="F21570" s="5">
        <v>241</v>
      </c>
      <c r="G21570" s="5">
        <v>120.3</v>
      </c>
      <c r="H21570" s="5">
        <v>120.2</v>
      </c>
      <c r="I21570" s="5"/>
      <c r="J21570" s="5"/>
      <c r="K21570" s="5"/>
    </row>
    <row r="21571" spans="1:11" x14ac:dyDescent="0.25">
      <c r="A21571" s="5">
        <f>21564</f>
      </c>
      <c r="B21571" s="5" t="s">
        <v>21579</v>
      </c>
      <c r="C21571" s="5">
        <v>120.6</v>
      </c>
      <c r="D21571" s="5">
        <v>0.1</v>
      </c>
      <c r="E21571" s="5">
        <v>120.8</v>
      </c>
      <c r="F21571" s="5">
        <v>241</v>
      </c>
      <c r="G21571" s="5">
        <v>120.3</v>
      </c>
      <c r="H21571" s="5">
        <v>120.2</v>
      </c>
      <c r="I21571" s="5"/>
      <c r="J21571" s="5"/>
      <c r="K21571" s="5"/>
    </row>
    <row r="21572" spans="1:11" x14ac:dyDescent="0.25">
      <c r="A21572" s="5">
        <f>21565</f>
      </c>
      <c r="B21572" s="5" t="s">
        <v>21580</v>
      </c>
      <c r="C21572" s="5">
        <v>120.2</v>
      </c>
      <c r="D21572" s="5">
        <v>0.1</v>
      </c>
      <c r="E21572" s="5">
        <v>120.4</v>
      </c>
      <c r="F21572" s="5">
        <v>240.7</v>
      </c>
      <c r="G21572" s="5">
        <v>120.1</v>
      </c>
      <c r="H21572" s="5">
        <v>119.9</v>
      </c>
      <c r="I21572" s="5"/>
      <c r="J21572" s="5"/>
      <c r="K21572" s="5"/>
    </row>
    <row r="21573" spans="1:11" x14ac:dyDescent="0.25">
      <c r="A21573" s="5">
        <f>21566</f>
      </c>
      <c r="B21573" s="5" t="s">
        <v>21581</v>
      </c>
      <c r="C21573" s="5">
        <v>120.2</v>
      </c>
      <c r="D21573" s="5">
        <v>0.1</v>
      </c>
      <c r="E21573" s="5">
        <v>120.4</v>
      </c>
      <c r="F21573" s="5">
        <v>240.7</v>
      </c>
      <c r="G21573" s="5">
        <v>120.1</v>
      </c>
      <c r="H21573" s="5">
        <v>119.9</v>
      </c>
      <c r="I21573" s="5"/>
      <c r="J21573" s="5"/>
      <c r="K21573" s="5"/>
    </row>
    <row r="21574" spans="1:11" x14ac:dyDescent="0.25">
      <c r="A21574" s="5">
        <f>21567</f>
      </c>
      <c r="B21574" s="5" t="s">
        <v>21582</v>
      </c>
      <c r="C21574" s="5">
        <v>120.2</v>
      </c>
      <c r="D21574" s="5">
        <v>0.1</v>
      </c>
      <c r="E21574" s="5">
        <v>120.4</v>
      </c>
      <c r="F21574" s="5">
        <v>240.7</v>
      </c>
      <c r="G21574" s="5">
        <v>120.1</v>
      </c>
      <c r="H21574" s="5">
        <v>119.9</v>
      </c>
      <c r="I21574" s="5"/>
      <c r="J21574" s="5"/>
      <c r="K21574" s="5"/>
    </row>
    <row r="21575" spans="1:11" x14ac:dyDescent="0.25">
      <c r="A21575" s="5">
        <f>21568</f>
      </c>
      <c r="B21575" s="5" t="s">
        <v>21583</v>
      </c>
      <c r="C21575" s="5">
        <v>120.2</v>
      </c>
      <c r="D21575" s="5">
        <v>0.1</v>
      </c>
      <c r="E21575" s="5">
        <v>120.4</v>
      </c>
      <c r="F21575" s="5">
        <v>240.7</v>
      </c>
      <c r="G21575" s="5">
        <v>120.1</v>
      </c>
      <c r="H21575" s="5">
        <v>119.9</v>
      </c>
      <c r="I21575" s="5"/>
      <c r="J21575" s="5"/>
      <c r="K21575" s="5"/>
    </row>
    <row r="21576" spans="1:11" x14ac:dyDescent="0.25">
      <c r="A21576" s="5">
        <f>21569</f>
      </c>
      <c r="B21576" s="5" t="s">
        <v>21584</v>
      </c>
      <c r="C21576" s="5">
        <v>120.2</v>
      </c>
      <c r="D21576" s="5">
        <v>0.1</v>
      </c>
      <c r="E21576" s="5">
        <v>120.4</v>
      </c>
      <c r="F21576" s="5">
        <v>240.3</v>
      </c>
      <c r="G21576" s="5">
        <v>119.9</v>
      </c>
      <c r="H21576" s="5">
        <v>119.8</v>
      </c>
      <c r="I21576" s="5"/>
      <c r="J21576" s="5"/>
      <c r="K21576" s="5"/>
    </row>
    <row r="21577" spans="1:11" x14ac:dyDescent="0.25">
      <c r="A21577" s="5">
        <f>21570</f>
      </c>
      <c r="B21577" s="5" t="s">
        <v>21585</v>
      </c>
      <c r="C21577" s="5">
        <v>120.2</v>
      </c>
      <c r="D21577" s="5">
        <v>0.1</v>
      </c>
      <c r="E21577" s="5">
        <v>120.4</v>
      </c>
      <c r="F21577" s="5">
        <v>240.3</v>
      </c>
      <c r="G21577" s="5">
        <v>119.9</v>
      </c>
      <c r="H21577" s="5">
        <v>119.8</v>
      </c>
      <c r="I21577" s="5"/>
      <c r="J21577" s="5"/>
      <c r="K21577" s="5"/>
    </row>
    <row r="21578" spans="1:11" x14ac:dyDescent="0.25">
      <c r="A21578" s="5">
        <f>21571</f>
      </c>
      <c r="B21578" s="5" t="s">
        <v>21586</v>
      </c>
      <c r="C21578" s="5">
        <v>120.5</v>
      </c>
      <c r="D21578" s="5">
        <v>0.1</v>
      </c>
      <c r="E21578" s="5">
        <v>120.6</v>
      </c>
      <c r="F21578" s="5">
        <v>240.8</v>
      </c>
      <c r="G21578" s="5">
        <v>120.1</v>
      </c>
      <c r="H21578" s="5">
        <v>119.8</v>
      </c>
      <c r="I21578" s="5"/>
      <c r="J21578" s="5"/>
      <c r="K21578" s="5"/>
    </row>
    <row r="21579" spans="1:11" x14ac:dyDescent="0.25">
      <c r="A21579" s="5">
        <f>21572</f>
      </c>
      <c r="B21579" s="5" t="s">
        <v>21587</v>
      </c>
      <c r="C21579" s="5">
        <v>120.5</v>
      </c>
      <c r="D21579" s="5">
        <v>0.1</v>
      </c>
      <c r="E21579" s="5">
        <v>120.6</v>
      </c>
      <c r="F21579" s="5">
        <v>240.8</v>
      </c>
      <c r="G21579" s="5">
        <v>120.1</v>
      </c>
      <c r="H21579" s="5">
        <v>119.9</v>
      </c>
      <c r="I21579" s="5"/>
      <c r="J21579" s="5"/>
      <c r="K21579" s="5"/>
    </row>
    <row r="21580" spans="1:11" x14ac:dyDescent="0.25">
      <c r="A21580" s="5">
        <f>21573</f>
      </c>
      <c r="B21580" s="5" t="s">
        <v>21588</v>
      </c>
      <c r="C21580" s="5">
        <v>120.4</v>
      </c>
      <c r="D21580" s="5">
        <v>0.1</v>
      </c>
      <c r="E21580" s="5">
        <v>120.6</v>
      </c>
      <c r="F21580" s="5">
        <v>240.8</v>
      </c>
      <c r="G21580" s="5">
        <v>120.1</v>
      </c>
      <c r="H21580" s="5">
        <v>119.9</v>
      </c>
      <c r="I21580" s="5"/>
      <c r="J21580" s="5"/>
      <c r="K21580" s="5"/>
    </row>
    <row r="21581" spans="1:11" x14ac:dyDescent="0.25">
      <c r="A21581" s="5">
        <f>21574</f>
      </c>
      <c r="B21581" s="5" t="s">
        <v>21589</v>
      </c>
      <c r="C21581" s="5">
        <v>120.4</v>
      </c>
      <c r="D21581" s="5">
        <v>0.1</v>
      </c>
      <c r="E21581" s="5">
        <v>120.6</v>
      </c>
      <c r="F21581" s="5">
        <v>240.5</v>
      </c>
      <c r="G21581" s="5">
        <v>120.1</v>
      </c>
      <c r="H21581" s="5">
        <v>119.9</v>
      </c>
      <c r="I21581" s="5"/>
      <c r="J21581" s="5"/>
      <c r="K21581" s="5"/>
    </row>
    <row r="21582" spans="1:11" x14ac:dyDescent="0.25">
      <c r="A21582" s="5">
        <f>21575</f>
      </c>
      <c r="B21582" s="5" t="s">
        <v>21590</v>
      </c>
      <c r="C21582" s="5">
        <v>120.1</v>
      </c>
      <c r="D21582" s="5">
        <v>0.1</v>
      </c>
      <c r="E21582" s="5">
        <v>120.6</v>
      </c>
      <c r="F21582" s="5">
        <v>240.5</v>
      </c>
      <c r="G21582" s="5">
        <v>120.1</v>
      </c>
      <c r="H21582" s="5">
        <v>119.9</v>
      </c>
      <c r="I21582" s="5"/>
      <c r="J21582" s="5"/>
      <c r="K21582" s="5"/>
    </row>
    <row r="21583" spans="1:11" x14ac:dyDescent="0.25">
      <c r="A21583" s="5">
        <f>21576</f>
      </c>
      <c r="B21583" s="5" t="s">
        <v>21591</v>
      </c>
      <c r="C21583" s="5">
        <v>120.1</v>
      </c>
      <c r="D21583" s="5">
        <v>0.1</v>
      </c>
      <c r="E21583" s="5">
        <v>120.3</v>
      </c>
      <c r="F21583" s="5">
        <v>240.5</v>
      </c>
      <c r="G21583" s="5">
        <v>120</v>
      </c>
      <c r="H21583" s="5">
        <v>119.9</v>
      </c>
      <c r="I21583" s="5"/>
      <c r="J21583" s="5"/>
      <c r="K21583" s="5"/>
    </row>
    <row r="21584" spans="1:11" x14ac:dyDescent="0.25">
      <c r="A21584" s="5">
        <f>21577</f>
      </c>
      <c r="B21584" s="5" t="s">
        <v>21592</v>
      </c>
      <c r="C21584" s="5">
        <v>120.1</v>
      </c>
      <c r="D21584" s="5">
        <v>0.1</v>
      </c>
      <c r="E21584" s="5">
        <v>120.3</v>
      </c>
      <c r="F21584" s="5">
        <v>240.5</v>
      </c>
      <c r="G21584" s="5">
        <v>120</v>
      </c>
      <c r="H21584" s="5">
        <v>119.9</v>
      </c>
      <c r="I21584" s="5"/>
      <c r="J21584" s="5"/>
      <c r="K21584" s="5"/>
    </row>
    <row r="21585" spans="1:11" x14ac:dyDescent="0.25">
      <c r="A21585" s="5">
        <f>21578</f>
      </c>
      <c r="B21585" s="5" t="s">
        <v>21593</v>
      </c>
      <c r="C21585" s="5">
        <v>120.1</v>
      </c>
      <c r="D21585" s="5">
        <v>0.1</v>
      </c>
      <c r="E21585" s="5">
        <v>120.3</v>
      </c>
      <c r="F21585" s="5">
        <v>240.5</v>
      </c>
      <c r="G21585" s="5">
        <v>120</v>
      </c>
      <c r="H21585" s="5">
        <v>119.9</v>
      </c>
      <c r="I21585" s="5"/>
      <c r="J21585" s="5"/>
      <c r="K21585" s="5"/>
    </row>
    <row r="21586" spans="1:11" x14ac:dyDescent="0.25">
      <c r="A21586" s="5">
        <f>21579</f>
      </c>
      <c r="B21586" s="5" t="s">
        <v>21594</v>
      </c>
      <c r="C21586" s="5">
        <v>120.8</v>
      </c>
      <c r="D21586" s="5">
        <v>0.1</v>
      </c>
      <c r="E21586" s="5">
        <v>120.9</v>
      </c>
      <c r="F21586" s="5">
        <v>241.4</v>
      </c>
      <c r="G21586" s="5">
        <v>120.4</v>
      </c>
      <c r="H21586" s="5">
        <v>120.3</v>
      </c>
      <c r="I21586" s="5"/>
      <c r="J21586" s="5"/>
      <c r="K21586" s="5"/>
    </row>
    <row r="21587" spans="1:11" x14ac:dyDescent="0.25">
      <c r="A21587" s="5">
        <f>21580</f>
      </c>
      <c r="B21587" s="5" t="s">
        <v>21595</v>
      </c>
      <c r="C21587" s="5">
        <v>120.8</v>
      </c>
      <c r="D21587" s="5">
        <v>0.1</v>
      </c>
      <c r="E21587" s="5">
        <v>120.9</v>
      </c>
      <c r="F21587" s="5">
        <v>241.4</v>
      </c>
      <c r="G21587" s="5">
        <v>120.4</v>
      </c>
      <c r="H21587" s="5">
        <v>120.3</v>
      </c>
      <c r="I21587" s="5"/>
      <c r="J21587" s="5"/>
      <c r="K21587" s="5"/>
    </row>
    <row r="21588" spans="1:11" x14ac:dyDescent="0.25">
      <c r="A21588" s="5">
        <f>21581</f>
      </c>
      <c r="B21588" s="5" t="s">
        <v>21596</v>
      </c>
      <c r="C21588" s="5">
        <v>120.6</v>
      </c>
      <c r="D21588" s="5">
        <v>0.1</v>
      </c>
      <c r="E21588" s="5">
        <v>120.7</v>
      </c>
      <c r="F21588" s="5">
        <v>241.1</v>
      </c>
      <c r="G21588" s="5">
        <v>120.3</v>
      </c>
      <c r="H21588" s="5">
        <v>120.2</v>
      </c>
      <c r="I21588" s="5"/>
      <c r="J21588" s="5"/>
      <c r="K21588" s="5"/>
    </row>
    <row r="21589" spans="1:11" x14ac:dyDescent="0.25">
      <c r="A21589" s="5">
        <f>21582</f>
      </c>
      <c r="B21589" s="5" t="s">
        <v>21597</v>
      </c>
      <c r="C21589" s="5">
        <v>120.6</v>
      </c>
      <c r="D21589" s="5">
        <v>0.1</v>
      </c>
      <c r="E21589" s="5">
        <v>120.7</v>
      </c>
      <c r="F21589" s="5">
        <v>241.1</v>
      </c>
      <c r="G21589" s="5">
        <v>120.3</v>
      </c>
      <c r="H21589" s="5">
        <v>120.2</v>
      </c>
      <c r="I21589" s="5"/>
      <c r="J21589" s="5"/>
      <c r="K21589" s="5"/>
    </row>
    <row r="21590" spans="1:11" x14ac:dyDescent="0.25">
      <c r="A21590" s="5">
        <f>21583</f>
      </c>
      <c r="B21590" s="5" t="s">
        <v>21598</v>
      </c>
      <c r="C21590" s="5">
        <v>120.7</v>
      </c>
      <c r="D21590" s="5">
        <v>0.1</v>
      </c>
      <c r="E21590" s="5">
        <v>120.9</v>
      </c>
      <c r="F21590" s="5">
        <v>241.5</v>
      </c>
      <c r="G21590" s="5">
        <v>120.6</v>
      </c>
      <c r="H21590" s="5">
        <v>120.4</v>
      </c>
      <c r="I21590" s="5"/>
      <c r="J21590" s="5"/>
      <c r="K21590" s="5"/>
    </row>
    <row r="21591" spans="1:11" x14ac:dyDescent="0.25">
      <c r="A21591" s="5">
        <f>21584</f>
      </c>
      <c r="B21591" s="5" t="s">
        <v>21599</v>
      </c>
      <c r="C21591" s="5">
        <v>120.7</v>
      </c>
      <c r="D21591" s="5">
        <v>0.1</v>
      </c>
      <c r="E21591" s="5">
        <v>120.9</v>
      </c>
      <c r="F21591" s="5">
        <v>241.5</v>
      </c>
      <c r="G21591" s="5">
        <v>120.6</v>
      </c>
      <c r="H21591" s="5">
        <v>120.4</v>
      </c>
      <c r="I21591" s="5"/>
      <c r="J21591" s="5"/>
      <c r="K21591" s="5"/>
    </row>
    <row r="21592" spans="1:11" x14ac:dyDescent="0.25">
      <c r="A21592" s="5">
        <f>21585</f>
      </c>
      <c r="B21592" s="5" t="s">
        <v>21600</v>
      </c>
      <c r="C21592" s="5">
        <v>120.7</v>
      </c>
      <c r="D21592" s="5">
        <v>0.1</v>
      </c>
      <c r="E21592" s="5">
        <v>120.9</v>
      </c>
      <c r="F21592" s="5">
        <v>241.4</v>
      </c>
      <c r="G21592" s="5">
        <v>120.5</v>
      </c>
      <c r="H21592" s="5">
        <v>120.3</v>
      </c>
      <c r="I21592" s="5"/>
      <c r="J21592" s="5"/>
      <c r="K21592" s="5"/>
    </row>
    <row r="21593" spans="1:11" x14ac:dyDescent="0.25">
      <c r="A21593" s="5">
        <f>21586</f>
      </c>
      <c r="B21593" s="5" t="s">
        <v>21601</v>
      </c>
      <c r="C21593" s="5">
        <v>120.8</v>
      </c>
      <c r="D21593" s="5">
        <v>0.1</v>
      </c>
      <c r="E21593" s="5">
        <v>120.9</v>
      </c>
      <c r="F21593" s="5">
        <v>241.4</v>
      </c>
      <c r="G21593" s="5">
        <v>120.5</v>
      </c>
      <c r="H21593" s="5">
        <v>120.3</v>
      </c>
      <c r="I21593" s="5"/>
      <c r="J21593" s="5"/>
      <c r="K21593" s="5"/>
    </row>
    <row r="21594" spans="1:11" x14ac:dyDescent="0.25">
      <c r="A21594" s="5">
        <f>21587</f>
      </c>
      <c r="B21594" s="5" t="s">
        <v>21602</v>
      </c>
      <c r="C21594" s="5">
        <v>120.8</v>
      </c>
      <c r="D21594" s="5">
        <v>0.1</v>
      </c>
      <c r="E21594" s="5">
        <v>120.9</v>
      </c>
      <c r="F21594" s="5">
        <v>241.4</v>
      </c>
      <c r="G21594" s="5">
        <v>120.5</v>
      </c>
      <c r="H21594" s="5">
        <v>120.3</v>
      </c>
      <c r="I21594" s="5"/>
      <c r="J21594" s="5"/>
      <c r="K21594" s="5"/>
    </row>
    <row r="21595" spans="1:11" x14ac:dyDescent="0.25">
      <c r="A21595" s="5">
        <f>21588</f>
      </c>
      <c r="B21595" s="5" t="s">
        <v>21603</v>
      </c>
      <c r="C21595" s="5">
        <v>120.8</v>
      </c>
      <c r="D21595" s="5">
        <v>0.1</v>
      </c>
      <c r="E21595" s="5">
        <v>120.9</v>
      </c>
      <c r="F21595" s="5">
        <v>241.4</v>
      </c>
      <c r="G21595" s="5">
        <v>120.5</v>
      </c>
      <c r="H21595" s="5">
        <v>120.3</v>
      </c>
      <c r="I21595" s="5"/>
      <c r="J21595" s="5"/>
      <c r="K21595" s="5"/>
    </row>
    <row r="21596" spans="1:11" x14ac:dyDescent="0.25">
      <c r="A21596" s="5">
        <f>21589</f>
      </c>
      <c r="B21596" s="5" t="s">
        <v>21604</v>
      </c>
      <c r="C21596" s="5">
        <v>120.4</v>
      </c>
      <c r="D21596" s="5">
        <v>0.1</v>
      </c>
      <c r="E21596" s="5">
        <v>120.6</v>
      </c>
      <c r="F21596" s="5">
        <v>240.8</v>
      </c>
      <c r="G21596" s="5">
        <v>120.2</v>
      </c>
      <c r="H21596" s="5">
        <v>120</v>
      </c>
      <c r="I21596" s="5"/>
      <c r="J21596" s="5"/>
      <c r="K21596" s="5"/>
    </row>
    <row r="21597" spans="1:11" x14ac:dyDescent="0.25">
      <c r="A21597" s="5">
        <f>21590</f>
      </c>
      <c r="B21597" s="5" t="s">
        <v>21605</v>
      </c>
      <c r="C21597" s="5">
        <v>120.4</v>
      </c>
      <c r="D21597" s="5">
        <v>0.1</v>
      </c>
      <c r="E21597" s="5">
        <v>120.6</v>
      </c>
      <c r="F21597" s="5">
        <v>240.8</v>
      </c>
      <c r="G21597" s="5">
        <v>120.2</v>
      </c>
      <c r="H21597" s="5">
        <v>120</v>
      </c>
      <c r="I21597" s="5"/>
      <c r="J21597" s="5"/>
      <c r="K21597" s="5"/>
    </row>
    <row r="21598" spans="1:11" x14ac:dyDescent="0.25">
      <c r="A21598" s="5">
        <f>21591</f>
      </c>
      <c r="B21598" s="5" t="s">
        <v>21606</v>
      </c>
      <c r="C21598" s="5">
        <v>120.2</v>
      </c>
      <c r="D21598" s="5">
        <v>0.1</v>
      </c>
      <c r="E21598" s="5">
        <v>120.3</v>
      </c>
      <c r="F21598" s="5">
        <v>240.4</v>
      </c>
      <c r="G21598" s="5">
        <v>120</v>
      </c>
      <c r="H21598" s="5">
        <v>119.8</v>
      </c>
      <c r="I21598" s="5"/>
      <c r="J21598" s="5"/>
      <c r="K21598" s="5"/>
    </row>
    <row r="21599" spans="1:11" x14ac:dyDescent="0.25">
      <c r="A21599" s="5">
        <f>21592</f>
      </c>
      <c r="B21599" s="5" t="s">
        <v>21607</v>
      </c>
      <c r="C21599" s="5">
        <v>120.2</v>
      </c>
      <c r="D21599" s="5">
        <v>0.1</v>
      </c>
      <c r="E21599" s="5">
        <v>120.3</v>
      </c>
      <c r="F21599" s="5">
        <v>240.4</v>
      </c>
      <c r="G21599" s="5">
        <v>120</v>
      </c>
      <c r="H21599" s="5">
        <v>119.8</v>
      </c>
      <c r="I21599" s="5"/>
      <c r="J21599" s="5"/>
      <c r="K21599" s="5"/>
    </row>
    <row r="21600" spans="1:11" x14ac:dyDescent="0.25">
      <c r="A21600" s="5">
        <f>21593</f>
      </c>
      <c r="B21600" s="5" t="s">
        <v>21608</v>
      </c>
      <c r="C21600" s="5">
        <v>117.3</v>
      </c>
      <c r="D21600" s="5">
        <v>0.1</v>
      </c>
      <c r="E21600" s="5">
        <v>117.4</v>
      </c>
      <c r="F21600" s="5">
        <v>203.7</v>
      </c>
      <c r="G21600" s="5">
        <v>101.3</v>
      </c>
      <c r="H21600" s="5">
        <v>101.4</v>
      </c>
      <c r="I21600" s="5"/>
      <c r="J21600" s="5"/>
      <c r="K21600" s="5"/>
    </row>
    <row r="21601" spans="1:11" x14ac:dyDescent="0.25">
      <c r="A21601" s="5">
        <f>21594</f>
      </c>
      <c r="B21601" s="5" t="s">
        <v>21609</v>
      </c>
      <c r="C21601" s="5">
        <v>117.3</v>
      </c>
      <c r="D21601" s="5">
        <v>0.1</v>
      </c>
      <c r="E21601" s="5">
        <v>117.4</v>
      </c>
      <c r="F21601" s="5">
        <v>203.7</v>
      </c>
      <c r="G21601" s="5">
        <v>101.3</v>
      </c>
      <c r="H21601" s="5">
        <v>101.4</v>
      </c>
      <c r="I21601" s="5"/>
      <c r="J21601" s="5"/>
      <c r="K21601" s="5"/>
    </row>
    <row r="21602" spans="1:11" x14ac:dyDescent="0.25">
      <c r="A21602" s="5">
        <f>21595</f>
      </c>
      <c r="B21602" s="5" t="s">
        <v>21610</v>
      </c>
      <c r="C21602" s="5">
        <v>116.1</v>
      </c>
      <c r="D21602" s="5">
        <v>0.1</v>
      </c>
      <c r="E21602" s="5">
        <v>116.2</v>
      </c>
      <c r="F21602" s="5">
        <v>232</v>
      </c>
      <c r="G21602" s="5">
        <v>115.8</v>
      </c>
      <c r="H21602" s="5">
        <v>115.6</v>
      </c>
      <c r="I21602" s="5"/>
      <c r="J21602" s="5"/>
      <c r="K21602" s="5"/>
    </row>
    <row r="21603" spans="1:11" x14ac:dyDescent="0.25">
      <c r="A21603" s="5">
        <f>21596</f>
      </c>
      <c r="B21603" s="5" t="s">
        <v>21611</v>
      </c>
      <c r="C21603" s="5">
        <v>116.1</v>
      </c>
      <c r="D21603" s="5">
        <v>0.1</v>
      </c>
      <c r="E21603" s="5">
        <v>116.2</v>
      </c>
      <c r="F21603" s="5">
        <v>232</v>
      </c>
      <c r="G21603" s="5">
        <v>115.8</v>
      </c>
      <c r="H21603" s="5">
        <v>115.6</v>
      </c>
      <c r="I21603" s="5"/>
      <c r="J21603" s="5"/>
      <c r="K21603" s="5"/>
    </row>
    <row r="21604" spans="1:11" x14ac:dyDescent="0.25">
      <c r="A21604" s="5">
        <f>21597</f>
      </c>
      <c r="B21604" s="5" t="s">
        <v>21612</v>
      </c>
      <c r="C21604" s="5">
        <v>116.1</v>
      </c>
      <c r="D21604" s="5">
        <v>0.1</v>
      </c>
      <c r="E21604" s="5">
        <v>116.2</v>
      </c>
      <c r="F21604" s="5">
        <v>232</v>
      </c>
      <c r="G21604" s="5">
        <v>115.8</v>
      </c>
      <c r="H21604" s="5">
        <v>115.6</v>
      </c>
      <c r="I21604" s="5"/>
      <c r="J21604" s="5"/>
      <c r="K21604" s="5"/>
    </row>
    <row r="21605" spans="1:11" x14ac:dyDescent="0.25">
      <c r="A21605" s="5">
        <f>21598</f>
      </c>
      <c r="B21605" s="5" t="s">
        <v>21613</v>
      </c>
      <c r="C21605" s="5">
        <v>116.1</v>
      </c>
      <c r="D21605" s="5">
        <v>0.1</v>
      </c>
      <c r="E21605" s="5">
        <v>116.2</v>
      </c>
      <c r="F21605" s="5">
        <v>232</v>
      </c>
      <c r="G21605" s="5">
        <v>115.8</v>
      </c>
      <c r="H21605" s="5">
        <v>115.6</v>
      </c>
      <c r="I21605" s="5"/>
      <c r="J21605" s="5"/>
      <c r="K21605" s="5"/>
    </row>
    <row r="21606" spans="1:11" x14ac:dyDescent="0.25">
      <c r="A21606" s="5">
        <f>21599</f>
      </c>
      <c r="B21606" s="5" t="s">
        <v>21614</v>
      </c>
      <c r="C21606" s="5">
        <v>115.9</v>
      </c>
      <c r="D21606" s="5">
        <v>0.1</v>
      </c>
      <c r="E21606" s="5">
        <v>116.1</v>
      </c>
      <c r="F21606" s="5">
        <v>231.7</v>
      </c>
      <c r="G21606" s="5">
        <v>115.7</v>
      </c>
      <c r="H21606" s="5">
        <v>115.5</v>
      </c>
      <c r="I21606" s="5"/>
      <c r="J21606" s="5"/>
      <c r="K21606" s="5"/>
    </row>
    <row r="21607" spans="1:11" x14ac:dyDescent="0.25">
      <c r="A21607" s="5">
        <f>21600</f>
      </c>
      <c r="B21607" s="5" t="s">
        <v>21615</v>
      </c>
      <c r="C21607" s="5">
        <v>115.9</v>
      </c>
      <c r="D21607" s="5">
        <v>0.1</v>
      </c>
      <c r="E21607" s="5">
        <v>116.1</v>
      </c>
      <c r="F21607" s="5">
        <v>231.7</v>
      </c>
      <c r="G21607" s="5">
        <v>115.7</v>
      </c>
      <c r="H21607" s="5">
        <v>115.5</v>
      </c>
      <c r="I21607" s="5"/>
      <c r="J21607" s="5"/>
      <c r="K21607" s="5"/>
    </row>
    <row r="21608" spans="1:11" x14ac:dyDescent="0.25">
      <c r="A21608" s="5">
        <f>21601</f>
      </c>
      <c r="B21608" s="5" t="s">
        <v>21616</v>
      </c>
      <c r="C21608" s="5">
        <v>115.9</v>
      </c>
      <c r="D21608" s="5">
        <v>0.1</v>
      </c>
      <c r="E21608" s="5">
        <v>116.1</v>
      </c>
      <c r="F21608" s="5">
        <v>231.9</v>
      </c>
      <c r="G21608" s="5">
        <v>115.7</v>
      </c>
      <c r="H21608" s="5">
        <v>115.6</v>
      </c>
      <c r="I21608" s="5"/>
      <c r="J21608" s="5"/>
      <c r="K21608" s="5"/>
    </row>
    <row r="21609" spans="1:11" x14ac:dyDescent="0.25">
      <c r="A21609" s="5">
        <f>21602</f>
      </c>
      <c r="B21609" s="5" t="s">
        <v>21617</v>
      </c>
      <c r="C21609" s="5">
        <v>115.9</v>
      </c>
      <c r="D21609" s="5">
        <v>0.1</v>
      </c>
      <c r="E21609" s="5">
        <v>116.1</v>
      </c>
      <c r="F21609" s="5">
        <v>231.9</v>
      </c>
      <c r="G21609" s="5">
        <v>115.7</v>
      </c>
      <c r="H21609" s="5">
        <v>115.6</v>
      </c>
      <c r="I21609" s="5"/>
      <c r="J21609" s="5"/>
      <c r="K21609" s="5"/>
    </row>
    <row r="21610" spans="1:11" x14ac:dyDescent="0.25">
      <c r="A21610" s="5">
        <f>21603</f>
      </c>
      <c r="B21610" s="5" t="s">
        <v>21618</v>
      </c>
      <c r="C21610" s="5">
        <v>116.1</v>
      </c>
      <c r="D21610" s="5">
        <v>0.1</v>
      </c>
      <c r="E21610" s="5">
        <v>116.3</v>
      </c>
      <c r="F21610" s="5">
        <v>231.5</v>
      </c>
      <c r="G21610" s="5">
        <v>115.6</v>
      </c>
      <c r="H21610" s="5">
        <v>115.4</v>
      </c>
      <c r="I21610" s="5"/>
      <c r="J21610" s="5"/>
      <c r="K21610" s="5"/>
    </row>
    <row r="21611" spans="1:11" x14ac:dyDescent="0.25">
      <c r="A21611" s="5">
        <f>21604</f>
      </c>
      <c r="B21611" s="5" t="s">
        <v>21619</v>
      </c>
      <c r="C21611" s="5">
        <v>116.1</v>
      </c>
      <c r="D21611" s="5">
        <v>0.1</v>
      </c>
      <c r="E21611" s="5">
        <v>116.3</v>
      </c>
      <c r="F21611" s="5">
        <v>231.5</v>
      </c>
      <c r="G21611" s="5">
        <v>115.6</v>
      </c>
      <c r="H21611" s="5">
        <v>115.4</v>
      </c>
      <c r="I21611" s="5"/>
      <c r="J21611" s="5"/>
      <c r="K21611" s="5"/>
    </row>
    <row r="21612" spans="1:11" x14ac:dyDescent="0.25">
      <c r="A21612" s="5">
        <f>21605</f>
      </c>
      <c r="B21612" s="5" t="s">
        <v>21620</v>
      </c>
      <c r="C21612" s="5">
        <v>116.1</v>
      </c>
      <c r="D21612" s="5">
        <v>0.1</v>
      </c>
      <c r="E21612" s="5">
        <v>116.2</v>
      </c>
      <c r="F21612" s="5">
        <v>231.9</v>
      </c>
      <c r="G21612" s="5">
        <v>115.7</v>
      </c>
      <c r="H21612" s="5">
        <v>115.5</v>
      </c>
      <c r="I21612" s="5"/>
      <c r="J21612" s="5"/>
      <c r="K21612" s="5"/>
    </row>
    <row r="21613" spans="1:11" x14ac:dyDescent="0.25">
      <c r="A21613" s="5">
        <f>21606</f>
      </c>
      <c r="B21613" s="5" t="s">
        <v>21621</v>
      </c>
      <c r="C21613" s="5">
        <v>116.1</v>
      </c>
      <c r="D21613" s="5">
        <v>0.1</v>
      </c>
      <c r="E21613" s="5">
        <v>116.2</v>
      </c>
      <c r="F21613" s="5">
        <v>231.9</v>
      </c>
      <c r="G21613" s="5">
        <v>115.7</v>
      </c>
      <c r="H21613" s="5">
        <v>115.5</v>
      </c>
      <c r="I21613" s="5"/>
      <c r="J21613" s="5"/>
      <c r="K21613" s="5"/>
    </row>
    <row r="21614" spans="1:11" x14ac:dyDescent="0.25">
      <c r="A21614" s="5">
        <f>21607</f>
      </c>
      <c r="B21614" s="5" t="s">
        <v>21622</v>
      </c>
      <c r="C21614" s="5">
        <v>116.1</v>
      </c>
      <c r="D21614" s="5">
        <v>0.1</v>
      </c>
      <c r="E21614" s="5">
        <v>116.2</v>
      </c>
      <c r="F21614" s="5">
        <v>231.9</v>
      </c>
      <c r="G21614" s="5">
        <v>115.7</v>
      </c>
      <c r="H21614" s="5">
        <v>115.5</v>
      </c>
      <c r="I21614" s="5"/>
      <c r="J21614" s="5"/>
      <c r="K21614" s="5"/>
    </row>
    <row r="21615" spans="1:11" x14ac:dyDescent="0.25">
      <c r="A21615" s="5">
        <f>21608</f>
      </c>
      <c r="B21615" s="5" t="s">
        <v>21623</v>
      </c>
      <c r="C21615" s="5">
        <v>116.1</v>
      </c>
      <c r="D21615" s="5">
        <v>0.1</v>
      </c>
      <c r="E21615" s="5">
        <v>116.2</v>
      </c>
      <c r="F21615" s="5">
        <v>231.9</v>
      </c>
      <c r="G21615" s="5">
        <v>115.7</v>
      </c>
      <c r="H21615" s="5">
        <v>115.5</v>
      </c>
      <c r="I21615" s="5"/>
      <c r="J21615" s="5"/>
      <c r="K21615" s="5"/>
    </row>
    <row r="21616" spans="1:11" x14ac:dyDescent="0.25">
      <c r="A21616" s="5">
        <f>21609</f>
      </c>
      <c r="B21616" s="5" t="s">
        <v>21624</v>
      </c>
      <c r="C21616" s="5">
        <v>116.1</v>
      </c>
      <c r="D21616" s="5">
        <v>0.1</v>
      </c>
      <c r="E21616" s="5">
        <v>116.2</v>
      </c>
      <c r="F21616" s="5">
        <v>232.3</v>
      </c>
      <c r="G21616" s="5">
        <v>115.9</v>
      </c>
      <c r="H21616" s="5">
        <v>115.8</v>
      </c>
      <c r="I21616" s="5"/>
      <c r="J21616" s="5"/>
      <c r="K21616" s="5"/>
    </row>
    <row r="21617" spans="1:11" x14ac:dyDescent="0.25">
      <c r="A21617" s="5">
        <f>21610</f>
      </c>
      <c r="B21617" s="5" t="s">
        <v>21625</v>
      </c>
      <c r="C21617" s="5">
        <v>116.1</v>
      </c>
      <c r="D21617" s="5">
        <v>0.1</v>
      </c>
      <c r="E21617" s="5">
        <v>116.2</v>
      </c>
      <c r="F21617" s="5">
        <v>232.3</v>
      </c>
      <c r="G21617" s="5">
        <v>115.9</v>
      </c>
      <c r="H21617" s="5">
        <v>115.8</v>
      </c>
      <c r="I21617" s="5"/>
      <c r="J21617" s="5"/>
      <c r="K21617" s="5"/>
    </row>
    <row r="21618" spans="1:11" x14ac:dyDescent="0.25">
      <c r="A21618" s="5">
        <f>21611</f>
      </c>
      <c r="B21618" s="5" t="s">
        <v>21626</v>
      </c>
      <c r="C21618" s="5">
        <v>116.1</v>
      </c>
      <c r="D21618" s="5">
        <v>0.1</v>
      </c>
      <c r="E21618" s="5">
        <v>116.2</v>
      </c>
      <c r="F21618" s="5">
        <v>231.8</v>
      </c>
      <c r="G21618" s="5">
        <v>115.7</v>
      </c>
      <c r="H21618" s="5">
        <v>115.5</v>
      </c>
      <c r="I21618" s="5"/>
      <c r="J21618" s="5"/>
      <c r="K21618" s="5"/>
    </row>
    <row r="21619" spans="1:11" x14ac:dyDescent="0.25">
      <c r="A21619" s="5">
        <f>21612</f>
      </c>
      <c r="B21619" s="5" t="s">
        <v>21627</v>
      </c>
      <c r="C21619" s="5">
        <v>116.1</v>
      </c>
      <c r="D21619" s="5">
        <v>0.1</v>
      </c>
      <c r="E21619" s="5">
        <v>116.2</v>
      </c>
      <c r="F21619" s="5">
        <v>231.8</v>
      </c>
      <c r="G21619" s="5">
        <v>115.7</v>
      </c>
      <c r="H21619" s="5">
        <v>115.5</v>
      </c>
      <c r="I21619" s="5"/>
      <c r="J21619" s="5"/>
      <c r="K21619" s="5"/>
    </row>
    <row r="21620" spans="1:11" x14ac:dyDescent="0.25">
      <c r="A21620" s="5">
        <f>21613</f>
      </c>
      <c r="B21620" s="5" t="s">
        <v>21628</v>
      </c>
      <c r="C21620" s="5">
        <v>116.4</v>
      </c>
      <c r="D21620" s="5">
        <v>0.1</v>
      </c>
      <c r="E21620" s="5">
        <v>116.5</v>
      </c>
      <c r="F21620" s="5">
        <v>233</v>
      </c>
      <c r="G21620" s="5">
        <v>116.2</v>
      </c>
      <c r="H21620" s="5">
        <v>116</v>
      </c>
      <c r="I21620" s="5"/>
      <c r="J21620" s="5"/>
      <c r="K21620" s="5"/>
    </row>
    <row r="21621" spans="1:11" x14ac:dyDescent="0.25">
      <c r="A21621" s="5">
        <f>21614</f>
      </c>
      <c r="B21621" s="5" t="s">
        <v>21629</v>
      </c>
      <c r="C21621" s="5">
        <v>116.4</v>
      </c>
      <c r="D21621" s="5">
        <v>0.1</v>
      </c>
      <c r="E21621" s="5">
        <v>116.5</v>
      </c>
      <c r="F21621" s="5">
        <v>233</v>
      </c>
      <c r="G21621" s="5">
        <v>116.2</v>
      </c>
      <c r="H21621" s="5">
        <v>116</v>
      </c>
      <c r="I21621" s="5"/>
      <c r="J21621" s="5"/>
      <c r="K21621" s="5"/>
    </row>
    <row r="21622" spans="1:11" x14ac:dyDescent="0.25">
      <c r="A21622" s="5">
        <f>21615</f>
      </c>
      <c r="B21622" s="5" t="s">
        <v>21630</v>
      </c>
      <c r="C21622" s="5">
        <v>116.7</v>
      </c>
      <c r="D21622" s="5">
        <v>0.1</v>
      </c>
      <c r="E21622" s="5">
        <v>117</v>
      </c>
      <c r="F21622" s="5">
        <v>233.2</v>
      </c>
      <c r="G21622" s="5">
        <v>116.4</v>
      </c>
      <c r="H21622" s="5">
        <v>116.2</v>
      </c>
      <c r="I21622" s="5"/>
      <c r="J21622" s="5"/>
      <c r="K21622" s="5"/>
    </row>
    <row r="21623" spans="1:11" x14ac:dyDescent="0.25">
      <c r="A21623" s="5">
        <f>21616</f>
      </c>
      <c r="B21623" s="5" t="s">
        <v>21631</v>
      </c>
      <c r="C21623" s="5">
        <v>116.7</v>
      </c>
      <c r="D21623" s="5">
        <v>0.1</v>
      </c>
      <c r="E21623" s="5">
        <v>117</v>
      </c>
      <c r="F21623" s="5">
        <v>233.2</v>
      </c>
      <c r="G21623" s="5">
        <v>116.4</v>
      </c>
      <c r="H21623" s="5">
        <v>116.2</v>
      </c>
      <c r="I21623" s="5"/>
      <c r="J21623" s="5"/>
      <c r="K21623" s="5"/>
    </row>
    <row r="21624" spans="1:11" x14ac:dyDescent="0.25">
      <c r="A21624" s="5">
        <f>21617</f>
      </c>
      <c r="B21624" s="5" t="s">
        <v>21632</v>
      </c>
      <c r="C21624" s="5">
        <v>116.7</v>
      </c>
      <c r="D21624" s="5">
        <v>0.1</v>
      </c>
      <c r="E21624" s="5">
        <v>117</v>
      </c>
      <c r="F21624" s="5">
        <v>233.2</v>
      </c>
      <c r="G21624" s="5">
        <v>116.4</v>
      </c>
      <c r="H21624" s="5">
        <v>116.2</v>
      </c>
      <c r="I21624" s="5"/>
      <c r="J21624" s="5"/>
      <c r="K21624" s="5"/>
    </row>
    <row r="21625" spans="1:11" x14ac:dyDescent="0.25">
      <c r="A21625" s="5">
        <f>21618</f>
      </c>
      <c r="B21625" s="5" t="s">
        <v>21633</v>
      </c>
      <c r="C21625" s="5">
        <v>116.7</v>
      </c>
      <c r="D21625" s="5">
        <v>0.1</v>
      </c>
      <c r="E21625" s="5">
        <v>117</v>
      </c>
      <c r="F21625" s="5">
        <v>233.2</v>
      </c>
      <c r="G21625" s="5">
        <v>116.4</v>
      </c>
      <c r="H21625" s="5">
        <v>116.2</v>
      </c>
      <c r="I21625" s="5"/>
      <c r="J21625" s="5"/>
      <c r="K21625" s="5"/>
    </row>
    <row r="21626" spans="1:11" x14ac:dyDescent="0.25">
      <c r="A21626" s="5">
        <f>21619</f>
      </c>
      <c r="B21626" s="5" t="s">
        <v>21634</v>
      </c>
      <c r="C21626" s="5">
        <v>116.4</v>
      </c>
      <c r="D21626" s="5">
        <v>0.1</v>
      </c>
      <c r="E21626" s="5">
        <v>116.5</v>
      </c>
      <c r="F21626" s="5">
        <v>233</v>
      </c>
      <c r="G21626" s="5">
        <v>116.3</v>
      </c>
      <c r="H21626" s="5">
        <v>116.1</v>
      </c>
      <c r="I21626" s="5"/>
      <c r="J21626" s="5"/>
      <c r="K21626" s="5"/>
    </row>
    <row r="21627" spans="1:11" x14ac:dyDescent="0.25">
      <c r="A21627" s="5">
        <f>21620</f>
      </c>
      <c r="B21627" s="5" t="s">
        <v>21635</v>
      </c>
      <c r="C21627" s="5">
        <v>116.4</v>
      </c>
      <c r="D21627" s="5">
        <v>0.1</v>
      </c>
      <c r="E21627" s="5">
        <v>116.5</v>
      </c>
      <c r="F21627" s="5">
        <v>233</v>
      </c>
      <c r="G21627" s="5">
        <v>116.3</v>
      </c>
      <c r="H21627" s="5">
        <v>116.1</v>
      </c>
      <c r="I21627" s="5"/>
      <c r="J21627" s="5"/>
      <c r="K21627" s="5"/>
    </row>
    <row r="21628" spans="1:11" x14ac:dyDescent="0.25">
      <c r="A21628" s="5">
        <f>21621</f>
      </c>
      <c r="B21628" s="5" t="s">
        <v>21636</v>
      </c>
      <c r="C21628" s="5">
        <v>116.8</v>
      </c>
      <c r="D21628" s="5">
        <v>0.1</v>
      </c>
      <c r="E21628" s="5">
        <v>117.1</v>
      </c>
      <c r="F21628" s="5">
        <v>233.6</v>
      </c>
      <c r="G21628" s="5">
        <v>116.6</v>
      </c>
      <c r="H21628" s="5">
        <v>116.4</v>
      </c>
      <c r="I21628" s="5"/>
      <c r="J21628" s="5"/>
      <c r="K21628" s="5"/>
    </row>
    <row r="21629" spans="1:11" x14ac:dyDescent="0.25">
      <c r="A21629" s="5">
        <f>21622</f>
      </c>
      <c r="B21629" s="5" t="s">
        <v>21637</v>
      </c>
      <c r="C21629" s="5">
        <v>116.8</v>
      </c>
      <c r="D21629" s="5">
        <v>0.1</v>
      </c>
      <c r="E21629" s="5">
        <v>117.1</v>
      </c>
      <c r="F21629" s="5">
        <v>233.6</v>
      </c>
      <c r="G21629" s="5">
        <v>116.6</v>
      </c>
      <c r="H21629" s="5">
        <v>116.4</v>
      </c>
      <c r="I21629" s="5"/>
      <c r="J21629" s="5"/>
      <c r="K21629" s="5"/>
    </row>
    <row r="21630" spans="1:11" x14ac:dyDescent="0.25">
      <c r="A21630" s="5">
        <f>21623</f>
      </c>
      <c r="B21630" s="5" t="s">
        <v>21638</v>
      </c>
      <c r="C21630" s="5">
        <v>116.7</v>
      </c>
      <c r="D21630" s="5">
        <v>0.1</v>
      </c>
      <c r="E21630" s="5">
        <v>116.9</v>
      </c>
      <c r="F21630" s="5">
        <v>233.3</v>
      </c>
      <c r="G21630" s="5">
        <v>116.4</v>
      </c>
      <c r="H21630" s="5">
        <v>116.3</v>
      </c>
      <c r="I21630" s="5"/>
      <c r="J21630" s="5"/>
      <c r="K21630" s="5"/>
    </row>
    <row r="21631" spans="1:11" x14ac:dyDescent="0.25">
      <c r="A21631" s="5">
        <f>21624</f>
      </c>
      <c r="B21631" s="5" t="s">
        <v>21639</v>
      </c>
      <c r="C21631" s="5">
        <v>116.7</v>
      </c>
      <c r="D21631" s="5">
        <v>0.1</v>
      </c>
      <c r="E21631" s="5">
        <v>116.9</v>
      </c>
      <c r="F21631" s="5">
        <v>233.3</v>
      </c>
      <c r="G21631" s="5">
        <v>116.4</v>
      </c>
      <c r="H21631" s="5">
        <v>116.3</v>
      </c>
      <c r="I21631" s="5"/>
      <c r="J21631" s="5"/>
      <c r="K21631" s="5"/>
    </row>
    <row r="21632" spans="1:11" x14ac:dyDescent="0.25">
      <c r="A21632" s="5">
        <f>21625</f>
      </c>
      <c r="B21632" s="5" t="s">
        <v>21640</v>
      </c>
      <c r="C21632" s="5">
        <v>116.3</v>
      </c>
      <c r="D21632" s="5">
        <v>0.1</v>
      </c>
      <c r="E21632" s="5">
        <v>116.5</v>
      </c>
      <c r="F21632" s="5">
        <v>232.8</v>
      </c>
      <c r="G21632" s="5">
        <v>116.2</v>
      </c>
      <c r="H21632" s="5">
        <v>116</v>
      </c>
      <c r="I21632" s="5"/>
      <c r="J21632" s="5"/>
      <c r="K21632" s="5"/>
    </row>
    <row r="21633" spans="1:11" x14ac:dyDescent="0.25">
      <c r="A21633" s="5">
        <f>21626</f>
      </c>
      <c r="B21633" s="5" t="s">
        <v>21641</v>
      </c>
      <c r="C21633" s="5">
        <v>111.9</v>
      </c>
      <c r="D21633" s="5">
        <v>0.1</v>
      </c>
      <c r="E21633" s="5">
        <v>112</v>
      </c>
      <c r="F21633" s="5">
        <v>223.8</v>
      </c>
      <c r="G21633" s="5">
        <v>111.7</v>
      </c>
      <c r="H21633" s="5">
        <v>111.5</v>
      </c>
      <c r="I21633" s="5"/>
      <c r="J21633" s="5"/>
      <c r="K21633" s="5"/>
    </row>
    <row r="21634" spans="1:11" x14ac:dyDescent="0.25">
      <c r="A21634" s="5">
        <f>21627</f>
      </c>
      <c r="B21634" s="5" t="s">
        <v>21642</v>
      </c>
      <c r="C21634" s="5">
        <v>105.8</v>
      </c>
      <c r="D21634" s="5">
        <v>0.1</v>
      </c>
      <c r="E21634" s="5">
        <v>105.9</v>
      </c>
      <c r="F21634" s="5">
        <v>215.6</v>
      </c>
      <c r="G21634" s="5">
        <v>107.7</v>
      </c>
      <c r="H21634" s="5">
        <v>107.6</v>
      </c>
      <c r="I21634" s="5"/>
      <c r="J21634" s="5"/>
      <c r="K21634" s="5"/>
    </row>
    <row r="21635" spans="1:11" x14ac:dyDescent="0.25">
      <c r="A21635" s="5">
        <f>21628</f>
      </c>
      <c r="B21635" s="5" t="s">
        <v>21643</v>
      </c>
      <c r="C21635" s="5">
        <v>105.2</v>
      </c>
      <c r="D21635" s="5">
        <v>0.1</v>
      </c>
      <c r="E21635" s="5">
        <v>105.3</v>
      </c>
      <c r="F21635" s="5">
        <v>223.2</v>
      </c>
      <c r="G21635" s="5">
        <v>111.4</v>
      </c>
      <c r="H21635" s="5">
        <v>111.3</v>
      </c>
      <c r="I21635" s="5"/>
      <c r="J21635" s="5"/>
      <c r="K21635" s="5"/>
    </row>
    <row r="21636" spans="1:11" x14ac:dyDescent="0.25">
      <c r="A21636" s="5">
        <f>21629</f>
      </c>
      <c r="B21636" s="5" t="s">
        <v>21644</v>
      </c>
      <c r="C21636" s="5">
        <v>105.2</v>
      </c>
      <c r="D21636" s="5">
        <v>0.1</v>
      </c>
      <c r="E21636" s="5">
        <v>105.3</v>
      </c>
      <c r="F21636" s="5">
        <v>223.2</v>
      </c>
      <c r="G21636" s="5">
        <v>111.4</v>
      </c>
      <c r="H21636" s="5">
        <v>111.3</v>
      </c>
      <c r="I21636" s="5"/>
      <c r="J21636" s="5"/>
      <c r="K21636" s="5"/>
    </row>
    <row r="21637" spans="1:11" x14ac:dyDescent="0.25">
      <c r="A21637" s="5">
        <f>21630</f>
      </c>
      <c r="B21637" s="5" t="s">
        <v>21645</v>
      </c>
      <c r="C21637" s="5">
        <v>107.8</v>
      </c>
      <c r="D21637" s="5">
        <v>0.1</v>
      </c>
      <c r="E21637" s="5">
        <v>107.9</v>
      </c>
      <c r="F21637" s="5">
        <v>216.4</v>
      </c>
      <c r="G21637" s="5">
        <v>107.9</v>
      </c>
      <c r="H21637" s="5">
        <v>107.8</v>
      </c>
      <c r="I21637" s="5"/>
      <c r="J21637" s="5"/>
      <c r="K21637" s="5"/>
    </row>
    <row r="21638" spans="1:11" x14ac:dyDescent="0.25">
      <c r="A21638" s="5">
        <f>21631</f>
      </c>
      <c r="B21638" s="5" t="s">
        <v>21646</v>
      </c>
      <c r="C21638" s="5">
        <v>107.8</v>
      </c>
      <c r="D21638" s="5">
        <v>0.1</v>
      </c>
      <c r="E21638" s="5">
        <v>107.9</v>
      </c>
      <c r="F21638" s="5">
        <v>216.4</v>
      </c>
      <c r="G21638" s="5">
        <v>107.9</v>
      </c>
      <c r="H21638" s="5">
        <v>107.8</v>
      </c>
      <c r="I21638" s="5"/>
      <c r="J21638" s="5"/>
      <c r="K21638" s="5"/>
    </row>
    <row r="21639" spans="1:11" x14ac:dyDescent="0.25">
      <c r="A21639" s="5">
        <f>21632</f>
      </c>
      <c r="B21639" s="5" t="s">
        <v>21647</v>
      </c>
      <c r="C21639" s="5">
        <v>106.1</v>
      </c>
      <c r="D21639" s="5">
        <v>0.1</v>
      </c>
      <c r="E21639" s="5">
        <v>106.2</v>
      </c>
      <c r="F21639" s="5">
        <v>211.9</v>
      </c>
      <c r="G21639" s="5">
        <v>105.7</v>
      </c>
      <c r="H21639" s="5">
        <v>105.6</v>
      </c>
      <c r="I21639" s="5"/>
      <c r="J21639" s="5"/>
      <c r="K21639" s="5"/>
    </row>
    <row r="21640" spans="1:11" x14ac:dyDescent="0.25">
      <c r="A21640" s="5">
        <f>21633</f>
      </c>
      <c r="B21640" s="5" t="s">
        <v>21648</v>
      </c>
      <c r="C21640" s="5">
        <v>106.1</v>
      </c>
      <c r="D21640" s="5">
        <v>0.1</v>
      </c>
      <c r="E21640" s="5">
        <v>106.2</v>
      </c>
      <c r="F21640" s="5">
        <v>211.9</v>
      </c>
      <c r="G21640" s="5">
        <v>105.7</v>
      </c>
      <c r="H21640" s="5">
        <v>105.6</v>
      </c>
      <c r="I21640" s="5"/>
      <c r="J21640" s="5"/>
      <c r="K21640" s="5"/>
    </row>
    <row r="21641" spans="1:11" x14ac:dyDescent="0.25">
      <c r="A21641" s="5">
        <f>21634</f>
      </c>
      <c r="B21641" s="5" t="s">
        <v>21649</v>
      </c>
      <c r="C21641" s="5">
        <v>106.1</v>
      </c>
      <c r="D21641" s="5">
        <v>0.1</v>
      </c>
      <c r="E21641" s="5">
        <v>106.2</v>
      </c>
      <c r="F21641" s="5">
        <v>211.9</v>
      </c>
      <c r="G21641" s="5">
        <v>105.7</v>
      </c>
      <c r="H21641" s="5">
        <v>105.6</v>
      </c>
      <c r="I21641" s="5"/>
      <c r="J21641" s="5"/>
      <c r="K21641" s="5"/>
    </row>
    <row r="21642" spans="1:11" x14ac:dyDescent="0.25">
      <c r="A21642" s="5">
        <f>21635</f>
      </c>
      <c r="B21642" s="5" t="s">
        <v>21650</v>
      </c>
      <c r="C21642" s="5">
        <v>106.1</v>
      </c>
      <c r="D21642" s="5">
        <v>0.1</v>
      </c>
      <c r="E21642" s="5">
        <v>106.2</v>
      </c>
      <c r="F21642" s="5">
        <v>211.9</v>
      </c>
      <c r="G21642" s="5">
        <v>105.7</v>
      </c>
      <c r="H21642" s="5">
        <v>105.6</v>
      </c>
      <c r="I21642" s="5"/>
      <c r="J21642" s="5"/>
      <c r="K21642" s="5"/>
    </row>
    <row r="21643" spans="1:11" x14ac:dyDescent="0.25">
      <c r="A21643" s="5">
        <f>21636</f>
      </c>
      <c r="B21643" s="5" t="s">
        <v>21651</v>
      </c>
      <c r="C21643" s="5">
        <v>111.4</v>
      </c>
      <c r="D21643" s="5">
        <v>0.1</v>
      </c>
      <c r="E21643" s="5">
        <v>111.6</v>
      </c>
      <c r="F21643" s="5">
        <v>223</v>
      </c>
      <c r="G21643" s="5">
        <v>111.3</v>
      </c>
      <c r="H21643" s="5">
        <v>111.1</v>
      </c>
      <c r="I21643" s="5"/>
      <c r="J21643" s="5"/>
      <c r="K21643" s="5"/>
    </row>
    <row r="21644" spans="1:11" x14ac:dyDescent="0.25">
      <c r="A21644" s="5">
        <f>21637</f>
      </c>
      <c r="B21644" s="5" t="s">
        <v>21652</v>
      </c>
      <c r="C21644" s="5">
        <v>111.4</v>
      </c>
      <c r="D21644" s="5">
        <v>0.1</v>
      </c>
      <c r="E21644" s="5">
        <v>111.6</v>
      </c>
      <c r="F21644" s="5">
        <v>223</v>
      </c>
      <c r="G21644" s="5">
        <v>111.3</v>
      </c>
      <c r="H21644" s="5">
        <v>111.1</v>
      </c>
      <c r="I21644" s="5"/>
      <c r="J21644" s="5"/>
      <c r="K21644" s="5"/>
    </row>
    <row r="21645" spans="1:11" x14ac:dyDescent="0.25">
      <c r="A21645" s="5">
        <f>21638</f>
      </c>
      <c r="B21645" s="5" t="s">
        <v>21653</v>
      </c>
      <c r="C21645" s="5">
        <v>111.7</v>
      </c>
      <c r="D21645" s="5">
        <v>0.1</v>
      </c>
      <c r="E21645" s="5">
        <v>111.9</v>
      </c>
      <c r="F21645" s="5">
        <v>222.8</v>
      </c>
      <c r="G21645" s="5">
        <v>111.3</v>
      </c>
      <c r="H21645" s="5">
        <v>111.1</v>
      </c>
      <c r="I21645" s="5"/>
      <c r="J21645" s="5"/>
      <c r="K21645" s="5"/>
    </row>
    <row r="21646" spans="1:11" x14ac:dyDescent="0.25">
      <c r="A21646" s="5">
        <f>21639</f>
      </c>
      <c r="B21646" s="5" t="s">
        <v>21654</v>
      </c>
      <c r="C21646" s="5">
        <v>111.7</v>
      </c>
      <c r="D21646" s="5">
        <v>0.1</v>
      </c>
      <c r="E21646" s="5">
        <v>111.9</v>
      </c>
      <c r="F21646" s="5">
        <v>222.8</v>
      </c>
      <c r="G21646" s="5">
        <v>111.3</v>
      </c>
      <c r="H21646" s="5">
        <v>111.1</v>
      </c>
      <c r="I21646" s="5"/>
      <c r="J21646" s="5"/>
      <c r="K21646" s="5"/>
    </row>
    <row r="21647" spans="1:11" x14ac:dyDescent="0.25">
      <c r="A21647" s="5">
        <f>21640</f>
      </c>
      <c r="B21647" s="5" t="s">
        <v>21655</v>
      </c>
      <c r="C21647" s="5">
        <v>106.9</v>
      </c>
      <c r="D21647" s="5">
        <v>0.1</v>
      </c>
      <c r="E21647" s="5">
        <v>107</v>
      </c>
      <c r="F21647" s="5">
        <v>212.6</v>
      </c>
      <c r="G21647" s="5">
        <v>106.1</v>
      </c>
      <c r="H21647" s="5">
        <v>106</v>
      </c>
      <c r="I21647" s="5"/>
      <c r="J21647" s="5"/>
      <c r="K21647" s="5"/>
    </row>
    <row r="21648" spans="1:11" x14ac:dyDescent="0.25">
      <c r="A21648" s="5">
        <f>21641</f>
      </c>
      <c r="B21648" s="5" t="s">
        <v>21656</v>
      </c>
      <c r="C21648" s="5">
        <v>106.9</v>
      </c>
      <c r="D21648" s="5">
        <v>0.1</v>
      </c>
      <c r="E21648" s="5">
        <v>107</v>
      </c>
      <c r="F21648" s="5">
        <v>212.6</v>
      </c>
      <c r="G21648" s="5">
        <v>106.1</v>
      </c>
      <c r="H21648" s="5">
        <v>106</v>
      </c>
      <c r="I21648" s="5"/>
      <c r="J21648" s="5"/>
      <c r="K21648" s="5"/>
    </row>
    <row r="21649" spans="1:11" x14ac:dyDescent="0.25">
      <c r="A21649" s="5">
        <f>21642</f>
      </c>
      <c r="B21649" s="5" t="s">
        <v>21657</v>
      </c>
      <c r="C21649" s="5">
        <v>106.6</v>
      </c>
      <c r="D21649" s="5">
        <v>0.1</v>
      </c>
      <c r="E21649" s="5">
        <v>106.7</v>
      </c>
      <c r="F21649" s="5">
        <v>211.6</v>
      </c>
      <c r="G21649" s="5">
        <v>105.7</v>
      </c>
      <c r="H21649" s="5">
        <v>105.6</v>
      </c>
      <c r="I21649" s="5"/>
      <c r="J21649" s="5"/>
      <c r="K21649" s="5"/>
    </row>
    <row r="21650" spans="1:11" x14ac:dyDescent="0.25">
      <c r="A21650" s="5">
        <f>21643</f>
      </c>
      <c r="B21650" s="5" t="s">
        <v>21658</v>
      </c>
      <c r="C21650" s="5">
        <v>106.6</v>
      </c>
      <c r="D21650" s="5">
        <v>0.1</v>
      </c>
      <c r="E21650" s="5">
        <v>106.7</v>
      </c>
      <c r="F21650" s="5">
        <v>211.6</v>
      </c>
      <c r="G21650" s="5">
        <v>105.7</v>
      </c>
      <c r="H21650" s="5">
        <v>105.6</v>
      </c>
      <c r="I21650" s="5"/>
      <c r="J21650" s="5"/>
      <c r="K21650" s="5"/>
    </row>
    <row r="21651" spans="1:11" x14ac:dyDescent="0.25">
      <c r="A21651" s="5">
        <f>21644</f>
      </c>
      <c r="B21651" s="5" t="s">
        <v>21659</v>
      </c>
      <c r="C21651" s="5">
        <v>106.6</v>
      </c>
      <c r="D21651" s="5">
        <v>0.1</v>
      </c>
      <c r="E21651" s="5">
        <v>106.7</v>
      </c>
      <c r="F21651" s="5">
        <v>211.6</v>
      </c>
      <c r="G21651" s="5">
        <v>105.7</v>
      </c>
      <c r="H21651" s="5">
        <v>105.6</v>
      </c>
      <c r="I21651" s="5"/>
      <c r="J21651" s="5"/>
      <c r="K21651" s="5"/>
    </row>
    <row r="21652" spans="1:11" x14ac:dyDescent="0.25">
      <c r="A21652" s="5">
        <f>21645</f>
      </c>
      <c r="B21652" s="5" t="s">
        <v>21660</v>
      </c>
      <c r="C21652" s="5">
        <v>106.6</v>
      </c>
      <c r="D21652" s="5">
        <v>0.1</v>
      </c>
      <c r="E21652" s="5">
        <v>106.7</v>
      </c>
      <c r="F21652" s="5">
        <v>211.6</v>
      </c>
      <c r="G21652" s="5">
        <v>105.7</v>
      </c>
      <c r="H21652" s="5">
        <v>105.8</v>
      </c>
      <c r="I21652" s="5"/>
      <c r="J21652" s="5"/>
      <c r="K21652" s="5"/>
    </row>
    <row r="21653" spans="1:11" x14ac:dyDescent="0.25">
      <c r="A21653" s="5">
        <f>21646</f>
      </c>
      <c r="B21653" s="5" t="s">
        <v>21661</v>
      </c>
      <c r="C21653" s="5">
        <v>105</v>
      </c>
      <c r="D21653" s="5">
        <v>0.1</v>
      </c>
      <c r="E21653" s="5">
        <v>105.2</v>
      </c>
      <c r="F21653" s="5">
        <v>213.1</v>
      </c>
      <c r="G21653" s="5">
        <v>106.2</v>
      </c>
      <c r="H21653" s="5">
        <v>105.8</v>
      </c>
      <c r="I21653" s="5"/>
      <c r="J21653" s="5"/>
      <c r="K21653" s="5"/>
    </row>
    <row r="21654" spans="1:11" x14ac:dyDescent="0.25">
      <c r="A21654" s="5">
        <f>21647</f>
      </c>
      <c r="B21654" s="5" t="s">
        <v>21662</v>
      </c>
      <c r="C21654" s="5">
        <v>105</v>
      </c>
      <c r="D21654" s="5">
        <v>0.1</v>
      </c>
      <c r="E21654" s="5">
        <v>105.2</v>
      </c>
      <c r="F21654" s="5">
        <v>213.1</v>
      </c>
      <c r="G21654" s="5">
        <v>106.2</v>
      </c>
      <c r="H21654" s="5">
        <v>105.8</v>
      </c>
      <c r="I21654" s="5"/>
      <c r="J21654" s="5"/>
      <c r="K21654" s="5"/>
    </row>
    <row r="21655" spans="1:11" x14ac:dyDescent="0.25">
      <c r="A21655" s="5">
        <f>21648</f>
      </c>
      <c r="B21655" s="5" t="s">
        <v>21663</v>
      </c>
      <c r="C21655" s="5">
        <v>108.1</v>
      </c>
      <c r="D21655" s="5">
        <v>0.1</v>
      </c>
      <c r="E21655" s="5">
        <v>108.3</v>
      </c>
      <c r="F21655" s="5">
        <v>221.7</v>
      </c>
      <c r="G21655" s="5">
        <v>110.6</v>
      </c>
      <c r="H21655" s="5">
        <v>110.4</v>
      </c>
      <c r="I21655" s="5"/>
      <c r="J21655" s="5"/>
      <c r="K21655" s="5"/>
    </row>
    <row r="21656" spans="1:11" x14ac:dyDescent="0.25">
      <c r="A21656" s="5">
        <f>21649</f>
      </c>
      <c r="B21656" s="5" t="s">
        <v>21664</v>
      </c>
      <c r="C21656" s="5">
        <v>108.1</v>
      </c>
      <c r="D21656" s="5">
        <v>0.1</v>
      </c>
      <c r="E21656" s="5">
        <v>108.3</v>
      </c>
      <c r="F21656" s="5">
        <v>221.7</v>
      </c>
      <c r="G21656" s="5">
        <v>110.6</v>
      </c>
      <c r="H21656" s="5">
        <v>110.4</v>
      </c>
      <c r="I21656" s="5"/>
      <c r="J21656" s="5"/>
      <c r="K21656" s="5"/>
    </row>
    <row r="21657" spans="1:11" x14ac:dyDescent="0.25">
      <c r="A21657" s="5">
        <f>21650</f>
      </c>
      <c r="B21657" s="5" t="s">
        <v>21665</v>
      </c>
      <c r="C21657" s="5">
        <v>111.6</v>
      </c>
      <c r="D21657" s="5">
        <v>0.1</v>
      </c>
      <c r="E21657" s="5">
        <v>111.7</v>
      </c>
      <c r="F21657" s="5">
        <v>211.2</v>
      </c>
      <c r="G21657" s="5">
        <v>105.5</v>
      </c>
      <c r="H21657" s="5">
        <v>105.6</v>
      </c>
      <c r="I21657" s="5"/>
      <c r="J21657" s="5"/>
      <c r="K21657" s="5"/>
    </row>
    <row r="21658" spans="1:11" x14ac:dyDescent="0.25">
      <c r="A21658" s="5">
        <f>21651</f>
      </c>
      <c r="B21658" s="5" t="s">
        <v>21666</v>
      </c>
      <c r="C21658" s="5">
        <v>111.6</v>
      </c>
      <c r="D21658" s="5">
        <v>0.1</v>
      </c>
      <c r="E21658" s="5">
        <v>111.7</v>
      </c>
      <c r="F21658" s="5">
        <v>211.2</v>
      </c>
      <c r="G21658" s="5">
        <v>105.5</v>
      </c>
      <c r="H21658" s="5">
        <v>105.6</v>
      </c>
      <c r="I21658" s="5"/>
      <c r="J21658" s="5"/>
      <c r="K21658" s="5"/>
    </row>
    <row r="21659" spans="1:11" x14ac:dyDescent="0.25">
      <c r="A21659" s="5">
        <f>21652</f>
      </c>
      <c r="B21659" s="5" t="s">
        <v>21667</v>
      </c>
      <c r="C21659" s="5">
        <v>106</v>
      </c>
      <c r="D21659" s="5">
        <v>0.1</v>
      </c>
      <c r="E21659" s="5">
        <v>106.2</v>
      </c>
      <c r="F21659" s="5">
        <v>210.1</v>
      </c>
      <c r="G21659" s="5">
        <v>104.9</v>
      </c>
      <c r="H21659" s="5">
        <v>104.8</v>
      </c>
      <c r="I21659" s="5"/>
      <c r="J21659" s="5"/>
      <c r="K21659" s="5"/>
    </row>
    <row r="21660" spans="1:11" x14ac:dyDescent="0.25">
      <c r="A21660" s="5">
        <f>21653</f>
      </c>
      <c r="B21660" s="5" t="s">
        <v>21668</v>
      </c>
      <c r="C21660" s="5">
        <v>106</v>
      </c>
      <c r="D21660" s="5">
        <v>0.1</v>
      </c>
      <c r="E21660" s="5">
        <v>106.2</v>
      </c>
      <c r="F21660" s="5">
        <v>210.1</v>
      </c>
      <c r="G21660" s="5">
        <v>104.9</v>
      </c>
      <c r="H21660" s="5">
        <v>104.8</v>
      </c>
      <c r="I21660" s="5"/>
      <c r="J21660" s="5"/>
      <c r="K21660" s="5"/>
    </row>
    <row r="21661" spans="1:11" x14ac:dyDescent="0.25">
      <c r="A21661" s="5">
        <f>21654</f>
      </c>
      <c r="B21661" s="5" t="s">
        <v>21669</v>
      </c>
      <c r="C21661" s="5">
        <v>106</v>
      </c>
      <c r="D21661" s="5">
        <v>0.1</v>
      </c>
      <c r="E21661" s="5">
        <v>106.2</v>
      </c>
      <c r="F21661" s="5">
        <v>210.1</v>
      </c>
      <c r="G21661" s="5">
        <v>104.9</v>
      </c>
      <c r="H21661" s="5">
        <v>104.8</v>
      </c>
      <c r="I21661" s="5"/>
      <c r="J21661" s="5"/>
      <c r="K21661" s="5"/>
    </row>
    <row r="21662" spans="1:11" x14ac:dyDescent="0.25">
      <c r="A21662" s="5">
        <f>21655</f>
      </c>
      <c r="B21662" s="5" t="s">
        <v>21670</v>
      </c>
      <c r="C21662" s="5">
        <v>109.2</v>
      </c>
      <c r="D21662" s="5">
        <v>0.1</v>
      </c>
      <c r="E21662" s="5">
        <v>109.4</v>
      </c>
      <c r="F21662" s="5">
        <v>217.2</v>
      </c>
      <c r="G21662" s="5">
        <v>108.5</v>
      </c>
      <c r="H21662" s="5">
        <v>108.4</v>
      </c>
      <c r="I21662" s="5"/>
      <c r="J21662" s="5"/>
      <c r="K21662" s="5"/>
    </row>
    <row r="21663" spans="1:11" x14ac:dyDescent="0.25">
      <c r="A21663" s="5">
        <f>21656</f>
      </c>
      <c r="B21663" s="5" t="s">
        <v>21671</v>
      </c>
      <c r="C21663" s="5">
        <v>109.2</v>
      </c>
      <c r="D21663" s="5">
        <v>0.1</v>
      </c>
      <c r="E21663" s="5">
        <v>109.4</v>
      </c>
      <c r="F21663" s="5">
        <v>217.2</v>
      </c>
      <c r="G21663" s="5">
        <v>108.5</v>
      </c>
      <c r="H21663" s="5">
        <v>108.4</v>
      </c>
      <c r="I21663" s="5"/>
      <c r="J21663" s="5"/>
      <c r="K21663" s="5"/>
    </row>
    <row r="21664" spans="1:11" x14ac:dyDescent="0.25">
      <c r="A21664" s="5">
        <f>21657</f>
      </c>
      <c r="B21664" s="5" t="s">
        <v>21672</v>
      </c>
      <c r="C21664" s="5">
        <v>106.9</v>
      </c>
      <c r="D21664" s="5">
        <v>0.1</v>
      </c>
      <c r="E21664" s="5">
        <v>107</v>
      </c>
      <c r="F21664" s="5">
        <v>214</v>
      </c>
      <c r="G21664" s="5">
        <v>106.9</v>
      </c>
      <c r="H21664" s="5">
        <v>106.8</v>
      </c>
      <c r="I21664" s="5"/>
      <c r="J21664" s="5"/>
      <c r="K21664" s="5"/>
    </row>
    <row r="21665" spans="1:11" x14ac:dyDescent="0.25">
      <c r="A21665" s="5">
        <f>21658</f>
      </c>
      <c r="B21665" s="5" t="s">
        <v>21673</v>
      </c>
      <c r="C21665" s="5">
        <v>106.9</v>
      </c>
      <c r="D21665" s="5">
        <v>0.1</v>
      </c>
      <c r="E21665" s="5">
        <v>107</v>
      </c>
      <c r="F21665" s="5">
        <v>214</v>
      </c>
      <c r="G21665" s="5">
        <v>106.9</v>
      </c>
      <c r="H21665" s="5">
        <v>106.8</v>
      </c>
      <c r="I21665" s="5"/>
      <c r="J21665" s="5"/>
      <c r="K21665" s="5"/>
    </row>
    <row r="21666" spans="1:11" x14ac:dyDescent="0.25">
      <c r="A21666" s="5">
        <f>21659</f>
      </c>
      <c r="B21666" s="5" t="s">
        <v>21674</v>
      </c>
      <c r="C21666" s="5">
        <v>105.6</v>
      </c>
      <c r="D21666" s="5">
        <v>0.1</v>
      </c>
      <c r="E21666" s="5">
        <v>105.8</v>
      </c>
      <c r="F21666" s="5">
        <v>213.7</v>
      </c>
      <c r="G21666" s="5">
        <v>106.5</v>
      </c>
      <c r="H21666" s="5">
        <v>106.3</v>
      </c>
      <c r="I21666" s="5"/>
      <c r="J21666" s="5"/>
      <c r="K21666" s="5"/>
    </row>
    <row r="21667" spans="1:11" x14ac:dyDescent="0.25">
      <c r="A21667" s="5">
        <f>21660</f>
      </c>
      <c r="B21667" s="5" t="s">
        <v>21675</v>
      </c>
      <c r="C21667" s="5">
        <v>105.6</v>
      </c>
      <c r="D21667" s="5">
        <v>0.1</v>
      </c>
      <c r="E21667" s="5">
        <v>105.8</v>
      </c>
      <c r="F21667" s="5">
        <v>213.7</v>
      </c>
      <c r="G21667" s="5">
        <v>106.5</v>
      </c>
      <c r="H21667" s="5">
        <v>106.3</v>
      </c>
      <c r="I21667" s="5"/>
      <c r="J21667" s="5"/>
      <c r="K21667" s="5"/>
    </row>
    <row r="21668" spans="1:11" x14ac:dyDescent="0.25">
      <c r="A21668" s="5">
        <f>21661</f>
      </c>
      <c r="B21668" s="5" t="s">
        <v>21676</v>
      </c>
      <c r="C21668" s="5">
        <v>110.2</v>
      </c>
      <c r="D21668" s="5">
        <v>0.1</v>
      </c>
      <c r="E21668" s="5">
        <v>110.4</v>
      </c>
      <c r="F21668" s="5">
        <v>220.4</v>
      </c>
      <c r="G21668" s="5">
        <v>110</v>
      </c>
      <c r="H21668" s="5">
        <v>109.9</v>
      </c>
      <c r="I21668" s="5"/>
      <c r="J21668" s="5"/>
      <c r="K21668" s="5"/>
    </row>
    <row r="21669" spans="1:11" x14ac:dyDescent="0.25">
      <c r="A21669" s="5">
        <f>21662</f>
      </c>
      <c r="B21669" s="5" t="s">
        <v>21677</v>
      </c>
      <c r="C21669" s="5">
        <v>110.2</v>
      </c>
      <c r="D21669" s="5">
        <v>0.1</v>
      </c>
      <c r="E21669" s="5">
        <v>110.4</v>
      </c>
      <c r="F21669" s="5">
        <v>220.4</v>
      </c>
      <c r="G21669" s="5">
        <v>110</v>
      </c>
      <c r="H21669" s="5">
        <v>109.9</v>
      </c>
      <c r="I21669" s="5"/>
      <c r="J21669" s="5"/>
      <c r="K21669" s="5"/>
    </row>
    <row r="21670" spans="1:11" x14ac:dyDescent="0.25">
      <c r="A21670" s="5">
        <f>21663</f>
      </c>
      <c r="B21670" s="5" t="s">
        <v>21678</v>
      </c>
      <c r="C21670" s="5">
        <v>110.2</v>
      </c>
      <c r="D21670" s="5">
        <v>0.1</v>
      </c>
      <c r="E21670" s="5">
        <v>110.4</v>
      </c>
      <c r="F21670" s="5">
        <v>220.4</v>
      </c>
      <c r="G21670" s="5">
        <v>110</v>
      </c>
      <c r="H21670" s="5">
        <v>109.9</v>
      </c>
      <c r="I21670" s="5"/>
      <c r="J21670" s="5"/>
      <c r="K21670" s="5"/>
    </row>
    <row r="21671" spans="1:11" x14ac:dyDescent="0.25">
      <c r="A21671" s="5">
        <f>21664</f>
      </c>
      <c r="B21671" s="5" t="s">
        <v>21679</v>
      </c>
      <c r="C21671" s="5">
        <v>110.2</v>
      </c>
      <c r="D21671" s="5">
        <v>0.1</v>
      </c>
      <c r="E21671" s="5">
        <v>110.4</v>
      </c>
      <c r="F21671" s="5">
        <v>220.4</v>
      </c>
      <c r="G21671" s="5">
        <v>110</v>
      </c>
      <c r="H21671" s="5">
        <v>109.9</v>
      </c>
      <c r="I21671" s="5"/>
      <c r="J21671" s="5"/>
      <c r="K21671" s="5"/>
    </row>
    <row r="21672" spans="1:11" x14ac:dyDescent="0.25">
      <c r="A21672" s="5">
        <f>21665</f>
      </c>
      <c r="B21672" s="5" t="s">
        <v>21680</v>
      </c>
      <c r="C21672" s="5">
        <v>103.7</v>
      </c>
      <c r="D21672" s="5">
        <v>0.1</v>
      </c>
      <c r="E21672" s="5">
        <v>103.8</v>
      </c>
      <c r="F21672" s="5">
        <v>208.4</v>
      </c>
      <c r="G21672" s="5">
        <v>104</v>
      </c>
      <c r="H21672" s="5">
        <v>103.8</v>
      </c>
      <c r="I21672" s="5"/>
      <c r="J21672" s="5"/>
      <c r="K21672" s="5"/>
    </row>
    <row r="21673" spans="1:11" x14ac:dyDescent="0.25">
      <c r="A21673" s="5">
        <f>21666</f>
      </c>
      <c r="B21673" s="5" t="s">
        <v>21681</v>
      </c>
      <c r="C21673" s="5">
        <v>103.7</v>
      </c>
      <c r="D21673" s="5">
        <v>0.1</v>
      </c>
      <c r="E21673" s="5">
        <v>103.8</v>
      </c>
      <c r="F21673" s="5">
        <v>208.4</v>
      </c>
      <c r="G21673" s="5">
        <v>104</v>
      </c>
      <c r="H21673" s="5">
        <v>103.8</v>
      </c>
      <c r="I21673" s="5"/>
      <c r="J21673" s="5"/>
      <c r="K21673" s="5"/>
    </row>
    <row r="21674" spans="1:11" x14ac:dyDescent="0.25">
      <c r="A21674" s="5">
        <f>21667</f>
      </c>
      <c r="B21674" s="5" t="s">
        <v>21682</v>
      </c>
      <c r="C21674" s="5">
        <v>104</v>
      </c>
      <c r="D21674" s="5">
        <v>0.1</v>
      </c>
      <c r="E21674" s="5">
        <v>104.2</v>
      </c>
      <c r="F21674" s="5">
        <v>208.6</v>
      </c>
      <c r="G21674" s="5">
        <v>104.1</v>
      </c>
      <c r="H21674" s="5">
        <v>103.9</v>
      </c>
      <c r="I21674" s="5"/>
      <c r="J21674" s="5"/>
      <c r="K21674" s="5"/>
    </row>
    <row r="21675" spans="1:11" x14ac:dyDescent="0.25">
      <c r="A21675" s="5">
        <f>21668</f>
      </c>
      <c r="B21675" s="5" t="s">
        <v>21683</v>
      </c>
      <c r="C21675" s="5">
        <v>104</v>
      </c>
      <c r="D21675" s="5">
        <v>0.1</v>
      </c>
      <c r="E21675" s="5">
        <v>104.2</v>
      </c>
      <c r="F21675" s="5">
        <v>208.6</v>
      </c>
      <c r="G21675" s="5">
        <v>104.1</v>
      </c>
      <c r="H21675" s="5">
        <v>103.9</v>
      </c>
      <c r="I21675" s="5"/>
      <c r="J21675" s="5"/>
      <c r="K21675" s="5"/>
    </row>
    <row r="21676" spans="1:11" x14ac:dyDescent="0.25">
      <c r="A21676" s="5">
        <f>21669</f>
      </c>
      <c r="B21676" s="5" t="s">
        <v>21684</v>
      </c>
      <c r="C21676" s="5">
        <v>105.1</v>
      </c>
      <c r="D21676" s="5">
        <v>0.1</v>
      </c>
      <c r="E21676" s="5">
        <v>105.3</v>
      </c>
      <c r="F21676" s="5">
        <v>219</v>
      </c>
      <c r="G21676" s="5">
        <v>109</v>
      </c>
      <c r="H21676" s="5">
        <v>108.5</v>
      </c>
      <c r="I21676" s="5"/>
      <c r="J21676" s="5"/>
      <c r="K21676" s="5"/>
    </row>
    <row r="21677" spans="1:11" x14ac:dyDescent="0.25">
      <c r="A21677" s="5">
        <f>21670</f>
      </c>
      <c r="B21677" s="5" t="s">
        <v>21685</v>
      </c>
      <c r="C21677" s="5">
        <v>105.1</v>
      </c>
      <c r="D21677" s="5">
        <v>0.1</v>
      </c>
      <c r="E21677" s="5">
        <v>105.3</v>
      </c>
      <c r="F21677" s="5">
        <v>219</v>
      </c>
      <c r="G21677" s="5">
        <v>109</v>
      </c>
      <c r="H21677" s="5">
        <v>108.5</v>
      </c>
      <c r="I21677" s="5"/>
      <c r="J21677" s="5"/>
      <c r="K21677" s="5"/>
    </row>
    <row r="21678" spans="1:11" x14ac:dyDescent="0.25">
      <c r="A21678" s="5">
        <f>21671</f>
      </c>
      <c r="B21678" s="5" t="s">
        <v>21686</v>
      </c>
      <c r="C21678" s="5">
        <v>111.4</v>
      </c>
      <c r="D21678" s="5">
        <v>0.1</v>
      </c>
      <c r="E21678" s="5">
        <v>111.6</v>
      </c>
      <c r="F21678" s="5">
        <v>221.3</v>
      </c>
      <c r="G21678" s="5">
        <v>110.6</v>
      </c>
      <c r="H21678" s="5">
        <v>110.5</v>
      </c>
      <c r="I21678" s="5"/>
      <c r="J21678" s="5"/>
      <c r="K21678" s="5"/>
    </row>
    <row r="21679" spans="1:11" x14ac:dyDescent="0.25">
      <c r="A21679" s="5">
        <f>21672</f>
      </c>
      <c r="B21679" s="5" t="s">
        <v>21687</v>
      </c>
      <c r="C21679" s="5">
        <v>111.4</v>
      </c>
      <c r="D21679" s="5">
        <v>0.1</v>
      </c>
      <c r="E21679" s="5">
        <v>111.6</v>
      </c>
      <c r="F21679" s="5">
        <v>221.3</v>
      </c>
      <c r="G21679" s="5">
        <v>110.6</v>
      </c>
      <c r="H21679" s="5">
        <v>110.5</v>
      </c>
      <c r="I21679" s="5"/>
      <c r="J21679" s="5"/>
      <c r="K21679" s="5"/>
    </row>
    <row r="21680" spans="1:11" x14ac:dyDescent="0.25">
      <c r="A21680" s="5">
        <f>21673</f>
      </c>
      <c r="B21680" s="5" t="s">
        <v>21688</v>
      </c>
      <c r="C21680" s="5">
        <v>111.4</v>
      </c>
      <c r="D21680" s="5">
        <v>0.1</v>
      </c>
      <c r="E21680" s="5">
        <v>111.6</v>
      </c>
      <c r="F21680" s="5">
        <v>221.3</v>
      </c>
      <c r="G21680" s="5">
        <v>110.6</v>
      </c>
      <c r="H21680" s="5">
        <v>110.5</v>
      </c>
      <c r="I21680" s="5"/>
      <c r="J21680" s="5"/>
      <c r="K21680" s="5"/>
    </row>
    <row r="21681" spans="1:11" x14ac:dyDescent="0.25">
      <c r="A21681" s="5">
        <f>21674</f>
      </c>
      <c r="B21681" s="5" t="s">
        <v>21689</v>
      </c>
      <c r="C21681" s="5">
        <v>111.4</v>
      </c>
      <c r="D21681" s="5">
        <v>0.1</v>
      </c>
      <c r="E21681" s="5">
        <v>111.6</v>
      </c>
      <c r="F21681" s="5">
        <v>221.3</v>
      </c>
      <c r="G21681" s="5">
        <v>110.6</v>
      </c>
      <c r="H21681" s="5">
        <v>110.5</v>
      </c>
      <c r="I21681" s="5"/>
      <c r="J21681" s="5"/>
      <c r="K21681" s="5"/>
    </row>
    <row r="21682" spans="1:11" x14ac:dyDescent="0.25">
      <c r="A21682" s="5">
        <f>21675</f>
      </c>
      <c r="B21682" s="5" t="s">
        <v>21690</v>
      </c>
      <c r="C21682" s="5">
        <v>110.2</v>
      </c>
      <c r="D21682" s="5">
        <v>0.1</v>
      </c>
      <c r="E21682" s="5">
        <v>110.4</v>
      </c>
      <c r="F21682" s="5">
        <v>220.1</v>
      </c>
      <c r="G21682" s="5">
        <v>109.9</v>
      </c>
      <c r="H21682" s="5">
        <v>109.7</v>
      </c>
      <c r="I21682" s="5"/>
      <c r="J21682" s="5"/>
      <c r="K21682" s="5"/>
    </row>
    <row r="21683" spans="1:11" x14ac:dyDescent="0.25">
      <c r="A21683" s="5">
        <f>21676</f>
      </c>
      <c r="B21683" s="5" t="s">
        <v>21691</v>
      </c>
      <c r="C21683" s="5">
        <v>110.2</v>
      </c>
      <c r="D21683" s="5">
        <v>0.1</v>
      </c>
      <c r="E21683" s="5">
        <v>110.4</v>
      </c>
      <c r="F21683" s="5">
        <v>220.1</v>
      </c>
      <c r="G21683" s="5">
        <v>109.9</v>
      </c>
      <c r="H21683" s="5">
        <v>109.7</v>
      </c>
      <c r="I21683" s="5"/>
      <c r="J21683" s="5"/>
      <c r="K21683" s="5"/>
    </row>
    <row r="21684" spans="1:11" x14ac:dyDescent="0.25">
      <c r="A21684" s="5">
        <f>21677</f>
      </c>
      <c r="B21684" s="5" t="s">
        <v>21692</v>
      </c>
      <c r="C21684" s="5">
        <v>110.4</v>
      </c>
      <c r="D21684" s="5">
        <v>0.1</v>
      </c>
      <c r="E21684" s="5">
        <v>110.6</v>
      </c>
      <c r="F21684" s="5">
        <v>221</v>
      </c>
      <c r="G21684" s="5">
        <v>110.3</v>
      </c>
      <c r="H21684" s="5">
        <v>110.1</v>
      </c>
      <c r="I21684" s="5"/>
      <c r="J21684" s="5"/>
      <c r="K21684" s="5"/>
    </row>
    <row r="21685" spans="1:11" x14ac:dyDescent="0.25">
      <c r="A21685" s="5">
        <f>21678</f>
      </c>
      <c r="B21685" s="5" t="s">
        <v>21693</v>
      </c>
      <c r="C21685" s="5">
        <v>110.4</v>
      </c>
      <c r="D21685" s="5">
        <v>0.1</v>
      </c>
      <c r="E21685" s="5">
        <v>110.6</v>
      </c>
      <c r="F21685" s="5">
        <v>221</v>
      </c>
      <c r="G21685" s="5">
        <v>110.3</v>
      </c>
      <c r="H21685" s="5">
        <v>110.1</v>
      </c>
      <c r="I21685" s="5"/>
      <c r="J21685" s="5"/>
      <c r="K21685" s="5"/>
    </row>
    <row r="21686" spans="1:11" x14ac:dyDescent="0.25">
      <c r="A21686" s="5">
        <f>21679</f>
      </c>
      <c r="B21686" s="5" t="s">
        <v>21694</v>
      </c>
      <c r="C21686" s="5">
        <v>110.6</v>
      </c>
      <c r="D21686" s="5">
        <v>0.1</v>
      </c>
      <c r="E21686" s="5">
        <v>110.7</v>
      </c>
      <c r="F21686" s="5">
        <v>221.2</v>
      </c>
      <c r="G21686" s="5">
        <v>110.4</v>
      </c>
      <c r="H21686" s="5">
        <v>110.3</v>
      </c>
      <c r="I21686" s="5"/>
      <c r="J21686" s="5"/>
      <c r="K21686" s="5"/>
    </row>
    <row r="21687" spans="1:11" x14ac:dyDescent="0.25">
      <c r="A21687" s="5">
        <f>21680</f>
      </c>
      <c r="B21687" s="5" t="s">
        <v>21695</v>
      </c>
      <c r="C21687" s="5">
        <v>110.6</v>
      </c>
      <c r="D21687" s="5">
        <v>0.1</v>
      </c>
      <c r="E21687" s="5">
        <v>110.7</v>
      </c>
      <c r="F21687" s="5">
        <v>221.2</v>
      </c>
      <c r="G21687" s="5">
        <v>110.4</v>
      </c>
      <c r="H21687" s="5">
        <v>110.3</v>
      </c>
      <c r="I21687" s="5"/>
      <c r="J21687" s="5"/>
      <c r="K21687" s="5"/>
    </row>
    <row r="21688" spans="1:11" x14ac:dyDescent="0.25">
      <c r="A21688" s="5">
        <f>21681</f>
      </c>
      <c r="B21688" s="5" t="s">
        <v>21696</v>
      </c>
      <c r="C21688" s="5">
        <v>108.6</v>
      </c>
      <c r="D21688" s="5">
        <v>0.1</v>
      </c>
      <c r="E21688" s="5">
        <v>108.8</v>
      </c>
      <c r="F21688" s="5">
        <v>217.2</v>
      </c>
      <c r="G21688" s="5">
        <v>108.4</v>
      </c>
      <c r="H21688" s="5">
        <v>108.2</v>
      </c>
      <c r="I21688" s="5"/>
      <c r="J21688" s="5"/>
      <c r="K21688" s="5"/>
    </row>
    <row r="21689" spans="1:11" x14ac:dyDescent="0.25">
      <c r="A21689" s="5">
        <f>21682</f>
      </c>
      <c r="B21689" s="5" t="s">
        <v>21697</v>
      </c>
      <c r="C21689" s="5">
        <v>108.6</v>
      </c>
      <c r="D21689" s="5">
        <v>0.1</v>
      </c>
      <c r="E21689" s="5">
        <v>108.8</v>
      </c>
      <c r="F21689" s="5">
        <v>217.2</v>
      </c>
      <c r="G21689" s="5">
        <v>108.4</v>
      </c>
      <c r="H21689" s="5">
        <v>108.2</v>
      </c>
      <c r="I21689" s="5"/>
      <c r="J21689" s="5"/>
      <c r="K21689" s="5"/>
    </row>
    <row r="21690" spans="1:11" x14ac:dyDescent="0.25">
      <c r="A21690" s="5">
        <f>21683</f>
      </c>
      <c r="B21690" s="5" t="s">
        <v>21698</v>
      </c>
      <c r="C21690" s="5">
        <v>108.6</v>
      </c>
      <c r="D21690" s="5">
        <v>0.1</v>
      </c>
      <c r="E21690" s="5">
        <v>108.8</v>
      </c>
      <c r="F21690" s="5">
        <v>217.2</v>
      </c>
      <c r="G21690" s="5">
        <v>108.4</v>
      </c>
      <c r="H21690" s="5">
        <v>108.2</v>
      </c>
      <c r="I21690" s="5"/>
      <c r="J21690" s="5"/>
      <c r="K21690" s="5"/>
    </row>
    <row r="21691" spans="1:11" x14ac:dyDescent="0.25">
      <c r="A21691" s="5">
        <f>21684</f>
      </c>
      <c r="B21691" s="5" t="s">
        <v>21699</v>
      </c>
      <c r="C21691" s="5">
        <v>108.6</v>
      </c>
      <c r="D21691" s="5">
        <v>0.1</v>
      </c>
      <c r="E21691" s="5">
        <v>108.8</v>
      </c>
      <c r="F21691" s="5">
        <v>217.2</v>
      </c>
      <c r="G21691" s="5">
        <v>108.4</v>
      </c>
      <c r="H21691" s="5">
        <v>108.2</v>
      </c>
      <c r="I21691" s="5"/>
      <c r="J21691" s="5"/>
      <c r="K21691" s="5"/>
    </row>
    <row r="21692" spans="1:11" x14ac:dyDescent="0.25">
      <c r="A21692" s="5">
        <f>21685</f>
      </c>
      <c r="B21692" s="5" t="s">
        <v>21700</v>
      </c>
      <c r="C21692" s="5">
        <v>110.4</v>
      </c>
      <c r="D21692" s="5">
        <v>0.1</v>
      </c>
      <c r="E21692" s="5">
        <v>110.5</v>
      </c>
      <c r="F21692" s="5">
        <v>221</v>
      </c>
      <c r="G21692" s="5">
        <v>110.3</v>
      </c>
      <c r="H21692" s="5">
        <v>110.1</v>
      </c>
      <c r="I21692" s="5"/>
      <c r="J21692" s="5"/>
      <c r="K21692" s="5"/>
    </row>
    <row r="21693" spans="1:11" x14ac:dyDescent="0.25">
      <c r="A21693" s="5">
        <f>21686</f>
      </c>
      <c r="B21693" s="5" t="s">
        <v>21701</v>
      </c>
      <c r="C21693" s="5">
        <v>110.4</v>
      </c>
      <c r="D21693" s="5">
        <v>0.1</v>
      </c>
      <c r="E21693" s="5">
        <v>110.5</v>
      </c>
      <c r="F21693" s="5">
        <v>221</v>
      </c>
      <c r="G21693" s="5">
        <v>110.3</v>
      </c>
      <c r="H21693" s="5">
        <v>110.1</v>
      </c>
      <c r="I21693" s="5"/>
      <c r="J21693" s="5"/>
      <c r="K21693" s="5"/>
    </row>
    <row r="21694" spans="1:11" x14ac:dyDescent="0.25">
      <c r="A21694" s="5">
        <f>21687</f>
      </c>
      <c r="B21694" s="5" t="s">
        <v>21702</v>
      </c>
      <c r="C21694" s="5">
        <v>109.4</v>
      </c>
      <c r="D21694" s="5">
        <v>0.1</v>
      </c>
      <c r="E21694" s="5">
        <v>109.6</v>
      </c>
      <c r="F21694" s="5">
        <v>217.5</v>
      </c>
      <c r="G21694" s="5">
        <v>108.5</v>
      </c>
      <c r="H21694" s="5">
        <v>108.4</v>
      </c>
      <c r="I21694" s="5"/>
      <c r="J21694" s="5"/>
      <c r="K21694" s="5"/>
    </row>
    <row r="21695" spans="1:11" x14ac:dyDescent="0.25">
      <c r="A21695" s="5">
        <f>21688</f>
      </c>
      <c r="B21695" s="5" t="s">
        <v>21703</v>
      </c>
      <c r="C21695" s="5">
        <v>109.4</v>
      </c>
      <c r="D21695" s="5">
        <v>0.1</v>
      </c>
      <c r="E21695" s="5">
        <v>109.6</v>
      </c>
      <c r="F21695" s="5">
        <v>217.5</v>
      </c>
      <c r="G21695" s="5">
        <v>108.5</v>
      </c>
      <c r="H21695" s="5">
        <v>108.4</v>
      </c>
      <c r="I21695" s="5"/>
      <c r="J21695" s="5"/>
      <c r="K21695" s="5"/>
    </row>
    <row r="21696" spans="1:11" x14ac:dyDescent="0.25">
      <c r="A21696" s="5">
        <f>21689</f>
      </c>
      <c r="B21696" s="5" t="s">
        <v>21704</v>
      </c>
      <c r="C21696" s="5">
        <v>110.7</v>
      </c>
      <c r="D21696" s="5">
        <v>0.1</v>
      </c>
      <c r="E21696" s="5">
        <v>110.9</v>
      </c>
      <c r="F21696" s="5">
        <v>221.7</v>
      </c>
      <c r="G21696" s="5">
        <v>110.7</v>
      </c>
      <c r="H21696" s="5">
        <v>110.4</v>
      </c>
      <c r="I21696" s="5"/>
      <c r="J21696" s="5"/>
      <c r="K21696" s="5"/>
    </row>
    <row r="21697" spans="1:11" x14ac:dyDescent="0.25">
      <c r="A21697" s="5">
        <f>21690</f>
      </c>
      <c r="B21697" s="5" t="s">
        <v>21705</v>
      </c>
      <c r="C21697" s="5">
        <v>110.7</v>
      </c>
      <c r="D21697" s="5">
        <v>0.1</v>
      </c>
      <c r="E21697" s="5">
        <v>110.9</v>
      </c>
      <c r="F21697" s="5">
        <v>221.7</v>
      </c>
      <c r="G21697" s="5">
        <v>110.7</v>
      </c>
      <c r="H21697" s="5">
        <v>110.4</v>
      </c>
      <c r="I21697" s="5"/>
      <c r="J21697" s="5"/>
      <c r="K21697" s="5"/>
    </row>
    <row r="21698" spans="1:11" x14ac:dyDescent="0.25">
      <c r="A21698" s="5">
        <f>21691</f>
      </c>
      <c r="B21698" s="5" t="s">
        <v>21706</v>
      </c>
      <c r="C21698" s="5">
        <v>110.9</v>
      </c>
      <c r="D21698" s="5">
        <v>0.1</v>
      </c>
      <c r="E21698" s="5">
        <v>111</v>
      </c>
      <c r="F21698" s="5">
        <v>221.8</v>
      </c>
      <c r="G21698" s="5">
        <v>110.7</v>
      </c>
      <c r="H21698" s="5">
        <v>110.5</v>
      </c>
      <c r="I21698" s="5"/>
      <c r="J21698" s="5"/>
      <c r="K21698" s="5"/>
    </row>
    <row r="21699" spans="1:11" x14ac:dyDescent="0.25">
      <c r="A21699" s="5">
        <f>21692</f>
      </c>
      <c r="B21699" s="5" t="s">
        <v>21707</v>
      </c>
      <c r="C21699" s="5">
        <v>110.9</v>
      </c>
      <c r="D21699" s="5">
        <v>0.1</v>
      </c>
      <c r="E21699" s="5">
        <v>111</v>
      </c>
      <c r="F21699" s="5">
        <v>221.8</v>
      </c>
      <c r="G21699" s="5">
        <v>110.7</v>
      </c>
      <c r="H21699" s="5">
        <v>110.5</v>
      </c>
      <c r="I21699" s="5"/>
      <c r="J21699" s="5"/>
      <c r="K21699" s="5"/>
    </row>
    <row r="21700" spans="1:11" x14ac:dyDescent="0.25">
      <c r="A21700" s="5">
        <f>21693</f>
      </c>
      <c r="B21700" s="5" t="s">
        <v>21708</v>
      </c>
      <c r="C21700" s="5">
        <v>110.9</v>
      </c>
      <c r="D21700" s="5">
        <v>0.1</v>
      </c>
      <c r="E21700" s="5">
        <v>111</v>
      </c>
      <c r="F21700" s="5">
        <v>221.8</v>
      </c>
      <c r="G21700" s="5">
        <v>110.7</v>
      </c>
      <c r="H21700" s="5">
        <v>110.5</v>
      </c>
      <c r="I21700" s="5"/>
      <c r="J21700" s="5"/>
      <c r="K21700" s="5"/>
    </row>
    <row r="21701" spans="1:11" x14ac:dyDescent="0.25">
      <c r="A21701" s="5">
        <f>21694</f>
      </c>
      <c r="B21701" s="5" t="s">
        <v>21709</v>
      </c>
      <c r="C21701" s="5">
        <v>110.9</v>
      </c>
      <c r="D21701" s="5">
        <v>0.1</v>
      </c>
      <c r="E21701" s="5">
        <v>111</v>
      </c>
      <c r="F21701" s="5">
        <v>221.8</v>
      </c>
      <c r="G21701" s="5">
        <v>110.7</v>
      </c>
      <c r="H21701" s="5">
        <v>110.5</v>
      </c>
      <c r="I21701" s="5"/>
      <c r="J21701" s="5"/>
      <c r="K21701" s="5"/>
    </row>
    <row r="21702" spans="1:11" x14ac:dyDescent="0.25">
      <c r="A21702" s="5">
        <f>21695</f>
      </c>
      <c r="B21702" s="5" t="s">
        <v>21710</v>
      </c>
      <c r="C21702" s="5">
        <v>110.3</v>
      </c>
      <c r="D21702" s="5">
        <v>0.1</v>
      </c>
      <c r="E21702" s="5">
        <v>110.4</v>
      </c>
      <c r="F21702" s="5">
        <v>220.3</v>
      </c>
      <c r="G21702" s="5">
        <v>110</v>
      </c>
      <c r="H21702" s="5">
        <v>109.8</v>
      </c>
      <c r="I21702" s="5"/>
      <c r="J21702" s="5"/>
      <c r="K21702" s="5"/>
    </row>
    <row r="21703" spans="1:11" x14ac:dyDescent="0.25">
      <c r="A21703" s="5">
        <f>21696</f>
      </c>
      <c r="B21703" s="5" t="s">
        <v>21711</v>
      </c>
      <c r="C21703" s="5">
        <v>110.3</v>
      </c>
      <c r="D21703" s="5">
        <v>0.1</v>
      </c>
      <c r="E21703" s="5">
        <v>110.4</v>
      </c>
      <c r="F21703" s="5">
        <v>220.3</v>
      </c>
      <c r="G21703" s="5">
        <v>110</v>
      </c>
      <c r="H21703" s="5">
        <v>109.8</v>
      </c>
      <c r="I21703" s="5"/>
      <c r="J21703" s="5"/>
      <c r="K21703" s="5"/>
    </row>
    <row r="21704" spans="1:11" x14ac:dyDescent="0.25">
      <c r="A21704" s="5">
        <f>21697</f>
      </c>
      <c r="B21704" s="5" t="s">
        <v>21712</v>
      </c>
      <c r="C21704" s="5">
        <v>110.7</v>
      </c>
      <c r="D21704" s="5">
        <v>0.1</v>
      </c>
      <c r="E21704" s="5">
        <v>110.9</v>
      </c>
      <c r="F21704" s="5">
        <v>221</v>
      </c>
      <c r="G21704" s="5">
        <v>110.3</v>
      </c>
      <c r="H21704" s="5">
        <v>110.2</v>
      </c>
      <c r="I21704" s="5"/>
      <c r="J21704" s="5"/>
      <c r="K21704" s="5"/>
    </row>
    <row r="21705" spans="1:11" x14ac:dyDescent="0.25">
      <c r="A21705" s="5">
        <f>21698</f>
      </c>
      <c r="B21705" s="5" t="s">
        <v>21713</v>
      </c>
      <c r="C21705" s="5">
        <v>110.7</v>
      </c>
      <c r="D21705" s="5">
        <v>0.1</v>
      </c>
      <c r="E21705" s="5">
        <v>110.9</v>
      </c>
      <c r="F21705" s="5">
        <v>221</v>
      </c>
      <c r="G21705" s="5">
        <v>110.3</v>
      </c>
      <c r="H21705" s="5">
        <v>110.2</v>
      </c>
      <c r="I21705" s="5"/>
      <c r="J21705" s="5"/>
      <c r="K21705" s="5"/>
    </row>
    <row r="21706" spans="1:11" x14ac:dyDescent="0.25">
      <c r="A21706" s="5">
        <f>21699</f>
      </c>
      <c r="B21706" s="5" t="s">
        <v>21714</v>
      </c>
      <c r="C21706" s="5">
        <v>110.9</v>
      </c>
      <c r="D21706" s="5">
        <v>0.1</v>
      </c>
      <c r="E21706" s="5">
        <v>111</v>
      </c>
      <c r="F21706" s="5">
        <v>221.6</v>
      </c>
      <c r="G21706" s="5">
        <v>110.6</v>
      </c>
      <c r="H21706" s="5">
        <v>110.4</v>
      </c>
      <c r="I21706" s="5"/>
      <c r="J21706" s="5"/>
      <c r="K21706" s="5"/>
    </row>
    <row r="21707" spans="1:11" x14ac:dyDescent="0.25">
      <c r="A21707" s="5">
        <f>21700</f>
      </c>
      <c r="B21707" s="5" t="s">
        <v>21715</v>
      </c>
      <c r="C21707" s="5">
        <v>110.9</v>
      </c>
      <c r="D21707" s="5">
        <v>0.1</v>
      </c>
      <c r="E21707" s="5">
        <v>111</v>
      </c>
      <c r="F21707" s="5">
        <v>221.6</v>
      </c>
      <c r="G21707" s="5">
        <v>110.6</v>
      </c>
      <c r="H21707" s="5">
        <v>110.4</v>
      </c>
      <c r="I21707" s="5"/>
      <c r="J21707" s="5"/>
      <c r="K21707" s="5"/>
    </row>
    <row r="21708" spans="1:11" x14ac:dyDescent="0.25">
      <c r="A21708" s="5">
        <f>21701</f>
      </c>
      <c r="B21708" s="5" t="s">
        <v>21716</v>
      </c>
      <c r="C21708" s="5">
        <v>110.5</v>
      </c>
      <c r="D21708" s="5">
        <v>0.1</v>
      </c>
      <c r="E21708" s="5">
        <v>110.7</v>
      </c>
      <c r="F21708" s="5">
        <v>220.7</v>
      </c>
      <c r="G21708" s="5">
        <v>110.2</v>
      </c>
      <c r="H21708" s="5">
        <v>110</v>
      </c>
      <c r="I21708" s="5"/>
      <c r="J21708" s="5"/>
      <c r="K21708" s="5"/>
    </row>
    <row r="21709" spans="1:11" x14ac:dyDescent="0.25">
      <c r="A21709" s="5">
        <f>21702</f>
      </c>
      <c r="B21709" s="5" t="s">
        <v>21717</v>
      </c>
      <c r="C21709" s="5">
        <v>110.5</v>
      </c>
      <c r="D21709" s="5">
        <v>0.1</v>
      </c>
      <c r="E21709" s="5">
        <v>110.7</v>
      </c>
      <c r="F21709" s="5">
        <v>220.7</v>
      </c>
      <c r="G21709" s="5">
        <v>110.2</v>
      </c>
      <c r="H21709" s="5">
        <v>110</v>
      </c>
      <c r="I21709" s="5"/>
      <c r="J21709" s="5"/>
      <c r="K21709" s="5"/>
    </row>
    <row r="21710" spans="1:11" x14ac:dyDescent="0.25">
      <c r="A21710" s="5">
        <f>21703</f>
      </c>
      <c r="B21710" s="5" t="s">
        <v>21718</v>
      </c>
      <c r="C21710" s="5">
        <v>110.5</v>
      </c>
      <c r="D21710" s="5">
        <v>0.1</v>
      </c>
      <c r="E21710" s="5">
        <v>110.7</v>
      </c>
      <c r="F21710" s="5">
        <v>220.7</v>
      </c>
      <c r="G21710" s="5">
        <v>110.2</v>
      </c>
      <c r="H21710" s="5">
        <v>110</v>
      </c>
      <c r="I21710" s="5"/>
      <c r="J21710" s="5"/>
      <c r="K21710" s="5"/>
    </row>
    <row r="21711" spans="1:11" x14ac:dyDescent="0.25">
      <c r="A21711" s="5">
        <f>21704</f>
      </c>
      <c r="B21711" s="5" t="s">
        <v>21719</v>
      </c>
      <c r="C21711" s="5">
        <v>110.5</v>
      </c>
      <c r="D21711" s="5">
        <v>0.1</v>
      </c>
      <c r="E21711" s="5">
        <v>110.7</v>
      </c>
      <c r="F21711" s="5">
        <v>220.7</v>
      </c>
      <c r="G21711" s="5">
        <v>110.2</v>
      </c>
      <c r="H21711" s="5">
        <v>110</v>
      </c>
      <c r="I21711" s="5"/>
      <c r="J21711" s="5"/>
      <c r="K21711" s="5"/>
    </row>
    <row r="21712" spans="1:11" x14ac:dyDescent="0.25">
      <c r="A21712" s="5">
        <f>21705</f>
      </c>
      <c r="B21712" s="5" t="s">
        <v>21720</v>
      </c>
      <c r="C21712" s="5">
        <v>110.4</v>
      </c>
      <c r="D21712" s="5">
        <v>0.1</v>
      </c>
      <c r="E21712" s="5">
        <v>110.5</v>
      </c>
      <c r="F21712" s="5">
        <v>220.8</v>
      </c>
      <c r="G21712" s="5">
        <v>110.2</v>
      </c>
      <c r="H21712" s="5">
        <v>110</v>
      </c>
      <c r="I21712" s="5"/>
      <c r="J21712" s="5"/>
      <c r="K21712" s="5"/>
    </row>
    <row r="21713" spans="1:11" x14ac:dyDescent="0.25">
      <c r="A21713" s="5">
        <f>21706</f>
      </c>
      <c r="B21713" s="5" t="s">
        <v>21721</v>
      </c>
      <c r="C21713" s="5">
        <v>110.4</v>
      </c>
      <c r="D21713" s="5">
        <v>0.1</v>
      </c>
      <c r="E21713" s="5">
        <v>110.5</v>
      </c>
      <c r="F21713" s="5">
        <v>220.8</v>
      </c>
      <c r="G21713" s="5">
        <v>110.2</v>
      </c>
      <c r="H21713" s="5">
        <v>110</v>
      </c>
      <c r="I21713" s="5"/>
      <c r="J21713" s="5"/>
      <c r="K21713" s="5"/>
    </row>
    <row r="21714" spans="1:11" x14ac:dyDescent="0.25">
      <c r="A21714" s="5">
        <f>21707</f>
      </c>
      <c r="B21714" s="5" t="s">
        <v>21722</v>
      </c>
      <c r="C21714" s="5">
        <v>110.1</v>
      </c>
      <c r="D21714" s="5">
        <v>0.1</v>
      </c>
      <c r="E21714" s="5">
        <v>110.3</v>
      </c>
      <c r="F21714" s="5">
        <v>211</v>
      </c>
      <c r="G21714" s="5">
        <v>105.9</v>
      </c>
      <c r="H21714" s="5">
        <v>106.3</v>
      </c>
      <c r="I21714" s="5"/>
      <c r="J21714" s="5"/>
      <c r="K21714" s="5"/>
    </row>
    <row r="21715" spans="1:11" x14ac:dyDescent="0.25">
      <c r="A21715" s="5">
        <f>21708</f>
      </c>
      <c r="B21715" s="5" t="s">
        <v>21723</v>
      </c>
      <c r="C21715" s="5">
        <v>110.1</v>
      </c>
      <c r="D21715" s="5">
        <v>0.1</v>
      </c>
      <c r="E21715" s="5">
        <v>110.3</v>
      </c>
      <c r="F21715" s="5">
        <v>211</v>
      </c>
      <c r="G21715" s="5">
        <v>105.9</v>
      </c>
      <c r="H21715" s="5">
        <v>106.3</v>
      </c>
      <c r="I21715" s="5"/>
      <c r="J21715" s="5"/>
      <c r="K21715" s="5"/>
    </row>
    <row r="21716" spans="1:11" x14ac:dyDescent="0.25">
      <c r="A21716" s="5">
        <f>21709</f>
      </c>
      <c r="B21716" s="5" t="s">
        <v>21724</v>
      </c>
      <c r="C21716" s="5">
        <v>110.5</v>
      </c>
      <c r="D21716" s="5">
        <v>0.1</v>
      </c>
      <c r="E21716" s="5">
        <v>110.7</v>
      </c>
      <c r="F21716" s="5">
        <v>221</v>
      </c>
      <c r="G21716" s="5">
        <v>110.3</v>
      </c>
      <c r="H21716" s="5">
        <v>110.1</v>
      </c>
      <c r="I21716" s="5"/>
      <c r="J21716" s="5"/>
      <c r="K21716" s="5"/>
    </row>
    <row r="21717" spans="1:11" x14ac:dyDescent="0.25">
      <c r="A21717" s="5">
        <f>21710</f>
      </c>
      <c r="B21717" s="5" t="s">
        <v>21725</v>
      </c>
      <c r="C21717" s="5">
        <v>110.5</v>
      </c>
      <c r="D21717" s="5">
        <v>0.1</v>
      </c>
      <c r="E21717" s="5">
        <v>110.7</v>
      </c>
      <c r="F21717" s="5">
        <v>221</v>
      </c>
      <c r="G21717" s="5">
        <v>110.3</v>
      </c>
      <c r="H21717" s="5">
        <v>110.1</v>
      </c>
      <c r="I21717" s="5"/>
      <c r="J21717" s="5"/>
      <c r="K21717" s="5"/>
    </row>
    <row r="21718" spans="1:11" x14ac:dyDescent="0.25">
      <c r="A21718" s="5">
        <f>21711</f>
      </c>
      <c r="B21718" s="5" t="s">
        <v>21726</v>
      </c>
      <c r="C21718" s="5">
        <v>104.7</v>
      </c>
      <c r="D21718" s="5">
        <v>0.1</v>
      </c>
      <c r="E21718" s="5">
        <v>104.9</v>
      </c>
      <c r="F21718" s="5">
        <v>219.2</v>
      </c>
      <c r="G21718" s="5">
        <v>110.8</v>
      </c>
      <c r="H21718" s="5">
        <v>110.5</v>
      </c>
      <c r="I21718" s="5"/>
      <c r="J21718" s="5"/>
      <c r="K21718" s="5"/>
    </row>
    <row r="21719" spans="1:11" x14ac:dyDescent="0.25">
      <c r="A21719" s="5">
        <f>21712</f>
      </c>
      <c r="B21719" s="5" t="s">
        <v>21727</v>
      </c>
      <c r="C21719" s="5">
        <v>104.7</v>
      </c>
      <c r="D21719" s="5">
        <v>0.1</v>
      </c>
      <c r="E21719" s="5">
        <v>104.9</v>
      </c>
      <c r="F21719" s="5">
        <v>219.2</v>
      </c>
      <c r="G21719" s="5">
        <v>110.8</v>
      </c>
      <c r="H21719" s="5">
        <v>110.5</v>
      </c>
      <c r="I21719" s="5"/>
      <c r="J21719" s="5"/>
      <c r="K21719" s="5"/>
    </row>
    <row r="21720" spans="1:11" x14ac:dyDescent="0.25">
      <c r="A21720" s="5">
        <f>21713</f>
      </c>
      <c r="B21720" s="5" t="s">
        <v>21728</v>
      </c>
      <c r="C21720" s="5">
        <v>104.7</v>
      </c>
      <c r="D21720" s="5">
        <v>0.1</v>
      </c>
      <c r="E21720" s="5">
        <v>104.9</v>
      </c>
      <c r="F21720" s="5">
        <v>219.2</v>
      </c>
      <c r="G21720" s="5">
        <v>110.8</v>
      </c>
      <c r="H21720" s="5">
        <v>110.5</v>
      </c>
      <c r="I21720" s="5"/>
      <c r="J21720" s="5"/>
      <c r="K21720" s="5"/>
    </row>
    <row r="21721" spans="1:11" x14ac:dyDescent="0.25">
      <c r="A21721" s="5">
        <f>21714</f>
      </c>
      <c r="B21721" s="5" t="s">
        <v>21729</v>
      </c>
      <c r="C21721" s="5">
        <v>104.7</v>
      </c>
      <c r="D21721" s="5">
        <v>0.1</v>
      </c>
      <c r="E21721" s="5">
        <v>104.9</v>
      </c>
      <c r="F21721" s="5">
        <v>219.2</v>
      </c>
      <c r="G21721" s="5">
        <v>110.8</v>
      </c>
      <c r="H21721" s="5">
        <v>110.5</v>
      </c>
      <c r="I21721" s="5"/>
      <c r="J21721" s="5"/>
      <c r="K21721" s="5"/>
    </row>
    <row r="21722" spans="1:11" x14ac:dyDescent="0.25">
      <c r="A21722" s="5">
        <f>21715</f>
      </c>
      <c r="B21722" s="5" t="s">
        <v>21730</v>
      </c>
      <c r="C21722" s="5">
        <v>105.6</v>
      </c>
      <c r="D21722" s="5">
        <v>0.1</v>
      </c>
      <c r="E21722" s="5">
        <v>105.7</v>
      </c>
      <c r="F21722" s="5">
        <v>210.1</v>
      </c>
      <c r="G21722" s="5">
        <v>104.9</v>
      </c>
      <c r="H21722" s="5">
        <v>104.8</v>
      </c>
      <c r="I21722" s="5"/>
      <c r="J21722" s="5"/>
      <c r="K21722" s="5"/>
    </row>
    <row r="21723" spans="1:11" x14ac:dyDescent="0.25">
      <c r="A21723" s="5">
        <f>21716</f>
      </c>
      <c r="B21723" s="5" t="s">
        <v>21731</v>
      </c>
      <c r="C21723" s="5">
        <v>105.6</v>
      </c>
      <c r="D21723" s="5">
        <v>0.1</v>
      </c>
      <c r="E21723" s="5">
        <v>105.7</v>
      </c>
      <c r="F21723" s="5">
        <v>210.1</v>
      </c>
      <c r="G21723" s="5">
        <v>104.9</v>
      </c>
      <c r="H21723" s="5">
        <v>104.8</v>
      </c>
      <c r="I21723" s="5"/>
      <c r="J21723" s="5"/>
      <c r="K21723" s="5"/>
    </row>
    <row r="21724" spans="1:11" x14ac:dyDescent="0.25">
      <c r="A21724" s="5">
        <f>21717</f>
      </c>
      <c r="B21724" s="5" t="s">
        <v>21732</v>
      </c>
      <c r="C21724" s="5">
        <v>109.8</v>
      </c>
      <c r="D21724" s="5">
        <v>0.1</v>
      </c>
      <c r="E21724" s="5">
        <v>110</v>
      </c>
      <c r="F21724" s="5">
        <v>212.7</v>
      </c>
      <c r="G21724" s="5">
        <v>106.5</v>
      </c>
      <c r="H21724" s="5">
        <v>106.5</v>
      </c>
      <c r="I21724" s="5"/>
      <c r="J21724" s="5"/>
      <c r="K21724" s="5"/>
    </row>
    <row r="21725" spans="1:11" x14ac:dyDescent="0.25">
      <c r="A21725" s="5">
        <f>21718</f>
      </c>
      <c r="B21725" s="5" t="s">
        <v>21733</v>
      </c>
      <c r="C21725" s="5">
        <v>109.8</v>
      </c>
      <c r="D21725" s="5">
        <v>0.1</v>
      </c>
      <c r="E21725" s="5">
        <v>110</v>
      </c>
      <c r="F21725" s="5">
        <v>212.7</v>
      </c>
      <c r="G21725" s="5">
        <v>106.5</v>
      </c>
      <c r="H21725" s="5">
        <v>106.5</v>
      </c>
      <c r="I21725" s="5"/>
      <c r="J21725" s="5"/>
      <c r="K21725" s="5"/>
    </row>
    <row r="21726" spans="1:11" x14ac:dyDescent="0.25">
      <c r="A21726" s="5">
        <f>21719</f>
      </c>
      <c r="B21726" s="5" t="s">
        <v>21734</v>
      </c>
      <c r="C21726" s="5">
        <v>111.2</v>
      </c>
      <c r="D21726" s="5">
        <v>0.1</v>
      </c>
      <c r="E21726" s="5">
        <v>111.3</v>
      </c>
      <c r="F21726" s="5">
        <v>222.1</v>
      </c>
      <c r="G21726" s="5">
        <v>110.9</v>
      </c>
      <c r="H21726" s="5">
        <v>110.7</v>
      </c>
      <c r="I21726" s="5"/>
      <c r="J21726" s="5"/>
      <c r="K21726" s="5"/>
    </row>
    <row r="21727" spans="1:11" x14ac:dyDescent="0.25">
      <c r="A21727" s="5">
        <f>21720</f>
      </c>
      <c r="B21727" s="5" t="s">
        <v>21735</v>
      </c>
      <c r="C21727" s="5">
        <v>111.2</v>
      </c>
      <c r="D21727" s="5">
        <v>0.1</v>
      </c>
      <c r="E21727" s="5">
        <v>111.3</v>
      </c>
      <c r="F21727" s="5">
        <v>222.1</v>
      </c>
      <c r="G21727" s="5">
        <v>110.9</v>
      </c>
      <c r="H21727" s="5">
        <v>110.7</v>
      </c>
      <c r="I21727" s="5"/>
      <c r="J21727" s="5"/>
      <c r="K21727" s="5"/>
    </row>
    <row r="21728" spans="1:11" x14ac:dyDescent="0.25">
      <c r="A21728" s="5">
        <f>21721</f>
      </c>
      <c r="B21728" s="5" t="s">
        <v>21736</v>
      </c>
      <c r="C21728" s="5">
        <v>110.7</v>
      </c>
      <c r="D21728" s="5">
        <v>0.1</v>
      </c>
      <c r="E21728" s="5">
        <v>110.9</v>
      </c>
      <c r="F21728" s="5">
        <v>221.5</v>
      </c>
      <c r="G21728" s="5">
        <v>110.6</v>
      </c>
      <c r="H21728" s="5">
        <v>110.4</v>
      </c>
      <c r="I21728" s="5"/>
      <c r="J21728" s="5"/>
      <c r="K21728" s="5"/>
    </row>
    <row r="21729" spans="1:11" x14ac:dyDescent="0.25">
      <c r="A21729" s="5">
        <f>21722</f>
      </c>
      <c r="B21729" s="5" t="s">
        <v>21737</v>
      </c>
      <c r="C21729" s="5">
        <v>110.7</v>
      </c>
      <c r="D21729" s="5">
        <v>0.1</v>
      </c>
      <c r="E21729" s="5">
        <v>110.9</v>
      </c>
      <c r="F21729" s="5">
        <v>221.5</v>
      </c>
      <c r="G21729" s="5">
        <v>110.6</v>
      </c>
      <c r="H21729" s="5">
        <v>110.4</v>
      </c>
      <c r="I21729" s="5"/>
      <c r="J21729" s="5"/>
      <c r="K21729" s="5"/>
    </row>
    <row r="21730" spans="1:11" x14ac:dyDescent="0.25">
      <c r="A21730" s="5">
        <f>21723</f>
      </c>
      <c r="B21730" s="5" t="s">
        <v>21738</v>
      </c>
      <c r="C21730" s="5">
        <v>110.7</v>
      </c>
      <c r="D21730" s="5">
        <v>0.1</v>
      </c>
      <c r="E21730" s="5">
        <v>110.9</v>
      </c>
      <c r="F21730" s="5">
        <v>221.5</v>
      </c>
      <c r="G21730" s="5">
        <v>110.6</v>
      </c>
      <c r="H21730" s="5">
        <v>110.4</v>
      </c>
      <c r="I21730" s="5"/>
      <c r="J21730" s="5"/>
      <c r="K21730" s="5"/>
    </row>
    <row r="21731" spans="1:11" x14ac:dyDescent="0.25">
      <c r="A21731" s="5">
        <f>21724</f>
      </c>
      <c r="B21731" s="5" t="s">
        <v>21739</v>
      </c>
      <c r="C21731" s="5">
        <v>110.7</v>
      </c>
      <c r="D21731" s="5">
        <v>0.1</v>
      </c>
      <c r="E21731" s="5">
        <v>110.9</v>
      </c>
      <c r="F21731" s="5">
        <v>221.5</v>
      </c>
      <c r="G21731" s="5">
        <v>110.6</v>
      </c>
      <c r="H21731" s="5">
        <v>110.4</v>
      </c>
      <c r="I21731" s="5"/>
      <c r="J21731" s="5"/>
      <c r="K21731" s="5"/>
    </row>
    <row r="21732" spans="1:11" x14ac:dyDescent="0.25">
      <c r="A21732" s="5">
        <f>21725</f>
      </c>
      <c r="B21732" s="5" t="s">
        <v>21740</v>
      </c>
      <c r="C21732" s="5">
        <v>110.9</v>
      </c>
      <c r="D21732" s="5">
        <v>0.1</v>
      </c>
      <c r="E21732" s="5">
        <v>111</v>
      </c>
      <c r="F21732" s="5">
        <v>221.6</v>
      </c>
      <c r="G21732" s="5">
        <v>110.6</v>
      </c>
      <c r="H21732" s="5">
        <v>110.5</v>
      </c>
      <c r="I21732" s="5"/>
      <c r="J21732" s="5"/>
      <c r="K21732" s="5"/>
    </row>
    <row r="21733" spans="1:11" x14ac:dyDescent="0.25">
      <c r="A21733" s="5">
        <f>21726</f>
      </c>
      <c r="B21733" s="5" t="s">
        <v>21741</v>
      </c>
      <c r="C21733" s="5">
        <v>110.9</v>
      </c>
      <c r="D21733" s="5">
        <v>0.1</v>
      </c>
      <c r="E21733" s="5">
        <v>111</v>
      </c>
      <c r="F21733" s="5">
        <v>221.6</v>
      </c>
      <c r="G21733" s="5">
        <v>110.6</v>
      </c>
      <c r="H21733" s="5">
        <v>110.5</v>
      </c>
      <c r="I21733" s="5"/>
      <c r="J21733" s="5"/>
      <c r="K21733" s="5"/>
    </row>
    <row r="21734" spans="1:11" x14ac:dyDescent="0.25">
      <c r="A21734" s="5">
        <f>21727</f>
      </c>
      <c r="B21734" s="5" t="s">
        <v>21742</v>
      </c>
      <c r="C21734" s="5">
        <v>110.9</v>
      </c>
      <c r="D21734" s="5">
        <v>0.1</v>
      </c>
      <c r="E21734" s="5">
        <v>111</v>
      </c>
      <c r="F21734" s="5">
        <v>220.8</v>
      </c>
      <c r="G21734" s="5">
        <v>110.2</v>
      </c>
      <c r="H21734" s="5">
        <v>110.1</v>
      </c>
      <c r="I21734" s="5"/>
      <c r="J21734" s="5"/>
      <c r="K21734" s="5"/>
    </row>
    <row r="21735" spans="1:11" x14ac:dyDescent="0.25">
      <c r="A21735" s="5">
        <f>21728</f>
      </c>
      <c r="B21735" s="5" t="s">
        <v>21743</v>
      </c>
      <c r="C21735" s="5">
        <v>110.9</v>
      </c>
      <c r="D21735" s="5">
        <v>0.1</v>
      </c>
      <c r="E21735" s="5">
        <v>111</v>
      </c>
      <c r="F21735" s="5">
        <v>220.8</v>
      </c>
      <c r="G21735" s="5">
        <v>110.2</v>
      </c>
      <c r="H21735" s="5">
        <v>110.1</v>
      </c>
      <c r="I21735" s="5"/>
      <c r="J21735" s="5"/>
      <c r="K21735" s="5"/>
    </row>
    <row r="21736" spans="1:11" x14ac:dyDescent="0.25">
      <c r="A21736" s="5">
        <f>21729</f>
      </c>
      <c r="B21736" s="5" t="s">
        <v>21744</v>
      </c>
      <c r="C21736" s="5">
        <v>111</v>
      </c>
      <c r="D21736" s="5">
        <v>0.1</v>
      </c>
      <c r="E21736" s="5">
        <v>111.2</v>
      </c>
      <c r="F21736" s="5">
        <v>222.3</v>
      </c>
      <c r="G21736" s="5">
        <v>110.3</v>
      </c>
      <c r="H21736" s="5">
        <v>109.9</v>
      </c>
      <c r="I21736" s="5"/>
      <c r="J21736" s="5"/>
      <c r="K21736" s="5"/>
    </row>
    <row r="21737" spans="1:11" x14ac:dyDescent="0.25">
      <c r="A21737" s="5">
        <f>21730</f>
      </c>
      <c r="B21737" s="5" t="s">
        <v>21745</v>
      </c>
      <c r="C21737" s="5">
        <v>111</v>
      </c>
      <c r="D21737" s="5">
        <v>0.1</v>
      </c>
      <c r="E21737" s="5">
        <v>111.2</v>
      </c>
      <c r="F21737" s="5">
        <v>222.3</v>
      </c>
      <c r="G21737" s="5">
        <v>110.3</v>
      </c>
      <c r="H21737" s="5">
        <v>109.9</v>
      </c>
      <c r="I21737" s="5"/>
      <c r="J21737" s="5"/>
      <c r="K21737" s="5"/>
    </row>
    <row r="21738" spans="1:11" x14ac:dyDescent="0.25">
      <c r="A21738" s="5">
        <f>21731</f>
      </c>
      <c r="B21738" s="5" t="s">
        <v>21746</v>
      </c>
      <c r="C21738" s="5">
        <v>105.2</v>
      </c>
      <c r="D21738" s="5">
        <v>0.1</v>
      </c>
      <c r="E21738" s="5">
        <v>105.3</v>
      </c>
      <c r="F21738" s="5">
        <v>213.3</v>
      </c>
      <c r="G21738" s="5">
        <v>106.7</v>
      </c>
      <c r="H21738" s="5">
        <v>106.7</v>
      </c>
      <c r="I21738" s="5"/>
      <c r="J21738" s="5"/>
      <c r="K21738" s="5"/>
    </row>
    <row r="21739" spans="1:11" x14ac:dyDescent="0.25">
      <c r="A21739" s="5">
        <f>21732</f>
      </c>
      <c r="B21739" s="5" t="s">
        <v>21747</v>
      </c>
      <c r="C21739" s="5">
        <v>105.2</v>
      </c>
      <c r="D21739" s="5">
        <v>0.1</v>
      </c>
      <c r="E21739" s="5">
        <v>105.3</v>
      </c>
      <c r="F21739" s="5">
        <v>213.3</v>
      </c>
      <c r="G21739" s="5">
        <v>106.7</v>
      </c>
      <c r="H21739" s="5">
        <v>106.7</v>
      </c>
      <c r="I21739" s="5"/>
      <c r="J21739" s="5"/>
      <c r="K21739" s="5"/>
    </row>
    <row r="21740" spans="1:11" x14ac:dyDescent="0.25">
      <c r="A21740" s="5">
        <f>21733</f>
      </c>
      <c r="B21740" s="5" t="s">
        <v>21748</v>
      </c>
      <c r="C21740" s="5">
        <v>105.2</v>
      </c>
      <c r="D21740" s="5">
        <v>0.1</v>
      </c>
      <c r="E21740" s="5">
        <v>105.3</v>
      </c>
      <c r="F21740" s="5">
        <v>213.3</v>
      </c>
      <c r="G21740" s="5">
        <v>106.7</v>
      </c>
      <c r="H21740" s="5">
        <v>106.7</v>
      </c>
      <c r="I21740" s="5"/>
      <c r="J21740" s="5"/>
      <c r="K21740" s="5"/>
    </row>
    <row r="21741" spans="1:11" x14ac:dyDescent="0.25">
      <c r="A21741" s="5">
        <f>21734</f>
      </c>
      <c r="B21741" s="5" t="s">
        <v>21749</v>
      </c>
      <c r="C21741" s="5">
        <v>105.2</v>
      </c>
      <c r="D21741" s="5">
        <v>0.1</v>
      </c>
      <c r="E21741" s="5">
        <v>105.3</v>
      </c>
      <c r="F21741" s="5">
        <v>213.3</v>
      </c>
      <c r="G21741" s="5">
        <v>106.7</v>
      </c>
      <c r="H21741" s="5">
        <v>106.7</v>
      </c>
      <c r="I21741" s="5"/>
      <c r="J21741" s="5"/>
      <c r="K21741" s="5"/>
    </row>
    <row r="21742" spans="1:11" x14ac:dyDescent="0.25">
      <c r="A21742" s="5">
        <f>21735</f>
      </c>
      <c r="B21742" s="5" t="s">
        <v>21750</v>
      </c>
      <c r="C21742" s="5">
        <v>111.5</v>
      </c>
      <c r="D21742" s="5">
        <v>0.1</v>
      </c>
      <c r="E21742" s="5">
        <v>111.6</v>
      </c>
      <c r="F21742" s="5">
        <v>222.7</v>
      </c>
      <c r="G21742" s="5">
        <v>111.2</v>
      </c>
      <c r="H21742" s="5">
        <v>111</v>
      </c>
      <c r="I21742" s="5"/>
      <c r="J21742" s="5"/>
      <c r="K21742" s="5"/>
    </row>
    <row r="21743" spans="1:11" x14ac:dyDescent="0.25">
      <c r="A21743" s="5">
        <f>21736</f>
      </c>
      <c r="B21743" s="5" t="s">
        <v>21751</v>
      </c>
      <c r="C21743" s="5">
        <v>111.5</v>
      </c>
      <c r="D21743" s="5">
        <v>0.1</v>
      </c>
      <c r="E21743" s="5">
        <v>111.6</v>
      </c>
      <c r="F21743" s="5">
        <v>222.7</v>
      </c>
      <c r="G21743" s="5">
        <v>111.2</v>
      </c>
      <c r="H21743" s="5">
        <v>111</v>
      </c>
      <c r="I21743" s="5"/>
      <c r="J21743" s="5"/>
      <c r="K21743" s="5"/>
    </row>
    <row r="21744" spans="1:11" x14ac:dyDescent="0.25">
      <c r="A21744" s="5">
        <f>21737</f>
      </c>
      <c r="B21744" s="5" t="s">
        <v>21752</v>
      </c>
      <c r="C21744" s="5">
        <v>105.9</v>
      </c>
      <c r="D21744" s="5">
        <v>0.1</v>
      </c>
      <c r="E21744" s="5">
        <v>106.1</v>
      </c>
      <c r="F21744" s="5">
        <v>211.8</v>
      </c>
      <c r="G21744" s="5">
        <v>105.7</v>
      </c>
      <c r="H21744" s="5">
        <v>105.5</v>
      </c>
      <c r="I21744" s="5"/>
      <c r="J21744" s="5"/>
      <c r="K21744" s="5"/>
    </row>
    <row r="21745" spans="1:11" x14ac:dyDescent="0.25">
      <c r="A21745" s="5">
        <f>21738</f>
      </c>
      <c r="B21745" s="5" t="s">
        <v>21753</v>
      </c>
      <c r="C21745" s="5">
        <v>105.9</v>
      </c>
      <c r="D21745" s="5">
        <v>0.1</v>
      </c>
      <c r="E21745" s="5">
        <v>106.1</v>
      </c>
      <c r="F21745" s="5">
        <v>211.8</v>
      </c>
      <c r="G21745" s="5">
        <v>105.7</v>
      </c>
      <c r="H21745" s="5">
        <v>105.5</v>
      </c>
      <c r="I21745" s="5"/>
      <c r="J21745" s="5"/>
      <c r="K21745" s="5"/>
    </row>
    <row r="21746" spans="1:11" x14ac:dyDescent="0.25">
      <c r="A21746" s="5">
        <f>21739</f>
      </c>
      <c r="B21746" s="5" t="s">
        <v>21754</v>
      </c>
      <c r="C21746" s="5">
        <v>105.3</v>
      </c>
      <c r="D21746" s="5">
        <v>0.1</v>
      </c>
      <c r="E21746" s="5">
        <v>105.5</v>
      </c>
      <c r="F21746" s="5">
        <v>210.5</v>
      </c>
      <c r="G21746" s="5">
        <v>105.1</v>
      </c>
      <c r="H21746" s="5">
        <v>104.9</v>
      </c>
      <c r="I21746" s="5"/>
      <c r="J21746" s="5"/>
      <c r="K21746" s="5"/>
    </row>
    <row r="21747" spans="1:11" x14ac:dyDescent="0.25">
      <c r="A21747" s="5">
        <f>21740</f>
      </c>
      <c r="B21747" s="5" t="s">
        <v>21755</v>
      </c>
      <c r="C21747" s="5">
        <v>105.3</v>
      </c>
      <c r="D21747" s="5">
        <v>0.1</v>
      </c>
      <c r="E21747" s="5">
        <v>105.5</v>
      </c>
      <c r="F21747" s="5">
        <v>210.5</v>
      </c>
      <c r="G21747" s="5">
        <v>105.1</v>
      </c>
      <c r="H21747" s="5">
        <v>104.9</v>
      </c>
      <c r="I21747" s="5"/>
      <c r="J21747" s="5"/>
      <c r="K21747" s="5"/>
    </row>
    <row r="21748" spans="1:11" x14ac:dyDescent="0.25">
      <c r="A21748" s="5">
        <f>21741</f>
      </c>
      <c r="B21748" s="5" t="s">
        <v>21756</v>
      </c>
      <c r="C21748" s="5">
        <v>111.3</v>
      </c>
      <c r="D21748" s="5">
        <v>0.1</v>
      </c>
      <c r="E21748" s="5">
        <v>111.4</v>
      </c>
      <c r="F21748" s="5">
        <v>221.1</v>
      </c>
      <c r="G21748" s="5">
        <v>110.4</v>
      </c>
      <c r="H21748" s="5">
        <v>110.3</v>
      </c>
      <c r="I21748" s="5"/>
      <c r="J21748" s="5"/>
      <c r="K21748" s="5"/>
    </row>
    <row r="21749" spans="1:11" x14ac:dyDescent="0.25">
      <c r="A21749" s="5">
        <f>21742</f>
      </c>
      <c r="B21749" s="5" t="s">
        <v>21757</v>
      </c>
      <c r="C21749" s="5">
        <v>111.3</v>
      </c>
      <c r="D21749" s="5">
        <v>0.1</v>
      </c>
      <c r="E21749" s="5">
        <v>111.4</v>
      </c>
      <c r="F21749" s="5">
        <v>221.1</v>
      </c>
      <c r="G21749" s="5">
        <v>110.4</v>
      </c>
      <c r="H21749" s="5">
        <v>110.3</v>
      </c>
      <c r="I21749" s="5"/>
      <c r="J21749" s="5"/>
      <c r="K21749" s="5"/>
    </row>
    <row r="21750" spans="1:11" x14ac:dyDescent="0.25">
      <c r="A21750" s="5">
        <f>21743</f>
      </c>
      <c r="B21750" s="5" t="s">
        <v>21758</v>
      </c>
      <c r="C21750" s="5">
        <v>111.3</v>
      </c>
      <c r="D21750" s="5">
        <v>0.1</v>
      </c>
      <c r="E21750" s="5">
        <v>111.4</v>
      </c>
      <c r="F21750" s="5">
        <v>221.1</v>
      </c>
      <c r="G21750" s="5">
        <v>110.4</v>
      </c>
      <c r="H21750" s="5">
        <v>110.3</v>
      </c>
      <c r="I21750" s="5"/>
      <c r="J21750" s="5"/>
      <c r="K21750" s="5"/>
    </row>
    <row r="21751" spans="1:11" x14ac:dyDescent="0.25">
      <c r="A21751" s="5">
        <f>21744</f>
      </c>
      <c r="B21751" s="5" t="s">
        <v>21759</v>
      </c>
      <c r="C21751" s="5">
        <v>111.3</v>
      </c>
      <c r="D21751" s="5">
        <v>0.1</v>
      </c>
      <c r="E21751" s="5">
        <v>111.4</v>
      </c>
      <c r="F21751" s="5">
        <v>221.1</v>
      </c>
      <c r="G21751" s="5">
        <v>110.4</v>
      </c>
      <c r="H21751" s="5">
        <v>106.6</v>
      </c>
      <c r="I21751" s="5"/>
      <c r="J21751" s="5"/>
      <c r="K21751" s="5"/>
    </row>
    <row r="21752" spans="1:11" x14ac:dyDescent="0.25">
      <c r="A21752" s="5">
        <f>21745</f>
      </c>
      <c r="B21752" s="5" t="s">
        <v>21760</v>
      </c>
      <c r="C21752" s="5">
        <v>109.1</v>
      </c>
      <c r="D21752" s="5">
        <v>0.1</v>
      </c>
      <c r="E21752" s="5">
        <v>109.3</v>
      </c>
      <c r="F21752" s="5">
        <v>213.4</v>
      </c>
      <c r="G21752" s="5">
        <v>106.7</v>
      </c>
      <c r="H21752" s="5">
        <v>106.6</v>
      </c>
      <c r="I21752" s="5"/>
      <c r="J21752" s="5"/>
      <c r="K21752" s="5"/>
    </row>
    <row r="21753" spans="1:11" x14ac:dyDescent="0.25">
      <c r="A21753" s="5">
        <f>21746</f>
      </c>
      <c r="B21753" s="5" t="s">
        <v>21761</v>
      </c>
      <c r="C21753" s="5">
        <v>109.1</v>
      </c>
      <c r="D21753" s="5">
        <v>0.1</v>
      </c>
      <c r="E21753" s="5">
        <v>109.3</v>
      </c>
      <c r="F21753" s="5">
        <v>213.4</v>
      </c>
      <c r="G21753" s="5">
        <v>106.7</v>
      </c>
      <c r="H21753" s="5">
        <v>106.6</v>
      </c>
      <c r="I21753" s="5"/>
      <c r="J21753" s="5"/>
      <c r="K21753" s="5"/>
    </row>
    <row r="21754" spans="1:11" x14ac:dyDescent="0.25">
      <c r="A21754" s="5">
        <f>21747</f>
      </c>
      <c r="B21754" s="5" t="s">
        <v>21762</v>
      </c>
      <c r="C21754" s="5">
        <v>105.4</v>
      </c>
      <c r="D21754" s="5">
        <v>0.1</v>
      </c>
      <c r="E21754" s="5">
        <v>105.5</v>
      </c>
      <c r="F21754" s="5">
        <v>215.9</v>
      </c>
      <c r="G21754" s="5">
        <v>107.5</v>
      </c>
      <c r="H21754" s="5">
        <v>107.1</v>
      </c>
      <c r="I21754" s="5"/>
      <c r="J21754" s="5"/>
      <c r="K21754" s="5"/>
    </row>
    <row r="21755" spans="1:11" x14ac:dyDescent="0.25">
      <c r="A21755" s="5">
        <f>21748</f>
      </c>
      <c r="B21755" s="5" t="s">
        <v>21763</v>
      </c>
      <c r="C21755" s="5">
        <v>105.4</v>
      </c>
      <c r="D21755" s="5">
        <v>0.1</v>
      </c>
      <c r="E21755" s="5">
        <v>105.5</v>
      </c>
      <c r="F21755" s="5">
        <v>215.9</v>
      </c>
      <c r="G21755" s="5">
        <v>107.5</v>
      </c>
      <c r="H21755" s="5">
        <v>107.1</v>
      </c>
      <c r="I21755" s="5"/>
      <c r="J21755" s="5"/>
      <c r="K21755" s="5"/>
    </row>
    <row r="21756" spans="1:11" x14ac:dyDescent="0.25">
      <c r="A21756" s="5">
        <f>21749</f>
      </c>
      <c r="B21756" s="5" t="s">
        <v>21764</v>
      </c>
      <c r="C21756" s="5">
        <v>111</v>
      </c>
      <c r="D21756" s="5">
        <v>0.1</v>
      </c>
      <c r="E21756" s="5">
        <v>111.1</v>
      </c>
      <c r="F21756" s="5">
        <v>222.1</v>
      </c>
      <c r="G21756" s="5">
        <v>110.9</v>
      </c>
      <c r="H21756" s="5">
        <v>110.7</v>
      </c>
      <c r="I21756" s="5"/>
      <c r="J21756" s="5"/>
      <c r="K21756" s="5"/>
    </row>
    <row r="21757" spans="1:11" x14ac:dyDescent="0.25">
      <c r="A21757" s="5">
        <f>21750</f>
      </c>
      <c r="B21757" s="5" t="s">
        <v>21765</v>
      </c>
      <c r="C21757" s="5">
        <v>111</v>
      </c>
      <c r="D21757" s="5">
        <v>0.1</v>
      </c>
      <c r="E21757" s="5">
        <v>111.1</v>
      </c>
      <c r="F21757" s="5">
        <v>222.1</v>
      </c>
      <c r="G21757" s="5">
        <v>110.9</v>
      </c>
      <c r="H21757" s="5">
        <v>110.7</v>
      </c>
      <c r="I21757" s="5"/>
      <c r="J21757" s="5"/>
      <c r="K21757" s="5"/>
    </row>
    <row r="21758" spans="1:11" x14ac:dyDescent="0.25">
      <c r="A21758" s="5">
        <f>21751</f>
      </c>
      <c r="B21758" s="5" t="s">
        <v>21766</v>
      </c>
      <c r="C21758" s="5">
        <v>109.4</v>
      </c>
      <c r="D21758" s="5">
        <v>0.1</v>
      </c>
      <c r="E21758" s="5">
        <v>109.6</v>
      </c>
      <c r="F21758" s="5">
        <v>211.9</v>
      </c>
      <c r="G21758" s="5">
        <v>106</v>
      </c>
      <c r="H21758" s="5">
        <v>106.1</v>
      </c>
      <c r="I21758" s="5"/>
      <c r="J21758" s="5"/>
      <c r="K21758" s="5"/>
    </row>
    <row r="21759" spans="1:11" x14ac:dyDescent="0.25">
      <c r="A21759" s="5">
        <f>21752</f>
      </c>
      <c r="B21759" s="5" t="s">
        <v>21767</v>
      </c>
      <c r="C21759" s="5">
        <v>109.4</v>
      </c>
      <c r="D21759" s="5">
        <v>0.1</v>
      </c>
      <c r="E21759" s="5">
        <v>109.6</v>
      </c>
      <c r="F21759" s="5">
        <v>211.9</v>
      </c>
      <c r="G21759" s="5">
        <v>106</v>
      </c>
      <c r="H21759" s="5">
        <v>106.1</v>
      </c>
      <c r="I21759" s="5"/>
      <c r="J21759" s="5"/>
      <c r="K21759" s="5"/>
    </row>
    <row r="21760" spans="1:11" x14ac:dyDescent="0.25">
      <c r="A21760" s="5">
        <f>21753</f>
      </c>
      <c r="B21760" s="5" t="s">
        <v>21768</v>
      </c>
      <c r="C21760" s="5">
        <v>109.4</v>
      </c>
      <c r="D21760" s="5">
        <v>0.1</v>
      </c>
      <c r="E21760" s="5">
        <v>109.6</v>
      </c>
      <c r="F21760" s="5">
        <v>211.9</v>
      </c>
      <c r="G21760" s="5">
        <v>106</v>
      </c>
      <c r="H21760" s="5">
        <v>106.1</v>
      </c>
      <c r="I21760" s="5"/>
      <c r="J21760" s="5"/>
      <c r="K21760" s="5"/>
    </row>
    <row r="21761" spans="1:11" x14ac:dyDescent="0.25">
      <c r="A21761" s="5">
        <f>21754</f>
      </c>
      <c r="B21761" s="5" t="s">
        <v>21769</v>
      </c>
      <c r="C21761" s="5">
        <v>105.1</v>
      </c>
      <c r="D21761" s="5">
        <v>0.1</v>
      </c>
      <c r="E21761" s="5">
        <v>109.6</v>
      </c>
      <c r="F21761" s="5">
        <v>211.9</v>
      </c>
      <c r="G21761" s="5">
        <v>106</v>
      </c>
      <c r="H21761" s="5">
        <v>106.1</v>
      </c>
      <c r="I21761" s="5"/>
      <c r="J21761" s="5"/>
      <c r="K21761" s="5"/>
    </row>
    <row r="21762" spans="1:11" x14ac:dyDescent="0.25">
      <c r="A21762" s="5">
        <f>21755</f>
      </c>
      <c r="B21762" s="5" t="s">
        <v>21770</v>
      </c>
      <c r="C21762" s="5">
        <v>105.1</v>
      </c>
      <c r="D21762" s="5">
        <v>0.1</v>
      </c>
      <c r="E21762" s="5">
        <v>105.3</v>
      </c>
      <c r="F21762" s="5">
        <v>216.1</v>
      </c>
      <c r="G21762" s="5">
        <v>107.5</v>
      </c>
      <c r="H21762" s="5">
        <v>107.1</v>
      </c>
      <c r="I21762" s="5"/>
      <c r="J21762" s="5"/>
      <c r="K21762" s="5"/>
    </row>
    <row r="21763" spans="1:11" x14ac:dyDescent="0.25">
      <c r="A21763" s="5">
        <f>21756</f>
      </c>
      <c r="B21763" s="5" t="s">
        <v>21771</v>
      </c>
      <c r="C21763" s="5">
        <v>105.1</v>
      </c>
      <c r="D21763" s="5">
        <v>0.1</v>
      </c>
      <c r="E21763" s="5">
        <v>105.3</v>
      </c>
      <c r="F21763" s="5">
        <v>216.1</v>
      </c>
      <c r="G21763" s="5">
        <v>107.5</v>
      </c>
      <c r="H21763" s="5">
        <v>107.1</v>
      </c>
      <c r="I21763" s="5"/>
      <c r="J21763" s="5"/>
      <c r="K21763" s="5"/>
    </row>
    <row r="21764" spans="1:11" x14ac:dyDescent="0.25">
      <c r="A21764" s="5">
        <f>21757</f>
      </c>
      <c r="B21764" s="5" t="s">
        <v>21772</v>
      </c>
      <c r="C21764" s="5">
        <v>105</v>
      </c>
      <c r="D21764" s="5">
        <v>0.1</v>
      </c>
      <c r="E21764" s="5">
        <v>105.1</v>
      </c>
      <c r="F21764" s="5">
        <v>222.2</v>
      </c>
      <c r="G21764" s="5">
        <v>110.9</v>
      </c>
      <c r="H21764" s="5">
        <v>110.7</v>
      </c>
      <c r="I21764" s="5"/>
      <c r="J21764" s="5"/>
      <c r="K21764" s="5"/>
    </row>
    <row r="21765" spans="1:11" x14ac:dyDescent="0.25">
      <c r="A21765" s="5">
        <f>21758</f>
      </c>
      <c r="B21765" s="5" t="s">
        <v>21773</v>
      </c>
      <c r="C21765" s="5">
        <v>105</v>
      </c>
      <c r="D21765" s="5">
        <v>0.1</v>
      </c>
      <c r="E21765" s="5">
        <v>105.1</v>
      </c>
      <c r="F21765" s="5">
        <v>222.2</v>
      </c>
      <c r="G21765" s="5">
        <v>110.9</v>
      </c>
      <c r="H21765" s="5">
        <v>110.7</v>
      </c>
      <c r="I21765" s="5"/>
      <c r="J21765" s="5"/>
      <c r="K21765" s="5"/>
    </row>
    <row r="21766" spans="1:11" x14ac:dyDescent="0.25">
      <c r="A21766" s="5">
        <f>21759</f>
      </c>
      <c r="B21766" s="5" t="s">
        <v>21774</v>
      </c>
      <c r="C21766" s="5">
        <v>111.5</v>
      </c>
      <c r="D21766" s="5">
        <v>0.1</v>
      </c>
      <c r="E21766" s="5">
        <v>111.6</v>
      </c>
      <c r="F21766" s="5">
        <v>221.8</v>
      </c>
      <c r="G21766" s="5">
        <v>110.8</v>
      </c>
      <c r="H21766" s="5">
        <v>110.6</v>
      </c>
      <c r="I21766" s="5"/>
      <c r="J21766" s="5"/>
      <c r="K21766" s="5"/>
    </row>
    <row r="21767" spans="1:11" x14ac:dyDescent="0.25">
      <c r="A21767" s="5">
        <f>21760</f>
      </c>
      <c r="B21767" s="5" t="s">
        <v>21775</v>
      </c>
      <c r="C21767" s="5">
        <v>111.5</v>
      </c>
      <c r="D21767" s="5">
        <v>0.1</v>
      </c>
      <c r="E21767" s="5">
        <v>111.6</v>
      </c>
      <c r="F21767" s="5">
        <v>221.8</v>
      </c>
      <c r="G21767" s="5">
        <v>110.8</v>
      </c>
      <c r="H21767" s="5">
        <v>110.6</v>
      </c>
      <c r="I21767" s="5"/>
      <c r="J21767" s="5"/>
      <c r="K21767" s="5"/>
    </row>
    <row r="21768" spans="1:11" x14ac:dyDescent="0.25">
      <c r="A21768" s="5">
        <f>21761</f>
      </c>
      <c r="B21768" s="5" t="s">
        <v>21776</v>
      </c>
      <c r="C21768" s="5">
        <v>111.3</v>
      </c>
      <c r="D21768" s="5">
        <v>0.1</v>
      </c>
      <c r="E21768" s="5">
        <v>111.4</v>
      </c>
      <c r="F21768" s="5">
        <v>216.1</v>
      </c>
      <c r="G21768" s="5">
        <v>108.1</v>
      </c>
      <c r="H21768" s="5">
        <v>108.1</v>
      </c>
      <c r="I21768" s="5"/>
      <c r="J21768" s="5"/>
      <c r="K21768" s="5"/>
    </row>
    <row r="21769" spans="1:11" x14ac:dyDescent="0.25">
      <c r="A21769" s="5">
        <f>21762</f>
      </c>
      <c r="B21769" s="5" t="s">
        <v>21777</v>
      </c>
      <c r="C21769" s="5">
        <v>111.3</v>
      </c>
      <c r="D21769" s="5">
        <v>0.1</v>
      </c>
      <c r="E21769" s="5">
        <v>111.4</v>
      </c>
      <c r="F21769" s="5">
        <v>216.1</v>
      </c>
      <c r="G21769" s="5">
        <v>108.1</v>
      </c>
      <c r="H21769" s="5">
        <v>108.1</v>
      </c>
      <c r="I21769" s="5"/>
      <c r="J21769" s="5"/>
      <c r="K21769" s="5"/>
    </row>
    <row r="21770" spans="1:11" x14ac:dyDescent="0.25">
      <c r="A21770" s="5">
        <f>21763</f>
      </c>
      <c r="B21770" s="5" t="s">
        <v>21778</v>
      </c>
      <c r="C21770" s="5">
        <v>111.3</v>
      </c>
      <c r="D21770" s="5">
        <v>0.1</v>
      </c>
      <c r="E21770" s="5">
        <v>111.4</v>
      </c>
      <c r="F21770" s="5">
        <v>216.1</v>
      </c>
      <c r="G21770" s="5">
        <v>108.1</v>
      </c>
      <c r="H21770" s="5">
        <v>108.1</v>
      </c>
      <c r="I21770" s="5"/>
      <c r="J21770" s="5"/>
      <c r="K21770" s="5"/>
    </row>
    <row r="21771" spans="1:11" x14ac:dyDescent="0.25">
      <c r="A21771" s="5">
        <f>21764</f>
      </c>
      <c r="B21771" s="5" t="s">
        <v>21779</v>
      </c>
      <c r="C21771" s="5">
        <v>111.3</v>
      </c>
      <c r="D21771" s="5">
        <v>0.1</v>
      </c>
      <c r="E21771" s="5">
        <v>111.4</v>
      </c>
      <c r="F21771" s="5">
        <v>216.1</v>
      </c>
      <c r="G21771" s="5">
        <v>108.1</v>
      </c>
      <c r="H21771" s="5">
        <v>108.1</v>
      </c>
      <c r="I21771" s="5"/>
      <c r="J21771" s="5"/>
      <c r="K21771" s="5"/>
    </row>
    <row r="21772" spans="1:11" x14ac:dyDescent="0.25">
      <c r="A21772" s="5">
        <f>21765</f>
      </c>
      <c r="B21772" s="5" t="s">
        <v>21780</v>
      </c>
      <c r="C21772" s="5">
        <v>105.5</v>
      </c>
      <c r="D21772" s="5">
        <v>0.1</v>
      </c>
      <c r="E21772" s="5">
        <v>105.6</v>
      </c>
      <c r="F21772" s="5">
        <v>210.3</v>
      </c>
      <c r="G21772" s="5">
        <v>105</v>
      </c>
      <c r="H21772" s="5">
        <v>104.8</v>
      </c>
      <c r="I21772" s="5"/>
      <c r="J21772" s="5"/>
      <c r="K21772" s="5"/>
    </row>
    <row r="21773" spans="1:11" x14ac:dyDescent="0.25">
      <c r="A21773" s="5">
        <f>21766</f>
      </c>
      <c r="B21773" s="5" t="s">
        <v>21781</v>
      </c>
      <c r="C21773" s="5">
        <v>105.5</v>
      </c>
      <c r="D21773" s="5">
        <v>0.1</v>
      </c>
      <c r="E21773" s="5">
        <v>105.6</v>
      </c>
      <c r="F21773" s="5">
        <v>210.3</v>
      </c>
      <c r="G21773" s="5">
        <v>105</v>
      </c>
      <c r="H21773" s="5">
        <v>104.8</v>
      </c>
      <c r="I21773" s="5"/>
      <c r="J21773" s="5"/>
      <c r="K21773" s="5"/>
    </row>
    <row r="21774" spans="1:11" x14ac:dyDescent="0.25">
      <c r="A21774" s="5">
        <f>21767</f>
      </c>
      <c r="B21774" s="5" t="s">
        <v>21782</v>
      </c>
      <c r="C21774" s="5">
        <v>104.7</v>
      </c>
      <c r="D21774" s="5">
        <v>0.1</v>
      </c>
      <c r="E21774" s="5">
        <v>104.9</v>
      </c>
      <c r="F21774" s="5">
        <v>209.7</v>
      </c>
      <c r="G21774" s="5">
        <v>104.7</v>
      </c>
      <c r="H21774" s="5">
        <v>104.5</v>
      </c>
      <c r="I21774" s="5"/>
      <c r="J21774" s="5"/>
      <c r="K21774" s="5"/>
    </row>
    <row r="21775" spans="1:11" x14ac:dyDescent="0.25">
      <c r="A21775" s="5">
        <f>21768</f>
      </c>
      <c r="B21775" s="5" t="s">
        <v>21783</v>
      </c>
      <c r="C21775" s="5">
        <v>104.7</v>
      </c>
      <c r="D21775" s="5">
        <v>0.1</v>
      </c>
      <c r="E21775" s="5">
        <v>104.9</v>
      </c>
      <c r="F21775" s="5">
        <v>209.7</v>
      </c>
      <c r="G21775" s="5">
        <v>104.7</v>
      </c>
      <c r="H21775" s="5">
        <v>104.5</v>
      </c>
      <c r="I21775" s="5"/>
      <c r="J21775" s="5"/>
      <c r="K21775" s="5"/>
    </row>
    <row r="21776" spans="1:11" x14ac:dyDescent="0.25">
      <c r="A21776" s="5">
        <f>21769</f>
      </c>
      <c r="B21776" s="5" t="s">
        <v>21784</v>
      </c>
      <c r="C21776" s="5">
        <v>104.6</v>
      </c>
      <c r="D21776" s="5">
        <v>0.1</v>
      </c>
      <c r="E21776" s="5">
        <v>104.7</v>
      </c>
      <c r="F21776" s="5">
        <v>210.9</v>
      </c>
      <c r="G21776" s="5">
        <v>105.2</v>
      </c>
      <c r="H21776" s="5">
        <v>104.9</v>
      </c>
      <c r="I21776" s="5"/>
      <c r="J21776" s="5"/>
      <c r="K21776" s="5"/>
    </row>
    <row r="21777" spans="1:11" x14ac:dyDescent="0.25">
      <c r="A21777" s="5">
        <f>21770</f>
      </c>
      <c r="B21777" s="5" t="s">
        <v>21785</v>
      </c>
      <c r="C21777" s="5">
        <v>104.6</v>
      </c>
      <c r="D21777" s="5">
        <v>0.1</v>
      </c>
      <c r="E21777" s="5">
        <v>104.7</v>
      </c>
      <c r="F21777" s="5">
        <v>210.9</v>
      </c>
      <c r="G21777" s="5">
        <v>105.2</v>
      </c>
      <c r="H21777" s="5">
        <v>104.9</v>
      </c>
      <c r="I21777" s="5"/>
      <c r="J21777" s="5"/>
      <c r="K21777" s="5"/>
    </row>
    <row r="21778" spans="1:11" x14ac:dyDescent="0.25">
      <c r="A21778" s="5">
        <f>21771</f>
      </c>
      <c r="B21778" s="5" t="s">
        <v>21786</v>
      </c>
      <c r="C21778" s="5">
        <v>102.3</v>
      </c>
      <c r="D21778" s="5">
        <v>0.1</v>
      </c>
      <c r="E21778" s="5">
        <v>102.4</v>
      </c>
      <c r="F21778" s="5">
        <v>211.4</v>
      </c>
      <c r="G21778" s="5">
        <v>105.2</v>
      </c>
      <c r="H21778" s="5">
        <v>104.7</v>
      </c>
      <c r="I21778" s="5"/>
      <c r="J21778" s="5"/>
      <c r="K21778" s="5"/>
    </row>
    <row r="21779" spans="1:11" x14ac:dyDescent="0.25">
      <c r="A21779" s="5">
        <f>21772</f>
      </c>
      <c r="B21779" s="5" t="s">
        <v>21787</v>
      </c>
      <c r="C21779" s="5">
        <v>102.3</v>
      </c>
      <c r="D21779" s="5">
        <v>0.1</v>
      </c>
      <c r="E21779" s="5">
        <v>102.4</v>
      </c>
      <c r="F21779" s="5">
        <v>211.4</v>
      </c>
      <c r="G21779" s="5">
        <v>105.2</v>
      </c>
      <c r="H21779" s="5">
        <v>104.7</v>
      </c>
      <c r="I21779" s="5"/>
      <c r="J21779" s="5"/>
      <c r="K21779" s="5"/>
    </row>
    <row r="21780" spans="1:11" x14ac:dyDescent="0.25">
      <c r="A21780" s="5">
        <f>21773</f>
      </c>
      <c r="B21780" s="5" t="s">
        <v>21788</v>
      </c>
      <c r="C21780" s="5">
        <v>102.3</v>
      </c>
      <c r="D21780" s="5">
        <v>0.1</v>
      </c>
      <c r="E21780" s="5">
        <v>102.4</v>
      </c>
      <c r="F21780" s="5">
        <v>211.4</v>
      </c>
      <c r="G21780" s="5">
        <v>105.2</v>
      </c>
      <c r="H21780" s="5">
        <v>104.7</v>
      </c>
      <c r="I21780" s="5"/>
      <c r="J21780" s="5"/>
      <c r="K21780" s="5"/>
    </row>
    <row r="21781" spans="1:11" x14ac:dyDescent="0.25">
      <c r="A21781" s="5">
        <f>21774</f>
      </c>
      <c r="B21781" s="5" t="s">
        <v>21789</v>
      </c>
      <c r="C21781" s="5">
        <v>102.3</v>
      </c>
      <c r="D21781" s="5">
        <v>0.1</v>
      </c>
      <c r="E21781" s="5">
        <v>102.4</v>
      </c>
      <c r="F21781" s="5">
        <v>211.4</v>
      </c>
      <c r="G21781" s="5">
        <v>105.2</v>
      </c>
      <c r="H21781" s="5">
        <v>104.7</v>
      </c>
      <c r="I21781" s="5"/>
      <c r="J21781" s="5"/>
      <c r="K21781" s="5"/>
    </row>
    <row r="21782" spans="1:11" x14ac:dyDescent="0.25">
      <c r="A21782" s="5">
        <f>21775</f>
      </c>
      <c r="B21782" s="5" t="s">
        <v>21790</v>
      </c>
      <c r="C21782" s="5">
        <v>102.8</v>
      </c>
      <c r="D21782" s="5">
        <v>0.1</v>
      </c>
      <c r="E21782" s="5">
        <v>103</v>
      </c>
      <c r="F21782" s="5">
        <v>206.1</v>
      </c>
      <c r="G21782" s="5">
        <v>102.8</v>
      </c>
      <c r="H21782" s="5">
        <v>102.5</v>
      </c>
      <c r="I21782" s="5"/>
      <c r="J21782" s="5"/>
      <c r="K21782" s="5"/>
    </row>
    <row r="21783" spans="1:11" x14ac:dyDescent="0.25">
      <c r="A21783" s="5">
        <f>21776</f>
      </c>
      <c r="B21783" s="5" t="s">
        <v>21791</v>
      </c>
      <c r="C21783" s="5">
        <v>102.8</v>
      </c>
      <c r="D21783" s="5">
        <v>0.1</v>
      </c>
      <c r="E21783" s="5">
        <v>103</v>
      </c>
      <c r="F21783" s="5">
        <v>206.1</v>
      </c>
      <c r="G21783" s="5">
        <v>102.8</v>
      </c>
      <c r="H21783" s="5">
        <v>102.5</v>
      </c>
      <c r="I21783" s="5"/>
      <c r="J21783" s="5"/>
      <c r="K21783" s="5"/>
    </row>
    <row r="21784" spans="1:11" x14ac:dyDescent="0.25">
      <c r="A21784" s="5">
        <f>21777</f>
      </c>
      <c r="B21784" s="5" t="s">
        <v>21792</v>
      </c>
      <c r="C21784" s="5">
        <v>102.4</v>
      </c>
      <c r="D21784" s="5">
        <v>0.1</v>
      </c>
      <c r="E21784" s="5">
        <v>102.6</v>
      </c>
      <c r="F21784" s="5">
        <v>204.4</v>
      </c>
      <c r="G21784" s="5">
        <v>102</v>
      </c>
      <c r="H21784" s="5">
        <v>101.9</v>
      </c>
      <c r="I21784" s="5"/>
      <c r="J21784" s="5"/>
      <c r="K21784" s="5"/>
    </row>
    <row r="21785" spans="1:11" x14ac:dyDescent="0.25">
      <c r="A21785" s="5">
        <f>21778</f>
      </c>
      <c r="B21785" s="5" t="s">
        <v>21793</v>
      </c>
      <c r="C21785" s="5">
        <v>102.4</v>
      </c>
      <c r="D21785" s="5">
        <v>0.1</v>
      </c>
      <c r="E21785" s="5">
        <v>102.6</v>
      </c>
      <c r="F21785" s="5">
        <v>204.4</v>
      </c>
      <c r="G21785" s="5">
        <v>102</v>
      </c>
      <c r="H21785" s="5">
        <v>101.9</v>
      </c>
      <c r="I21785" s="5"/>
      <c r="J21785" s="5"/>
      <c r="K21785" s="5"/>
    </row>
    <row r="21786" spans="1:11" x14ac:dyDescent="0.25">
      <c r="A21786" s="5">
        <f>21779</f>
      </c>
      <c r="B21786" s="5" t="s">
        <v>21794</v>
      </c>
      <c r="C21786" s="5">
        <v>102.1</v>
      </c>
      <c r="D21786" s="5">
        <v>0.1</v>
      </c>
      <c r="E21786" s="5">
        <v>102.2</v>
      </c>
      <c r="F21786" s="5">
        <v>215.9</v>
      </c>
      <c r="G21786" s="5">
        <v>107.8</v>
      </c>
      <c r="H21786" s="5">
        <v>107.6</v>
      </c>
      <c r="I21786" s="5"/>
      <c r="J21786" s="5"/>
      <c r="K21786" s="5"/>
    </row>
    <row r="21787" spans="1:11" x14ac:dyDescent="0.25">
      <c r="A21787" s="5">
        <f>21780</f>
      </c>
      <c r="B21787" s="5" t="s">
        <v>21795</v>
      </c>
      <c r="C21787" s="5">
        <v>102.1</v>
      </c>
      <c r="D21787" s="5">
        <v>0.1</v>
      </c>
      <c r="E21787" s="5">
        <v>102.2</v>
      </c>
      <c r="F21787" s="5">
        <v>215.9</v>
      </c>
      <c r="G21787" s="5">
        <v>107.8</v>
      </c>
      <c r="H21787" s="5">
        <v>107.6</v>
      </c>
      <c r="I21787" s="5"/>
      <c r="J21787" s="5"/>
      <c r="K21787" s="5"/>
    </row>
    <row r="21788" spans="1:11" x14ac:dyDescent="0.25">
      <c r="A21788" s="5">
        <f>21781</f>
      </c>
      <c r="B21788" s="5" t="s">
        <v>21796</v>
      </c>
      <c r="C21788" s="5">
        <v>108.2</v>
      </c>
      <c r="D21788" s="5">
        <v>0.1</v>
      </c>
      <c r="E21788" s="5">
        <v>108.4</v>
      </c>
      <c r="F21788" s="5">
        <v>215.8</v>
      </c>
      <c r="G21788" s="5">
        <v>107.7</v>
      </c>
      <c r="H21788" s="5">
        <v>107.6</v>
      </c>
      <c r="I21788" s="5"/>
      <c r="J21788" s="5"/>
      <c r="K21788" s="5"/>
    </row>
    <row r="21789" spans="1:11" x14ac:dyDescent="0.25">
      <c r="A21789" s="5">
        <f>21782</f>
      </c>
      <c r="B21789" s="5" t="s">
        <v>21797</v>
      </c>
      <c r="C21789" s="5">
        <v>108.2</v>
      </c>
      <c r="D21789" s="5">
        <v>0.1</v>
      </c>
      <c r="E21789" s="5">
        <v>108.4</v>
      </c>
      <c r="F21789" s="5">
        <v>215.8</v>
      </c>
      <c r="G21789" s="5">
        <v>107.7</v>
      </c>
      <c r="H21789" s="5">
        <v>107.6</v>
      </c>
      <c r="I21789" s="5"/>
      <c r="J21789" s="5"/>
      <c r="K21789" s="5"/>
    </row>
    <row r="21790" spans="1:11" x14ac:dyDescent="0.25">
      <c r="A21790" s="5">
        <f>21783</f>
      </c>
      <c r="B21790" s="5" t="s">
        <v>21798</v>
      </c>
      <c r="C21790" s="5">
        <v>108.2</v>
      </c>
      <c r="D21790" s="5">
        <v>0.1</v>
      </c>
      <c r="E21790" s="5">
        <v>108.4</v>
      </c>
      <c r="F21790" s="5">
        <v>215.8</v>
      </c>
      <c r="G21790" s="5">
        <v>107.7</v>
      </c>
      <c r="H21790" s="5">
        <v>107.6</v>
      </c>
      <c r="I21790" s="5"/>
      <c r="J21790" s="5"/>
      <c r="K21790" s="5"/>
    </row>
    <row r="21791" spans="1:11" x14ac:dyDescent="0.25">
      <c r="A21791" s="5">
        <f>21784</f>
      </c>
      <c r="B21791" s="5" t="s">
        <v>21799</v>
      </c>
      <c r="C21791" s="5">
        <v>107.8</v>
      </c>
      <c r="D21791" s="5">
        <v>0.1</v>
      </c>
      <c r="E21791" s="5">
        <v>107.9</v>
      </c>
      <c r="F21791" s="5">
        <v>215.4</v>
      </c>
      <c r="G21791" s="5">
        <v>107.5</v>
      </c>
      <c r="H21791" s="5">
        <v>107.4</v>
      </c>
      <c r="I21791" s="5"/>
      <c r="J21791" s="5"/>
      <c r="K21791" s="5"/>
    </row>
    <row r="21792" spans="1:11" x14ac:dyDescent="0.25">
      <c r="A21792" s="5">
        <f>21785</f>
      </c>
      <c r="B21792" s="5" t="s">
        <v>21800</v>
      </c>
      <c r="C21792" s="5">
        <v>107.8</v>
      </c>
      <c r="D21792" s="5">
        <v>0.1</v>
      </c>
      <c r="E21792" s="5">
        <v>107.9</v>
      </c>
      <c r="F21792" s="5">
        <v>215.4</v>
      </c>
      <c r="G21792" s="5">
        <v>107.5</v>
      </c>
      <c r="H21792" s="5">
        <v>107.4</v>
      </c>
      <c r="I21792" s="5"/>
      <c r="J21792" s="5"/>
      <c r="K21792" s="5"/>
    </row>
    <row r="21793" spans="1:11" x14ac:dyDescent="0.25">
      <c r="A21793" s="5">
        <f>21786</f>
      </c>
      <c r="B21793" s="5" t="s">
        <v>21801</v>
      </c>
      <c r="C21793" s="5">
        <v>107.1</v>
      </c>
      <c r="D21793" s="5">
        <v>0.1</v>
      </c>
      <c r="E21793" s="5">
        <v>107.2</v>
      </c>
      <c r="F21793" s="5">
        <v>214.6</v>
      </c>
      <c r="G21793" s="5">
        <v>107.1</v>
      </c>
      <c r="H21793" s="5">
        <v>106.8</v>
      </c>
      <c r="I21793" s="5"/>
      <c r="J21793" s="5"/>
      <c r="K21793" s="5"/>
    </row>
    <row r="21794" spans="1:11" x14ac:dyDescent="0.25">
      <c r="A21794" s="5">
        <f>21787</f>
      </c>
      <c r="B21794" s="5" t="s">
        <v>21802</v>
      </c>
      <c r="C21794" s="5">
        <v>107.1</v>
      </c>
      <c r="D21794" s="5">
        <v>0.1</v>
      </c>
      <c r="E21794" s="5">
        <v>107.2</v>
      </c>
      <c r="F21794" s="5">
        <v>214.6</v>
      </c>
      <c r="G21794" s="5">
        <v>107.1</v>
      </c>
      <c r="H21794" s="5">
        <v>106.8</v>
      </c>
      <c r="I21794" s="5"/>
      <c r="J21794" s="5"/>
      <c r="K21794" s="5"/>
    </row>
    <row r="21795" spans="1:11" x14ac:dyDescent="0.25">
      <c r="A21795" s="5">
        <f>21788</f>
      </c>
      <c r="B21795" s="5" t="s">
        <v>21803</v>
      </c>
      <c r="C21795" s="5">
        <v>107.6</v>
      </c>
      <c r="D21795" s="5">
        <v>0.1</v>
      </c>
      <c r="E21795" s="5">
        <v>107.8</v>
      </c>
      <c r="F21795" s="5">
        <v>215.3</v>
      </c>
      <c r="G21795" s="5">
        <v>107.5</v>
      </c>
      <c r="H21795" s="5">
        <v>107.3</v>
      </c>
      <c r="I21795" s="5"/>
      <c r="J21795" s="5"/>
      <c r="K21795" s="5"/>
    </row>
    <row r="21796" spans="1:11" x14ac:dyDescent="0.25">
      <c r="A21796" s="5">
        <f>21789</f>
      </c>
      <c r="B21796" s="5" t="s">
        <v>21804</v>
      </c>
      <c r="C21796" s="5">
        <v>107.6</v>
      </c>
      <c r="D21796" s="5">
        <v>0.1</v>
      </c>
      <c r="E21796" s="5">
        <v>107.8</v>
      </c>
      <c r="F21796" s="5">
        <v>215.3</v>
      </c>
      <c r="G21796" s="5">
        <v>107.5</v>
      </c>
      <c r="H21796" s="5">
        <v>107.3</v>
      </c>
      <c r="I21796" s="5"/>
      <c r="J21796" s="5"/>
      <c r="K21796" s="5"/>
    </row>
    <row r="21797" spans="1:11" x14ac:dyDescent="0.25">
      <c r="A21797" s="5">
        <f>21790</f>
      </c>
      <c r="B21797" s="5" t="s">
        <v>21805</v>
      </c>
      <c r="C21797" s="5">
        <v>107.6</v>
      </c>
      <c r="D21797" s="5">
        <v>0.1</v>
      </c>
      <c r="E21797" s="5">
        <v>108.1</v>
      </c>
      <c r="F21797" s="5">
        <v>215.3</v>
      </c>
      <c r="G21797" s="5">
        <v>107.5</v>
      </c>
      <c r="H21797" s="5">
        <v>107.3</v>
      </c>
      <c r="I21797" s="5"/>
      <c r="J21797" s="5"/>
      <c r="K21797" s="5"/>
    </row>
    <row r="21798" spans="1:11" x14ac:dyDescent="0.25">
      <c r="A21798" s="5">
        <f>21791</f>
      </c>
      <c r="B21798" s="5" t="s">
        <v>21806</v>
      </c>
      <c r="C21798" s="5">
        <v>107.9</v>
      </c>
      <c r="D21798" s="5">
        <v>0.1</v>
      </c>
      <c r="E21798" s="5">
        <v>108.1</v>
      </c>
      <c r="F21798" s="5">
        <v>215.3</v>
      </c>
      <c r="G21798" s="5">
        <v>107.5</v>
      </c>
      <c r="H21798" s="5">
        <v>107.3</v>
      </c>
      <c r="I21798" s="5"/>
      <c r="J21798" s="5"/>
      <c r="K21798" s="5"/>
    </row>
    <row r="21799" spans="1:11" x14ac:dyDescent="0.25">
      <c r="A21799" s="5">
        <f>21792</f>
      </c>
      <c r="B21799" s="5" t="s">
        <v>21807</v>
      </c>
      <c r="C21799" s="5">
        <v>107.9</v>
      </c>
      <c r="D21799" s="5">
        <v>0.1</v>
      </c>
      <c r="E21799" s="5">
        <v>108.1</v>
      </c>
      <c r="F21799" s="5">
        <v>215.3</v>
      </c>
      <c r="G21799" s="5">
        <v>107.5</v>
      </c>
      <c r="H21799" s="5">
        <v>107.3</v>
      </c>
      <c r="I21799" s="5"/>
      <c r="J21799" s="5"/>
      <c r="K21799" s="5"/>
    </row>
    <row r="21800" spans="1:11" x14ac:dyDescent="0.25">
      <c r="A21800" s="5">
        <f>21793</f>
      </c>
      <c r="B21800" s="5" t="s">
        <v>21808</v>
      </c>
      <c r="C21800" s="5">
        <v>107.9</v>
      </c>
      <c r="D21800" s="5">
        <v>0.1</v>
      </c>
      <c r="E21800" s="5">
        <v>108.1</v>
      </c>
      <c r="F21800" s="5">
        <v>215.3</v>
      </c>
      <c r="G21800" s="5">
        <v>107.5</v>
      </c>
      <c r="H21800" s="5">
        <v>107.3</v>
      </c>
      <c r="I21800" s="5"/>
      <c r="J21800" s="5"/>
      <c r="K21800" s="5"/>
    </row>
    <row r="21801" spans="1:11" x14ac:dyDescent="0.25">
      <c r="A21801" s="5">
        <f>21794</f>
      </c>
      <c r="B21801" s="5" t="s">
        <v>21809</v>
      </c>
      <c r="C21801" s="5">
        <v>107.1</v>
      </c>
      <c r="D21801" s="5">
        <v>0.1</v>
      </c>
      <c r="E21801" s="5">
        <v>107.2</v>
      </c>
      <c r="F21801" s="5">
        <v>213.7</v>
      </c>
      <c r="G21801" s="5">
        <v>106.5</v>
      </c>
      <c r="H21801" s="5">
        <v>106.1</v>
      </c>
      <c r="I21801" s="5"/>
      <c r="J21801" s="5"/>
      <c r="K21801" s="5"/>
    </row>
    <row r="21802" spans="1:11" x14ac:dyDescent="0.25">
      <c r="A21802" s="5">
        <f>21795</f>
      </c>
      <c r="B21802" s="5" t="s">
        <v>21810</v>
      </c>
      <c r="C21802" s="5">
        <v>107.1</v>
      </c>
      <c r="D21802" s="5">
        <v>0.1</v>
      </c>
      <c r="E21802" s="5">
        <v>107.2</v>
      </c>
      <c r="F21802" s="5">
        <v>213.7</v>
      </c>
      <c r="G21802" s="5">
        <v>106.5</v>
      </c>
      <c r="H21802" s="5">
        <v>106.1</v>
      </c>
      <c r="I21802" s="5"/>
      <c r="J21802" s="5"/>
      <c r="K21802" s="5"/>
    </row>
    <row r="21803" spans="1:11" x14ac:dyDescent="0.25">
      <c r="A21803" s="5">
        <f>21796</f>
      </c>
      <c r="B21803" s="5" t="s">
        <v>21811</v>
      </c>
      <c r="C21803" s="5">
        <v>105.3</v>
      </c>
      <c r="D21803" s="5">
        <v>0.1</v>
      </c>
      <c r="E21803" s="5">
        <v>105.5</v>
      </c>
      <c r="F21803" s="5">
        <v>210.4</v>
      </c>
      <c r="G21803" s="5">
        <v>105</v>
      </c>
      <c r="H21803" s="5">
        <v>104.8</v>
      </c>
      <c r="I21803" s="5"/>
      <c r="J21803" s="5"/>
      <c r="K21803" s="5"/>
    </row>
    <row r="21804" spans="1:11" x14ac:dyDescent="0.25">
      <c r="A21804" s="5">
        <f>21797</f>
      </c>
      <c r="B21804" s="5" t="s">
        <v>21812</v>
      </c>
      <c r="C21804" s="5">
        <v>105.3</v>
      </c>
      <c r="D21804" s="5">
        <v>0.1</v>
      </c>
      <c r="E21804" s="5">
        <v>105.5</v>
      </c>
      <c r="F21804" s="5">
        <v>210.4</v>
      </c>
      <c r="G21804" s="5">
        <v>105</v>
      </c>
      <c r="H21804" s="5">
        <v>104.8</v>
      </c>
      <c r="I21804" s="5"/>
      <c r="J21804" s="5"/>
      <c r="K21804" s="5"/>
    </row>
    <row r="21805" spans="1:11" x14ac:dyDescent="0.25">
      <c r="A21805" s="5">
        <f>21798</f>
      </c>
      <c r="B21805" s="5" t="s">
        <v>21813</v>
      </c>
      <c r="C21805" s="5">
        <v>102.1</v>
      </c>
      <c r="D21805" s="5">
        <v>0.1</v>
      </c>
      <c r="E21805" s="5">
        <v>102.3</v>
      </c>
      <c r="F21805" s="5">
        <v>206.6</v>
      </c>
      <c r="G21805" s="5">
        <v>103.3</v>
      </c>
      <c r="H21805" s="5">
        <v>103.4</v>
      </c>
      <c r="I21805" s="5"/>
      <c r="J21805" s="5"/>
      <c r="K21805" s="5"/>
    </row>
    <row r="21806" spans="1:11" x14ac:dyDescent="0.25">
      <c r="A21806" s="5">
        <f>21799</f>
      </c>
      <c r="B21806" s="5" t="s">
        <v>21814</v>
      </c>
      <c r="C21806" s="5">
        <v>102.1</v>
      </c>
      <c r="D21806" s="5">
        <v>0.1</v>
      </c>
      <c r="E21806" s="5">
        <v>102.3</v>
      </c>
      <c r="F21806" s="5">
        <v>206.6</v>
      </c>
      <c r="G21806" s="5">
        <v>103.3</v>
      </c>
      <c r="H21806" s="5">
        <v>103.4</v>
      </c>
      <c r="I21806" s="5"/>
      <c r="J21806" s="5"/>
      <c r="K21806" s="5"/>
    </row>
    <row r="21807" spans="1:11" x14ac:dyDescent="0.25">
      <c r="A21807" s="5">
        <f>21800</f>
      </c>
      <c r="B21807" s="5" t="s">
        <v>21815</v>
      </c>
      <c r="C21807" s="5">
        <v>107.5</v>
      </c>
      <c r="D21807" s="5">
        <v>0.1</v>
      </c>
      <c r="E21807" s="5">
        <v>107.7</v>
      </c>
      <c r="F21807" s="5">
        <v>214.6</v>
      </c>
      <c r="G21807" s="5">
        <v>107.1</v>
      </c>
      <c r="H21807" s="5">
        <v>107</v>
      </c>
      <c r="I21807" s="5"/>
      <c r="J21807" s="5"/>
      <c r="K21807" s="5"/>
    </row>
    <row r="21808" spans="1:11" x14ac:dyDescent="0.25">
      <c r="A21808" s="5">
        <f>21801</f>
      </c>
      <c r="B21808" s="5" t="s">
        <v>21816</v>
      </c>
      <c r="C21808" s="5">
        <v>107.5</v>
      </c>
      <c r="D21808" s="5">
        <v>0.1</v>
      </c>
      <c r="E21808" s="5">
        <v>107.7</v>
      </c>
      <c r="F21808" s="5">
        <v>214.6</v>
      </c>
      <c r="G21808" s="5">
        <v>107.1</v>
      </c>
      <c r="H21808" s="5">
        <v>107</v>
      </c>
      <c r="I21808" s="5"/>
      <c r="J21808" s="5"/>
      <c r="K21808" s="5"/>
    </row>
    <row r="21809" spans="1:11" x14ac:dyDescent="0.25">
      <c r="A21809" s="5">
        <f>21802</f>
      </c>
      <c r="B21809" s="5" t="s">
        <v>21817</v>
      </c>
      <c r="C21809" s="5">
        <v>107.5</v>
      </c>
      <c r="D21809" s="5">
        <v>0.1</v>
      </c>
      <c r="E21809" s="5">
        <v>107.7</v>
      </c>
      <c r="F21809" s="5">
        <v>214.6</v>
      </c>
      <c r="G21809" s="5">
        <v>107.1</v>
      </c>
      <c r="H21809" s="5">
        <v>107</v>
      </c>
      <c r="I21809" s="5"/>
      <c r="J21809" s="5"/>
      <c r="K21809" s="5"/>
    </row>
    <row r="21810" spans="1:11" x14ac:dyDescent="0.25">
      <c r="A21810" s="5">
        <f>21803</f>
      </c>
      <c r="B21810" s="5" t="s">
        <v>21818</v>
      </c>
      <c r="C21810" s="5">
        <v>107.5</v>
      </c>
      <c r="D21810" s="5">
        <v>0.1</v>
      </c>
      <c r="E21810" s="5">
        <v>107.7</v>
      </c>
      <c r="F21810" s="5">
        <v>214.6</v>
      </c>
      <c r="G21810" s="5">
        <v>107.1</v>
      </c>
      <c r="H21810" s="5">
        <v>107</v>
      </c>
      <c r="I21810" s="5"/>
      <c r="J21810" s="5"/>
      <c r="K21810" s="5"/>
    </row>
    <row r="21811" spans="1:11" x14ac:dyDescent="0.25">
      <c r="A21811" s="5">
        <f>21804</f>
      </c>
      <c r="B21811" s="5" t="s">
        <v>21819</v>
      </c>
      <c r="C21811" s="5">
        <v>107.8</v>
      </c>
      <c r="D21811" s="5">
        <v>0.1</v>
      </c>
      <c r="E21811" s="5">
        <v>107.9</v>
      </c>
      <c r="F21811" s="5">
        <v>214.5</v>
      </c>
      <c r="G21811" s="5">
        <v>107.1</v>
      </c>
      <c r="H21811" s="5">
        <v>107</v>
      </c>
      <c r="I21811" s="5"/>
      <c r="J21811" s="5"/>
      <c r="K21811" s="5"/>
    </row>
    <row r="21812" spans="1:11" x14ac:dyDescent="0.25">
      <c r="A21812" s="5">
        <f>21805</f>
      </c>
      <c r="B21812" s="5" t="s">
        <v>21820</v>
      </c>
      <c r="C21812" s="5">
        <v>107.8</v>
      </c>
      <c r="D21812" s="5">
        <v>0.1</v>
      </c>
      <c r="E21812" s="5">
        <v>107.9</v>
      </c>
      <c r="F21812" s="5">
        <v>214.5</v>
      </c>
      <c r="G21812" s="5">
        <v>107.1</v>
      </c>
      <c r="H21812" s="5">
        <v>107</v>
      </c>
      <c r="I21812" s="5"/>
      <c r="J21812" s="5"/>
      <c r="K21812" s="5"/>
    </row>
    <row r="21813" spans="1:11" x14ac:dyDescent="0.25">
      <c r="A21813" s="5">
        <f>21806</f>
      </c>
      <c r="B21813" s="5" t="s">
        <v>21821</v>
      </c>
      <c r="C21813" s="5">
        <v>101.6</v>
      </c>
      <c r="D21813" s="5">
        <v>0.1</v>
      </c>
      <c r="E21813" s="5">
        <v>101.8</v>
      </c>
      <c r="F21813" s="5">
        <v>203.6</v>
      </c>
      <c r="G21813" s="5">
        <v>107.1</v>
      </c>
      <c r="H21813" s="5">
        <v>107</v>
      </c>
      <c r="I21813" s="5"/>
      <c r="J21813" s="5"/>
      <c r="K21813" s="5"/>
    </row>
    <row r="21814" spans="1:11" x14ac:dyDescent="0.25">
      <c r="A21814" s="5">
        <f>21807</f>
      </c>
      <c r="B21814" s="5" t="s">
        <v>21822</v>
      </c>
      <c r="C21814" s="5">
        <v>101.6</v>
      </c>
      <c r="D21814" s="5">
        <v>0.1</v>
      </c>
      <c r="E21814" s="5">
        <v>101.8</v>
      </c>
      <c r="F21814" s="5">
        <v>203.6</v>
      </c>
      <c r="G21814" s="5">
        <v>101.5</v>
      </c>
      <c r="H21814" s="5">
        <v>101.3</v>
      </c>
      <c r="I21814" s="5"/>
      <c r="J21814" s="5"/>
      <c r="K21814" s="5"/>
    </row>
    <row r="21815" spans="1:11" x14ac:dyDescent="0.25">
      <c r="A21815" s="5">
        <f>21808</f>
      </c>
      <c r="B21815" s="5" t="s">
        <v>21823</v>
      </c>
      <c r="C21815" s="5">
        <v>101.8</v>
      </c>
      <c r="D21815" s="5">
        <v>0.1</v>
      </c>
      <c r="E21815" s="5">
        <v>102</v>
      </c>
      <c r="F21815" s="5">
        <v>203.6</v>
      </c>
      <c r="G21815" s="5">
        <v>101.5</v>
      </c>
      <c r="H21815" s="5">
        <v>101.3</v>
      </c>
      <c r="I21815" s="5"/>
      <c r="J21815" s="5"/>
      <c r="K21815" s="5"/>
    </row>
    <row r="21816" spans="1:11" x14ac:dyDescent="0.25">
      <c r="A21816" s="5">
        <f>21809</f>
      </c>
      <c r="B21816" s="5" t="s">
        <v>21824</v>
      </c>
      <c r="C21816" s="5">
        <v>101.8</v>
      </c>
      <c r="D21816" s="5">
        <v>0.1</v>
      </c>
      <c r="E21816" s="5">
        <v>102</v>
      </c>
      <c r="F21816" s="5">
        <v>203.6</v>
      </c>
      <c r="G21816" s="5">
        <v>101.6</v>
      </c>
      <c r="H21816" s="5">
        <v>101.5</v>
      </c>
      <c r="I21816" s="5"/>
      <c r="J21816" s="5"/>
      <c r="K21816" s="5"/>
    </row>
    <row r="21817" spans="1:11" x14ac:dyDescent="0.25">
      <c r="A21817" s="5">
        <f>21810</f>
      </c>
      <c r="B21817" s="5" t="s">
        <v>21825</v>
      </c>
      <c r="C21817" s="5">
        <v>102.1</v>
      </c>
      <c r="D21817" s="5">
        <v>0.1</v>
      </c>
      <c r="E21817" s="5">
        <v>102</v>
      </c>
      <c r="F21817" s="5">
        <v>203.6</v>
      </c>
      <c r="G21817" s="5">
        <v>101.6</v>
      </c>
      <c r="H21817" s="5">
        <v>101.5</v>
      </c>
      <c r="I21817" s="5"/>
      <c r="J21817" s="5"/>
      <c r="K21817" s="5"/>
    </row>
    <row r="21818" spans="1:11" x14ac:dyDescent="0.25">
      <c r="A21818" s="5">
        <f>21811</f>
      </c>
      <c r="B21818" s="5" t="s">
        <v>21826</v>
      </c>
      <c r="C21818" s="5">
        <v>102.1</v>
      </c>
      <c r="D21818" s="5">
        <v>0.1</v>
      </c>
      <c r="E21818" s="5">
        <v>102.2</v>
      </c>
      <c r="F21818" s="5">
        <v>204</v>
      </c>
      <c r="G21818" s="5">
        <v>101.8</v>
      </c>
      <c r="H21818" s="5">
        <v>101.7</v>
      </c>
      <c r="I21818" s="5"/>
      <c r="J21818" s="5"/>
      <c r="K21818" s="5"/>
    </row>
    <row r="21819" spans="1:11" x14ac:dyDescent="0.25">
      <c r="A21819" s="5">
        <f>21812</f>
      </c>
      <c r="B21819" s="5" t="s">
        <v>21827</v>
      </c>
      <c r="C21819" s="5">
        <v>102.1</v>
      </c>
      <c r="D21819" s="5">
        <v>0.1</v>
      </c>
      <c r="E21819" s="5">
        <v>102.2</v>
      </c>
      <c r="F21819" s="5">
        <v>204</v>
      </c>
      <c r="G21819" s="5">
        <v>101.8</v>
      </c>
      <c r="H21819" s="5">
        <v>101.7</v>
      </c>
      <c r="I21819" s="5"/>
      <c r="J21819" s="5"/>
      <c r="K21819" s="5"/>
    </row>
    <row r="21820" spans="1:11" x14ac:dyDescent="0.25">
      <c r="A21820" s="5">
        <f>21813</f>
      </c>
      <c r="B21820" s="5" t="s">
        <v>21828</v>
      </c>
      <c r="C21820" s="5">
        <v>102.1</v>
      </c>
      <c r="D21820" s="5">
        <v>0.1</v>
      </c>
      <c r="E21820" s="5">
        <v>102.2</v>
      </c>
      <c r="F21820" s="5">
        <v>204</v>
      </c>
      <c r="G21820" s="5">
        <v>101.8</v>
      </c>
      <c r="H21820" s="5">
        <v>101.7</v>
      </c>
      <c r="I21820" s="5"/>
      <c r="J21820" s="5"/>
      <c r="K21820" s="5"/>
    </row>
    <row r="21821" spans="1:11" x14ac:dyDescent="0.25">
      <c r="A21821" s="5">
        <f>21814</f>
      </c>
      <c r="B21821" s="5" t="s">
        <v>21829</v>
      </c>
      <c r="C21821" s="5">
        <v>101.2</v>
      </c>
      <c r="D21821" s="5">
        <v>0.1</v>
      </c>
      <c r="E21821" s="5">
        <v>101.4</v>
      </c>
      <c r="F21821" s="5">
        <v>201.9</v>
      </c>
      <c r="G21821" s="5">
        <v>100.7</v>
      </c>
      <c r="H21821" s="5">
        <v>100.6</v>
      </c>
      <c r="I21821" s="5"/>
      <c r="J21821" s="5"/>
      <c r="K21821" s="5"/>
    </row>
    <row r="21822" spans="1:11" x14ac:dyDescent="0.25">
      <c r="A21822" s="5">
        <f>21815</f>
      </c>
      <c r="B21822" s="5" t="s">
        <v>21830</v>
      </c>
      <c r="C21822" s="5">
        <v>101.2</v>
      </c>
      <c r="D21822" s="5">
        <v>0.1</v>
      </c>
      <c r="E21822" s="5">
        <v>101.4</v>
      </c>
      <c r="F21822" s="5">
        <v>201.9</v>
      </c>
      <c r="G21822" s="5">
        <v>100.7</v>
      </c>
      <c r="H21822" s="5">
        <v>100.6</v>
      </c>
      <c r="I21822" s="5"/>
      <c r="J21822" s="5"/>
      <c r="K21822" s="5"/>
    </row>
    <row r="21823" spans="1:11" x14ac:dyDescent="0.25">
      <c r="A21823" s="5">
        <f>21816</f>
      </c>
      <c r="B21823" s="5" t="s">
        <v>21831</v>
      </c>
      <c r="C21823" s="5">
        <v>101.2</v>
      </c>
      <c r="D21823" s="5">
        <v>0.1</v>
      </c>
      <c r="E21823" s="5">
        <v>100.2</v>
      </c>
      <c r="F21823" s="5">
        <v>201.8</v>
      </c>
      <c r="G21823" s="5">
        <v>100.8</v>
      </c>
      <c r="H21823" s="5">
        <v>101</v>
      </c>
      <c r="I21823" s="5"/>
      <c r="J21823" s="5"/>
      <c r="K21823" s="5"/>
    </row>
    <row r="21824" spans="1:11" x14ac:dyDescent="0.25">
      <c r="A21824" s="5">
        <f>21817</f>
      </c>
      <c r="B21824" s="5" t="s">
        <v>21832</v>
      </c>
      <c r="C21824" s="5">
        <v>100</v>
      </c>
      <c r="D21824" s="5">
        <v>0.1</v>
      </c>
      <c r="E21824" s="5">
        <v>100.2</v>
      </c>
      <c r="F21824" s="5">
        <v>201.8</v>
      </c>
      <c r="G21824" s="5">
        <v>100.8</v>
      </c>
      <c r="H21824" s="5">
        <v>101</v>
      </c>
      <c r="I21824" s="5"/>
      <c r="J21824" s="5"/>
      <c r="K21824" s="5"/>
    </row>
    <row r="21825" spans="1:11" x14ac:dyDescent="0.25">
      <c r="A21825" s="5">
        <f>21818</f>
      </c>
      <c r="B21825" s="5" t="s">
        <v>21833</v>
      </c>
      <c r="C21825" s="5">
        <v>100</v>
      </c>
      <c r="D21825" s="5">
        <v>0.1</v>
      </c>
      <c r="E21825" s="5">
        <v>100.2</v>
      </c>
      <c r="F21825" s="5">
        <v>204.6</v>
      </c>
      <c r="G21825" s="5">
        <v>102</v>
      </c>
      <c r="H21825" s="5">
        <v>101.8</v>
      </c>
      <c r="I21825" s="5"/>
      <c r="J21825" s="5"/>
      <c r="K21825" s="5"/>
    </row>
    <row r="21826" spans="1:11" x14ac:dyDescent="0.25">
      <c r="A21826" s="5">
        <f>21819</f>
      </c>
      <c r="B21826" s="5" t="s">
        <v>21834</v>
      </c>
      <c r="C21826" s="5">
        <v>102.7</v>
      </c>
      <c r="D21826" s="5">
        <v>0.1</v>
      </c>
      <c r="E21826" s="5">
        <v>102.9</v>
      </c>
      <c r="F21826" s="5">
        <v>204.6</v>
      </c>
      <c r="G21826" s="5">
        <v>102</v>
      </c>
      <c r="H21826" s="5">
        <v>101.8</v>
      </c>
      <c r="I21826" s="5"/>
      <c r="J21826" s="5"/>
      <c r="K21826" s="5"/>
    </row>
    <row r="21827" spans="1:11" x14ac:dyDescent="0.25">
      <c r="A21827" s="5">
        <f>21820</f>
      </c>
      <c r="B21827" s="5" t="s">
        <v>21835</v>
      </c>
      <c r="C21827" s="5">
        <v>102.7</v>
      </c>
      <c r="D21827" s="5">
        <v>0.1</v>
      </c>
      <c r="E21827" s="5">
        <v>102.9</v>
      </c>
      <c r="F21827" s="5">
        <v>204.6</v>
      </c>
      <c r="G21827" s="5">
        <v>102</v>
      </c>
      <c r="H21827" s="5">
        <v>101.5</v>
      </c>
      <c r="I21827" s="5"/>
      <c r="J21827" s="5"/>
      <c r="K21827" s="5"/>
    </row>
    <row r="21828" spans="1:11" x14ac:dyDescent="0.25">
      <c r="A21828" s="5">
        <f>21821</f>
      </c>
      <c r="B21828" s="5" t="s">
        <v>21836</v>
      </c>
      <c r="C21828" s="5">
        <v>101.3</v>
      </c>
      <c r="D21828" s="5">
        <v>0.1</v>
      </c>
      <c r="E21828" s="5">
        <v>101.5</v>
      </c>
      <c r="F21828" s="5">
        <v>204.1</v>
      </c>
      <c r="G21828" s="5">
        <v>101.8</v>
      </c>
      <c r="H21828" s="5">
        <v>101.5</v>
      </c>
      <c r="I21828" s="5"/>
      <c r="J21828" s="5"/>
      <c r="K21828" s="5"/>
    </row>
    <row r="21829" spans="1:11" x14ac:dyDescent="0.25">
      <c r="A21829" s="5">
        <f>21822</f>
      </c>
      <c r="B21829" s="5" t="s">
        <v>21837</v>
      </c>
      <c r="C21829" s="5">
        <v>101.3</v>
      </c>
      <c r="D21829" s="5">
        <v>0.1</v>
      </c>
      <c r="E21829" s="5">
        <v>101.5</v>
      </c>
      <c r="F21829" s="5">
        <v>204.1</v>
      </c>
      <c r="G21829" s="5">
        <v>101.8</v>
      </c>
      <c r="H21829" s="5">
        <v>101.5</v>
      </c>
      <c r="I21829" s="5"/>
      <c r="J21829" s="5"/>
      <c r="K21829" s="5"/>
    </row>
    <row r="21830" spans="1:11" x14ac:dyDescent="0.25">
      <c r="A21830" s="5">
        <f>21823</f>
      </c>
      <c r="B21830" s="5" t="s">
        <v>21838</v>
      </c>
      <c r="C21830" s="5">
        <v>101.3</v>
      </c>
      <c r="D21830" s="5">
        <v>0.1</v>
      </c>
      <c r="E21830" s="5">
        <v>101.5</v>
      </c>
      <c r="F21830" s="5">
        <v>204.1</v>
      </c>
      <c r="G21830" s="5">
        <v>101.8</v>
      </c>
      <c r="H21830" s="5">
        <v>101.5</v>
      </c>
      <c r="I21830" s="5"/>
      <c r="J21830" s="5"/>
      <c r="K21830" s="5"/>
    </row>
    <row r="21831" spans="1:11" x14ac:dyDescent="0.25">
      <c r="A21831" s="5">
        <f>21824</f>
      </c>
      <c r="B21831" s="5" t="s">
        <v>21839</v>
      </c>
      <c r="C21831" s="5">
        <v>102.5</v>
      </c>
      <c r="D21831" s="5">
        <v>0.1</v>
      </c>
      <c r="E21831" s="5">
        <v>102.7</v>
      </c>
      <c r="F21831" s="5">
        <v>210.4</v>
      </c>
      <c r="G21831" s="5">
        <v>104.8</v>
      </c>
      <c r="H21831" s="5">
        <v>104.4</v>
      </c>
      <c r="I21831" s="5"/>
      <c r="J21831" s="5"/>
      <c r="K21831" s="5"/>
    </row>
    <row r="21832" spans="1:11" x14ac:dyDescent="0.25">
      <c r="A21832" s="5">
        <f>21825</f>
      </c>
      <c r="B21832" s="5" t="s">
        <v>21840</v>
      </c>
      <c r="C21832" s="5">
        <v>102.5</v>
      </c>
      <c r="D21832" s="5">
        <v>0.1</v>
      </c>
      <c r="E21832" s="5">
        <v>102.7</v>
      </c>
      <c r="F21832" s="5">
        <v>210.4</v>
      </c>
      <c r="G21832" s="5">
        <v>104.8</v>
      </c>
      <c r="H21832" s="5">
        <v>104.4</v>
      </c>
      <c r="I21832" s="5"/>
      <c r="J21832" s="5"/>
      <c r="K21832" s="5"/>
    </row>
    <row r="21833" spans="1:11" x14ac:dyDescent="0.25">
      <c r="A21833" s="5">
        <f>21826</f>
      </c>
      <c r="B21833" s="5" t="s">
        <v>21841</v>
      </c>
      <c r="C21833" s="5">
        <v>107.3</v>
      </c>
      <c r="D21833" s="5">
        <v>0.1</v>
      </c>
      <c r="E21833" s="5">
        <v>107.5</v>
      </c>
      <c r="F21833" s="5">
        <v>214</v>
      </c>
      <c r="G21833" s="5">
        <v>106.8</v>
      </c>
      <c r="H21833" s="5">
        <v>106.7</v>
      </c>
      <c r="I21833" s="5"/>
      <c r="J21833" s="5"/>
      <c r="K21833" s="5"/>
    </row>
    <row r="21834" spans="1:11" x14ac:dyDescent="0.25">
      <c r="A21834" s="5">
        <f>21827</f>
      </c>
      <c r="B21834" s="5" t="s">
        <v>21842</v>
      </c>
      <c r="C21834" s="5">
        <v>107.3</v>
      </c>
      <c r="D21834" s="5">
        <v>0.1</v>
      </c>
      <c r="E21834" s="5">
        <v>107.5</v>
      </c>
      <c r="F21834" s="5">
        <v>214</v>
      </c>
      <c r="G21834" s="5">
        <v>106.8</v>
      </c>
      <c r="H21834" s="5">
        <v>106.7</v>
      </c>
      <c r="I21834" s="5"/>
      <c r="J21834" s="5"/>
      <c r="K21834" s="5"/>
    </row>
    <row r="21835" spans="1:11" x14ac:dyDescent="0.25">
      <c r="A21835" s="5">
        <f>21828</f>
      </c>
      <c r="B21835" s="5" t="s">
        <v>21843</v>
      </c>
      <c r="C21835" s="5">
        <v>107.7</v>
      </c>
      <c r="D21835" s="5">
        <v>0.1</v>
      </c>
      <c r="E21835" s="5">
        <v>107.8</v>
      </c>
      <c r="F21835" s="5">
        <v>215.5</v>
      </c>
      <c r="G21835" s="5">
        <v>107.3</v>
      </c>
      <c r="H21835" s="5">
        <v>106.3</v>
      </c>
      <c r="I21835" s="5"/>
      <c r="J21835" s="5"/>
      <c r="K21835" s="5"/>
    </row>
    <row r="21836" spans="1:11" x14ac:dyDescent="0.25">
      <c r="A21836" s="5">
        <f>21829</f>
      </c>
      <c r="B21836" s="5" t="s">
        <v>21844</v>
      </c>
      <c r="C21836" s="5">
        <v>107.7</v>
      </c>
      <c r="D21836" s="5">
        <v>0.1</v>
      </c>
      <c r="E21836" s="5">
        <v>107.8</v>
      </c>
      <c r="F21836" s="5">
        <v>215.5</v>
      </c>
      <c r="G21836" s="5">
        <v>107.3</v>
      </c>
      <c r="H21836" s="5">
        <v>106.3</v>
      </c>
      <c r="I21836" s="5"/>
      <c r="J21836" s="5"/>
      <c r="K21836" s="5"/>
    </row>
    <row r="21837" spans="1:11" x14ac:dyDescent="0.25">
      <c r="A21837" s="5">
        <f>21830</f>
      </c>
      <c r="B21837" s="5" t="s">
        <v>21845</v>
      </c>
      <c r="C21837" s="5">
        <v>106.9</v>
      </c>
      <c r="D21837" s="5">
        <v>0.1</v>
      </c>
      <c r="E21837" s="5">
        <v>107.1</v>
      </c>
      <c r="F21837" s="5">
        <v>207.8</v>
      </c>
      <c r="G21837" s="5">
        <v>104</v>
      </c>
      <c r="H21837" s="5">
        <v>104.1</v>
      </c>
      <c r="I21837" s="5"/>
      <c r="J21837" s="5"/>
      <c r="K21837" s="5"/>
    </row>
    <row r="21838" spans="1:11" x14ac:dyDescent="0.25">
      <c r="A21838" s="5">
        <f>21831</f>
      </c>
      <c r="B21838" s="5" t="s">
        <v>21846</v>
      </c>
      <c r="C21838" s="5">
        <v>106.9</v>
      </c>
      <c r="D21838" s="5">
        <v>0.1</v>
      </c>
      <c r="E21838" s="5">
        <v>107.1</v>
      </c>
      <c r="F21838" s="5">
        <v>207.8</v>
      </c>
      <c r="G21838" s="5">
        <v>104</v>
      </c>
      <c r="H21838" s="5">
        <v>104.1</v>
      </c>
      <c r="I21838" s="5"/>
      <c r="J21838" s="5"/>
      <c r="K21838" s="5"/>
    </row>
    <row r="21839" spans="1:11" x14ac:dyDescent="0.25">
      <c r="A21839" s="5">
        <f>21832</f>
      </c>
      <c r="B21839" s="5" t="s">
        <v>21847</v>
      </c>
      <c r="C21839" s="5">
        <v>106.9</v>
      </c>
      <c r="D21839" s="5">
        <v>0.1</v>
      </c>
      <c r="E21839" s="5">
        <v>107.1</v>
      </c>
      <c r="F21839" s="5">
        <v>207.8</v>
      </c>
      <c r="G21839" s="5">
        <v>104</v>
      </c>
      <c r="H21839" s="5">
        <v>104.1</v>
      </c>
      <c r="I21839" s="5"/>
      <c r="J21839" s="5"/>
      <c r="K21839" s="5"/>
    </row>
    <row r="21840" spans="1:11" x14ac:dyDescent="0.25">
      <c r="A21840" s="5">
        <f>21833</f>
      </c>
      <c r="B21840" s="5" t="s">
        <v>21848</v>
      </c>
      <c r="C21840" s="5">
        <v>106.9</v>
      </c>
      <c r="D21840" s="5">
        <v>0.1</v>
      </c>
      <c r="E21840" s="5">
        <v>107.1</v>
      </c>
      <c r="F21840" s="5">
        <v>207.8</v>
      </c>
      <c r="G21840" s="5">
        <v>104</v>
      </c>
      <c r="H21840" s="5">
        <v>104.1</v>
      </c>
      <c r="I21840" s="5"/>
      <c r="J21840" s="5"/>
      <c r="K21840" s="5"/>
    </row>
    <row r="21841" spans="1:11" x14ac:dyDescent="0.25">
      <c r="A21841" s="5">
        <f>21834</f>
      </c>
      <c r="B21841" s="5" t="s">
        <v>21849</v>
      </c>
      <c r="C21841" s="5">
        <v>101.4</v>
      </c>
      <c r="D21841" s="5">
        <v>0.1</v>
      </c>
      <c r="E21841" s="5">
        <v>101.5</v>
      </c>
      <c r="F21841" s="5">
        <v>202.2</v>
      </c>
      <c r="G21841" s="5">
        <v>100.9</v>
      </c>
      <c r="H21841" s="5">
        <v>102.1</v>
      </c>
      <c r="I21841" s="5"/>
      <c r="J21841" s="5"/>
      <c r="K21841" s="5"/>
    </row>
    <row r="21842" spans="1:11" x14ac:dyDescent="0.25">
      <c r="A21842" s="5">
        <f>21835</f>
      </c>
      <c r="B21842" s="5" t="s">
        <v>21850</v>
      </c>
      <c r="C21842" s="5">
        <v>101.4</v>
      </c>
      <c r="D21842" s="5">
        <v>0.1</v>
      </c>
      <c r="E21842" s="5">
        <v>101.5</v>
      </c>
      <c r="F21842" s="5">
        <v>202.2</v>
      </c>
      <c r="G21842" s="5">
        <v>100.9</v>
      </c>
      <c r="H21842" s="5">
        <v>102.1</v>
      </c>
      <c r="I21842" s="5"/>
      <c r="J21842" s="5"/>
      <c r="K21842" s="5"/>
    </row>
    <row r="21843" spans="1:11" x14ac:dyDescent="0.25">
      <c r="A21843" s="5">
        <f>21836</f>
      </c>
      <c r="B21843" s="5" t="s">
        <v>21851</v>
      </c>
      <c r="C21843" s="5">
        <v>103.4</v>
      </c>
      <c r="D21843" s="5">
        <v>0.1</v>
      </c>
      <c r="E21843" s="5">
        <v>103.5</v>
      </c>
      <c r="F21843" s="5">
        <v>209.9</v>
      </c>
      <c r="G21843" s="5">
        <v>104.1</v>
      </c>
      <c r="H21843" s="5">
        <v>103.5</v>
      </c>
      <c r="I21843" s="5"/>
      <c r="J21843" s="5"/>
      <c r="K21843" s="5"/>
    </row>
    <row r="21844" spans="1:11" x14ac:dyDescent="0.25">
      <c r="A21844" s="5">
        <f>21837</f>
      </c>
      <c r="B21844" s="5" t="s">
        <v>21852</v>
      </c>
      <c r="C21844" s="5">
        <v>103.4</v>
      </c>
      <c r="D21844" s="5">
        <v>0.1</v>
      </c>
      <c r="E21844" s="5">
        <v>103.5</v>
      </c>
      <c r="F21844" s="5">
        <v>209.9</v>
      </c>
      <c r="G21844" s="5">
        <v>104.1</v>
      </c>
      <c r="H21844" s="5">
        <v>103.5</v>
      </c>
      <c r="I21844" s="5"/>
      <c r="J21844" s="5"/>
      <c r="K21844" s="5"/>
    </row>
    <row r="21845" spans="1:11" x14ac:dyDescent="0.25">
      <c r="A21845" s="5">
        <f>21838</f>
      </c>
      <c r="B21845" s="5" t="s">
        <v>21853</v>
      </c>
      <c r="C21845" s="5">
        <v>106.5</v>
      </c>
      <c r="D21845" s="5">
        <v>0.1</v>
      </c>
      <c r="E21845" s="5">
        <v>106.6</v>
      </c>
      <c r="F21845" s="5">
        <v>213.1</v>
      </c>
      <c r="G21845" s="5">
        <v>106.3</v>
      </c>
      <c r="H21845" s="5">
        <v>106.2</v>
      </c>
      <c r="I21845" s="5"/>
      <c r="J21845" s="5"/>
      <c r="K21845" s="5"/>
    </row>
    <row r="21846" spans="1:11" x14ac:dyDescent="0.25">
      <c r="A21846" s="5">
        <f>21839</f>
      </c>
      <c r="B21846" s="5" t="s">
        <v>21854</v>
      </c>
      <c r="C21846" s="5">
        <v>106.5</v>
      </c>
      <c r="D21846" s="5">
        <v>0.1</v>
      </c>
      <c r="E21846" s="5">
        <v>106.6</v>
      </c>
      <c r="F21846" s="5">
        <v>213.1</v>
      </c>
      <c r="G21846" s="5">
        <v>106.3</v>
      </c>
      <c r="H21846" s="5">
        <v>106.2</v>
      </c>
      <c r="I21846" s="5"/>
      <c r="J21846" s="5"/>
      <c r="K21846" s="5"/>
    </row>
    <row r="21847" spans="1:11" x14ac:dyDescent="0.25">
      <c r="A21847" s="5">
        <f>21840</f>
      </c>
      <c r="B21847" s="5" t="s">
        <v>21855</v>
      </c>
      <c r="C21847" s="5">
        <v>107.2</v>
      </c>
      <c r="D21847" s="5">
        <v>0.1</v>
      </c>
      <c r="E21847" s="5">
        <v>107.4</v>
      </c>
      <c r="F21847" s="5">
        <v>214.4</v>
      </c>
      <c r="G21847" s="5">
        <v>107</v>
      </c>
      <c r="H21847" s="5">
        <v>106.8</v>
      </c>
      <c r="I21847" s="5"/>
      <c r="J21847" s="5"/>
      <c r="K21847" s="5"/>
    </row>
    <row r="21848" spans="1:11" x14ac:dyDescent="0.25">
      <c r="A21848" s="5">
        <f>21841</f>
      </c>
      <c r="B21848" s="5" t="s">
        <v>21856</v>
      </c>
      <c r="C21848" s="5">
        <v>107.2</v>
      </c>
      <c r="D21848" s="5">
        <v>0.1</v>
      </c>
      <c r="E21848" s="5">
        <v>107.4</v>
      </c>
      <c r="F21848" s="5">
        <v>214.4</v>
      </c>
      <c r="G21848" s="5">
        <v>107</v>
      </c>
      <c r="H21848" s="5">
        <v>106.8</v>
      </c>
      <c r="I21848" s="5"/>
      <c r="J21848" s="5"/>
      <c r="K21848" s="5"/>
    </row>
    <row r="21849" spans="1:11" x14ac:dyDescent="0.25">
      <c r="A21849" s="5">
        <f>21842</f>
      </c>
      <c r="B21849" s="5" t="s">
        <v>21857</v>
      </c>
      <c r="C21849" s="5">
        <v>107.2</v>
      </c>
      <c r="D21849" s="5">
        <v>0.1</v>
      </c>
      <c r="E21849" s="5">
        <v>107.4</v>
      </c>
      <c r="F21849" s="5">
        <v>214.4</v>
      </c>
      <c r="G21849" s="5">
        <v>107</v>
      </c>
      <c r="H21849" s="5">
        <v>106.8</v>
      </c>
      <c r="I21849" s="5"/>
      <c r="J21849" s="5"/>
      <c r="K21849" s="5"/>
    </row>
    <row r="21850" spans="1:11" x14ac:dyDescent="0.25">
      <c r="A21850" s="5">
        <f>21843</f>
      </c>
      <c r="B21850" s="5" t="s">
        <v>21858</v>
      </c>
      <c r="C21850" s="5">
        <v>107.2</v>
      </c>
      <c r="D21850" s="5">
        <v>0.1</v>
      </c>
      <c r="E21850" s="5">
        <v>107.4</v>
      </c>
      <c r="F21850" s="5">
        <v>214.4</v>
      </c>
      <c r="G21850" s="5">
        <v>107</v>
      </c>
      <c r="H21850" s="5">
        <v>106.8</v>
      </c>
      <c r="I21850" s="5"/>
      <c r="J21850" s="5"/>
      <c r="K21850" s="5"/>
    </row>
    <row r="21851" spans="1:11" x14ac:dyDescent="0.25">
      <c r="A21851" s="5">
        <f>21844</f>
      </c>
      <c r="B21851" s="5" t="s">
        <v>21859</v>
      </c>
      <c r="C21851" s="5">
        <v>101.1</v>
      </c>
      <c r="D21851" s="5">
        <v>0.1</v>
      </c>
      <c r="E21851" s="5">
        <v>101.2</v>
      </c>
      <c r="F21851" s="5">
        <v>201.4</v>
      </c>
      <c r="G21851" s="5">
        <v>100.5</v>
      </c>
      <c r="H21851" s="5">
        <v>100.4</v>
      </c>
      <c r="I21851" s="5"/>
      <c r="J21851" s="5"/>
      <c r="K21851" s="5"/>
    </row>
    <row r="21852" spans="1:11" x14ac:dyDescent="0.25">
      <c r="A21852" s="5">
        <f>21845</f>
      </c>
      <c r="B21852" s="5" t="s">
        <v>21860</v>
      </c>
      <c r="C21852" s="5">
        <v>101.1</v>
      </c>
      <c r="D21852" s="5">
        <v>0.1</v>
      </c>
      <c r="E21852" s="5">
        <v>101.2</v>
      </c>
      <c r="F21852" s="5">
        <v>201.4</v>
      </c>
      <c r="G21852" s="5">
        <v>100.5</v>
      </c>
      <c r="H21852" s="5">
        <v>100.4</v>
      </c>
      <c r="I21852" s="5"/>
      <c r="J21852" s="5"/>
      <c r="K21852" s="5"/>
    </row>
    <row r="21853" spans="1:11" x14ac:dyDescent="0.25">
      <c r="A21853" s="5">
        <f>21846</f>
      </c>
      <c r="B21853" s="5" t="s">
        <v>21861</v>
      </c>
      <c r="C21853" s="5">
        <v>100.1</v>
      </c>
      <c r="D21853" s="5">
        <v>0.1</v>
      </c>
      <c r="E21853" s="5">
        <v>100.2</v>
      </c>
      <c r="F21853" s="5">
        <v>198.7</v>
      </c>
      <c r="G21853" s="5">
        <v>99.4</v>
      </c>
      <c r="H21853" s="5">
        <v>99.4</v>
      </c>
      <c r="I21853" s="5"/>
      <c r="J21853" s="5"/>
      <c r="K21853" s="5"/>
    </row>
    <row r="21854" spans="1:11" x14ac:dyDescent="0.25">
      <c r="A21854" s="5">
        <f>21847</f>
      </c>
      <c r="B21854" s="5" t="s">
        <v>21862</v>
      </c>
      <c r="C21854" s="5">
        <v>100.1</v>
      </c>
      <c r="D21854" s="5">
        <v>0.1</v>
      </c>
      <c r="E21854" s="5">
        <v>100.2</v>
      </c>
      <c r="F21854" s="5">
        <v>198.7</v>
      </c>
      <c r="G21854" s="5">
        <v>99.4</v>
      </c>
      <c r="H21854" s="5">
        <v>99.4</v>
      </c>
      <c r="I21854" s="5"/>
      <c r="J21854" s="5"/>
      <c r="K21854" s="5"/>
    </row>
    <row r="21855" spans="1:11" x14ac:dyDescent="0.25">
      <c r="A21855" s="5">
        <f>21848</f>
      </c>
      <c r="B21855" s="5" t="s">
        <v>21863</v>
      </c>
      <c r="C21855" s="5">
        <v>102.8</v>
      </c>
      <c r="D21855" s="5">
        <v>0.1</v>
      </c>
      <c r="E21855" s="5">
        <v>103</v>
      </c>
      <c r="F21855" s="5">
        <v>204.5</v>
      </c>
      <c r="G21855" s="5">
        <v>102.2</v>
      </c>
      <c r="H21855" s="5">
        <v>102</v>
      </c>
      <c r="I21855" s="5"/>
      <c r="J21855" s="5"/>
      <c r="K21855" s="5"/>
    </row>
    <row r="21856" spans="1:11" x14ac:dyDescent="0.25">
      <c r="A21856" s="5">
        <f>21849</f>
      </c>
      <c r="B21856" s="5" t="s">
        <v>21864</v>
      </c>
      <c r="C21856" s="5">
        <v>102.8</v>
      </c>
      <c r="D21856" s="5">
        <v>0.1</v>
      </c>
      <c r="E21856" s="5">
        <v>103</v>
      </c>
      <c r="F21856" s="5">
        <v>204.5</v>
      </c>
      <c r="G21856" s="5">
        <v>102.2</v>
      </c>
      <c r="H21856" s="5">
        <v>102</v>
      </c>
      <c r="I21856" s="5"/>
      <c r="J21856" s="5"/>
      <c r="K21856" s="5"/>
    </row>
    <row r="21857" spans="1:11" x14ac:dyDescent="0.25">
      <c r="A21857" s="5">
        <f>21850</f>
      </c>
      <c r="B21857" s="5" t="s">
        <v>21865</v>
      </c>
      <c r="C21857" s="5">
        <v>106.6</v>
      </c>
      <c r="D21857" s="5">
        <v>0.1</v>
      </c>
      <c r="E21857" s="5">
        <v>106.7</v>
      </c>
      <c r="F21857" s="5">
        <v>212.9</v>
      </c>
      <c r="G21857" s="5">
        <v>106.3</v>
      </c>
      <c r="H21857" s="5">
        <v>106.1</v>
      </c>
      <c r="I21857" s="5"/>
      <c r="J21857" s="5"/>
      <c r="K21857" s="5"/>
    </row>
    <row r="21858" spans="1:11" x14ac:dyDescent="0.25">
      <c r="A21858" s="5">
        <f>21851</f>
      </c>
      <c r="B21858" s="5" t="s">
        <v>21866</v>
      </c>
      <c r="C21858" s="5">
        <v>106.6</v>
      </c>
      <c r="D21858" s="5">
        <v>0.1</v>
      </c>
      <c r="E21858" s="5">
        <v>106.7</v>
      </c>
      <c r="F21858" s="5">
        <v>212.9</v>
      </c>
      <c r="G21858" s="5">
        <v>106.3</v>
      </c>
      <c r="H21858" s="5">
        <v>106.1</v>
      </c>
      <c r="I21858" s="5"/>
      <c r="J21858" s="5"/>
      <c r="K21858" s="5"/>
    </row>
    <row r="21859" spans="1:11" x14ac:dyDescent="0.25">
      <c r="A21859" s="5">
        <f>21852</f>
      </c>
      <c r="B21859" s="5" t="s">
        <v>21867</v>
      </c>
      <c r="C21859" s="5">
        <v>106.6</v>
      </c>
      <c r="D21859" s="5">
        <v>0.1</v>
      </c>
      <c r="E21859" s="5">
        <v>106.7</v>
      </c>
      <c r="F21859" s="5">
        <v>212.9</v>
      </c>
      <c r="G21859" s="5">
        <v>106.3</v>
      </c>
      <c r="H21859" s="5">
        <v>106.1</v>
      </c>
      <c r="I21859" s="5"/>
      <c r="J21859" s="5"/>
      <c r="K21859" s="5"/>
    </row>
    <row r="21860" spans="1:11" x14ac:dyDescent="0.25">
      <c r="A21860" s="5">
        <f>21853</f>
      </c>
      <c r="B21860" s="5" t="s">
        <v>21868</v>
      </c>
      <c r="C21860" s="5">
        <v>106.6</v>
      </c>
      <c r="D21860" s="5">
        <v>0.1</v>
      </c>
      <c r="E21860" s="5">
        <v>106.7</v>
      </c>
      <c r="F21860" s="5">
        <v>212.9</v>
      </c>
      <c r="G21860" s="5">
        <v>106.3</v>
      </c>
      <c r="H21860" s="5">
        <v>106.1</v>
      </c>
      <c r="I21860" s="5"/>
      <c r="J21860" s="5"/>
      <c r="K21860" s="5"/>
    </row>
    <row r="21861" spans="1:11" x14ac:dyDescent="0.25">
      <c r="A21861" s="5">
        <f>21854</f>
      </c>
      <c r="B21861" s="5" t="s">
        <v>21869</v>
      </c>
      <c r="C21861" s="5">
        <v>101.8</v>
      </c>
      <c r="D21861" s="5">
        <v>0.1</v>
      </c>
      <c r="E21861" s="5">
        <v>102</v>
      </c>
      <c r="F21861" s="5">
        <v>203.1</v>
      </c>
      <c r="G21861" s="5">
        <v>101.4</v>
      </c>
      <c r="H21861" s="5">
        <v>101.3</v>
      </c>
      <c r="I21861" s="5"/>
      <c r="J21861" s="5"/>
      <c r="K21861" s="5"/>
    </row>
    <row r="21862" spans="1:11" x14ac:dyDescent="0.25">
      <c r="A21862" s="5">
        <f>21855</f>
      </c>
      <c r="B21862" s="5" t="s">
        <v>21870</v>
      </c>
      <c r="C21862" s="5">
        <v>101.8</v>
      </c>
      <c r="D21862" s="5">
        <v>0.1</v>
      </c>
      <c r="E21862" s="5">
        <v>102</v>
      </c>
      <c r="F21862" s="5">
        <v>203.1</v>
      </c>
      <c r="G21862" s="5">
        <v>101.4</v>
      </c>
      <c r="H21862" s="5">
        <v>101.3</v>
      </c>
      <c r="I21862" s="5"/>
      <c r="J21862" s="5"/>
      <c r="K21862" s="5"/>
    </row>
    <row r="21863" spans="1:11" x14ac:dyDescent="0.25">
      <c r="A21863" s="5">
        <f>21856</f>
      </c>
      <c r="B21863" s="5" t="s">
        <v>21871</v>
      </c>
      <c r="C21863" s="5">
        <v>102.2</v>
      </c>
      <c r="D21863" s="5">
        <v>0.1</v>
      </c>
      <c r="E21863" s="5">
        <v>102.4</v>
      </c>
      <c r="F21863" s="5">
        <v>204</v>
      </c>
      <c r="G21863" s="5">
        <v>101.8</v>
      </c>
      <c r="H21863" s="5">
        <v>101.7</v>
      </c>
      <c r="I21863" s="5"/>
      <c r="J21863" s="5"/>
      <c r="K21863" s="5"/>
    </row>
    <row r="21864" spans="1:11" x14ac:dyDescent="0.25">
      <c r="A21864" s="5">
        <f>21857</f>
      </c>
      <c r="B21864" s="5" t="s">
        <v>21872</v>
      </c>
      <c r="C21864" s="5">
        <v>102.2</v>
      </c>
      <c r="D21864" s="5">
        <v>0.1</v>
      </c>
      <c r="E21864" s="5">
        <v>102.4</v>
      </c>
      <c r="F21864" s="5">
        <v>204</v>
      </c>
      <c r="G21864" s="5">
        <v>101.8</v>
      </c>
      <c r="H21864" s="5">
        <v>101.7</v>
      </c>
      <c r="I21864" s="5"/>
      <c r="J21864" s="5"/>
      <c r="K21864" s="5"/>
    </row>
    <row r="21865" spans="1:11" x14ac:dyDescent="0.25">
      <c r="A21865" s="5">
        <f>21858</f>
      </c>
      <c r="B21865" s="5" t="s">
        <v>21873</v>
      </c>
      <c r="C21865" s="5">
        <v>108.1</v>
      </c>
      <c r="D21865" s="5">
        <v>0.1</v>
      </c>
      <c r="E21865" s="5">
        <v>108.2</v>
      </c>
      <c r="F21865" s="5">
        <v>213.2</v>
      </c>
      <c r="G21865" s="5">
        <v>106.1</v>
      </c>
      <c r="H21865" s="5">
        <v>105.7</v>
      </c>
      <c r="I21865" s="5"/>
      <c r="J21865" s="5"/>
      <c r="K21865" s="5"/>
    </row>
    <row r="21866" spans="1:11" x14ac:dyDescent="0.25">
      <c r="A21866" s="5">
        <f>21859</f>
      </c>
      <c r="B21866" s="5" t="s">
        <v>21874</v>
      </c>
      <c r="C21866" s="5">
        <v>108.1</v>
      </c>
      <c r="D21866" s="5">
        <v>0.1</v>
      </c>
      <c r="E21866" s="5">
        <v>108.2</v>
      </c>
      <c r="F21866" s="5">
        <v>213.2</v>
      </c>
      <c r="G21866" s="5">
        <v>106.1</v>
      </c>
      <c r="H21866" s="5">
        <v>105.7</v>
      </c>
      <c r="I21866" s="5"/>
      <c r="J21866" s="5"/>
      <c r="K21866" s="5"/>
    </row>
    <row r="21867" spans="1:11" x14ac:dyDescent="0.25">
      <c r="A21867" s="5">
        <f>21860</f>
      </c>
      <c r="B21867" s="5" t="s">
        <v>21875</v>
      </c>
      <c r="C21867" s="5">
        <v>107.3</v>
      </c>
      <c r="D21867" s="5">
        <v>0.1</v>
      </c>
      <c r="E21867" s="5">
        <v>107.5</v>
      </c>
      <c r="F21867" s="5">
        <v>211.4</v>
      </c>
      <c r="G21867" s="5">
        <v>106</v>
      </c>
      <c r="H21867" s="5">
        <v>106.2</v>
      </c>
      <c r="I21867" s="5"/>
      <c r="J21867" s="5"/>
      <c r="K21867" s="5"/>
    </row>
    <row r="21868" spans="1:11" x14ac:dyDescent="0.25">
      <c r="A21868" s="5">
        <f>21861</f>
      </c>
      <c r="B21868" s="5" t="s">
        <v>21876</v>
      </c>
      <c r="C21868" s="5">
        <v>107.3</v>
      </c>
      <c r="D21868" s="5">
        <v>0.1</v>
      </c>
      <c r="E21868" s="5">
        <v>107.5</v>
      </c>
      <c r="F21868" s="5">
        <v>211.4</v>
      </c>
      <c r="G21868" s="5">
        <v>106</v>
      </c>
      <c r="H21868" s="5">
        <v>106.2</v>
      </c>
      <c r="I21868" s="5"/>
      <c r="J21868" s="5"/>
      <c r="K21868" s="5"/>
    </row>
    <row r="21869" spans="1:11" x14ac:dyDescent="0.25">
      <c r="A21869" s="5">
        <f>21862</f>
      </c>
      <c r="B21869" s="5" t="s">
        <v>21877</v>
      </c>
      <c r="C21869" s="5">
        <v>107.3</v>
      </c>
      <c r="D21869" s="5">
        <v>0.1</v>
      </c>
      <c r="E21869" s="5">
        <v>107.5</v>
      </c>
      <c r="F21869" s="5">
        <v>211.4</v>
      </c>
      <c r="G21869" s="5">
        <v>106</v>
      </c>
      <c r="H21869" s="5">
        <v>106.2</v>
      </c>
      <c r="I21869" s="5"/>
      <c r="J21869" s="5"/>
      <c r="K21869" s="5"/>
    </row>
    <row r="21870" spans="1:11" x14ac:dyDescent="0.25">
      <c r="A21870" s="5">
        <f>21863</f>
      </c>
      <c r="B21870" s="5" t="s">
        <v>21878</v>
      </c>
      <c r="C21870" s="5">
        <v>107.3</v>
      </c>
      <c r="D21870" s="5">
        <v>0.1</v>
      </c>
      <c r="E21870" s="5">
        <v>107.5</v>
      </c>
      <c r="F21870" s="5">
        <v>211.4</v>
      </c>
      <c r="G21870" s="5">
        <v>106</v>
      </c>
      <c r="H21870" s="5">
        <v>106.2</v>
      </c>
      <c r="I21870" s="5"/>
      <c r="J21870" s="5"/>
      <c r="K21870" s="5"/>
    </row>
    <row r="21871" spans="1:11" x14ac:dyDescent="0.25">
      <c r="A21871" s="5">
        <f>21864</f>
      </c>
      <c r="B21871" s="5" t="s">
        <v>21879</v>
      </c>
      <c r="C21871" s="5">
        <v>102.7</v>
      </c>
      <c r="D21871" s="5">
        <v>0.1</v>
      </c>
      <c r="E21871" s="5">
        <v>102.8</v>
      </c>
      <c r="F21871" s="5">
        <v>208.1</v>
      </c>
      <c r="G21871" s="5">
        <v>103.6</v>
      </c>
      <c r="H21871" s="5">
        <v>103.2</v>
      </c>
      <c r="I21871" s="5"/>
      <c r="J21871" s="5"/>
      <c r="K21871" s="5"/>
    </row>
    <row r="21872" spans="1:11" x14ac:dyDescent="0.25">
      <c r="A21872" s="5">
        <f>21865</f>
      </c>
      <c r="B21872" s="5" t="s">
        <v>21880</v>
      </c>
      <c r="C21872" s="5">
        <v>102.7</v>
      </c>
      <c r="D21872" s="5">
        <v>0.1</v>
      </c>
      <c r="E21872" s="5">
        <v>102.8</v>
      </c>
      <c r="F21872" s="5">
        <v>208.1</v>
      </c>
      <c r="G21872" s="5">
        <v>103.6</v>
      </c>
      <c r="H21872" s="5">
        <v>103.2</v>
      </c>
      <c r="I21872" s="5"/>
      <c r="J21872" s="5"/>
      <c r="K21872" s="5"/>
    </row>
    <row r="21873" spans="1:11" x14ac:dyDescent="0.25">
      <c r="A21873" s="5">
        <f>21866</f>
      </c>
      <c r="B21873" s="5" t="s">
        <v>21881</v>
      </c>
      <c r="C21873" s="5">
        <v>107.3</v>
      </c>
      <c r="D21873" s="5">
        <v>0.1</v>
      </c>
      <c r="E21873" s="5">
        <v>107.5</v>
      </c>
      <c r="F21873" s="5">
        <v>213.6</v>
      </c>
      <c r="G21873" s="5">
        <v>106.7</v>
      </c>
      <c r="H21873" s="5">
        <v>106.6</v>
      </c>
      <c r="I21873" s="5"/>
      <c r="J21873" s="5"/>
      <c r="K21873" s="5"/>
    </row>
    <row r="21874" spans="1:11" x14ac:dyDescent="0.25">
      <c r="A21874" s="5">
        <f>21867</f>
      </c>
      <c r="B21874" s="5" t="s">
        <v>21882</v>
      </c>
      <c r="C21874" s="5">
        <v>107.3</v>
      </c>
      <c r="D21874" s="5">
        <v>0.1</v>
      </c>
      <c r="E21874" s="5">
        <v>107.5</v>
      </c>
      <c r="F21874" s="5">
        <v>213.6</v>
      </c>
      <c r="G21874" s="5">
        <v>106.7</v>
      </c>
      <c r="H21874" s="5">
        <v>106.6</v>
      </c>
      <c r="I21874" s="5"/>
      <c r="J21874" s="5"/>
      <c r="K21874" s="5"/>
    </row>
    <row r="21875" spans="1:11" x14ac:dyDescent="0.25">
      <c r="A21875" s="5">
        <f>21868</f>
      </c>
      <c r="B21875" s="5" t="s">
        <v>21883</v>
      </c>
      <c r="C21875" s="5">
        <v>102.6</v>
      </c>
      <c r="D21875" s="5">
        <v>0.1</v>
      </c>
      <c r="E21875" s="5">
        <v>102.7</v>
      </c>
      <c r="F21875" s="5">
        <v>205.1</v>
      </c>
      <c r="G21875" s="5">
        <v>102.4</v>
      </c>
      <c r="H21875" s="5">
        <v>102.2</v>
      </c>
      <c r="I21875" s="5"/>
      <c r="J21875" s="5"/>
      <c r="K21875" s="5"/>
    </row>
    <row r="21876" spans="1:11" x14ac:dyDescent="0.25">
      <c r="A21876" s="5">
        <f>21869</f>
      </c>
      <c r="B21876" s="5" t="s">
        <v>21884</v>
      </c>
      <c r="C21876" s="5">
        <v>102.6</v>
      </c>
      <c r="D21876" s="5">
        <v>0.1</v>
      </c>
      <c r="E21876" s="5">
        <v>102.7</v>
      </c>
      <c r="F21876" s="5">
        <v>205.1</v>
      </c>
      <c r="G21876" s="5">
        <v>102.4</v>
      </c>
      <c r="H21876" s="5">
        <v>102.2</v>
      </c>
      <c r="I21876" s="5"/>
      <c r="J21876" s="5"/>
      <c r="K21876" s="5"/>
    </row>
    <row r="21877" spans="1:11" x14ac:dyDescent="0.25">
      <c r="A21877" s="5">
        <f>21870</f>
      </c>
      <c r="B21877" s="5" t="s">
        <v>21885</v>
      </c>
      <c r="C21877" s="5">
        <v>102.7</v>
      </c>
      <c r="D21877" s="5">
        <v>0.1</v>
      </c>
      <c r="E21877" s="5">
        <v>102.9</v>
      </c>
      <c r="F21877" s="5">
        <v>205.9</v>
      </c>
      <c r="G21877" s="5">
        <v>102.8</v>
      </c>
      <c r="H21877" s="5">
        <v>102.6</v>
      </c>
      <c r="I21877" s="5"/>
      <c r="J21877" s="5"/>
      <c r="K21877" s="5"/>
    </row>
    <row r="21878" spans="1:11" x14ac:dyDescent="0.25">
      <c r="A21878" s="5">
        <f>21871</f>
      </c>
      <c r="B21878" s="5" t="s">
        <v>21886</v>
      </c>
      <c r="C21878" s="5">
        <v>102.7</v>
      </c>
      <c r="D21878" s="5">
        <v>0.1</v>
      </c>
      <c r="E21878" s="5">
        <v>102.9</v>
      </c>
      <c r="F21878" s="5">
        <v>205.9</v>
      </c>
      <c r="G21878" s="5">
        <v>102.8</v>
      </c>
      <c r="H21878" s="5">
        <v>102.6</v>
      </c>
      <c r="I21878" s="5"/>
      <c r="J21878" s="5"/>
      <c r="K21878" s="5"/>
    </row>
    <row r="21879" spans="1:11" x14ac:dyDescent="0.25">
      <c r="A21879" s="5">
        <f>21872</f>
      </c>
      <c r="B21879" s="5" t="s">
        <v>21887</v>
      </c>
      <c r="C21879" s="5">
        <v>102.7</v>
      </c>
      <c r="D21879" s="5">
        <v>0.1</v>
      </c>
      <c r="E21879" s="5">
        <v>102.9</v>
      </c>
      <c r="F21879" s="5">
        <v>205.9</v>
      </c>
      <c r="G21879" s="5">
        <v>102.8</v>
      </c>
      <c r="H21879" s="5">
        <v>102.6</v>
      </c>
      <c r="I21879" s="5"/>
      <c r="J21879" s="5"/>
      <c r="K21879" s="5"/>
    </row>
    <row r="21880" spans="1:11" x14ac:dyDescent="0.25">
      <c r="A21880" s="5">
        <f>21873</f>
      </c>
      <c r="B21880" s="5" t="s">
        <v>21888</v>
      </c>
      <c r="C21880" s="5">
        <v>102.7</v>
      </c>
      <c r="D21880" s="5">
        <v>0.1</v>
      </c>
      <c r="E21880" s="5">
        <v>102.9</v>
      </c>
      <c r="F21880" s="5">
        <v>205.9</v>
      </c>
      <c r="G21880" s="5">
        <v>102.8</v>
      </c>
      <c r="H21880" s="5">
        <v>102.6</v>
      </c>
      <c r="I21880" s="5"/>
      <c r="J21880" s="5"/>
      <c r="K21880" s="5"/>
    </row>
    <row r="21881" spans="1:11" x14ac:dyDescent="0.25">
      <c r="A21881" s="5">
        <f>21874</f>
      </c>
      <c r="B21881" s="5" t="s">
        <v>21889</v>
      </c>
      <c r="C21881" s="5">
        <v>108.8</v>
      </c>
      <c r="D21881" s="5">
        <v>0.1</v>
      </c>
      <c r="E21881" s="5">
        <v>109.1</v>
      </c>
      <c r="F21881" s="5">
        <v>217</v>
      </c>
      <c r="G21881" s="5">
        <v>108.4</v>
      </c>
      <c r="H21881" s="5">
        <v>108.2</v>
      </c>
      <c r="I21881" s="5"/>
      <c r="J21881" s="5"/>
      <c r="K21881" s="5"/>
    </row>
    <row r="21882" spans="1:11" x14ac:dyDescent="0.25">
      <c r="A21882" s="5">
        <f>21875</f>
      </c>
      <c r="B21882" s="5" t="s">
        <v>21890</v>
      </c>
      <c r="C21882" s="5">
        <v>108.8</v>
      </c>
      <c r="D21882" s="5">
        <v>0.1</v>
      </c>
      <c r="E21882" s="5">
        <v>109.1</v>
      </c>
      <c r="F21882" s="5">
        <v>217</v>
      </c>
      <c r="G21882" s="5">
        <v>108.4</v>
      </c>
      <c r="H21882" s="5">
        <v>108.2</v>
      </c>
      <c r="I21882" s="5"/>
      <c r="J21882" s="5"/>
      <c r="K21882" s="5"/>
    </row>
    <row r="21883" spans="1:11" x14ac:dyDescent="0.25">
      <c r="A21883" s="5">
        <f>21876</f>
      </c>
      <c r="B21883" s="5" t="s">
        <v>21891</v>
      </c>
      <c r="C21883" s="5">
        <v>107.5</v>
      </c>
      <c r="D21883" s="5">
        <v>0.1</v>
      </c>
      <c r="E21883" s="5">
        <v>107.6</v>
      </c>
      <c r="F21883" s="5">
        <v>205.2</v>
      </c>
      <c r="G21883" s="5">
        <v>102.6</v>
      </c>
      <c r="H21883" s="5">
        <v>102.6</v>
      </c>
      <c r="I21883" s="5"/>
      <c r="J21883" s="5"/>
      <c r="K21883" s="5"/>
    </row>
    <row r="21884" spans="1:11" x14ac:dyDescent="0.25">
      <c r="A21884" s="5">
        <f>21877</f>
      </c>
      <c r="B21884" s="5" t="s">
        <v>21892</v>
      </c>
      <c r="C21884" s="5">
        <v>107.5</v>
      </c>
      <c r="D21884" s="5">
        <v>0.1</v>
      </c>
      <c r="E21884" s="5">
        <v>107.6</v>
      </c>
      <c r="F21884" s="5">
        <v>205.2</v>
      </c>
      <c r="G21884" s="5">
        <v>102.6</v>
      </c>
      <c r="H21884" s="5">
        <v>102.6</v>
      </c>
      <c r="I21884" s="5"/>
      <c r="J21884" s="5"/>
      <c r="K21884" s="5"/>
    </row>
    <row r="21885" spans="1:11" x14ac:dyDescent="0.25">
      <c r="A21885" s="5">
        <f>21878</f>
      </c>
      <c r="B21885" s="5" t="s">
        <v>21893</v>
      </c>
      <c r="C21885" s="5">
        <v>102.7</v>
      </c>
      <c r="D21885" s="5">
        <v>0.1</v>
      </c>
      <c r="E21885" s="5">
        <v>102.9</v>
      </c>
      <c r="F21885" s="5">
        <v>204.2</v>
      </c>
      <c r="G21885" s="5">
        <v>102</v>
      </c>
      <c r="H21885" s="5">
        <v>101.8</v>
      </c>
      <c r="I21885" s="5"/>
      <c r="J21885" s="5"/>
      <c r="K21885" s="5"/>
    </row>
    <row r="21886" spans="1:11" x14ac:dyDescent="0.25">
      <c r="A21886" s="5">
        <f>21879</f>
      </c>
      <c r="B21886" s="5" t="s">
        <v>21894</v>
      </c>
      <c r="C21886" s="5">
        <v>102.7</v>
      </c>
      <c r="D21886" s="5">
        <v>0.1</v>
      </c>
      <c r="E21886" s="5">
        <v>102.9</v>
      </c>
      <c r="F21886" s="5">
        <v>204.2</v>
      </c>
      <c r="G21886" s="5">
        <v>102</v>
      </c>
      <c r="H21886" s="5">
        <v>101.8</v>
      </c>
      <c r="I21886" s="5"/>
      <c r="J21886" s="5"/>
      <c r="K21886" s="5"/>
    </row>
    <row r="21887" spans="1:11" x14ac:dyDescent="0.25">
      <c r="A21887" s="5">
        <f>21880</f>
      </c>
      <c r="B21887" s="5" t="s">
        <v>21895</v>
      </c>
      <c r="C21887" s="5">
        <v>104.9</v>
      </c>
      <c r="D21887" s="5">
        <v>0.1</v>
      </c>
      <c r="E21887" s="5">
        <v>105</v>
      </c>
      <c r="F21887" s="5">
        <v>216.3</v>
      </c>
      <c r="G21887" s="5">
        <v>107.9</v>
      </c>
      <c r="H21887" s="5">
        <v>107.7</v>
      </c>
      <c r="I21887" s="5"/>
      <c r="J21887" s="5"/>
      <c r="K21887" s="5"/>
    </row>
    <row r="21888" spans="1:11" x14ac:dyDescent="0.25">
      <c r="A21888" s="5">
        <f>21881</f>
      </c>
      <c r="B21888" s="5" t="s">
        <v>21896</v>
      </c>
      <c r="C21888" s="5">
        <v>104.9</v>
      </c>
      <c r="D21888" s="5">
        <v>0.1</v>
      </c>
      <c r="E21888" s="5">
        <v>105</v>
      </c>
      <c r="F21888" s="5">
        <v>216.3</v>
      </c>
      <c r="G21888" s="5">
        <v>107.9</v>
      </c>
      <c r="H21888" s="5">
        <v>107.7</v>
      </c>
      <c r="I21888" s="5"/>
      <c r="J21888" s="5"/>
      <c r="K21888" s="5"/>
    </row>
    <row r="21889" spans="1:11" x14ac:dyDescent="0.25">
      <c r="A21889" s="5">
        <f>21882</f>
      </c>
      <c r="B21889" s="5" t="s">
        <v>21897</v>
      </c>
      <c r="C21889" s="5">
        <v>104.9</v>
      </c>
      <c r="D21889" s="5">
        <v>0.1</v>
      </c>
      <c r="E21889" s="5">
        <v>105</v>
      </c>
      <c r="F21889" s="5">
        <v>216.3</v>
      </c>
      <c r="G21889" s="5">
        <v>107.9</v>
      </c>
      <c r="H21889" s="5">
        <v>107.7</v>
      </c>
      <c r="I21889" s="5"/>
      <c r="J21889" s="5"/>
      <c r="K21889" s="5"/>
    </row>
    <row r="21890" spans="1:11" x14ac:dyDescent="0.25">
      <c r="A21890" s="5">
        <f>21883</f>
      </c>
      <c r="B21890" s="5" t="s">
        <v>21898</v>
      </c>
      <c r="C21890" s="5">
        <v>104.9</v>
      </c>
      <c r="D21890" s="5">
        <v>0.1</v>
      </c>
      <c r="E21890" s="5">
        <v>105</v>
      </c>
      <c r="F21890" s="5">
        <v>216.3</v>
      </c>
      <c r="G21890" s="5">
        <v>107.9</v>
      </c>
      <c r="H21890" s="5">
        <v>107.7</v>
      </c>
      <c r="I21890" s="5"/>
      <c r="J21890" s="5"/>
      <c r="K21890" s="5"/>
    </row>
    <row r="21891" spans="1:11" x14ac:dyDescent="0.25">
      <c r="A21891" s="5">
        <f>21884</f>
      </c>
      <c r="B21891" s="5" t="s">
        <v>21899</v>
      </c>
      <c r="C21891" s="5">
        <v>102.5</v>
      </c>
      <c r="D21891" s="5">
        <v>0.1</v>
      </c>
      <c r="E21891" s="5">
        <v>102.6</v>
      </c>
      <c r="F21891" s="5">
        <v>205.4</v>
      </c>
      <c r="G21891" s="5">
        <v>102.6</v>
      </c>
      <c r="H21891" s="5">
        <v>102.8</v>
      </c>
      <c r="I21891" s="5"/>
      <c r="J21891" s="5"/>
      <c r="K21891" s="5"/>
    </row>
    <row r="21892" spans="1:11" x14ac:dyDescent="0.25">
      <c r="A21892" s="5">
        <f>21885</f>
      </c>
      <c r="B21892" s="5" t="s">
        <v>21900</v>
      </c>
      <c r="C21892" s="5">
        <v>102.5</v>
      </c>
      <c r="D21892" s="5">
        <v>0.1</v>
      </c>
      <c r="E21892" s="5">
        <v>102.6</v>
      </c>
      <c r="F21892" s="5">
        <v>205.4</v>
      </c>
      <c r="G21892" s="5">
        <v>102.6</v>
      </c>
      <c r="H21892" s="5">
        <v>102.8</v>
      </c>
      <c r="I21892" s="5"/>
      <c r="J21892" s="5"/>
      <c r="K21892" s="5"/>
    </row>
    <row r="21893" spans="1:11" x14ac:dyDescent="0.25">
      <c r="A21893" s="5">
        <f>21886</f>
      </c>
      <c r="B21893" s="5" t="s">
        <v>21901</v>
      </c>
      <c r="C21893" s="5">
        <v>103.1</v>
      </c>
      <c r="D21893" s="5">
        <v>0.1</v>
      </c>
      <c r="E21893" s="5">
        <v>103.2</v>
      </c>
      <c r="F21893" s="5">
        <v>205.4</v>
      </c>
      <c r="G21893" s="5">
        <v>102.5</v>
      </c>
      <c r="H21893" s="5">
        <v>102.4</v>
      </c>
      <c r="I21893" s="5"/>
      <c r="J21893" s="5"/>
      <c r="K21893" s="5"/>
    </row>
    <row r="21894" spans="1:11" x14ac:dyDescent="0.25">
      <c r="A21894" s="5">
        <f>21887</f>
      </c>
      <c r="B21894" s="5" t="s">
        <v>21902</v>
      </c>
      <c r="C21894" s="5">
        <v>103.1</v>
      </c>
      <c r="D21894" s="5">
        <v>0.1</v>
      </c>
      <c r="E21894" s="5">
        <v>103.2</v>
      </c>
      <c r="F21894" s="5">
        <v>205.4</v>
      </c>
      <c r="G21894" s="5">
        <v>102.5</v>
      </c>
      <c r="H21894" s="5">
        <v>102.4</v>
      </c>
      <c r="I21894" s="5"/>
      <c r="J21894" s="5"/>
      <c r="K21894" s="5"/>
    </row>
    <row r="21895" spans="1:11" x14ac:dyDescent="0.25">
      <c r="A21895" s="5">
        <f>21888</f>
      </c>
      <c r="B21895" s="5" t="s">
        <v>21903</v>
      </c>
      <c r="C21895" s="5">
        <v>108.5</v>
      </c>
      <c r="D21895" s="5">
        <v>0.1</v>
      </c>
      <c r="E21895" s="5">
        <v>108.7</v>
      </c>
      <c r="F21895" s="5">
        <v>217</v>
      </c>
      <c r="G21895" s="5">
        <v>108.3</v>
      </c>
      <c r="H21895" s="5">
        <v>108.1</v>
      </c>
      <c r="I21895" s="5"/>
      <c r="J21895" s="5"/>
      <c r="K21895" s="5"/>
    </row>
    <row r="21896" spans="1:11" x14ac:dyDescent="0.25">
      <c r="A21896" s="5">
        <f>21889</f>
      </c>
      <c r="B21896" s="5" t="s">
        <v>21904</v>
      </c>
      <c r="C21896" s="5">
        <v>108.5</v>
      </c>
      <c r="D21896" s="5">
        <v>0.1</v>
      </c>
      <c r="E21896" s="5">
        <v>108.7</v>
      </c>
      <c r="F21896" s="5">
        <v>217</v>
      </c>
      <c r="G21896" s="5">
        <v>108.3</v>
      </c>
      <c r="H21896" s="5">
        <v>108.1</v>
      </c>
      <c r="I21896" s="5"/>
      <c r="J21896" s="5"/>
      <c r="K21896" s="5"/>
    </row>
    <row r="21897" spans="1:11" x14ac:dyDescent="0.25">
      <c r="A21897" s="5">
        <f>21890</f>
      </c>
      <c r="B21897" s="5" t="s">
        <v>21905</v>
      </c>
      <c r="C21897" s="5">
        <v>108.1</v>
      </c>
      <c r="D21897" s="5">
        <v>0.1</v>
      </c>
      <c r="E21897" s="5">
        <v>108.2</v>
      </c>
      <c r="F21897" s="5">
        <v>218.1</v>
      </c>
      <c r="G21897" s="5">
        <v>108.8</v>
      </c>
      <c r="H21897" s="5">
        <v>108.6</v>
      </c>
      <c r="I21897" s="5"/>
      <c r="J21897" s="5"/>
      <c r="K21897" s="5"/>
    </row>
    <row r="21898" spans="1:11" x14ac:dyDescent="0.25">
      <c r="A21898" s="5">
        <f>21891</f>
      </c>
      <c r="B21898" s="5" t="s">
        <v>21906</v>
      </c>
      <c r="C21898" s="5">
        <v>108.1</v>
      </c>
      <c r="D21898" s="5">
        <v>0.1</v>
      </c>
      <c r="E21898" s="5">
        <v>108.2</v>
      </c>
      <c r="F21898" s="5">
        <v>218.1</v>
      </c>
      <c r="G21898" s="5">
        <v>108.8</v>
      </c>
      <c r="H21898" s="5">
        <v>108.6</v>
      </c>
      <c r="I21898" s="5"/>
      <c r="J21898" s="5"/>
      <c r="K21898" s="5"/>
    </row>
    <row r="21899" spans="1:11" x14ac:dyDescent="0.25">
      <c r="A21899" s="5">
        <f>21892</f>
      </c>
      <c r="B21899" s="5" t="s">
        <v>21907</v>
      </c>
      <c r="C21899" s="5">
        <v>108.1</v>
      </c>
      <c r="D21899" s="5">
        <v>0.1</v>
      </c>
      <c r="E21899" s="5">
        <v>108.2</v>
      </c>
      <c r="F21899" s="5">
        <v>218.1</v>
      </c>
      <c r="G21899" s="5">
        <v>108.8</v>
      </c>
      <c r="H21899" s="5">
        <v>108.6</v>
      </c>
      <c r="I21899" s="5"/>
      <c r="J21899" s="5"/>
      <c r="K21899" s="5"/>
    </row>
    <row r="21900" spans="1:11" x14ac:dyDescent="0.25">
      <c r="A21900" s="5">
        <f>21893</f>
      </c>
      <c r="B21900" s="5" t="s">
        <v>21908</v>
      </c>
      <c r="C21900" s="5">
        <v>108.1</v>
      </c>
      <c r="D21900" s="5">
        <v>0.1</v>
      </c>
      <c r="E21900" s="5">
        <v>108.2</v>
      </c>
      <c r="F21900" s="5">
        <v>218.1</v>
      </c>
      <c r="G21900" s="5">
        <v>108.8</v>
      </c>
      <c r="H21900" s="5">
        <v>108.6</v>
      </c>
      <c r="I21900" s="5"/>
      <c r="J21900" s="5"/>
      <c r="K21900" s="5"/>
    </row>
    <row r="21901" spans="1:11" x14ac:dyDescent="0.25">
      <c r="A21901" s="5">
        <f>21894</f>
      </c>
      <c r="B21901" s="5" t="s">
        <v>21909</v>
      </c>
      <c r="C21901" s="5">
        <v>109.7</v>
      </c>
      <c r="D21901" s="5">
        <v>0.1</v>
      </c>
      <c r="E21901" s="5">
        <v>109.8</v>
      </c>
      <c r="F21901" s="5">
        <v>218.5</v>
      </c>
      <c r="G21901" s="5">
        <v>109.1</v>
      </c>
      <c r="H21901" s="5">
        <v>109</v>
      </c>
      <c r="I21901" s="5"/>
      <c r="J21901" s="5"/>
      <c r="K21901" s="5"/>
    </row>
    <row r="21902" spans="1:11" x14ac:dyDescent="0.25">
      <c r="A21902" s="5">
        <f>21895</f>
      </c>
      <c r="B21902" s="5" t="s">
        <v>21910</v>
      </c>
      <c r="C21902" s="5">
        <v>109.7</v>
      </c>
      <c r="D21902" s="5">
        <v>0.1</v>
      </c>
      <c r="E21902" s="5">
        <v>109.8</v>
      </c>
      <c r="F21902" s="5">
        <v>218.5</v>
      </c>
      <c r="G21902" s="5">
        <v>109.1</v>
      </c>
      <c r="H21902" s="5">
        <v>109</v>
      </c>
      <c r="I21902" s="5"/>
      <c r="J21902" s="5"/>
      <c r="K21902" s="5"/>
    </row>
    <row r="21903" spans="1:11" x14ac:dyDescent="0.25">
      <c r="A21903" s="5">
        <f>21896</f>
      </c>
      <c r="B21903" s="5" t="s">
        <v>21911</v>
      </c>
      <c r="C21903" s="5">
        <v>109.5</v>
      </c>
      <c r="D21903" s="5">
        <v>0.1</v>
      </c>
      <c r="E21903" s="5">
        <v>109.7</v>
      </c>
      <c r="F21903" s="5">
        <v>218.9</v>
      </c>
      <c r="G21903" s="5">
        <v>109</v>
      </c>
      <c r="H21903" s="5">
        <v>108.8</v>
      </c>
      <c r="I21903" s="5"/>
      <c r="J21903" s="5"/>
      <c r="K21903" s="5"/>
    </row>
    <row r="21904" spans="1:11" x14ac:dyDescent="0.25">
      <c r="A21904" s="5">
        <f>21897</f>
      </c>
      <c r="B21904" s="5" t="s">
        <v>21912</v>
      </c>
      <c r="C21904" s="5">
        <v>109.5</v>
      </c>
      <c r="D21904" s="5">
        <v>0.1</v>
      </c>
      <c r="E21904" s="5">
        <v>109.7</v>
      </c>
      <c r="F21904" s="5">
        <v>218.9</v>
      </c>
      <c r="G21904" s="5">
        <v>109</v>
      </c>
      <c r="H21904" s="5">
        <v>108.8</v>
      </c>
      <c r="I21904" s="5"/>
      <c r="J21904" s="5"/>
      <c r="K21904" s="5"/>
    </row>
    <row r="21905" spans="1:11" x14ac:dyDescent="0.25">
      <c r="A21905" s="5">
        <f>21898</f>
      </c>
      <c r="B21905" s="5" t="s">
        <v>21913</v>
      </c>
      <c r="C21905" s="5">
        <v>109.1</v>
      </c>
      <c r="D21905" s="5">
        <v>0.1</v>
      </c>
      <c r="E21905" s="5">
        <v>109.2</v>
      </c>
      <c r="F21905" s="5">
        <v>218.3</v>
      </c>
      <c r="G21905" s="5">
        <v>108.9</v>
      </c>
      <c r="H21905" s="5">
        <v>108.8</v>
      </c>
      <c r="I21905" s="5"/>
      <c r="J21905" s="5"/>
      <c r="K21905" s="5"/>
    </row>
    <row r="21906" spans="1:11" x14ac:dyDescent="0.25">
      <c r="A21906" s="5">
        <f>21899</f>
      </c>
      <c r="B21906" s="5" t="s">
        <v>21914</v>
      </c>
      <c r="C21906" s="5">
        <v>109.1</v>
      </c>
      <c r="D21906" s="5">
        <v>0.1</v>
      </c>
      <c r="E21906" s="5">
        <v>109.2</v>
      </c>
      <c r="F21906" s="5">
        <v>218.3</v>
      </c>
      <c r="G21906" s="5">
        <v>108.9</v>
      </c>
      <c r="H21906" s="5">
        <v>108.8</v>
      </c>
      <c r="I21906" s="5"/>
      <c r="J21906" s="5"/>
      <c r="K21906" s="5"/>
    </row>
    <row r="21907" spans="1:11" x14ac:dyDescent="0.25">
      <c r="A21907" s="5">
        <f>21900</f>
      </c>
      <c r="B21907" s="5" t="s">
        <v>21915</v>
      </c>
      <c r="C21907" s="5">
        <v>108.8</v>
      </c>
      <c r="D21907" s="5">
        <v>0.1</v>
      </c>
      <c r="E21907" s="5">
        <v>108.9</v>
      </c>
      <c r="F21907" s="5">
        <v>218</v>
      </c>
      <c r="G21907" s="5">
        <v>108.7</v>
      </c>
      <c r="H21907" s="5">
        <v>108.5</v>
      </c>
      <c r="I21907" s="5"/>
      <c r="J21907" s="5"/>
      <c r="K21907" s="5"/>
    </row>
    <row r="21908" spans="1:11" x14ac:dyDescent="0.25">
      <c r="A21908" s="5">
        <f>21901</f>
      </c>
      <c r="B21908" s="5" t="s">
        <v>21916</v>
      </c>
      <c r="C21908" s="5">
        <v>108.8</v>
      </c>
      <c r="D21908" s="5">
        <v>0.1</v>
      </c>
      <c r="E21908" s="5">
        <v>108.9</v>
      </c>
      <c r="F21908" s="5">
        <v>218</v>
      </c>
      <c r="G21908" s="5">
        <v>108.7</v>
      </c>
      <c r="H21908" s="5">
        <v>108.5</v>
      </c>
      <c r="I21908" s="5"/>
      <c r="J21908" s="5"/>
      <c r="K21908" s="5"/>
    </row>
    <row r="21909" spans="1:11" x14ac:dyDescent="0.25">
      <c r="A21909" s="5">
        <f>21902</f>
      </c>
      <c r="B21909" s="5" t="s">
        <v>21917</v>
      </c>
      <c r="C21909" s="5">
        <v>108.8</v>
      </c>
      <c r="D21909" s="5">
        <v>0.1</v>
      </c>
      <c r="E21909" s="5">
        <v>108.9</v>
      </c>
      <c r="F21909" s="5">
        <v>218</v>
      </c>
      <c r="G21909" s="5">
        <v>108.7</v>
      </c>
      <c r="H21909" s="5">
        <v>108.5</v>
      </c>
      <c r="I21909" s="5"/>
      <c r="J21909" s="5"/>
      <c r="K21909" s="5"/>
    </row>
    <row r="21910" spans="1:11" x14ac:dyDescent="0.25">
      <c r="A21910" s="5">
        <f>21903</f>
      </c>
      <c r="B21910" s="5" t="s">
        <v>21918</v>
      </c>
      <c r="C21910" s="5">
        <v>108.8</v>
      </c>
      <c r="D21910" s="5">
        <v>0.1</v>
      </c>
      <c r="E21910" s="5">
        <v>108.9</v>
      </c>
      <c r="F21910" s="5">
        <v>218</v>
      </c>
      <c r="G21910" s="5">
        <v>108.7</v>
      </c>
      <c r="H21910" s="5">
        <v>108.5</v>
      </c>
      <c r="I21910" s="5"/>
      <c r="J21910" s="5"/>
      <c r="K21910" s="5"/>
    </row>
    <row r="21911" spans="1:11" x14ac:dyDescent="0.25">
      <c r="A21911" s="5">
        <f>21904</f>
      </c>
      <c r="B21911" s="5" t="s">
        <v>21919</v>
      </c>
      <c r="C21911" s="5">
        <v>109.1</v>
      </c>
      <c r="D21911" s="5">
        <v>0.1</v>
      </c>
      <c r="E21911" s="5">
        <v>109.2</v>
      </c>
      <c r="F21911" s="5">
        <v>215.9</v>
      </c>
      <c r="G21911" s="5">
        <v>108.3</v>
      </c>
      <c r="H21911" s="5">
        <v>108.5</v>
      </c>
      <c r="I21911" s="5"/>
      <c r="J21911" s="5"/>
      <c r="K21911" s="5"/>
    </row>
    <row r="21912" spans="1:11" x14ac:dyDescent="0.25">
      <c r="A21912" s="5">
        <f>21905</f>
      </c>
      <c r="B21912" s="5" t="s">
        <v>21920</v>
      </c>
      <c r="C21912" s="5">
        <v>109.1</v>
      </c>
      <c r="D21912" s="5">
        <v>0.1</v>
      </c>
      <c r="E21912" s="5">
        <v>109.2</v>
      </c>
      <c r="F21912" s="5">
        <v>215.9</v>
      </c>
      <c r="G21912" s="5">
        <v>108.3</v>
      </c>
      <c r="H21912" s="5">
        <v>108.5</v>
      </c>
      <c r="I21912" s="5"/>
      <c r="J21912" s="5"/>
      <c r="K21912" s="5"/>
    </row>
    <row r="21913" spans="1:11" x14ac:dyDescent="0.25">
      <c r="A21913" s="5">
        <f>21906</f>
      </c>
      <c r="B21913" s="5" t="s">
        <v>21921</v>
      </c>
      <c r="C21913" s="5">
        <v>109.5</v>
      </c>
      <c r="D21913" s="5">
        <v>0.1</v>
      </c>
      <c r="E21913" s="5">
        <v>109.7</v>
      </c>
      <c r="F21913" s="5">
        <v>219.5</v>
      </c>
      <c r="G21913" s="5">
        <v>109.6</v>
      </c>
      <c r="H21913" s="5">
        <v>109.4</v>
      </c>
      <c r="I21913" s="5"/>
      <c r="J21913" s="5"/>
      <c r="K21913" s="5"/>
    </row>
    <row r="21914" spans="1:11" x14ac:dyDescent="0.25">
      <c r="A21914" s="5">
        <f>21907</f>
      </c>
      <c r="B21914" s="5" t="s">
        <v>21922</v>
      </c>
      <c r="C21914" s="5">
        <v>109.5</v>
      </c>
      <c r="D21914" s="5">
        <v>0.1</v>
      </c>
      <c r="E21914" s="5">
        <v>109.7</v>
      </c>
      <c r="F21914" s="5">
        <v>219.5</v>
      </c>
      <c r="G21914" s="5">
        <v>109.6</v>
      </c>
      <c r="H21914" s="5">
        <v>109.4</v>
      </c>
      <c r="I21914" s="5"/>
      <c r="J21914" s="5"/>
      <c r="K21914" s="5"/>
    </row>
    <row r="21915" spans="1:11" x14ac:dyDescent="0.25">
      <c r="A21915" s="5">
        <f>21908</f>
      </c>
      <c r="B21915" s="5" t="s">
        <v>21923</v>
      </c>
      <c r="C21915" s="5">
        <v>104.7</v>
      </c>
      <c r="D21915" s="5">
        <v>0.1</v>
      </c>
      <c r="E21915" s="5">
        <v>104.9</v>
      </c>
      <c r="F21915" s="5">
        <v>208</v>
      </c>
      <c r="G21915" s="5">
        <v>103.7</v>
      </c>
      <c r="H21915" s="5">
        <v>103.5</v>
      </c>
      <c r="I21915" s="5"/>
      <c r="J21915" s="5"/>
      <c r="K21915" s="5"/>
    </row>
    <row r="21916" spans="1:11" x14ac:dyDescent="0.25">
      <c r="A21916" s="5">
        <f>21909</f>
      </c>
      <c r="B21916" s="5" t="s">
        <v>21924</v>
      </c>
      <c r="C21916" s="5">
        <v>104.7</v>
      </c>
      <c r="D21916" s="5">
        <v>0.1</v>
      </c>
      <c r="E21916" s="5">
        <v>104.9</v>
      </c>
      <c r="F21916" s="5">
        <v>208</v>
      </c>
      <c r="G21916" s="5">
        <v>103.7</v>
      </c>
      <c r="H21916" s="5">
        <v>103.5</v>
      </c>
      <c r="I21916" s="5"/>
      <c r="J21916" s="5"/>
      <c r="K21916" s="5"/>
    </row>
    <row r="21917" spans="1:11" x14ac:dyDescent="0.25">
      <c r="A21917" s="5">
        <f>21910</f>
      </c>
      <c r="B21917" s="5" t="s">
        <v>21925</v>
      </c>
      <c r="C21917" s="5">
        <v>105.4</v>
      </c>
      <c r="D21917" s="5">
        <v>0.1</v>
      </c>
      <c r="E21917" s="5">
        <v>105.6</v>
      </c>
      <c r="F21917" s="5">
        <v>209.6</v>
      </c>
      <c r="G21917" s="5">
        <v>104.7</v>
      </c>
      <c r="H21917" s="5">
        <v>104.1</v>
      </c>
      <c r="I21917" s="5"/>
      <c r="J21917" s="5"/>
      <c r="K21917" s="5"/>
    </row>
    <row r="21918" spans="1:11" x14ac:dyDescent="0.25">
      <c r="A21918" s="5">
        <f>21911</f>
      </c>
      <c r="B21918" s="5" t="s">
        <v>21926</v>
      </c>
      <c r="C21918" s="5">
        <v>105.4</v>
      </c>
      <c r="D21918" s="5">
        <v>0.1</v>
      </c>
      <c r="E21918" s="5">
        <v>105.6</v>
      </c>
      <c r="F21918" s="5">
        <v>209.6</v>
      </c>
      <c r="G21918" s="5">
        <v>104.7</v>
      </c>
      <c r="H21918" s="5">
        <v>104.1</v>
      </c>
      <c r="I21918" s="5"/>
      <c r="J21918" s="5"/>
      <c r="K21918" s="5"/>
    </row>
    <row r="21919" spans="1:11" x14ac:dyDescent="0.25">
      <c r="A21919" s="5">
        <f>21912</f>
      </c>
      <c r="B21919" s="5" t="s">
        <v>21927</v>
      </c>
      <c r="C21919" s="5">
        <v>105.4</v>
      </c>
      <c r="D21919" s="5">
        <v>0.1</v>
      </c>
      <c r="E21919" s="5">
        <v>105.6</v>
      </c>
      <c r="F21919" s="5">
        <v>209.6</v>
      </c>
      <c r="G21919" s="5">
        <v>104.7</v>
      </c>
      <c r="H21919" s="5">
        <v>104.1</v>
      </c>
      <c r="I21919" s="5"/>
      <c r="J21919" s="5"/>
      <c r="K21919" s="5"/>
    </row>
    <row r="21920" spans="1:11" x14ac:dyDescent="0.25">
      <c r="A21920" s="5">
        <f>21913</f>
      </c>
      <c r="B21920" s="5" t="s">
        <v>21928</v>
      </c>
      <c r="C21920" s="5">
        <v>106</v>
      </c>
      <c r="D21920" s="5">
        <v>0.1</v>
      </c>
      <c r="E21920" s="5">
        <v>106.2</v>
      </c>
      <c r="F21920" s="5">
        <v>213.8</v>
      </c>
      <c r="G21920" s="5">
        <v>106.6</v>
      </c>
      <c r="H21920" s="5">
        <v>106.4</v>
      </c>
      <c r="I21920" s="5"/>
      <c r="J21920" s="5"/>
      <c r="K21920" s="5"/>
    </row>
    <row r="21921" spans="1:11" x14ac:dyDescent="0.25">
      <c r="A21921" s="5">
        <f>21914</f>
      </c>
      <c r="B21921" s="5" t="s">
        <v>21929</v>
      </c>
      <c r="C21921" s="5">
        <v>106</v>
      </c>
      <c r="D21921" s="5">
        <v>0.1</v>
      </c>
      <c r="E21921" s="5">
        <v>106.2</v>
      </c>
      <c r="F21921" s="5">
        <v>213.8</v>
      </c>
      <c r="G21921" s="5">
        <v>106.6</v>
      </c>
      <c r="H21921" s="5">
        <v>106.4</v>
      </c>
      <c r="I21921" s="5"/>
      <c r="J21921" s="5"/>
      <c r="K21921" s="5"/>
    </row>
    <row r="21922" spans="1:11" x14ac:dyDescent="0.25">
      <c r="A21922" s="5">
        <f>21915</f>
      </c>
      <c r="B21922" s="5" t="s">
        <v>21930</v>
      </c>
      <c r="C21922" s="5">
        <v>105.3</v>
      </c>
      <c r="D21922" s="5">
        <v>0.1</v>
      </c>
      <c r="E21922" s="5">
        <v>105.5</v>
      </c>
      <c r="F21922" s="5">
        <v>210.2</v>
      </c>
      <c r="G21922" s="5">
        <v>104.9</v>
      </c>
      <c r="H21922" s="5">
        <v>104.7</v>
      </c>
      <c r="I21922" s="5"/>
      <c r="J21922" s="5"/>
      <c r="K21922" s="5"/>
    </row>
    <row r="21923" spans="1:11" x14ac:dyDescent="0.25">
      <c r="A21923" s="5">
        <f>21916</f>
      </c>
      <c r="B21923" s="5" t="s">
        <v>21931</v>
      </c>
      <c r="C21923" s="5">
        <v>105.3</v>
      </c>
      <c r="D21923" s="5">
        <v>0.1</v>
      </c>
      <c r="E21923" s="5">
        <v>105.5</v>
      </c>
      <c r="F21923" s="5">
        <v>210.2</v>
      </c>
      <c r="G21923" s="5">
        <v>104.9</v>
      </c>
      <c r="H21923" s="5">
        <v>104.7</v>
      </c>
      <c r="I21923" s="5"/>
      <c r="J21923" s="5"/>
      <c r="K21923" s="5"/>
    </row>
    <row r="21924" spans="1:11" x14ac:dyDescent="0.25">
      <c r="A21924" s="5">
        <f>21917</f>
      </c>
      <c r="B21924" s="5" t="s">
        <v>21932</v>
      </c>
      <c r="C21924" s="5">
        <v>104.8</v>
      </c>
      <c r="D21924" s="5">
        <v>0.1</v>
      </c>
      <c r="E21924" s="5">
        <v>105</v>
      </c>
      <c r="F21924" s="5">
        <v>207.5</v>
      </c>
      <c r="G21924" s="5">
        <v>103.6</v>
      </c>
      <c r="H21924" s="5">
        <v>103.5</v>
      </c>
      <c r="I21924" s="5"/>
      <c r="J21924" s="5"/>
      <c r="K21924" s="5"/>
    </row>
    <row r="21925" spans="1:11" x14ac:dyDescent="0.25">
      <c r="A21925" s="5">
        <f>21918</f>
      </c>
      <c r="B21925" s="5" t="s">
        <v>21933</v>
      </c>
      <c r="C21925" s="5">
        <v>104.8</v>
      </c>
      <c r="D21925" s="5">
        <v>0.1</v>
      </c>
      <c r="E21925" s="5">
        <v>105</v>
      </c>
      <c r="F21925" s="5">
        <v>207.5</v>
      </c>
      <c r="G21925" s="5">
        <v>103.6</v>
      </c>
      <c r="H21925" s="5">
        <v>103.5</v>
      </c>
      <c r="I21925" s="5"/>
      <c r="J21925" s="5"/>
      <c r="K21925" s="5"/>
    </row>
    <row r="21926" spans="1:11" x14ac:dyDescent="0.25">
      <c r="A21926" s="5">
        <f>21919</f>
      </c>
      <c r="B21926" s="5" t="s">
        <v>21934</v>
      </c>
      <c r="C21926" s="5">
        <v>108.5</v>
      </c>
      <c r="D21926" s="5">
        <v>0.1</v>
      </c>
      <c r="E21926" s="5">
        <v>108.7</v>
      </c>
      <c r="F21926" s="5">
        <v>210.2</v>
      </c>
      <c r="G21926" s="5">
        <v>105.5</v>
      </c>
      <c r="H21926" s="5">
        <v>105.6</v>
      </c>
      <c r="I21926" s="5"/>
      <c r="J21926" s="5"/>
      <c r="K21926" s="5"/>
    </row>
    <row r="21927" spans="1:11" x14ac:dyDescent="0.25">
      <c r="A21927" s="5">
        <f>21920</f>
      </c>
      <c r="B21927" s="5" t="s">
        <v>21935</v>
      </c>
      <c r="C21927" s="5">
        <v>108.5</v>
      </c>
      <c r="D21927" s="5">
        <v>0.1</v>
      </c>
      <c r="E21927" s="5">
        <v>108.7</v>
      </c>
      <c r="F21927" s="5">
        <v>210.2</v>
      </c>
      <c r="G21927" s="5">
        <v>105.5</v>
      </c>
      <c r="H21927" s="5">
        <v>105.6</v>
      </c>
      <c r="I21927" s="5"/>
      <c r="J21927" s="5"/>
      <c r="K21927" s="5"/>
    </row>
    <row r="21928" spans="1:11" x14ac:dyDescent="0.25">
      <c r="A21928" s="5">
        <f>21921</f>
      </c>
      <c r="B21928" s="5" t="s">
        <v>21936</v>
      </c>
      <c r="C21928" s="5">
        <v>108.5</v>
      </c>
      <c r="D21928" s="5">
        <v>0.1</v>
      </c>
      <c r="E21928" s="5">
        <v>108.7</v>
      </c>
      <c r="F21928" s="5">
        <v>210.2</v>
      </c>
      <c r="G21928" s="5">
        <v>105.5</v>
      </c>
      <c r="H21928" s="5">
        <v>105.6</v>
      </c>
      <c r="I21928" s="5"/>
      <c r="J21928" s="5"/>
      <c r="K21928" s="5"/>
    </row>
    <row r="21929" spans="1:11" x14ac:dyDescent="0.25">
      <c r="A21929" s="5">
        <f>21922</f>
      </c>
      <c r="B21929" s="5" t="s">
        <v>21937</v>
      </c>
      <c r="C21929" s="5">
        <v>108.5</v>
      </c>
      <c r="D21929" s="5">
        <v>0.1</v>
      </c>
      <c r="E21929" s="5">
        <v>108.7</v>
      </c>
      <c r="F21929" s="5">
        <v>210.2</v>
      </c>
      <c r="G21929" s="5">
        <v>105.5</v>
      </c>
      <c r="H21929" s="5">
        <v>105.6</v>
      </c>
      <c r="I21929" s="5"/>
      <c r="J21929" s="5"/>
      <c r="K21929" s="5"/>
    </row>
    <row r="21930" spans="1:11" x14ac:dyDescent="0.25">
      <c r="A21930" s="5">
        <f>21923</f>
      </c>
      <c r="B21930" s="5" t="s">
        <v>21938</v>
      </c>
      <c r="C21930" s="5">
        <v>103.7</v>
      </c>
      <c r="D21930" s="5">
        <v>0.1</v>
      </c>
      <c r="E21930" s="5">
        <v>103.9</v>
      </c>
      <c r="F21930" s="5">
        <v>205.3</v>
      </c>
      <c r="G21930" s="5">
        <v>101.7</v>
      </c>
      <c r="H21930" s="5">
        <v>101.2</v>
      </c>
      <c r="I21930" s="5"/>
      <c r="J21930" s="5"/>
      <c r="K21930" s="5"/>
    </row>
    <row r="21931" spans="1:11" x14ac:dyDescent="0.25">
      <c r="A21931" s="5">
        <f>21924</f>
      </c>
      <c r="B21931" s="5" t="s">
        <v>21939</v>
      </c>
      <c r="C21931" s="5">
        <v>103.7</v>
      </c>
      <c r="D21931" s="5">
        <v>0.1</v>
      </c>
      <c r="E21931" s="5">
        <v>103.9</v>
      </c>
      <c r="F21931" s="5">
        <v>205.3</v>
      </c>
      <c r="G21931" s="5">
        <v>101.7</v>
      </c>
      <c r="H21931" s="5">
        <v>101.2</v>
      </c>
      <c r="I21931" s="5"/>
      <c r="J21931" s="5"/>
      <c r="K21931" s="5"/>
    </row>
    <row r="21932" spans="1:11" x14ac:dyDescent="0.25">
      <c r="A21932" s="5">
        <f>21925</f>
      </c>
      <c r="B21932" s="5" t="s">
        <v>21940</v>
      </c>
      <c r="C21932" s="5">
        <v>102</v>
      </c>
      <c r="D21932" s="5">
        <v>0.1</v>
      </c>
      <c r="E21932" s="5">
        <v>102.1</v>
      </c>
      <c r="F21932" s="5">
        <v>205.6</v>
      </c>
      <c r="G21932" s="5">
        <v>102.4</v>
      </c>
      <c r="H21932" s="5">
        <v>102</v>
      </c>
      <c r="I21932" s="5"/>
      <c r="J21932" s="5"/>
      <c r="K21932" s="5"/>
    </row>
    <row r="21933" spans="1:11" x14ac:dyDescent="0.25">
      <c r="A21933" s="5">
        <f>21926</f>
      </c>
      <c r="B21933" s="5" t="s">
        <v>21941</v>
      </c>
      <c r="C21933" s="5">
        <v>102</v>
      </c>
      <c r="D21933" s="5">
        <v>0.1</v>
      </c>
      <c r="E21933" s="5">
        <v>102.1</v>
      </c>
      <c r="F21933" s="5">
        <v>205.6</v>
      </c>
      <c r="G21933" s="5">
        <v>102.4</v>
      </c>
      <c r="H21933" s="5">
        <v>102</v>
      </c>
      <c r="I21933" s="5"/>
      <c r="J21933" s="5"/>
      <c r="K21933" s="5"/>
    </row>
    <row r="21934" spans="1:11" x14ac:dyDescent="0.25">
      <c r="A21934" s="5">
        <f>21927</f>
      </c>
      <c r="B21934" s="5" t="s">
        <v>21942</v>
      </c>
      <c r="C21934" s="5">
        <v>107.9</v>
      </c>
      <c r="D21934" s="5">
        <v>0.1</v>
      </c>
      <c r="E21934" s="5">
        <v>108.1</v>
      </c>
      <c r="F21934" s="5">
        <v>215.7</v>
      </c>
      <c r="G21934" s="5">
        <v>107.6</v>
      </c>
      <c r="H21934" s="5">
        <v>102</v>
      </c>
      <c r="I21934" s="5"/>
      <c r="J21934" s="5"/>
      <c r="K21934" s="5"/>
    </row>
    <row r="21935" spans="1:11" x14ac:dyDescent="0.25">
      <c r="A21935" s="5">
        <f>21928</f>
      </c>
      <c r="B21935" s="5" t="s">
        <v>21943</v>
      </c>
      <c r="C21935" s="5">
        <v>107.9</v>
      </c>
      <c r="D21935" s="5">
        <v>0.1</v>
      </c>
      <c r="E21935" s="5">
        <v>108.1</v>
      </c>
      <c r="F21935" s="5">
        <v>215.7</v>
      </c>
      <c r="G21935" s="5">
        <v>107.6</v>
      </c>
      <c r="H21935" s="5">
        <v>107.3</v>
      </c>
      <c r="I21935" s="5"/>
      <c r="J21935" s="5"/>
      <c r="K21935" s="5"/>
    </row>
    <row r="21936" spans="1:11" x14ac:dyDescent="0.25">
      <c r="A21936" s="5">
        <f>21929</f>
      </c>
      <c r="B21936" s="5" t="s">
        <v>21944</v>
      </c>
      <c r="C21936" s="5">
        <v>108.3</v>
      </c>
      <c r="D21936" s="5">
        <v>0.1</v>
      </c>
      <c r="E21936" s="5">
        <v>108.5</v>
      </c>
      <c r="F21936" s="5">
        <v>213.8</v>
      </c>
      <c r="G21936" s="5">
        <v>103.5</v>
      </c>
      <c r="H21936" s="5">
        <v>107.3</v>
      </c>
      <c r="I21936" s="5"/>
      <c r="J21936" s="5"/>
      <c r="K21936" s="5"/>
    </row>
    <row r="21937" spans="1:11" x14ac:dyDescent="0.25">
      <c r="A21937" s="5">
        <f>21930</f>
      </c>
      <c r="B21937" s="5" t="s">
        <v>21945</v>
      </c>
      <c r="C21937" s="5">
        <v>108.3</v>
      </c>
      <c r="D21937" s="5">
        <v>0.1</v>
      </c>
      <c r="E21937" s="5">
        <v>108.5</v>
      </c>
      <c r="F21937" s="5">
        <v>213.8</v>
      </c>
      <c r="G21937" s="5">
        <v>103.5</v>
      </c>
      <c r="H21937" s="5">
        <v>103.4</v>
      </c>
      <c r="I21937" s="5"/>
      <c r="J21937" s="5"/>
      <c r="K21937" s="5"/>
    </row>
    <row r="21938" spans="1:11" x14ac:dyDescent="0.25">
      <c r="A21938" s="5">
        <f>21931</f>
      </c>
      <c r="B21938" s="5" t="s">
        <v>21946</v>
      </c>
      <c r="C21938" s="5">
        <v>108.3</v>
      </c>
      <c r="D21938" s="5">
        <v>0.1</v>
      </c>
      <c r="E21938" s="5">
        <v>108.5</v>
      </c>
      <c r="F21938" s="5">
        <v>213.8</v>
      </c>
      <c r="G21938" s="5">
        <v>103.5</v>
      </c>
      <c r="H21938" s="5">
        <v>103.4</v>
      </c>
      <c r="I21938" s="5"/>
      <c r="J21938" s="5"/>
      <c r="K21938" s="5"/>
    </row>
    <row r="21939" spans="1:11" x14ac:dyDescent="0.25">
      <c r="A21939" s="5">
        <f>21932</f>
      </c>
      <c r="B21939" s="5" t="s">
        <v>21947</v>
      </c>
      <c r="C21939" s="5">
        <v>108.3</v>
      </c>
      <c r="D21939" s="5">
        <v>0.1</v>
      </c>
      <c r="E21939" s="5">
        <v>108.5</v>
      </c>
      <c r="F21939" s="5">
        <v>213.8</v>
      </c>
      <c r="G21939" s="5">
        <v>103.5</v>
      </c>
      <c r="H21939" s="5">
        <v>103.4</v>
      </c>
      <c r="I21939" s="5"/>
      <c r="J21939" s="5"/>
      <c r="K21939" s="5"/>
    </row>
    <row r="21940" spans="1:11" x14ac:dyDescent="0.25">
      <c r="A21940" s="5">
        <f>21933</f>
      </c>
      <c r="B21940" s="5" t="s">
        <v>21948</v>
      </c>
      <c r="C21940" s="5">
        <v>103.7</v>
      </c>
      <c r="D21940" s="5">
        <v>0.1</v>
      </c>
      <c r="E21940" s="5">
        <v>103.7</v>
      </c>
      <c r="F21940" s="5">
        <v>206.5</v>
      </c>
      <c r="G21940" s="5">
        <v>103.5</v>
      </c>
      <c r="H21940" s="5">
        <v>103.4</v>
      </c>
      <c r="I21940" s="5"/>
      <c r="J21940" s="5"/>
      <c r="K21940" s="5"/>
    </row>
    <row r="21941" spans="1:11" x14ac:dyDescent="0.25">
      <c r="A21941" s="5">
        <f>21934</f>
      </c>
      <c r="B21941" s="5" t="s">
        <v>21949</v>
      </c>
      <c r="C21941" s="5">
        <v>103.7</v>
      </c>
      <c r="D21941" s="5">
        <v>0.1</v>
      </c>
      <c r="E21941" s="5">
        <v>103.7</v>
      </c>
      <c r="F21941" s="5">
        <v>206.5</v>
      </c>
      <c r="G21941" s="5">
        <v>103</v>
      </c>
      <c r="H21941" s="5">
        <v>102.9</v>
      </c>
      <c r="I21941" s="5"/>
      <c r="J21941" s="5"/>
      <c r="K21941" s="5"/>
    </row>
    <row r="21942" spans="1:11" x14ac:dyDescent="0.25">
      <c r="A21942" s="5">
        <f>21935</f>
      </c>
      <c r="B21942" s="5" t="s">
        <v>21950</v>
      </c>
      <c r="C21942" s="5">
        <v>104</v>
      </c>
      <c r="D21942" s="5">
        <v>0.1</v>
      </c>
      <c r="E21942" s="5">
        <v>103.7</v>
      </c>
      <c r="F21942" s="5">
        <v>206.5</v>
      </c>
      <c r="G21942" s="5">
        <v>103</v>
      </c>
      <c r="H21942" s="5">
        <v>102.9</v>
      </c>
      <c r="I21942" s="5"/>
      <c r="J21942" s="5"/>
      <c r="K21942" s="5"/>
    </row>
    <row r="21943" spans="1:11" x14ac:dyDescent="0.25">
      <c r="A21943" s="5">
        <f>21936</f>
      </c>
      <c r="B21943" s="5" t="s">
        <v>21951</v>
      </c>
      <c r="C21943" s="5">
        <v>104</v>
      </c>
      <c r="D21943" s="5">
        <v>0.1</v>
      </c>
      <c r="E21943" s="5">
        <v>104.2</v>
      </c>
      <c r="F21943" s="5">
        <v>218.8</v>
      </c>
      <c r="G21943" s="5">
        <v>109.1</v>
      </c>
      <c r="H21943" s="5">
        <v>108.8</v>
      </c>
      <c r="I21943" s="5"/>
      <c r="J21943" s="5"/>
      <c r="K21943" s="5"/>
    </row>
    <row r="21944" spans="1:11" x14ac:dyDescent="0.25">
      <c r="A21944" s="5">
        <f>21937</f>
      </c>
      <c r="B21944" s="5" t="s">
        <v>21952</v>
      </c>
      <c r="C21944" s="5">
        <v>104</v>
      </c>
      <c r="D21944" s="5">
        <v>0.1</v>
      </c>
      <c r="E21944" s="5">
        <v>104.2</v>
      </c>
      <c r="F21944" s="5">
        <v>218.8</v>
      </c>
      <c r="G21944" s="5">
        <v>109.1</v>
      </c>
      <c r="H21944" s="5">
        <v>108.8</v>
      </c>
      <c r="I21944" s="5"/>
      <c r="J21944" s="5"/>
      <c r="K21944" s="5"/>
    </row>
    <row r="21945" spans="1:11" x14ac:dyDescent="0.25">
      <c r="A21945" s="5">
        <f>21938</f>
      </c>
      <c r="B21945" s="5" t="s">
        <v>21953</v>
      </c>
      <c r="C21945" s="5">
        <v>104</v>
      </c>
      <c r="D21945" s="5">
        <v>0.1</v>
      </c>
      <c r="E21945" s="5">
        <v>104.2</v>
      </c>
      <c r="F21945" s="5">
        <v>210</v>
      </c>
      <c r="G21945" s="5">
        <v>104.7</v>
      </c>
      <c r="H21945" s="5">
        <v>104.6</v>
      </c>
      <c r="I21945" s="5"/>
      <c r="J21945" s="5"/>
      <c r="K21945" s="5"/>
    </row>
    <row r="21946" spans="1:11" x14ac:dyDescent="0.25">
      <c r="A21946" s="5">
        <f>21939</f>
      </c>
      <c r="B21946" s="5" t="s">
        <v>21954</v>
      </c>
      <c r="C21946" s="5">
        <v>104</v>
      </c>
      <c r="D21946" s="5">
        <v>0.1</v>
      </c>
      <c r="E21946" s="5">
        <v>104.2</v>
      </c>
      <c r="F21946" s="5">
        <v>210</v>
      </c>
      <c r="G21946" s="5">
        <v>104.7</v>
      </c>
      <c r="H21946" s="5">
        <v>104.6</v>
      </c>
      <c r="I21946" s="5"/>
      <c r="J21946" s="5"/>
      <c r="K21946" s="5"/>
    </row>
    <row r="21947" spans="1:11" x14ac:dyDescent="0.25">
      <c r="A21947" s="5">
        <f>21940</f>
      </c>
      <c r="B21947" s="5" t="s">
        <v>21955</v>
      </c>
      <c r="C21947" s="5">
        <v>103.2</v>
      </c>
      <c r="D21947" s="5">
        <v>0.1</v>
      </c>
      <c r="E21947" s="5">
        <v>103.4</v>
      </c>
      <c r="F21947" s="5">
        <v>208.5</v>
      </c>
      <c r="G21947" s="5">
        <v>104.3</v>
      </c>
      <c r="H21947" s="5">
        <v>104.3</v>
      </c>
      <c r="I21947" s="5"/>
      <c r="J21947" s="5"/>
      <c r="K21947" s="5"/>
    </row>
    <row r="21948" spans="1:11" x14ac:dyDescent="0.25">
      <c r="A21948" s="5">
        <f>21941</f>
      </c>
      <c r="B21948" s="5" t="s">
        <v>21956</v>
      </c>
      <c r="C21948" s="5">
        <v>103.2</v>
      </c>
      <c r="D21948" s="5">
        <v>0.1</v>
      </c>
      <c r="E21948" s="5">
        <v>103.4</v>
      </c>
      <c r="F21948" s="5">
        <v>208.5</v>
      </c>
      <c r="G21948" s="5">
        <v>104.3</v>
      </c>
      <c r="H21948" s="5">
        <v>104.3</v>
      </c>
      <c r="I21948" s="5"/>
      <c r="J21948" s="5"/>
      <c r="K21948" s="5"/>
    </row>
    <row r="21949" spans="1:11" x14ac:dyDescent="0.25">
      <c r="A21949" s="5">
        <f>21942</f>
      </c>
      <c r="B21949" s="5" t="s">
        <v>21957</v>
      </c>
      <c r="C21949" s="5">
        <v>103.2</v>
      </c>
      <c r="D21949" s="5">
        <v>0.1</v>
      </c>
      <c r="E21949" s="5">
        <v>103.4</v>
      </c>
      <c r="F21949" s="5">
        <v>208.5</v>
      </c>
      <c r="G21949" s="5">
        <v>104.3</v>
      </c>
      <c r="H21949" s="5">
        <v>104.3</v>
      </c>
      <c r="I21949" s="5"/>
      <c r="J21949" s="5"/>
      <c r="K21949" s="5"/>
    </row>
    <row r="21950" spans="1:11" x14ac:dyDescent="0.25">
      <c r="A21950" s="5">
        <f>21943</f>
      </c>
      <c r="B21950" s="5" t="s">
        <v>21958</v>
      </c>
      <c r="C21950" s="5">
        <v>103.2</v>
      </c>
      <c r="D21950" s="5">
        <v>0.1</v>
      </c>
      <c r="E21950" s="5">
        <v>108.7</v>
      </c>
      <c r="F21950" s="5">
        <v>217</v>
      </c>
      <c r="G21950" s="5">
        <v>108.3</v>
      </c>
      <c r="H21950" s="5">
        <v>108.3</v>
      </c>
      <c r="I21950" s="5"/>
      <c r="J21950" s="5"/>
      <c r="K21950" s="5"/>
    </row>
    <row r="21951" spans="1:11" x14ac:dyDescent="0.25">
      <c r="A21951" s="5">
        <f>21944</f>
      </c>
      <c r="B21951" s="5" t="s">
        <v>21959</v>
      </c>
      <c r="C21951" s="5">
        <v>108.5</v>
      </c>
      <c r="D21951" s="5">
        <v>0.1</v>
      </c>
      <c r="E21951" s="5">
        <v>108.7</v>
      </c>
      <c r="F21951" s="5">
        <v>217</v>
      </c>
      <c r="G21951" s="5">
        <v>108.3</v>
      </c>
      <c r="H21951" s="5">
        <v>108.3</v>
      </c>
      <c r="I21951" s="5"/>
      <c r="J21951" s="5"/>
      <c r="K21951" s="5"/>
    </row>
    <row r="21952" spans="1:11" x14ac:dyDescent="0.25">
      <c r="A21952" s="5">
        <f>21945</f>
      </c>
      <c r="B21952" s="5" t="s">
        <v>21960</v>
      </c>
      <c r="C21952" s="5">
        <v>108.5</v>
      </c>
      <c r="D21952" s="5">
        <v>0.1</v>
      </c>
      <c r="E21952" s="5">
        <v>105.9</v>
      </c>
      <c r="F21952" s="5">
        <v>209.2</v>
      </c>
      <c r="G21952" s="5">
        <v>104.1</v>
      </c>
      <c r="H21952" s="5">
        <v>103.8</v>
      </c>
      <c r="I21952" s="5"/>
      <c r="J21952" s="5"/>
      <c r="K21952" s="5"/>
    </row>
    <row r="21953" spans="1:11" x14ac:dyDescent="0.25">
      <c r="A21953" s="5">
        <f>21946</f>
      </c>
      <c r="B21953" s="5" t="s">
        <v>21961</v>
      </c>
      <c r="C21953" s="5">
        <v>105.8</v>
      </c>
      <c r="D21953" s="5">
        <v>0.1</v>
      </c>
      <c r="E21953" s="5">
        <v>105.9</v>
      </c>
      <c r="F21953" s="5">
        <v>209.2</v>
      </c>
      <c r="G21953" s="5">
        <v>104.1</v>
      </c>
      <c r="H21953" s="5">
        <v>103.8</v>
      </c>
      <c r="I21953" s="5"/>
      <c r="J21953" s="5"/>
      <c r="K21953" s="5"/>
    </row>
    <row r="21954" spans="1:11" x14ac:dyDescent="0.25">
      <c r="A21954" s="5">
        <f>21947</f>
      </c>
      <c r="B21954" s="5" t="s">
        <v>21962</v>
      </c>
      <c r="C21954" s="5">
        <v>105.8</v>
      </c>
      <c r="D21954" s="5">
        <v>0.1</v>
      </c>
      <c r="E21954" s="5">
        <v>102.4</v>
      </c>
      <c r="F21954" s="5">
        <v>204.1</v>
      </c>
      <c r="G21954" s="5">
        <v>102</v>
      </c>
      <c r="H21954" s="5">
        <v>102.2</v>
      </c>
      <c r="I21954" s="5"/>
      <c r="J21954" s="5"/>
      <c r="K21954" s="5"/>
    </row>
    <row r="21955" spans="1:11" x14ac:dyDescent="0.25">
      <c r="A21955" s="5">
        <f>21948</f>
      </c>
      <c r="B21955" s="5" t="s">
        <v>21963</v>
      </c>
      <c r="C21955" s="5">
        <v>102.2</v>
      </c>
      <c r="D21955" s="5">
        <v>0.1</v>
      </c>
      <c r="E21955" s="5">
        <v>102.4</v>
      </c>
      <c r="F21955" s="5">
        <v>204.1</v>
      </c>
      <c r="G21955" s="5">
        <v>102</v>
      </c>
      <c r="H21955" s="5">
        <v>102.2</v>
      </c>
      <c r="I21955" s="5"/>
      <c r="J21955" s="5"/>
      <c r="K21955" s="5"/>
    </row>
    <row r="21956" spans="1:11" x14ac:dyDescent="0.25">
      <c r="A21956" s="5">
        <f>21949</f>
      </c>
      <c r="B21956" s="5" t="s">
        <v>21964</v>
      </c>
      <c r="C21956" s="5">
        <v>102.2</v>
      </c>
      <c r="D21956" s="5">
        <v>0.1</v>
      </c>
      <c r="E21956" s="5">
        <v>102.4</v>
      </c>
      <c r="F21956" s="5">
        <v>204.1</v>
      </c>
      <c r="G21956" s="5">
        <v>107.8</v>
      </c>
      <c r="H21956" s="5">
        <v>107.2</v>
      </c>
      <c r="I21956" s="5"/>
      <c r="J21956" s="5"/>
      <c r="K21956" s="5"/>
    </row>
    <row r="21957" spans="1:11" x14ac:dyDescent="0.25">
      <c r="A21957" s="5">
        <f>21950</f>
      </c>
      <c r="B21957" s="5" t="s">
        <v>21965</v>
      </c>
      <c r="C21957" s="5">
        <v>108</v>
      </c>
      <c r="D21957" s="5">
        <v>0.1</v>
      </c>
      <c r="E21957" s="5">
        <v>108.1</v>
      </c>
      <c r="F21957" s="5">
        <v>216.1</v>
      </c>
      <c r="G21957" s="5">
        <v>107.8</v>
      </c>
      <c r="H21957" s="5">
        <v>107.2</v>
      </c>
      <c r="I21957" s="5"/>
      <c r="J21957" s="5"/>
      <c r="K21957" s="5"/>
    </row>
    <row r="21958" spans="1:11" x14ac:dyDescent="0.25">
      <c r="A21958" s="5">
        <f>21951</f>
      </c>
      <c r="B21958" s="5" t="s">
        <v>21966</v>
      </c>
      <c r="C21958" s="5">
        <v>108</v>
      </c>
      <c r="D21958" s="5">
        <v>0.1</v>
      </c>
      <c r="E21958" s="5">
        <v>108.1</v>
      </c>
      <c r="F21958" s="5">
        <v>216.1</v>
      </c>
      <c r="G21958" s="5">
        <v>107.8</v>
      </c>
      <c r="H21958" s="5">
        <v>107.2</v>
      </c>
      <c r="I21958" s="5"/>
      <c r="J21958" s="5"/>
      <c r="K21958" s="5"/>
    </row>
    <row r="21959" spans="1:11" x14ac:dyDescent="0.25">
      <c r="A21959" s="5">
        <f>21952</f>
      </c>
      <c r="B21959" s="5" t="s">
        <v>21967</v>
      </c>
      <c r="C21959" s="5">
        <v>108</v>
      </c>
      <c r="D21959" s="5">
        <v>0.1</v>
      </c>
      <c r="E21959" s="5">
        <v>108.1</v>
      </c>
      <c r="F21959" s="5">
        <v>216.1</v>
      </c>
      <c r="G21959" s="5">
        <v>107.8</v>
      </c>
      <c r="H21959" s="5">
        <v>107.2</v>
      </c>
      <c r="I21959" s="5"/>
      <c r="J21959" s="5"/>
      <c r="K21959" s="5"/>
    </row>
    <row r="21960" spans="1:11" x14ac:dyDescent="0.25">
      <c r="A21960" s="5">
        <f>21953</f>
      </c>
      <c r="B21960" s="5" t="s">
        <v>21968</v>
      </c>
      <c r="C21960" s="5">
        <v>109</v>
      </c>
      <c r="D21960" s="5">
        <v>0.1</v>
      </c>
      <c r="E21960" s="5">
        <v>109.1</v>
      </c>
      <c r="F21960" s="5">
        <v>217.6</v>
      </c>
      <c r="G21960" s="5">
        <v>108.5</v>
      </c>
      <c r="H21960" s="5">
        <v>108.4</v>
      </c>
      <c r="I21960" s="5"/>
      <c r="J21960" s="5"/>
      <c r="K21960" s="5"/>
    </row>
    <row r="21961" spans="1:11" x14ac:dyDescent="0.25">
      <c r="A21961" s="5">
        <f>21954</f>
      </c>
      <c r="B21961" s="5" t="s">
        <v>21969</v>
      </c>
      <c r="C21961" s="5">
        <v>109</v>
      </c>
      <c r="D21961" s="5">
        <v>0.1</v>
      </c>
      <c r="E21961" s="5">
        <v>109.1</v>
      </c>
      <c r="F21961" s="5">
        <v>217.6</v>
      </c>
      <c r="G21961" s="5">
        <v>108.5</v>
      </c>
      <c r="H21961" s="5">
        <v>108.4</v>
      </c>
      <c r="I21961" s="5"/>
      <c r="J21961" s="5"/>
      <c r="K21961" s="5"/>
    </row>
    <row r="21962" spans="1:11" x14ac:dyDescent="0.25">
      <c r="A21962" s="5">
        <f>21955</f>
      </c>
      <c r="B21962" s="5" t="s">
        <v>21970</v>
      </c>
      <c r="C21962" s="5">
        <v>108.6</v>
      </c>
      <c r="D21962" s="5">
        <v>0.1</v>
      </c>
      <c r="E21962" s="5">
        <v>108.8</v>
      </c>
      <c r="F21962" s="5">
        <v>217.1</v>
      </c>
      <c r="G21962" s="5">
        <v>108.4</v>
      </c>
      <c r="H21962" s="5">
        <v>108.2</v>
      </c>
      <c r="I21962" s="5"/>
      <c r="J21962" s="5"/>
      <c r="K21962" s="5"/>
    </row>
    <row r="21963" spans="1:11" x14ac:dyDescent="0.25">
      <c r="A21963" s="5">
        <f>21956</f>
      </c>
      <c r="B21963" s="5" t="s">
        <v>21971</v>
      </c>
      <c r="C21963" s="5">
        <v>108.6</v>
      </c>
      <c r="D21963" s="5">
        <v>0.1</v>
      </c>
      <c r="E21963" s="5">
        <v>108.8</v>
      </c>
      <c r="F21963" s="5">
        <v>217.1</v>
      </c>
      <c r="G21963" s="5">
        <v>108.4</v>
      </c>
      <c r="H21963" s="5">
        <v>108.2</v>
      </c>
      <c r="I21963" s="5"/>
      <c r="J21963" s="5"/>
      <c r="K21963" s="5"/>
    </row>
    <row r="21964" spans="1:11" x14ac:dyDescent="0.25">
      <c r="A21964" s="5">
        <f>21957</f>
      </c>
      <c r="B21964" s="5" t="s">
        <v>21972</v>
      </c>
      <c r="C21964" s="5">
        <v>108.1</v>
      </c>
      <c r="D21964" s="5">
        <v>0.1</v>
      </c>
      <c r="E21964" s="5">
        <v>108.3</v>
      </c>
      <c r="F21964" s="5">
        <v>215.8</v>
      </c>
      <c r="G21964" s="5">
        <v>107.7</v>
      </c>
      <c r="H21964" s="5">
        <v>107.6</v>
      </c>
      <c r="I21964" s="5"/>
      <c r="J21964" s="5"/>
      <c r="K21964" s="5"/>
    </row>
    <row r="21965" spans="1:11" x14ac:dyDescent="0.25">
      <c r="A21965" s="5">
        <f>21958</f>
      </c>
      <c r="B21965" s="5" t="s">
        <v>21973</v>
      </c>
      <c r="C21965" s="5">
        <v>108.1</v>
      </c>
      <c r="D21965" s="5">
        <v>0.1</v>
      </c>
      <c r="E21965" s="5">
        <v>108.3</v>
      </c>
      <c r="F21965" s="5">
        <v>215.8</v>
      </c>
      <c r="G21965" s="5">
        <v>107.7</v>
      </c>
      <c r="H21965" s="5">
        <v>107.6</v>
      </c>
      <c r="I21965" s="5"/>
      <c r="J21965" s="5"/>
      <c r="K21965" s="5"/>
    </row>
    <row r="21966" spans="1:11" x14ac:dyDescent="0.25">
      <c r="A21966" s="5">
        <f>21959</f>
      </c>
      <c r="B21966" s="5" t="s">
        <v>21974</v>
      </c>
      <c r="C21966" s="5">
        <v>108.6</v>
      </c>
      <c r="D21966" s="5">
        <v>0.1</v>
      </c>
      <c r="E21966" s="5">
        <v>108.8</v>
      </c>
      <c r="F21966" s="5">
        <v>217</v>
      </c>
      <c r="G21966" s="5">
        <v>108.3</v>
      </c>
      <c r="H21966" s="5">
        <v>108.2</v>
      </c>
      <c r="I21966" s="5"/>
      <c r="J21966" s="5"/>
      <c r="K21966" s="5"/>
    </row>
    <row r="21967" spans="1:11" x14ac:dyDescent="0.25">
      <c r="A21967" s="5">
        <f>21960</f>
      </c>
      <c r="B21967" s="5" t="s">
        <v>21975</v>
      </c>
      <c r="C21967" s="5">
        <v>108.6</v>
      </c>
      <c r="D21967" s="5">
        <v>0.1</v>
      </c>
      <c r="E21967" s="5">
        <v>108.8</v>
      </c>
      <c r="F21967" s="5">
        <v>217</v>
      </c>
      <c r="G21967" s="5">
        <v>108.3</v>
      </c>
      <c r="H21967" s="5">
        <v>108.2</v>
      </c>
      <c r="I21967" s="5"/>
      <c r="J21967" s="5"/>
      <c r="K21967" s="5"/>
    </row>
    <row r="21968" spans="1:11" x14ac:dyDescent="0.25">
      <c r="A21968" s="5">
        <f>21961</f>
      </c>
      <c r="B21968" s="5" t="s">
        <v>21976</v>
      </c>
      <c r="C21968" s="5">
        <v>108.6</v>
      </c>
      <c r="D21968" s="5">
        <v>0.1</v>
      </c>
      <c r="E21968" s="5">
        <v>108.8</v>
      </c>
      <c r="F21968" s="5">
        <v>217</v>
      </c>
      <c r="G21968" s="5">
        <v>108.3</v>
      </c>
      <c r="H21968" s="5">
        <v>108.2</v>
      </c>
      <c r="I21968" s="5"/>
      <c r="J21968" s="5"/>
      <c r="K21968" s="5"/>
    </row>
    <row r="21969" spans="1:11" x14ac:dyDescent="0.25">
      <c r="A21969" s="5">
        <f>21962</f>
      </c>
      <c r="B21969" s="5" t="s">
        <v>21977</v>
      </c>
      <c r="C21969" s="5">
        <v>108.6</v>
      </c>
      <c r="D21969" s="5">
        <v>0.1</v>
      </c>
      <c r="E21969" s="5">
        <v>108.8</v>
      </c>
      <c r="F21969" s="5">
        <v>217</v>
      </c>
      <c r="G21969" s="5">
        <v>108.3</v>
      </c>
      <c r="H21969" s="5">
        <v>108.2</v>
      </c>
      <c r="I21969" s="5"/>
      <c r="J21969" s="5"/>
      <c r="K21969" s="5"/>
    </row>
    <row r="21970" spans="1:11" x14ac:dyDescent="0.25">
      <c r="A21970" s="5">
        <f>21963</f>
      </c>
      <c r="B21970" s="5" t="s">
        <v>21978</v>
      </c>
      <c r="C21970" s="5">
        <v>108.8</v>
      </c>
      <c r="D21970" s="5">
        <v>0.1</v>
      </c>
      <c r="E21970" s="5">
        <v>109</v>
      </c>
      <c r="F21970" s="5">
        <v>217.4</v>
      </c>
      <c r="G21970" s="5">
        <v>108.6</v>
      </c>
      <c r="H21970" s="5">
        <v>108.4</v>
      </c>
      <c r="I21970" s="5"/>
      <c r="J21970" s="5"/>
      <c r="K21970" s="5"/>
    </row>
    <row r="21971" spans="1:11" x14ac:dyDescent="0.25">
      <c r="A21971" s="5">
        <f>21964</f>
      </c>
      <c r="B21971" s="5" t="s">
        <v>21979</v>
      </c>
      <c r="C21971" s="5">
        <v>108.8</v>
      </c>
      <c r="D21971" s="5">
        <v>0.1</v>
      </c>
      <c r="E21971" s="5">
        <v>109</v>
      </c>
      <c r="F21971" s="5">
        <v>217.4</v>
      </c>
      <c r="G21971" s="5">
        <v>108.6</v>
      </c>
      <c r="H21971" s="5">
        <v>108.4</v>
      </c>
      <c r="I21971" s="5"/>
      <c r="J21971" s="5"/>
      <c r="K21971" s="5"/>
    </row>
    <row r="21972" spans="1:11" x14ac:dyDescent="0.25">
      <c r="A21972" s="5">
        <f>21965</f>
      </c>
      <c r="B21972" s="5" t="s">
        <v>21980</v>
      </c>
      <c r="C21972" s="5">
        <v>107.8</v>
      </c>
      <c r="D21972" s="5">
        <v>0.1</v>
      </c>
      <c r="E21972" s="5">
        <v>108</v>
      </c>
      <c r="F21972" s="5">
        <v>216</v>
      </c>
      <c r="G21972" s="5">
        <v>108</v>
      </c>
      <c r="H21972" s="5">
        <v>108.1</v>
      </c>
      <c r="I21972" s="5"/>
      <c r="J21972" s="5"/>
      <c r="K21972" s="5"/>
    </row>
    <row r="21973" spans="1:11" x14ac:dyDescent="0.25">
      <c r="A21973" s="5">
        <f>21966</f>
      </c>
      <c r="B21973" s="5" t="s">
        <v>21981</v>
      </c>
      <c r="C21973" s="5">
        <v>107.8</v>
      </c>
      <c r="D21973" s="5">
        <v>0.1</v>
      </c>
      <c r="E21973" s="5">
        <v>108</v>
      </c>
      <c r="F21973" s="5">
        <v>216</v>
      </c>
      <c r="G21973" s="5">
        <v>108</v>
      </c>
      <c r="H21973" s="5">
        <v>108.1</v>
      </c>
      <c r="I21973" s="5"/>
      <c r="J21973" s="5"/>
      <c r="K21973" s="5"/>
    </row>
    <row r="21974" spans="1:11" x14ac:dyDescent="0.25">
      <c r="A21974" s="5">
        <f>21967</f>
      </c>
      <c r="B21974" s="5" t="s">
        <v>21982</v>
      </c>
      <c r="C21974" s="5">
        <v>108.8</v>
      </c>
      <c r="D21974" s="5">
        <v>0.1</v>
      </c>
      <c r="E21974" s="5">
        <v>108.9</v>
      </c>
      <c r="F21974" s="5">
        <v>217.4</v>
      </c>
      <c r="G21974" s="5">
        <v>108.5</v>
      </c>
      <c r="H21974" s="5">
        <v>108.4</v>
      </c>
      <c r="I21974" s="5"/>
      <c r="J21974" s="5"/>
      <c r="K21974" s="5"/>
    </row>
    <row r="21975" spans="1:11" x14ac:dyDescent="0.25">
      <c r="A21975" s="5">
        <f>21968</f>
      </c>
      <c r="B21975" s="5" t="s">
        <v>21983</v>
      </c>
      <c r="C21975" s="5">
        <v>108.8</v>
      </c>
      <c r="D21975" s="5">
        <v>0.1</v>
      </c>
      <c r="E21975" s="5">
        <v>108.9</v>
      </c>
      <c r="F21975" s="5">
        <v>217.4</v>
      </c>
      <c r="G21975" s="5">
        <v>108.5</v>
      </c>
      <c r="H21975" s="5">
        <v>108.4</v>
      </c>
      <c r="I21975" s="5"/>
      <c r="J21975" s="5"/>
      <c r="K21975" s="5"/>
    </row>
    <row r="21976" spans="1:11" x14ac:dyDescent="0.25">
      <c r="A21976" s="5">
        <f>21969</f>
      </c>
      <c r="B21976" s="5" t="s">
        <v>21984</v>
      </c>
      <c r="C21976" s="5">
        <v>108.9</v>
      </c>
      <c r="D21976" s="5">
        <v>0.1</v>
      </c>
      <c r="E21976" s="5">
        <v>109.1</v>
      </c>
      <c r="F21976" s="5">
        <v>217.6</v>
      </c>
      <c r="G21976" s="5">
        <v>108.6</v>
      </c>
      <c r="H21976" s="5">
        <v>108.4</v>
      </c>
      <c r="I21976" s="5"/>
      <c r="J21976" s="5"/>
      <c r="K21976" s="5"/>
    </row>
    <row r="21977" spans="1:11" x14ac:dyDescent="0.25">
      <c r="A21977" s="5">
        <f>21970</f>
      </c>
      <c r="B21977" s="5" t="s">
        <v>21985</v>
      </c>
      <c r="C21977" s="5">
        <v>108.9</v>
      </c>
      <c r="D21977" s="5">
        <v>0.1</v>
      </c>
      <c r="E21977" s="5">
        <v>109.1</v>
      </c>
      <c r="F21977" s="5">
        <v>217.6</v>
      </c>
      <c r="G21977" s="5">
        <v>108.6</v>
      </c>
      <c r="H21977" s="5">
        <v>108.4</v>
      </c>
      <c r="I21977" s="5"/>
      <c r="J21977" s="5"/>
      <c r="K21977" s="5"/>
    </row>
    <row r="21978" spans="1:11" x14ac:dyDescent="0.25">
      <c r="A21978" s="5">
        <f>21971</f>
      </c>
      <c r="B21978" s="5" t="s">
        <v>21986</v>
      </c>
      <c r="C21978" s="5">
        <v>108.9</v>
      </c>
      <c r="D21978" s="5">
        <v>0.1</v>
      </c>
      <c r="E21978" s="5">
        <v>109.1</v>
      </c>
      <c r="F21978" s="5">
        <v>217.6</v>
      </c>
      <c r="G21978" s="5">
        <v>108.6</v>
      </c>
      <c r="H21978" s="5">
        <v>108.4</v>
      </c>
      <c r="I21978" s="5"/>
      <c r="J21978" s="5"/>
      <c r="K21978" s="5"/>
    </row>
    <row r="21979" spans="1:11" x14ac:dyDescent="0.25">
      <c r="A21979" s="5">
        <f>21972</f>
      </c>
      <c r="B21979" s="5" t="s">
        <v>21987</v>
      </c>
      <c r="C21979" s="5">
        <v>108.9</v>
      </c>
      <c r="D21979" s="5">
        <v>0.1</v>
      </c>
      <c r="E21979" s="5">
        <v>109.1</v>
      </c>
      <c r="F21979" s="5">
        <v>217.6</v>
      </c>
      <c r="G21979" s="5">
        <v>108.6</v>
      </c>
      <c r="H21979" s="5">
        <v>108.4</v>
      </c>
      <c r="I21979" s="5"/>
      <c r="J21979" s="5"/>
      <c r="K21979" s="5"/>
    </row>
    <row r="21980" spans="1:11" x14ac:dyDescent="0.25">
      <c r="A21980" s="5">
        <f>21973</f>
      </c>
      <c r="B21980" s="5" t="s">
        <v>21988</v>
      </c>
      <c r="C21980" s="5">
        <v>108.9</v>
      </c>
      <c r="D21980" s="5">
        <v>0.1</v>
      </c>
      <c r="E21980" s="5">
        <v>109.1</v>
      </c>
      <c r="F21980" s="5">
        <v>217.7</v>
      </c>
      <c r="G21980" s="5">
        <v>108.6</v>
      </c>
      <c r="H21980" s="5">
        <v>108.5</v>
      </c>
      <c r="I21980" s="5"/>
      <c r="J21980" s="5"/>
      <c r="K21980" s="5"/>
    </row>
    <row r="21981" spans="1:11" x14ac:dyDescent="0.25">
      <c r="A21981" s="5">
        <f>21974</f>
      </c>
      <c r="B21981" s="5" t="s">
        <v>21989</v>
      </c>
      <c r="C21981" s="5">
        <v>108.9</v>
      </c>
      <c r="D21981" s="5">
        <v>0.1</v>
      </c>
      <c r="E21981" s="5">
        <v>109.1</v>
      </c>
      <c r="F21981" s="5">
        <v>217.7</v>
      </c>
      <c r="G21981" s="5">
        <v>108.6</v>
      </c>
      <c r="H21981" s="5">
        <v>108.5</v>
      </c>
      <c r="I21981" s="5"/>
      <c r="J21981" s="5"/>
      <c r="K21981" s="5"/>
    </row>
    <row r="21982" spans="1:11" x14ac:dyDescent="0.25">
      <c r="A21982" s="5">
        <f>21975</f>
      </c>
      <c r="B21982" s="5" t="s">
        <v>21990</v>
      </c>
      <c r="C21982" s="5">
        <v>108.9</v>
      </c>
      <c r="D21982" s="5">
        <v>0.1</v>
      </c>
      <c r="E21982" s="5">
        <v>109</v>
      </c>
      <c r="F21982" s="5">
        <v>217.8</v>
      </c>
      <c r="G21982" s="5">
        <v>108.7</v>
      </c>
      <c r="H21982" s="5">
        <v>108.6</v>
      </c>
      <c r="I21982" s="5"/>
      <c r="J21982" s="5"/>
      <c r="K21982" s="5"/>
    </row>
    <row r="21983" spans="1:11" x14ac:dyDescent="0.25">
      <c r="A21983" s="5">
        <f>21976</f>
      </c>
      <c r="B21983" s="5" t="s">
        <v>21991</v>
      </c>
      <c r="C21983" s="5">
        <v>108.9</v>
      </c>
      <c r="D21983" s="5">
        <v>0.1</v>
      </c>
      <c r="E21983" s="5">
        <v>109</v>
      </c>
      <c r="F21983" s="5">
        <v>217.8</v>
      </c>
      <c r="G21983" s="5">
        <v>108.7</v>
      </c>
      <c r="H21983" s="5">
        <v>108.6</v>
      </c>
      <c r="I21983" s="5"/>
      <c r="J21983" s="5"/>
      <c r="K21983" s="5"/>
    </row>
    <row r="21984" spans="1:11" x14ac:dyDescent="0.25">
      <c r="A21984" s="5">
        <f>21977</f>
      </c>
      <c r="B21984" s="5" t="s">
        <v>21992</v>
      </c>
      <c r="C21984" s="5">
        <v>109.6</v>
      </c>
      <c r="D21984" s="5">
        <v>0.1</v>
      </c>
      <c r="E21984" s="5">
        <v>109.7</v>
      </c>
      <c r="F21984" s="5">
        <v>219.3</v>
      </c>
      <c r="G21984" s="5">
        <v>109.4</v>
      </c>
      <c r="H21984" s="5">
        <v>109.3</v>
      </c>
      <c r="I21984" s="5"/>
      <c r="J21984" s="5"/>
      <c r="K21984" s="5"/>
    </row>
    <row r="21985" spans="1:11" x14ac:dyDescent="0.25">
      <c r="A21985" s="5">
        <f>21978</f>
      </c>
      <c r="B21985" s="5" t="s">
        <v>21993</v>
      </c>
      <c r="C21985" s="5">
        <v>109.6</v>
      </c>
      <c r="D21985" s="5">
        <v>0.1</v>
      </c>
      <c r="E21985" s="5">
        <v>109.7</v>
      </c>
      <c r="F21985" s="5">
        <v>219.3</v>
      </c>
      <c r="G21985" s="5">
        <v>109.4</v>
      </c>
      <c r="H21985" s="5">
        <v>109.3</v>
      </c>
      <c r="I21985" s="5"/>
      <c r="J21985" s="5"/>
      <c r="K21985" s="5"/>
    </row>
    <row r="21986" spans="1:11" x14ac:dyDescent="0.25">
      <c r="A21986" s="5">
        <f>21979</f>
      </c>
      <c r="B21986" s="5" t="s">
        <v>21994</v>
      </c>
      <c r="C21986" s="5">
        <v>109.8</v>
      </c>
      <c r="D21986" s="5">
        <v>0.1</v>
      </c>
      <c r="E21986" s="5">
        <v>110</v>
      </c>
      <c r="F21986" s="5">
        <v>219</v>
      </c>
      <c r="G21986" s="5">
        <v>109.3</v>
      </c>
      <c r="H21986" s="5">
        <v>109.2</v>
      </c>
      <c r="I21986" s="5"/>
      <c r="J21986" s="5"/>
      <c r="K21986" s="5"/>
    </row>
    <row r="21987" spans="1:11" x14ac:dyDescent="0.25">
      <c r="A21987" s="5">
        <f>21980</f>
      </c>
      <c r="B21987" s="5" t="s">
        <v>21995</v>
      </c>
      <c r="C21987" s="5">
        <v>109.8</v>
      </c>
      <c r="D21987" s="5">
        <v>0.1</v>
      </c>
      <c r="E21987" s="5">
        <v>110</v>
      </c>
      <c r="F21987" s="5">
        <v>219</v>
      </c>
      <c r="G21987" s="5">
        <v>109.3</v>
      </c>
      <c r="H21987" s="5">
        <v>109.2</v>
      </c>
      <c r="I21987" s="5"/>
      <c r="J21987" s="5"/>
      <c r="K21987" s="5"/>
    </row>
    <row r="21988" spans="1:11" x14ac:dyDescent="0.25">
      <c r="A21988" s="5">
        <f>21981</f>
      </c>
      <c r="B21988" s="5" t="s">
        <v>21996</v>
      </c>
      <c r="C21988" s="5">
        <v>109.8</v>
      </c>
      <c r="D21988" s="5">
        <v>0.1</v>
      </c>
      <c r="E21988" s="5">
        <v>110</v>
      </c>
      <c r="F21988" s="5">
        <v>219</v>
      </c>
      <c r="G21988" s="5">
        <v>109.3</v>
      </c>
      <c r="H21988" s="5">
        <v>109.2</v>
      </c>
      <c r="I21988" s="5"/>
      <c r="J21988" s="5"/>
      <c r="K21988" s="5"/>
    </row>
    <row r="21989" spans="1:11" x14ac:dyDescent="0.25">
      <c r="A21989" s="5">
        <f>21982</f>
      </c>
      <c r="B21989" s="5" t="s">
        <v>21997</v>
      </c>
      <c r="C21989" s="5">
        <v>109.8</v>
      </c>
      <c r="D21989" s="5">
        <v>0.1</v>
      </c>
      <c r="E21989" s="5">
        <v>110</v>
      </c>
      <c r="F21989" s="5">
        <v>219</v>
      </c>
      <c r="G21989" s="5">
        <v>109.3</v>
      </c>
      <c r="H21989" s="5">
        <v>109.2</v>
      </c>
      <c r="I21989" s="5"/>
      <c r="J21989" s="5"/>
      <c r="K21989" s="5"/>
    </row>
    <row r="21990" spans="1:11" x14ac:dyDescent="0.25">
      <c r="A21990" s="5">
        <f>21983</f>
      </c>
      <c r="B21990" s="5" t="s">
        <v>21998</v>
      </c>
      <c r="C21990" s="5">
        <v>109.7</v>
      </c>
      <c r="D21990" s="5">
        <v>0.1</v>
      </c>
      <c r="E21990" s="5">
        <v>109.8</v>
      </c>
      <c r="F21990" s="5">
        <v>219.2</v>
      </c>
      <c r="G21990" s="5">
        <v>109.4</v>
      </c>
      <c r="H21990" s="5">
        <v>109.3</v>
      </c>
      <c r="I21990" s="5"/>
      <c r="J21990" s="5"/>
      <c r="K21990" s="5"/>
    </row>
    <row r="21991" spans="1:11" x14ac:dyDescent="0.25">
      <c r="A21991" s="5">
        <f>21984</f>
      </c>
      <c r="B21991" s="5" t="s">
        <v>21999</v>
      </c>
      <c r="C21991" s="5">
        <v>109.7</v>
      </c>
      <c r="D21991" s="5">
        <v>0.1</v>
      </c>
      <c r="E21991" s="5">
        <v>109.8</v>
      </c>
      <c r="F21991" s="5">
        <v>219.2</v>
      </c>
      <c r="G21991" s="5">
        <v>109.4</v>
      </c>
      <c r="H21991" s="5">
        <v>109.3</v>
      </c>
      <c r="I21991" s="5"/>
      <c r="J21991" s="5"/>
      <c r="K21991" s="5"/>
    </row>
    <row r="21992" spans="1:11" x14ac:dyDescent="0.25">
      <c r="A21992" s="5">
        <f>21985</f>
      </c>
      <c r="B21992" s="5" t="s">
        <v>22000</v>
      </c>
      <c r="C21992" s="5">
        <v>109.7</v>
      </c>
      <c r="D21992" s="5">
        <v>0.1</v>
      </c>
      <c r="E21992" s="5">
        <v>109.9</v>
      </c>
      <c r="F21992" s="5">
        <v>219.3</v>
      </c>
      <c r="G21992" s="5">
        <v>109.5</v>
      </c>
      <c r="H21992" s="5">
        <v>109.3</v>
      </c>
      <c r="I21992" s="5"/>
      <c r="J21992" s="5"/>
      <c r="K21992" s="5"/>
    </row>
    <row r="21993" spans="1:11" x14ac:dyDescent="0.25">
      <c r="A21993" s="5">
        <f>21986</f>
      </c>
      <c r="B21993" s="5" t="s">
        <v>22001</v>
      </c>
      <c r="C21993" s="5">
        <v>109.7</v>
      </c>
      <c r="D21993" s="5">
        <v>0.1</v>
      </c>
      <c r="E21993" s="5">
        <v>109.9</v>
      </c>
      <c r="F21993" s="5">
        <v>219.3</v>
      </c>
      <c r="G21993" s="5">
        <v>109.5</v>
      </c>
      <c r="H21993" s="5">
        <v>109.3</v>
      </c>
      <c r="I21993" s="5"/>
      <c r="J21993" s="5"/>
      <c r="K21993" s="5"/>
    </row>
    <row r="21994" spans="1:11" x14ac:dyDescent="0.25">
      <c r="A21994" s="5">
        <f>21987</f>
      </c>
      <c r="B21994" s="5" t="s">
        <v>22002</v>
      </c>
      <c r="C21994" s="5">
        <v>109.6</v>
      </c>
      <c r="D21994" s="5">
        <v>0.1</v>
      </c>
      <c r="E21994" s="5">
        <v>109.7</v>
      </c>
      <c r="F21994" s="5">
        <v>219.2</v>
      </c>
      <c r="G21994" s="5">
        <v>109.5</v>
      </c>
      <c r="H21994" s="5">
        <v>109.3</v>
      </c>
      <c r="I21994" s="5"/>
      <c r="J21994" s="5"/>
      <c r="K21994" s="5"/>
    </row>
    <row r="21995" spans="1:11" x14ac:dyDescent="0.25">
      <c r="A21995" s="5">
        <f>21988</f>
      </c>
      <c r="B21995" s="5" t="s">
        <v>22003</v>
      </c>
      <c r="C21995" s="5">
        <v>109.6</v>
      </c>
      <c r="D21995" s="5">
        <v>0.1</v>
      </c>
      <c r="E21995" s="5">
        <v>109.7</v>
      </c>
      <c r="F21995" s="5">
        <v>219.2</v>
      </c>
      <c r="G21995" s="5">
        <v>109.5</v>
      </c>
      <c r="H21995" s="5">
        <v>109.3</v>
      </c>
      <c r="I21995" s="5"/>
      <c r="J21995" s="5"/>
      <c r="K21995" s="5"/>
    </row>
    <row r="21996" spans="1:11" x14ac:dyDescent="0.25">
      <c r="A21996" s="5">
        <f>21989</f>
      </c>
      <c r="B21996" s="5" t="s">
        <v>22004</v>
      </c>
      <c r="C21996" s="5">
        <v>109.1</v>
      </c>
      <c r="D21996" s="5">
        <v>0.1</v>
      </c>
      <c r="E21996" s="5">
        <v>109.3</v>
      </c>
      <c r="F21996" s="5">
        <v>218.7</v>
      </c>
      <c r="G21996" s="5">
        <v>109.1</v>
      </c>
      <c r="H21996" s="5">
        <v>109</v>
      </c>
      <c r="I21996" s="5"/>
      <c r="J21996" s="5"/>
      <c r="K21996" s="5"/>
    </row>
    <row r="21997" spans="1:11" x14ac:dyDescent="0.25">
      <c r="A21997" s="5">
        <f>21990</f>
      </c>
      <c r="B21997" s="5" t="s">
        <v>22005</v>
      </c>
      <c r="C21997" s="5">
        <v>109.1</v>
      </c>
      <c r="D21997" s="5">
        <v>0.1</v>
      </c>
      <c r="E21997" s="5">
        <v>109.3</v>
      </c>
      <c r="F21997" s="5">
        <v>218.7</v>
      </c>
      <c r="G21997" s="5">
        <v>109.1</v>
      </c>
      <c r="H21997" s="5">
        <v>109</v>
      </c>
      <c r="I21997" s="5"/>
      <c r="J21997" s="5"/>
      <c r="K21997" s="5"/>
    </row>
    <row r="21998" spans="1:11" x14ac:dyDescent="0.25">
      <c r="A21998" s="5">
        <f>21991</f>
      </c>
      <c r="B21998" s="5" t="s">
        <v>22006</v>
      </c>
      <c r="C21998" s="5">
        <v>109.1</v>
      </c>
      <c r="D21998" s="5">
        <v>0.1</v>
      </c>
      <c r="E21998" s="5">
        <v>109.3</v>
      </c>
      <c r="F21998" s="5">
        <v>218.7</v>
      </c>
      <c r="G21998" s="5">
        <v>109.1</v>
      </c>
      <c r="H21998" s="5">
        <v>109</v>
      </c>
      <c r="I21998" s="5"/>
      <c r="J21998" s="5"/>
      <c r="K21998" s="5"/>
    </row>
    <row r="21999" spans="1:11" x14ac:dyDescent="0.25">
      <c r="A21999" s="5">
        <f>21992</f>
      </c>
      <c r="B21999" s="5" t="s">
        <v>22007</v>
      </c>
      <c r="C21999" s="5">
        <v>109.1</v>
      </c>
      <c r="D21999" s="5">
        <v>0.1</v>
      </c>
      <c r="E21999" s="5">
        <v>109.3</v>
      </c>
      <c r="F21999" s="5">
        <v>218.7</v>
      </c>
      <c r="G21999" s="5">
        <v>109.1</v>
      </c>
      <c r="H21999" s="5">
        <v>109</v>
      </c>
      <c r="I21999" s="5"/>
      <c r="J21999" s="5"/>
      <c r="K21999" s="5"/>
    </row>
    <row r="22000" spans="1:11" x14ac:dyDescent="0.25">
      <c r="A22000" s="5">
        <f>21993</f>
      </c>
      <c r="B22000" s="5" t="s">
        <v>22008</v>
      </c>
      <c r="C22000" s="5">
        <v>109.7</v>
      </c>
      <c r="D22000" s="5">
        <v>0.1</v>
      </c>
      <c r="E22000" s="5">
        <v>109.9</v>
      </c>
      <c r="F22000" s="5">
        <v>219.2</v>
      </c>
      <c r="G22000" s="5">
        <v>109.4</v>
      </c>
      <c r="H22000" s="5">
        <v>109.3</v>
      </c>
      <c r="I22000" s="5"/>
      <c r="J22000" s="5"/>
      <c r="K22000" s="5"/>
    </row>
    <row r="22001" spans="1:11" x14ac:dyDescent="0.25">
      <c r="A22001" s="5">
        <f>21994</f>
      </c>
      <c r="B22001" s="5" t="s">
        <v>22009</v>
      </c>
      <c r="C22001" s="5">
        <v>109.7</v>
      </c>
      <c r="D22001" s="5">
        <v>0.1</v>
      </c>
      <c r="E22001" s="5">
        <v>109.9</v>
      </c>
      <c r="F22001" s="5">
        <v>219.2</v>
      </c>
      <c r="G22001" s="5">
        <v>109.4</v>
      </c>
      <c r="H22001" s="5">
        <v>109.3</v>
      </c>
      <c r="I22001" s="5"/>
      <c r="J22001" s="5"/>
      <c r="K22001" s="5"/>
    </row>
    <row r="22002" spans="1:11" x14ac:dyDescent="0.25">
      <c r="A22002" s="5">
        <f>21995</f>
      </c>
      <c r="B22002" s="5" t="s">
        <v>22010</v>
      </c>
      <c r="C22002" s="5">
        <v>109.7</v>
      </c>
      <c r="D22002" s="5">
        <v>0.1</v>
      </c>
      <c r="E22002" s="5">
        <v>109.8</v>
      </c>
      <c r="F22002" s="5">
        <v>219</v>
      </c>
      <c r="G22002" s="5">
        <v>109.3</v>
      </c>
      <c r="H22002" s="5">
        <v>109.2</v>
      </c>
      <c r="I22002" s="5"/>
      <c r="J22002" s="5"/>
      <c r="K22002" s="5"/>
    </row>
    <row r="22003" spans="1:11" x14ac:dyDescent="0.25">
      <c r="A22003" s="5">
        <f>21996</f>
      </c>
      <c r="B22003" s="5" t="s">
        <v>22011</v>
      </c>
      <c r="C22003" s="5">
        <v>109.7</v>
      </c>
      <c r="D22003" s="5">
        <v>0.1</v>
      </c>
      <c r="E22003" s="5">
        <v>109.8</v>
      </c>
      <c r="F22003" s="5">
        <v>219</v>
      </c>
      <c r="G22003" s="5">
        <v>109.3</v>
      </c>
      <c r="H22003" s="5">
        <v>109.2</v>
      </c>
      <c r="I22003" s="5"/>
      <c r="J22003" s="5"/>
      <c r="K22003" s="5"/>
    </row>
    <row r="22004" spans="1:11" x14ac:dyDescent="0.25">
      <c r="A22004" s="5">
        <f>21997</f>
      </c>
      <c r="B22004" s="5" t="s">
        <v>22012</v>
      </c>
      <c r="C22004" s="5">
        <v>109.4</v>
      </c>
      <c r="D22004" s="5">
        <v>0.1</v>
      </c>
      <c r="E22004" s="5">
        <v>109.6</v>
      </c>
      <c r="F22004" s="5">
        <v>218.6</v>
      </c>
      <c r="G22004" s="5">
        <v>109</v>
      </c>
      <c r="H22004" s="5">
        <v>108.8</v>
      </c>
      <c r="I22004" s="5"/>
      <c r="J22004" s="5"/>
      <c r="K22004" s="5"/>
    </row>
    <row r="22005" spans="1:11" x14ac:dyDescent="0.25">
      <c r="A22005" s="5">
        <f>21998</f>
      </c>
      <c r="B22005" s="5" t="s">
        <v>22013</v>
      </c>
      <c r="C22005" s="5">
        <v>109.4</v>
      </c>
      <c r="D22005" s="5">
        <v>0.1</v>
      </c>
      <c r="E22005" s="5">
        <v>109.6</v>
      </c>
      <c r="F22005" s="5">
        <v>218.6</v>
      </c>
      <c r="G22005" s="5">
        <v>109</v>
      </c>
      <c r="H22005" s="5">
        <v>108.8</v>
      </c>
      <c r="I22005" s="5"/>
      <c r="J22005" s="5"/>
      <c r="K22005" s="5"/>
    </row>
    <row r="22006" spans="1:11" x14ac:dyDescent="0.25">
      <c r="A22006" s="5">
        <f>21999</f>
      </c>
      <c r="B22006" s="5" t="s">
        <v>22014</v>
      </c>
      <c r="C22006" s="5">
        <v>109.2</v>
      </c>
      <c r="D22006" s="5">
        <v>0.1</v>
      </c>
      <c r="E22006" s="5">
        <v>109.4</v>
      </c>
      <c r="F22006" s="5">
        <v>218</v>
      </c>
      <c r="G22006" s="5">
        <v>108.8</v>
      </c>
      <c r="H22006" s="5">
        <v>108.6</v>
      </c>
      <c r="I22006" s="5"/>
      <c r="J22006" s="5"/>
      <c r="K22006" s="5"/>
    </row>
    <row r="22007" spans="1:11" x14ac:dyDescent="0.25">
      <c r="A22007" s="5">
        <f>22000</f>
      </c>
      <c r="B22007" s="5" t="s">
        <v>22015</v>
      </c>
      <c r="C22007" s="5">
        <v>109.2</v>
      </c>
      <c r="D22007" s="5">
        <v>0.1</v>
      </c>
      <c r="E22007" s="5">
        <v>109.4</v>
      </c>
      <c r="F22007" s="5">
        <v>218</v>
      </c>
      <c r="G22007" s="5">
        <v>108.8</v>
      </c>
      <c r="H22007" s="5">
        <v>108.6</v>
      </c>
      <c r="I22007" s="5"/>
      <c r="J22007" s="5"/>
      <c r="K22007" s="5"/>
    </row>
    <row r="22008" spans="1:11" x14ac:dyDescent="0.25">
      <c r="A22008" s="5">
        <f>22001</f>
      </c>
      <c r="B22008" s="5" t="s">
        <v>22016</v>
      </c>
      <c r="C22008" s="5">
        <v>109.2</v>
      </c>
      <c r="D22008" s="5">
        <v>0.1</v>
      </c>
      <c r="E22008" s="5">
        <v>109.4</v>
      </c>
      <c r="F22008" s="5">
        <v>218</v>
      </c>
      <c r="G22008" s="5">
        <v>108.8</v>
      </c>
      <c r="H22008" s="5">
        <v>108.6</v>
      </c>
      <c r="I22008" s="5"/>
      <c r="J22008" s="5"/>
      <c r="K22008" s="5"/>
    </row>
    <row r="22009" spans="1:11" x14ac:dyDescent="0.25">
      <c r="A22009" s="5">
        <f>22002</f>
      </c>
      <c r="B22009" s="5" t="s">
        <v>22017</v>
      </c>
      <c r="C22009" s="5">
        <v>109.2</v>
      </c>
      <c r="D22009" s="5">
        <v>0.1</v>
      </c>
      <c r="E22009" s="5">
        <v>109.4</v>
      </c>
      <c r="F22009" s="5">
        <v>218</v>
      </c>
      <c r="G22009" s="5">
        <v>108.8</v>
      </c>
      <c r="H22009" s="5">
        <v>108.6</v>
      </c>
      <c r="I22009" s="5"/>
      <c r="J22009" s="5"/>
      <c r="K22009" s="5"/>
    </row>
    <row r="22010" spans="1:11" x14ac:dyDescent="0.25">
      <c r="A22010" s="5">
        <f>22003</f>
      </c>
      <c r="B22010" s="5" t="s">
        <v>22018</v>
      </c>
      <c r="C22010" s="5">
        <v>109.7</v>
      </c>
      <c r="D22010" s="5">
        <v>0.1</v>
      </c>
      <c r="E22010" s="5">
        <v>109.8</v>
      </c>
      <c r="F22010" s="5">
        <v>218.6</v>
      </c>
      <c r="G22010" s="5">
        <v>109.1</v>
      </c>
      <c r="H22010" s="5">
        <v>109</v>
      </c>
      <c r="I22010" s="5"/>
      <c r="J22010" s="5"/>
      <c r="K22010" s="5"/>
    </row>
    <row r="22011" spans="1:11" x14ac:dyDescent="0.25">
      <c r="A22011" s="5">
        <f>22004</f>
      </c>
      <c r="B22011" s="5" t="s">
        <v>22019</v>
      </c>
      <c r="C22011" s="5">
        <v>109.7</v>
      </c>
      <c r="D22011" s="5">
        <v>0.1</v>
      </c>
      <c r="E22011" s="5">
        <v>109.8</v>
      </c>
      <c r="F22011" s="5">
        <v>218.6</v>
      </c>
      <c r="G22011" s="5">
        <v>109.1</v>
      </c>
      <c r="H22011" s="5">
        <v>109</v>
      </c>
      <c r="I22011" s="5"/>
      <c r="J22011" s="5"/>
      <c r="K22011" s="5"/>
    </row>
    <row r="22012" spans="1:11" x14ac:dyDescent="0.25">
      <c r="A22012" s="5">
        <f>22005</f>
      </c>
      <c r="B22012" s="5" t="s">
        <v>22020</v>
      </c>
      <c r="C22012" s="5">
        <v>110.2</v>
      </c>
      <c r="D22012" s="5">
        <v>0.1</v>
      </c>
      <c r="E22012" s="5">
        <v>110.4</v>
      </c>
      <c r="F22012" s="5">
        <v>219.9</v>
      </c>
      <c r="G22012" s="5">
        <v>109.8</v>
      </c>
      <c r="H22012" s="5">
        <v>109.6</v>
      </c>
      <c r="I22012" s="5"/>
      <c r="J22012" s="5"/>
      <c r="K22012" s="5"/>
    </row>
    <row r="22013" spans="1:11" x14ac:dyDescent="0.25">
      <c r="A22013" s="5">
        <f>22006</f>
      </c>
      <c r="B22013" s="5" t="s">
        <v>22021</v>
      </c>
      <c r="C22013" s="5">
        <v>110.2</v>
      </c>
      <c r="D22013" s="5">
        <v>0.1</v>
      </c>
      <c r="E22013" s="5">
        <v>110.4</v>
      </c>
      <c r="F22013" s="5">
        <v>219.9</v>
      </c>
      <c r="G22013" s="5">
        <v>109.8</v>
      </c>
      <c r="H22013" s="5">
        <v>109.6</v>
      </c>
      <c r="I22013" s="5"/>
      <c r="J22013" s="5"/>
      <c r="K22013" s="5"/>
    </row>
    <row r="22014" spans="1:11" x14ac:dyDescent="0.25">
      <c r="A22014" s="5">
        <f>22007</f>
      </c>
      <c r="B22014" s="5" t="s">
        <v>22022</v>
      </c>
      <c r="C22014" s="5">
        <v>109.4</v>
      </c>
      <c r="D22014" s="5">
        <v>0.1</v>
      </c>
      <c r="E22014" s="5">
        <v>109.6</v>
      </c>
      <c r="F22014" s="5">
        <v>219</v>
      </c>
      <c r="G22014" s="5">
        <v>109.3</v>
      </c>
      <c r="H22014" s="5">
        <v>109.2</v>
      </c>
      <c r="I22014" s="5"/>
      <c r="J22014" s="5"/>
      <c r="K22014" s="5"/>
    </row>
    <row r="22015" spans="1:11" x14ac:dyDescent="0.25">
      <c r="A22015" s="5">
        <f>22008</f>
      </c>
      <c r="B22015" s="5" t="s">
        <v>22023</v>
      </c>
      <c r="C22015" s="5">
        <v>109.4</v>
      </c>
      <c r="D22015" s="5">
        <v>0.1</v>
      </c>
      <c r="E22015" s="5">
        <v>109.6</v>
      </c>
      <c r="F22015" s="5">
        <v>219</v>
      </c>
      <c r="G22015" s="5">
        <v>109.3</v>
      </c>
      <c r="H22015" s="5">
        <v>109.2</v>
      </c>
      <c r="I22015" s="5"/>
      <c r="J22015" s="5"/>
      <c r="K22015" s="5"/>
    </row>
    <row r="22016" spans="1:11" x14ac:dyDescent="0.25">
      <c r="A22016" s="5">
        <f>22009</f>
      </c>
      <c r="B22016" s="5" t="s">
        <v>22024</v>
      </c>
      <c r="C22016" s="5">
        <v>110.1</v>
      </c>
      <c r="D22016" s="5">
        <v>0.1</v>
      </c>
      <c r="E22016" s="5">
        <v>110.2</v>
      </c>
      <c r="F22016" s="5">
        <v>219.5</v>
      </c>
      <c r="G22016" s="5">
        <v>109.6</v>
      </c>
      <c r="H22016" s="5">
        <v>109.4</v>
      </c>
      <c r="I22016" s="5"/>
      <c r="J22016" s="5"/>
      <c r="K22016" s="5"/>
    </row>
    <row r="22017" spans="1:11" x14ac:dyDescent="0.25">
      <c r="A22017" s="5">
        <f>22010</f>
      </c>
      <c r="B22017" s="5" t="s">
        <v>22025</v>
      </c>
      <c r="C22017" s="5">
        <v>110.1</v>
      </c>
      <c r="D22017" s="5">
        <v>0.1</v>
      </c>
      <c r="E22017" s="5">
        <v>110.2</v>
      </c>
      <c r="F22017" s="5">
        <v>219.5</v>
      </c>
      <c r="G22017" s="5">
        <v>109.6</v>
      </c>
      <c r="H22017" s="5">
        <v>109.4</v>
      </c>
      <c r="I22017" s="5"/>
      <c r="J22017" s="5"/>
      <c r="K22017" s="5"/>
    </row>
    <row r="22018" spans="1:11" x14ac:dyDescent="0.25">
      <c r="A22018" s="5">
        <f>22011</f>
      </c>
      <c r="B22018" s="5" t="s">
        <v>22026</v>
      </c>
      <c r="C22018" s="5">
        <v>110.1</v>
      </c>
      <c r="D22018" s="5">
        <v>0.1</v>
      </c>
      <c r="E22018" s="5">
        <v>110.2</v>
      </c>
      <c r="F22018" s="5">
        <v>219.5</v>
      </c>
      <c r="G22018" s="5">
        <v>109.6</v>
      </c>
      <c r="H22018" s="5">
        <v>109.4</v>
      </c>
      <c r="I22018" s="5"/>
      <c r="J22018" s="5"/>
      <c r="K22018" s="5"/>
    </row>
    <row r="22019" spans="1:11" x14ac:dyDescent="0.25">
      <c r="A22019" s="5">
        <f>22012</f>
      </c>
      <c r="B22019" s="5" t="s">
        <v>22027</v>
      </c>
      <c r="C22019" s="5">
        <v>110.1</v>
      </c>
      <c r="D22019" s="5">
        <v>0.1</v>
      </c>
      <c r="E22019" s="5">
        <v>110.2</v>
      </c>
      <c r="F22019" s="5">
        <v>219.5</v>
      </c>
      <c r="G22019" s="5">
        <v>109.6</v>
      </c>
      <c r="H22019" s="5">
        <v>109.4</v>
      </c>
      <c r="I22019" s="5"/>
      <c r="J22019" s="5"/>
      <c r="K22019" s="5"/>
    </row>
    <row r="22020" spans="1:11" x14ac:dyDescent="0.25">
      <c r="A22020" s="5">
        <f>22013</f>
      </c>
      <c r="B22020" s="5" t="s">
        <v>22028</v>
      </c>
      <c r="C22020" s="5">
        <v>110</v>
      </c>
      <c r="D22020" s="5">
        <v>0.1</v>
      </c>
      <c r="E22020" s="5">
        <v>110.1</v>
      </c>
      <c r="F22020" s="5">
        <v>218.9</v>
      </c>
      <c r="G22020" s="5">
        <v>109.3</v>
      </c>
      <c r="H22020" s="5">
        <v>109.1</v>
      </c>
      <c r="I22020" s="5"/>
      <c r="J22020" s="5"/>
      <c r="K22020" s="5"/>
    </row>
    <row r="22021" spans="1:11" x14ac:dyDescent="0.25">
      <c r="A22021" s="5">
        <f>22014</f>
      </c>
      <c r="B22021" s="5" t="s">
        <v>22029</v>
      </c>
      <c r="C22021" s="5">
        <v>110</v>
      </c>
      <c r="D22021" s="5">
        <v>0.1</v>
      </c>
      <c r="E22021" s="5">
        <v>110.1</v>
      </c>
      <c r="F22021" s="5">
        <v>218.9</v>
      </c>
      <c r="G22021" s="5">
        <v>109.3</v>
      </c>
      <c r="H22021" s="5">
        <v>109.1</v>
      </c>
      <c r="I22021" s="5"/>
      <c r="J22021" s="5"/>
      <c r="K22021" s="5"/>
    </row>
    <row r="22022" spans="1:11" x14ac:dyDescent="0.25">
      <c r="A22022" s="5">
        <f>22015</f>
      </c>
      <c r="B22022" s="5" t="s">
        <v>22030</v>
      </c>
      <c r="C22022" s="5">
        <v>109.7</v>
      </c>
      <c r="D22022" s="5">
        <v>0.1</v>
      </c>
      <c r="E22022" s="5">
        <v>109.8</v>
      </c>
      <c r="F22022" s="5">
        <v>219.4</v>
      </c>
      <c r="G22022" s="5">
        <v>109.5</v>
      </c>
      <c r="H22022" s="5">
        <v>109.3</v>
      </c>
      <c r="I22022" s="5"/>
      <c r="J22022" s="5"/>
      <c r="K22022" s="5"/>
    </row>
    <row r="22023" spans="1:11" x14ac:dyDescent="0.25">
      <c r="A22023" s="5">
        <f>22016</f>
      </c>
      <c r="B22023" s="5" t="s">
        <v>22031</v>
      </c>
      <c r="C22023" s="5">
        <v>109.7</v>
      </c>
      <c r="D22023" s="5">
        <v>0.1</v>
      </c>
      <c r="E22023" s="5">
        <v>109.8</v>
      </c>
      <c r="F22023" s="5">
        <v>219.4</v>
      </c>
      <c r="G22023" s="5">
        <v>109.5</v>
      </c>
      <c r="H22023" s="5">
        <v>109.3</v>
      </c>
      <c r="I22023" s="5"/>
      <c r="J22023" s="5"/>
      <c r="K22023" s="5"/>
    </row>
    <row r="22024" spans="1:11" x14ac:dyDescent="0.25">
      <c r="A22024" s="5">
        <f>22017</f>
      </c>
      <c r="B22024" s="5" t="s">
        <v>22032</v>
      </c>
      <c r="C22024" s="5">
        <v>109.1</v>
      </c>
      <c r="D22024" s="5">
        <v>0.1</v>
      </c>
      <c r="E22024" s="5">
        <v>109.3</v>
      </c>
      <c r="F22024" s="5">
        <v>219.4</v>
      </c>
      <c r="G22024" s="5">
        <v>109.5</v>
      </c>
      <c r="H22024" s="5">
        <v>109.4</v>
      </c>
      <c r="I22024" s="5"/>
      <c r="J22024" s="5"/>
      <c r="K22024" s="5"/>
    </row>
    <row r="22025" spans="1:11" x14ac:dyDescent="0.25">
      <c r="A22025" s="5">
        <f>22018</f>
      </c>
      <c r="B22025" s="5" t="s">
        <v>22033</v>
      </c>
      <c r="C22025" s="5">
        <v>109.1</v>
      </c>
      <c r="D22025" s="5">
        <v>0.1</v>
      </c>
      <c r="E22025" s="5">
        <v>109.3</v>
      </c>
      <c r="F22025" s="5">
        <v>219.4</v>
      </c>
      <c r="G22025" s="5">
        <v>109.5</v>
      </c>
      <c r="H22025" s="5">
        <v>109.4</v>
      </c>
      <c r="I22025" s="5"/>
      <c r="J22025" s="5"/>
      <c r="K22025" s="5"/>
    </row>
    <row r="22026" spans="1:11" x14ac:dyDescent="0.25">
      <c r="A22026" s="5">
        <f>22019</f>
      </c>
      <c r="B22026" s="5" t="s">
        <v>22034</v>
      </c>
      <c r="C22026" s="5">
        <v>110.3</v>
      </c>
      <c r="D22026" s="5">
        <v>0.1</v>
      </c>
      <c r="E22026" s="5">
        <v>110.4</v>
      </c>
      <c r="F22026" s="5">
        <v>220.1</v>
      </c>
      <c r="G22026" s="5">
        <v>109.9</v>
      </c>
      <c r="H22026" s="5">
        <v>109.7</v>
      </c>
      <c r="I22026" s="5"/>
      <c r="J22026" s="5"/>
      <c r="K22026" s="5"/>
    </row>
    <row r="22027" spans="1:11" x14ac:dyDescent="0.25">
      <c r="A22027" s="5">
        <f>22020</f>
      </c>
      <c r="B22027" s="5" t="s">
        <v>22035</v>
      </c>
      <c r="C22027" s="5">
        <v>110.3</v>
      </c>
      <c r="D22027" s="5">
        <v>0.1</v>
      </c>
      <c r="E22027" s="5">
        <v>110.4</v>
      </c>
      <c r="F22027" s="5">
        <v>220.1</v>
      </c>
      <c r="G22027" s="5">
        <v>109.9</v>
      </c>
      <c r="H22027" s="5">
        <v>109.7</v>
      </c>
      <c r="I22027" s="5"/>
      <c r="J22027" s="5"/>
      <c r="K22027" s="5"/>
    </row>
    <row r="22028" spans="1:11" x14ac:dyDescent="0.25">
      <c r="A22028" s="5">
        <f>22021</f>
      </c>
      <c r="B22028" s="5" t="s">
        <v>22036</v>
      </c>
      <c r="C22028" s="5">
        <v>110.3</v>
      </c>
      <c r="D22028" s="5">
        <v>0.1</v>
      </c>
      <c r="E22028" s="5">
        <v>110.4</v>
      </c>
      <c r="F22028" s="5">
        <v>220.1</v>
      </c>
      <c r="G22028" s="5">
        <v>109.9</v>
      </c>
      <c r="H22028" s="5">
        <v>109.7</v>
      </c>
      <c r="I22028" s="5"/>
      <c r="J22028" s="5"/>
      <c r="K22028" s="5"/>
    </row>
    <row r="22029" spans="1:11" x14ac:dyDescent="0.25">
      <c r="A22029" s="5">
        <f>22022</f>
      </c>
      <c r="B22029" s="5" t="s">
        <v>22037</v>
      </c>
      <c r="C22029" s="5">
        <v>110.3</v>
      </c>
      <c r="D22029" s="5">
        <v>0.1</v>
      </c>
      <c r="E22029" s="5">
        <v>110.4</v>
      </c>
      <c r="F22029" s="5">
        <v>220.1</v>
      </c>
      <c r="G22029" s="5">
        <v>109.9</v>
      </c>
      <c r="H22029" s="5">
        <v>109.7</v>
      </c>
      <c r="I22029" s="5"/>
      <c r="J22029" s="5"/>
      <c r="K22029" s="5"/>
    </row>
    <row r="22030" spans="1:11" x14ac:dyDescent="0.25">
      <c r="A22030" s="5">
        <f>22023</f>
      </c>
      <c r="B22030" s="5" t="s">
        <v>22038</v>
      </c>
      <c r="C22030" s="5">
        <v>109.5</v>
      </c>
      <c r="D22030" s="5">
        <v>0.1</v>
      </c>
      <c r="E22030" s="5">
        <v>109.7</v>
      </c>
      <c r="F22030" s="5">
        <v>219.2</v>
      </c>
      <c r="G22030" s="5">
        <v>109.4</v>
      </c>
      <c r="H22030" s="5">
        <v>109.2</v>
      </c>
      <c r="I22030" s="5"/>
      <c r="J22030" s="5"/>
      <c r="K22030" s="5"/>
    </row>
    <row r="22031" spans="1:11" x14ac:dyDescent="0.25">
      <c r="A22031" s="5">
        <f>22024</f>
      </c>
      <c r="B22031" s="5" t="s">
        <v>22039</v>
      </c>
      <c r="C22031" s="5">
        <v>109.5</v>
      </c>
      <c r="D22031" s="5">
        <v>0.1</v>
      </c>
      <c r="E22031" s="5">
        <v>109.7</v>
      </c>
      <c r="F22031" s="5">
        <v>219.2</v>
      </c>
      <c r="G22031" s="5">
        <v>109.4</v>
      </c>
      <c r="H22031" s="5">
        <v>109.2</v>
      </c>
      <c r="I22031" s="5"/>
      <c r="J22031" s="5"/>
      <c r="K22031" s="5"/>
    </row>
    <row r="22032" spans="1:11" x14ac:dyDescent="0.25">
      <c r="A22032" s="5">
        <f>22025</f>
      </c>
      <c r="B22032" s="5" t="s">
        <v>22040</v>
      </c>
      <c r="C22032" s="5">
        <v>109.2</v>
      </c>
      <c r="D22032" s="5">
        <v>0.1</v>
      </c>
      <c r="E22032" s="5">
        <v>109.4</v>
      </c>
      <c r="F22032" s="5">
        <v>218.3</v>
      </c>
      <c r="G22032" s="5">
        <v>109</v>
      </c>
      <c r="H22032" s="5">
        <v>109.2</v>
      </c>
      <c r="I22032" s="5"/>
      <c r="J22032" s="5"/>
      <c r="K22032" s="5"/>
    </row>
    <row r="22033" spans="1:11" x14ac:dyDescent="0.25">
      <c r="A22033" s="5">
        <f>22026</f>
      </c>
      <c r="B22033" s="5" t="s">
        <v>22041</v>
      </c>
      <c r="C22033" s="5">
        <v>109.2</v>
      </c>
      <c r="D22033" s="5">
        <v>0.1</v>
      </c>
      <c r="E22033" s="5">
        <v>109.4</v>
      </c>
      <c r="F22033" s="5">
        <v>218.3</v>
      </c>
      <c r="G22033" s="5">
        <v>109</v>
      </c>
      <c r="H22033" s="5">
        <v>109.2</v>
      </c>
      <c r="I22033" s="5"/>
      <c r="J22033" s="5"/>
      <c r="K22033" s="5"/>
    </row>
    <row r="22034" spans="1:11" x14ac:dyDescent="0.25">
      <c r="A22034" s="5">
        <f>22027</f>
      </c>
      <c r="B22034" s="5" t="s">
        <v>22042</v>
      </c>
      <c r="C22034" s="5">
        <v>109.3</v>
      </c>
      <c r="D22034" s="5">
        <v>0.1</v>
      </c>
      <c r="E22034" s="5">
        <v>109.4</v>
      </c>
      <c r="F22034" s="5">
        <v>218.1</v>
      </c>
      <c r="G22034" s="5">
        <v>108.8</v>
      </c>
      <c r="H22034" s="5">
        <v>108.7</v>
      </c>
      <c r="I22034" s="5"/>
      <c r="J22034" s="5"/>
      <c r="K22034" s="5"/>
    </row>
    <row r="22035" spans="1:11" x14ac:dyDescent="0.25">
      <c r="A22035" s="5">
        <f>22028</f>
      </c>
      <c r="B22035" s="5" t="s">
        <v>22043</v>
      </c>
      <c r="C22035" s="5">
        <v>109.3</v>
      </c>
      <c r="D22035" s="5">
        <v>0.1</v>
      </c>
      <c r="E22035" s="5">
        <v>109.4</v>
      </c>
      <c r="F22035" s="5">
        <v>218.1</v>
      </c>
      <c r="G22035" s="5">
        <v>108.8</v>
      </c>
      <c r="H22035" s="5">
        <v>108.7</v>
      </c>
      <c r="I22035" s="5"/>
      <c r="J22035" s="5"/>
      <c r="K22035" s="5"/>
    </row>
    <row r="22036" spans="1:11" x14ac:dyDescent="0.25">
      <c r="A22036" s="5">
        <f>22029</f>
      </c>
      <c r="B22036" s="5" t="s">
        <v>22044</v>
      </c>
      <c r="C22036" s="5">
        <v>110</v>
      </c>
      <c r="D22036" s="5">
        <v>0.1</v>
      </c>
      <c r="E22036" s="5">
        <v>110.1</v>
      </c>
      <c r="F22036" s="5">
        <v>219.6</v>
      </c>
      <c r="G22036" s="5">
        <v>109.5</v>
      </c>
      <c r="H22036" s="5">
        <v>109.4</v>
      </c>
      <c r="I22036" s="5"/>
      <c r="J22036" s="5"/>
      <c r="K22036" s="5"/>
    </row>
    <row r="22037" spans="1:11" x14ac:dyDescent="0.25">
      <c r="A22037" s="5">
        <f>22030</f>
      </c>
      <c r="B22037" s="5" t="s">
        <v>22045</v>
      </c>
      <c r="C22037" s="5">
        <v>110</v>
      </c>
      <c r="D22037" s="5">
        <v>0.1</v>
      </c>
      <c r="E22037" s="5">
        <v>110.1</v>
      </c>
      <c r="F22037" s="5">
        <v>219.6</v>
      </c>
      <c r="G22037" s="5">
        <v>109.5</v>
      </c>
      <c r="H22037" s="5">
        <v>109.4</v>
      </c>
      <c r="I22037" s="5"/>
      <c r="J22037" s="5"/>
      <c r="K22037" s="5"/>
    </row>
    <row r="22038" spans="1:11" x14ac:dyDescent="0.25">
      <c r="A22038" s="5">
        <f>22031</f>
      </c>
      <c r="B22038" s="5" t="s">
        <v>22046</v>
      </c>
      <c r="C22038" s="5">
        <v>110</v>
      </c>
      <c r="D22038" s="5">
        <v>0.1</v>
      </c>
      <c r="E22038" s="5">
        <v>110.1</v>
      </c>
      <c r="F22038" s="5">
        <v>219.6</v>
      </c>
      <c r="G22038" s="5">
        <v>109.5</v>
      </c>
      <c r="H22038" s="5">
        <v>109.4</v>
      </c>
      <c r="I22038" s="5"/>
      <c r="J22038" s="5"/>
      <c r="K22038" s="5"/>
    </row>
    <row r="22039" spans="1:11" x14ac:dyDescent="0.25">
      <c r="A22039" s="5">
        <f>22032</f>
      </c>
      <c r="B22039" s="5" t="s">
        <v>22047</v>
      </c>
      <c r="C22039" s="5">
        <v>110</v>
      </c>
      <c r="D22039" s="5">
        <v>0.1</v>
      </c>
      <c r="E22039" s="5">
        <v>110.1</v>
      </c>
      <c r="F22039" s="5">
        <v>219.6</v>
      </c>
      <c r="G22039" s="5">
        <v>109.5</v>
      </c>
      <c r="H22039" s="5">
        <v>109.4</v>
      </c>
      <c r="I22039" s="5"/>
      <c r="J22039" s="5"/>
      <c r="K22039" s="5"/>
    </row>
    <row r="22040" spans="1:11" x14ac:dyDescent="0.25">
      <c r="A22040" s="5">
        <f>22033</f>
      </c>
      <c r="B22040" s="5" t="s">
        <v>22048</v>
      </c>
      <c r="C22040" s="5">
        <v>109.9</v>
      </c>
      <c r="D22040" s="5">
        <v>0.1</v>
      </c>
      <c r="E22040" s="5">
        <v>110.1</v>
      </c>
      <c r="F22040" s="5">
        <v>219.3</v>
      </c>
      <c r="G22040" s="5">
        <v>109.3</v>
      </c>
      <c r="H22040" s="5">
        <v>109.1</v>
      </c>
      <c r="I22040" s="5"/>
      <c r="J22040" s="5"/>
      <c r="K22040" s="5"/>
    </row>
    <row r="22041" spans="1:11" x14ac:dyDescent="0.25">
      <c r="A22041" s="5">
        <f>22034</f>
      </c>
      <c r="B22041" s="5" t="s">
        <v>22049</v>
      </c>
      <c r="C22041" s="5">
        <v>109.9</v>
      </c>
      <c r="D22041" s="5">
        <v>0.1</v>
      </c>
      <c r="E22041" s="5">
        <v>110.1</v>
      </c>
      <c r="F22041" s="5">
        <v>219.3</v>
      </c>
      <c r="G22041" s="5">
        <v>109.3</v>
      </c>
      <c r="H22041" s="5">
        <v>109.1</v>
      </c>
      <c r="I22041" s="5"/>
      <c r="J22041" s="5"/>
      <c r="K22041" s="5"/>
    </row>
    <row r="22042" spans="1:11" x14ac:dyDescent="0.25">
      <c r="A22042" s="5">
        <f>22035</f>
      </c>
      <c r="B22042" s="5" t="s">
        <v>22050</v>
      </c>
      <c r="C22042" s="5">
        <v>109.6</v>
      </c>
      <c r="D22042" s="5">
        <v>0.1</v>
      </c>
      <c r="E22042" s="5">
        <v>109.7</v>
      </c>
      <c r="F22042" s="5">
        <v>220.2</v>
      </c>
      <c r="G22042" s="5">
        <v>109.9</v>
      </c>
      <c r="H22042" s="5">
        <v>109.7</v>
      </c>
      <c r="I22042" s="5"/>
      <c r="J22042" s="5"/>
      <c r="K22042" s="5"/>
    </row>
    <row r="22043" spans="1:11" x14ac:dyDescent="0.25">
      <c r="A22043" s="5">
        <f>22036</f>
      </c>
      <c r="B22043" s="5" t="s">
        <v>22051</v>
      </c>
      <c r="C22043" s="5">
        <v>109.6</v>
      </c>
      <c r="D22043" s="5">
        <v>0.1</v>
      </c>
      <c r="E22043" s="5">
        <v>109.7</v>
      </c>
      <c r="F22043" s="5">
        <v>220.2</v>
      </c>
      <c r="G22043" s="5">
        <v>109.9</v>
      </c>
      <c r="H22043" s="5">
        <v>109.7</v>
      </c>
      <c r="I22043" s="5"/>
      <c r="J22043" s="5"/>
      <c r="K22043" s="5"/>
    </row>
    <row r="22044" spans="1:11" x14ac:dyDescent="0.25">
      <c r="A22044" s="5">
        <f>22037</f>
      </c>
      <c r="B22044" s="5" t="s">
        <v>22052</v>
      </c>
      <c r="C22044" s="5">
        <v>110.1</v>
      </c>
      <c r="D22044" s="5">
        <v>0.1</v>
      </c>
      <c r="E22044" s="5">
        <v>110.4</v>
      </c>
      <c r="F22044" s="5">
        <v>219.4</v>
      </c>
      <c r="G22044" s="5">
        <v>109.6</v>
      </c>
      <c r="H22044" s="5">
        <v>109.4</v>
      </c>
      <c r="I22044" s="5"/>
      <c r="J22044" s="5"/>
      <c r="K22044" s="5"/>
    </row>
    <row r="22045" spans="1:11" x14ac:dyDescent="0.25">
      <c r="A22045" s="5">
        <f>22038</f>
      </c>
      <c r="B22045" s="5" t="s">
        <v>22053</v>
      </c>
      <c r="C22045" s="5">
        <v>110.1</v>
      </c>
      <c r="D22045" s="5">
        <v>0.1</v>
      </c>
      <c r="E22045" s="5">
        <v>110.4</v>
      </c>
      <c r="F22045" s="5">
        <v>219.4</v>
      </c>
      <c r="G22045" s="5">
        <v>109.6</v>
      </c>
      <c r="H22045" s="5">
        <v>109.4</v>
      </c>
      <c r="I22045" s="5"/>
      <c r="J22045" s="5"/>
      <c r="K22045" s="5"/>
    </row>
    <row r="22046" spans="1:11" x14ac:dyDescent="0.25">
      <c r="A22046" s="5">
        <f>22039</f>
      </c>
      <c r="B22046" s="5" t="s">
        <v>22054</v>
      </c>
      <c r="C22046" s="5">
        <v>110.2</v>
      </c>
      <c r="D22046" s="5">
        <v>0.1</v>
      </c>
      <c r="E22046" s="5">
        <v>110.4</v>
      </c>
      <c r="F22046" s="5">
        <v>219.6</v>
      </c>
      <c r="G22046" s="5">
        <v>109.5</v>
      </c>
      <c r="H22046" s="5">
        <v>109.3</v>
      </c>
      <c r="I22046" s="5"/>
      <c r="J22046" s="5"/>
      <c r="K22046" s="5"/>
    </row>
    <row r="22047" spans="1:11" x14ac:dyDescent="0.25">
      <c r="A22047" s="5">
        <f>22040</f>
      </c>
      <c r="B22047" s="5" t="s">
        <v>22055</v>
      </c>
      <c r="C22047" s="5">
        <v>110.2</v>
      </c>
      <c r="D22047" s="5">
        <v>0.1</v>
      </c>
      <c r="E22047" s="5">
        <v>110.4</v>
      </c>
      <c r="F22047" s="5">
        <v>219.6</v>
      </c>
      <c r="G22047" s="5">
        <v>109.5</v>
      </c>
      <c r="H22047" s="5">
        <v>109.3</v>
      </c>
      <c r="I22047" s="5"/>
      <c r="J22047" s="5"/>
      <c r="K22047" s="5"/>
    </row>
    <row r="22048" spans="1:11" x14ac:dyDescent="0.25">
      <c r="A22048" s="5">
        <f>22041</f>
      </c>
      <c r="B22048" s="5" t="s">
        <v>22056</v>
      </c>
      <c r="C22048" s="5">
        <v>110.2</v>
      </c>
      <c r="D22048" s="5">
        <v>0.1</v>
      </c>
      <c r="E22048" s="5">
        <v>110.4</v>
      </c>
      <c r="F22048" s="5">
        <v>219.6</v>
      </c>
      <c r="G22048" s="5">
        <v>109.5</v>
      </c>
      <c r="H22048" s="5">
        <v>109.3</v>
      </c>
      <c r="I22048" s="5"/>
      <c r="J22048" s="5"/>
      <c r="K22048" s="5"/>
    </row>
    <row r="22049" spans="1:11" x14ac:dyDescent="0.25">
      <c r="A22049" s="5">
        <f>22042</f>
      </c>
      <c r="B22049" s="5" t="s">
        <v>22057</v>
      </c>
      <c r="C22049" s="5">
        <v>110.2</v>
      </c>
      <c r="D22049" s="5">
        <v>0.1</v>
      </c>
      <c r="E22049" s="5">
        <v>110.4</v>
      </c>
      <c r="F22049" s="5">
        <v>219.3</v>
      </c>
      <c r="G22049" s="5">
        <v>109.4</v>
      </c>
      <c r="H22049" s="5">
        <v>109.3</v>
      </c>
      <c r="I22049" s="5"/>
      <c r="J22049" s="5"/>
      <c r="K22049" s="5"/>
    </row>
    <row r="22050" spans="1:11" x14ac:dyDescent="0.25">
      <c r="A22050" s="5">
        <f>22043</f>
      </c>
      <c r="B22050" s="5" t="s">
        <v>22058</v>
      </c>
      <c r="C22050" s="5">
        <v>110</v>
      </c>
      <c r="D22050" s="5">
        <v>0.1</v>
      </c>
      <c r="E22050" s="5">
        <v>110.1</v>
      </c>
      <c r="F22050" s="5">
        <v>219.3</v>
      </c>
      <c r="G22050" s="5">
        <v>109.4</v>
      </c>
      <c r="H22050" s="5">
        <v>109.3</v>
      </c>
      <c r="I22050" s="5"/>
      <c r="J22050" s="5"/>
      <c r="K22050" s="5"/>
    </row>
    <row r="22051" spans="1:11" x14ac:dyDescent="0.25">
      <c r="A22051" s="5">
        <f>22044</f>
      </c>
      <c r="B22051" s="5" t="s">
        <v>22059</v>
      </c>
      <c r="C22051" s="5">
        <v>110</v>
      </c>
      <c r="D22051" s="5">
        <v>0.1</v>
      </c>
      <c r="E22051" s="5">
        <v>110.1</v>
      </c>
      <c r="F22051" s="5">
        <v>219.3</v>
      </c>
      <c r="G22051" s="5">
        <v>109.6</v>
      </c>
      <c r="H22051" s="5">
        <v>109.4</v>
      </c>
      <c r="I22051" s="5"/>
      <c r="J22051" s="5"/>
      <c r="K22051" s="5"/>
    </row>
    <row r="22052" spans="1:11" x14ac:dyDescent="0.25">
      <c r="A22052" s="5">
        <f>22045</f>
      </c>
      <c r="B22052" s="5" t="s">
        <v>22060</v>
      </c>
      <c r="C22052" s="5">
        <v>109.7</v>
      </c>
      <c r="D22052" s="5">
        <v>0.1</v>
      </c>
      <c r="E22052" s="5">
        <v>109.9</v>
      </c>
      <c r="F22052" s="5">
        <v>219.7</v>
      </c>
      <c r="G22052" s="5">
        <v>109.6</v>
      </c>
      <c r="H22052" s="5">
        <v>109.4</v>
      </c>
      <c r="I22052" s="5"/>
      <c r="J22052" s="5"/>
      <c r="K22052" s="5"/>
    </row>
    <row r="22053" spans="1:11" x14ac:dyDescent="0.25">
      <c r="A22053" s="5">
        <f>22046</f>
      </c>
      <c r="B22053" s="5" t="s">
        <v>22061</v>
      </c>
      <c r="C22053" s="5">
        <v>109.7</v>
      </c>
      <c r="D22053" s="5">
        <v>0.1</v>
      </c>
      <c r="E22053" s="5">
        <v>109.9</v>
      </c>
      <c r="F22053" s="5">
        <v>219.7</v>
      </c>
      <c r="G22053" s="5">
        <v>109.8</v>
      </c>
      <c r="H22053" s="5">
        <v>109.6</v>
      </c>
      <c r="I22053" s="5"/>
      <c r="J22053" s="5"/>
      <c r="K22053" s="5"/>
    </row>
    <row r="22054" spans="1:11" x14ac:dyDescent="0.25">
      <c r="A22054" s="5">
        <f>22047</f>
      </c>
      <c r="B22054" s="5" t="s">
        <v>22062</v>
      </c>
      <c r="C22054" s="5">
        <v>110</v>
      </c>
      <c r="D22054" s="5">
        <v>0.1</v>
      </c>
      <c r="E22054" s="5">
        <v>110.1</v>
      </c>
      <c r="F22054" s="5">
        <v>220.1</v>
      </c>
      <c r="G22054" s="5">
        <v>109.8</v>
      </c>
      <c r="H22054" s="5">
        <v>109.6</v>
      </c>
      <c r="I22054" s="5"/>
      <c r="J22054" s="5"/>
      <c r="K22054" s="5"/>
    </row>
    <row r="22055" spans="1:11" x14ac:dyDescent="0.25">
      <c r="A22055" s="5">
        <f>22048</f>
      </c>
      <c r="B22055" s="5" t="s">
        <v>22063</v>
      </c>
      <c r="C22055" s="5">
        <v>110</v>
      </c>
      <c r="D22055" s="5">
        <v>0.1</v>
      </c>
      <c r="E22055" s="5">
        <v>110.1</v>
      </c>
      <c r="F22055" s="5">
        <v>220.1</v>
      </c>
      <c r="G22055" s="5">
        <v>109.8</v>
      </c>
      <c r="H22055" s="5">
        <v>109.5</v>
      </c>
      <c r="I22055" s="5"/>
      <c r="J22055" s="5"/>
      <c r="K22055" s="5"/>
    </row>
    <row r="22056" spans="1:11" x14ac:dyDescent="0.25">
      <c r="A22056" s="5">
        <f>22049</f>
      </c>
      <c r="B22056" s="5" t="s">
        <v>22064</v>
      </c>
      <c r="C22056" s="5">
        <v>109.9</v>
      </c>
      <c r="D22056" s="5">
        <v>0.1</v>
      </c>
      <c r="E22056" s="5">
        <v>110.1</v>
      </c>
      <c r="F22056" s="5">
        <v>220.1</v>
      </c>
      <c r="G22056" s="5">
        <v>109.8</v>
      </c>
      <c r="H22056" s="5">
        <v>109.5</v>
      </c>
      <c r="I22056" s="5"/>
      <c r="J22056" s="5"/>
      <c r="K22056" s="5"/>
    </row>
    <row r="22057" spans="1:11" x14ac:dyDescent="0.25">
      <c r="A22057" s="5">
        <f>22050</f>
      </c>
      <c r="B22057" s="5" t="s">
        <v>22065</v>
      </c>
      <c r="C22057" s="5">
        <v>109.9</v>
      </c>
      <c r="D22057" s="5">
        <v>0.1</v>
      </c>
      <c r="E22057" s="5">
        <v>110.1</v>
      </c>
      <c r="F22057" s="5">
        <v>220.1</v>
      </c>
      <c r="G22057" s="5">
        <v>109.8</v>
      </c>
      <c r="H22057" s="5">
        <v>109.5</v>
      </c>
      <c r="I22057" s="5"/>
      <c r="J22057" s="5"/>
      <c r="K22057" s="5"/>
    </row>
    <row r="22058" spans="1:11" x14ac:dyDescent="0.25">
      <c r="A22058" s="5">
        <f>22051</f>
      </c>
      <c r="B22058" s="5" t="s">
        <v>22066</v>
      </c>
      <c r="C22058" s="5">
        <v>109.9</v>
      </c>
      <c r="D22058" s="5">
        <v>0.1</v>
      </c>
      <c r="E22058" s="5">
        <v>110.1</v>
      </c>
      <c r="F22058" s="5">
        <v>220.1</v>
      </c>
      <c r="G22058" s="5">
        <v>109.8</v>
      </c>
      <c r="H22058" s="5">
        <v>109.5</v>
      </c>
      <c r="I22058" s="5"/>
      <c r="J22058" s="5"/>
      <c r="K22058" s="5"/>
    </row>
    <row r="22059" spans="1:11" x14ac:dyDescent="0.25">
      <c r="A22059" s="5">
        <f>22052</f>
      </c>
      <c r="B22059" s="5" t="s">
        <v>22067</v>
      </c>
      <c r="C22059" s="5">
        <v>109.9</v>
      </c>
      <c r="D22059" s="5">
        <v>0.1</v>
      </c>
      <c r="E22059" s="5">
        <v>110.1</v>
      </c>
      <c r="F22059" s="5">
        <v>219.5</v>
      </c>
      <c r="G22059" s="5">
        <v>109.5</v>
      </c>
      <c r="H22059" s="5">
        <v>109.3</v>
      </c>
      <c r="I22059" s="5"/>
      <c r="J22059" s="5"/>
      <c r="K22059" s="5"/>
    </row>
    <row r="22060" spans="1:11" x14ac:dyDescent="0.25">
      <c r="A22060" s="5">
        <f>22053</f>
      </c>
      <c r="B22060" s="5" t="s">
        <v>22068</v>
      </c>
      <c r="C22060" s="5">
        <v>109.9</v>
      </c>
      <c r="D22060" s="5">
        <v>0.1</v>
      </c>
      <c r="E22060" s="5">
        <v>110.1</v>
      </c>
      <c r="F22060" s="5">
        <v>219.5</v>
      </c>
      <c r="G22060" s="5">
        <v>109.5</v>
      </c>
      <c r="H22060" s="5">
        <v>109.3</v>
      </c>
      <c r="I22060" s="5"/>
      <c r="J22060" s="5"/>
      <c r="K22060" s="5"/>
    </row>
    <row r="22061" spans="1:11" x14ac:dyDescent="0.25">
      <c r="A22061" s="5">
        <f>22054</f>
      </c>
      <c r="B22061" s="5" t="s">
        <v>22069</v>
      </c>
      <c r="C22061" s="5">
        <v>110</v>
      </c>
      <c r="D22061" s="5">
        <v>0.1</v>
      </c>
      <c r="E22061" s="5">
        <v>110.1</v>
      </c>
      <c r="F22061" s="5">
        <v>220</v>
      </c>
      <c r="G22061" s="5">
        <v>109.7</v>
      </c>
      <c r="H22061" s="5">
        <v>109.5</v>
      </c>
      <c r="I22061" s="5"/>
      <c r="J22061" s="5"/>
      <c r="K22061" s="5"/>
    </row>
    <row r="22062" spans="1:11" x14ac:dyDescent="0.25">
      <c r="A22062" s="5">
        <f>22055</f>
      </c>
      <c r="B22062" s="5" t="s">
        <v>22070</v>
      </c>
      <c r="C22062" s="5">
        <v>110</v>
      </c>
      <c r="D22062" s="5">
        <v>0.1</v>
      </c>
      <c r="E22062" s="5">
        <v>110.1</v>
      </c>
      <c r="F22062" s="5">
        <v>220</v>
      </c>
      <c r="G22062" s="5">
        <v>109.7</v>
      </c>
      <c r="H22062" s="5">
        <v>109.5</v>
      </c>
      <c r="I22062" s="5"/>
      <c r="J22062" s="5"/>
      <c r="K22062" s="5"/>
    </row>
    <row r="22063" spans="1:11" x14ac:dyDescent="0.25">
      <c r="A22063" s="5">
        <f>22056</f>
      </c>
      <c r="B22063" s="5" t="s">
        <v>22071</v>
      </c>
      <c r="C22063" s="5">
        <v>110.2</v>
      </c>
      <c r="D22063" s="5">
        <v>0.1</v>
      </c>
      <c r="E22063" s="5">
        <v>110.4</v>
      </c>
      <c r="F22063" s="5">
        <v>220</v>
      </c>
      <c r="G22063" s="5">
        <v>109.9</v>
      </c>
      <c r="H22063" s="5">
        <v>109.7</v>
      </c>
      <c r="I22063" s="5"/>
      <c r="J22063" s="5"/>
      <c r="K22063" s="5"/>
    </row>
    <row r="22064" spans="1:11" x14ac:dyDescent="0.25">
      <c r="A22064" s="5">
        <f>22057</f>
      </c>
      <c r="B22064" s="5" t="s">
        <v>22072</v>
      </c>
      <c r="C22064" s="5">
        <v>110.2</v>
      </c>
      <c r="D22064" s="5">
        <v>0.1</v>
      </c>
      <c r="E22064" s="5">
        <v>110.4</v>
      </c>
      <c r="F22064" s="5">
        <v>220</v>
      </c>
      <c r="G22064" s="5">
        <v>109.9</v>
      </c>
      <c r="H22064" s="5">
        <v>109.7</v>
      </c>
      <c r="I22064" s="5"/>
      <c r="J22064" s="5"/>
      <c r="K22064" s="5"/>
    </row>
    <row r="22065" spans="1:11" x14ac:dyDescent="0.25">
      <c r="A22065" s="5">
        <f>22058</f>
      </c>
      <c r="B22065" s="5" t="s">
        <v>22073</v>
      </c>
      <c r="C22065" s="5">
        <v>109.9</v>
      </c>
      <c r="D22065" s="5">
        <v>0.1</v>
      </c>
      <c r="E22065" s="5">
        <v>110.1</v>
      </c>
      <c r="F22065" s="5">
        <v>220.1</v>
      </c>
      <c r="G22065" s="5">
        <v>109.9</v>
      </c>
      <c r="H22065" s="5">
        <v>109.7</v>
      </c>
      <c r="I22065" s="5"/>
      <c r="J22065" s="5"/>
      <c r="K22065" s="5"/>
    </row>
    <row r="22066" spans="1:11" x14ac:dyDescent="0.25">
      <c r="A22066" s="5">
        <f>22059</f>
      </c>
      <c r="B22066" s="5" t="s">
        <v>22074</v>
      </c>
      <c r="C22066" s="5">
        <v>109.9</v>
      </c>
      <c r="D22066" s="5">
        <v>0.1</v>
      </c>
      <c r="E22066" s="5">
        <v>110.1</v>
      </c>
      <c r="F22066" s="5">
        <v>220.1</v>
      </c>
      <c r="G22066" s="5">
        <v>109.9</v>
      </c>
      <c r="H22066" s="5">
        <v>109.7</v>
      </c>
      <c r="I22066" s="5"/>
      <c r="J22066" s="5"/>
      <c r="K22066" s="5"/>
    </row>
    <row r="22067" spans="1:11" x14ac:dyDescent="0.25">
      <c r="A22067" s="5">
        <f>22060</f>
      </c>
      <c r="B22067" s="5" t="s">
        <v>22075</v>
      </c>
      <c r="C22067" s="5">
        <v>109.9</v>
      </c>
      <c r="D22067" s="5">
        <v>0.1</v>
      </c>
      <c r="E22067" s="5">
        <v>110.1</v>
      </c>
      <c r="F22067" s="5">
        <v>220.1</v>
      </c>
      <c r="G22067" s="5">
        <v>109.9</v>
      </c>
      <c r="H22067" s="5">
        <v>109.7</v>
      </c>
      <c r="I22067" s="5"/>
      <c r="J22067" s="5"/>
      <c r="K22067" s="5"/>
    </row>
    <row r="22068" spans="1:11" x14ac:dyDescent="0.25">
      <c r="A22068" s="5">
        <f>22061</f>
      </c>
      <c r="B22068" s="5" t="s">
        <v>22076</v>
      </c>
      <c r="C22068" s="5">
        <v>109.9</v>
      </c>
      <c r="D22068" s="5">
        <v>0.1</v>
      </c>
      <c r="E22068" s="5">
        <v>110.1</v>
      </c>
      <c r="F22068" s="5">
        <v>220.1</v>
      </c>
      <c r="G22068" s="5">
        <v>109.9</v>
      </c>
      <c r="H22068" s="5">
        <v>109.7</v>
      </c>
      <c r="I22068" s="5"/>
      <c r="J22068" s="5"/>
      <c r="K22068" s="5"/>
    </row>
    <row r="22069" spans="1:11" x14ac:dyDescent="0.25">
      <c r="A22069" s="5">
        <f>22062</f>
      </c>
      <c r="B22069" s="5" t="s">
        <v>22077</v>
      </c>
      <c r="C22069" s="5">
        <v>110.5</v>
      </c>
      <c r="D22069" s="5">
        <v>0.1</v>
      </c>
      <c r="E22069" s="5">
        <v>110.7</v>
      </c>
      <c r="F22069" s="5">
        <v>220.7</v>
      </c>
      <c r="G22069" s="5">
        <v>110.1</v>
      </c>
      <c r="H22069" s="5">
        <v>110</v>
      </c>
      <c r="I22069" s="5"/>
      <c r="J22069" s="5"/>
      <c r="K22069" s="5"/>
    </row>
    <row r="22070" spans="1:11" x14ac:dyDescent="0.25">
      <c r="A22070" s="5">
        <f>22063</f>
      </c>
      <c r="B22070" s="5" t="s">
        <v>22078</v>
      </c>
      <c r="C22070" s="5">
        <v>110.5</v>
      </c>
      <c r="D22070" s="5">
        <v>0.1</v>
      </c>
      <c r="E22070" s="5">
        <v>110.7</v>
      </c>
      <c r="F22070" s="5">
        <v>220.7</v>
      </c>
      <c r="G22070" s="5">
        <v>110.1</v>
      </c>
      <c r="H22070" s="5">
        <v>110</v>
      </c>
      <c r="I22070" s="5"/>
      <c r="J22070" s="5"/>
      <c r="K22070" s="5"/>
    </row>
    <row r="22071" spans="1:11" x14ac:dyDescent="0.25">
      <c r="A22071" s="5">
        <f>22064</f>
      </c>
      <c r="B22071" s="5" t="s">
        <v>22079</v>
      </c>
      <c r="C22071" s="5">
        <v>109.7</v>
      </c>
      <c r="D22071" s="5">
        <v>0.1</v>
      </c>
      <c r="E22071" s="5">
        <v>109.8</v>
      </c>
      <c r="F22071" s="5">
        <v>219.9</v>
      </c>
      <c r="G22071" s="5">
        <v>109.7</v>
      </c>
      <c r="H22071" s="5">
        <v>109.6</v>
      </c>
      <c r="I22071" s="5"/>
      <c r="J22071" s="5"/>
      <c r="K22071" s="5"/>
    </row>
    <row r="22072" spans="1:11" x14ac:dyDescent="0.25">
      <c r="A22072" s="5">
        <f>22065</f>
      </c>
      <c r="B22072" s="5" t="s">
        <v>22080</v>
      </c>
      <c r="C22072" s="5">
        <v>109.7</v>
      </c>
      <c r="D22072" s="5">
        <v>0.1</v>
      </c>
      <c r="E22072" s="5">
        <v>109.8</v>
      </c>
      <c r="F22072" s="5">
        <v>219.9</v>
      </c>
      <c r="G22072" s="5">
        <v>109.7</v>
      </c>
      <c r="H22072" s="5">
        <v>109.6</v>
      </c>
      <c r="I22072" s="5"/>
      <c r="J22072" s="5"/>
      <c r="K22072" s="5"/>
    </row>
    <row r="22073" spans="1:11" x14ac:dyDescent="0.25">
      <c r="A22073" s="5">
        <f>22066</f>
      </c>
      <c r="B22073" s="5" t="s">
        <v>22081</v>
      </c>
      <c r="C22073" s="5">
        <v>109.7</v>
      </c>
      <c r="D22073" s="5">
        <v>0.1</v>
      </c>
      <c r="E22073" s="5">
        <v>109.8</v>
      </c>
      <c r="F22073" s="5">
        <v>219.4</v>
      </c>
      <c r="G22073" s="5">
        <v>109.6</v>
      </c>
      <c r="H22073" s="5">
        <v>109.4</v>
      </c>
      <c r="I22073" s="5"/>
      <c r="J22073" s="5"/>
      <c r="K22073" s="5"/>
    </row>
    <row r="22074" spans="1:11" x14ac:dyDescent="0.25">
      <c r="A22074" s="5">
        <f>22067</f>
      </c>
      <c r="B22074" s="5" t="s">
        <v>22082</v>
      </c>
      <c r="C22074" s="5">
        <v>109.7</v>
      </c>
      <c r="D22074" s="5">
        <v>0.1</v>
      </c>
      <c r="E22074" s="5">
        <v>109.8</v>
      </c>
      <c r="F22074" s="5">
        <v>219.4</v>
      </c>
      <c r="G22074" s="5">
        <v>109.6</v>
      </c>
      <c r="H22074" s="5">
        <v>109.4</v>
      </c>
      <c r="I22074" s="5"/>
      <c r="J22074" s="5"/>
      <c r="K22074" s="5"/>
    </row>
    <row r="22075" spans="1:11" x14ac:dyDescent="0.25">
      <c r="A22075" s="5">
        <f>22068</f>
      </c>
      <c r="B22075" s="5" t="s">
        <v>22083</v>
      </c>
      <c r="C22075" s="5">
        <v>109.5</v>
      </c>
      <c r="D22075" s="5">
        <v>0.1</v>
      </c>
      <c r="E22075" s="5">
        <v>109.7</v>
      </c>
      <c r="F22075" s="5">
        <v>219.4</v>
      </c>
      <c r="G22075" s="5">
        <v>109.5</v>
      </c>
      <c r="H22075" s="5">
        <v>109.4</v>
      </c>
      <c r="I22075" s="5"/>
      <c r="J22075" s="5"/>
      <c r="K22075" s="5"/>
    </row>
    <row r="22076" spans="1:11" x14ac:dyDescent="0.25">
      <c r="A22076" s="5">
        <f>22069</f>
      </c>
      <c r="B22076" s="5" t="s">
        <v>22084</v>
      </c>
      <c r="C22076" s="5">
        <v>109.5</v>
      </c>
      <c r="D22076" s="5">
        <v>0.1</v>
      </c>
      <c r="E22076" s="5">
        <v>109.7</v>
      </c>
      <c r="F22076" s="5">
        <v>219.4</v>
      </c>
      <c r="G22076" s="5">
        <v>109.5</v>
      </c>
      <c r="H22076" s="5">
        <v>109.4</v>
      </c>
      <c r="I22076" s="5"/>
      <c r="J22076" s="5"/>
      <c r="K22076" s="5"/>
    </row>
    <row r="22077" spans="1:11" x14ac:dyDescent="0.25">
      <c r="A22077" s="5">
        <f>22070</f>
      </c>
      <c r="B22077" s="5" t="s">
        <v>22085</v>
      </c>
      <c r="C22077" s="5">
        <v>109.5</v>
      </c>
      <c r="D22077" s="5">
        <v>0.1</v>
      </c>
      <c r="E22077" s="5">
        <v>109.7</v>
      </c>
      <c r="F22077" s="5">
        <v>219.4</v>
      </c>
      <c r="G22077" s="5">
        <v>109.5</v>
      </c>
      <c r="H22077" s="5">
        <v>109.4</v>
      </c>
      <c r="I22077" s="5"/>
      <c r="J22077" s="5"/>
      <c r="K22077" s="5"/>
    </row>
    <row r="22078" spans="1:11" x14ac:dyDescent="0.25">
      <c r="A22078" s="5">
        <f>22071</f>
      </c>
      <c r="B22078" s="5" t="s">
        <v>22086</v>
      </c>
      <c r="C22078" s="5">
        <v>109.5</v>
      </c>
      <c r="D22078" s="5">
        <v>0.1</v>
      </c>
      <c r="E22078" s="5">
        <v>109.7</v>
      </c>
      <c r="F22078" s="5">
        <v>219.4</v>
      </c>
      <c r="G22078" s="5">
        <v>109.5</v>
      </c>
      <c r="H22078" s="5">
        <v>109.4</v>
      </c>
      <c r="I22078" s="5"/>
      <c r="J22078" s="5"/>
      <c r="K22078" s="5"/>
    </row>
    <row r="22079" spans="1:11" x14ac:dyDescent="0.25">
      <c r="A22079" s="5">
        <f>22072</f>
      </c>
      <c r="B22079" s="5" t="s">
        <v>22087</v>
      </c>
      <c r="C22079" s="5">
        <v>109.8</v>
      </c>
      <c r="D22079" s="5">
        <v>0.1</v>
      </c>
      <c r="E22079" s="5">
        <v>109.7</v>
      </c>
      <c r="F22079" s="5">
        <v>219.4</v>
      </c>
      <c r="G22079" s="5">
        <v>109.5</v>
      </c>
      <c r="H22079" s="5">
        <v>109.4</v>
      </c>
      <c r="I22079" s="5"/>
      <c r="J22079" s="5"/>
      <c r="K22079" s="5"/>
    </row>
    <row r="22080" spans="1:11" x14ac:dyDescent="0.25">
      <c r="A22080" s="5">
        <f>22073</f>
      </c>
      <c r="B22080" s="5" t="s">
        <v>22088</v>
      </c>
      <c r="C22080" s="5">
        <v>109.8</v>
      </c>
      <c r="D22080" s="5">
        <v>0.1</v>
      </c>
      <c r="E22080" s="5">
        <v>110</v>
      </c>
      <c r="F22080" s="5">
        <v>219.2</v>
      </c>
      <c r="G22080" s="5">
        <v>109.4</v>
      </c>
      <c r="H22080" s="5">
        <v>109.2</v>
      </c>
      <c r="I22080" s="5"/>
      <c r="J22080" s="5"/>
      <c r="K22080" s="5"/>
    </row>
    <row r="22081" spans="1:11" x14ac:dyDescent="0.25">
      <c r="A22081" s="5">
        <f>22074</f>
      </c>
      <c r="B22081" s="5" t="s">
        <v>22089</v>
      </c>
      <c r="C22081" s="5">
        <v>109.3</v>
      </c>
      <c r="D22081" s="5">
        <v>0.1</v>
      </c>
      <c r="E22081" s="5">
        <v>110</v>
      </c>
      <c r="F22081" s="5">
        <v>219.2</v>
      </c>
      <c r="G22081" s="5">
        <v>109.4</v>
      </c>
      <c r="H22081" s="5">
        <v>109.2</v>
      </c>
      <c r="I22081" s="5"/>
      <c r="J22081" s="5"/>
      <c r="K22081" s="5"/>
    </row>
    <row r="22082" spans="1:11" x14ac:dyDescent="0.25">
      <c r="A22082" s="5">
        <f>22075</f>
      </c>
      <c r="B22082" s="5" t="s">
        <v>22090</v>
      </c>
      <c r="C22082" s="5">
        <v>109.3</v>
      </c>
      <c r="D22082" s="5">
        <v>0.1</v>
      </c>
      <c r="E22082" s="5">
        <v>109.4</v>
      </c>
      <c r="F22082" s="5">
        <v>217.8</v>
      </c>
      <c r="G22082" s="5">
        <v>108.7</v>
      </c>
      <c r="H22082" s="5">
        <v>108.5</v>
      </c>
      <c r="I22082" s="5"/>
      <c r="J22082" s="5"/>
      <c r="K22082" s="5"/>
    </row>
    <row r="22083" spans="1:11" x14ac:dyDescent="0.25">
      <c r="A22083" s="5">
        <f>22076</f>
      </c>
      <c r="B22083" s="5" t="s">
        <v>22091</v>
      </c>
      <c r="C22083" s="5">
        <v>109.3</v>
      </c>
      <c r="D22083" s="5">
        <v>0.1</v>
      </c>
      <c r="E22083" s="5">
        <v>109.4</v>
      </c>
      <c r="F22083" s="5">
        <v>217.8</v>
      </c>
      <c r="G22083" s="5">
        <v>108.7</v>
      </c>
      <c r="H22083" s="5">
        <v>108.5</v>
      </c>
      <c r="I22083" s="5"/>
      <c r="J22083" s="5"/>
      <c r="K22083" s="5"/>
    </row>
    <row r="22084" spans="1:11" x14ac:dyDescent="0.25">
      <c r="A22084" s="5">
        <f>22077</f>
      </c>
      <c r="B22084" s="5" t="s">
        <v>22092</v>
      </c>
      <c r="C22084" s="5">
        <v>109.7</v>
      </c>
      <c r="D22084" s="5">
        <v>0.1</v>
      </c>
      <c r="E22084" s="5">
        <v>109.9</v>
      </c>
      <c r="F22084" s="5">
        <v>218.8</v>
      </c>
      <c r="G22084" s="5">
        <v>109.2</v>
      </c>
      <c r="H22084" s="5">
        <v>109.1</v>
      </c>
      <c r="I22084" s="5"/>
      <c r="J22084" s="5"/>
      <c r="K22084" s="5"/>
    </row>
    <row r="22085" spans="1:11" x14ac:dyDescent="0.25">
      <c r="A22085" s="5">
        <f>22078</f>
      </c>
      <c r="B22085" s="5" t="s">
        <v>22093</v>
      </c>
      <c r="C22085" s="5">
        <v>109.7</v>
      </c>
      <c r="D22085" s="5">
        <v>0.1</v>
      </c>
      <c r="E22085" s="5">
        <v>109.9</v>
      </c>
      <c r="F22085" s="5">
        <v>218.8</v>
      </c>
      <c r="G22085" s="5">
        <v>109.2</v>
      </c>
      <c r="H22085" s="5">
        <v>109.1</v>
      </c>
      <c r="I22085" s="5"/>
      <c r="J22085" s="5"/>
      <c r="K22085" s="5"/>
    </row>
    <row r="22086" spans="1:11" x14ac:dyDescent="0.25">
      <c r="A22086" s="5">
        <f>22079</f>
      </c>
      <c r="B22086" s="5" t="s">
        <v>22094</v>
      </c>
      <c r="C22086" s="5">
        <v>109.9</v>
      </c>
      <c r="D22086" s="5">
        <v>0.1</v>
      </c>
      <c r="E22086" s="5">
        <v>110.1</v>
      </c>
      <c r="F22086" s="5">
        <v>219.3</v>
      </c>
      <c r="G22086" s="5">
        <v>109.4</v>
      </c>
      <c r="H22086" s="5">
        <v>109.2</v>
      </c>
      <c r="I22086" s="5"/>
      <c r="J22086" s="5"/>
      <c r="K22086" s="5"/>
    </row>
    <row r="22087" spans="1:11" x14ac:dyDescent="0.25">
      <c r="A22087" s="5">
        <f>22080</f>
      </c>
      <c r="B22087" s="5" t="s">
        <v>22095</v>
      </c>
      <c r="C22087" s="5">
        <v>109.9</v>
      </c>
      <c r="D22087" s="5">
        <v>0.1</v>
      </c>
      <c r="E22087" s="5">
        <v>110.1</v>
      </c>
      <c r="F22087" s="5">
        <v>219.3</v>
      </c>
      <c r="G22087" s="5">
        <v>109.4</v>
      </c>
      <c r="H22087" s="5">
        <v>109.2</v>
      </c>
      <c r="I22087" s="5"/>
      <c r="J22087" s="5"/>
      <c r="K22087" s="5"/>
    </row>
    <row r="22088" spans="1:11" x14ac:dyDescent="0.25">
      <c r="A22088" s="5">
        <f>22081</f>
      </c>
      <c r="B22088" s="5" t="s">
        <v>22096</v>
      </c>
      <c r="C22088" s="5">
        <v>109.9</v>
      </c>
      <c r="D22088" s="5">
        <v>0.1</v>
      </c>
      <c r="E22088" s="5">
        <v>110.1</v>
      </c>
      <c r="F22088" s="5">
        <v>219.3</v>
      </c>
      <c r="G22088" s="5">
        <v>109.4</v>
      </c>
      <c r="H22088" s="5">
        <v>109.2</v>
      </c>
      <c r="I22088" s="5"/>
      <c r="J22088" s="5"/>
      <c r="K22088" s="5"/>
    </row>
    <row r="22089" spans="1:11" x14ac:dyDescent="0.25">
      <c r="A22089" s="5">
        <f>22082</f>
      </c>
      <c r="B22089" s="5" t="s">
        <v>22097</v>
      </c>
      <c r="C22089" s="5">
        <v>109.9</v>
      </c>
      <c r="D22089" s="5">
        <v>0.1</v>
      </c>
      <c r="E22089" s="5">
        <v>110.1</v>
      </c>
      <c r="F22089" s="5">
        <v>219</v>
      </c>
      <c r="G22089" s="5">
        <v>109.3</v>
      </c>
      <c r="H22089" s="5">
        <v>109.2</v>
      </c>
      <c r="I22089" s="5"/>
      <c r="J22089" s="5"/>
      <c r="K22089" s="5"/>
    </row>
    <row r="22090" spans="1:11" x14ac:dyDescent="0.25">
      <c r="A22090" s="5">
        <f>22083</f>
      </c>
      <c r="B22090" s="5" t="s">
        <v>22098</v>
      </c>
      <c r="C22090" s="5">
        <v>109.9</v>
      </c>
      <c r="D22090" s="5">
        <v>0.1</v>
      </c>
      <c r="E22090" s="5">
        <v>110.1</v>
      </c>
      <c r="F22090" s="5">
        <v>219</v>
      </c>
      <c r="G22090" s="5">
        <v>109.3</v>
      </c>
      <c r="H22090" s="5">
        <v>109.2</v>
      </c>
      <c r="I22090" s="5"/>
      <c r="J22090" s="5"/>
      <c r="K22090" s="5"/>
    </row>
    <row r="22091" spans="1:11" x14ac:dyDescent="0.25">
      <c r="A22091" s="5">
        <f>22084</f>
      </c>
      <c r="B22091" s="5" t="s">
        <v>22099</v>
      </c>
      <c r="C22091" s="5">
        <v>110.4</v>
      </c>
      <c r="D22091" s="5">
        <v>0.1</v>
      </c>
      <c r="E22091" s="5">
        <v>110.5</v>
      </c>
      <c r="F22091" s="5">
        <v>220.4</v>
      </c>
      <c r="G22091" s="5">
        <v>110</v>
      </c>
      <c r="H22091" s="5">
        <v>109.8</v>
      </c>
      <c r="I22091" s="5"/>
      <c r="J22091" s="5"/>
      <c r="K22091" s="5"/>
    </row>
    <row r="22092" spans="1:11" x14ac:dyDescent="0.25">
      <c r="A22092" s="5">
        <f>22085</f>
      </c>
      <c r="B22092" s="5" t="s">
        <v>22100</v>
      </c>
      <c r="C22092" s="5">
        <v>110.4</v>
      </c>
      <c r="D22092" s="5">
        <v>0.1</v>
      </c>
      <c r="E22092" s="5">
        <v>110.5</v>
      </c>
      <c r="F22092" s="5">
        <v>220.4</v>
      </c>
      <c r="G22092" s="5">
        <v>110</v>
      </c>
      <c r="H22092" s="5">
        <v>109.8</v>
      </c>
      <c r="I22092" s="5"/>
      <c r="J22092" s="5"/>
      <c r="K22092" s="5"/>
    </row>
    <row r="22093" spans="1:11" x14ac:dyDescent="0.25">
      <c r="A22093" s="5">
        <f>22086</f>
      </c>
      <c r="B22093" s="5" t="s">
        <v>22101</v>
      </c>
      <c r="C22093" s="5">
        <v>110.4</v>
      </c>
      <c r="D22093" s="5">
        <v>0.1</v>
      </c>
      <c r="E22093" s="5">
        <v>110.5</v>
      </c>
      <c r="F22093" s="5">
        <v>221</v>
      </c>
      <c r="G22093" s="5">
        <v>110.3</v>
      </c>
      <c r="H22093" s="5">
        <v>110.1</v>
      </c>
      <c r="I22093" s="5"/>
      <c r="J22093" s="5"/>
      <c r="K22093" s="5"/>
    </row>
    <row r="22094" spans="1:11" x14ac:dyDescent="0.25">
      <c r="A22094" s="5">
        <f>22087</f>
      </c>
      <c r="B22094" s="5" t="s">
        <v>22102</v>
      </c>
      <c r="C22094" s="5">
        <v>110.4</v>
      </c>
      <c r="D22094" s="5">
        <v>0.1</v>
      </c>
      <c r="E22094" s="5">
        <v>110.5</v>
      </c>
      <c r="F22094" s="5">
        <v>221</v>
      </c>
      <c r="G22094" s="5">
        <v>110.3</v>
      </c>
      <c r="H22094" s="5">
        <v>110.1</v>
      </c>
      <c r="I22094" s="5"/>
      <c r="J22094" s="5"/>
      <c r="K22094" s="5"/>
    </row>
    <row r="22095" spans="1:11" x14ac:dyDescent="0.25">
      <c r="A22095" s="5">
        <f>22088</f>
      </c>
      <c r="B22095" s="5" t="s">
        <v>22103</v>
      </c>
      <c r="C22095" s="5">
        <v>110.8</v>
      </c>
      <c r="D22095" s="5">
        <v>0.1</v>
      </c>
      <c r="E22095" s="5">
        <v>111</v>
      </c>
      <c r="F22095" s="5">
        <v>220.5</v>
      </c>
      <c r="G22095" s="5">
        <v>110.1</v>
      </c>
      <c r="H22095" s="5">
        <v>110</v>
      </c>
      <c r="I22095" s="5"/>
      <c r="J22095" s="5"/>
      <c r="K22095" s="5"/>
    </row>
    <row r="22096" spans="1:11" x14ac:dyDescent="0.25">
      <c r="A22096" s="5">
        <f>22089</f>
      </c>
      <c r="B22096" s="5" t="s">
        <v>22104</v>
      </c>
      <c r="C22096" s="5">
        <v>110.8</v>
      </c>
      <c r="D22096" s="5">
        <v>0.1</v>
      </c>
      <c r="E22096" s="5">
        <v>111</v>
      </c>
      <c r="F22096" s="5">
        <v>220.5</v>
      </c>
      <c r="G22096" s="5">
        <v>110.1</v>
      </c>
      <c r="H22096" s="5">
        <v>110</v>
      </c>
      <c r="I22096" s="5"/>
      <c r="J22096" s="5"/>
      <c r="K22096" s="5"/>
    </row>
    <row r="22097" spans="1:11" x14ac:dyDescent="0.25">
      <c r="A22097" s="5">
        <f>22090</f>
      </c>
      <c r="B22097" s="5" t="s">
        <v>22105</v>
      </c>
      <c r="C22097" s="5">
        <v>110.8</v>
      </c>
      <c r="D22097" s="5">
        <v>0.1</v>
      </c>
      <c r="E22097" s="5">
        <v>111</v>
      </c>
      <c r="F22097" s="5">
        <v>220.5</v>
      </c>
      <c r="G22097" s="5">
        <v>110.1</v>
      </c>
      <c r="H22097" s="5">
        <v>110</v>
      </c>
      <c r="I22097" s="5"/>
      <c r="J22097" s="5"/>
      <c r="K22097" s="5"/>
    </row>
    <row r="22098" spans="1:11" x14ac:dyDescent="0.25">
      <c r="A22098" s="5">
        <f>22091</f>
      </c>
      <c r="B22098" s="5" t="s">
        <v>22106</v>
      </c>
      <c r="C22098" s="5">
        <v>110.8</v>
      </c>
      <c r="D22098" s="5">
        <v>0.1</v>
      </c>
      <c r="E22098" s="5">
        <v>111</v>
      </c>
      <c r="F22098" s="5">
        <v>220.5</v>
      </c>
      <c r="G22098" s="5">
        <v>110.1</v>
      </c>
      <c r="H22098" s="5">
        <v>110</v>
      </c>
      <c r="I22098" s="5"/>
      <c r="J22098" s="5"/>
      <c r="K22098" s="5"/>
    </row>
    <row r="22099" spans="1:11" x14ac:dyDescent="0.25">
      <c r="A22099" s="5">
        <f>22092</f>
      </c>
      <c r="B22099" s="5" t="s">
        <v>22107</v>
      </c>
      <c r="C22099" s="5">
        <v>110.8</v>
      </c>
      <c r="D22099" s="5">
        <v>0.1</v>
      </c>
      <c r="E22099" s="5">
        <v>111</v>
      </c>
      <c r="F22099" s="5">
        <v>221.1</v>
      </c>
      <c r="G22099" s="5">
        <v>110.3</v>
      </c>
      <c r="H22099" s="5">
        <v>110.1</v>
      </c>
      <c r="I22099" s="5"/>
      <c r="J22099" s="5"/>
      <c r="K22099" s="5"/>
    </row>
    <row r="22100" spans="1:11" x14ac:dyDescent="0.25">
      <c r="A22100" s="5">
        <f>22093</f>
      </c>
      <c r="B22100" s="5" t="s">
        <v>22108</v>
      </c>
      <c r="C22100" s="5">
        <v>110.8</v>
      </c>
      <c r="D22100" s="5">
        <v>0.1</v>
      </c>
      <c r="E22100" s="5">
        <v>111</v>
      </c>
      <c r="F22100" s="5">
        <v>221.1</v>
      </c>
      <c r="G22100" s="5">
        <v>110.3</v>
      </c>
      <c r="H22100" s="5">
        <v>110.1</v>
      </c>
      <c r="I22100" s="5"/>
      <c r="J22100" s="5"/>
      <c r="K22100" s="5"/>
    </row>
    <row r="22101" spans="1:11" x14ac:dyDescent="0.25">
      <c r="A22101" s="5">
        <f>22094</f>
      </c>
      <c r="B22101" s="5" t="s">
        <v>22109</v>
      </c>
      <c r="C22101" s="5">
        <v>110.5</v>
      </c>
      <c r="D22101" s="5">
        <v>0.1</v>
      </c>
      <c r="E22101" s="5">
        <v>110.7</v>
      </c>
      <c r="F22101" s="5">
        <v>221.1</v>
      </c>
      <c r="G22101" s="5">
        <v>110.3</v>
      </c>
      <c r="H22101" s="5">
        <v>110.2</v>
      </c>
      <c r="I22101" s="5"/>
      <c r="J22101" s="5"/>
      <c r="K22101" s="5"/>
    </row>
    <row r="22102" spans="1:11" x14ac:dyDescent="0.25">
      <c r="A22102" s="5">
        <f>22095</f>
      </c>
      <c r="B22102" s="5" t="s">
        <v>22110</v>
      </c>
      <c r="C22102" s="5">
        <v>110.5</v>
      </c>
      <c r="D22102" s="5">
        <v>0.1</v>
      </c>
      <c r="E22102" s="5">
        <v>110.7</v>
      </c>
      <c r="F22102" s="5">
        <v>221.1</v>
      </c>
      <c r="G22102" s="5">
        <v>110.3</v>
      </c>
      <c r="H22102" s="5">
        <v>110.2</v>
      </c>
      <c r="I22102" s="5"/>
      <c r="J22102" s="5"/>
      <c r="K22102" s="5"/>
    </row>
    <row r="22103" spans="1:11" x14ac:dyDescent="0.25">
      <c r="A22103" s="5">
        <f>22096</f>
      </c>
      <c r="B22103" s="5" t="s">
        <v>22111</v>
      </c>
      <c r="C22103" s="5">
        <v>111</v>
      </c>
      <c r="D22103" s="5">
        <v>0.1</v>
      </c>
      <c r="E22103" s="5">
        <v>111.2</v>
      </c>
      <c r="F22103" s="5">
        <v>222.5</v>
      </c>
      <c r="G22103" s="5">
        <v>111.1</v>
      </c>
      <c r="H22103" s="5">
        <v>110.9</v>
      </c>
      <c r="I22103" s="5"/>
      <c r="J22103" s="5"/>
      <c r="K22103" s="5"/>
    </row>
    <row r="22104" spans="1:11" x14ac:dyDescent="0.25">
      <c r="A22104" s="5">
        <f>22097</f>
      </c>
      <c r="B22104" s="5" t="s">
        <v>22112</v>
      </c>
      <c r="C22104" s="5">
        <v>111</v>
      </c>
      <c r="D22104" s="5">
        <v>0.1</v>
      </c>
      <c r="E22104" s="5">
        <v>111.2</v>
      </c>
      <c r="F22104" s="5">
        <v>222.5</v>
      </c>
      <c r="G22104" s="5">
        <v>111.1</v>
      </c>
      <c r="H22104" s="5">
        <v>110.9</v>
      </c>
      <c r="I22104" s="5"/>
      <c r="J22104" s="5"/>
      <c r="K22104" s="5"/>
    </row>
    <row r="22105" spans="1:11" x14ac:dyDescent="0.25">
      <c r="A22105" s="5">
        <f>22098</f>
      </c>
      <c r="B22105" s="5" t="s">
        <v>22113</v>
      </c>
      <c r="C22105" s="5">
        <v>111.2</v>
      </c>
      <c r="D22105" s="5">
        <v>0.1</v>
      </c>
      <c r="E22105" s="5">
        <v>111.3</v>
      </c>
      <c r="F22105" s="5">
        <v>221.7</v>
      </c>
      <c r="G22105" s="5">
        <v>110.6</v>
      </c>
      <c r="H22105" s="5">
        <v>110.5</v>
      </c>
      <c r="I22105" s="5"/>
      <c r="J22105" s="5"/>
      <c r="K22105" s="5"/>
    </row>
    <row r="22106" spans="1:11" x14ac:dyDescent="0.25">
      <c r="A22106" s="5">
        <f>22099</f>
      </c>
      <c r="B22106" s="5" t="s">
        <v>22114</v>
      </c>
      <c r="C22106" s="5">
        <v>111.2</v>
      </c>
      <c r="D22106" s="5">
        <v>0.1</v>
      </c>
      <c r="E22106" s="5">
        <v>111.3</v>
      </c>
      <c r="F22106" s="5">
        <v>221.7</v>
      </c>
      <c r="G22106" s="5">
        <v>110.6</v>
      </c>
      <c r="H22106" s="5">
        <v>110.5</v>
      </c>
      <c r="I22106" s="5"/>
      <c r="J22106" s="5"/>
      <c r="K22106" s="5"/>
    </row>
    <row r="22107" spans="1:11" x14ac:dyDescent="0.25">
      <c r="A22107" s="5">
        <f>22100</f>
      </c>
      <c r="B22107" s="5" t="s">
        <v>22115</v>
      </c>
      <c r="C22107" s="5">
        <v>111.2</v>
      </c>
      <c r="D22107" s="5">
        <v>0.1</v>
      </c>
      <c r="E22107" s="5">
        <v>111.3</v>
      </c>
      <c r="F22107" s="5">
        <v>221.7</v>
      </c>
      <c r="G22107" s="5">
        <v>110.6</v>
      </c>
      <c r="H22107" s="5">
        <v>110.5</v>
      </c>
      <c r="I22107" s="5"/>
      <c r="J22107" s="5"/>
      <c r="K22107" s="5"/>
    </row>
    <row r="22108" spans="1:11" x14ac:dyDescent="0.25">
      <c r="A22108" s="5">
        <f>22101</f>
      </c>
      <c r="B22108" s="5" t="s">
        <v>22116</v>
      </c>
      <c r="C22108" s="5">
        <v>111.2</v>
      </c>
      <c r="D22108" s="5">
        <v>0.1</v>
      </c>
      <c r="E22108" s="5">
        <v>111.3</v>
      </c>
      <c r="F22108" s="5">
        <v>221.7</v>
      </c>
      <c r="G22108" s="5">
        <v>110.6</v>
      </c>
      <c r="H22108" s="5">
        <v>110.5</v>
      </c>
      <c r="I22108" s="5"/>
      <c r="J22108" s="5"/>
      <c r="K22108" s="5"/>
    </row>
    <row r="22109" spans="1:11" x14ac:dyDescent="0.25">
      <c r="A22109" s="5">
        <f>22102</f>
      </c>
      <c r="B22109" s="5" t="s">
        <v>22117</v>
      </c>
      <c r="C22109" s="5">
        <v>110.3</v>
      </c>
      <c r="D22109" s="5">
        <v>0.1</v>
      </c>
      <c r="E22109" s="5">
        <v>110.4</v>
      </c>
      <c r="F22109" s="5">
        <v>220.5</v>
      </c>
      <c r="G22109" s="5">
        <v>110.1</v>
      </c>
      <c r="H22109" s="5">
        <v>109.9</v>
      </c>
      <c r="I22109" s="5"/>
      <c r="J22109" s="5"/>
      <c r="K22109" s="5"/>
    </row>
    <row r="22110" spans="1:11" x14ac:dyDescent="0.25">
      <c r="A22110" s="5">
        <f>22103</f>
      </c>
      <c r="B22110" s="5" t="s">
        <v>22118</v>
      </c>
      <c r="C22110" s="5">
        <v>110.3</v>
      </c>
      <c r="D22110" s="5">
        <v>0.1</v>
      </c>
      <c r="E22110" s="5">
        <v>110.4</v>
      </c>
      <c r="F22110" s="5">
        <v>220.5</v>
      </c>
      <c r="G22110" s="5">
        <v>110.1</v>
      </c>
      <c r="H22110" s="5">
        <v>109.9</v>
      </c>
      <c r="I22110" s="5"/>
      <c r="J22110" s="5"/>
      <c r="K22110" s="5"/>
    </row>
    <row r="22111" spans="1:11" x14ac:dyDescent="0.25">
      <c r="A22111" s="5">
        <f>22104</f>
      </c>
      <c r="B22111" s="5" t="s">
        <v>22119</v>
      </c>
      <c r="C22111" s="5">
        <v>110.5</v>
      </c>
      <c r="D22111" s="5">
        <v>0.1</v>
      </c>
      <c r="E22111" s="5">
        <v>110.7</v>
      </c>
      <c r="F22111" s="5">
        <v>220.6</v>
      </c>
      <c r="G22111" s="5">
        <v>110.1</v>
      </c>
      <c r="H22111" s="5">
        <v>109.9</v>
      </c>
      <c r="I22111" s="5"/>
      <c r="J22111" s="5"/>
      <c r="K22111" s="5"/>
    </row>
    <row r="22112" spans="1:11" x14ac:dyDescent="0.25">
      <c r="A22112" s="5">
        <f>22105</f>
      </c>
      <c r="B22112" s="5" t="s">
        <v>22120</v>
      </c>
      <c r="C22112" s="5">
        <v>110.5</v>
      </c>
      <c r="D22112" s="5">
        <v>0.1</v>
      </c>
      <c r="E22112" s="5">
        <v>110.7</v>
      </c>
      <c r="F22112" s="5">
        <v>220.6</v>
      </c>
      <c r="G22112" s="5">
        <v>110.1</v>
      </c>
      <c r="H22112" s="5">
        <v>109.9</v>
      </c>
      <c r="I22112" s="5"/>
      <c r="J22112" s="5"/>
      <c r="K22112" s="5"/>
    </row>
    <row r="22113" spans="1:11" x14ac:dyDescent="0.25">
      <c r="A22113" s="5">
        <f>22106</f>
      </c>
      <c r="B22113" s="5" t="s">
        <v>22121</v>
      </c>
      <c r="C22113" s="5">
        <v>111.1</v>
      </c>
      <c r="D22113" s="5">
        <v>0.1</v>
      </c>
      <c r="E22113" s="5">
        <v>111.3</v>
      </c>
      <c r="F22113" s="5">
        <v>221.4</v>
      </c>
      <c r="G22113" s="5">
        <v>110.5</v>
      </c>
      <c r="H22113" s="5">
        <v>110.4</v>
      </c>
      <c r="I22113" s="5"/>
      <c r="J22113" s="5"/>
      <c r="K22113" s="5"/>
    </row>
    <row r="22114" spans="1:11" x14ac:dyDescent="0.25">
      <c r="A22114" s="5">
        <f>22107</f>
      </c>
      <c r="B22114" s="5" t="s">
        <v>22122</v>
      </c>
      <c r="C22114" s="5">
        <v>111.1</v>
      </c>
      <c r="D22114" s="5">
        <v>0.1</v>
      </c>
      <c r="E22114" s="5">
        <v>111.3</v>
      </c>
      <c r="F22114" s="5">
        <v>221.4</v>
      </c>
      <c r="G22114" s="5">
        <v>110.5</v>
      </c>
      <c r="H22114" s="5">
        <v>110.4</v>
      </c>
      <c r="I22114" s="5"/>
      <c r="J22114" s="5"/>
      <c r="K22114" s="5"/>
    </row>
    <row r="22115" spans="1:11" x14ac:dyDescent="0.25">
      <c r="A22115" s="5">
        <f>22108</f>
      </c>
      <c r="B22115" s="5" t="s">
        <v>22123</v>
      </c>
      <c r="C22115" s="5">
        <v>111</v>
      </c>
      <c r="D22115" s="5">
        <v>0.1</v>
      </c>
      <c r="E22115" s="5">
        <v>111.2</v>
      </c>
      <c r="F22115" s="5">
        <v>221.7</v>
      </c>
      <c r="G22115" s="5">
        <v>110.7</v>
      </c>
      <c r="H22115" s="5">
        <v>110.6</v>
      </c>
      <c r="I22115" s="5"/>
      <c r="J22115" s="5"/>
      <c r="K22115" s="5"/>
    </row>
    <row r="22116" spans="1:11" x14ac:dyDescent="0.25">
      <c r="A22116" s="5">
        <f>22109</f>
      </c>
      <c r="B22116" s="5" t="s">
        <v>22124</v>
      </c>
      <c r="C22116" s="5">
        <v>111</v>
      </c>
      <c r="D22116" s="5">
        <v>0.1</v>
      </c>
      <c r="E22116" s="5">
        <v>111.2</v>
      </c>
      <c r="F22116" s="5">
        <v>221.7</v>
      </c>
      <c r="G22116" s="5">
        <v>110.7</v>
      </c>
      <c r="H22116" s="5">
        <v>110.6</v>
      </c>
      <c r="I22116" s="5"/>
      <c r="J22116" s="5"/>
      <c r="K22116" s="5"/>
    </row>
    <row r="22117" spans="1:11" x14ac:dyDescent="0.25">
      <c r="A22117" s="5">
        <f>22110</f>
      </c>
      <c r="B22117" s="5" t="s">
        <v>22125</v>
      </c>
      <c r="C22117" s="5">
        <v>111</v>
      </c>
      <c r="D22117" s="5">
        <v>0.1</v>
      </c>
      <c r="E22117" s="5">
        <v>111.2</v>
      </c>
      <c r="F22117" s="5">
        <v>221.7</v>
      </c>
      <c r="G22117" s="5">
        <v>110.7</v>
      </c>
      <c r="H22117" s="5">
        <v>110.6</v>
      </c>
      <c r="I22117" s="5"/>
      <c r="J22117" s="5"/>
      <c r="K22117" s="5"/>
    </row>
    <row r="22118" spans="1:11" x14ac:dyDescent="0.25">
      <c r="A22118" s="5">
        <f>22111</f>
      </c>
      <c r="B22118" s="5" t="s">
        <v>22126</v>
      </c>
      <c r="C22118" s="5">
        <v>111</v>
      </c>
      <c r="D22118" s="5">
        <v>0.1</v>
      </c>
      <c r="E22118" s="5">
        <v>111.2</v>
      </c>
      <c r="F22118" s="5">
        <v>221.7</v>
      </c>
      <c r="G22118" s="5">
        <v>110.7</v>
      </c>
      <c r="H22118" s="5">
        <v>110.6</v>
      </c>
      <c r="I22118" s="5"/>
      <c r="J22118" s="5"/>
      <c r="K22118" s="5"/>
    </row>
    <row r="22119" spans="1:11" x14ac:dyDescent="0.25">
      <c r="A22119" s="5">
        <f>22112</f>
      </c>
      <c r="B22119" s="5" t="s">
        <v>22127</v>
      </c>
      <c r="C22119" s="5">
        <v>111</v>
      </c>
      <c r="D22119" s="5">
        <v>0.1</v>
      </c>
      <c r="E22119" s="5">
        <v>111.2</v>
      </c>
      <c r="F22119" s="5">
        <v>221.5</v>
      </c>
      <c r="G22119" s="5">
        <v>110.5</v>
      </c>
      <c r="H22119" s="5">
        <v>110.4</v>
      </c>
      <c r="I22119" s="5"/>
      <c r="J22119" s="5"/>
      <c r="K22119" s="5"/>
    </row>
    <row r="22120" spans="1:11" x14ac:dyDescent="0.25">
      <c r="A22120" s="5">
        <f>22113</f>
      </c>
      <c r="B22120" s="5" t="s">
        <v>22128</v>
      </c>
      <c r="C22120" s="5">
        <v>111</v>
      </c>
      <c r="D22120" s="5">
        <v>0.1</v>
      </c>
      <c r="E22120" s="5">
        <v>111.2</v>
      </c>
      <c r="F22120" s="5">
        <v>221.5</v>
      </c>
      <c r="G22120" s="5">
        <v>110.5</v>
      </c>
      <c r="H22120" s="5">
        <v>110.4</v>
      </c>
      <c r="I22120" s="5"/>
      <c r="J22120" s="5"/>
      <c r="K22120" s="5"/>
    </row>
    <row r="22121" spans="1:11" x14ac:dyDescent="0.25">
      <c r="A22121" s="5">
        <f>22114</f>
      </c>
      <c r="B22121" s="5" t="s">
        <v>22129</v>
      </c>
      <c r="C22121" s="5">
        <v>111.4</v>
      </c>
      <c r="D22121" s="5">
        <v>0.1</v>
      </c>
      <c r="E22121" s="5">
        <v>111.5</v>
      </c>
      <c r="F22121" s="5">
        <v>221.7</v>
      </c>
      <c r="G22121" s="5">
        <v>110.6</v>
      </c>
      <c r="H22121" s="5">
        <v>110.5</v>
      </c>
      <c r="I22121" s="5"/>
      <c r="J22121" s="5"/>
      <c r="K22121" s="5"/>
    </row>
    <row r="22122" spans="1:11" x14ac:dyDescent="0.25">
      <c r="A22122" s="5">
        <f>22115</f>
      </c>
      <c r="B22122" s="5" t="s">
        <v>22130</v>
      </c>
      <c r="C22122" s="5">
        <v>111.4</v>
      </c>
      <c r="D22122" s="5">
        <v>0.1</v>
      </c>
      <c r="E22122" s="5">
        <v>111.5</v>
      </c>
      <c r="F22122" s="5">
        <v>221.7</v>
      </c>
      <c r="G22122" s="5">
        <v>110.6</v>
      </c>
      <c r="H22122" s="5">
        <v>110.5</v>
      </c>
      <c r="I22122" s="5"/>
      <c r="J22122" s="5"/>
      <c r="K22122" s="5"/>
    </row>
    <row r="22123" spans="1:11" x14ac:dyDescent="0.25">
      <c r="A22123" s="5">
        <f>22116</f>
      </c>
      <c r="B22123" s="5" t="s">
        <v>22131</v>
      </c>
      <c r="C22123" s="5">
        <v>110.8</v>
      </c>
      <c r="D22123" s="5">
        <v>0.1</v>
      </c>
      <c r="E22123" s="5">
        <v>111</v>
      </c>
      <c r="F22123" s="5">
        <v>221.6</v>
      </c>
      <c r="G22123" s="5">
        <v>110.6</v>
      </c>
      <c r="H22123" s="5">
        <v>110.4</v>
      </c>
      <c r="I22123" s="5"/>
      <c r="J22123" s="5"/>
      <c r="K22123" s="5"/>
    </row>
    <row r="22124" spans="1:11" x14ac:dyDescent="0.25">
      <c r="A22124" s="5">
        <f>22117</f>
      </c>
      <c r="B22124" s="5" t="s">
        <v>22132</v>
      </c>
      <c r="C22124" s="5">
        <v>110.8</v>
      </c>
      <c r="D22124" s="5">
        <v>0.1</v>
      </c>
      <c r="E22124" s="5">
        <v>111</v>
      </c>
      <c r="F22124" s="5">
        <v>221.6</v>
      </c>
      <c r="G22124" s="5">
        <v>110.6</v>
      </c>
      <c r="H22124" s="5">
        <v>110.4</v>
      </c>
      <c r="I22124" s="5"/>
      <c r="J22124" s="5"/>
      <c r="K22124" s="5"/>
    </row>
    <row r="22125" spans="1:11" x14ac:dyDescent="0.25">
      <c r="A22125" s="5">
        <f>22118</f>
      </c>
      <c r="B22125" s="5" t="s">
        <v>22133</v>
      </c>
      <c r="C22125" s="5">
        <v>110.1</v>
      </c>
      <c r="D22125" s="5">
        <v>0.1</v>
      </c>
      <c r="E22125" s="5">
        <v>110.3</v>
      </c>
      <c r="F22125" s="5">
        <v>220.1</v>
      </c>
      <c r="G22125" s="5">
        <v>109.7</v>
      </c>
      <c r="H22125" s="5">
        <v>109.5</v>
      </c>
      <c r="I22125" s="5"/>
      <c r="J22125" s="5"/>
      <c r="K22125" s="5"/>
    </row>
    <row r="22126" spans="1:11" x14ac:dyDescent="0.25">
      <c r="A22126" s="5">
        <f>22119</f>
      </c>
      <c r="B22126" s="5" t="s">
        <v>22134</v>
      </c>
      <c r="C22126" s="5">
        <v>110.1</v>
      </c>
      <c r="D22126" s="5">
        <v>0.1</v>
      </c>
      <c r="E22126" s="5">
        <v>110.3</v>
      </c>
      <c r="F22126" s="5">
        <v>220.1</v>
      </c>
      <c r="G22126" s="5">
        <v>109.7</v>
      </c>
      <c r="H22126" s="5">
        <v>109.5</v>
      </c>
      <c r="I22126" s="5"/>
      <c r="J22126" s="5"/>
      <c r="K22126" s="5"/>
    </row>
    <row r="22127" spans="1:11" x14ac:dyDescent="0.25">
      <c r="A22127" s="5">
        <f>22120</f>
      </c>
      <c r="B22127" s="5" t="s">
        <v>22135</v>
      </c>
      <c r="C22127" s="5">
        <v>110.1</v>
      </c>
      <c r="D22127" s="5">
        <v>0.1</v>
      </c>
      <c r="E22127" s="5">
        <v>110.3</v>
      </c>
      <c r="F22127" s="5">
        <v>220.1</v>
      </c>
      <c r="G22127" s="5">
        <v>109.7</v>
      </c>
      <c r="H22127" s="5">
        <v>109.5</v>
      </c>
      <c r="I22127" s="5"/>
      <c r="J22127" s="5"/>
      <c r="K22127" s="5"/>
    </row>
    <row r="22128" spans="1:11" x14ac:dyDescent="0.25">
      <c r="A22128" s="5">
        <f>22121</f>
      </c>
      <c r="B22128" s="5" t="s">
        <v>22136</v>
      </c>
      <c r="C22128" s="5">
        <v>110.1</v>
      </c>
      <c r="D22128" s="5">
        <v>0.1</v>
      </c>
      <c r="E22128" s="5">
        <v>110.3</v>
      </c>
      <c r="F22128" s="5">
        <v>220.1</v>
      </c>
      <c r="G22128" s="5">
        <v>109.7</v>
      </c>
      <c r="H22128" s="5">
        <v>109.5</v>
      </c>
      <c r="I22128" s="5"/>
      <c r="J22128" s="5"/>
      <c r="K22128" s="5"/>
    </row>
    <row r="22129" spans="1:11" x14ac:dyDescent="0.25">
      <c r="A22129" s="5">
        <f>22122</f>
      </c>
      <c r="B22129" s="5" t="s">
        <v>22137</v>
      </c>
      <c r="C22129" s="5">
        <v>110.1</v>
      </c>
      <c r="D22129" s="5">
        <v>0.1</v>
      </c>
      <c r="E22129" s="5">
        <v>110.2</v>
      </c>
      <c r="F22129" s="5">
        <v>220.1</v>
      </c>
      <c r="G22129" s="5">
        <v>109.8</v>
      </c>
      <c r="H22129" s="5">
        <v>109.6</v>
      </c>
      <c r="I22129" s="5"/>
      <c r="J22129" s="5"/>
      <c r="K22129" s="5"/>
    </row>
    <row r="22130" spans="1:11" x14ac:dyDescent="0.25">
      <c r="A22130" s="5">
        <f>22123</f>
      </c>
      <c r="B22130" s="5" t="s">
        <v>22138</v>
      </c>
      <c r="C22130" s="5">
        <v>110.1</v>
      </c>
      <c r="D22130" s="5">
        <v>0.1</v>
      </c>
      <c r="E22130" s="5">
        <v>110.2</v>
      </c>
      <c r="F22130" s="5">
        <v>220.1</v>
      </c>
      <c r="G22130" s="5">
        <v>109.8</v>
      </c>
      <c r="H22130" s="5">
        <v>109.6</v>
      </c>
      <c r="I22130" s="5"/>
      <c r="J22130" s="5"/>
      <c r="K22130" s="5"/>
    </row>
    <row r="22131" spans="1:11" x14ac:dyDescent="0.25">
      <c r="A22131" s="5">
        <f>22124</f>
      </c>
      <c r="B22131" s="5" t="s">
        <v>22139</v>
      </c>
      <c r="C22131" s="5">
        <v>110.1</v>
      </c>
      <c r="D22131" s="5">
        <v>0.1</v>
      </c>
      <c r="E22131" s="5">
        <v>110.2</v>
      </c>
      <c r="F22131" s="5">
        <v>220.1</v>
      </c>
      <c r="G22131" s="5">
        <v>109.8</v>
      </c>
      <c r="H22131" s="5">
        <v>109.6</v>
      </c>
      <c r="I22131" s="5"/>
      <c r="J22131" s="5"/>
      <c r="K22131" s="5"/>
    </row>
    <row r="22132" spans="1:11" x14ac:dyDescent="0.25">
      <c r="A22132" s="5">
        <f>22125</f>
      </c>
      <c r="B22132" s="5" t="s">
        <v>22140</v>
      </c>
      <c r="C22132" s="5">
        <v>110.1</v>
      </c>
      <c r="D22132" s="5">
        <v>0.1</v>
      </c>
      <c r="E22132" s="5">
        <v>110.2</v>
      </c>
      <c r="F22132" s="5">
        <v>220.1</v>
      </c>
      <c r="G22132" s="5">
        <v>109.8</v>
      </c>
      <c r="H22132" s="5">
        <v>109.6</v>
      </c>
      <c r="I22132" s="5"/>
      <c r="J22132" s="5"/>
      <c r="K22132" s="5"/>
    </row>
    <row r="22133" spans="1:11" x14ac:dyDescent="0.25">
      <c r="A22133" s="5">
        <f>22126</f>
      </c>
      <c r="B22133" s="5" t="s">
        <v>22141</v>
      </c>
      <c r="C22133" s="5">
        <v>110.1</v>
      </c>
      <c r="D22133" s="5">
        <v>0.1</v>
      </c>
      <c r="E22133" s="5">
        <v>110.2</v>
      </c>
      <c r="F22133" s="5">
        <v>220.1</v>
      </c>
      <c r="G22133" s="5">
        <v>109.9</v>
      </c>
      <c r="H22133" s="5">
        <v>109.7</v>
      </c>
      <c r="I22133" s="5"/>
      <c r="J22133" s="5"/>
      <c r="K22133" s="5"/>
    </row>
    <row r="22134" spans="1:11" x14ac:dyDescent="0.25">
      <c r="A22134" s="5">
        <f>22127</f>
      </c>
      <c r="B22134" s="5" t="s">
        <v>22142</v>
      </c>
      <c r="C22134" s="5">
        <v>110.1</v>
      </c>
      <c r="D22134" s="5">
        <v>0.1</v>
      </c>
      <c r="E22134" s="5">
        <v>110.2</v>
      </c>
      <c r="F22134" s="5">
        <v>220.1</v>
      </c>
      <c r="G22134" s="5">
        <v>109.9</v>
      </c>
      <c r="H22134" s="5">
        <v>109.7</v>
      </c>
      <c r="I22134" s="5"/>
      <c r="J22134" s="5"/>
      <c r="K22134" s="5"/>
    </row>
    <row r="22135" spans="1:11" x14ac:dyDescent="0.25">
      <c r="A22135" s="5">
        <f>22128</f>
      </c>
      <c r="B22135" s="5" t="s">
        <v>22143</v>
      </c>
      <c r="C22135" s="5">
        <v>110</v>
      </c>
      <c r="D22135" s="5">
        <v>0.1</v>
      </c>
      <c r="E22135" s="5">
        <v>110.1</v>
      </c>
      <c r="F22135" s="5">
        <v>219.2</v>
      </c>
      <c r="G22135" s="5">
        <v>109.4</v>
      </c>
      <c r="H22135" s="5">
        <v>109.3</v>
      </c>
      <c r="I22135" s="5"/>
      <c r="J22135" s="5"/>
      <c r="K22135" s="5"/>
    </row>
    <row r="22136" spans="1:11" x14ac:dyDescent="0.25">
      <c r="A22136" s="5">
        <f>22129</f>
      </c>
      <c r="B22136" s="5" t="s">
        <v>22144</v>
      </c>
      <c r="C22136" s="5">
        <v>110</v>
      </c>
      <c r="D22136" s="5">
        <v>0.1</v>
      </c>
      <c r="E22136" s="5">
        <v>110.1</v>
      </c>
      <c r="F22136" s="5">
        <v>219.2</v>
      </c>
      <c r="G22136" s="5">
        <v>109.4</v>
      </c>
      <c r="H22136" s="5">
        <v>109.3</v>
      </c>
      <c r="I22136" s="5"/>
      <c r="J22136" s="5"/>
      <c r="K22136" s="5"/>
    </row>
    <row r="22137" spans="1:11" x14ac:dyDescent="0.25">
      <c r="A22137" s="5">
        <f>22130</f>
      </c>
      <c r="B22137" s="5" t="s">
        <v>22145</v>
      </c>
      <c r="C22137" s="5">
        <v>110</v>
      </c>
      <c r="D22137" s="5">
        <v>0.1</v>
      </c>
      <c r="E22137" s="5">
        <v>110.1</v>
      </c>
      <c r="F22137" s="5">
        <v>219.2</v>
      </c>
      <c r="G22137" s="5">
        <v>109.4</v>
      </c>
      <c r="H22137" s="5">
        <v>109.3</v>
      </c>
      <c r="I22137" s="5"/>
      <c r="J22137" s="5"/>
      <c r="K22137" s="5"/>
    </row>
    <row r="22138" spans="1:11" x14ac:dyDescent="0.25">
      <c r="A22138" s="5">
        <f>22131</f>
      </c>
      <c r="B22138" s="5" t="s">
        <v>22146</v>
      </c>
      <c r="C22138" s="5">
        <v>110</v>
      </c>
      <c r="D22138" s="5">
        <v>0.1</v>
      </c>
      <c r="E22138" s="5">
        <v>110.1</v>
      </c>
      <c r="F22138" s="5">
        <v>219.2</v>
      </c>
      <c r="G22138" s="5">
        <v>109.4</v>
      </c>
      <c r="H22138" s="5">
        <v>109.3</v>
      </c>
      <c r="I22138" s="5"/>
      <c r="J22138" s="5"/>
      <c r="K22138" s="5"/>
    </row>
    <row r="22139" spans="1:11" x14ac:dyDescent="0.25">
      <c r="A22139" s="5">
        <f>22132</f>
      </c>
      <c r="B22139" s="5" t="s">
        <v>22147</v>
      </c>
      <c r="C22139" s="5">
        <v>109.8</v>
      </c>
      <c r="D22139" s="5">
        <v>0.1</v>
      </c>
      <c r="E22139" s="5">
        <v>110</v>
      </c>
      <c r="F22139" s="5">
        <v>219</v>
      </c>
      <c r="G22139" s="5">
        <v>109.2</v>
      </c>
      <c r="H22139" s="5">
        <v>108.9</v>
      </c>
      <c r="I22139" s="5"/>
      <c r="J22139" s="5"/>
      <c r="K22139" s="5"/>
    </row>
    <row r="22140" spans="1:11" x14ac:dyDescent="0.25">
      <c r="A22140" s="5">
        <f>22133</f>
      </c>
      <c r="B22140" s="5" t="s">
        <v>22148</v>
      </c>
      <c r="C22140" s="5">
        <v>109.8</v>
      </c>
      <c r="D22140" s="5">
        <v>0.1</v>
      </c>
      <c r="E22140" s="5">
        <v>110</v>
      </c>
      <c r="F22140" s="5">
        <v>219</v>
      </c>
      <c r="G22140" s="5">
        <v>109.2</v>
      </c>
      <c r="H22140" s="5">
        <v>108.9</v>
      </c>
      <c r="I22140" s="5"/>
      <c r="J22140" s="5"/>
      <c r="K22140" s="5"/>
    </row>
    <row r="22141" spans="1:11" x14ac:dyDescent="0.25">
      <c r="A22141" s="5">
        <f>22134</f>
      </c>
      <c r="B22141" s="5" t="s">
        <v>22149</v>
      </c>
      <c r="C22141" s="5">
        <v>109.2</v>
      </c>
      <c r="D22141" s="5">
        <v>0.1</v>
      </c>
      <c r="E22141" s="5">
        <v>109.4</v>
      </c>
      <c r="F22141" s="5">
        <v>218</v>
      </c>
      <c r="G22141" s="5">
        <v>108.8</v>
      </c>
      <c r="H22141" s="5">
        <v>108.5</v>
      </c>
      <c r="I22141" s="5"/>
      <c r="J22141" s="5"/>
      <c r="K22141" s="5"/>
    </row>
    <row r="22142" spans="1:11" x14ac:dyDescent="0.25">
      <c r="A22142" s="5">
        <f>22135</f>
      </c>
      <c r="B22142" s="5" t="s">
        <v>22150</v>
      </c>
      <c r="C22142" s="5">
        <v>109.2</v>
      </c>
      <c r="D22142" s="5">
        <v>0.1</v>
      </c>
      <c r="E22142" s="5">
        <v>109.4</v>
      </c>
      <c r="F22142" s="5">
        <v>218</v>
      </c>
      <c r="G22142" s="5">
        <v>108.8</v>
      </c>
      <c r="H22142" s="5">
        <v>108.5</v>
      </c>
      <c r="I22142" s="5"/>
      <c r="J22142" s="5"/>
      <c r="K22142" s="5"/>
    </row>
    <row r="22143" spans="1:11" x14ac:dyDescent="0.25">
      <c r="A22143" s="5">
        <f>22136</f>
      </c>
      <c r="B22143" s="5" t="s">
        <v>22151</v>
      </c>
      <c r="C22143" s="5">
        <v>109</v>
      </c>
      <c r="D22143" s="5">
        <v>0.1</v>
      </c>
      <c r="E22143" s="5">
        <v>109.1</v>
      </c>
      <c r="F22143" s="5">
        <v>217.6</v>
      </c>
      <c r="G22143" s="5">
        <v>108.6</v>
      </c>
      <c r="H22143" s="5">
        <v>108.5</v>
      </c>
      <c r="I22143" s="5"/>
      <c r="J22143" s="5"/>
      <c r="K22143" s="5"/>
    </row>
    <row r="22144" spans="1:11" x14ac:dyDescent="0.25">
      <c r="A22144" s="5">
        <f>22137</f>
      </c>
      <c r="B22144" s="5" t="s">
        <v>22152</v>
      </c>
      <c r="C22144" s="5">
        <v>109</v>
      </c>
      <c r="D22144" s="5">
        <v>0.1</v>
      </c>
      <c r="E22144" s="5">
        <v>109.1</v>
      </c>
      <c r="F22144" s="5">
        <v>217.6</v>
      </c>
      <c r="G22144" s="5">
        <v>108.6</v>
      </c>
      <c r="H22144" s="5">
        <v>108.5</v>
      </c>
      <c r="I22144" s="5"/>
      <c r="J22144" s="5"/>
      <c r="K22144" s="5"/>
    </row>
    <row r="22145" spans="1:11" x14ac:dyDescent="0.25">
      <c r="A22145" s="5">
        <f>22138</f>
      </c>
      <c r="B22145" s="5" t="s">
        <v>22153</v>
      </c>
      <c r="C22145" s="5">
        <v>110.2</v>
      </c>
      <c r="D22145" s="5">
        <v>0.1</v>
      </c>
      <c r="E22145" s="5">
        <v>110.4</v>
      </c>
      <c r="F22145" s="5">
        <v>220</v>
      </c>
      <c r="G22145" s="5">
        <v>109.8</v>
      </c>
      <c r="H22145" s="5">
        <v>109.6</v>
      </c>
      <c r="I22145" s="5"/>
      <c r="J22145" s="5"/>
      <c r="K22145" s="5"/>
    </row>
    <row r="22146" spans="1:11" x14ac:dyDescent="0.25">
      <c r="A22146" s="5">
        <f>22139</f>
      </c>
      <c r="B22146" s="5" t="s">
        <v>22154</v>
      </c>
      <c r="C22146" s="5">
        <v>110.2</v>
      </c>
      <c r="D22146" s="5">
        <v>0.1</v>
      </c>
      <c r="E22146" s="5">
        <v>110.4</v>
      </c>
      <c r="F22146" s="5">
        <v>220</v>
      </c>
      <c r="G22146" s="5">
        <v>109.8</v>
      </c>
      <c r="H22146" s="5">
        <v>109.6</v>
      </c>
      <c r="I22146" s="5"/>
      <c r="J22146" s="5"/>
      <c r="K22146" s="5"/>
    </row>
    <row r="22147" spans="1:11" x14ac:dyDescent="0.25">
      <c r="A22147" s="5">
        <f>22140</f>
      </c>
      <c r="B22147" s="5" t="s">
        <v>22155</v>
      </c>
      <c r="C22147" s="5">
        <v>110.2</v>
      </c>
      <c r="D22147" s="5">
        <v>0.1</v>
      </c>
      <c r="E22147" s="5">
        <v>110.4</v>
      </c>
      <c r="F22147" s="5">
        <v>220</v>
      </c>
      <c r="G22147" s="5">
        <v>109.8</v>
      </c>
      <c r="H22147" s="5">
        <v>109.6</v>
      </c>
      <c r="I22147" s="5"/>
      <c r="J22147" s="5"/>
      <c r="K22147" s="5"/>
    </row>
    <row r="22148" spans="1:11" x14ac:dyDescent="0.25">
      <c r="A22148" s="5">
        <f>22141</f>
      </c>
      <c r="B22148" s="5" t="s">
        <v>22156</v>
      </c>
      <c r="C22148" s="5">
        <v>110.2</v>
      </c>
      <c r="D22148" s="5">
        <v>0.1</v>
      </c>
      <c r="E22148" s="5">
        <v>110.4</v>
      </c>
      <c r="F22148" s="5">
        <v>220</v>
      </c>
      <c r="G22148" s="5">
        <v>109.8</v>
      </c>
      <c r="H22148" s="5">
        <v>109.6</v>
      </c>
      <c r="I22148" s="5"/>
      <c r="J22148" s="5"/>
      <c r="K22148" s="5"/>
    </row>
    <row r="22149" spans="1:11" x14ac:dyDescent="0.25">
      <c r="A22149" s="5">
        <f>22142</f>
      </c>
      <c r="B22149" s="5" t="s">
        <v>22157</v>
      </c>
      <c r="C22149" s="5">
        <v>110.6</v>
      </c>
      <c r="D22149" s="5">
        <v>0.1</v>
      </c>
      <c r="E22149" s="5">
        <v>110.7</v>
      </c>
      <c r="F22149" s="5">
        <v>220.6</v>
      </c>
      <c r="G22149" s="5">
        <v>110.1</v>
      </c>
      <c r="H22149" s="5">
        <v>109.9</v>
      </c>
      <c r="I22149" s="5"/>
      <c r="J22149" s="5"/>
      <c r="K22149" s="5"/>
    </row>
    <row r="22150" spans="1:11" x14ac:dyDescent="0.25">
      <c r="A22150" s="5">
        <f>22143</f>
      </c>
      <c r="B22150" s="5" t="s">
        <v>22158</v>
      </c>
      <c r="C22150" s="5">
        <v>110.6</v>
      </c>
      <c r="D22150" s="5">
        <v>0.1</v>
      </c>
      <c r="E22150" s="5">
        <v>110.7</v>
      </c>
      <c r="F22150" s="5">
        <v>220.6</v>
      </c>
      <c r="G22150" s="5">
        <v>110.1</v>
      </c>
      <c r="H22150" s="5">
        <v>109.9</v>
      </c>
      <c r="I22150" s="5"/>
      <c r="J22150" s="5"/>
      <c r="K22150" s="5"/>
    </row>
    <row r="22151" spans="1:11" x14ac:dyDescent="0.25">
      <c r="A22151" s="5">
        <f>22144</f>
      </c>
      <c r="B22151" s="5" t="s">
        <v>22159</v>
      </c>
      <c r="C22151" s="5">
        <v>110</v>
      </c>
      <c r="D22151" s="5">
        <v>0.1</v>
      </c>
      <c r="E22151" s="5">
        <v>110.1</v>
      </c>
      <c r="F22151" s="5">
        <v>221.7</v>
      </c>
      <c r="G22151" s="5">
        <v>110.7</v>
      </c>
      <c r="H22151" s="5">
        <v>110.5</v>
      </c>
      <c r="I22151" s="5"/>
      <c r="J22151" s="5"/>
      <c r="K22151" s="5"/>
    </row>
    <row r="22152" spans="1:11" x14ac:dyDescent="0.25">
      <c r="A22152" s="5">
        <f>22145</f>
      </c>
      <c r="B22152" s="5" t="s">
        <v>22160</v>
      </c>
      <c r="C22152" s="5">
        <v>110</v>
      </c>
      <c r="D22152" s="5">
        <v>0.1</v>
      </c>
      <c r="E22152" s="5">
        <v>110.1</v>
      </c>
      <c r="F22152" s="5">
        <v>221.7</v>
      </c>
      <c r="G22152" s="5">
        <v>110.7</v>
      </c>
      <c r="H22152" s="5">
        <v>110.5</v>
      </c>
      <c r="I22152" s="5"/>
      <c r="J22152" s="5"/>
      <c r="K22152" s="5"/>
    </row>
    <row r="22153" spans="1:11" x14ac:dyDescent="0.25">
      <c r="A22153" s="5">
        <f>22146</f>
      </c>
      <c r="B22153" s="5" t="s">
        <v>22161</v>
      </c>
      <c r="C22153" s="5">
        <v>110.4</v>
      </c>
      <c r="D22153" s="5">
        <v>0.1</v>
      </c>
      <c r="E22153" s="5">
        <v>110.5</v>
      </c>
      <c r="F22153" s="5">
        <v>220.3</v>
      </c>
      <c r="G22153" s="5">
        <v>110</v>
      </c>
      <c r="H22153" s="5">
        <v>109.9</v>
      </c>
      <c r="I22153" s="5"/>
      <c r="J22153" s="5"/>
      <c r="K22153" s="5"/>
    </row>
    <row r="22154" spans="1:11" x14ac:dyDescent="0.25">
      <c r="A22154" s="5">
        <f>22147</f>
      </c>
      <c r="B22154" s="5" t="s">
        <v>22162</v>
      </c>
      <c r="C22154" s="5">
        <v>110.4</v>
      </c>
      <c r="D22154" s="5">
        <v>0.1</v>
      </c>
      <c r="E22154" s="5">
        <v>110.5</v>
      </c>
      <c r="F22154" s="5">
        <v>220.3</v>
      </c>
      <c r="G22154" s="5">
        <v>110</v>
      </c>
      <c r="H22154" s="5">
        <v>109.9</v>
      </c>
      <c r="I22154" s="5"/>
      <c r="J22154" s="5"/>
      <c r="K22154" s="5"/>
    </row>
    <row r="22155" spans="1:11" x14ac:dyDescent="0.25">
      <c r="A22155" s="5">
        <f>22148</f>
      </c>
      <c r="B22155" s="5" t="s">
        <v>22163</v>
      </c>
      <c r="C22155" s="5">
        <v>109.4</v>
      </c>
      <c r="D22155" s="5">
        <v>0.1</v>
      </c>
      <c r="E22155" s="5">
        <v>109.6</v>
      </c>
      <c r="F22155" s="5">
        <v>219</v>
      </c>
      <c r="G22155" s="5">
        <v>109.3</v>
      </c>
      <c r="H22155" s="5">
        <v>109.2</v>
      </c>
      <c r="I22155" s="5"/>
      <c r="J22155" s="5"/>
      <c r="K22155" s="5"/>
    </row>
    <row r="22156" spans="1:11" x14ac:dyDescent="0.25">
      <c r="A22156" s="5">
        <f>22149</f>
      </c>
      <c r="B22156" s="5" t="s">
        <v>22164</v>
      </c>
      <c r="C22156" s="5">
        <v>109.4</v>
      </c>
      <c r="D22156" s="5">
        <v>0.1</v>
      </c>
      <c r="E22156" s="5">
        <v>109.6</v>
      </c>
      <c r="F22156" s="5">
        <v>219</v>
      </c>
      <c r="G22156" s="5">
        <v>109.3</v>
      </c>
      <c r="H22156" s="5">
        <v>109.2</v>
      </c>
      <c r="I22156" s="5"/>
      <c r="J22156" s="5"/>
      <c r="K22156" s="5"/>
    </row>
    <row r="22157" spans="1:11" x14ac:dyDescent="0.25">
      <c r="A22157" s="5">
        <f>22150</f>
      </c>
      <c r="B22157" s="5" t="s">
        <v>22165</v>
      </c>
      <c r="C22157" s="5">
        <v>109.4</v>
      </c>
      <c r="D22157" s="5">
        <v>0.1</v>
      </c>
      <c r="E22157" s="5">
        <v>109.6</v>
      </c>
      <c r="F22157" s="5">
        <v>219</v>
      </c>
      <c r="G22157" s="5">
        <v>109.3</v>
      </c>
      <c r="H22157" s="5">
        <v>109.2</v>
      </c>
      <c r="I22157" s="5"/>
      <c r="J22157" s="5"/>
      <c r="K22157" s="5"/>
    </row>
    <row r="22158" spans="1:11" x14ac:dyDescent="0.25">
      <c r="A22158" s="5">
        <f>22151</f>
      </c>
      <c r="B22158" s="5" t="s">
        <v>22166</v>
      </c>
      <c r="C22158" s="5">
        <v>109.4</v>
      </c>
      <c r="D22158" s="5">
        <v>0.1</v>
      </c>
      <c r="E22158" s="5">
        <v>109.6</v>
      </c>
      <c r="F22158" s="5">
        <v>219</v>
      </c>
      <c r="G22158" s="5">
        <v>109.3</v>
      </c>
      <c r="H22158" s="5">
        <v>109.2</v>
      </c>
      <c r="I22158" s="5"/>
      <c r="J22158" s="5"/>
      <c r="K22158" s="5"/>
    </row>
    <row r="22159" spans="1:11" x14ac:dyDescent="0.25">
      <c r="A22159" s="5">
        <f>22152</f>
      </c>
      <c r="B22159" s="5" t="s">
        <v>22167</v>
      </c>
      <c r="C22159" s="5">
        <v>109.9</v>
      </c>
      <c r="D22159" s="5">
        <v>0.1</v>
      </c>
      <c r="E22159" s="5">
        <v>110.1</v>
      </c>
      <c r="F22159" s="5">
        <v>219.3</v>
      </c>
      <c r="G22159" s="5">
        <v>109.5</v>
      </c>
      <c r="H22159" s="5">
        <v>109.3</v>
      </c>
      <c r="I22159" s="5"/>
      <c r="J22159" s="5"/>
      <c r="K22159" s="5"/>
    </row>
    <row r="22160" spans="1:11" x14ac:dyDescent="0.25">
      <c r="A22160" s="5">
        <f>22153</f>
      </c>
      <c r="B22160" s="5" t="s">
        <v>22168</v>
      </c>
      <c r="C22160" s="5">
        <v>109.9</v>
      </c>
      <c r="D22160" s="5">
        <v>0.1</v>
      </c>
      <c r="E22160" s="5">
        <v>110.1</v>
      </c>
      <c r="F22160" s="5">
        <v>219.3</v>
      </c>
      <c r="G22160" s="5">
        <v>109.5</v>
      </c>
      <c r="H22160" s="5">
        <v>109.3</v>
      </c>
      <c r="I22160" s="5"/>
      <c r="J22160" s="5"/>
      <c r="K22160" s="5"/>
    </row>
    <row r="22161" spans="1:11" x14ac:dyDescent="0.25">
      <c r="A22161" s="5">
        <f>22154</f>
      </c>
      <c r="B22161" s="5" t="s">
        <v>22169</v>
      </c>
      <c r="C22161" s="5">
        <v>110.2</v>
      </c>
      <c r="D22161" s="5">
        <v>0.1</v>
      </c>
      <c r="E22161" s="5">
        <v>110.4</v>
      </c>
      <c r="F22161" s="5">
        <v>219.5</v>
      </c>
      <c r="G22161" s="5">
        <v>109.6</v>
      </c>
      <c r="H22161" s="5">
        <v>109.4</v>
      </c>
      <c r="I22161" s="5"/>
      <c r="J22161" s="5"/>
      <c r="K22161" s="5"/>
    </row>
    <row r="22162" spans="1:11" x14ac:dyDescent="0.25">
      <c r="A22162" s="5">
        <f>22155</f>
      </c>
      <c r="B22162" s="5" t="s">
        <v>22170</v>
      </c>
      <c r="C22162" s="5">
        <v>110.2</v>
      </c>
      <c r="D22162" s="5">
        <v>0.1</v>
      </c>
      <c r="E22162" s="5">
        <v>110.4</v>
      </c>
      <c r="F22162" s="5">
        <v>219.5</v>
      </c>
      <c r="G22162" s="5">
        <v>109.6</v>
      </c>
      <c r="H22162" s="5">
        <v>109.4</v>
      </c>
      <c r="I22162" s="5"/>
      <c r="J22162" s="5"/>
      <c r="K22162" s="5"/>
    </row>
    <row r="22163" spans="1:11" x14ac:dyDescent="0.25">
      <c r="A22163" s="5">
        <f>22156</f>
      </c>
      <c r="B22163" s="5" t="s">
        <v>22171</v>
      </c>
      <c r="C22163" s="5">
        <v>111.4</v>
      </c>
      <c r="D22163" s="5">
        <v>0.1</v>
      </c>
      <c r="E22163" s="5">
        <v>111.6</v>
      </c>
      <c r="F22163" s="5">
        <v>222.2</v>
      </c>
      <c r="G22163" s="5">
        <v>110.9</v>
      </c>
      <c r="H22163" s="5">
        <v>110.7</v>
      </c>
      <c r="I22163" s="5"/>
      <c r="J22163" s="5"/>
      <c r="K22163" s="5"/>
    </row>
    <row r="22164" spans="1:11" x14ac:dyDescent="0.25">
      <c r="A22164" s="5">
        <f>22157</f>
      </c>
      <c r="B22164" s="5" t="s">
        <v>22172</v>
      </c>
      <c r="C22164" s="5">
        <v>111.4</v>
      </c>
      <c r="D22164" s="5">
        <v>0.1</v>
      </c>
      <c r="E22164" s="5">
        <v>111.6</v>
      </c>
      <c r="F22164" s="5">
        <v>222.2</v>
      </c>
      <c r="G22164" s="5">
        <v>110.9</v>
      </c>
      <c r="H22164" s="5">
        <v>110.7</v>
      </c>
      <c r="I22164" s="5"/>
      <c r="J22164" s="5"/>
      <c r="K22164" s="5"/>
    </row>
    <row r="22165" spans="1:11" x14ac:dyDescent="0.25">
      <c r="A22165" s="5">
        <f>22158</f>
      </c>
      <c r="B22165" s="5" t="s">
        <v>22173</v>
      </c>
      <c r="C22165" s="5">
        <v>110.9</v>
      </c>
      <c r="D22165" s="5">
        <v>0.1</v>
      </c>
      <c r="E22165" s="5">
        <v>111</v>
      </c>
      <c r="F22165" s="5">
        <v>221.8</v>
      </c>
      <c r="G22165" s="5">
        <v>110.7</v>
      </c>
      <c r="H22165" s="5">
        <v>110.5</v>
      </c>
      <c r="I22165" s="5"/>
      <c r="J22165" s="5"/>
      <c r="K22165" s="5"/>
    </row>
    <row r="22166" spans="1:11" x14ac:dyDescent="0.25">
      <c r="A22166" s="5">
        <f>22159</f>
      </c>
      <c r="B22166" s="5" t="s">
        <v>22174</v>
      </c>
      <c r="C22166" s="5">
        <v>110.9</v>
      </c>
      <c r="D22166" s="5">
        <v>0.1</v>
      </c>
      <c r="E22166" s="5">
        <v>111</v>
      </c>
      <c r="F22166" s="5">
        <v>221.8</v>
      </c>
      <c r="G22166" s="5">
        <v>110.7</v>
      </c>
      <c r="H22166" s="5">
        <v>110.5</v>
      </c>
      <c r="I22166" s="5"/>
      <c r="J22166" s="5"/>
      <c r="K22166" s="5"/>
    </row>
    <row r="22167" spans="1:11" x14ac:dyDescent="0.25">
      <c r="A22167" s="5">
        <f>22160</f>
      </c>
      <c r="B22167" s="5" t="s">
        <v>22175</v>
      </c>
      <c r="C22167" s="5">
        <v>110.9</v>
      </c>
      <c r="D22167" s="5">
        <v>0.1</v>
      </c>
      <c r="E22167" s="5">
        <v>111</v>
      </c>
      <c r="F22167" s="5">
        <v>221.8</v>
      </c>
      <c r="G22167" s="5">
        <v>110.7</v>
      </c>
      <c r="H22167" s="5">
        <v>110.5</v>
      </c>
      <c r="I22167" s="5"/>
      <c r="J22167" s="5"/>
      <c r="K22167" s="5"/>
    </row>
    <row r="22168" spans="1:11" x14ac:dyDescent="0.25">
      <c r="A22168" s="5">
        <f>22161</f>
      </c>
      <c r="B22168" s="5" t="s">
        <v>22176</v>
      </c>
      <c r="C22168" s="5">
        <v>110.9</v>
      </c>
      <c r="D22168" s="5">
        <v>0.1</v>
      </c>
      <c r="E22168" s="5">
        <v>111</v>
      </c>
      <c r="F22168" s="5">
        <v>221.8</v>
      </c>
      <c r="G22168" s="5">
        <v>110.7</v>
      </c>
      <c r="H22168" s="5">
        <v>110.5</v>
      </c>
      <c r="I22168" s="5"/>
      <c r="J22168" s="5"/>
      <c r="K22168" s="5"/>
    </row>
    <row r="22169" spans="1:11" x14ac:dyDescent="0.25">
      <c r="A22169" s="5">
        <f>22162</f>
      </c>
      <c r="B22169" s="5" t="s">
        <v>22177</v>
      </c>
      <c r="C22169" s="5">
        <v>111.3</v>
      </c>
      <c r="D22169" s="5">
        <v>0.1</v>
      </c>
      <c r="E22169" s="5">
        <v>111.4</v>
      </c>
      <c r="F22169" s="5">
        <v>223</v>
      </c>
      <c r="G22169" s="5">
        <v>111.3</v>
      </c>
      <c r="H22169" s="5">
        <v>111.1</v>
      </c>
      <c r="I22169" s="5"/>
      <c r="J22169" s="5"/>
      <c r="K22169" s="5"/>
    </row>
    <row r="22170" spans="1:11" x14ac:dyDescent="0.25">
      <c r="A22170" s="5">
        <f>22163</f>
      </c>
      <c r="B22170" s="5" t="s">
        <v>22178</v>
      </c>
      <c r="C22170" s="5">
        <v>111.3</v>
      </c>
      <c r="D22170" s="5">
        <v>0.1</v>
      </c>
      <c r="E22170" s="5">
        <v>111.4</v>
      </c>
      <c r="F22170" s="5">
        <v>223</v>
      </c>
      <c r="G22170" s="5">
        <v>111.3</v>
      </c>
      <c r="H22170" s="5">
        <v>111.1</v>
      </c>
      <c r="I22170" s="5"/>
      <c r="J22170" s="5"/>
      <c r="K22170" s="5"/>
    </row>
    <row r="22171" spans="1:11" x14ac:dyDescent="0.25">
      <c r="A22171" s="5">
        <f>22164</f>
      </c>
      <c r="B22171" s="5" t="s">
        <v>22179</v>
      </c>
      <c r="C22171" s="5">
        <v>111.3</v>
      </c>
      <c r="D22171" s="5">
        <v>0.1</v>
      </c>
      <c r="E22171" s="5">
        <v>111.4</v>
      </c>
      <c r="F22171" s="5">
        <v>223</v>
      </c>
      <c r="G22171" s="5">
        <v>111.3</v>
      </c>
      <c r="H22171" s="5">
        <v>111.1</v>
      </c>
      <c r="I22171" s="5"/>
      <c r="J22171" s="5"/>
      <c r="K22171" s="5"/>
    </row>
    <row r="22172" spans="1:11" x14ac:dyDescent="0.25">
      <c r="A22172" s="5">
        <f>22165</f>
      </c>
      <c r="B22172" s="5" t="s">
        <v>22180</v>
      </c>
      <c r="C22172" s="5">
        <v>111.3</v>
      </c>
      <c r="D22172" s="5">
        <v>0.1</v>
      </c>
      <c r="E22172" s="5">
        <v>111.4</v>
      </c>
      <c r="F22172" s="5">
        <v>223</v>
      </c>
      <c r="G22172" s="5">
        <v>111.3</v>
      </c>
      <c r="H22172" s="5">
        <v>111.1</v>
      </c>
      <c r="I22172" s="5"/>
      <c r="J22172" s="5"/>
      <c r="K22172" s="5"/>
    </row>
    <row r="22173" spans="1:11" x14ac:dyDescent="0.25">
      <c r="A22173" s="5">
        <f>22166</f>
      </c>
      <c r="B22173" s="5" t="s">
        <v>22181</v>
      </c>
      <c r="C22173" s="5">
        <v>110.7</v>
      </c>
      <c r="D22173" s="5">
        <v>0.1</v>
      </c>
      <c r="E22173" s="5">
        <v>110.8</v>
      </c>
      <c r="F22173" s="5">
        <v>222</v>
      </c>
      <c r="G22173" s="5">
        <v>110.7</v>
      </c>
      <c r="H22173" s="5">
        <v>110.6</v>
      </c>
      <c r="I22173" s="5"/>
      <c r="J22173" s="5"/>
      <c r="K22173" s="5"/>
    </row>
    <row r="22174" spans="1:11" x14ac:dyDescent="0.25">
      <c r="A22174" s="5">
        <f>22167</f>
      </c>
      <c r="B22174" s="5" t="s">
        <v>22182</v>
      </c>
      <c r="C22174" s="5">
        <v>110.7</v>
      </c>
      <c r="D22174" s="5">
        <v>0.1</v>
      </c>
      <c r="E22174" s="5">
        <v>110.8</v>
      </c>
      <c r="F22174" s="5">
        <v>222</v>
      </c>
      <c r="G22174" s="5">
        <v>110.7</v>
      </c>
      <c r="H22174" s="5">
        <v>110.6</v>
      </c>
      <c r="I22174" s="5"/>
      <c r="J22174" s="5"/>
      <c r="K22174" s="5"/>
    </row>
    <row r="22175" spans="1:11" x14ac:dyDescent="0.25">
      <c r="A22175" s="5">
        <f>22168</f>
      </c>
      <c r="B22175" s="5" t="s">
        <v>22183</v>
      </c>
      <c r="C22175" s="5">
        <v>111.3</v>
      </c>
      <c r="D22175" s="5">
        <v>0.1</v>
      </c>
      <c r="E22175" s="5">
        <v>111.4</v>
      </c>
      <c r="F22175" s="5">
        <v>222.8</v>
      </c>
      <c r="G22175" s="5">
        <v>111.2</v>
      </c>
      <c r="H22175" s="5">
        <v>111.1</v>
      </c>
      <c r="I22175" s="5"/>
      <c r="J22175" s="5"/>
      <c r="K22175" s="5"/>
    </row>
    <row r="22176" spans="1:11" x14ac:dyDescent="0.25">
      <c r="A22176" s="5">
        <f>22169</f>
      </c>
      <c r="B22176" s="5" t="s">
        <v>22184</v>
      </c>
      <c r="C22176" s="5">
        <v>111.3</v>
      </c>
      <c r="D22176" s="5">
        <v>0.1</v>
      </c>
      <c r="E22176" s="5">
        <v>111.4</v>
      </c>
      <c r="F22176" s="5">
        <v>222.8</v>
      </c>
      <c r="G22176" s="5">
        <v>111.2</v>
      </c>
      <c r="H22176" s="5">
        <v>111.1</v>
      </c>
      <c r="I22176" s="5"/>
      <c r="J22176" s="5"/>
      <c r="K22176" s="5"/>
    </row>
    <row r="22177" spans="1:11" x14ac:dyDescent="0.25">
      <c r="A22177" s="5">
        <f>22170</f>
      </c>
      <c r="B22177" s="5" t="s">
        <v>22185</v>
      </c>
      <c r="C22177" s="5">
        <v>111.3</v>
      </c>
      <c r="D22177" s="5">
        <v>0.1</v>
      </c>
      <c r="E22177" s="5">
        <v>111.4</v>
      </c>
      <c r="F22177" s="5">
        <v>222.8</v>
      </c>
      <c r="G22177" s="5">
        <v>111.2</v>
      </c>
      <c r="H22177" s="5">
        <v>111.1</v>
      </c>
      <c r="I22177" s="5"/>
      <c r="J22177" s="5"/>
      <c r="K22177" s="5"/>
    </row>
    <row r="22178" spans="1:11" x14ac:dyDescent="0.25">
      <c r="A22178" s="5">
        <f>22171</f>
      </c>
      <c r="B22178" s="5" t="s">
        <v>22186</v>
      </c>
      <c r="C22178" s="5">
        <v>111.2</v>
      </c>
      <c r="D22178" s="5">
        <v>0.1</v>
      </c>
      <c r="E22178" s="5">
        <v>111.3</v>
      </c>
      <c r="F22178" s="5">
        <v>221.7</v>
      </c>
      <c r="G22178" s="5">
        <v>110.7</v>
      </c>
      <c r="H22178" s="5">
        <v>110.5</v>
      </c>
      <c r="I22178" s="5"/>
      <c r="J22178" s="5"/>
      <c r="K22178" s="5"/>
    </row>
    <row r="22179" spans="1:11" x14ac:dyDescent="0.25">
      <c r="A22179" s="5">
        <f>22172</f>
      </c>
      <c r="B22179" s="5" t="s">
        <v>22187</v>
      </c>
      <c r="C22179" s="5">
        <v>111.2</v>
      </c>
      <c r="D22179" s="5">
        <v>0.1</v>
      </c>
      <c r="E22179" s="5">
        <v>111.3</v>
      </c>
      <c r="F22179" s="5">
        <v>221.7</v>
      </c>
      <c r="G22179" s="5">
        <v>110.7</v>
      </c>
      <c r="H22179" s="5">
        <v>110.5</v>
      </c>
      <c r="I22179" s="5"/>
      <c r="J22179" s="5"/>
      <c r="K22179" s="5"/>
    </row>
    <row r="22180" spans="1:11" x14ac:dyDescent="0.25">
      <c r="A22180" s="5">
        <f>22173</f>
      </c>
      <c r="B22180" s="5" t="s">
        <v>22188</v>
      </c>
      <c r="C22180" s="5">
        <v>110.9</v>
      </c>
      <c r="D22180" s="5">
        <v>0.1</v>
      </c>
      <c r="E22180" s="5">
        <v>111</v>
      </c>
      <c r="F22180" s="5">
        <v>221.7</v>
      </c>
      <c r="G22180" s="5">
        <v>110.6</v>
      </c>
      <c r="H22180" s="5">
        <v>110.5</v>
      </c>
      <c r="I22180" s="5"/>
      <c r="J22180" s="5"/>
      <c r="K22180" s="5"/>
    </row>
    <row r="22181" spans="1:11" x14ac:dyDescent="0.25">
      <c r="A22181" s="5">
        <f>22174</f>
      </c>
      <c r="B22181" s="5" t="s">
        <v>22189</v>
      </c>
      <c r="C22181" s="5">
        <v>110.9</v>
      </c>
      <c r="D22181" s="5">
        <v>0.1</v>
      </c>
      <c r="E22181" s="5">
        <v>111</v>
      </c>
      <c r="F22181" s="5">
        <v>221.7</v>
      </c>
      <c r="G22181" s="5">
        <v>110.6</v>
      </c>
      <c r="H22181" s="5">
        <v>110.5</v>
      </c>
      <c r="I22181" s="5"/>
      <c r="J22181" s="5"/>
      <c r="K22181" s="5"/>
    </row>
    <row r="22182" spans="1:11" x14ac:dyDescent="0.25">
      <c r="A22182" s="5">
        <f>22175</f>
      </c>
      <c r="B22182" s="5" t="s">
        <v>22190</v>
      </c>
      <c r="C22182" s="5">
        <v>111.4</v>
      </c>
      <c r="D22182" s="5">
        <v>0.1</v>
      </c>
      <c r="E22182" s="5">
        <v>111.6</v>
      </c>
      <c r="F22182" s="5">
        <v>222.9</v>
      </c>
      <c r="G22182" s="5">
        <v>111.3</v>
      </c>
      <c r="H22182" s="5">
        <v>111.1</v>
      </c>
      <c r="I22182" s="5"/>
      <c r="J22182" s="5"/>
      <c r="K22182" s="5"/>
    </row>
    <row r="22183" spans="1:11" x14ac:dyDescent="0.25">
      <c r="A22183" s="5">
        <f>22176</f>
      </c>
      <c r="B22183" s="5" t="s">
        <v>22191</v>
      </c>
      <c r="C22183" s="5">
        <v>111.4</v>
      </c>
      <c r="D22183" s="5">
        <v>0.1</v>
      </c>
      <c r="E22183" s="5">
        <v>111.6</v>
      </c>
      <c r="F22183" s="5">
        <v>222.9</v>
      </c>
      <c r="G22183" s="5">
        <v>111.3</v>
      </c>
      <c r="H22183" s="5">
        <v>111.1</v>
      </c>
      <c r="I22183" s="5"/>
      <c r="J22183" s="5"/>
      <c r="K22183" s="5"/>
    </row>
    <row r="22184" spans="1:11" x14ac:dyDescent="0.25">
      <c r="A22184" s="5">
        <f>22177</f>
      </c>
      <c r="B22184" s="5" t="s">
        <v>22192</v>
      </c>
      <c r="C22184" s="5">
        <v>111.4</v>
      </c>
      <c r="D22184" s="5">
        <v>0.1</v>
      </c>
      <c r="E22184" s="5">
        <v>111.9</v>
      </c>
      <c r="F22184" s="5">
        <v>223.1</v>
      </c>
      <c r="G22184" s="5">
        <v>111.3</v>
      </c>
      <c r="H22184" s="5">
        <v>111.2</v>
      </c>
      <c r="I22184" s="5"/>
      <c r="J22184" s="5"/>
      <c r="K22184" s="5"/>
    </row>
    <row r="22185" spans="1:11" x14ac:dyDescent="0.25">
      <c r="A22185" s="5">
        <f>22178</f>
      </c>
      <c r="B22185" s="5" t="s">
        <v>22193</v>
      </c>
      <c r="C22185" s="5">
        <v>111.7</v>
      </c>
      <c r="D22185" s="5">
        <v>0.1</v>
      </c>
      <c r="E22185" s="5">
        <v>111.9</v>
      </c>
      <c r="F22185" s="5">
        <v>223.1</v>
      </c>
      <c r="G22185" s="5">
        <v>111.3</v>
      </c>
      <c r="H22185" s="5">
        <v>111.2</v>
      </c>
      <c r="I22185" s="5"/>
      <c r="J22185" s="5"/>
      <c r="K22185" s="5"/>
    </row>
    <row r="22186" spans="1:11" x14ac:dyDescent="0.25">
      <c r="A22186" s="5">
        <f>22179</f>
      </c>
      <c r="B22186" s="5" t="s">
        <v>22194</v>
      </c>
      <c r="C22186" s="5">
        <v>111.7</v>
      </c>
      <c r="D22186" s="5">
        <v>0.1</v>
      </c>
      <c r="E22186" s="5">
        <v>111.9</v>
      </c>
      <c r="F22186" s="5">
        <v>223.1</v>
      </c>
      <c r="G22186" s="5">
        <v>111.3</v>
      </c>
      <c r="H22186" s="5">
        <v>111.2</v>
      </c>
      <c r="I22186" s="5"/>
      <c r="J22186" s="5"/>
      <c r="K22186" s="5"/>
    </row>
    <row r="22187" spans="1:11" x14ac:dyDescent="0.25">
      <c r="A22187" s="5">
        <f>22180</f>
      </c>
      <c r="B22187" s="5" t="s">
        <v>22195</v>
      </c>
      <c r="C22187" s="5">
        <v>111.7</v>
      </c>
      <c r="D22187" s="5">
        <v>0.1</v>
      </c>
      <c r="E22187" s="5">
        <v>111.9</v>
      </c>
      <c r="F22187" s="5">
        <v>223.1</v>
      </c>
      <c r="G22187" s="5">
        <v>111.3</v>
      </c>
      <c r="H22187" s="5">
        <v>111.2</v>
      </c>
      <c r="I22187" s="5"/>
      <c r="J22187" s="5"/>
      <c r="K22187" s="5"/>
    </row>
    <row r="22188" spans="1:11" x14ac:dyDescent="0.25">
      <c r="A22188" s="5">
        <f>22181</f>
      </c>
      <c r="B22188" s="5" t="s">
        <v>22196</v>
      </c>
      <c r="C22188" s="5">
        <v>110.9</v>
      </c>
      <c r="D22188" s="5">
        <v>0.1</v>
      </c>
      <c r="E22188" s="5">
        <v>111.1</v>
      </c>
      <c r="F22188" s="5">
        <v>221.4</v>
      </c>
      <c r="G22188" s="5">
        <v>110.5</v>
      </c>
      <c r="H22188" s="5">
        <v>110.4</v>
      </c>
      <c r="I22188" s="5"/>
      <c r="J22188" s="5"/>
      <c r="K22188" s="5"/>
    </row>
    <row r="22189" spans="1:11" x14ac:dyDescent="0.25">
      <c r="A22189" s="5">
        <f>22182</f>
      </c>
      <c r="B22189" s="5" t="s">
        <v>22197</v>
      </c>
      <c r="C22189" s="5">
        <v>110.9</v>
      </c>
      <c r="D22189" s="5">
        <v>0.1</v>
      </c>
      <c r="E22189" s="5">
        <v>111.1</v>
      </c>
      <c r="F22189" s="5">
        <v>221.4</v>
      </c>
      <c r="G22189" s="5">
        <v>110.5</v>
      </c>
      <c r="H22189" s="5">
        <v>110.4</v>
      </c>
      <c r="I22189" s="5"/>
      <c r="J22189" s="5"/>
      <c r="K22189" s="5"/>
    </row>
    <row r="22190" spans="1:11" x14ac:dyDescent="0.25">
      <c r="A22190" s="5">
        <f>22183</f>
      </c>
      <c r="B22190" s="5" t="s">
        <v>22198</v>
      </c>
      <c r="C22190" s="5">
        <v>111.4</v>
      </c>
      <c r="D22190" s="5">
        <v>0.1</v>
      </c>
      <c r="E22190" s="5">
        <v>111.6</v>
      </c>
      <c r="F22190" s="5">
        <v>221.4</v>
      </c>
      <c r="G22190" s="5">
        <v>110.5</v>
      </c>
      <c r="H22190" s="5">
        <v>110.4</v>
      </c>
      <c r="I22190" s="5"/>
      <c r="J22190" s="5"/>
      <c r="K22190" s="5"/>
    </row>
    <row r="22191" spans="1:11" x14ac:dyDescent="0.25">
      <c r="A22191" s="5">
        <f>22184</f>
      </c>
      <c r="B22191" s="5" t="s">
        <v>22199</v>
      </c>
      <c r="C22191" s="5">
        <v>111.4</v>
      </c>
      <c r="D22191" s="5">
        <v>0.1</v>
      </c>
      <c r="E22191" s="5">
        <v>111.6</v>
      </c>
      <c r="F22191" s="5">
        <v>221.4</v>
      </c>
      <c r="G22191" s="5">
        <v>110.5</v>
      </c>
      <c r="H22191" s="5">
        <v>110.4</v>
      </c>
      <c r="I22191" s="5"/>
      <c r="J22191" s="5"/>
      <c r="K22191" s="5"/>
    </row>
    <row r="22192" spans="1:11" x14ac:dyDescent="0.25">
      <c r="A22192" s="5">
        <f>22185</f>
      </c>
      <c r="B22192" s="5" t="s">
        <v>22200</v>
      </c>
      <c r="C22192" s="5">
        <v>111</v>
      </c>
      <c r="D22192" s="5">
        <v>0.1</v>
      </c>
      <c r="E22192" s="5">
        <v>111.2</v>
      </c>
      <c r="F22192" s="5">
        <v>222.6</v>
      </c>
      <c r="G22192" s="5">
        <v>110.5</v>
      </c>
      <c r="H22192" s="5">
        <v>110.4</v>
      </c>
      <c r="I22192" s="5"/>
      <c r="J22192" s="5"/>
      <c r="K22192" s="5"/>
    </row>
    <row r="22193" spans="1:11" x14ac:dyDescent="0.25">
      <c r="A22193" s="5">
        <f>22186</f>
      </c>
      <c r="B22193" s="5" t="s">
        <v>22201</v>
      </c>
      <c r="C22193" s="5">
        <v>111</v>
      </c>
      <c r="D22193" s="5">
        <v>0.1</v>
      </c>
      <c r="E22193" s="5">
        <v>111.2</v>
      </c>
      <c r="F22193" s="5">
        <v>222.6</v>
      </c>
      <c r="G22193" s="5">
        <v>111.1</v>
      </c>
      <c r="H22193" s="5">
        <v>110.9</v>
      </c>
      <c r="I22193" s="5"/>
      <c r="J22193" s="5"/>
      <c r="K22193" s="5"/>
    </row>
    <row r="22194" spans="1:11" x14ac:dyDescent="0.25">
      <c r="A22194" s="5">
        <f>22187</f>
      </c>
      <c r="B22194" s="5" t="s">
        <v>22202</v>
      </c>
      <c r="C22194" s="5">
        <v>111</v>
      </c>
      <c r="D22194" s="5">
        <v>0.1</v>
      </c>
      <c r="E22194" s="5">
        <v>111.1</v>
      </c>
      <c r="F22194" s="5">
        <v>222.6</v>
      </c>
      <c r="G22194" s="5">
        <v>111.1</v>
      </c>
      <c r="H22194" s="5">
        <v>110.9</v>
      </c>
      <c r="I22194" s="5"/>
      <c r="J22194" s="5"/>
      <c r="K22194" s="5"/>
    </row>
    <row r="22195" spans="1:11" x14ac:dyDescent="0.25">
      <c r="A22195" s="5">
        <f>22188</f>
      </c>
      <c r="B22195" s="5" t="s">
        <v>22203</v>
      </c>
      <c r="C22195" s="5">
        <v>111</v>
      </c>
      <c r="D22195" s="5">
        <v>0.1</v>
      </c>
      <c r="E22195" s="5">
        <v>111.1</v>
      </c>
      <c r="F22195" s="5">
        <v>221.8</v>
      </c>
      <c r="G22195" s="5">
        <v>110.7</v>
      </c>
      <c r="H22195" s="5">
        <v>110.5</v>
      </c>
      <c r="I22195" s="5"/>
      <c r="J22195" s="5"/>
      <c r="K22195" s="5"/>
    </row>
    <row r="22196" spans="1:11" x14ac:dyDescent="0.25">
      <c r="A22196" s="5">
        <f>22189</f>
      </c>
      <c r="B22196" s="5" t="s">
        <v>22204</v>
      </c>
      <c r="C22196" s="5">
        <v>111</v>
      </c>
      <c r="D22196" s="5">
        <v>0.1</v>
      </c>
      <c r="E22196" s="5">
        <v>111.1</v>
      </c>
      <c r="F22196" s="5">
        <v>221.8</v>
      </c>
      <c r="G22196" s="5">
        <v>110.7</v>
      </c>
      <c r="H22196" s="5">
        <v>110.5</v>
      </c>
      <c r="I22196" s="5"/>
      <c r="J22196" s="5"/>
      <c r="K22196" s="5"/>
    </row>
    <row r="22197" spans="1:11" x14ac:dyDescent="0.25">
      <c r="A22197" s="5">
        <f>22190</f>
      </c>
      <c r="B22197" s="5" t="s">
        <v>22205</v>
      </c>
      <c r="C22197" s="5">
        <v>111</v>
      </c>
      <c r="D22197" s="5">
        <v>0.1</v>
      </c>
      <c r="E22197" s="5">
        <v>111.1</v>
      </c>
      <c r="F22197" s="5">
        <v>221.8</v>
      </c>
      <c r="G22197" s="5">
        <v>110.7</v>
      </c>
      <c r="H22197" s="5">
        <v>110.5</v>
      </c>
      <c r="I22197" s="5"/>
      <c r="J22197" s="5"/>
      <c r="K22197" s="5"/>
    </row>
    <row r="22198" spans="1:11" x14ac:dyDescent="0.25">
      <c r="A22198" s="5">
        <f>22191</f>
      </c>
      <c r="B22198" s="5" t="s">
        <v>22206</v>
      </c>
      <c r="C22198" s="5">
        <v>111</v>
      </c>
      <c r="D22198" s="5">
        <v>0.1</v>
      </c>
      <c r="E22198" s="5">
        <v>111.1</v>
      </c>
      <c r="F22198" s="5">
        <v>221.8</v>
      </c>
      <c r="G22198" s="5">
        <v>110.7</v>
      </c>
      <c r="H22198" s="5">
        <v>110.5</v>
      </c>
      <c r="I22198" s="5"/>
      <c r="J22198" s="5"/>
      <c r="K22198" s="5"/>
    </row>
    <row r="22199" spans="1:11" x14ac:dyDescent="0.25">
      <c r="A22199" s="5">
        <f>22192</f>
      </c>
      <c r="B22199" s="5" t="s">
        <v>22207</v>
      </c>
      <c r="C22199" s="5">
        <v>111</v>
      </c>
      <c r="D22199" s="5">
        <v>0.1</v>
      </c>
      <c r="E22199" s="5">
        <v>111.1</v>
      </c>
      <c r="F22199" s="5">
        <v>222.3</v>
      </c>
      <c r="G22199" s="5">
        <v>110.9</v>
      </c>
      <c r="H22199" s="5">
        <v>110.8</v>
      </c>
      <c r="I22199" s="5"/>
      <c r="J22199" s="5"/>
      <c r="K22199" s="5"/>
    </row>
    <row r="22200" spans="1:11" x14ac:dyDescent="0.25">
      <c r="A22200" s="5">
        <f>22193</f>
      </c>
      <c r="B22200" s="5" t="s">
        <v>22208</v>
      </c>
      <c r="C22200" s="5">
        <v>111</v>
      </c>
      <c r="D22200" s="5">
        <v>0.1</v>
      </c>
      <c r="E22200" s="5">
        <v>111.1</v>
      </c>
      <c r="F22200" s="5">
        <v>222.3</v>
      </c>
      <c r="G22200" s="5">
        <v>110.9</v>
      </c>
      <c r="H22200" s="5">
        <v>110.8</v>
      </c>
      <c r="I22200" s="5"/>
      <c r="J22200" s="5"/>
      <c r="K22200" s="5"/>
    </row>
    <row r="22201" spans="1:11" x14ac:dyDescent="0.25">
      <c r="A22201" s="5">
        <f>22194</f>
      </c>
      <c r="B22201" s="5" t="s">
        <v>22209</v>
      </c>
      <c r="C22201" s="5">
        <v>111.5</v>
      </c>
      <c r="D22201" s="5">
        <v>0.1</v>
      </c>
      <c r="E22201" s="5">
        <v>111.6</v>
      </c>
      <c r="F22201" s="5">
        <v>222.5</v>
      </c>
      <c r="G22201" s="5">
        <v>111</v>
      </c>
      <c r="H22201" s="5">
        <v>110.9</v>
      </c>
      <c r="I22201" s="5"/>
      <c r="J22201" s="5"/>
      <c r="K22201" s="5"/>
    </row>
    <row r="22202" spans="1:11" x14ac:dyDescent="0.25">
      <c r="A22202" s="5">
        <f>22195</f>
      </c>
      <c r="B22202" s="5" t="s">
        <v>22210</v>
      </c>
      <c r="C22202" s="5">
        <v>111.5</v>
      </c>
      <c r="D22202" s="5">
        <v>0.1</v>
      </c>
      <c r="E22202" s="5">
        <v>111.6</v>
      </c>
      <c r="F22202" s="5">
        <v>222.5</v>
      </c>
      <c r="G22202" s="5">
        <v>111</v>
      </c>
      <c r="H22202" s="5">
        <v>110.9</v>
      </c>
      <c r="I22202" s="5"/>
      <c r="J22202" s="5"/>
      <c r="K22202" s="5"/>
    </row>
    <row r="22203" spans="1:11" x14ac:dyDescent="0.25">
      <c r="A22203" s="5">
        <f>22196</f>
      </c>
      <c r="B22203" s="5" t="s">
        <v>22211</v>
      </c>
      <c r="C22203" s="5">
        <v>111.3</v>
      </c>
      <c r="D22203" s="5">
        <v>0.1</v>
      </c>
      <c r="E22203" s="5">
        <v>111.5</v>
      </c>
      <c r="F22203" s="5">
        <v>222.3</v>
      </c>
      <c r="G22203" s="5">
        <v>111</v>
      </c>
      <c r="H22203" s="5">
        <v>110.8</v>
      </c>
      <c r="I22203" s="5"/>
      <c r="J22203" s="5"/>
      <c r="K22203" s="5"/>
    </row>
    <row r="22204" spans="1:11" x14ac:dyDescent="0.25">
      <c r="A22204" s="5">
        <f>22197</f>
      </c>
      <c r="B22204" s="5" t="s">
        <v>22212</v>
      </c>
      <c r="C22204" s="5">
        <v>111.3</v>
      </c>
      <c r="D22204" s="5">
        <v>0.1</v>
      </c>
      <c r="E22204" s="5">
        <v>111.5</v>
      </c>
      <c r="F22204" s="5">
        <v>222.3</v>
      </c>
      <c r="G22204" s="5">
        <v>111</v>
      </c>
      <c r="H22204" s="5">
        <v>110.8</v>
      </c>
      <c r="I22204" s="5"/>
      <c r="J22204" s="5"/>
      <c r="K22204" s="5"/>
    </row>
    <row r="22205" spans="1:11" x14ac:dyDescent="0.25">
      <c r="A22205" s="5">
        <f>22198</f>
      </c>
      <c r="B22205" s="5" t="s">
        <v>22213</v>
      </c>
      <c r="C22205" s="5">
        <v>111.3</v>
      </c>
      <c r="D22205" s="5">
        <v>0.1</v>
      </c>
      <c r="E22205" s="5">
        <v>111.5</v>
      </c>
      <c r="F22205" s="5">
        <v>222.9</v>
      </c>
      <c r="G22205" s="5">
        <v>111.2</v>
      </c>
      <c r="H22205" s="5">
        <v>111.1</v>
      </c>
      <c r="I22205" s="5"/>
      <c r="J22205" s="5"/>
      <c r="K22205" s="5"/>
    </row>
    <row r="22206" spans="1:11" x14ac:dyDescent="0.25">
      <c r="A22206" s="5">
        <f>22199</f>
      </c>
      <c r="B22206" s="5" t="s">
        <v>22214</v>
      </c>
      <c r="C22206" s="5">
        <v>111.3</v>
      </c>
      <c r="D22206" s="5">
        <v>0.1</v>
      </c>
      <c r="E22206" s="5">
        <v>111.5</v>
      </c>
      <c r="F22206" s="5">
        <v>222.9</v>
      </c>
      <c r="G22206" s="5">
        <v>111.2</v>
      </c>
      <c r="H22206" s="5">
        <v>111.1</v>
      </c>
      <c r="I22206" s="5"/>
      <c r="J22206" s="5"/>
      <c r="K22206" s="5"/>
    </row>
    <row r="22207" spans="1:11" x14ac:dyDescent="0.25">
      <c r="A22207" s="5">
        <f>22200</f>
      </c>
      <c r="B22207" s="5" t="s">
        <v>22215</v>
      </c>
      <c r="C22207" s="5">
        <v>111.3</v>
      </c>
      <c r="D22207" s="5">
        <v>0.1</v>
      </c>
      <c r="E22207" s="5">
        <v>111.5</v>
      </c>
      <c r="F22207" s="5">
        <v>222.9</v>
      </c>
      <c r="G22207" s="5">
        <v>111.2</v>
      </c>
      <c r="H22207" s="5">
        <v>111.1</v>
      </c>
      <c r="I22207" s="5"/>
      <c r="J22207" s="5"/>
      <c r="K22207" s="5"/>
    </row>
    <row r="22208" spans="1:11" x14ac:dyDescent="0.25">
      <c r="A22208" s="5">
        <f>22201</f>
      </c>
      <c r="B22208" s="5" t="s">
        <v>22216</v>
      </c>
      <c r="C22208" s="5">
        <v>111.3</v>
      </c>
      <c r="D22208" s="5">
        <v>0.1</v>
      </c>
      <c r="E22208" s="5">
        <v>111.5</v>
      </c>
      <c r="F22208" s="5">
        <v>222.9</v>
      </c>
      <c r="G22208" s="5">
        <v>111.2</v>
      </c>
      <c r="H22208" s="5">
        <v>110.7</v>
      </c>
      <c r="I22208" s="5"/>
      <c r="J22208" s="5"/>
      <c r="K22208" s="5"/>
    </row>
    <row r="22209" spans="1:11" x14ac:dyDescent="0.25">
      <c r="A22209" s="5">
        <f>22202</f>
      </c>
      <c r="B22209" s="5" t="s">
        <v>22217</v>
      </c>
      <c r="C22209" s="5">
        <v>111.4</v>
      </c>
      <c r="D22209" s="5">
        <v>0.1</v>
      </c>
      <c r="E22209" s="5">
        <v>111.6</v>
      </c>
      <c r="F22209" s="5">
        <v>222</v>
      </c>
      <c r="G22209" s="5">
        <v>110.8</v>
      </c>
      <c r="H22209" s="5">
        <v>110.7</v>
      </c>
      <c r="I22209" s="5"/>
      <c r="J22209" s="5"/>
      <c r="K22209" s="5"/>
    </row>
    <row r="22210" spans="1:11" x14ac:dyDescent="0.25">
      <c r="A22210" s="5">
        <f>22203</f>
      </c>
      <c r="B22210" s="5" t="s">
        <v>22218</v>
      </c>
      <c r="C22210" s="5">
        <v>111.4</v>
      </c>
      <c r="D22210" s="5">
        <v>0.1</v>
      </c>
      <c r="E22210" s="5">
        <v>111.6</v>
      </c>
      <c r="F22210" s="5">
        <v>222</v>
      </c>
      <c r="G22210" s="5">
        <v>110.8</v>
      </c>
      <c r="H22210" s="5">
        <v>110.7</v>
      </c>
      <c r="I22210" s="5"/>
      <c r="J22210" s="5"/>
      <c r="K22210" s="5"/>
    </row>
    <row r="22211" spans="1:11" x14ac:dyDescent="0.25">
      <c r="A22211" s="5">
        <f>22204</f>
      </c>
      <c r="B22211" s="5" t="s">
        <v>22219</v>
      </c>
      <c r="C22211" s="5">
        <v>110.8</v>
      </c>
      <c r="D22211" s="5">
        <v>0.1</v>
      </c>
      <c r="E22211" s="5">
        <v>111</v>
      </c>
      <c r="F22211" s="5">
        <v>222</v>
      </c>
      <c r="G22211" s="5">
        <v>110.8</v>
      </c>
      <c r="H22211" s="5">
        <v>110.7</v>
      </c>
      <c r="I22211" s="5"/>
      <c r="J22211" s="5"/>
      <c r="K22211" s="5"/>
    </row>
    <row r="22212" spans="1:11" x14ac:dyDescent="0.25">
      <c r="A22212" s="5">
        <f>22205</f>
      </c>
      <c r="B22212" s="5" t="s">
        <v>22220</v>
      </c>
      <c r="C22212" s="5">
        <v>110.8</v>
      </c>
      <c r="D22212" s="5">
        <v>0.1</v>
      </c>
      <c r="E22212" s="5">
        <v>111</v>
      </c>
      <c r="F22212" s="5">
        <v>222</v>
      </c>
      <c r="G22212" s="5">
        <v>110.8</v>
      </c>
      <c r="H22212" s="5">
        <v>110.7</v>
      </c>
      <c r="I22212" s="5"/>
      <c r="J22212" s="5"/>
      <c r="K22212" s="5"/>
    </row>
    <row r="22213" spans="1:11" x14ac:dyDescent="0.25">
      <c r="A22213" s="5">
        <f>22206</f>
      </c>
      <c r="B22213" s="5" t="s">
        <v>22221</v>
      </c>
      <c r="C22213" s="5">
        <v>111</v>
      </c>
      <c r="D22213" s="5">
        <v>0.1</v>
      </c>
      <c r="E22213" s="5">
        <v>111.1</v>
      </c>
      <c r="F22213" s="5">
        <v>222.2</v>
      </c>
      <c r="G22213" s="5">
        <v>110.9</v>
      </c>
      <c r="H22213" s="5">
        <v>110.7</v>
      </c>
      <c r="I22213" s="5"/>
      <c r="J22213" s="5"/>
      <c r="K22213" s="5"/>
    </row>
    <row r="22214" spans="1:11" x14ac:dyDescent="0.25">
      <c r="A22214" s="5">
        <f>22207</f>
      </c>
      <c r="B22214" s="5" t="s">
        <v>22222</v>
      </c>
      <c r="C22214" s="5">
        <v>111</v>
      </c>
      <c r="D22214" s="5">
        <v>0.1</v>
      </c>
      <c r="E22214" s="5">
        <v>111.1</v>
      </c>
      <c r="F22214" s="5">
        <v>222.2</v>
      </c>
      <c r="G22214" s="5">
        <v>110.9</v>
      </c>
      <c r="H22214" s="5">
        <v>110.7</v>
      </c>
      <c r="I22214" s="5"/>
      <c r="J22214" s="5"/>
      <c r="K22214" s="5"/>
    </row>
    <row r="22215" spans="1:11" x14ac:dyDescent="0.25">
      <c r="A22215" s="5">
        <f>22208</f>
      </c>
      <c r="B22215" s="5" t="s">
        <v>22223</v>
      </c>
      <c r="C22215" s="5">
        <v>111.5</v>
      </c>
      <c r="D22215" s="5">
        <v>0.1</v>
      </c>
      <c r="E22215" s="5">
        <v>111.6</v>
      </c>
      <c r="F22215" s="5">
        <v>221.8</v>
      </c>
      <c r="G22215" s="5">
        <v>110.7</v>
      </c>
      <c r="H22215" s="5">
        <v>110.5</v>
      </c>
      <c r="I22215" s="5"/>
      <c r="J22215" s="5"/>
      <c r="K22215" s="5"/>
    </row>
    <row r="22216" spans="1:11" x14ac:dyDescent="0.25">
      <c r="A22216" s="5">
        <f>22209</f>
      </c>
      <c r="B22216" s="5" t="s">
        <v>22224</v>
      </c>
      <c r="C22216" s="5">
        <v>111.5</v>
      </c>
      <c r="D22216" s="5">
        <v>0.1</v>
      </c>
      <c r="E22216" s="5">
        <v>111.6</v>
      </c>
      <c r="F22216" s="5">
        <v>221.8</v>
      </c>
      <c r="G22216" s="5">
        <v>110.7</v>
      </c>
      <c r="H22216" s="5">
        <v>110.5</v>
      </c>
      <c r="I22216" s="5"/>
      <c r="J22216" s="5"/>
      <c r="K22216" s="5"/>
    </row>
    <row r="22217" spans="1:11" x14ac:dyDescent="0.25">
      <c r="A22217" s="5">
        <f>22210</f>
      </c>
      <c r="B22217" s="5" t="s">
        <v>22225</v>
      </c>
      <c r="C22217" s="5">
        <v>111.5</v>
      </c>
      <c r="D22217" s="5">
        <v>0.1</v>
      </c>
      <c r="E22217" s="5">
        <v>111.6</v>
      </c>
      <c r="F22217" s="5">
        <v>221.8</v>
      </c>
      <c r="G22217" s="5">
        <v>110.7</v>
      </c>
      <c r="H22217" s="5">
        <v>110.5</v>
      </c>
      <c r="I22217" s="5"/>
      <c r="J22217" s="5"/>
      <c r="K22217" s="5"/>
    </row>
    <row r="22218" spans="1:11" x14ac:dyDescent="0.25">
      <c r="A22218" s="5">
        <f>22211</f>
      </c>
      <c r="B22218" s="5" t="s">
        <v>22226</v>
      </c>
      <c r="C22218" s="5">
        <v>110.7</v>
      </c>
      <c r="D22218" s="5">
        <v>0.1</v>
      </c>
      <c r="E22218" s="5">
        <v>110.9</v>
      </c>
      <c r="F22218" s="5">
        <v>221.9</v>
      </c>
      <c r="G22218" s="5">
        <v>110.7</v>
      </c>
      <c r="H22218" s="5">
        <v>110.6</v>
      </c>
      <c r="I22218" s="5"/>
      <c r="J22218" s="5"/>
      <c r="K22218" s="5"/>
    </row>
    <row r="22219" spans="1:11" x14ac:dyDescent="0.25">
      <c r="A22219" s="5">
        <f>22212</f>
      </c>
      <c r="B22219" s="5" t="s">
        <v>22227</v>
      </c>
      <c r="C22219" s="5">
        <v>110.7</v>
      </c>
      <c r="D22219" s="5">
        <v>0.1</v>
      </c>
      <c r="E22219" s="5">
        <v>110.9</v>
      </c>
      <c r="F22219" s="5">
        <v>221.9</v>
      </c>
      <c r="G22219" s="5">
        <v>110.7</v>
      </c>
      <c r="H22219" s="5">
        <v>110.6</v>
      </c>
      <c r="I22219" s="5"/>
      <c r="J22219" s="5"/>
      <c r="K22219" s="5"/>
    </row>
    <row r="22220" spans="1:11" x14ac:dyDescent="0.25">
      <c r="A22220" s="5">
        <f>22213</f>
      </c>
      <c r="B22220" s="5" t="s">
        <v>22228</v>
      </c>
      <c r="C22220" s="5">
        <v>110.7</v>
      </c>
      <c r="D22220" s="5">
        <v>0.1</v>
      </c>
      <c r="E22220" s="5">
        <v>110.8</v>
      </c>
      <c r="F22220" s="5">
        <v>221.8</v>
      </c>
      <c r="G22220" s="5">
        <v>110.7</v>
      </c>
      <c r="H22220" s="5">
        <v>110.5</v>
      </c>
      <c r="I22220" s="5"/>
      <c r="J22220" s="5"/>
      <c r="K22220" s="5"/>
    </row>
    <row r="22221" spans="1:11" x14ac:dyDescent="0.25">
      <c r="A22221" s="5">
        <f>22214</f>
      </c>
      <c r="B22221" s="5" t="s">
        <v>22229</v>
      </c>
      <c r="C22221" s="5">
        <v>110.7</v>
      </c>
      <c r="D22221" s="5">
        <v>0.1</v>
      </c>
      <c r="E22221" s="5">
        <v>110.8</v>
      </c>
      <c r="F22221" s="5">
        <v>221.8</v>
      </c>
      <c r="G22221" s="5">
        <v>110.7</v>
      </c>
      <c r="H22221" s="5">
        <v>110.5</v>
      </c>
      <c r="I22221" s="5"/>
      <c r="J22221" s="5"/>
      <c r="K22221" s="5"/>
    </row>
    <row r="22222" spans="1:11" x14ac:dyDescent="0.25">
      <c r="A22222" s="5">
        <f>22215</f>
      </c>
      <c r="B22222" s="5" t="s">
        <v>22230</v>
      </c>
      <c r="C22222" s="5">
        <v>111</v>
      </c>
      <c r="D22222" s="5">
        <v>0.1</v>
      </c>
      <c r="E22222" s="5">
        <v>111.2</v>
      </c>
      <c r="F22222" s="5">
        <v>222.5</v>
      </c>
      <c r="G22222" s="5">
        <v>111</v>
      </c>
      <c r="H22222" s="5">
        <v>110.9</v>
      </c>
      <c r="I22222" s="5"/>
      <c r="J22222" s="5"/>
      <c r="K22222" s="5"/>
    </row>
    <row r="22223" spans="1:11" x14ac:dyDescent="0.25">
      <c r="A22223" s="5">
        <f>22216</f>
      </c>
      <c r="B22223" s="5" t="s">
        <v>22231</v>
      </c>
      <c r="C22223" s="5">
        <v>111</v>
      </c>
      <c r="D22223" s="5">
        <v>0.1</v>
      </c>
      <c r="E22223" s="5">
        <v>111.2</v>
      </c>
      <c r="F22223" s="5">
        <v>222.5</v>
      </c>
      <c r="G22223" s="5">
        <v>111</v>
      </c>
      <c r="H22223" s="5">
        <v>110.9</v>
      </c>
      <c r="I22223" s="5"/>
      <c r="J22223" s="5"/>
      <c r="K22223" s="5"/>
    </row>
    <row r="22224" spans="1:11" x14ac:dyDescent="0.25">
      <c r="A22224" s="5">
        <f>22217</f>
      </c>
      <c r="B22224" s="5" t="s">
        <v>22232</v>
      </c>
      <c r="C22224" s="5">
        <v>111</v>
      </c>
      <c r="D22224" s="5">
        <v>0.1</v>
      </c>
      <c r="E22224" s="5">
        <v>111.2</v>
      </c>
      <c r="F22224" s="5">
        <v>222.3</v>
      </c>
      <c r="G22224" s="5">
        <v>110.9</v>
      </c>
      <c r="H22224" s="5">
        <v>110.8</v>
      </c>
      <c r="I22224" s="5"/>
      <c r="J22224" s="5"/>
      <c r="K22224" s="5"/>
    </row>
    <row r="22225" spans="1:11" x14ac:dyDescent="0.25">
      <c r="A22225" s="5">
        <f>22218</f>
      </c>
      <c r="B22225" s="5" t="s">
        <v>22233</v>
      </c>
      <c r="C22225" s="5">
        <v>111</v>
      </c>
      <c r="D22225" s="5">
        <v>0.1</v>
      </c>
      <c r="E22225" s="5">
        <v>111.2</v>
      </c>
      <c r="F22225" s="5">
        <v>222.3</v>
      </c>
      <c r="G22225" s="5">
        <v>110.9</v>
      </c>
      <c r="H22225" s="5">
        <v>110.8</v>
      </c>
      <c r="I22225" s="5"/>
      <c r="J22225" s="5"/>
      <c r="K22225" s="5"/>
    </row>
    <row r="22226" spans="1:11" x14ac:dyDescent="0.25">
      <c r="A22226" s="5">
        <f>22219</f>
      </c>
      <c r="B22226" s="5" t="s">
        <v>22234</v>
      </c>
      <c r="C22226" s="5">
        <v>111</v>
      </c>
      <c r="D22226" s="5">
        <v>0.1</v>
      </c>
      <c r="E22226" s="5">
        <v>111.2</v>
      </c>
      <c r="F22226" s="5">
        <v>222.3</v>
      </c>
      <c r="G22226" s="5">
        <v>110.9</v>
      </c>
      <c r="H22226" s="5">
        <v>110.8</v>
      </c>
      <c r="I22226" s="5"/>
      <c r="J22226" s="5"/>
      <c r="K22226" s="5"/>
    </row>
    <row r="22227" spans="1:11" x14ac:dyDescent="0.25">
      <c r="A22227" s="5">
        <f>22220</f>
      </c>
      <c r="B22227" s="5" t="s">
        <v>22235</v>
      </c>
      <c r="C22227" s="5">
        <v>111</v>
      </c>
      <c r="D22227" s="5">
        <v>0.1</v>
      </c>
      <c r="E22227" s="5">
        <v>111.2</v>
      </c>
      <c r="F22227" s="5">
        <v>222.3</v>
      </c>
      <c r="G22227" s="5">
        <v>110.9</v>
      </c>
      <c r="H22227" s="5">
        <v>110.8</v>
      </c>
      <c r="I22227" s="5"/>
      <c r="J22227" s="5"/>
      <c r="K22227" s="5"/>
    </row>
    <row r="22228" spans="1:11" x14ac:dyDescent="0.25">
      <c r="A22228" s="5">
        <f>22221</f>
      </c>
      <c r="B22228" s="5" t="s">
        <v>22236</v>
      </c>
      <c r="C22228" s="5">
        <v>111.3</v>
      </c>
      <c r="D22228" s="5">
        <v>0.1</v>
      </c>
      <c r="E22228" s="5">
        <v>111.5</v>
      </c>
      <c r="F22228" s="5">
        <v>222.4</v>
      </c>
      <c r="G22228" s="5">
        <v>111</v>
      </c>
      <c r="H22228" s="5">
        <v>110.8</v>
      </c>
      <c r="I22228" s="5"/>
      <c r="J22228" s="5"/>
      <c r="K22228" s="5"/>
    </row>
    <row r="22229" spans="1:11" x14ac:dyDescent="0.25">
      <c r="A22229" s="5">
        <f>22222</f>
      </c>
      <c r="B22229" s="5" t="s">
        <v>22237</v>
      </c>
      <c r="C22229" s="5">
        <v>111.3</v>
      </c>
      <c r="D22229" s="5">
        <v>0.1</v>
      </c>
      <c r="E22229" s="5">
        <v>111.5</v>
      </c>
      <c r="F22229" s="5">
        <v>222.4</v>
      </c>
      <c r="G22229" s="5">
        <v>111</v>
      </c>
      <c r="H22229" s="5">
        <v>110.8</v>
      </c>
      <c r="I22229" s="5"/>
      <c r="J22229" s="5"/>
      <c r="K22229" s="5"/>
    </row>
    <row r="22230" spans="1:11" x14ac:dyDescent="0.25">
      <c r="A22230" s="5">
        <f>22223</f>
      </c>
      <c r="B22230" s="5" t="s">
        <v>22238</v>
      </c>
      <c r="C22230" s="5">
        <v>111.4</v>
      </c>
      <c r="D22230" s="5">
        <v>0.1</v>
      </c>
      <c r="E22230" s="5">
        <v>111.6</v>
      </c>
      <c r="F22230" s="5">
        <v>221.7</v>
      </c>
      <c r="G22230" s="5">
        <v>110.7</v>
      </c>
      <c r="H22230" s="5">
        <v>110.5</v>
      </c>
      <c r="I22230" s="5"/>
      <c r="J22230" s="5"/>
      <c r="K22230" s="5"/>
    </row>
    <row r="22231" spans="1:11" x14ac:dyDescent="0.25">
      <c r="A22231" s="5">
        <f>22224</f>
      </c>
      <c r="B22231" s="5" t="s">
        <v>22239</v>
      </c>
      <c r="C22231" s="5">
        <v>111.4</v>
      </c>
      <c r="D22231" s="5">
        <v>0.1</v>
      </c>
      <c r="E22231" s="5">
        <v>111.6</v>
      </c>
      <c r="F22231" s="5">
        <v>221.7</v>
      </c>
      <c r="G22231" s="5">
        <v>110.7</v>
      </c>
      <c r="H22231" s="5">
        <v>110.5</v>
      </c>
      <c r="I22231" s="5"/>
      <c r="J22231" s="5"/>
      <c r="K22231" s="5"/>
    </row>
    <row r="22232" spans="1:11" x14ac:dyDescent="0.25">
      <c r="A22232" s="5">
        <f>22225</f>
      </c>
      <c r="B22232" s="5" t="s">
        <v>22240</v>
      </c>
      <c r="C22232" s="5">
        <v>111</v>
      </c>
      <c r="D22232" s="5">
        <v>0.1</v>
      </c>
      <c r="E22232" s="5">
        <v>111.2</v>
      </c>
      <c r="F22232" s="5">
        <v>221.7</v>
      </c>
      <c r="G22232" s="5">
        <v>110.6</v>
      </c>
      <c r="H22232" s="5">
        <v>110.4</v>
      </c>
      <c r="I22232" s="5"/>
      <c r="J22232" s="5"/>
      <c r="K22232" s="5"/>
    </row>
    <row r="22233" spans="1:11" x14ac:dyDescent="0.25">
      <c r="A22233" s="5">
        <f>22226</f>
      </c>
      <c r="B22233" s="5" t="s">
        <v>22241</v>
      </c>
      <c r="C22233" s="5">
        <v>111</v>
      </c>
      <c r="D22233" s="5">
        <v>0.1</v>
      </c>
      <c r="E22233" s="5">
        <v>111.2</v>
      </c>
      <c r="F22233" s="5">
        <v>221.7</v>
      </c>
      <c r="G22233" s="5">
        <v>110.6</v>
      </c>
      <c r="H22233" s="5">
        <v>110.4</v>
      </c>
      <c r="I22233" s="5"/>
      <c r="J22233" s="5"/>
      <c r="K22233" s="5"/>
    </row>
    <row r="22234" spans="1:11" x14ac:dyDescent="0.25">
      <c r="A22234" s="5">
        <f>22227</f>
      </c>
      <c r="B22234" s="5" t="s">
        <v>22242</v>
      </c>
      <c r="C22234" s="5">
        <v>111.6</v>
      </c>
      <c r="D22234" s="5">
        <v>0.1</v>
      </c>
      <c r="E22234" s="5">
        <v>111.8</v>
      </c>
      <c r="F22234" s="5">
        <v>221.7</v>
      </c>
      <c r="G22234" s="5">
        <v>110.6</v>
      </c>
      <c r="H22234" s="5">
        <v>110.4</v>
      </c>
      <c r="I22234" s="5"/>
      <c r="J22234" s="5"/>
      <c r="K22234" s="5"/>
    </row>
    <row r="22235" spans="1:11" x14ac:dyDescent="0.25">
      <c r="A22235" s="5">
        <f>22228</f>
      </c>
      <c r="B22235" s="5" t="s">
        <v>22243</v>
      </c>
      <c r="C22235" s="5">
        <v>111.6</v>
      </c>
      <c r="D22235" s="5">
        <v>0.1</v>
      </c>
      <c r="E22235" s="5">
        <v>111.8</v>
      </c>
      <c r="F22235" s="5">
        <v>221.7</v>
      </c>
      <c r="G22235" s="5">
        <v>110.6</v>
      </c>
      <c r="H22235" s="5">
        <v>110.4</v>
      </c>
      <c r="I22235" s="5"/>
      <c r="J22235" s="5"/>
      <c r="K22235" s="5"/>
    </row>
    <row r="22236" spans="1:11" x14ac:dyDescent="0.25">
      <c r="A22236" s="5">
        <f>22229</f>
      </c>
      <c r="B22236" s="5" t="s">
        <v>22244</v>
      </c>
      <c r="C22236" s="5">
        <v>111.6</v>
      </c>
      <c r="D22236" s="5">
        <v>0.1</v>
      </c>
      <c r="E22236" s="5">
        <v>111.8</v>
      </c>
      <c r="F22236" s="5">
        <v>221.7</v>
      </c>
      <c r="G22236" s="5">
        <v>110.6</v>
      </c>
      <c r="H22236" s="5">
        <v>110.4</v>
      </c>
      <c r="I22236" s="5"/>
      <c r="J22236" s="5"/>
      <c r="K22236" s="5"/>
    </row>
    <row r="22237" spans="1:11" x14ac:dyDescent="0.25">
      <c r="A22237" s="5">
        <f>22230</f>
      </c>
      <c r="B22237" s="5" t="s">
        <v>22245</v>
      </c>
      <c r="C22237" s="5">
        <v>111.6</v>
      </c>
      <c r="D22237" s="5">
        <v>0.1</v>
      </c>
      <c r="E22237" s="5">
        <v>111.8</v>
      </c>
      <c r="F22237" s="5">
        <v>221.7</v>
      </c>
      <c r="G22237" s="5">
        <v>110.6</v>
      </c>
      <c r="H22237" s="5">
        <v>110.4</v>
      </c>
      <c r="I22237" s="5"/>
      <c r="J22237" s="5"/>
      <c r="K22237" s="5"/>
    </row>
    <row r="22238" spans="1:11" x14ac:dyDescent="0.25">
      <c r="A22238" s="5">
        <f>22231</f>
      </c>
      <c r="B22238" s="5" t="s">
        <v>22246</v>
      </c>
      <c r="C22238" s="5">
        <v>110.9</v>
      </c>
      <c r="D22238" s="5">
        <v>0.1</v>
      </c>
      <c r="E22238" s="5">
        <v>111</v>
      </c>
      <c r="F22238" s="5">
        <v>221.5</v>
      </c>
      <c r="G22238" s="5">
        <v>110.5</v>
      </c>
      <c r="H22238" s="5">
        <v>110.4</v>
      </c>
      <c r="I22238" s="5"/>
      <c r="J22238" s="5"/>
      <c r="K22238" s="5"/>
    </row>
    <row r="22239" spans="1:11" x14ac:dyDescent="0.25">
      <c r="A22239" s="5">
        <f>22232</f>
      </c>
      <c r="B22239" s="5" t="s">
        <v>22247</v>
      </c>
      <c r="C22239" s="5">
        <v>110.9</v>
      </c>
      <c r="D22239" s="5">
        <v>0.1</v>
      </c>
      <c r="E22239" s="5">
        <v>111</v>
      </c>
      <c r="F22239" s="5">
        <v>221.5</v>
      </c>
      <c r="G22239" s="5">
        <v>110.5</v>
      </c>
      <c r="H22239" s="5">
        <v>110.4</v>
      </c>
      <c r="I22239" s="5"/>
      <c r="J22239" s="5"/>
      <c r="K22239" s="5"/>
    </row>
    <row r="22240" spans="1:11" x14ac:dyDescent="0.25">
      <c r="A22240" s="5">
        <f>22233</f>
      </c>
      <c r="B22240" s="5" t="s">
        <v>22248</v>
      </c>
      <c r="C22240" s="5">
        <v>111.1</v>
      </c>
      <c r="D22240" s="5">
        <v>0.1</v>
      </c>
      <c r="E22240" s="5">
        <v>111.3</v>
      </c>
      <c r="F22240" s="5">
        <v>222.2</v>
      </c>
      <c r="G22240" s="5">
        <v>110.9</v>
      </c>
      <c r="H22240" s="5">
        <v>110.8</v>
      </c>
      <c r="I22240" s="5"/>
      <c r="J22240" s="5"/>
      <c r="K22240" s="5"/>
    </row>
    <row r="22241" spans="1:11" x14ac:dyDescent="0.25">
      <c r="A22241" s="5">
        <f>22234</f>
      </c>
      <c r="B22241" s="5" t="s">
        <v>22249</v>
      </c>
      <c r="C22241" s="5">
        <v>111.1</v>
      </c>
      <c r="D22241" s="5">
        <v>0.1</v>
      </c>
      <c r="E22241" s="5">
        <v>111.3</v>
      </c>
      <c r="F22241" s="5">
        <v>222.2</v>
      </c>
      <c r="G22241" s="5">
        <v>110.9</v>
      </c>
      <c r="H22241" s="5">
        <v>110.8</v>
      </c>
      <c r="I22241" s="5"/>
      <c r="J22241" s="5"/>
      <c r="K22241" s="5"/>
    </row>
    <row r="22242" spans="1:11" x14ac:dyDescent="0.25">
      <c r="A22242" s="5">
        <f>22235</f>
      </c>
      <c r="B22242" s="5" t="s">
        <v>22250</v>
      </c>
      <c r="C22242" s="5">
        <v>110.5</v>
      </c>
      <c r="D22242" s="5">
        <v>0.1</v>
      </c>
      <c r="E22242" s="5">
        <v>110.7</v>
      </c>
      <c r="F22242" s="5">
        <v>220.7</v>
      </c>
      <c r="G22242" s="5">
        <v>110.2</v>
      </c>
      <c r="H22242" s="5">
        <v>110</v>
      </c>
      <c r="I22242" s="5"/>
      <c r="J22242" s="5"/>
      <c r="K22242" s="5"/>
    </row>
    <row r="22243" spans="1:11" x14ac:dyDescent="0.25">
      <c r="A22243" s="5">
        <f>22236</f>
      </c>
      <c r="B22243" s="5" t="s">
        <v>22251</v>
      </c>
      <c r="C22243" s="5">
        <v>110.5</v>
      </c>
      <c r="D22243" s="5">
        <v>0.1</v>
      </c>
      <c r="E22243" s="5">
        <v>110.7</v>
      </c>
      <c r="F22243" s="5">
        <v>220.7</v>
      </c>
      <c r="G22243" s="5">
        <v>110.2</v>
      </c>
      <c r="H22243" s="5">
        <v>110</v>
      </c>
      <c r="I22243" s="5"/>
      <c r="J22243" s="5"/>
      <c r="K22243" s="5"/>
    </row>
    <row r="22244" spans="1:11" x14ac:dyDescent="0.25">
      <c r="A22244" s="5">
        <f>22237</f>
      </c>
      <c r="B22244" s="5" t="s">
        <v>22252</v>
      </c>
      <c r="C22244" s="5">
        <v>111</v>
      </c>
      <c r="D22244" s="5">
        <v>0.1</v>
      </c>
      <c r="E22244" s="5">
        <v>111.2</v>
      </c>
      <c r="F22244" s="5">
        <v>222</v>
      </c>
      <c r="G22244" s="5">
        <v>110.8</v>
      </c>
      <c r="H22244" s="5">
        <v>110.7</v>
      </c>
      <c r="I22244" s="5"/>
      <c r="J22244" s="5"/>
      <c r="K22244" s="5"/>
    </row>
    <row r="22245" spans="1:11" x14ac:dyDescent="0.25">
      <c r="A22245" s="5">
        <f>22238</f>
      </c>
      <c r="B22245" s="5" t="s">
        <v>22253</v>
      </c>
      <c r="C22245" s="5">
        <v>111</v>
      </c>
      <c r="D22245" s="5">
        <v>0.1</v>
      </c>
      <c r="E22245" s="5">
        <v>111.2</v>
      </c>
      <c r="F22245" s="5">
        <v>222</v>
      </c>
      <c r="G22245" s="5">
        <v>110.8</v>
      </c>
      <c r="H22245" s="5">
        <v>110.7</v>
      </c>
      <c r="I22245" s="5"/>
      <c r="J22245" s="5"/>
      <c r="K22245" s="5"/>
    </row>
    <row r="22246" spans="1:11" x14ac:dyDescent="0.25">
      <c r="A22246" s="5">
        <f>22239</f>
      </c>
      <c r="B22246" s="5" t="s">
        <v>22254</v>
      </c>
      <c r="C22246" s="5">
        <v>111</v>
      </c>
      <c r="D22246" s="5">
        <v>0.1</v>
      </c>
      <c r="E22246" s="5">
        <v>111.2</v>
      </c>
      <c r="F22246" s="5">
        <v>222</v>
      </c>
      <c r="G22246" s="5">
        <v>110.8</v>
      </c>
      <c r="H22246" s="5">
        <v>110.7</v>
      </c>
      <c r="I22246" s="5"/>
      <c r="J22246" s="5"/>
      <c r="K22246" s="5"/>
    </row>
    <row r="22247" spans="1:11" x14ac:dyDescent="0.25">
      <c r="A22247" s="5">
        <f>22240</f>
      </c>
      <c r="B22247" s="5" t="s">
        <v>22255</v>
      </c>
      <c r="C22247" s="5">
        <v>111</v>
      </c>
      <c r="D22247" s="5">
        <v>0.1</v>
      </c>
      <c r="E22247" s="5">
        <v>111.2</v>
      </c>
      <c r="F22247" s="5">
        <v>222</v>
      </c>
      <c r="G22247" s="5">
        <v>110.8</v>
      </c>
      <c r="H22247" s="5">
        <v>110.7</v>
      </c>
      <c r="I22247" s="5"/>
      <c r="J22247" s="5"/>
      <c r="K22247" s="5"/>
    </row>
    <row r="22248" spans="1:11" x14ac:dyDescent="0.25">
      <c r="A22248" s="5">
        <f>22241</f>
      </c>
      <c r="B22248" s="5" t="s">
        <v>22256</v>
      </c>
      <c r="C22248" s="5">
        <v>111.3</v>
      </c>
      <c r="D22248" s="5">
        <v>0.1</v>
      </c>
      <c r="E22248" s="5">
        <v>111.5</v>
      </c>
      <c r="F22248" s="5">
        <v>222.1</v>
      </c>
      <c r="G22248" s="5">
        <v>110.9</v>
      </c>
      <c r="H22248" s="5">
        <v>110.8</v>
      </c>
      <c r="I22248" s="5"/>
      <c r="J22248" s="5"/>
      <c r="K22248" s="5"/>
    </row>
    <row r="22249" spans="1:11" x14ac:dyDescent="0.25">
      <c r="A22249" s="5">
        <f>22242</f>
      </c>
      <c r="B22249" s="5" t="s">
        <v>22257</v>
      </c>
      <c r="C22249" s="5">
        <v>111.3</v>
      </c>
      <c r="D22249" s="5">
        <v>0.1</v>
      </c>
      <c r="E22249" s="5">
        <v>111.5</v>
      </c>
      <c r="F22249" s="5">
        <v>222.1</v>
      </c>
      <c r="G22249" s="5">
        <v>110.9</v>
      </c>
      <c r="H22249" s="5">
        <v>110.8</v>
      </c>
      <c r="I22249" s="5"/>
      <c r="J22249" s="5"/>
      <c r="K22249" s="5"/>
    </row>
    <row r="22250" spans="1:11" x14ac:dyDescent="0.25">
      <c r="A22250" s="5">
        <f>22243</f>
      </c>
      <c r="B22250" s="5" t="s">
        <v>22258</v>
      </c>
      <c r="C22250" s="5">
        <v>110.9</v>
      </c>
      <c r="D22250" s="5">
        <v>0.1</v>
      </c>
      <c r="E22250" s="5">
        <v>111</v>
      </c>
      <c r="F22250" s="5">
        <v>221.2</v>
      </c>
      <c r="G22250" s="5">
        <v>110.4</v>
      </c>
      <c r="H22250" s="5">
        <v>110.2</v>
      </c>
      <c r="I22250" s="5"/>
      <c r="J22250" s="5"/>
      <c r="K22250" s="5"/>
    </row>
    <row r="22251" spans="1:11" x14ac:dyDescent="0.25">
      <c r="A22251" s="5">
        <f>22244</f>
      </c>
      <c r="B22251" s="5" t="s">
        <v>22259</v>
      </c>
      <c r="C22251" s="5">
        <v>110.9</v>
      </c>
      <c r="D22251" s="5">
        <v>0.1</v>
      </c>
      <c r="E22251" s="5">
        <v>111</v>
      </c>
      <c r="F22251" s="5">
        <v>221.2</v>
      </c>
      <c r="G22251" s="5">
        <v>110.4</v>
      </c>
      <c r="H22251" s="5">
        <v>110.2</v>
      </c>
      <c r="I22251" s="5"/>
      <c r="J22251" s="5"/>
      <c r="K22251" s="5"/>
    </row>
    <row r="22252" spans="1:11" x14ac:dyDescent="0.25">
      <c r="A22252" s="5">
        <f>22245</f>
      </c>
      <c r="B22252" s="5" t="s">
        <v>22260</v>
      </c>
      <c r="C22252" s="5">
        <v>110.8</v>
      </c>
      <c r="D22252" s="5">
        <v>0.1</v>
      </c>
      <c r="E22252" s="5">
        <v>111</v>
      </c>
      <c r="F22252" s="5">
        <v>221.1</v>
      </c>
      <c r="G22252" s="5">
        <v>110.3</v>
      </c>
      <c r="H22252" s="5">
        <v>110.2</v>
      </c>
      <c r="I22252" s="5"/>
      <c r="J22252" s="5"/>
      <c r="K22252" s="5"/>
    </row>
    <row r="22253" spans="1:11" x14ac:dyDescent="0.25">
      <c r="A22253" s="5">
        <f>22246</f>
      </c>
      <c r="B22253" s="5" t="s">
        <v>22261</v>
      </c>
      <c r="C22253" s="5">
        <v>110.8</v>
      </c>
      <c r="D22253" s="5">
        <v>0.1</v>
      </c>
      <c r="E22253" s="5">
        <v>111</v>
      </c>
      <c r="F22253" s="5">
        <v>221.1</v>
      </c>
      <c r="G22253" s="5">
        <v>110.3</v>
      </c>
      <c r="H22253" s="5">
        <v>110.2</v>
      </c>
      <c r="I22253" s="5"/>
      <c r="J22253" s="5"/>
      <c r="K22253" s="5"/>
    </row>
    <row r="22254" spans="1:11" x14ac:dyDescent="0.25">
      <c r="A22254" s="5">
        <f>22247</f>
      </c>
      <c r="B22254" s="5" t="s">
        <v>22262</v>
      </c>
      <c r="C22254" s="5">
        <v>109.2</v>
      </c>
      <c r="D22254" s="5">
        <v>0.1</v>
      </c>
      <c r="E22254" s="5">
        <v>109.4</v>
      </c>
      <c r="F22254" s="5">
        <v>218</v>
      </c>
      <c r="G22254" s="5">
        <v>108.9</v>
      </c>
      <c r="H22254" s="5">
        <v>108.7</v>
      </c>
      <c r="I22254" s="5"/>
      <c r="J22254" s="5"/>
      <c r="K22254" s="5"/>
    </row>
    <row r="22255" spans="1:11" x14ac:dyDescent="0.25">
      <c r="A22255" s="5">
        <f>22248</f>
      </c>
      <c r="B22255" s="5" t="s">
        <v>22263</v>
      </c>
      <c r="C22255" s="5">
        <v>109.2</v>
      </c>
      <c r="D22255" s="5">
        <v>0.1</v>
      </c>
      <c r="E22255" s="5">
        <v>109.4</v>
      </c>
      <c r="F22255" s="5">
        <v>218</v>
      </c>
      <c r="G22255" s="5">
        <v>108.9</v>
      </c>
      <c r="H22255" s="5">
        <v>108.7</v>
      </c>
      <c r="I22255" s="5"/>
      <c r="J22255" s="5"/>
      <c r="K22255" s="5"/>
    </row>
    <row r="22256" spans="1:11" x14ac:dyDescent="0.25">
      <c r="A22256" s="5">
        <f>22249</f>
      </c>
      <c r="B22256" s="5" t="s">
        <v>22264</v>
      </c>
      <c r="C22256" s="5">
        <v>109.2</v>
      </c>
      <c r="D22256" s="5">
        <v>0.1</v>
      </c>
      <c r="E22256" s="5">
        <v>109.4</v>
      </c>
      <c r="F22256" s="5">
        <v>218</v>
      </c>
      <c r="G22256" s="5">
        <v>108.9</v>
      </c>
      <c r="H22256" s="5">
        <v>108.7</v>
      </c>
      <c r="I22256" s="5"/>
      <c r="J22256" s="5"/>
      <c r="K22256" s="5"/>
    </row>
    <row r="22257" spans="1:11" x14ac:dyDescent="0.25">
      <c r="A22257" s="5">
        <f>22250</f>
      </c>
      <c r="B22257" s="5" t="s">
        <v>22265</v>
      </c>
      <c r="C22257" s="5">
        <v>109.2</v>
      </c>
      <c r="D22257" s="5">
        <v>0.1</v>
      </c>
      <c r="E22257" s="5">
        <v>109.4</v>
      </c>
      <c r="F22257" s="5">
        <v>218</v>
      </c>
      <c r="G22257" s="5">
        <v>108.9</v>
      </c>
      <c r="H22257" s="5">
        <v>108.7</v>
      </c>
      <c r="I22257" s="5"/>
      <c r="J22257" s="5"/>
      <c r="K22257" s="5"/>
    </row>
    <row r="22258" spans="1:11" x14ac:dyDescent="0.25">
      <c r="A22258" s="5">
        <f>22251</f>
      </c>
      <c r="B22258" s="5" t="s">
        <v>22266</v>
      </c>
      <c r="C22258" s="5">
        <v>107</v>
      </c>
      <c r="D22258" s="5">
        <v>0.1</v>
      </c>
      <c r="E22258" s="5">
        <v>107.2</v>
      </c>
      <c r="F22258" s="5">
        <v>217</v>
      </c>
      <c r="G22258" s="5">
        <v>108.1</v>
      </c>
      <c r="H22258" s="5">
        <v>107.8</v>
      </c>
      <c r="I22258" s="5"/>
      <c r="J22258" s="5"/>
      <c r="K22258" s="5"/>
    </row>
    <row r="22259" spans="1:11" x14ac:dyDescent="0.25">
      <c r="A22259" s="5">
        <f>22252</f>
      </c>
      <c r="B22259" s="5" t="s">
        <v>22267</v>
      </c>
      <c r="C22259" s="5">
        <v>107</v>
      </c>
      <c r="D22259" s="5">
        <v>0.1</v>
      </c>
      <c r="E22259" s="5">
        <v>107.2</v>
      </c>
      <c r="F22259" s="5">
        <v>217</v>
      </c>
      <c r="G22259" s="5">
        <v>108.1</v>
      </c>
      <c r="H22259" s="5">
        <v>107.8</v>
      </c>
      <c r="I22259" s="5"/>
      <c r="J22259" s="5"/>
      <c r="K22259" s="5"/>
    </row>
    <row r="22260" spans="1:11" x14ac:dyDescent="0.25">
      <c r="A22260" s="5">
        <f>22253</f>
      </c>
      <c r="B22260" s="5" t="s">
        <v>22268</v>
      </c>
      <c r="C22260" s="5">
        <v>110.4</v>
      </c>
      <c r="D22260" s="5">
        <v>0.1</v>
      </c>
      <c r="E22260" s="5">
        <v>110.6</v>
      </c>
      <c r="F22260" s="5">
        <v>221.2</v>
      </c>
      <c r="G22260" s="5">
        <v>110.4</v>
      </c>
      <c r="H22260" s="5">
        <v>110.2</v>
      </c>
      <c r="I22260" s="5"/>
      <c r="J22260" s="5"/>
      <c r="K22260" s="5"/>
    </row>
    <row r="22261" spans="1:11" x14ac:dyDescent="0.25">
      <c r="A22261" s="5">
        <f>22254</f>
      </c>
      <c r="B22261" s="5" t="s">
        <v>22269</v>
      </c>
      <c r="C22261" s="5">
        <v>110.4</v>
      </c>
      <c r="D22261" s="5">
        <v>0.1</v>
      </c>
      <c r="E22261" s="5">
        <v>110.6</v>
      </c>
      <c r="F22261" s="5">
        <v>221.2</v>
      </c>
      <c r="G22261" s="5">
        <v>110.4</v>
      </c>
      <c r="H22261" s="5">
        <v>110.2</v>
      </c>
      <c r="I22261" s="5"/>
      <c r="J22261" s="5"/>
      <c r="K22261" s="5"/>
    </row>
    <row r="22262" spans="1:11" x14ac:dyDescent="0.25">
      <c r="A22262" s="5">
        <f>22255</f>
      </c>
      <c r="B22262" s="5" t="s">
        <v>22270</v>
      </c>
      <c r="C22262" s="5">
        <v>110.2</v>
      </c>
      <c r="D22262" s="5">
        <v>0.1</v>
      </c>
      <c r="E22262" s="5">
        <v>110.4</v>
      </c>
      <c r="F22262" s="5">
        <v>220.3</v>
      </c>
      <c r="G22262" s="5">
        <v>110</v>
      </c>
      <c r="H22262" s="5">
        <v>109.8</v>
      </c>
      <c r="I22262" s="5"/>
      <c r="J22262" s="5"/>
      <c r="K22262" s="5"/>
    </row>
    <row r="22263" spans="1:11" x14ac:dyDescent="0.25">
      <c r="A22263" s="5">
        <f>22256</f>
      </c>
      <c r="B22263" s="5" t="s">
        <v>22271</v>
      </c>
      <c r="C22263" s="5">
        <v>110.2</v>
      </c>
      <c r="D22263" s="5">
        <v>0.1</v>
      </c>
      <c r="E22263" s="5">
        <v>110.4</v>
      </c>
      <c r="F22263" s="5">
        <v>220.3</v>
      </c>
      <c r="G22263" s="5">
        <v>110</v>
      </c>
      <c r="H22263" s="5">
        <v>109.8</v>
      </c>
      <c r="I22263" s="5"/>
      <c r="J22263" s="5"/>
      <c r="K22263" s="5"/>
    </row>
    <row r="22264" spans="1:11" x14ac:dyDescent="0.25">
      <c r="A22264" s="5">
        <f>22257</f>
      </c>
      <c r="B22264" s="5" t="s">
        <v>22272</v>
      </c>
      <c r="C22264" s="5">
        <v>110.5</v>
      </c>
      <c r="D22264" s="5">
        <v>0.1</v>
      </c>
      <c r="E22264" s="5">
        <v>110.7</v>
      </c>
      <c r="F22264" s="5">
        <v>220.7</v>
      </c>
      <c r="G22264" s="5">
        <v>110.1</v>
      </c>
      <c r="H22264" s="5">
        <v>110</v>
      </c>
      <c r="I22264" s="5"/>
      <c r="J22264" s="5"/>
      <c r="K22264" s="5"/>
    </row>
    <row r="22265" spans="1:11" x14ac:dyDescent="0.25">
      <c r="A22265" s="5">
        <f>22258</f>
      </c>
      <c r="B22265" s="5" t="s">
        <v>22273</v>
      </c>
      <c r="C22265" s="5">
        <v>110.5</v>
      </c>
      <c r="D22265" s="5">
        <v>0.1</v>
      </c>
      <c r="E22265" s="5">
        <v>110.7</v>
      </c>
      <c r="F22265" s="5">
        <v>220.7</v>
      </c>
      <c r="G22265" s="5">
        <v>110.1</v>
      </c>
      <c r="H22265" s="5">
        <v>110</v>
      </c>
      <c r="I22265" s="5"/>
      <c r="J22265" s="5"/>
      <c r="K22265" s="5"/>
    </row>
    <row r="22266" spans="1:11" x14ac:dyDescent="0.25">
      <c r="A22266" s="5">
        <f>22259</f>
      </c>
      <c r="B22266" s="5" t="s">
        <v>22274</v>
      </c>
      <c r="C22266" s="5">
        <v>110.5</v>
      </c>
      <c r="D22266" s="5">
        <v>0.1</v>
      </c>
      <c r="E22266" s="5">
        <v>110.7</v>
      </c>
      <c r="F22266" s="5">
        <v>220.7</v>
      </c>
      <c r="G22266" s="5">
        <v>110.1</v>
      </c>
      <c r="H22266" s="5">
        <v>110</v>
      </c>
      <c r="I22266" s="5"/>
      <c r="J22266" s="5"/>
      <c r="K22266" s="5"/>
    </row>
    <row r="22267" spans="1:11" x14ac:dyDescent="0.25">
      <c r="A22267" s="5">
        <f>22260</f>
      </c>
      <c r="B22267" s="5" t="s">
        <v>22275</v>
      </c>
      <c r="C22267" s="5">
        <v>110.5</v>
      </c>
      <c r="D22267" s="5">
        <v>0.1</v>
      </c>
      <c r="E22267" s="5">
        <v>110.7</v>
      </c>
      <c r="F22267" s="5">
        <v>220.7</v>
      </c>
      <c r="G22267" s="5">
        <v>110.1</v>
      </c>
      <c r="H22267" s="5">
        <v>110</v>
      </c>
      <c r="I22267" s="5"/>
      <c r="J22267" s="5"/>
      <c r="K22267" s="5"/>
    </row>
    <row r="22268" spans="1:11" x14ac:dyDescent="0.25">
      <c r="A22268" s="5">
        <f>22261</f>
      </c>
      <c r="B22268" s="5" t="s">
        <v>22276</v>
      </c>
      <c r="C22268" s="5">
        <v>110.4</v>
      </c>
      <c r="D22268" s="5">
        <v>0.1</v>
      </c>
      <c r="E22268" s="5">
        <v>110.5</v>
      </c>
      <c r="F22268" s="5">
        <v>219.6</v>
      </c>
      <c r="G22268" s="5">
        <v>109.4</v>
      </c>
      <c r="H22268" s="5">
        <v>109.1</v>
      </c>
      <c r="I22268" s="5"/>
      <c r="J22268" s="5"/>
      <c r="K22268" s="5"/>
    </row>
    <row r="22269" spans="1:11" x14ac:dyDescent="0.25">
      <c r="A22269" s="5">
        <f>22262</f>
      </c>
      <c r="B22269" s="5" t="s">
        <v>22277</v>
      </c>
      <c r="C22269" s="5">
        <v>110.4</v>
      </c>
      <c r="D22269" s="5">
        <v>0.1</v>
      </c>
      <c r="E22269" s="5">
        <v>110.5</v>
      </c>
      <c r="F22269" s="5">
        <v>219.6</v>
      </c>
      <c r="G22269" s="5">
        <v>109.4</v>
      </c>
      <c r="H22269" s="5">
        <v>109.1</v>
      </c>
      <c r="I22269" s="5"/>
      <c r="J22269" s="5"/>
      <c r="K22269" s="5"/>
    </row>
    <row r="22270" spans="1:11" x14ac:dyDescent="0.25">
      <c r="A22270" s="5">
        <f>22263</f>
      </c>
      <c r="B22270" s="5" t="s">
        <v>22278</v>
      </c>
      <c r="C22270" s="5">
        <v>110.6</v>
      </c>
      <c r="D22270" s="5">
        <v>0.1</v>
      </c>
      <c r="E22270" s="5">
        <v>110.7</v>
      </c>
      <c r="F22270" s="5">
        <v>220.5</v>
      </c>
      <c r="G22270" s="5">
        <v>109.9</v>
      </c>
      <c r="H22270" s="5">
        <v>109.5</v>
      </c>
      <c r="I22270" s="5"/>
      <c r="J22270" s="5"/>
      <c r="K22270" s="5"/>
    </row>
    <row r="22271" spans="1:11" x14ac:dyDescent="0.25">
      <c r="A22271" s="5">
        <f>22264</f>
      </c>
      <c r="B22271" s="5" t="s">
        <v>22279</v>
      </c>
      <c r="C22271" s="5">
        <v>110.6</v>
      </c>
      <c r="D22271" s="5">
        <v>0.1</v>
      </c>
      <c r="E22271" s="5">
        <v>110.7</v>
      </c>
      <c r="F22271" s="5">
        <v>220.5</v>
      </c>
      <c r="G22271" s="5">
        <v>109.9</v>
      </c>
      <c r="H22271" s="5">
        <v>109.5</v>
      </c>
      <c r="I22271" s="5"/>
      <c r="J22271" s="5"/>
      <c r="K22271" s="5"/>
    </row>
    <row r="22272" spans="1:11" x14ac:dyDescent="0.25">
      <c r="A22272" s="5">
        <f>22265</f>
      </c>
      <c r="B22272" s="5" t="s">
        <v>22280</v>
      </c>
      <c r="C22272" s="5">
        <v>110.9</v>
      </c>
      <c r="D22272" s="5">
        <v>0.1</v>
      </c>
      <c r="E22272" s="5">
        <v>111</v>
      </c>
      <c r="F22272" s="5">
        <v>221.7</v>
      </c>
      <c r="G22272" s="5">
        <v>110.6</v>
      </c>
      <c r="H22272" s="5">
        <v>110</v>
      </c>
      <c r="I22272" s="5"/>
      <c r="J22272" s="5"/>
      <c r="K22272" s="5"/>
    </row>
    <row r="22273" spans="1:11" x14ac:dyDescent="0.25">
      <c r="A22273" s="5">
        <f>22266</f>
      </c>
      <c r="B22273" s="5" t="s">
        <v>22281</v>
      </c>
      <c r="C22273" s="5">
        <v>110.9</v>
      </c>
      <c r="D22273" s="5">
        <v>0.1</v>
      </c>
      <c r="E22273" s="5">
        <v>111</v>
      </c>
      <c r="F22273" s="5">
        <v>221.7</v>
      </c>
      <c r="G22273" s="5">
        <v>110.6</v>
      </c>
      <c r="H22273" s="5">
        <v>110</v>
      </c>
      <c r="I22273" s="5"/>
      <c r="J22273" s="5"/>
      <c r="K22273" s="5"/>
    </row>
    <row r="22274" spans="1:11" x14ac:dyDescent="0.25">
      <c r="A22274" s="5">
        <f>22267</f>
      </c>
      <c r="B22274" s="5" t="s">
        <v>22282</v>
      </c>
      <c r="C22274" s="5">
        <v>110.2</v>
      </c>
      <c r="D22274" s="5">
        <v>0.1</v>
      </c>
      <c r="E22274" s="5">
        <v>110.4</v>
      </c>
      <c r="F22274" s="5">
        <v>220.1</v>
      </c>
      <c r="G22274" s="5">
        <v>109.9</v>
      </c>
      <c r="H22274" s="5">
        <v>109.7</v>
      </c>
      <c r="I22274" s="5"/>
      <c r="J22274" s="5"/>
      <c r="K22274" s="5"/>
    </row>
    <row r="22275" spans="1:11" x14ac:dyDescent="0.25">
      <c r="A22275" s="5">
        <f>22268</f>
      </c>
      <c r="B22275" s="5" t="s">
        <v>22283</v>
      </c>
      <c r="C22275" s="5">
        <v>110.2</v>
      </c>
      <c r="D22275" s="5">
        <v>0.1</v>
      </c>
      <c r="E22275" s="5">
        <v>110.4</v>
      </c>
      <c r="F22275" s="5">
        <v>220.1</v>
      </c>
      <c r="G22275" s="5">
        <v>109.9</v>
      </c>
      <c r="H22275" s="5">
        <v>109.7</v>
      </c>
      <c r="I22275" s="5"/>
      <c r="J22275" s="5"/>
      <c r="K22275" s="5"/>
    </row>
    <row r="22276" spans="1:11" x14ac:dyDescent="0.25">
      <c r="A22276" s="5">
        <f>22269</f>
      </c>
      <c r="B22276" s="5" t="s">
        <v>22284</v>
      </c>
      <c r="C22276" s="5">
        <v>110.2</v>
      </c>
      <c r="D22276" s="5">
        <v>0.1</v>
      </c>
      <c r="E22276" s="5">
        <v>110.4</v>
      </c>
      <c r="F22276" s="5">
        <v>220.1</v>
      </c>
      <c r="G22276" s="5">
        <v>109.9</v>
      </c>
      <c r="H22276" s="5">
        <v>109.7</v>
      </c>
      <c r="I22276" s="5"/>
      <c r="J22276" s="5"/>
      <c r="K22276" s="5"/>
    </row>
    <row r="22277" spans="1:11" x14ac:dyDescent="0.25">
      <c r="A22277" s="5">
        <f>22270</f>
      </c>
      <c r="B22277" s="5" t="s">
        <v>22285</v>
      </c>
      <c r="C22277" s="5">
        <v>110.2</v>
      </c>
      <c r="D22277" s="5">
        <v>0.1</v>
      </c>
      <c r="E22277" s="5">
        <v>110.4</v>
      </c>
      <c r="F22277" s="5">
        <v>220.1</v>
      </c>
      <c r="G22277" s="5">
        <v>109.9</v>
      </c>
      <c r="H22277" s="5">
        <v>109.7</v>
      </c>
      <c r="I22277" s="5"/>
      <c r="J22277" s="5"/>
      <c r="K22277" s="5"/>
    </row>
    <row r="22278" spans="1:11" x14ac:dyDescent="0.25">
      <c r="A22278" s="5">
        <f>22271</f>
      </c>
      <c r="B22278" s="5" t="s">
        <v>22286</v>
      </c>
      <c r="C22278" s="5">
        <v>110.2</v>
      </c>
      <c r="D22278" s="5">
        <v>0.1</v>
      </c>
      <c r="E22278" s="5">
        <v>110.4</v>
      </c>
      <c r="F22278" s="5">
        <v>220.4</v>
      </c>
      <c r="G22278" s="5">
        <v>110</v>
      </c>
      <c r="H22278" s="5">
        <v>109.9</v>
      </c>
      <c r="I22278" s="5"/>
      <c r="J22278" s="5"/>
      <c r="K22278" s="5"/>
    </row>
    <row r="22279" spans="1:11" x14ac:dyDescent="0.25">
      <c r="A22279" s="5">
        <f>22272</f>
      </c>
      <c r="B22279" s="5" t="s">
        <v>22287</v>
      </c>
      <c r="C22279" s="5">
        <v>110.2</v>
      </c>
      <c r="D22279" s="5">
        <v>0.1</v>
      </c>
      <c r="E22279" s="5">
        <v>110.4</v>
      </c>
      <c r="F22279" s="5">
        <v>220.4</v>
      </c>
      <c r="G22279" s="5">
        <v>110</v>
      </c>
      <c r="H22279" s="5">
        <v>109.9</v>
      </c>
      <c r="I22279" s="5"/>
      <c r="J22279" s="5"/>
      <c r="K22279" s="5"/>
    </row>
    <row r="22280" spans="1:11" x14ac:dyDescent="0.25">
      <c r="A22280" s="5">
        <f>22273</f>
      </c>
      <c r="B22280" s="5" t="s">
        <v>22288</v>
      </c>
      <c r="C22280" s="5">
        <v>109.7</v>
      </c>
      <c r="D22280" s="5">
        <v>0.1</v>
      </c>
      <c r="E22280" s="5">
        <v>109.8</v>
      </c>
      <c r="F22280" s="5">
        <v>219.2</v>
      </c>
      <c r="G22280" s="5">
        <v>109.3</v>
      </c>
      <c r="H22280" s="5">
        <v>109.2</v>
      </c>
      <c r="I22280" s="5"/>
      <c r="J22280" s="5"/>
      <c r="K22280" s="5"/>
    </row>
    <row r="22281" spans="1:11" x14ac:dyDescent="0.25">
      <c r="A22281" s="5">
        <f>22274</f>
      </c>
      <c r="B22281" s="5" t="s">
        <v>22289</v>
      </c>
      <c r="C22281" s="5">
        <v>109.7</v>
      </c>
      <c r="D22281" s="5">
        <v>0.1</v>
      </c>
      <c r="E22281" s="5">
        <v>109.8</v>
      </c>
      <c r="F22281" s="5">
        <v>219.2</v>
      </c>
      <c r="G22281" s="5">
        <v>109.3</v>
      </c>
      <c r="H22281" s="5">
        <v>109.2</v>
      </c>
      <c r="I22281" s="5"/>
      <c r="J22281" s="5"/>
      <c r="K22281" s="5"/>
    </row>
    <row r="22282" spans="1:11" x14ac:dyDescent="0.25">
      <c r="A22282" s="5">
        <f>22275</f>
      </c>
      <c r="B22282" s="5" t="s">
        <v>22290</v>
      </c>
      <c r="C22282" s="5">
        <v>108.8</v>
      </c>
      <c r="D22282" s="5">
        <v>0.1</v>
      </c>
      <c r="E22282" s="5">
        <v>109.1</v>
      </c>
      <c r="F22282" s="5">
        <v>219.2</v>
      </c>
      <c r="G22282" s="5">
        <v>109.4</v>
      </c>
      <c r="H22282" s="5">
        <v>109.2</v>
      </c>
      <c r="I22282" s="5"/>
      <c r="J22282" s="5"/>
      <c r="K22282" s="5"/>
    </row>
    <row r="22283" spans="1:11" x14ac:dyDescent="0.25">
      <c r="A22283" s="5">
        <f>22276</f>
      </c>
      <c r="B22283" s="5" t="s">
        <v>22291</v>
      </c>
      <c r="C22283" s="5">
        <v>108.8</v>
      </c>
      <c r="D22283" s="5">
        <v>0.1</v>
      </c>
      <c r="E22283" s="5">
        <v>109.1</v>
      </c>
      <c r="F22283" s="5">
        <v>219.2</v>
      </c>
      <c r="G22283" s="5">
        <v>109.4</v>
      </c>
      <c r="H22283" s="5">
        <v>109.2</v>
      </c>
      <c r="I22283" s="5"/>
      <c r="J22283" s="5"/>
      <c r="K22283" s="5"/>
    </row>
    <row r="22284" spans="1:11" x14ac:dyDescent="0.25">
      <c r="A22284" s="5">
        <f>22277</f>
      </c>
      <c r="B22284" s="5" t="s">
        <v>22292</v>
      </c>
      <c r="C22284" s="5">
        <v>109.7</v>
      </c>
      <c r="D22284" s="5">
        <v>0.1</v>
      </c>
      <c r="E22284" s="5">
        <v>109.8</v>
      </c>
      <c r="F22284" s="5">
        <v>220.3</v>
      </c>
      <c r="G22284" s="5">
        <v>109.9</v>
      </c>
      <c r="H22284" s="5">
        <v>109.8</v>
      </c>
      <c r="I22284" s="5"/>
      <c r="J22284" s="5"/>
      <c r="K22284" s="5"/>
    </row>
    <row r="22285" spans="1:11" x14ac:dyDescent="0.25">
      <c r="A22285" s="5">
        <f>22278</f>
      </c>
      <c r="B22285" s="5" t="s">
        <v>22293</v>
      </c>
      <c r="C22285" s="5">
        <v>109.7</v>
      </c>
      <c r="D22285" s="5">
        <v>0.1</v>
      </c>
      <c r="E22285" s="5">
        <v>109.8</v>
      </c>
      <c r="F22285" s="5">
        <v>220.3</v>
      </c>
      <c r="G22285" s="5">
        <v>109.9</v>
      </c>
      <c r="H22285" s="5">
        <v>109.8</v>
      </c>
      <c r="I22285" s="5"/>
      <c r="J22285" s="5"/>
      <c r="K22285" s="5"/>
    </row>
    <row r="22286" spans="1:11" x14ac:dyDescent="0.25">
      <c r="A22286" s="5">
        <f>22279</f>
      </c>
      <c r="B22286" s="5" t="s">
        <v>22294</v>
      </c>
      <c r="C22286" s="5">
        <v>109.7</v>
      </c>
      <c r="D22286" s="5">
        <v>0.1</v>
      </c>
      <c r="E22286" s="5">
        <v>109.8</v>
      </c>
      <c r="F22286" s="5">
        <v>220.3</v>
      </c>
      <c r="G22286" s="5">
        <v>109.9</v>
      </c>
      <c r="H22286" s="5">
        <v>109.8</v>
      </c>
      <c r="I22286" s="5"/>
      <c r="J22286" s="5"/>
      <c r="K22286" s="5"/>
    </row>
    <row r="22287" spans="1:11" x14ac:dyDescent="0.25">
      <c r="A22287" s="5">
        <f>22280</f>
      </c>
      <c r="B22287" s="5" t="s">
        <v>22295</v>
      </c>
      <c r="C22287" s="5">
        <v>109.7</v>
      </c>
      <c r="D22287" s="5">
        <v>0.1</v>
      </c>
      <c r="E22287" s="5">
        <v>109.8</v>
      </c>
      <c r="F22287" s="5">
        <v>220.3</v>
      </c>
      <c r="G22287" s="5">
        <v>109.9</v>
      </c>
      <c r="H22287" s="5">
        <v>109.8</v>
      </c>
      <c r="I22287" s="5"/>
      <c r="J22287" s="5"/>
      <c r="K22287" s="5"/>
    </row>
    <row r="22288" spans="1:11" x14ac:dyDescent="0.25">
      <c r="A22288" s="5">
        <f>22281</f>
      </c>
      <c r="B22288" s="5" t="s">
        <v>22296</v>
      </c>
      <c r="C22288" s="5">
        <v>108.6</v>
      </c>
      <c r="D22288" s="5">
        <v>0.1</v>
      </c>
      <c r="E22288" s="5">
        <v>108.8</v>
      </c>
      <c r="F22288" s="5">
        <v>217.5</v>
      </c>
      <c r="G22288" s="5">
        <v>108.5</v>
      </c>
      <c r="H22288" s="5">
        <v>108.3</v>
      </c>
      <c r="I22288" s="5"/>
      <c r="J22288" s="5"/>
      <c r="K22288" s="5"/>
    </row>
    <row r="22289" spans="1:11" x14ac:dyDescent="0.25">
      <c r="A22289" s="5">
        <f>22282</f>
      </c>
      <c r="B22289" s="5" t="s">
        <v>22297</v>
      </c>
      <c r="C22289" s="5">
        <v>108.6</v>
      </c>
      <c r="D22289" s="5">
        <v>0.1</v>
      </c>
      <c r="E22289" s="5">
        <v>108.8</v>
      </c>
      <c r="F22289" s="5">
        <v>217.5</v>
      </c>
      <c r="G22289" s="5">
        <v>108.5</v>
      </c>
      <c r="H22289" s="5">
        <v>108.3</v>
      </c>
      <c r="I22289" s="5"/>
      <c r="J22289" s="5"/>
      <c r="K22289" s="5"/>
    </row>
    <row r="22290" spans="1:11" x14ac:dyDescent="0.25">
      <c r="A22290" s="5">
        <f>22283</f>
      </c>
      <c r="B22290" s="5" t="s">
        <v>22298</v>
      </c>
      <c r="C22290" s="5">
        <v>108.1</v>
      </c>
      <c r="D22290" s="5">
        <v>0.1</v>
      </c>
      <c r="E22290" s="5">
        <v>108.2</v>
      </c>
      <c r="F22290" s="5">
        <v>216.2</v>
      </c>
      <c r="G22290" s="5">
        <v>107.9</v>
      </c>
      <c r="H22290" s="5">
        <v>107.8</v>
      </c>
      <c r="I22290" s="5"/>
      <c r="J22290" s="5"/>
      <c r="K22290" s="5"/>
    </row>
    <row r="22291" spans="1:11" x14ac:dyDescent="0.25">
      <c r="A22291" s="5">
        <f>22284</f>
      </c>
      <c r="B22291" s="5" t="s">
        <v>22299</v>
      </c>
      <c r="C22291" s="5">
        <v>108.1</v>
      </c>
      <c r="D22291" s="5">
        <v>0.1</v>
      </c>
      <c r="E22291" s="5">
        <v>108.2</v>
      </c>
      <c r="F22291" s="5">
        <v>216.2</v>
      </c>
      <c r="G22291" s="5">
        <v>107.9</v>
      </c>
      <c r="H22291" s="5">
        <v>107.8</v>
      </c>
      <c r="I22291" s="5"/>
      <c r="J22291" s="5"/>
      <c r="K22291" s="5"/>
    </row>
    <row r="22292" spans="1:11" x14ac:dyDescent="0.25">
      <c r="A22292" s="5">
        <f>22285</f>
      </c>
      <c r="B22292" s="5" t="s">
        <v>22300</v>
      </c>
      <c r="C22292" s="5">
        <v>108.8</v>
      </c>
      <c r="D22292" s="5">
        <v>0.1</v>
      </c>
      <c r="E22292" s="5">
        <v>108.9</v>
      </c>
      <c r="F22292" s="5">
        <v>218</v>
      </c>
      <c r="G22292" s="5">
        <v>108.8</v>
      </c>
      <c r="H22292" s="5">
        <v>108.6</v>
      </c>
      <c r="I22292" s="5"/>
      <c r="J22292" s="5"/>
      <c r="K22292" s="5"/>
    </row>
    <row r="22293" spans="1:11" x14ac:dyDescent="0.25">
      <c r="A22293" s="5">
        <f>22286</f>
      </c>
      <c r="B22293" s="5" t="s">
        <v>22301</v>
      </c>
      <c r="C22293" s="5">
        <v>108.8</v>
      </c>
      <c r="D22293" s="5">
        <v>0.1</v>
      </c>
      <c r="E22293" s="5">
        <v>108.9</v>
      </c>
      <c r="F22293" s="5">
        <v>218</v>
      </c>
      <c r="G22293" s="5">
        <v>108.8</v>
      </c>
      <c r="H22293" s="5">
        <v>108.6</v>
      </c>
      <c r="I22293" s="5"/>
      <c r="J22293" s="5"/>
      <c r="K22293" s="5"/>
    </row>
    <row r="22294" spans="1:11" x14ac:dyDescent="0.25">
      <c r="A22294" s="5">
        <f>22287</f>
      </c>
      <c r="B22294" s="5" t="s">
        <v>22302</v>
      </c>
      <c r="C22294" s="5">
        <v>109.6</v>
      </c>
      <c r="D22294" s="5">
        <v>0.1</v>
      </c>
      <c r="E22294" s="5">
        <v>109.7</v>
      </c>
      <c r="F22294" s="5">
        <v>218.9</v>
      </c>
      <c r="G22294" s="5">
        <v>109.3</v>
      </c>
      <c r="H22294" s="5">
        <v>109.1</v>
      </c>
      <c r="I22294" s="5"/>
      <c r="J22294" s="5"/>
      <c r="K22294" s="5"/>
    </row>
    <row r="22295" spans="1:11" x14ac:dyDescent="0.25">
      <c r="A22295" s="5">
        <f>22288</f>
      </c>
      <c r="B22295" s="5" t="s">
        <v>22303</v>
      </c>
      <c r="C22295" s="5">
        <v>109.6</v>
      </c>
      <c r="D22295" s="5">
        <v>0.1</v>
      </c>
      <c r="E22295" s="5">
        <v>109.7</v>
      </c>
      <c r="F22295" s="5">
        <v>218.9</v>
      </c>
      <c r="G22295" s="5">
        <v>109.3</v>
      </c>
      <c r="H22295" s="5">
        <v>109.1</v>
      </c>
      <c r="I22295" s="5"/>
      <c r="J22295" s="5"/>
      <c r="K22295" s="5"/>
    </row>
    <row r="22296" spans="1:11" x14ac:dyDescent="0.25">
      <c r="A22296" s="5">
        <f>22289</f>
      </c>
      <c r="B22296" s="5" t="s">
        <v>22304</v>
      </c>
      <c r="C22296" s="5">
        <v>109.6</v>
      </c>
      <c r="D22296" s="5">
        <v>0.1</v>
      </c>
      <c r="E22296" s="5">
        <v>109.7</v>
      </c>
      <c r="F22296" s="5">
        <v>218.9</v>
      </c>
      <c r="G22296" s="5">
        <v>109.3</v>
      </c>
      <c r="H22296" s="5">
        <v>109.1</v>
      </c>
      <c r="I22296" s="5"/>
      <c r="J22296" s="5"/>
      <c r="K22296" s="5"/>
    </row>
    <row r="22297" spans="1:11" x14ac:dyDescent="0.25">
      <c r="A22297" s="5">
        <f>22290</f>
      </c>
      <c r="B22297" s="5" t="s">
        <v>22305</v>
      </c>
      <c r="C22297" s="5">
        <v>109.6</v>
      </c>
      <c r="D22297" s="5">
        <v>0.1</v>
      </c>
      <c r="E22297" s="5">
        <v>109.7</v>
      </c>
      <c r="F22297" s="5">
        <v>218.9</v>
      </c>
      <c r="G22297" s="5">
        <v>109.3</v>
      </c>
      <c r="H22297" s="5">
        <v>109.1</v>
      </c>
      <c r="I22297" s="5"/>
      <c r="J22297" s="5"/>
      <c r="K22297" s="5"/>
    </row>
    <row r="22298" spans="1:11" x14ac:dyDescent="0.25">
      <c r="A22298" s="5">
        <f>22291</f>
      </c>
      <c r="B22298" s="5" t="s">
        <v>22306</v>
      </c>
      <c r="C22298" s="5">
        <v>109.4</v>
      </c>
      <c r="D22298" s="5">
        <v>0.1</v>
      </c>
      <c r="E22298" s="5">
        <v>109.5</v>
      </c>
      <c r="F22298" s="5">
        <v>218.9</v>
      </c>
      <c r="G22298" s="5">
        <v>109.2</v>
      </c>
      <c r="H22298" s="5">
        <v>109.1</v>
      </c>
      <c r="I22298" s="5"/>
      <c r="J22298" s="5"/>
      <c r="K22298" s="5"/>
    </row>
    <row r="22299" spans="1:11" x14ac:dyDescent="0.25">
      <c r="A22299" s="5">
        <f>22292</f>
      </c>
      <c r="B22299" s="5" t="s">
        <v>22307</v>
      </c>
      <c r="C22299" s="5">
        <v>109.4</v>
      </c>
      <c r="D22299" s="5">
        <v>0.1</v>
      </c>
      <c r="E22299" s="5">
        <v>109.5</v>
      </c>
      <c r="F22299" s="5">
        <v>218.9</v>
      </c>
      <c r="G22299" s="5">
        <v>109.2</v>
      </c>
      <c r="H22299" s="5">
        <v>109.1</v>
      </c>
      <c r="I22299" s="5"/>
      <c r="J22299" s="5"/>
      <c r="K22299" s="5"/>
    </row>
    <row r="22300" spans="1:11" x14ac:dyDescent="0.25">
      <c r="A22300" s="5">
        <f>22293</f>
      </c>
      <c r="B22300" s="5" t="s">
        <v>22308</v>
      </c>
      <c r="C22300" s="5">
        <v>109.6</v>
      </c>
      <c r="D22300" s="5">
        <v>0.1</v>
      </c>
      <c r="E22300" s="5">
        <v>109.7</v>
      </c>
      <c r="F22300" s="5">
        <v>219.1</v>
      </c>
      <c r="G22300" s="5">
        <v>109.4</v>
      </c>
      <c r="H22300" s="5">
        <v>109.2</v>
      </c>
      <c r="I22300" s="5"/>
      <c r="J22300" s="5"/>
      <c r="K22300" s="5"/>
    </row>
    <row r="22301" spans="1:11" x14ac:dyDescent="0.25">
      <c r="A22301" s="5">
        <f>22294</f>
      </c>
      <c r="B22301" s="5" t="s">
        <v>22309</v>
      </c>
      <c r="C22301" s="5">
        <v>109.6</v>
      </c>
      <c r="D22301" s="5">
        <v>0.1</v>
      </c>
      <c r="E22301" s="5">
        <v>109.7</v>
      </c>
      <c r="F22301" s="5">
        <v>219.1</v>
      </c>
      <c r="G22301" s="5">
        <v>109.4</v>
      </c>
      <c r="H22301" s="5">
        <v>109.2</v>
      </c>
      <c r="I22301" s="5"/>
      <c r="J22301" s="5"/>
      <c r="K22301" s="5"/>
    </row>
    <row r="22302" spans="1:11" x14ac:dyDescent="0.25">
      <c r="A22302" s="5">
        <f>22295</f>
      </c>
      <c r="B22302" s="5" t="s">
        <v>22310</v>
      </c>
      <c r="C22302" s="5">
        <v>109.5</v>
      </c>
      <c r="D22302" s="5">
        <v>0.1</v>
      </c>
      <c r="E22302" s="5">
        <v>109.7</v>
      </c>
      <c r="F22302" s="5">
        <v>219.7</v>
      </c>
      <c r="G22302" s="5">
        <v>109.6</v>
      </c>
      <c r="H22302" s="5">
        <v>109.5</v>
      </c>
      <c r="I22302" s="5"/>
      <c r="J22302" s="5"/>
      <c r="K22302" s="5"/>
    </row>
    <row r="22303" spans="1:11" x14ac:dyDescent="0.25">
      <c r="A22303" s="5">
        <f>22296</f>
      </c>
      <c r="B22303" s="5" t="s">
        <v>22311</v>
      </c>
      <c r="C22303" s="5">
        <v>109.5</v>
      </c>
      <c r="D22303" s="5">
        <v>0.1</v>
      </c>
      <c r="E22303" s="5">
        <v>109.7</v>
      </c>
      <c r="F22303" s="5">
        <v>219.7</v>
      </c>
      <c r="G22303" s="5">
        <v>109.6</v>
      </c>
      <c r="H22303" s="5">
        <v>109.5</v>
      </c>
      <c r="I22303" s="5"/>
      <c r="J22303" s="5"/>
      <c r="K22303" s="5"/>
    </row>
    <row r="22304" spans="1:11" x14ac:dyDescent="0.25">
      <c r="A22304" s="5">
        <f>22297</f>
      </c>
      <c r="B22304" s="5" t="s">
        <v>22312</v>
      </c>
      <c r="C22304" s="5">
        <v>110.1</v>
      </c>
      <c r="D22304" s="5">
        <v>0.1</v>
      </c>
      <c r="E22304" s="5">
        <v>110.3</v>
      </c>
      <c r="F22304" s="5">
        <v>220</v>
      </c>
      <c r="G22304" s="5">
        <v>109.8</v>
      </c>
      <c r="H22304" s="5">
        <v>109.6</v>
      </c>
      <c r="I22304" s="5"/>
      <c r="J22304" s="5"/>
      <c r="K22304" s="5"/>
    </row>
    <row r="22305" spans="1:11" x14ac:dyDescent="0.25">
      <c r="A22305" s="5">
        <f>22298</f>
      </c>
      <c r="B22305" s="5" t="s">
        <v>22313</v>
      </c>
      <c r="C22305" s="5">
        <v>110.1</v>
      </c>
      <c r="D22305" s="5">
        <v>0.1</v>
      </c>
      <c r="E22305" s="5">
        <v>110.3</v>
      </c>
      <c r="F22305" s="5">
        <v>220</v>
      </c>
      <c r="G22305" s="5">
        <v>109.8</v>
      </c>
      <c r="H22305" s="5">
        <v>109.6</v>
      </c>
      <c r="I22305" s="5"/>
      <c r="J22305" s="5"/>
      <c r="K22305" s="5"/>
    </row>
    <row r="22306" spans="1:11" x14ac:dyDescent="0.25">
      <c r="A22306" s="5">
        <f>22299</f>
      </c>
      <c r="B22306" s="5" t="s">
        <v>22314</v>
      </c>
      <c r="C22306" s="5">
        <v>110.1</v>
      </c>
      <c r="D22306" s="5">
        <v>0.1</v>
      </c>
      <c r="E22306" s="5">
        <v>110.3</v>
      </c>
      <c r="F22306" s="5">
        <v>220</v>
      </c>
      <c r="G22306" s="5">
        <v>109.8</v>
      </c>
      <c r="H22306" s="5">
        <v>109.6</v>
      </c>
      <c r="I22306" s="5"/>
      <c r="J22306" s="5"/>
      <c r="K22306" s="5"/>
    </row>
    <row r="22307" spans="1:11" x14ac:dyDescent="0.25">
      <c r="A22307" s="5">
        <f>22300</f>
      </c>
      <c r="B22307" s="5" t="s">
        <v>22315</v>
      </c>
      <c r="C22307" s="5">
        <v>110.4</v>
      </c>
      <c r="D22307" s="5">
        <v>0.1</v>
      </c>
      <c r="E22307" s="5">
        <v>110.6</v>
      </c>
      <c r="F22307" s="5">
        <v>219.9</v>
      </c>
      <c r="G22307" s="5">
        <v>109.8</v>
      </c>
      <c r="H22307" s="5">
        <v>109.7</v>
      </c>
      <c r="I22307" s="5"/>
      <c r="J22307" s="5"/>
      <c r="K22307" s="5"/>
    </row>
    <row r="22308" spans="1:11" x14ac:dyDescent="0.25">
      <c r="A22308" s="5">
        <f>22301</f>
      </c>
      <c r="B22308" s="5" t="s">
        <v>22316</v>
      </c>
      <c r="C22308" s="5">
        <v>110.4</v>
      </c>
      <c r="D22308" s="5">
        <v>0.1</v>
      </c>
      <c r="E22308" s="5">
        <v>110.6</v>
      </c>
      <c r="F22308" s="5">
        <v>219.9</v>
      </c>
      <c r="G22308" s="5">
        <v>109.8</v>
      </c>
      <c r="H22308" s="5">
        <v>109.7</v>
      </c>
      <c r="I22308" s="5"/>
      <c r="J22308" s="5"/>
      <c r="K22308" s="5"/>
    </row>
    <row r="22309" spans="1:11" x14ac:dyDescent="0.25">
      <c r="A22309" s="5">
        <f>22302</f>
      </c>
      <c r="B22309" s="5" t="s">
        <v>22317</v>
      </c>
      <c r="C22309" s="5">
        <v>109.7</v>
      </c>
      <c r="D22309" s="5">
        <v>0.1</v>
      </c>
      <c r="E22309" s="5">
        <v>109.9</v>
      </c>
      <c r="F22309" s="5">
        <v>219.8</v>
      </c>
      <c r="G22309" s="5">
        <v>109.7</v>
      </c>
      <c r="H22309" s="5">
        <v>109.5</v>
      </c>
      <c r="I22309" s="5"/>
      <c r="J22309" s="5"/>
      <c r="K22309" s="5"/>
    </row>
    <row r="22310" spans="1:11" x14ac:dyDescent="0.25">
      <c r="A22310" s="5">
        <f>22303</f>
      </c>
      <c r="B22310" s="5" t="s">
        <v>22318</v>
      </c>
      <c r="C22310" s="5">
        <v>109.7</v>
      </c>
      <c r="D22310" s="5">
        <v>0.1</v>
      </c>
      <c r="E22310" s="5">
        <v>109.9</v>
      </c>
      <c r="F22310" s="5">
        <v>219.8</v>
      </c>
      <c r="G22310" s="5">
        <v>109.7</v>
      </c>
      <c r="H22310" s="5">
        <v>109.5</v>
      </c>
      <c r="I22310" s="5"/>
      <c r="J22310" s="5"/>
      <c r="K22310" s="5"/>
    </row>
    <row r="22311" spans="1:11" x14ac:dyDescent="0.25">
      <c r="A22311" s="5">
        <f>22304</f>
      </c>
      <c r="B22311" s="5" t="s">
        <v>22319</v>
      </c>
      <c r="C22311" s="5">
        <v>109.7</v>
      </c>
      <c r="D22311" s="5">
        <v>0.1</v>
      </c>
      <c r="E22311" s="5">
        <v>110</v>
      </c>
      <c r="F22311" s="5">
        <v>219.4</v>
      </c>
      <c r="G22311" s="5">
        <v>109.5</v>
      </c>
      <c r="H22311" s="5">
        <v>109.4</v>
      </c>
      <c r="I22311" s="5"/>
      <c r="J22311" s="5"/>
      <c r="K22311" s="5"/>
    </row>
    <row r="22312" spans="1:11" x14ac:dyDescent="0.25">
      <c r="A22312" s="5">
        <f>22305</f>
      </c>
      <c r="B22312" s="5" t="s">
        <v>22320</v>
      </c>
      <c r="C22312" s="5">
        <v>109.8</v>
      </c>
      <c r="D22312" s="5">
        <v>0.1</v>
      </c>
      <c r="E22312" s="5">
        <v>110</v>
      </c>
      <c r="F22312" s="5">
        <v>219.4</v>
      </c>
      <c r="G22312" s="5">
        <v>109.5</v>
      </c>
      <c r="H22312" s="5">
        <v>109.4</v>
      </c>
      <c r="I22312" s="5"/>
      <c r="J22312" s="5"/>
      <c r="K22312" s="5"/>
    </row>
    <row r="22313" spans="1:11" x14ac:dyDescent="0.25">
      <c r="A22313" s="5">
        <f>22306</f>
      </c>
      <c r="B22313" s="5" t="s">
        <v>22321</v>
      </c>
      <c r="C22313" s="5">
        <v>109.8</v>
      </c>
      <c r="D22313" s="5">
        <v>0.1</v>
      </c>
      <c r="E22313" s="5">
        <v>110</v>
      </c>
      <c r="F22313" s="5">
        <v>220.4</v>
      </c>
      <c r="G22313" s="5">
        <v>110</v>
      </c>
      <c r="H22313" s="5">
        <v>109.8</v>
      </c>
      <c r="I22313" s="5"/>
      <c r="J22313" s="5"/>
      <c r="K22313" s="5"/>
    </row>
    <row r="22314" spans="1:11" x14ac:dyDescent="0.25">
      <c r="A22314" s="5">
        <f>22307</f>
      </c>
      <c r="B22314" s="5" t="s">
        <v>22322</v>
      </c>
      <c r="C22314" s="5">
        <v>110.4</v>
      </c>
      <c r="D22314" s="5">
        <v>0.1</v>
      </c>
      <c r="E22314" s="5">
        <v>110.5</v>
      </c>
      <c r="F22314" s="5">
        <v>220.4</v>
      </c>
      <c r="G22314" s="5">
        <v>110</v>
      </c>
      <c r="H22314" s="5">
        <v>109.8</v>
      </c>
      <c r="I22314" s="5"/>
      <c r="J22314" s="5"/>
      <c r="K22314" s="5"/>
    </row>
    <row r="22315" spans="1:11" x14ac:dyDescent="0.25">
      <c r="A22315" s="5">
        <f>22308</f>
      </c>
      <c r="B22315" s="5" t="s">
        <v>22323</v>
      </c>
      <c r="C22315" s="5">
        <v>110.4</v>
      </c>
      <c r="D22315" s="5">
        <v>0.1</v>
      </c>
      <c r="E22315" s="5">
        <v>110.5</v>
      </c>
      <c r="F22315" s="5">
        <v>220.4</v>
      </c>
      <c r="G22315" s="5">
        <v>110</v>
      </c>
      <c r="H22315" s="5">
        <v>109.8</v>
      </c>
      <c r="I22315" s="5"/>
      <c r="J22315" s="5"/>
      <c r="K22315" s="5"/>
    </row>
    <row r="22316" spans="1:11" x14ac:dyDescent="0.25">
      <c r="A22316" s="5">
        <f>22309</f>
      </c>
      <c r="B22316" s="5" t="s">
        <v>22324</v>
      </c>
      <c r="C22316" s="5">
        <v>110.4</v>
      </c>
      <c r="D22316" s="5">
        <v>0.1</v>
      </c>
      <c r="E22316" s="5">
        <v>110.5</v>
      </c>
      <c r="F22316" s="5">
        <v>220.4</v>
      </c>
      <c r="G22316" s="5">
        <v>110</v>
      </c>
      <c r="H22316" s="5">
        <v>109.8</v>
      </c>
      <c r="I22316" s="5"/>
      <c r="J22316" s="5"/>
      <c r="K22316" s="5"/>
    </row>
    <row r="22317" spans="1:11" x14ac:dyDescent="0.25">
      <c r="A22317" s="5">
        <f>22310</f>
      </c>
      <c r="B22317" s="5" t="s">
        <v>22325</v>
      </c>
      <c r="C22317" s="5">
        <v>109.8</v>
      </c>
      <c r="D22317" s="5">
        <v>0.1</v>
      </c>
      <c r="E22317" s="5">
        <v>110</v>
      </c>
      <c r="F22317" s="5">
        <v>219.5</v>
      </c>
      <c r="G22317" s="5">
        <v>109.6</v>
      </c>
      <c r="H22317" s="5">
        <v>109.5</v>
      </c>
      <c r="I22317" s="5"/>
      <c r="J22317" s="5"/>
      <c r="K22317" s="5"/>
    </row>
    <row r="22318" spans="1:11" x14ac:dyDescent="0.25">
      <c r="A22318" s="5">
        <f>22311</f>
      </c>
      <c r="B22318" s="5" t="s">
        <v>22326</v>
      </c>
      <c r="C22318" s="5">
        <v>109.8</v>
      </c>
      <c r="D22318" s="5">
        <v>0.1</v>
      </c>
      <c r="E22318" s="5">
        <v>110</v>
      </c>
      <c r="F22318" s="5">
        <v>219.5</v>
      </c>
      <c r="G22318" s="5">
        <v>109.6</v>
      </c>
      <c r="H22318" s="5">
        <v>109.5</v>
      </c>
      <c r="I22318" s="5"/>
      <c r="J22318" s="5"/>
      <c r="K22318" s="5"/>
    </row>
    <row r="22319" spans="1:11" x14ac:dyDescent="0.25">
      <c r="A22319" s="5">
        <f>22312</f>
      </c>
      <c r="B22319" s="5" t="s">
        <v>22327</v>
      </c>
      <c r="C22319" s="5">
        <v>109.7</v>
      </c>
      <c r="D22319" s="5">
        <v>0.1</v>
      </c>
      <c r="E22319" s="5">
        <v>109.9</v>
      </c>
      <c r="F22319" s="5">
        <v>219.4</v>
      </c>
      <c r="G22319" s="5">
        <v>109.6</v>
      </c>
      <c r="H22319" s="5">
        <v>109.5</v>
      </c>
      <c r="I22319" s="5"/>
      <c r="J22319" s="5"/>
      <c r="K22319" s="5"/>
    </row>
    <row r="22320" spans="1:11" x14ac:dyDescent="0.25">
      <c r="A22320" s="5">
        <f>22313</f>
      </c>
      <c r="B22320" s="5" t="s">
        <v>22328</v>
      </c>
      <c r="C22320" s="5">
        <v>109.7</v>
      </c>
      <c r="D22320" s="5">
        <v>0.1</v>
      </c>
      <c r="E22320" s="5">
        <v>109.9</v>
      </c>
      <c r="F22320" s="5">
        <v>219.4</v>
      </c>
      <c r="G22320" s="5">
        <v>109.5</v>
      </c>
      <c r="H22320" s="5">
        <v>109.4</v>
      </c>
      <c r="I22320" s="5"/>
      <c r="J22320" s="5"/>
      <c r="K22320" s="5"/>
    </row>
    <row r="22321" spans="1:11" x14ac:dyDescent="0.25">
      <c r="A22321" s="5">
        <f>22314</f>
      </c>
      <c r="B22321" s="5" t="s">
        <v>22329</v>
      </c>
      <c r="C22321" s="5">
        <v>109.6</v>
      </c>
      <c r="D22321" s="5">
        <v>0.1</v>
      </c>
      <c r="E22321" s="5">
        <v>109.9</v>
      </c>
      <c r="F22321" s="5">
        <v>219.4</v>
      </c>
      <c r="G22321" s="5">
        <v>109.5</v>
      </c>
      <c r="H22321" s="5">
        <v>109.4</v>
      </c>
      <c r="I22321" s="5"/>
      <c r="J22321" s="5"/>
      <c r="K22321" s="5"/>
    </row>
    <row r="22322" spans="1:11" x14ac:dyDescent="0.25">
      <c r="A22322" s="5">
        <f>22315</f>
      </c>
      <c r="B22322" s="5" t="s">
        <v>22330</v>
      </c>
      <c r="C22322" s="5">
        <v>109.6</v>
      </c>
      <c r="D22322" s="5">
        <v>0.1</v>
      </c>
      <c r="E22322" s="5">
        <v>109.7</v>
      </c>
      <c r="F22322" s="5">
        <v>219.8</v>
      </c>
      <c r="G22322" s="5">
        <v>109.7</v>
      </c>
      <c r="H22322" s="5">
        <v>109.5</v>
      </c>
      <c r="I22322" s="5"/>
      <c r="J22322" s="5"/>
      <c r="K22322" s="5"/>
    </row>
    <row r="22323" spans="1:11" x14ac:dyDescent="0.25">
      <c r="A22323" s="5">
        <f>22316</f>
      </c>
      <c r="B22323" s="5" t="s">
        <v>22331</v>
      </c>
      <c r="C22323" s="5">
        <v>109.6</v>
      </c>
      <c r="D22323" s="5">
        <v>0.1</v>
      </c>
      <c r="E22323" s="5">
        <v>109.7</v>
      </c>
      <c r="F22323" s="5">
        <v>219.8</v>
      </c>
      <c r="G22323" s="5">
        <v>109.7</v>
      </c>
      <c r="H22323" s="5">
        <v>109.5</v>
      </c>
      <c r="I22323" s="5"/>
      <c r="J22323" s="5"/>
      <c r="K22323" s="5"/>
    </row>
    <row r="22324" spans="1:11" x14ac:dyDescent="0.25">
      <c r="A22324" s="5">
        <f>22317</f>
      </c>
      <c r="B22324" s="5" t="s">
        <v>22332</v>
      </c>
      <c r="C22324" s="5">
        <v>109.9</v>
      </c>
      <c r="D22324" s="5">
        <v>0.1</v>
      </c>
      <c r="E22324" s="5">
        <v>110.1</v>
      </c>
      <c r="F22324" s="5">
        <v>219.1</v>
      </c>
      <c r="G22324" s="5">
        <v>109.3</v>
      </c>
      <c r="H22324" s="5">
        <v>109.2</v>
      </c>
      <c r="I22324" s="5"/>
      <c r="J22324" s="5"/>
      <c r="K22324" s="5"/>
    </row>
    <row r="22325" spans="1:11" x14ac:dyDescent="0.25">
      <c r="A22325" s="5">
        <f>22318</f>
      </c>
      <c r="B22325" s="5" t="s">
        <v>22333</v>
      </c>
      <c r="C22325" s="5">
        <v>109.9</v>
      </c>
      <c r="D22325" s="5">
        <v>0.1</v>
      </c>
      <c r="E22325" s="5">
        <v>110.1</v>
      </c>
      <c r="F22325" s="5">
        <v>219.1</v>
      </c>
      <c r="G22325" s="5">
        <v>109.3</v>
      </c>
      <c r="H22325" s="5">
        <v>109.2</v>
      </c>
      <c r="I22325" s="5"/>
      <c r="J22325" s="5"/>
      <c r="K22325" s="5"/>
    </row>
    <row r="22326" spans="1:11" x14ac:dyDescent="0.25">
      <c r="A22326" s="5">
        <f>22319</f>
      </c>
      <c r="B22326" s="5" t="s">
        <v>22334</v>
      </c>
      <c r="C22326" s="5">
        <v>109.9</v>
      </c>
      <c r="D22326" s="5">
        <v>0.1</v>
      </c>
      <c r="E22326" s="5">
        <v>110.1</v>
      </c>
      <c r="F22326" s="5">
        <v>219.1</v>
      </c>
      <c r="G22326" s="5">
        <v>109.3</v>
      </c>
      <c r="H22326" s="5">
        <v>109.2</v>
      </c>
      <c r="I22326" s="5"/>
      <c r="J22326" s="5"/>
      <c r="K22326" s="5"/>
    </row>
    <row r="22327" spans="1:11" x14ac:dyDescent="0.25">
      <c r="A22327" s="5">
        <f>22320</f>
      </c>
      <c r="B22327" s="5" t="s">
        <v>22335</v>
      </c>
      <c r="C22327" s="5">
        <v>109.9</v>
      </c>
      <c r="D22327" s="5">
        <v>0.1</v>
      </c>
      <c r="E22327" s="5">
        <v>110.1</v>
      </c>
      <c r="F22327" s="5">
        <v>219.1</v>
      </c>
      <c r="G22327" s="5">
        <v>109.3</v>
      </c>
      <c r="H22327" s="5">
        <v>109.2</v>
      </c>
      <c r="I22327" s="5"/>
      <c r="J22327" s="5"/>
      <c r="K22327" s="5"/>
    </row>
    <row r="22328" spans="1:11" x14ac:dyDescent="0.25">
      <c r="A22328" s="5">
        <f>22321</f>
      </c>
      <c r="B22328" s="5" t="s">
        <v>22336</v>
      </c>
      <c r="C22328" s="5">
        <v>110.1</v>
      </c>
      <c r="D22328" s="5">
        <v>0.1</v>
      </c>
      <c r="E22328" s="5">
        <v>110.2</v>
      </c>
      <c r="F22328" s="5">
        <v>220.2</v>
      </c>
      <c r="G22328" s="5">
        <v>109.9</v>
      </c>
      <c r="H22328" s="5">
        <v>109.7</v>
      </c>
      <c r="I22328" s="5"/>
      <c r="J22328" s="5"/>
      <c r="K22328" s="5"/>
    </row>
    <row r="22329" spans="1:11" x14ac:dyDescent="0.25">
      <c r="A22329" s="5">
        <f>22322</f>
      </c>
      <c r="B22329" s="5" t="s">
        <v>22337</v>
      </c>
      <c r="C22329" s="5">
        <v>110.1</v>
      </c>
      <c r="D22329" s="5">
        <v>0.1</v>
      </c>
      <c r="E22329" s="5">
        <v>110.2</v>
      </c>
      <c r="F22329" s="5">
        <v>220.2</v>
      </c>
      <c r="G22329" s="5">
        <v>109.9</v>
      </c>
      <c r="H22329" s="5">
        <v>109.7</v>
      </c>
      <c r="I22329" s="5"/>
      <c r="J22329" s="5"/>
      <c r="K22329" s="5"/>
    </row>
    <row r="22330" spans="1:11" x14ac:dyDescent="0.25">
      <c r="A22330" s="5">
        <f>22323</f>
      </c>
      <c r="B22330" s="5" t="s">
        <v>22338</v>
      </c>
      <c r="C22330" s="5">
        <v>110.5</v>
      </c>
      <c r="D22330" s="5">
        <v>0.1</v>
      </c>
      <c r="E22330" s="5">
        <v>110.7</v>
      </c>
      <c r="F22330" s="5">
        <v>220.7</v>
      </c>
      <c r="G22330" s="5">
        <v>110.2</v>
      </c>
      <c r="H22330" s="5">
        <v>110</v>
      </c>
      <c r="I22330" s="5"/>
      <c r="J22330" s="5"/>
      <c r="K22330" s="5"/>
    </row>
    <row r="22331" spans="1:11" x14ac:dyDescent="0.25">
      <c r="A22331" s="5">
        <f>22324</f>
      </c>
      <c r="B22331" s="5" t="s">
        <v>22339</v>
      </c>
      <c r="C22331" s="5">
        <v>110.5</v>
      </c>
      <c r="D22331" s="5">
        <v>0.1</v>
      </c>
      <c r="E22331" s="5">
        <v>110.7</v>
      </c>
      <c r="F22331" s="5">
        <v>220.7</v>
      </c>
      <c r="G22331" s="5">
        <v>110.2</v>
      </c>
      <c r="H22331" s="5">
        <v>110</v>
      </c>
      <c r="I22331" s="5"/>
      <c r="J22331" s="5"/>
      <c r="K22331" s="5"/>
    </row>
    <row r="22332" spans="1:11" x14ac:dyDescent="0.25">
      <c r="A22332" s="5">
        <f>22325</f>
      </c>
      <c r="B22332" s="5" t="s">
        <v>22340</v>
      </c>
      <c r="C22332" s="5">
        <v>110.1</v>
      </c>
      <c r="D22332" s="5">
        <v>0.1</v>
      </c>
      <c r="E22332" s="5">
        <v>110.2</v>
      </c>
      <c r="F22332" s="5">
        <v>219.6</v>
      </c>
      <c r="G22332" s="5">
        <v>109.6</v>
      </c>
      <c r="H22332" s="5">
        <v>109.5</v>
      </c>
      <c r="I22332" s="5"/>
      <c r="J22332" s="5"/>
      <c r="K22332" s="5"/>
    </row>
    <row r="22333" spans="1:11" x14ac:dyDescent="0.25">
      <c r="A22333" s="5">
        <f>22326</f>
      </c>
      <c r="B22333" s="5" t="s">
        <v>22341</v>
      </c>
      <c r="C22333" s="5">
        <v>110.1</v>
      </c>
      <c r="D22333" s="5">
        <v>0.1</v>
      </c>
      <c r="E22333" s="5">
        <v>110.2</v>
      </c>
      <c r="F22333" s="5">
        <v>219.6</v>
      </c>
      <c r="G22333" s="5">
        <v>109.6</v>
      </c>
      <c r="H22333" s="5">
        <v>109.5</v>
      </c>
      <c r="I22333" s="5"/>
      <c r="J22333" s="5"/>
      <c r="K22333" s="5"/>
    </row>
    <row r="22334" spans="1:11" x14ac:dyDescent="0.25">
      <c r="A22334" s="5">
        <f>22327</f>
      </c>
      <c r="B22334" s="5" t="s">
        <v>22342</v>
      </c>
      <c r="C22334" s="5">
        <v>109</v>
      </c>
      <c r="D22334" s="5">
        <v>0.1</v>
      </c>
      <c r="E22334" s="5">
        <v>109.1</v>
      </c>
      <c r="F22334" s="5">
        <v>218.1</v>
      </c>
      <c r="G22334" s="5">
        <v>108.8</v>
      </c>
      <c r="H22334" s="5">
        <v>108.6</v>
      </c>
      <c r="I22334" s="5"/>
      <c r="J22334" s="5"/>
      <c r="K22334" s="5"/>
    </row>
    <row r="22335" spans="1:11" x14ac:dyDescent="0.25">
      <c r="A22335" s="5">
        <f>22328</f>
      </c>
      <c r="B22335" s="5" t="s">
        <v>22343</v>
      </c>
      <c r="C22335" s="5">
        <v>109</v>
      </c>
      <c r="D22335" s="5">
        <v>0.1</v>
      </c>
      <c r="E22335" s="5">
        <v>109.1</v>
      </c>
      <c r="F22335" s="5">
        <v>218.1</v>
      </c>
      <c r="G22335" s="5">
        <v>108.8</v>
      </c>
      <c r="H22335" s="5">
        <v>108.6</v>
      </c>
      <c r="I22335" s="5"/>
      <c r="J22335" s="5"/>
      <c r="K22335" s="5"/>
    </row>
    <row r="22336" spans="1:11" x14ac:dyDescent="0.25">
      <c r="A22336" s="5">
        <f>22329</f>
      </c>
      <c r="B22336" s="5" t="s">
        <v>22344</v>
      </c>
      <c r="C22336" s="5">
        <v>109</v>
      </c>
      <c r="D22336" s="5">
        <v>0.1</v>
      </c>
      <c r="E22336" s="5">
        <v>109.1</v>
      </c>
      <c r="F22336" s="5">
        <v>218.1</v>
      </c>
      <c r="G22336" s="5">
        <v>108.8</v>
      </c>
      <c r="H22336" s="5">
        <v>108.6</v>
      </c>
      <c r="I22336" s="5"/>
      <c r="J22336" s="5"/>
      <c r="K22336" s="5"/>
    </row>
    <row r="22337" spans="1:11" x14ac:dyDescent="0.25">
      <c r="A22337" s="5">
        <f>22330</f>
      </c>
      <c r="B22337" s="5" t="s">
        <v>22345</v>
      </c>
      <c r="C22337" s="5">
        <v>109.4</v>
      </c>
      <c r="D22337" s="5">
        <v>0.1</v>
      </c>
      <c r="E22337" s="5">
        <v>109.6</v>
      </c>
      <c r="F22337" s="5">
        <v>218.3</v>
      </c>
      <c r="G22337" s="5">
        <v>109</v>
      </c>
      <c r="H22337" s="5">
        <v>108.9</v>
      </c>
      <c r="I22337" s="5"/>
      <c r="J22337" s="5"/>
      <c r="K22337" s="5"/>
    </row>
    <row r="22338" spans="1:11" x14ac:dyDescent="0.25">
      <c r="A22338" s="5">
        <f>22331</f>
      </c>
      <c r="B22338" s="5" t="s">
        <v>22346</v>
      </c>
      <c r="C22338" s="5">
        <v>109.4</v>
      </c>
      <c r="D22338" s="5">
        <v>0.1</v>
      </c>
      <c r="E22338" s="5">
        <v>109.6</v>
      </c>
      <c r="F22338" s="5">
        <v>218.3</v>
      </c>
      <c r="G22338" s="5">
        <v>109</v>
      </c>
      <c r="H22338" s="5">
        <v>108.9</v>
      </c>
      <c r="I22338" s="5"/>
      <c r="J22338" s="5"/>
      <c r="K22338" s="5"/>
    </row>
    <row r="22339" spans="1:11" x14ac:dyDescent="0.25">
      <c r="A22339" s="5">
        <f>22332</f>
      </c>
      <c r="B22339" s="5" t="s">
        <v>22347</v>
      </c>
      <c r="C22339" s="5">
        <v>109.4</v>
      </c>
      <c r="D22339" s="5">
        <v>0.1</v>
      </c>
      <c r="E22339" s="5">
        <v>109.7</v>
      </c>
      <c r="F22339" s="5">
        <v>218.8</v>
      </c>
      <c r="G22339" s="5">
        <v>109.2</v>
      </c>
      <c r="H22339" s="5">
        <v>109.1</v>
      </c>
      <c r="I22339" s="5"/>
      <c r="J22339" s="5"/>
      <c r="K22339" s="5"/>
    </row>
    <row r="22340" spans="1:11" x14ac:dyDescent="0.25">
      <c r="A22340" s="5">
        <f>22333</f>
      </c>
      <c r="B22340" s="5" t="s">
        <v>22348</v>
      </c>
      <c r="C22340" s="5">
        <v>109.4</v>
      </c>
      <c r="D22340" s="5">
        <v>0.1</v>
      </c>
      <c r="E22340" s="5">
        <v>109.7</v>
      </c>
      <c r="F22340" s="5">
        <v>218.8</v>
      </c>
      <c r="G22340" s="5">
        <v>109.2</v>
      </c>
      <c r="H22340" s="5">
        <v>109.1</v>
      </c>
      <c r="I22340" s="5"/>
      <c r="J22340" s="5"/>
      <c r="K22340" s="5"/>
    </row>
    <row r="22341" spans="1:11" x14ac:dyDescent="0.25">
      <c r="A22341" s="5">
        <f>22334</f>
      </c>
      <c r="B22341" s="5" t="s">
        <v>22349</v>
      </c>
      <c r="C22341" s="5">
        <v>109.4</v>
      </c>
      <c r="D22341" s="5">
        <v>0.1</v>
      </c>
      <c r="E22341" s="5">
        <v>109.5</v>
      </c>
      <c r="F22341" s="5">
        <v>217.2</v>
      </c>
      <c r="G22341" s="5">
        <v>108.5</v>
      </c>
      <c r="H22341" s="5">
        <v>108.5</v>
      </c>
      <c r="I22341" s="5"/>
      <c r="J22341" s="5"/>
      <c r="K22341" s="5"/>
    </row>
    <row r="22342" spans="1:11" x14ac:dyDescent="0.25">
      <c r="A22342" s="5">
        <f>22335</f>
      </c>
      <c r="B22342" s="5" t="s">
        <v>22350</v>
      </c>
      <c r="C22342" s="5">
        <v>109.4</v>
      </c>
      <c r="D22342" s="5">
        <v>0.1</v>
      </c>
      <c r="E22342" s="5">
        <v>109.5</v>
      </c>
      <c r="F22342" s="5">
        <v>217.2</v>
      </c>
      <c r="G22342" s="5">
        <v>108.5</v>
      </c>
      <c r="H22342" s="5">
        <v>108.5</v>
      </c>
      <c r="I22342" s="5"/>
      <c r="J22342" s="5"/>
      <c r="K22342" s="5"/>
    </row>
    <row r="22343" spans="1:11" x14ac:dyDescent="0.25">
      <c r="A22343" s="5">
        <f>22336</f>
      </c>
      <c r="B22343" s="5" t="s">
        <v>22351</v>
      </c>
      <c r="C22343" s="5">
        <v>109.4</v>
      </c>
      <c r="D22343" s="5">
        <v>0.1</v>
      </c>
      <c r="E22343" s="5">
        <v>108.5</v>
      </c>
      <c r="F22343" s="5">
        <v>216.7</v>
      </c>
      <c r="G22343" s="5">
        <v>108.1</v>
      </c>
      <c r="H22343" s="5">
        <v>108</v>
      </c>
      <c r="I22343" s="5"/>
      <c r="J22343" s="5"/>
      <c r="K22343" s="5"/>
    </row>
    <row r="22344" spans="1:11" x14ac:dyDescent="0.25">
      <c r="A22344" s="5">
        <f>22337</f>
      </c>
      <c r="B22344" s="5" t="s">
        <v>22352</v>
      </c>
      <c r="C22344" s="5">
        <v>108.5</v>
      </c>
      <c r="D22344" s="5">
        <v>0.1</v>
      </c>
      <c r="E22344" s="5">
        <v>108.5</v>
      </c>
      <c r="F22344" s="5">
        <v>216.7</v>
      </c>
      <c r="G22344" s="5">
        <v>108.1</v>
      </c>
      <c r="H22344" s="5">
        <v>108</v>
      </c>
      <c r="I22344" s="5"/>
      <c r="J22344" s="5"/>
      <c r="K22344" s="5"/>
    </row>
    <row r="22345" spans="1:11" x14ac:dyDescent="0.25">
      <c r="A22345" s="5">
        <f>22338</f>
      </c>
      <c r="B22345" s="5" t="s">
        <v>22353</v>
      </c>
      <c r="C22345" s="5">
        <v>108.5</v>
      </c>
      <c r="D22345" s="5">
        <v>0.1</v>
      </c>
      <c r="E22345" s="5">
        <v>108.5</v>
      </c>
      <c r="F22345" s="5">
        <v>216.7</v>
      </c>
      <c r="G22345" s="5">
        <v>108.1</v>
      </c>
      <c r="H22345" s="5">
        <v>108</v>
      </c>
      <c r="I22345" s="5"/>
      <c r="J22345" s="5"/>
      <c r="K22345" s="5"/>
    </row>
    <row r="22346" spans="1:11" x14ac:dyDescent="0.25">
      <c r="A22346" s="5">
        <f>22339</f>
      </c>
      <c r="B22346" s="5" t="s">
        <v>22354</v>
      </c>
      <c r="C22346" s="5">
        <v>108.5</v>
      </c>
      <c r="D22346" s="5">
        <v>0.1</v>
      </c>
      <c r="E22346" s="5">
        <v>108.5</v>
      </c>
      <c r="F22346" s="5">
        <v>216.7</v>
      </c>
      <c r="G22346" s="5">
        <v>108.1</v>
      </c>
      <c r="H22346" s="5">
        <v>108</v>
      </c>
      <c r="I22346" s="5"/>
      <c r="J22346" s="5"/>
      <c r="K22346" s="5"/>
    </row>
    <row r="22347" spans="1:11" x14ac:dyDescent="0.25">
      <c r="A22347" s="5">
        <f>22340</f>
      </c>
      <c r="B22347" s="5" t="s">
        <v>22355</v>
      </c>
      <c r="C22347" s="5">
        <v>107.6</v>
      </c>
      <c r="D22347" s="5">
        <v>0.1</v>
      </c>
      <c r="E22347" s="5">
        <v>107.8</v>
      </c>
      <c r="F22347" s="5">
        <v>215.1</v>
      </c>
      <c r="G22347" s="5">
        <v>107.4</v>
      </c>
      <c r="H22347" s="5">
        <v>107.2</v>
      </c>
      <c r="I22347" s="5"/>
      <c r="J22347" s="5"/>
      <c r="K22347" s="5"/>
    </row>
    <row r="22348" spans="1:11" x14ac:dyDescent="0.25">
      <c r="A22348" s="5">
        <f>22341</f>
      </c>
      <c r="B22348" s="5" t="s">
        <v>22356</v>
      </c>
      <c r="C22348" s="5">
        <v>107.6</v>
      </c>
      <c r="D22348" s="5">
        <v>0.1</v>
      </c>
      <c r="E22348" s="5">
        <v>107.8</v>
      </c>
      <c r="F22348" s="5">
        <v>215.1</v>
      </c>
      <c r="G22348" s="5">
        <v>107.4</v>
      </c>
      <c r="H22348" s="5">
        <v>107.2</v>
      </c>
      <c r="I22348" s="5"/>
      <c r="J22348" s="5"/>
      <c r="K22348" s="5"/>
    </row>
    <row r="22349" spans="1:11" x14ac:dyDescent="0.25">
      <c r="A22349" s="5">
        <f>22342</f>
      </c>
      <c r="B22349" s="5" t="s">
        <v>22357</v>
      </c>
      <c r="C22349" s="5">
        <v>108.9</v>
      </c>
      <c r="D22349" s="5">
        <v>0.1</v>
      </c>
      <c r="E22349" s="5">
        <v>109.1</v>
      </c>
      <c r="F22349" s="5">
        <v>218</v>
      </c>
      <c r="G22349" s="5">
        <v>108.8</v>
      </c>
      <c r="H22349" s="5">
        <v>108.6</v>
      </c>
      <c r="I22349" s="5"/>
      <c r="J22349" s="5"/>
      <c r="K22349" s="5"/>
    </row>
    <row r="22350" spans="1:11" x14ac:dyDescent="0.25">
      <c r="A22350" s="5">
        <f>22343</f>
      </c>
      <c r="B22350" s="5" t="s">
        <v>22358</v>
      </c>
      <c r="C22350" s="5">
        <v>108.9</v>
      </c>
      <c r="D22350" s="5">
        <v>0.1</v>
      </c>
      <c r="E22350" s="5">
        <v>109.1</v>
      </c>
      <c r="F22350" s="5">
        <v>218</v>
      </c>
      <c r="G22350" s="5">
        <v>108.8</v>
      </c>
      <c r="H22350" s="5">
        <v>108.6</v>
      </c>
      <c r="I22350" s="5"/>
      <c r="J22350" s="5"/>
      <c r="K22350" s="5"/>
    </row>
    <row r="22351" spans="1:11" x14ac:dyDescent="0.25">
      <c r="A22351" s="5">
        <f>22344</f>
      </c>
      <c r="B22351" s="5" t="s">
        <v>22359</v>
      </c>
      <c r="C22351" s="5">
        <v>108.9</v>
      </c>
      <c r="D22351" s="5">
        <v>0.1</v>
      </c>
      <c r="E22351" s="5">
        <v>109.1</v>
      </c>
      <c r="F22351" s="5">
        <v>218</v>
      </c>
      <c r="G22351" s="5">
        <v>108.8</v>
      </c>
      <c r="H22351" s="5">
        <v>108.7</v>
      </c>
      <c r="I22351" s="5"/>
      <c r="J22351" s="5"/>
      <c r="K22351" s="5"/>
    </row>
    <row r="22352" spans="1:11" x14ac:dyDescent="0.25">
      <c r="A22352" s="5">
        <f>22345</f>
      </c>
      <c r="B22352" s="5" t="s">
        <v>22360</v>
      </c>
      <c r="C22352" s="5">
        <v>108.9</v>
      </c>
      <c r="D22352" s="5">
        <v>0.1</v>
      </c>
      <c r="E22352" s="5">
        <v>109.1</v>
      </c>
      <c r="F22352" s="5">
        <v>218</v>
      </c>
      <c r="G22352" s="5">
        <v>108.8</v>
      </c>
      <c r="H22352" s="5">
        <v>108.7</v>
      </c>
      <c r="I22352" s="5"/>
      <c r="J22352" s="5"/>
      <c r="K22352" s="5"/>
    </row>
    <row r="22353" spans="1:11" x14ac:dyDescent="0.25">
      <c r="A22353" s="5">
        <f>22346</f>
      </c>
      <c r="B22353" s="5" t="s">
        <v>22361</v>
      </c>
      <c r="C22353" s="5">
        <v>108.3</v>
      </c>
      <c r="D22353" s="5">
        <v>0.1</v>
      </c>
      <c r="E22353" s="5">
        <v>108.5</v>
      </c>
      <c r="F22353" s="5">
        <v>217.5</v>
      </c>
      <c r="G22353" s="5">
        <v>108.5</v>
      </c>
      <c r="H22353" s="5">
        <v>108.3</v>
      </c>
      <c r="I22353" s="5"/>
      <c r="J22353" s="5"/>
      <c r="K22353" s="5"/>
    </row>
    <row r="22354" spans="1:11" x14ac:dyDescent="0.25">
      <c r="A22354" s="5">
        <f>22347</f>
      </c>
      <c r="B22354" s="5" t="s">
        <v>22362</v>
      </c>
      <c r="C22354" s="5">
        <v>108.3</v>
      </c>
      <c r="D22354" s="5">
        <v>0.1</v>
      </c>
      <c r="E22354" s="5">
        <v>108.5</v>
      </c>
      <c r="F22354" s="5">
        <v>217.5</v>
      </c>
      <c r="G22354" s="5">
        <v>108.5</v>
      </c>
      <c r="H22354" s="5">
        <v>108.3</v>
      </c>
      <c r="I22354" s="5"/>
      <c r="J22354" s="5"/>
      <c r="K22354" s="5"/>
    </row>
    <row r="22355" spans="1:11" x14ac:dyDescent="0.25">
      <c r="A22355" s="5">
        <f>22348</f>
      </c>
      <c r="B22355" s="5" t="s">
        <v>22363</v>
      </c>
      <c r="C22355" s="5">
        <v>108.3</v>
      </c>
      <c r="D22355" s="5">
        <v>0.1</v>
      </c>
      <c r="E22355" s="5">
        <v>108.5</v>
      </c>
      <c r="F22355" s="5">
        <v>217.5</v>
      </c>
      <c r="G22355" s="5">
        <v>108.5</v>
      </c>
      <c r="H22355" s="5">
        <v>108.3</v>
      </c>
      <c r="I22355" s="5"/>
      <c r="J22355" s="5"/>
      <c r="K22355" s="5"/>
    </row>
    <row r="22356" spans="1:11" x14ac:dyDescent="0.25">
      <c r="A22356" s="5">
        <f>22349</f>
      </c>
      <c r="B22356" s="5" t="s">
        <v>22364</v>
      </c>
      <c r="C22356" s="5">
        <v>108.3</v>
      </c>
      <c r="D22356" s="5">
        <v>0.1</v>
      </c>
      <c r="E22356" s="5">
        <v>108.5</v>
      </c>
      <c r="F22356" s="5">
        <v>217.5</v>
      </c>
      <c r="G22356" s="5">
        <v>108.5</v>
      </c>
      <c r="H22356" s="5">
        <v>108.3</v>
      </c>
      <c r="I22356" s="5"/>
      <c r="J22356" s="5"/>
      <c r="K22356" s="5"/>
    </row>
    <row r="22357" spans="1:11" x14ac:dyDescent="0.25">
      <c r="A22357" s="5">
        <f>22350</f>
      </c>
      <c r="B22357" s="5" t="s">
        <v>22365</v>
      </c>
      <c r="C22357" s="5">
        <v>108.8</v>
      </c>
      <c r="D22357" s="5">
        <v>0.1</v>
      </c>
      <c r="E22357" s="5">
        <v>108.9</v>
      </c>
      <c r="F22357" s="5">
        <v>217.2</v>
      </c>
      <c r="G22357" s="5">
        <v>108.4</v>
      </c>
      <c r="H22357" s="5">
        <v>108.3</v>
      </c>
      <c r="I22357" s="5"/>
      <c r="J22357" s="5"/>
      <c r="K22357" s="5"/>
    </row>
    <row r="22358" spans="1:11" x14ac:dyDescent="0.25">
      <c r="A22358" s="5">
        <f>22351</f>
      </c>
      <c r="B22358" s="5" t="s">
        <v>22366</v>
      </c>
      <c r="C22358" s="5">
        <v>108.8</v>
      </c>
      <c r="D22358" s="5">
        <v>0.1</v>
      </c>
      <c r="E22358" s="5">
        <v>108.9</v>
      </c>
      <c r="F22358" s="5">
        <v>217.2</v>
      </c>
      <c r="G22358" s="5">
        <v>108.4</v>
      </c>
      <c r="H22358" s="5">
        <v>108.3</v>
      </c>
      <c r="I22358" s="5"/>
      <c r="J22358" s="5"/>
      <c r="K22358" s="5"/>
    </row>
    <row r="22359" spans="1:11" x14ac:dyDescent="0.25">
      <c r="A22359" s="5">
        <f>22352</f>
      </c>
      <c r="B22359" s="5" t="s">
        <v>22367</v>
      </c>
      <c r="C22359" s="5">
        <v>109.4</v>
      </c>
      <c r="D22359" s="5">
        <v>0.1</v>
      </c>
      <c r="E22359" s="5">
        <v>109.5</v>
      </c>
      <c r="F22359" s="5">
        <v>217.9</v>
      </c>
      <c r="G22359" s="5">
        <v>108.8</v>
      </c>
      <c r="H22359" s="5">
        <v>108.7</v>
      </c>
      <c r="I22359" s="5"/>
      <c r="J22359" s="5"/>
      <c r="K22359" s="5"/>
    </row>
    <row r="22360" spans="1:11" x14ac:dyDescent="0.25">
      <c r="A22360" s="5">
        <f>22353</f>
      </c>
      <c r="B22360" s="5" t="s">
        <v>22368</v>
      </c>
      <c r="C22360" s="5">
        <v>109.4</v>
      </c>
      <c r="D22360" s="5">
        <v>0.1</v>
      </c>
      <c r="E22360" s="5">
        <v>109.5</v>
      </c>
      <c r="F22360" s="5">
        <v>217.9</v>
      </c>
      <c r="G22360" s="5">
        <v>108.8</v>
      </c>
      <c r="H22360" s="5">
        <v>108.7</v>
      </c>
      <c r="I22360" s="5"/>
      <c r="J22360" s="5"/>
      <c r="K22360" s="5"/>
    </row>
    <row r="22361" spans="1:11" x14ac:dyDescent="0.25">
      <c r="A22361" s="5">
        <f>22354</f>
      </c>
      <c r="B22361" s="5" t="s">
        <v>22369</v>
      </c>
      <c r="C22361" s="5">
        <v>109.3</v>
      </c>
      <c r="D22361" s="5">
        <v>0.1</v>
      </c>
      <c r="E22361" s="5">
        <v>109.4</v>
      </c>
      <c r="F22361" s="5">
        <v>217.8</v>
      </c>
      <c r="G22361" s="5">
        <v>108.7</v>
      </c>
      <c r="H22361" s="5">
        <v>108.6</v>
      </c>
      <c r="I22361" s="5"/>
      <c r="J22361" s="5"/>
      <c r="K22361" s="5"/>
    </row>
    <row r="22362" spans="1:11" x14ac:dyDescent="0.25">
      <c r="A22362" s="5">
        <f>22355</f>
      </c>
      <c r="B22362" s="5" t="s">
        <v>22370</v>
      </c>
      <c r="C22362" s="5">
        <v>109.3</v>
      </c>
      <c r="D22362" s="5">
        <v>0.1</v>
      </c>
      <c r="E22362" s="5">
        <v>109.4</v>
      </c>
      <c r="F22362" s="5">
        <v>217.8</v>
      </c>
      <c r="G22362" s="5">
        <v>108.7</v>
      </c>
      <c r="H22362" s="5">
        <v>108.6</v>
      </c>
      <c r="I22362" s="5"/>
      <c r="J22362" s="5"/>
      <c r="K22362" s="5"/>
    </row>
    <row r="22363" spans="1:11" x14ac:dyDescent="0.25">
      <c r="A22363" s="5">
        <f>22356</f>
      </c>
      <c r="B22363" s="5" t="s">
        <v>22371</v>
      </c>
      <c r="C22363" s="5">
        <v>109.7</v>
      </c>
      <c r="D22363" s="5">
        <v>0.1</v>
      </c>
      <c r="E22363" s="5">
        <v>109.9</v>
      </c>
      <c r="F22363" s="5">
        <v>218.7</v>
      </c>
      <c r="G22363" s="5">
        <v>109.2</v>
      </c>
      <c r="H22363" s="5">
        <v>109</v>
      </c>
      <c r="I22363" s="5"/>
      <c r="J22363" s="5"/>
      <c r="K22363" s="5"/>
    </row>
    <row r="22364" spans="1:11" x14ac:dyDescent="0.25">
      <c r="A22364" s="5">
        <f>22357</f>
      </c>
      <c r="B22364" s="5" t="s">
        <v>22372</v>
      </c>
      <c r="C22364" s="5">
        <v>109.7</v>
      </c>
      <c r="D22364" s="5">
        <v>0.1</v>
      </c>
      <c r="E22364" s="5">
        <v>109.9</v>
      </c>
      <c r="F22364" s="5">
        <v>218.7</v>
      </c>
      <c r="G22364" s="5">
        <v>109.2</v>
      </c>
      <c r="H22364" s="5">
        <v>109</v>
      </c>
      <c r="I22364" s="5"/>
      <c r="J22364" s="5"/>
      <c r="K22364" s="5"/>
    </row>
    <row r="22365" spans="1:11" x14ac:dyDescent="0.25">
      <c r="A22365" s="5">
        <f>22358</f>
      </c>
      <c r="B22365" s="5" t="s">
        <v>22373</v>
      </c>
      <c r="C22365" s="5">
        <v>109.7</v>
      </c>
      <c r="D22365" s="5">
        <v>0.1</v>
      </c>
      <c r="E22365" s="5">
        <v>109.9</v>
      </c>
      <c r="F22365" s="5">
        <v>218.7</v>
      </c>
      <c r="G22365" s="5">
        <v>109.2</v>
      </c>
      <c r="H22365" s="5">
        <v>109</v>
      </c>
      <c r="I22365" s="5"/>
      <c r="J22365" s="5"/>
      <c r="K22365" s="5"/>
    </row>
    <row r="22366" spans="1:11" x14ac:dyDescent="0.25">
      <c r="A22366" s="5">
        <f>22359</f>
      </c>
      <c r="B22366" s="5" t="s">
        <v>22374</v>
      </c>
      <c r="C22366" s="5">
        <v>109.7</v>
      </c>
      <c r="D22366" s="5">
        <v>0.1</v>
      </c>
      <c r="E22366" s="5">
        <v>109.9</v>
      </c>
      <c r="F22366" s="5">
        <v>218.7</v>
      </c>
      <c r="G22366" s="5">
        <v>109.2</v>
      </c>
      <c r="H22366" s="5">
        <v>109</v>
      </c>
      <c r="I22366" s="5"/>
      <c r="J22366" s="5"/>
      <c r="K22366" s="5"/>
    </row>
    <row r="22367" spans="1:11" x14ac:dyDescent="0.25">
      <c r="A22367" s="5">
        <f>22360</f>
      </c>
      <c r="B22367" s="5" t="s">
        <v>22375</v>
      </c>
      <c r="C22367" s="5">
        <v>109.7</v>
      </c>
      <c r="D22367" s="5">
        <v>0.1</v>
      </c>
      <c r="E22367" s="5">
        <v>109.9</v>
      </c>
      <c r="F22367" s="5">
        <v>218.7</v>
      </c>
      <c r="G22367" s="5">
        <v>109.2</v>
      </c>
      <c r="H22367" s="5">
        <v>109</v>
      </c>
      <c r="I22367" s="5"/>
      <c r="J22367" s="5"/>
      <c r="K22367" s="5"/>
    </row>
    <row r="22368" spans="1:11" x14ac:dyDescent="0.25">
      <c r="A22368" s="5">
        <f>22361</f>
      </c>
      <c r="B22368" s="5" t="s">
        <v>22376</v>
      </c>
      <c r="C22368" s="5">
        <v>109.7</v>
      </c>
      <c r="D22368" s="5">
        <v>0.1</v>
      </c>
      <c r="E22368" s="5">
        <v>109.9</v>
      </c>
      <c r="F22368" s="5">
        <v>218.7</v>
      </c>
      <c r="G22368" s="5">
        <v>109.2</v>
      </c>
      <c r="H22368" s="5">
        <v>109</v>
      </c>
      <c r="I22368" s="5"/>
      <c r="J22368" s="5"/>
      <c r="K22368" s="5"/>
    </row>
    <row r="22369" spans="1:11" x14ac:dyDescent="0.25">
      <c r="A22369" s="5">
        <f>22362</f>
      </c>
      <c r="B22369" s="5" t="s">
        <v>22377</v>
      </c>
      <c r="C22369" s="5">
        <v>109.7</v>
      </c>
      <c r="D22369" s="5">
        <v>0.1</v>
      </c>
      <c r="E22369" s="5">
        <v>109.9</v>
      </c>
      <c r="F22369" s="5">
        <v>218.3</v>
      </c>
      <c r="G22369" s="5">
        <v>109</v>
      </c>
      <c r="H22369" s="5">
        <v>108.9</v>
      </c>
      <c r="I22369" s="5"/>
      <c r="J22369" s="5"/>
      <c r="K22369" s="5"/>
    </row>
    <row r="22370" spans="1:11" x14ac:dyDescent="0.25">
      <c r="A22370" s="5">
        <f>22363</f>
      </c>
      <c r="B22370" s="5" t="s">
        <v>22378</v>
      </c>
      <c r="C22370" s="5">
        <v>109.7</v>
      </c>
      <c r="D22370" s="5">
        <v>0.1</v>
      </c>
      <c r="E22370" s="5">
        <v>109.9</v>
      </c>
      <c r="F22370" s="5">
        <v>218.3</v>
      </c>
      <c r="G22370" s="5">
        <v>109</v>
      </c>
      <c r="H22370" s="5">
        <v>108.9</v>
      </c>
      <c r="I22370" s="5"/>
      <c r="J22370" s="5"/>
      <c r="K22370" s="5"/>
    </row>
    <row r="22371" spans="1:11" x14ac:dyDescent="0.25">
      <c r="A22371" s="5">
        <f>22364</f>
      </c>
      <c r="B22371" s="5" t="s">
        <v>22379</v>
      </c>
      <c r="C22371" s="5">
        <v>110.1</v>
      </c>
      <c r="D22371" s="5">
        <v>0.1</v>
      </c>
      <c r="E22371" s="5">
        <v>110.2</v>
      </c>
      <c r="F22371" s="5">
        <v>218.9</v>
      </c>
      <c r="G22371" s="5">
        <v>109.3</v>
      </c>
      <c r="H22371" s="5">
        <v>109.1</v>
      </c>
      <c r="I22371" s="5"/>
      <c r="J22371" s="5"/>
      <c r="K22371" s="5"/>
    </row>
    <row r="22372" spans="1:11" x14ac:dyDescent="0.25">
      <c r="A22372" s="5">
        <f>22365</f>
      </c>
      <c r="B22372" s="5" t="s">
        <v>22380</v>
      </c>
      <c r="C22372" s="5">
        <v>110.1</v>
      </c>
      <c r="D22372" s="5">
        <v>0.1</v>
      </c>
      <c r="E22372" s="5">
        <v>110.2</v>
      </c>
      <c r="F22372" s="5">
        <v>218.9</v>
      </c>
      <c r="G22372" s="5">
        <v>109.3</v>
      </c>
      <c r="H22372" s="5">
        <v>109.1</v>
      </c>
      <c r="I22372" s="5"/>
      <c r="J22372" s="5"/>
      <c r="K22372" s="5"/>
    </row>
    <row r="22373" spans="1:11" x14ac:dyDescent="0.25">
      <c r="A22373" s="5">
        <f>22366</f>
      </c>
      <c r="B22373" s="5" t="s">
        <v>22381</v>
      </c>
      <c r="C22373" s="5">
        <v>109.7</v>
      </c>
      <c r="D22373" s="5">
        <v>0.1</v>
      </c>
      <c r="E22373" s="5">
        <v>109.9</v>
      </c>
      <c r="F22373" s="5">
        <v>218.9</v>
      </c>
      <c r="G22373" s="5">
        <v>109.3</v>
      </c>
      <c r="H22373" s="5">
        <v>109.1</v>
      </c>
      <c r="I22373" s="5"/>
      <c r="J22373" s="5"/>
      <c r="K22373" s="5"/>
    </row>
    <row r="22374" spans="1:11" x14ac:dyDescent="0.25">
      <c r="A22374" s="5">
        <f>22367</f>
      </c>
      <c r="B22374" s="5" t="s">
        <v>22382</v>
      </c>
      <c r="C22374" s="5">
        <v>109.7</v>
      </c>
      <c r="D22374" s="5">
        <v>0.1</v>
      </c>
      <c r="E22374" s="5">
        <v>109.9</v>
      </c>
      <c r="F22374" s="5">
        <v>218.9</v>
      </c>
      <c r="G22374" s="5">
        <v>109.3</v>
      </c>
      <c r="H22374" s="5">
        <v>109.1</v>
      </c>
      <c r="I22374" s="5"/>
      <c r="J22374" s="5"/>
      <c r="K22374" s="5"/>
    </row>
    <row r="22375" spans="1:11" x14ac:dyDescent="0.25">
      <c r="A22375" s="5">
        <f>22368</f>
      </c>
      <c r="B22375" s="5" t="s">
        <v>22383</v>
      </c>
      <c r="C22375" s="5">
        <v>109.7</v>
      </c>
      <c r="D22375" s="5">
        <v>0.1</v>
      </c>
      <c r="E22375" s="5">
        <v>109.9</v>
      </c>
      <c r="F22375" s="5">
        <v>218.9</v>
      </c>
      <c r="G22375" s="5">
        <v>109.3</v>
      </c>
      <c r="H22375" s="5">
        <v>109.1</v>
      </c>
      <c r="I22375" s="5"/>
      <c r="J22375" s="5"/>
      <c r="K22375" s="5"/>
    </row>
    <row r="22376" spans="1:11" x14ac:dyDescent="0.25">
      <c r="A22376" s="5">
        <f>22369</f>
      </c>
      <c r="B22376" s="5" t="s">
        <v>22384</v>
      </c>
      <c r="C22376" s="5">
        <v>109.7</v>
      </c>
      <c r="D22376" s="5">
        <v>0.1</v>
      </c>
      <c r="E22376" s="5">
        <v>109.9</v>
      </c>
      <c r="F22376" s="5">
        <v>218.9</v>
      </c>
      <c r="G22376" s="5">
        <v>109.3</v>
      </c>
      <c r="H22376" s="5">
        <v>109.1</v>
      </c>
      <c r="I22376" s="5"/>
      <c r="J22376" s="5"/>
      <c r="K22376" s="5"/>
    </row>
    <row r="22377" spans="1:11" x14ac:dyDescent="0.25">
      <c r="A22377" s="5">
        <f>22370</f>
      </c>
      <c r="B22377" s="5" t="s">
        <v>22385</v>
      </c>
      <c r="C22377" s="5">
        <v>109.1</v>
      </c>
      <c r="D22377" s="5">
        <v>0.1</v>
      </c>
      <c r="E22377" s="5">
        <v>109.2</v>
      </c>
      <c r="F22377" s="5">
        <v>218.5</v>
      </c>
      <c r="G22377" s="5">
        <v>109</v>
      </c>
      <c r="H22377" s="5">
        <v>108.9</v>
      </c>
      <c r="I22377" s="5"/>
      <c r="J22377" s="5"/>
      <c r="K22377" s="5"/>
    </row>
    <row r="22378" spans="1:11" x14ac:dyDescent="0.25">
      <c r="A22378" s="5">
        <f>22371</f>
      </c>
      <c r="B22378" s="5" t="s">
        <v>22386</v>
      </c>
      <c r="C22378" s="5">
        <v>109.1</v>
      </c>
      <c r="D22378" s="5">
        <v>0.1</v>
      </c>
      <c r="E22378" s="5">
        <v>109.2</v>
      </c>
      <c r="F22378" s="5">
        <v>218.5</v>
      </c>
      <c r="G22378" s="5">
        <v>109</v>
      </c>
      <c r="H22378" s="5">
        <v>108.9</v>
      </c>
      <c r="I22378" s="5"/>
      <c r="J22378" s="5"/>
      <c r="K22378" s="5"/>
    </row>
    <row r="22379" spans="1:11" x14ac:dyDescent="0.25">
      <c r="A22379" s="5">
        <f>22372</f>
      </c>
      <c r="B22379" s="5" t="s">
        <v>22387</v>
      </c>
      <c r="C22379" s="5">
        <v>108.8</v>
      </c>
      <c r="D22379" s="5">
        <v>0.1</v>
      </c>
      <c r="E22379" s="5">
        <v>108.9</v>
      </c>
      <c r="F22379" s="5">
        <v>217.9</v>
      </c>
      <c r="G22379" s="5">
        <v>108.7</v>
      </c>
      <c r="H22379" s="5">
        <v>108.5</v>
      </c>
      <c r="I22379" s="5"/>
      <c r="J22379" s="5"/>
      <c r="K22379" s="5"/>
    </row>
    <row r="22380" spans="1:11" x14ac:dyDescent="0.25">
      <c r="A22380" s="5">
        <f>22373</f>
      </c>
      <c r="B22380" s="5" t="s">
        <v>22388</v>
      </c>
      <c r="C22380" s="5">
        <v>108.8</v>
      </c>
      <c r="D22380" s="5">
        <v>0.1</v>
      </c>
      <c r="E22380" s="5">
        <v>108.9</v>
      </c>
      <c r="F22380" s="5">
        <v>217.9</v>
      </c>
      <c r="G22380" s="5">
        <v>108.7</v>
      </c>
      <c r="H22380" s="5">
        <v>108.5</v>
      </c>
      <c r="I22380" s="5"/>
      <c r="J22380" s="5"/>
      <c r="K22380" s="5"/>
    </row>
    <row r="22381" spans="1:11" x14ac:dyDescent="0.25">
      <c r="A22381" s="5">
        <f>22374</f>
      </c>
      <c r="B22381" s="5" t="s">
        <v>22389</v>
      </c>
      <c r="C22381" s="5">
        <v>108.9</v>
      </c>
      <c r="D22381" s="5">
        <v>0.1</v>
      </c>
      <c r="E22381" s="5">
        <v>109.1</v>
      </c>
      <c r="F22381" s="5">
        <v>217.8</v>
      </c>
      <c r="G22381" s="5">
        <v>108.7</v>
      </c>
      <c r="H22381" s="5">
        <v>108.5</v>
      </c>
      <c r="I22381" s="5"/>
      <c r="J22381" s="5"/>
      <c r="K22381" s="5"/>
    </row>
    <row r="22382" spans="1:11" x14ac:dyDescent="0.25">
      <c r="A22382" s="5">
        <f>22375</f>
      </c>
      <c r="B22382" s="5" t="s">
        <v>22390</v>
      </c>
      <c r="C22382" s="5">
        <v>108.9</v>
      </c>
      <c r="D22382" s="5">
        <v>0.1</v>
      </c>
      <c r="E22382" s="5">
        <v>109.1</v>
      </c>
      <c r="F22382" s="5">
        <v>217.8</v>
      </c>
      <c r="G22382" s="5">
        <v>108.7</v>
      </c>
      <c r="H22382" s="5">
        <v>108.5</v>
      </c>
      <c r="I22382" s="5"/>
      <c r="J22382" s="5"/>
      <c r="K22382" s="5"/>
    </row>
    <row r="22383" spans="1:11" x14ac:dyDescent="0.25">
      <c r="A22383" s="5">
        <f>22376</f>
      </c>
      <c r="B22383" s="5" t="s">
        <v>22391</v>
      </c>
      <c r="C22383" s="5">
        <v>106.5</v>
      </c>
      <c r="D22383" s="5">
        <v>0.1</v>
      </c>
      <c r="E22383" s="5">
        <v>106.6</v>
      </c>
      <c r="F22383" s="5">
        <v>217</v>
      </c>
      <c r="G22383" s="5">
        <v>108.4</v>
      </c>
      <c r="H22383" s="5">
        <v>108.3</v>
      </c>
      <c r="I22383" s="5"/>
      <c r="J22383" s="5"/>
      <c r="K22383" s="5"/>
    </row>
    <row r="22384" spans="1:11" x14ac:dyDescent="0.25">
      <c r="A22384" s="5">
        <f>22377</f>
      </c>
      <c r="B22384" s="5" t="s">
        <v>22392</v>
      </c>
      <c r="C22384" s="5">
        <v>106.5</v>
      </c>
      <c r="D22384" s="5">
        <v>0.1</v>
      </c>
      <c r="E22384" s="5">
        <v>106.6</v>
      </c>
      <c r="F22384" s="5">
        <v>217</v>
      </c>
      <c r="G22384" s="5">
        <v>108.4</v>
      </c>
      <c r="H22384" s="5">
        <v>108.3</v>
      </c>
      <c r="I22384" s="5"/>
      <c r="J22384" s="5"/>
      <c r="K22384" s="5"/>
    </row>
    <row r="22385" spans="1:11" x14ac:dyDescent="0.25">
      <c r="A22385" s="5">
        <f>22378</f>
      </c>
      <c r="B22385" s="5" t="s">
        <v>22393</v>
      </c>
      <c r="C22385" s="5">
        <v>106.5</v>
      </c>
      <c r="D22385" s="5">
        <v>0.1</v>
      </c>
      <c r="E22385" s="5">
        <v>106.6</v>
      </c>
      <c r="F22385" s="5">
        <v>217</v>
      </c>
      <c r="G22385" s="5">
        <v>108.4</v>
      </c>
      <c r="H22385" s="5">
        <v>108.3</v>
      </c>
      <c r="I22385" s="5"/>
      <c r="J22385" s="5"/>
      <c r="K22385" s="5"/>
    </row>
    <row r="22386" spans="1:11" x14ac:dyDescent="0.25">
      <c r="A22386" s="5">
        <f>22379</f>
      </c>
      <c r="B22386" s="5" t="s">
        <v>22394</v>
      </c>
      <c r="C22386" s="5">
        <v>106.5</v>
      </c>
      <c r="D22386" s="5">
        <v>0.1</v>
      </c>
      <c r="E22386" s="5">
        <v>106.6</v>
      </c>
      <c r="F22386" s="5">
        <v>217</v>
      </c>
      <c r="G22386" s="5">
        <v>108.4</v>
      </c>
      <c r="H22386" s="5">
        <v>108.3</v>
      </c>
      <c r="I22386" s="5"/>
      <c r="J22386" s="5"/>
      <c r="K22386" s="5"/>
    </row>
    <row r="22387" spans="1:11" x14ac:dyDescent="0.25">
      <c r="A22387" s="5">
        <f>22380</f>
      </c>
      <c r="B22387" s="5" t="s">
        <v>22395</v>
      </c>
      <c r="C22387" s="5">
        <v>108.4</v>
      </c>
      <c r="D22387" s="5">
        <v>0.1</v>
      </c>
      <c r="E22387" s="5">
        <v>108.5</v>
      </c>
      <c r="F22387" s="5">
        <v>217</v>
      </c>
      <c r="G22387" s="5">
        <v>108.3</v>
      </c>
      <c r="H22387" s="5">
        <v>108.2</v>
      </c>
      <c r="I22387" s="5"/>
      <c r="J22387" s="5"/>
      <c r="K22387" s="5"/>
    </row>
    <row r="22388" spans="1:11" x14ac:dyDescent="0.25">
      <c r="A22388" s="5">
        <f>22381</f>
      </c>
      <c r="B22388" s="5" t="s">
        <v>22396</v>
      </c>
      <c r="C22388" s="5">
        <v>108.4</v>
      </c>
      <c r="D22388" s="5">
        <v>0.1</v>
      </c>
      <c r="E22388" s="5">
        <v>108.5</v>
      </c>
      <c r="F22388" s="5">
        <v>217</v>
      </c>
      <c r="G22388" s="5">
        <v>108.3</v>
      </c>
      <c r="H22388" s="5">
        <v>108.2</v>
      </c>
      <c r="I22388" s="5"/>
      <c r="J22388" s="5"/>
      <c r="K22388" s="5"/>
    </row>
    <row r="22389" spans="1:11" x14ac:dyDescent="0.25">
      <c r="A22389" s="5">
        <f>22382</f>
      </c>
      <c r="B22389" s="5" t="s">
        <v>22397</v>
      </c>
      <c r="C22389" s="5">
        <v>109.1</v>
      </c>
      <c r="D22389" s="5">
        <v>0.1</v>
      </c>
      <c r="E22389" s="5">
        <v>109.2</v>
      </c>
      <c r="F22389" s="5">
        <v>217.3</v>
      </c>
      <c r="G22389" s="5">
        <v>108.6</v>
      </c>
      <c r="H22389" s="5">
        <v>108.5</v>
      </c>
      <c r="I22389" s="5"/>
      <c r="J22389" s="5"/>
      <c r="K22389" s="5"/>
    </row>
    <row r="22390" spans="1:11" x14ac:dyDescent="0.25">
      <c r="A22390" s="5">
        <f>22383</f>
      </c>
      <c r="B22390" s="5" t="s">
        <v>22398</v>
      </c>
      <c r="C22390" s="5">
        <v>109.1</v>
      </c>
      <c r="D22390" s="5">
        <v>0.1</v>
      </c>
      <c r="E22390" s="5">
        <v>109.2</v>
      </c>
      <c r="F22390" s="5">
        <v>217.3</v>
      </c>
      <c r="G22390" s="5">
        <v>108.6</v>
      </c>
      <c r="H22390" s="5">
        <v>108.5</v>
      </c>
      <c r="I22390" s="5"/>
      <c r="J22390" s="5"/>
      <c r="K22390" s="5"/>
    </row>
    <row r="22391" spans="1:11" x14ac:dyDescent="0.25">
      <c r="A22391" s="5">
        <f>22384</f>
      </c>
      <c r="B22391" s="5" t="s">
        <v>22399</v>
      </c>
      <c r="C22391" s="5">
        <v>109.4</v>
      </c>
      <c r="D22391" s="5">
        <v>0.1</v>
      </c>
      <c r="E22391" s="5">
        <v>109.6</v>
      </c>
      <c r="F22391" s="5">
        <v>218.6</v>
      </c>
      <c r="G22391" s="5">
        <v>109.1</v>
      </c>
      <c r="H22391" s="5">
        <v>109</v>
      </c>
      <c r="I22391" s="5"/>
      <c r="J22391" s="5"/>
      <c r="K22391" s="5"/>
    </row>
    <row r="22392" spans="1:11" x14ac:dyDescent="0.25">
      <c r="A22392" s="5">
        <f>22385</f>
      </c>
      <c r="B22392" s="5" t="s">
        <v>22400</v>
      </c>
      <c r="C22392" s="5">
        <v>109.4</v>
      </c>
      <c r="D22392" s="5">
        <v>0.1</v>
      </c>
      <c r="E22392" s="5">
        <v>109.6</v>
      </c>
      <c r="F22392" s="5">
        <v>218.6</v>
      </c>
      <c r="G22392" s="5">
        <v>109.1</v>
      </c>
      <c r="H22392" s="5">
        <v>109</v>
      </c>
      <c r="I22392" s="5"/>
      <c r="J22392" s="5"/>
      <c r="K22392" s="5"/>
    </row>
    <row r="22393" spans="1:11" x14ac:dyDescent="0.25">
      <c r="A22393" s="5">
        <f>22386</f>
      </c>
      <c r="B22393" s="5" t="s">
        <v>22401</v>
      </c>
      <c r="C22393" s="5">
        <v>109.4</v>
      </c>
      <c r="D22393" s="5">
        <v>0.1</v>
      </c>
      <c r="E22393" s="5">
        <v>109.6</v>
      </c>
      <c r="F22393" s="5">
        <v>218.2</v>
      </c>
      <c r="G22393" s="5">
        <v>108.9</v>
      </c>
      <c r="H22393" s="5">
        <v>108.8</v>
      </c>
      <c r="I22393" s="5"/>
      <c r="J22393" s="5"/>
      <c r="K22393" s="5"/>
    </row>
    <row r="22394" spans="1:11" x14ac:dyDescent="0.25">
      <c r="A22394" s="5">
        <f>22387</f>
      </c>
      <c r="B22394" s="5" t="s">
        <v>22402</v>
      </c>
      <c r="C22394" s="5">
        <v>109.4</v>
      </c>
      <c r="D22394" s="5">
        <v>0.1</v>
      </c>
      <c r="E22394" s="5">
        <v>109.6</v>
      </c>
      <c r="F22394" s="5">
        <v>218.2</v>
      </c>
      <c r="G22394" s="5">
        <v>108.9</v>
      </c>
      <c r="H22394" s="5">
        <v>108.8</v>
      </c>
      <c r="I22394" s="5"/>
      <c r="J22394" s="5"/>
      <c r="K22394" s="5"/>
    </row>
    <row r="22395" spans="1:11" x14ac:dyDescent="0.25">
      <c r="A22395" s="5">
        <f>22388</f>
      </c>
      <c r="B22395" s="5" t="s">
        <v>22403</v>
      </c>
      <c r="C22395" s="5">
        <v>109.4</v>
      </c>
      <c r="D22395" s="5">
        <v>0.1</v>
      </c>
      <c r="E22395" s="5">
        <v>109.6</v>
      </c>
      <c r="F22395" s="5">
        <v>218.2</v>
      </c>
      <c r="G22395" s="5">
        <v>108.9</v>
      </c>
      <c r="H22395" s="5">
        <v>108.8</v>
      </c>
      <c r="I22395" s="5"/>
      <c r="J22395" s="5"/>
      <c r="K22395" s="5"/>
    </row>
    <row r="22396" spans="1:11" x14ac:dyDescent="0.25">
      <c r="A22396" s="5">
        <f>22389</f>
      </c>
      <c r="B22396" s="5" t="s">
        <v>22404</v>
      </c>
      <c r="C22396" s="5">
        <v>109.4</v>
      </c>
      <c r="D22396" s="5">
        <v>0.1</v>
      </c>
      <c r="E22396" s="5">
        <v>109.6</v>
      </c>
      <c r="F22396" s="5">
        <v>218.2</v>
      </c>
      <c r="G22396" s="5">
        <v>108.9</v>
      </c>
      <c r="H22396" s="5">
        <v>108.8</v>
      </c>
      <c r="I22396" s="5"/>
      <c r="J22396" s="5"/>
      <c r="K22396" s="5"/>
    </row>
    <row r="22397" spans="1:11" x14ac:dyDescent="0.25">
      <c r="A22397" s="5">
        <f>22390</f>
      </c>
      <c r="B22397" s="5" t="s">
        <v>22405</v>
      </c>
      <c r="C22397" s="5">
        <v>109.9</v>
      </c>
      <c r="D22397" s="5">
        <v>0.1</v>
      </c>
      <c r="E22397" s="5">
        <v>110.1</v>
      </c>
      <c r="F22397" s="5">
        <v>219.3</v>
      </c>
      <c r="G22397" s="5">
        <v>109.5</v>
      </c>
      <c r="H22397" s="5">
        <v>109.2</v>
      </c>
      <c r="I22397" s="5"/>
      <c r="J22397" s="5"/>
      <c r="K22397" s="5"/>
    </row>
    <row r="22398" spans="1:11" x14ac:dyDescent="0.25">
      <c r="A22398" s="5">
        <f>22391</f>
      </c>
      <c r="B22398" s="5" t="s">
        <v>22406</v>
      </c>
      <c r="C22398" s="5">
        <v>109.9</v>
      </c>
      <c r="D22398" s="5">
        <v>0.1</v>
      </c>
      <c r="E22398" s="5">
        <v>110.1</v>
      </c>
      <c r="F22398" s="5">
        <v>219.3</v>
      </c>
      <c r="G22398" s="5">
        <v>109.5</v>
      </c>
      <c r="H22398" s="5">
        <v>109.2</v>
      </c>
      <c r="I22398" s="5"/>
      <c r="J22398" s="5"/>
      <c r="K22398" s="5"/>
    </row>
    <row r="22399" spans="1:11" x14ac:dyDescent="0.25">
      <c r="A22399" s="5">
        <f>22392</f>
      </c>
      <c r="B22399" s="5" t="s">
        <v>22407</v>
      </c>
      <c r="C22399" s="5">
        <v>109.7</v>
      </c>
      <c r="D22399" s="5">
        <v>0.1</v>
      </c>
      <c r="E22399" s="5">
        <v>109.8</v>
      </c>
      <c r="F22399" s="5">
        <v>219.3</v>
      </c>
      <c r="G22399" s="5">
        <v>109.4</v>
      </c>
      <c r="H22399" s="5">
        <v>109.2</v>
      </c>
      <c r="I22399" s="5"/>
      <c r="J22399" s="5"/>
      <c r="K22399" s="5"/>
    </row>
    <row r="22400" spans="1:11" x14ac:dyDescent="0.25">
      <c r="A22400" s="5">
        <f>22393</f>
      </c>
      <c r="B22400" s="5" t="s">
        <v>22408</v>
      </c>
      <c r="C22400" s="5">
        <v>109.7</v>
      </c>
      <c r="D22400" s="5">
        <v>0.1</v>
      </c>
      <c r="E22400" s="5">
        <v>109.8</v>
      </c>
      <c r="F22400" s="5">
        <v>219.3</v>
      </c>
      <c r="G22400" s="5">
        <v>109.4</v>
      </c>
      <c r="H22400" s="5">
        <v>109.2</v>
      </c>
      <c r="I22400" s="5"/>
      <c r="J22400" s="5"/>
      <c r="K22400" s="5"/>
    </row>
    <row r="22401" spans="1:11" x14ac:dyDescent="0.25">
      <c r="A22401" s="5">
        <f>22394</f>
      </c>
      <c r="B22401" s="5" t="s">
        <v>22409</v>
      </c>
      <c r="C22401" s="5">
        <v>109.3</v>
      </c>
      <c r="D22401" s="5">
        <v>0.1</v>
      </c>
      <c r="E22401" s="5">
        <v>109.4</v>
      </c>
      <c r="F22401" s="5">
        <v>218.8</v>
      </c>
      <c r="G22401" s="5">
        <v>109.2</v>
      </c>
      <c r="H22401" s="5">
        <v>109.1</v>
      </c>
      <c r="I22401" s="5"/>
      <c r="J22401" s="5"/>
      <c r="K22401" s="5"/>
    </row>
    <row r="22402" spans="1:11" x14ac:dyDescent="0.25">
      <c r="A22402" s="5">
        <f>22395</f>
      </c>
      <c r="B22402" s="5" t="s">
        <v>22410</v>
      </c>
      <c r="C22402" s="5">
        <v>109.3</v>
      </c>
      <c r="D22402" s="5">
        <v>0.1</v>
      </c>
      <c r="E22402" s="5">
        <v>109.4</v>
      </c>
      <c r="F22402" s="5">
        <v>218.8</v>
      </c>
      <c r="G22402" s="5">
        <v>109.2</v>
      </c>
      <c r="H22402" s="5">
        <v>109.1</v>
      </c>
      <c r="I22402" s="5"/>
      <c r="J22402" s="5"/>
      <c r="K22402" s="5"/>
    </row>
    <row r="22403" spans="1:11" x14ac:dyDescent="0.25">
      <c r="A22403" s="5">
        <f>22396</f>
      </c>
      <c r="B22403" s="5" t="s">
        <v>22411</v>
      </c>
      <c r="C22403" s="5">
        <v>109.7</v>
      </c>
      <c r="D22403" s="5">
        <v>0.1</v>
      </c>
      <c r="E22403" s="5">
        <v>109.8</v>
      </c>
      <c r="F22403" s="5">
        <v>219</v>
      </c>
      <c r="G22403" s="5">
        <v>109.3</v>
      </c>
      <c r="H22403" s="5">
        <v>109.2</v>
      </c>
      <c r="I22403" s="5"/>
      <c r="J22403" s="5"/>
      <c r="K22403" s="5"/>
    </row>
    <row r="22404" spans="1:11" x14ac:dyDescent="0.25">
      <c r="A22404" s="5">
        <f>22397</f>
      </c>
      <c r="B22404" s="5" t="s">
        <v>22412</v>
      </c>
      <c r="C22404" s="5">
        <v>109.7</v>
      </c>
      <c r="D22404" s="5">
        <v>0.1</v>
      </c>
      <c r="E22404" s="5">
        <v>109.8</v>
      </c>
      <c r="F22404" s="5">
        <v>219</v>
      </c>
      <c r="G22404" s="5">
        <v>109.3</v>
      </c>
      <c r="H22404" s="5">
        <v>109.2</v>
      </c>
      <c r="I22404" s="5"/>
      <c r="J22404" s="5"/>
      <c r="K22404" s="5"/>
    </row>
    <row r="22405" spans="1:11" x14ac:dyDescent="0.25">
      <c r="A22405" s="5">
        <f>22398</f>
      </c>
      <c r="B22405" s="5" t="s">
        <v>22413</v>
      </c>
      <c r="C22405" s="5">
        <v>109.7</v>
      </c>
      <c r="D22405" s="5">
        <v>0.1</v>
      </c>
      <c r="E22405" s="5">
        <v>109.8</v>
      </c>
      <c r="F22405" s="5">
        <v>219</v>
      </c>
      <c r="G22405" s="5">
        <v>109.3</v>
      </c>
      <c r="H22405" s="5">
        <v>109.2</v>
      </c>
      <c r="I22405" s="5"/>
      <c r="J22405" s="5"/>
      <c r="K22405" s="5"/>
    </row>
    <row r="22406" spans="1:11" x14ac:dyDescent="0.25">
      <c r="A22406" s="5">
        <f>22399</f>
      </c>
      <c r="B22406" s="5" t="s">
        <v>22414</v>
      </c>
      <c r="C22406" s="5">
        <v>109.7</v>
      </c>
      <c r="D22406" s="5">
        <v>0.1</v>
      </c>
      <c r="E22406" s="5">
        <v>109.8</v>
      </c>
      <c r="F22406" s="5">
        <v>219</v>
      </c>
      <c r="G22406" s="5">
        <v>109.3</v>
      </c>
      <c r="H22406" s="5">
        <v>109.2</v>
      </c>
      <c r="I22406" s="5"/>
      <c r="J22406" s="5"/>
      <c r="K22406" s="5"/>
    </row>
    <row r="22407" spans="1:11" x14ac:dyDescent="0.25">
      <c r="A22407" s="5">
        <f>22400</f>
      </c>
      <c r="B22407" s="5" t="s">
        <v>22415</v>
      </c>
      <c r="C22407" s="5">
        <v>110</v>
      </c>
      <c r="D22407" s="5">
        <v>0.1</v>
      </c>
      <c r="E22407" s="5">
        <v>110.1</v>
      </c>
      <c r="F22407" s="5">
        <v>219.7</v>
      </c>
      <c r="G22407" s="5">
        <v>109.7</v>
      </c>
      <c r="H22407" s="5">
        <v>109.5</v>
      </c>
      <c r="I22407" s="5"/>
      <c r="J22407" s="5"/>
      <c r="K22407" s="5"/>
    </row>
    <row r="22408" spans="1:11" x14ac:dyDescent="0.25">
      <c r="A22408" s="5">
        <f>22401</f>
      </c>
      <c r="B22408" s="5" t="s">
        <v>22416</v>
      </c>
      <c r="C22408" s="5">
        <v>110</v>
      </c>
      <c r="D22408" s="5">
        <v>0.1</v>
      </c>
      <c r="E22408" s="5">
        <v>110.1</v>
      </c>
      <c r="F22408" s="5">
        <v>219.7</v>
      </c>
      <c r="G22408" s="5">
        <v>109.7</v>
      </c>
      <c r="H22408" s="5">
        <v>109.5</v>
      </c>
      <c r="I22408" s="5"/>
      <c r="J22408" s="5"/>
      <c r="K22408" s="5"/>
    </row>
    <row r="22409" spans="1:11" x14ac:dyDescent="0.25">
      <c r="A22409" s="5">
        <f>22402</f>
      </c>
      <c r="B22409" s="5" t="s">
        <v>22417</v>
      </c>
      <c r="C22409" s="5">
        <v>109.6</v>
      </c>
      <c r="D22409" s="5">
        <v>0.1</v>
      </c>
      <c r="E22409" s="5">
        <v>109.7</v>
      </c>
      <c r="F22409" s="5">
        <v>218.7</v>
      </c>
      <c r="G22409" s="5">
        <v>109.1</v>
      </c>
      <c r="H22409" s="5">
        <v>108.9</v>
      </c>
      <c r="I22409" s="5"/>
      <c r="J22409" s="5"/>
      <c r="K22409" s="5"/>
    </row>
    <row r="22410" spans="1:11" x14ac:dyDescent="0.25">
      <c r="A22410" s="5">
        <f>22403</f>
      </c>
      <c r="B22410" s="5" t="s">
        <v>22418</v>
      </c>
      <c r="C22410" s="5">
        <v>109.6</v>
      </c>
      <c r="D22410" s="5">
        <v>0.1</v>
      </c>
      <c r="E22410" s="5">
        <v>109.7</v>
      </c>
      <c r="F22410" s="5">
        <v>218.7</v>
      </c>
      <c r="G22410" s="5">
        <v>109.1</v>
      </c>
      <c r="H22410" s="5">
        <v>108.9</v>
      </c>
      <c r="I22410" s="5"/>
      <c r="J22410" s="5"/>
      <c r="K22410" s="5"/>
    </row>
    <row r="22411" spans="1:11" x14ac:dyDescent="0.25">
      <c r="A22411" s="5">
        <f>22404</f>
      </c>
      <c r="B22411" s="5" t="s">
        <v>22419</v>
      </c>
      <c r="C22411" s="5">
        <v>109.1</v>
      </c>
      <c r="D22411" s="5">
        <v>0.1</v>
      </c>
      <c r="E22411" s="5">
        <v>109.2</v>
      </c>
      <c r="F22411" s="5">
        <v>218.8</v>
      </c>
      <c r="G22411" s="5">
        <v>109.2</v>
      </c>
      <c r="H22411" s="5">
        <v>109</v>
      </c>
      <c r="I22411" s="5"/>
      <c r="J22411" s="5"/>
      <c r="K22411" s="5"/>
    </row>
    <row r="22412" spans="1:11" x14ac:dyDescent="0.25">
      <c r="A22412" s="5">
        <f>22405</f>
      </c>
      <c r="B22412" s="5" t="s">
        <v>22420</v>
      </c>
      <c r="C22412" s="5">
        <v>109.1</v>
      </c>
      <c r="D22412" s="5">
        <v>0.1</v>
      </c>
      <c r="E22412" s="5">
        <v>109.2</v>
      </c>
      <c r="F22412" s="5">
        <v>218.8</v>
      </c>
      <c r="G22412" s="5">
        <v>109.2</v>
      </c>
      <c r="H22412" s="5">
        <v>109</v>
      </c>
      <c r="I22412" s="5"/>
      <c r="J22412" s="5"/>
      <c r="K22412" s="5"/>
    </row>
    <row r="22413" spans="1:11" x14ac:dyDescent="0.25">
      <c r="A22413" s="5">
        <f>22406</f>
      </c>
      <c r="B22413" s="5" t="s">
        <v>22421</v>
      </c>
      <c r="C22413" s="5">
        <v>109.6</v>
      </c>
      <c r="D22413" s="5">
        <v>0.1</v>
      </c>
      <c r="E22413" s="5">
        <v>109.7</v>
      </c>
      <c r="F22413" s="5">
        <v>218.8</v>
      </c>
      <c r="G22413" s="5">
        <v>109.2</v>
      </c>
      <c r="H22413" s="5">
        <v>109.1</v>
      </c>
      <c r="I22413" s="5"/>
      <c r="J22413" s="5"/>
      <c r="K22413" s="5"/>
    </row>
    <row r="22414" spans="1:11" x14ac:dyDescent="0.25">
      <c r="A22414" s="5">
        <f>22407</f>
      </c>
      <c r="B22414" s="5" t="s">
        <v>22422</v>
      </c>
      <c r="C22414" s="5">
        <v>109.6</v>
      </c>
      <c r="D22414" s="5">
        <v>0.1</v>
      </c>
      <c r="E22414" s="5">
        <v>109.7</v>
      </c>
      <c r="F22414" s="5">
        <v>218.8</v>
      </c>
      <c r="G22414" s="5">
        <v>109.2</v>
      </c>
      <c r="H22414" s="5">
        <v>109.1</v>
      </c>
      <c r="I22414" s="5"/>
      <c r="J22414" s="5"/>
      <c r="K22414" s="5"/>
    </row>
    <row r="22415" spans="1:11" x14ac:dyDescent="0.25">
      <c r="A22415" s="5">
        <f>22408</f>
      </c>
      <c r="B22415" s="5" t="s">
        <v>22423</v>
      </c>
      <c r="C22415" s="5">
        <v>109.6</v>
      </c>
      <c r="D22415" s="5">
        <v>0.1</v>
      </c>
      <c r="E22415" s="5">
        <v>109.7</v>
      </c>
      <c r="F22415" s="5">
        <v>218.8</v>
      </c>
      <c r="G22415" s="5">
        <v>109.2</v>
      </c>
      <c r="H22415" s="5">
        <v>109.1</v>
      </c>
      <c r="I22415" s="5"/>
      <c r="J22415" s="5"/>
      <c r="K22415" s="5"/>
    </row>
    <row r="22416" spans="1:11" x14ac:dyDescent="0.25">
      <c r="A22416" s="5">
        <f>22409</f>
      </c>
      <c r="B22416" s="5" t="s">
        <v>22424</v>
      </c>
      <c r="C22416" s="5">
        <v>109.6</v>
      </c>
      <c r="D22416" s="5">
        <v>0.1</v>
      </c>
      <c r="E22416" s="5">
        <v>109.7</v>
      </c>
      <c r="F22416" s="5">
        <v>218.8</v>
      </c>
      <c r="G22416" s="5">
        <v>109.2</v>
      </c>
      <c r="H22416" s="5">
        <v>109.1</v>
      </c>
      <c r="I22416" s="5"/>
      <c r="J22416" s="5"/>
      <c r="K22416" s="5"/>
    </row>
    <row r="22417" spans="1:11" x14ac:dyDescent="0.25">
      <c r="A22417" s="5">
        <f>22410</f>
      </c>
      <c r="B22417" s="5" t="s">
        <v>22425</v>
      </c>
      <c r="C22417" s="5">
        <v>103.2</v>
      </c>
      <c r="D22417" s="5">
        <v>0.1</v>
      </c>
      <c r="E22417" s="5">
        <v>103.4</v>
      </c>
      <c r="F22417" s="5">
        <v>206.5</v>
      </c>
      <c r="G22417" s="5">
        <v>103.1</v>
      </c>
      <c r="H22417" s="5">
        <v>103</v>
      </c>
      <c r="I22417" s="5"/>
      <c r="J22417" s="5"/>
      <c r="K22417" s="5"/>
    </row>
    <row r="22418" spans="1:11" x14ac:dyDescent="0.25">
      <c r="A22418" s="5">
        <f>22411</f>
      </c>
      <c r="B22418" s="5" t="s">
        <v>22426</v>
      </c>
      <c r="C22418" s="5">
        <v>103.2</v>
      </c>
      <c r="D22418" s="5">
        <v>0.1</v>
      </c>
      <c r="E22418" s="5">
        <v>103.4</v>
      </c>
      <c r="F22418" s="5">
        <v>206.5</v>
      </c>
      <c r="G22418" s="5">
        <v>103.1</v>
      </c>
      <c r="H22418" s="5">
        <v>103</v>
      </c>
      <c r="I22418" s="5"/>
      <c r="J22418" s="5"/>
      <c r="K22418" s="5"/>
    </row>
    <row r="22419" spans="1:11" x14ac:dyDescent="0.25">
      <c r="A22419" s="5">
        <f>22412</f>
      </c>
      <c r="B22419" s="5" t="s">
        <v>22427</v>
      </c>
      <c r="C22419" s="5">
        <v>108.6</v>
      </c>
      <c r="D22419" s="5">
        <v>0.1</v>
      </c>
      <c r="E22419" s="5">
        <v>108.8</v>
      </c>
      <c r="F22419" s="5">
        <v>217.5</v>
      </c>
      <c r="G22419" s="5">
        <v>108.6</v>
      </c>
      <c r="H22419" s="5">
        <v>108.4</v>
      </c>
      <c r="I22419" s="5"/>
      <c r="J22419" s="5"/>
      <c r="K22419" s="5"/>
    </row>
    <row r="22420" spans="1:11" x14ac:dyDescent="0.25">
      <c r="A22420" s="5">
        <f>22413</f>
      </c>
      <c r="B22420" s="5" t="s">
        <v>22428</v>
      </c>
      <c r="C22420" s="5">
        <v>108.6</v>
      </c>
      <c r="D22420" s="5">
        <v>0.1</v>
      </c>
      <c r="E22420" s="5">
        <v>108.8</v>
      </c>
      <c r="F22420" s="5">
        <v>217.5</v>
      </c>
      <c r="G22420" s="5">
        <v>108.6</v>
      </c>
      <c r="H22420" s="5">
        <v>108.4</v>
      </c>
      <c r="I22420" s="5"/>
      <c r="J22420" s="5"/>
      <c r="K22420" s="5"/>
    </row>
    <row r="22421" spans="1:11" x14ac:dyDescent="0.25">
      <c r="A22421" s="5">
        <f>22414</f>
      </c>
      <c r="B22421" s="5" t="s">
        <v>22429</v>
      </c>
      <c r="C22421" s="5">
        <v>109.3</v>
      </c>
      <c r="D22421" s="5">
        <v>0.1</v>
      </c>
      <c r="E22421" s="5">
        <v>109.4</v>
      </c>
      <c r="F22421" s="5">
        <v>218.2</v>
      </c>
      <c r="G22421" s="5">
        <v>108.9</v>
      </c>
      <c r="H22421" s="5">
        <v>108.7</v>
      </c>
      <c r="I22421" s="5"/>
      <c r="J22421" s="5"/>
      <c r="K22421" s="5"/>
    </row>
    <row r="22422" spans="1:11" x14ac:dyDescent="0.25">
      <c r="A22422" s="5">
        <f>22415</f>
      </c>
      <c r="B22422" s="5" t="s">
        <v>22430</v>
      </c>
      <c r="C22422" s="5">
        <v>109.3</v>
      </c>
      <c r="D22422" s="5">
        <v>0.1</v>
      </c>
      <c r="E22422" s="5">
        <v>109.4</v>
      </c>
      <c r="F22422" s="5">
        <v>218.2</v>
      </c>
      <c r="G22422" s="5">
        <v>108.9</v>
      </c>
      <c r="H22422" s="5">
        <v>108.7</v>
      </c>
      <c r="I22422" s="5"/>
      <c r="J22422" s="5"/>
      <c r="K22422" s="5"/>
    </row>
    <row r="22423" spans="1:11" x14ac:dyDescent="0.25">
      <c r="A22423" s="5">
        <f>22416</f>
      </c>
      <c r="B22423" s="5" t="s">
        <v>22431</v>
      </c>
      <c r="C22423" s="5">
        <v>108.8</v>
      </c>
      <c r="D22423" s="5">
        <v>0.1</v>
      </c>
      <c r="E22423" s="5">
        <v>109</v>
      </c>
      <c r="F22423" s="5">
        <v>217.5</v>
      </c>
      <c r="G22423" s="5">
        <v>108.5</v>
      </c>
      <c r="H22423" s="5">
        <v>108.4</v>
      </c>
      <c r="I22423" s="5"/>
      <c r="J22423" s="5"/>
      <c r="K22423" s="5"/>
    </row>
    <row r="22424" spans="1:11" x14ac:dyDescent="0.25">
      <c r="A22424" s="5">
        <f>22417</f>
      </c>
      <c r="B22424" s="5" t="s">
        <v>22432</v>
      </c>
      <c r="C22424" s="5">
        <v>108.8</v>
      </c>
      <c r="D22424" s="5">
        <v>0.1</v>
      </c>
      <c r="E22424" s="5">
        <v>109</v>
      </c>
      <c r="F22424" s="5">
        <v>217.5</v>
      </c>
      <c r="G22424" s="5">
        <v>108.5</v>
      </c>
      <c r="H22424" s="5">
        <v>108.4</v>
      </c>
      <c r="I22424" s="5"/>
      <c r="J22424" s="5"/>
      <c r="K22424" s="5"/>
    </row>
    <row r="22425" spans="1:11" x14ac:dyDescent="0.25">
      <c r="A22425" s="5">
        <f>22418</f>
      </c>
      <c r="B22425" s="5" t="s">
        <v>22433</v>
      </c>
      <c r="C22425" s="5">
        <v>108.8</v>
      </c>
      <c r="D22425" s="5">
        <v>0.1</v>
      </c>
      <c r="E22425" s="5">
        <v>109</v>
      </c>
      <c r="F22425" s="5">
        <v>217.5</v>
      </c>
      <c r="G22425" s="5">
        <v>108.5</v>
      </c>
      <c r="H22425" s="5">
        <v>108.4</v>
      </c>
      <c r="I22425" s="5"/>
      <c r="J22425" s="5"/>
      <c r="K22425" s="5"/>
    </row>
    <row r="22426" spans="1:11" x14ac:dyDescent="0.25">
      <c r="A22426" s="5">
        <f>22419</f>
      </c>
      <c r="B22426" s="5" t="s">
        <v>22434</v>
      </c>
      <c r="C22426" s="5">
        <v>108.8</v>
      </c>
      <c r="D22426" s="5">
        <v>0.1</v>
      </c>
      <c r="E22426" s="5">
        <v>109.3</v>
      </c>
      <c r="F22426" s="5">
        <v>218.2</v>
      </c>
      <c r="G22426" s="5">
        <v>108.9</v>
      </c>
      <c r="H22426" s="5">
        <v>108.7</v>
      </c>
      <c r="I22426" s="5"/>
      <c r="J22426" s="5"/>
      <c r="K22426" s="5"/>
    </row>
    <row r="22427" spans="1:11" x14ac:dyDescent="0.25">
      <c r="A22427" s="5">
        <f>22420</f>
      </c>
      <c r="B22427" s="5" t="s">
        <v>22435</v>
      </c>
      <c r="C22427" s="5">
        <v>109.1</v>
      </c>
      <c r="D22427" s="5">
        <v>0.1</v>
      </c>
      <c r="E22427" s="5">
        <v>109.3</v>
      </c>
      <c r="F22427" s="5">
        <v>218.2</v>
      </c>
      <c r="G22427" s="5">
        <v>108.9</v>
      </c>
      <c r="H22427" s="5">
        <v>108.7</v>
      </c>
      <c r="I22427" s="5"/>
      <c r="J22427" s="5"/>
      <c r="K22427" s="5"/>
    </row>
    <row r="22428" spans="1:11" x14ac:dyDescent="0.25">
      <c r="A22428" s="5">
        <f>22421</f>
      </c>
      <c r="B22428" s="5" t="s">
        <v>22436</v>
      </c>
      <c r="C22428" s="5">
        <v>109.1</v>
      </c>
      <c r="D22428" s="5">
        <v>0.1</v>
      </c>
      <c r="E22428" s="5">
        <v>109.3</v>
      </c>
      <c r="F22428" s="5">
        <v>218.2</v>
      </c>
      <c r="G22428" s="5">
        <v>105.4</v>
      </c>
      <c r="H22428" s="5">
        <v>105.8</v>
      </c>
      <c r="I22428" s="5"/>
      <c r="J22428" s="5"/>
      <c r="K22428" s="5"/>
    </row>
    <row r="22429" spans="1:11" x14ac:dyDescent="0.25">
      <c r="A22429" s="5">
        <f>22422</f>
      </c>
      <c r="B22429" s="5" t="s">
        <v>22437</v>
      </c>
      <c r="C22429" s="5">
        <v>108.8</v>
      </c>
      <c r="D22429" s="5">
        <v>0.1</v>
      </c>
      <c r="E22429" s="5">
        <v>109</v>
      </c>
      <c r="F22429" s="5">
        <v>210</v>
      </c>
      <c r="G22429" s="5">
        <v>105.4</v>
      </c>
      <c r="H22429" s="5">
        <v>105.8</v>
      </c>
      <c r="I22429" s="5"/>
      <c r="J22429" s="5"/>
      <c r="K22429" s="5"/>
    </row>
    <row r="22430" spans="1:11" x14ac:dyDescent="0.25">
      <c r="A22430" s="5">
        <f>22423</f>
      </c>
      <c r="B22430" s="5" t="s">
        <v>22438</v>
      </c>
      <c r="C22430" s="5">
        <v>108.8</v>
      </c>
      <c r="D22430" s="5">
        <v>0.1</v>
      </c>
      <c r="E22430" s="5">
        <v>109</v>
      </c>
      <c r="F22430" s="5">
        <v>210</v>
      </c>
      <c r="G22430" s="5">
        <v>105.4</v>
      </c>
      <c r="H22430" s="5">
        <v>105.8</v>
      </c>
      <c r="I22430" s="5"/>
      <c r="J22430" s="5"/>
      <c r="K22430" s="5"/>
    </row>
    <row r="22431" spans="1:11" x14ac:dyDescent="0.25">
      <c r="A22431" s="5">
        <f>22424</f>
      </c>
      <c r="B22431" s="5" t="s">
        <v>22439</v>
      </c>
      <c r="C22431" s="5">
        <v>104.8</v>
      </c>
      <c r="D22431" s="5">
        <v>0.1</v>
      </c>
      <c r="E22431" s="5">
        <v>105</v>
      </c>
      <c r="F22431" s="5">
        <v>209.9</v>
      </c>
      <c r="G22431" s="5">
        <v>105.1</v>
      </c>
      <c r="H22431" s="5">
        <v>105.2</v>
      </c>
      <c r="I22431" s="5"/>
      <c r="J22431" s="5"/>
      <c r="K22431" s="5"/>
    </row>
    <row r="22432" spans="1:11" x14ac:dyDescent="0.25">
      <c r="A22432" s="5">
        <f>22425</f>
      </c>
      <c r="B22432" s="5" t="s">
        <v>22440</v>
      </c>
      <c r="C22432" s="5">
        <v>104.8</v>
      </c>
      <c r="D22432" s="5">
        <v>0.1</v>
      </c>
      <c r="E22432" s="5">
        <v>105</v>
      </c>
      <c r="F22432" s="5">
        <v>209.9</v>
      </c>
      <c r="G22432" s="5">
        <v>105.1</v>
      </c>
      <c r="H22432" s="5">
        <v>105.2</v>
      </c>
      <c r="I22432" s="5"/>
      <c r="J22432" s="5"/>
      <c r="K22432" s="5"/>
    </row>
    <row r="22433" spans="1:11" x14ac:dyDescent="0.25">
      <c r="A22433" s="5">
        <f>22426</f>
      </c>
      <c r="B22433" s="5" t="s">
        <v>22441</v>
      </c>
      <c r="C22433" s="5">
        <v>104.4</v>
      </c>
      <c r="D22433" s="5">
        <v>0.1</v>
      </c>
      <c r="E22433" s="5">
        <v>104.6</v>
      </c>
      <c r="F22433" s="5">
        <v>207.5</v>
      </c>
      <c r="G22433" s="5">
        <v>103.5</v>
      </c>
      <c r="H22433" s="5">
        <v>103.4</v>
      </c>
      <c r="I22433" s="5"/>
      <c r="J22433" s="5"/>
      <c r="K22433" s="5"/>
    </row>
    <row r="22434" spans="1:11" x14ac:dyDescent="0.25">
      <c r="A22434" s="5">
        <f>22427</f>
      </c>
      <c r="B22434" s="5" t="s">
        <v>22442</v>
      </c>
      <c r="C22434" s="5">
        <v>104.4</v>
      </c>
      <c r="D22434" s="5">
        <v>0.1</v>
      </c>
      <c r="E22434" s="5">
        <v>104.6</v>
      </c>
      <c r="F22434" s="5">
        <v>207.5</v>
      </c>
      <c r="G22434" s="5">
        <v>103.5</v>
      </c>
      <c r="H22434" s="5">
        <v>103.4</v>
      </c>
      <c r="I22434" s="5"/>
      <c r="J22434" s="5"/>
      <c r="K22434" s="5"/>
    </row>
    <row r="22435" spans="1:11" x14ac:dyDescent="0.25">
      <c r="A22435" s="5">
        <f>22428</f>
      </c>
      <c r="B22435" s="5" t="s">
        <v>22443</v>
      </c>
      <c r="C22435" s="5">
        <v>104.4</v>
      </c>
      <c r="D22435" s="5">
        <v>0.1</v>
      </c>
      <c r="E22435" s="5">
        <v>104.6</v>
      </c>
      <c r="F22435" s="5">
        <v>207.5</v>
      </c>
      <c r="G22435" s="5">
        <v>103.5</v>
      </c>
      <c r="H22435" s="5">
        <v>103.4</v>
      </c>
      <c r="I22435" s="5"/>
      <c r="J22435" s="5"/>
      <c r="K22435" s="5"/>
    </row>
    <row r="22436" spans="1:11" x14ac:dyDescent="0.25">
      <c r="A22436" s="5">
        <f>22429</f>
      </c>
      <c r="B22436" s="5" t="s">
        <v>22444</v>
      </c>
      <c r="C22436" s="5">
        <v>106.6</v>
      </c>
      <c r="D22436" s="5">
        <v>0.1</v>
      </c>
      <c r="E22436" s="5">
        <v>106.8</v>
      </c>
      <c r="F22436" s="5">
        <v>216.8</v>
      </c>
      <c r="G22436" s="5">
        <v>107.9</v>
      </c>
      <c r="H22436" s="5">
        <v>107.4</v>
      </c>
      <c r="I22436" s="5"/>
      <c r="J22436" s="5"/>
      <c r="K22436" s="5"/>
    </row>
    <row r="22437" spans="1:11" x14ac:dyDescent="0.25">
      <c r="A22437" s="5">
        <f>22430</f>
      </c>
      <c r="B22437" s="5" t="s">
        <v>22445</v>
      </c>
      <c r="C22437" s="5">
        <v>106.6</v>
      </c>
      <c r="D22437" s="5">
        <v>0.1</v>
      </c>
      <c r="E22437" s="5">
        <v>106.8</v>
      </c>
      <c r="F22437" s="5">
        <v>216.8</v>
      </c>
      <c r="G22437" s="5">
        <v>107.9</v>
      </c>
      <c r="H22437" s="5">
        <v>107.4</v>
      </c>
      <c r="I22437" s="5"/>
      <c r="J22437" s="5"/>
      <c r="K22437" s="5"/>
    </row>
    <row r="22438" spans="1:11" x14ac:dyDescent="0.25">
      <c r="A22438" s="5">
        <f>22431</f>
      </c>
      <c r="B22438" s="5" t="s">
        <v>22446</v>
      </c>
      <c r="C22438" s="5">
        <v>109.4</v>
      </c>
      <c r="D22438" s="5">
        <v>0.1</v>
      </c>
      <c r="E22438" s="5">
        <v>109.5</v>
      </c>
      <c r="F22438" s="5">
        <v>218.8</v>
      </c>
      <c r="G22438" s="5">
        <v>109.2</v>
      </c>
      <c r="H22438" s="5">
        <v>109</v>
      </c>
      <c r="I22438" s="5"/>
      <c r="J22438" s="5"/>
      <c r="K22438" s="5"/>
    </row>
    <row r="22439" spans="1:11" x14ac:dyDescent="0.25">
      <c r="A22439" s="5">
        <f>22432</f>
      </c>
      <c r="B22439" s="5" t="s">
        <v>22447</v>
      </c>
      <c r="C22439" s="5">
        <v>109.4</v>
      </c>
      <c r="D22439" s="5">
        <v>0.1</v>
      </c>
      <c r="E22439" s="5">
        <v>109.5</v>
      </c>
      <c r="F22439" s="5">
        <v>218.8</v>
      </c>
      <c r="G22439" s="5">
        <v>109.2</v>
      </c>
      <c r="H22439" s="5">
        <v>109</v>
      </c>
      <c r="I22439" s="5"/>
      <c r="J22439" s="5"/>
      <c r="K22439" s="5"/>
    </row>
    <row r="22440" spans="1:11" x14ac:dyDescent="0.25">
      <c r="A22440" s="5">
        <f>22433</f>
      </c>
      <c r="B22440" s="5" t="s">
        <v>22448</v>
      </c>
      <c r="C22440" s="5">
        <v>109.4</v>
      </c>
      <c r="D22440" s="5">
        <v>0.1</v>
      </c>
      <c r="E22440" s="5">
        <v>109.5</v>
      </c>
      <c r="F22440" s="5">
        <v>218.9</v>
      </c>
      <c r="G22440" s="5">
        <v>109.3</v>
      </c>
      <c r="H22440" s="5">
        <v>109</v>
      </c>
      <c r="I22440" s="5"/>
      <c r="J22440" s="5"/>
      <c r="K22440" s="5"/>
    </row>
    <row r="22441" spans="1:11" x14ac:dyDescent="0.25">
      <c r="A22441" s="5">
        <f>22434</f>
      </c>
      <c r="B22441" s="5" t="s">
        <v>22449</v>
      </c>
      <c r="C22441" s="5">
        <v>109.4</v>
      </c>
      <c r="D22441" s="5">
        <v>0.1</v>
      </c>
      <c r="E22441" s="5">
        <v>109.5</v>
      </c>
      <c r="F22441" s="5">
        <v>218.9</v>
      </c>
      <c r="G22441" s="5">
        <v>109.3</v>
      </c>
      <c r="H22441" s="5">
        <v>109.1</v>
      </c>
      <c r="I22441" s="5"/>
      <c r="J22441" s="5"/>
      <c r="K22441" s="5"/>
    </row>
    <row r="22442" spans="1:11" x14ac:dyDescent="0.25">
      <c r="A22442" s="5">
        <f>22435</f>
      </c>
      <c r="B22442" s="5" t="s">
        <v>22450</v>
      </c>
      <c r="C22442" s="5">
        <v>104.6</v>
      </c>
      <c r="D22442" s="5">
        <v>0.1</v>
      </c>
      <c r="E22442" s="5">
        <v>104.7</v>
      </c>
      <c r="F22442" s="5">
        <v>208.1</v>
      </c>
      <c r="G22442" s="5">
        <v>103.9</v>
      </c>
      <c r="H22442" s="5">
        <v>109.1</v>
      </c>
      <c r="I22442" s="5"/>
      <c r="J22442" s="5"/>
      <c r="K22442" s="5"/>
    </row>
    <row r="22443" spans="1:11" x14ac:dyDescent="0.25">
      <c r="A22443" s="5">
        <f>22436</f>
      </c>
      <c r="B22443" s="5" t="s">
        <v>22451</v>
      </c>
      <c r="C22443" s="5">
        <v>104.6</v>
      </c>
      <c r="D22443" s="5">
        <v>0.1</v>
      </c>
      <c r="E22443" s="5">
        <v>104.7</v>
      </c>
      <c r="F22443" s="5">
        <v>208.1</v>
      </c>
      <c r="G22443" s="5">
        <v>103.9</v>
      </c>
      <c r="H22443" s="5">
        <v>103.8</v>
      </c>
      <c r="I22443" s="5"/>
      <c r="J22443" s="5"/>
      <c r="K22443" s="5"/>
    </row>
    <row r="22444" spans="1:11" x14ac:dyDescent="0.25">
      <c r="A22444" s="5">
        <f>22437</f>
      </c>
      <c r="B22444" s="5" t="s">
        <v>22452</v>
      </c>
      <c r="C22444" s="5">
        <v>104.6</v>
      </c>
      <c r="D22444" s="5">
        <v>0.1</v>
      </c>
      <c r="E22444" s="5">
        <v>104.7</v>
      </c>
      <c r="F22444" s="5">
        <v>208.1</v>
      </c>
      <c r="G22444" s="5">
        <v>103.9</v>
      </c>
      <c r="H22444" s="5">
        <v>103.8</v>
      </c>
      <c r="I22444" s="5"/>
      <c r="J22444" s="5"/>
      <c r="K22444" s="5"/>
    </row>
    <row r="22445" spans="1:11" x14ac:dyDescent="0.25">
      <c r="A22445" s="5">
        <f>22438</f>
      </c>
      <c r="B22445" s="5" t="s">
        <v>22453</v>
      </c>
      <c r="C22445" s="5">
        <v>104.6</v>
      </c>
      <c r="D22445" s="5">
        <v>0.1</v>
      </c>
      <c r="E22445" s="5">
        <v>104.7</v>
      </c>
      <c r="F22445" s="5">
        <v>208.1</v>
      </c>
      <c r="G22445" s="5">
        <v>103.9</v>
      </c>
      <c r="H22445" s="5">
        <v>103.8</v>
      </c>
      <c r="I22445" s="5"/>
      <c r="J22445" s="5"/>
      <c r="K22445" s="5"/>
    </row>
    <row r="22446" spans="1:11" x14ac:dyDescent="0.25">
      <c r="A22446" s="5">
        <f>22439</f>
      </c>
      <c r="B22446" s="5" t="s">
        <v>22454</v>
      </c>
      <c r="C22446" s="5">
        <v>109.6</v>
      </c>
      <c r="D22446" s="5">
        <v>0.1</v>
      </c>
      <c r="E22446" s="5">
        <v>109.7</v>
      </c>
      <c r="F22446" s="5">
        <v>218.6</v>
      </c>
      <c r="G22446" s="5">
        <v>103.9</v>
      </c>
      <c r="H22446" s="5">
        <v>103.8</v>
      </c>
      <c r="I22446" s="5"/>
      <c r="J22446" s="5"/>
      <c r="K22446" s="5"/>
    </row>
    <row r="22447" spans="1:11" x14ac:dyDescent="0.25">
      <c r="A22447" s="5">
        <f>22440</f>
      </c>
      <c r="B22447" s="5" t="s">
        <v>22455</v>
      </c>
      <c r="C22447" s="5">
        <v>109.6</v>
      </c>
      <c r="D22447" s="5">
        <v>0.1</v>
      </c>
      <c r="E22447" s="5">
        <v>109.7</v>
      </c>
      <c r="F22447" s="5">
        <v>218.6</v>
      </c>
      <c r="G22447" s="5">
        <v>109.1</v>
      </c>
      <c r="H22447" s="5">
        <v>109</v>
      </c>
      <c r="I22447" s="5"/>
      <c r="J22447" s="5"/>
      <c r="K22447" s="5"/>
    </row>
    <row r="22448" spans="1:11" x14ac:dyDescent="0.25">
      <c r="A22448" s="5">
        <f>22441</f>
      </c>
      <c r="B22448" s="5" t="s">
        <v>22456</v>
      </c>
      <c r="C22448" s="5">
        <v>108.9</v>
      </c>
      <c r="D22448" s="5">
        <v>0.1</v>
      </c>
      <c r="E22448" s="5">
        <v>109.7</v>
      </c>
      <c r="F22448" s="5">
        <v>218.6</v>
      </c>
      <c r="G22448" s="5">
        <v>109.1</v>
      </c>
      <c r="H22448" s="5">
        <v>109</v>
      </c>
      <c r="I22448" s="5"/>
      <c r="J22448" s="5"/>
      <c r="K22448" s="5"/>
    </row>
    <row r="22449" spans="1:11" x14ac:dyDescent="0.25">
      <c r="A22449" s="5">
        <f>22442</f>
      </c>
      <c r="B22449" s="5" t="s">
        <v>22457</v>
      </c>
      <c r="C22449" s="5">
        <v>108.9</v>
      </c>
      <c r="D22449" s="5">
        <v>0.1</v>
      </c>
      <c r="E22449" s="5">
        <v>109.1</v>
      </c>
      <c r="F22449" s="5">
        <v>214.4</v>
      </c>
      <c r="G22449" s="5">
        <v>107.3</v>
      </c>
      <c r="H22449" s="5">
        <v>107.4</v>
      </c>
      <c r="I22449" s="5"/>
      <c r="J22449" s="5"/>
      <c r="K22449" s="5"/>
    </row>
    <row r="22450" spans="1:11" x14ac:dyDescent="0.25">
      <c r="A22450" s="5">
        <f>22443</f>
      </c>
      <c r="B22450" s="5" t="s">
        <v>22458</v>
      </c>
      <c r="C22450" s="5">
        <v>108.9</v>
      </c>
      <c r="D22450" s="5">
        <v>0.1</v>
      </c>
      <c r="E22450" s="5">
        <v>109.1</v>
      </c>
      <c r="F22450" s="5">
        <v>214.4</v>
      </c>
      <c r="G22450" s="5">
        <v>107.3</v>
      </c>
      <c r="H22450" s="5">
        <v>107.4</v>
      </c>
      <c r="I22450" s="5"/>
      <c r="J22450" s="5"/>
      <c r="K22450" s="5"/>
    </row>
    <row r="22451" spans="1:11" x14ac:dyDescent="0.25">
      <c r="A22451" s="5">
        <f>22444</f>
      </c>
      <c r="B22451" s="5" t="s">
        <v>22459</v>
      </c>
      <c r="C22451" s="5">
        <v>109.9</v>
      </c>
      <c r="D22451" s="5">
        <v>0.1</v>
      </c>
      <c r="E22451" s="5">
        <v>110.1</v>
      </c>
      <c r="F22451" s="5">
        <v>218.3</v>
      </c>
      <c r="G22451" s="5">
        <v>109</v>
      </c>
      <c r="H22451" s="5">
        <v>108.9</v>
      </c>
      <c r="I22451" s="5"/>
      <c r="J22451" s="5"/>
      <c r="K22451" s="5"/>
    </row>
    <row r="22452" spans="1:11" x14ac:dyDescent="0.25">
      <c r="A22452" s="5">
        <f>22445</f>
      </c>
      <c r="B22452" s="5" t="s">
        <v>22460</v>
      </c>
      <c r="C22452" s="5">
        <v>109.9</v>
      </c>
      <c r="D22452" s="5">
        <v>0.1</v>
      </c>
      <c r="E22452" s="5">
        <v>110.1</v>
      </c>
      <c r="F22452" s="5">
        <v>218.3</v>
      </c>
      <c r="G22452" s="5">
        <v>109</v>
      </c>
      <c r="H22452" s="5">
        <v>108.9</v>
      </c>
      <c r="I22452" s="5"/>
      <c r="J22452" s="5"/>
      <c r="K22452" s="5"/>
    </row>
    <row r="22453" spans="1:11" x14ac:dyDescent="0.25">
      <c r="A22453" s="5">
        <f>22446</f>
      </c>
      <c r="B22453" s="5" t="s">
        <v>22461</v>
      </c>
      <c r="C22453" s="5">
        <v>109.3</v>
      </c>
      <c r="D22453" s="5">
        <v>0.1</v>
      </c>
      <c r="E22453" s="5">
        <v>109.4</v>
      </c>
      <c r="F22453" s="5">
        <v>218.6</v>
      </c>
      <c r="G22453" s="5">
        <v>109.2</v>
      </c>
      <c r="H22453" s="5">
        <v>109</v>
      </c>
      <c r="I22453" s="5"/>
      <c r="J22453" s="5"/>
      <c r="K22453" s="5"/>
    </row>
    <row r="22454" spans="1:11" x14ac:dyDescent="0.25">
      <c r="A22454" s="5">
        <f>22447</f>
      </c>
      <c r="B22454" s="5" t="s">
        <v>22462</v>
      </c>
      <c r="C22454" s="5">
        <v>109.3</v>
      </c>
      <c r="D22454" s="5">
        <v>0.1</v>
      </c>
      <c r="E22454" s="5">
        <v>109.4</v>
      </c>
      <c r="F22454" s="5">
        <v>218.6</v>
      </c>
      <c r="G22454" s="5">
        <v>109.2</v>
      </c>
      <c r="H22454" s="5">
        <v>109</v>
      </c>
      <c r="I22454" s="5"/>
      <c r="J22454" s="5"/>
      <c r="K22454" s="5"/>
    </row>
    <row r="22455" spans="1:11" x14ac:dyDescent="0.25">
      <c r="A22455" s="5">
        <f>22448</f>
      </c>
      <c r="B22455" s="5" t="s">
        <v>22463</v>
      </c>
      <c r="C22455" s="5">
        <v>109.3</v>
      </c>
      <c r="D22455" s="5">
        <v>0.1</v>
      </c>
      <c r="E22455" s="5">
        <v>109.4</v>
      </c>
      <c r="F22455" s="5">
        <v>218.6</v>
      </c>
      <c r="G22455" s="5">
        <v>109.2</v>
      </c>
      <c r="H22455" s="5">
        <v>109</v>
      </c>
      <c r="I22455" s="5"/>
      <c r="J22455" s="5"/>
      <c r="K22455" s="5"/>
    </row>
    <row r="22456" spans="1:11" x14ac:dyDescent="0.25">
      <c r="A22456" s="5">
        <f>22449</f>
      </c>
      <c r="B22456" s="5" t="s">
        <v>22464</v>
      </c>
      <c r="C22456" s="5">
        <v>109.3</v>
      </c>
      <c r="D22456" s="5">
        <v>0.1</v>
      </c>
      <c r="E22456" s="5">
        <v>109.4</v>
      </c>
      <c r="F22456" s="5">
        <v>218.6</v>
      </c>
      <c r="G22456" s="5">
        <v>109.2</v>
      </c>
      <c r="H22456" s="5">
        <v>109</v>
      </c>
      <c r="I22456" s="5"/>
      <c r="J22456" s="5"/>
      <c r="K22456" s="5"/>
    </row>
    <row r="22457" spans="1:11" x14ac:dyDescent="0.25">
      <c r="A22457" s="5">
        <f>22450</f>
      </c>
      <c r="B22457" s="5" t="s">
        <v>22465</v>
      </c>
      <c r="C22457" s="5">
        <v>109.1</v>
      </c>
      <c r="D22457" s="5">
        <v>0.1</v>
      </c>
      <c r="E22457" s="5">
        <v>109.3</v>
      </c>
      <c r="F22457" s="5">
        <v>218.5</v>
      </c>
      <c r="G22457" s="5">
        <v>109</v>
      </c>
      <c r="H22457" s="5">
        <v>108.8</v>
      </c>
      <c r="I22457" s="5"/>
      <c r="J22457" s="5"/>
      <c r="K22457" s="5"/>
    </row>
    <row r="22458" spans="1:11" x14ac:dyDescent="0.25">
      <c r="A22458" s="5">
        <f>22451</f>
      </c>
      <c r="B22458" s="5" t="s">
        <v>22466</v>
      </c>
      <c r="C22458" s="5">
        <v>109.1</v>
      </c>
      <c r="D22458" s="5">
        <v>0.1</v>
      </c>
      <c r="E22458" s="5">
        <v>109.3</v>
      </c>
      <c r="F22458" s="5">
        <v>218.5</v>
      </c>
      <c r="G22458" s="5">
        <v>109</v>
      </c>
      <c r="H22458" s="5">
        <v>108.8</v>
      </c>
      <c r="I22458" s="5"/>
      <c r="J22458" s="5"/>
      <c r="K22458" s="5"/>
    </row>
    <row r="22459" spans="1:11" x14ac:dyDescent="0.25">
      <c r="A22459" s="5">
        <f>22452</f>
      </c>
      <c r="B22459" s="5" t="s">
        <v>22467</v>
      </c>
      <c r="C22459" s="5">
        <v>109.4</v>
      </c>
      <c r="D22459" s="5">
        <v>0.1</v>
      </c>
      <c r="E22459" s="5">
        <v>109.6</v>
      </c>
      <c r="F22459" s="5">
        <v>218.4</v>
      </c>
      <c r="G22459" s="5">
        <v>109</v>
      </c>
      <c r="H22459" s="5">
        <v>108.9</v>
      </c>
      <c r="I22459" s="5"/>
      <c r="J22459" s="5"/>
      <c r="K22459" s="5"/>
    </row>
    <row r="22460" spans="1:11" x14ac:dyDescent="0.25">
      <c r="A22460" s="5">
        <f>22453</f>
      </c>
      <c r="B22460" s="5" t="s">
        <v>22468</v>
      </c>
      <c r="C22460" s="5">
        <v>109.4</v>
      </c>
      <c r="D22460" s="5">
        <v>0.1</v>
      </c>
      <c r="E22460" s="5">
        <v>109.6</v>
      </c>
      <c r="F22460" s="5">
        <v>218.4</v>
      </c>
      <c r="G22460" s="5">
        <v>109</v>
      </c>
      <c r="H22460" s="5">
        <v>108.9</v>
      </c>
      <c r="I22460" s="5"/>
      <c r="J22460" s="5"/>
      <c r="K22460" s="5"/>
    </row>
    <row r="22461" spans="1:11" x14ac:dyDescent="0.25">
      <c r="A22461" s="5">
        <f>22454</f>
      </c>
      <c r="B22461" s="5" t="s">
        <v>22469</v>
      </c>
      <c r="C22461" s="5">
        <v>109.1</v>
      </c>
      <c r="D22461" s="5">
        <v>0.1</v>
      </c>
      <c r="E22461" s="5">
        <v>109.3</v>
      </c>
      <c r="F22461" s="5">
        <v>218.2</v>
      </c>
      <c r="G22461" s="5">
        <v>108.9</v>
      </c>
      <c r="H22461" s="5">
        <v>108.8</v>
      </c>
      <c r="I22461" s="5"/>
      <c r="J22461" s="5"/>
      <c r="K22461" s="5"/>
    </row>
    <row r="22462" spans="1:11" x14ac:dyDescent="0.25">
      <c r="A22462" s="5">
        <f>22455</f>
      </c>
      <c r="B22462" s="5" t="s">
        <v>22470</v>
      </c>
      <c r="C22462" s="5">
        <v>109.1</v>
      </c>
      <c r="D22462" s="5">
        <v>0.1</v>
      </c>
      <c r="E22462" s="5">
        <v>109.3</v>
      </c>
      <c r="F22462" s="5">
        <v>218.2</v>
      </c>
      <c r="G22462" s="5">
        <v>108.9</v>
      </c>
      <c r="H22462" s="5">
        <v>108.8</v>
      </c>
      <c r="I22462" s="5"/>
      <c r="J22462" s="5"/>
      <c r="K22462" s="5"/>
    </row>
    <row r="22463" spans="1:11" x14ac:dyDescent="0.25">
      <c r="A22463" s="5">
        <f>22456</f>
      </c>
      <c r="B22463" s="5" t="s">
        <v>22471</v>
      </c>
      <c r="C22463" s="5">
        <v>109.4</v>
      </c>
      <c r="D22463" s="5">
        <v>0.1</v>
      </c>
      <c r="E22463" s="5">
        <v>109.6</v>
      </c>
      <c r="F22463" s="5">
        <v>218.9</v>
      </c>
      <c r="G22463" s="5">
        <v>109.2</v>
      </c>
      <c r="H22463" s="5">
        <v>109.1</v>
      </c>
      <c r="I22463" s="5"/>
      <c r="J22463" s="5"/>
      <c r="K22463" s="5"/>
    </row>
    <row r="22464" spans="1:11" x14ac:dyDescent="0.25">
      <c r="A22464" s="5">
        <f>22457</f>
      </c>
      <c r="B22464" s="5" t="s">
        <v>22472</v>
      </c>
      <c r="C22464" s="5">
        <v>109.4</v>
      </c>
      <c r="D22464" s="5">
        <v>0.1</v>
      </c>
      <c r="E22464" s="5">
        <v>109.6</v>
      </c>
      <c r="F22464" s="5">
        <v>218.9</v>
      </c>
      <c r="G22464" s="5">
        <v>109.2</v>
      </c>
      <c r="H22464" s="5">
        <v>109.1</v>
      </c>
      <c r="I22464" s="5"/>
      <c r="J22464" s="5"/>
      <c r="K22464" s="5"/>
    </row>
    <row r="22465" spans="1:11" x14ac:dyDescent="0.25">
      <c r="A22465" s="5">
        <f>22458</f>
      </c>
      <c r="B22465" s="5" t="s">
        <v>22473</v>
      </c>
      <c r="C22465" s="5">
        <v>109.4</v>
      </c>
      <c r="D22465" s="5">
        <v>0.1</v>
      </c>
      <c r="E22465" s="5">
        <v>109.6</v>
      </c>
      <c r="F22465" s="5">
        <v>218.9</v>
      </c>
      <c r="G22465" s="5">
        <v>109.2</v>
      </c>
      <c r="H22465" s="5">
        <v>109.1</v>
      </c>
      <c r="I22465" s="5"/>
      <c r="J22465" s="5"/>
      <c r="K22465" s="5"/>
    </row>
    <row r="22466" spans="1:11" x14ac:dyDescent="0.25">
      <c r="A22466" s="5">
        <f>22459</f>
      </c>
      <c r="B22466" s="5" t="s">
        <v>22474</v>
      </c>
      <c r="C22466" s="5">
        <v>110.4</v>
      </c>
      <c r="D22466" s="5">
        <v>0.1</v>
      </c>
      <c r="E22466" s="5">
        <v>110.5</v>
      </c>
      <c r="F22466" s="5">
        <v>219.9</v>
      </c>
      <c r="G22466" s="5">
        <v>109.8</v>
      </c>
      <c r="H22466" s="5">
        <v>109.7</v>
      </c>
      <c r="I22466" s="5"/>
      <c r="J22466" s="5"/>
      <c r="K22466" s="5"/>
    </row>
    <row r="22467" spans="1:11" x14ac:dyDescent="0.25">
      <c r="A22467" s="5">
        <f>22460</f>
      </c>
      <c r="B22467" s="5" t="s">
        <v>22475</v>
      </c>
      <c r="C22467" s="5">
        <v>110.4</v>
      </c>
      <c r="D22467" s="5">
        <v>0.1</v>
      </c>
      <c r="E22467" s="5">
        <v>110.5</v>
      </c>
      <c r="F22467" s="5">
        <v>219.9</v>
      </c>
      <c r="G22467" s="5">
        <v>109.8</v>
      </c>
      <c r="H22467" s="5">
        <v>109.7</v>
      </c>
      <c r="I22467" s="5"/>
      <c r="J22467" s="5"/>
      <c r="K22467" s="5"/>
    </row>
    <row r="22468" spans="1:11" x14ac:dyDescent="0.25">
      <c r="A22468" s="5">
        <f>22461</f>
      </c>
      <c r="B22468" s="5" t="s">
        <v>22476</v>
      </c>
      <c r="C22468" s="5">
        <v>109.8</v>
      </c>
      <c r="D22468" s="5">
        <v>0.1</v>
      </c>
      <c r="E22468" s="5">
        <v>110</v>
      </c>
      <c r="F22468" s="5">
        <v>219.2</v>
      </c>
      <c r="G22468" s="5">
        <v>109.4</v>
      </c>
      <c r="H22468" s="5">
        <v>109.3</v>
      </c>
      <c r="I22468" s="5"/>
      <c r="J22468" s="5"/>
      <c r="K22468" s="5"/>
    </row>
    <row r="22469" spans="1:11" x14ac:dyDescent="0.25">
      <c r="A22469" s="5">
        <f>22462</f>
      </c>
      <c r="B22469" s="5" t="s">
        <v>22477</v>
      </c>
      <c r="C22469" s="5">
        <v>109.8</v>
      </c>
      <c r="D22469" s="5">
        <v>0.1</v>
      </c>
      <c r="E22469" s="5">
        <v>110</v>
      </c>
      <c r="F22469" s="5">
        <v>219.2</v>
      </c>
      <c r="G22469" s="5">
        <v>109.4</v>
      </c>
      <c r="H22469" s="5">
        <v>109.3</v>
      </c>
      <c r="I22469" s="5"/>
      <c r="J22469" s="5"/>
      <c r="K22469" s="5"/>
    </row>
    <row r="22470" spans="1:11" x14ac:dyDescent="0.25">
      <c r="A22470" s="5">
        <f>22463</f>
      </c>
      <c r="B22470" s="5" t="s">
        <v>22478</v>
      </c>
      <c r="C22470" s="5">
        <v>109.7</v>
      </c>
      <c r="D22470" s="5">
        <v>0.1</v>
      </c>
      <c r="E22470" s="5">
        <v>109.8</v>
      </c>
      <c r="F22470" s="5">
        <v>219.7</v>
      </c>
      <c r="G22470" s="5">
        <v>109.6</v>
      </c>
      <c r="H22470" s="5">
        <v>109.5</v>
      </c>
      <c r="I22470" s="5"/>
      <c r="J22470" s="5"/>
      <c r="K22470" s="5"/>
    </row>
    <row r="22471" spans="1:11" x14ac:dyDescent="0.25">
      <c r="A22471" s="5">
        <f>22464</f>
      </c>
      <c r="B22471" s="5" t="s">
        <v>22479</v>
      </c>
      <c r="C22471" s="5">
        <v>109.7</v>
      </c>
      <c r="D22471" s="5">
        <v>0.1</v>
      </c>
      <c r="E22471" s="5">
        <v>109.8</v>
      </c>
      <c r="F22471" s="5">
        <v>219.7</v>
      </c>
      <c r="G22471" s="5">
        <v>109.6</v>
      </c>
      <c r="H22471" s="5">
        <v>109.5</v>
      </c>
      <c r="I22471" s="5"/>
      <c r="J22471" s="5"/>
      <c r="K22471" s="5"/>
    </row>
    <row r="22472" spans="1:11" x14ac:dyDescent="0.25">
      <c r="A22472" s="5">
        <f>22465</f>
      </c>
      <c r="B22472" s="5" t="s">
        <v>22480</v>
      </c>
      <c r="C22472" s="5">
        <v>109.3</v>
      </c>
      <c r="D22472" s="5">
        <v>0.1</v>
      </c>
      <c r="E22472" s="5">
        <v>109.4</v>
      </c>
      <c r="F22472" s="5">
        <v>216.2</v>
      </c>
      <c r="G22472" s="5">
        <v>108.1</v>
      </c>
      <c r="H22472" s="5">
        <v>108.1</v>
      </c>
      <c r="I22472" s="5"/>
      <c r="J22472" s="5"/>
      <c r="K22472" s="5"/>
    </row>
    <row r="22473" spans="1:11" x14ac:dyDescent="0.25">
      <c r="A22473" s="5">
        <f>22466</f>
      </c>
      <c r="B22473" s="5" t="s">
        <v>22481</v>
      </c>
      <c r="C22473" s="5">
        <v>109.3</v>
      </c>
      <c r="D22473" s="5">
        <v>0.1</v>
      </c>
      <c r="E22473" s="5">
        <v>109.4</v>
      </c>
      <c r="F22473" s="5">
        <v>216.2</v>
      </c>
      <c r="G22473" s="5">
        <v>108.1</v>
      </c>
      <c r="H22473" s="5">
        <v>108.1</v>
      </c>
      <c r="I22473" s="5"/>
      <c r="J22473" s="5"/>
      <c r="K22473" s="5"/>
    </row>
    <row r="22474" spans="1:11" x14ac:dyDescent="0.25">
      <c r="A22474" s="5">
        <f>22467</f>
      </c>
      <c r="B22474" s="5" t="s">
        <v>22482</v>
      </c>
      <c r="C22474" s="5">
        <v>109.3</v>
      </c>
      <c r="D22474" s="5">
        <v>0.1</v>
      </c>
      <c r="E22474" s="5">
        <v>109.4</v>
      </c>
      <c r="F22474" s="5">
        <v>216.2</v>
      </c>
      <c r="G22474" s="5">
        <v>108.1</v>
      </c>
      <c r="H22474" s="5">
        <v>108.1</v>
      </c>
      <c r="I22474" s="5"/>
      <c r="J22474" s="5"/>
      <c r="K22474" s="5"/>
    </row>
    <row r="22475" spans="1:11" x14ac:dyDescent="0.25">
      <c r="A22475" s="5">
        <f>22468</f>
      </c>
      <c r="B22475" s="5" t="s">
        <v>22483</v>
      </c>
      <c r="C22475" s="5">
        <v>109.3</v>
      </c>
      <c r="D22475" s="5">
        <v>0.1</v>
      </c>
      <c r="E22475" s="5">
        <v>109.4</v>
      </c>
      <c r="F22475" s="5">
        <v>216.2</v>
      </c>
      <c r="G22475" s="5">
        <v>108.1</v>
      </c>
      <c r="H22475" s="5">
        <v>108.1</v>
      </c>
      <c r="I22475" s="5"/>
      <c r="J22475" s="5"/>
      <c r="K22475" s="5"/>
    </row>
    <row r="22476" spans="1:11" x14ac:dyDescent="0.25">
      <c r="A22476" s="5">
        <f>22469</f>
      </c>
      <c r="B22476" s="5" t="s">
        <v>22484</v>
      </c>
      <c r="C22476" s="5">
        <v>103.6</v>
      </c>
      <c r="D22476" s="5">
        <v>0.1</v>
      </c>
      <c r="E22476" s="5">
        <v>103.7</v>
      </c>
      <c r="F22476" s="5">
        <v>206</v>
      </c>
      <c r="G22476" s="5">
        <v>102.8</v>
      </c>
      <c r="H22476" s="5">
        <v>102.7</v>
      </c>
      <c r="I22476" s="5"/>
      <c r="J22476" s="5"/>
      <c r="K22476" s="5"/>
    </row>
    <row r="22477" spans="1:11" x14ac:dyDescent="0.25">
      <c r="A22477" s="5">
        <f>22470</f>
      </c>
      <c r="B22477" s="5" t="s">
        <v>22485</v>
      </c>
      <c r="C22477" s="5">
        <v>103.6</v>
      </c>
      <c r="D22477" s="5">
        <v>0.1</v>
      </c>
      <c r="E22477" s="5">
        <v>103.7</v>
      </c>
      <c r="F22477" s="5">
        <v>206</v>
      </c>
      <c r="G22477" s="5">
        <v>102.8</v>
      </c>
      <c r="H22477" s="5">
        <v>102.7</v>
      </c>
      <c r="I22477" s="5"/>
      <c r="J22477" s="5"/>
      <c r="K22477" s="5"/>
    </row>
    <row r="22478" spans="1:11" x14ac:dyDescent="0.25">
      <c r="A22478" s="5">
        <f>22471</f>
      </c>
      <c r="B22478" s="5" t="s">
        <v>22486</v>
      </c>
      <c r="C22478" s="5">
        <v>108.7</v>
      </c>
      <c r="D22478" s="5">
        <v>0.1</v>
      </c>
      <c r="E22478" s="5">
        <v>108.8</v>
      </c>
      <c r="F22478" s="5">
        <v>217.5</v>
      </c>
      <c r="G22478" s="5">
        <v>108.5</v>
      </c>
      <c r="H22478" s="5">
        <v>108.3</v>
      </c>
      <c r="I22478" s="5"/>
      <c r="J22478" s="5"/>
      <c r="K22478" s="5"/>
    </row>
    <row r="22479" spans="1:11" x14ac:dyDescent="0.25">
      <c r="A22479" s="5">
        <f>22472</f>
      </c>
      <c r="B22479" s="5" t="s">
        <v>22487</v>
      </c>
      <c r="C22479" s="5">
        <v>108.7</v>
      </c>
      <c r="D22479" s="5">
        <v>0.1</v>
      </c>
      <c r="E22479" s="5">
        <v>108.8</v>
      </c>
      <c r="F22479" s="5">
        <v>217.5</v>
      </c>
      <c r="G22479" s="5">
        <v>108.5</v>
      </c>
      <c r="H22479" s="5">
        <v>108.3</v>
      </c>
      <c r="I22479" s="5"/>
      <c r="J22479" s="5"/>
      <c r="K22479" s="5"/>
    </row>
    <row r="22480" spans="1:11" x14ac:dyDescent="0.25">
      <c r="A22480" s="5">
        <f>22473</f>
      </c>
      <c r="B22480" s="5" t="s">
        <v>22488</v>
      </c>
      <c r="C22480" s="5">
        <v>109.1</v>
      </c>
      <c r="D22480" s="5">
        <v>0.1</v>
      </c>
      <c r="E22480" s="5">
        <v>109.3</v>
      </c>
      <c r="F22480" s="5">
        <v>218.2</v>
      </c>
      <c r="G22480" s="5">
        <v>108.9</v>
      </c>
      <c r="H22480" s="5">
        <v>108.7</v>
      </c>
      <c r="I22480" s="5"/>
      <c r="J22480" s="5"/>
      <c r="K22480" s="5"/>
    </row>
    <row r="22481" spans="1:11" x14ac:dyDescent="0.25">
      <c r="A22481" s="5">
        <f>22474</f>
      </c>
      <c r="B22481" s="5" t="s">
        <v>22489</v>
      </c>
      <c r="C22481" s="5">
        <v>109.1</v>
      </c>
      <c r="D22481" s="5">
        <v>0.1</v>
      </c>
      <c r="E22481" s="5">
        <v>109.3</v>
      </c>
      <c r="F22481" s="5">
        <v>218.2</v>
      </c>
      <c r="G22481" s="5">
        <v>108.9</v>
      </c>
      <c r="H22481" s="5">
        <v>108.7</v>
      </c>
      <c r="I22481" s="5"/>
      <c r="J22481" s="5"/>
      <c r="K22481" s="5"/>
    </row>
    <row r="22482" spans="1:11" x14ac:dyDescent="0.25">
      <c r="A22482" s="5">
        <f>22475</f>
      </c>
      <c r="B22482" s="5" t="s">
        <v>22490</v>
      </c>
      <c r="C22482" s="5">
        <v>103.9</v>
      </c>
      <c r="D22482" s="5">
        <v>0.1</v>
      </c>
      <c r="E22482" s="5">
        <v>104</v>
      </c>
      <c r="F22482" s="5">
        <v>207.9</v>
      </c>
      <c r="G22482" s="5">
        <v>103.7</v>
      </c>
      <c r="H22482" s="5">
        <v>103.6</v>
      </c>
      <c r="I22482" s="5"/>
      <c r="J22482" s="5"/>
      <c r="K22482" s="5"/>
    </row>
    <row r="22483" spans="1:11" x14ac:dyDescent="0.25">
      <c r="A22483" s="5">
        <f>22476</f>
      </c>
      <c r="B22483" s="5" t="s">
        <v>22491</v>
      </c>
      <c r="C22483" s="5">
        <v>103.9</v>
      </c>
      <c r="D22483" s="5">
        <v>0.1</v>
      </c>
      <c r="E22483" s="5">
        <v>104</v>
      </c>
      <c r="F22483" s="5">
        <v>207.9</v>
      </c>
      <c r="G22483" s="5">
        <v>103.7</v>
      </c>
      <c r="H22483" s="5">
        <v>103.6</v>
      </c>
      <c r="I22483" s="5"/>
      <c r="J22483" s="5"/>
      <c r="K22483" s="5"/>
    </row>
    <row r="22484" spans="1:11" x14ac:dyDescent="0.25">
      <c r="A22484" s="5">
        <f>22477</f>
      </c>
      <c r="B22484" s="5" t="s">
        <v>22492</v>
      </c>
      <c r="C22484" s="5">
        <v>103.9</v>
      </c>
      <c r="D22484" s="5">
        <v>0.1</v>
      </c>
      <c r="E22484" s="5">
        <v>104</v>
      </c>
      <c r="F22484" s="5">
        <v>207.9</v>
      </c>
      <c r="G22484" s="5">
        <v>103.7</v>
      </c>
      <c r="H22484" s="5">
        <v>103.6</v>
      </c>
      <c r="I22484" s="5"/>
      <c r="J22484" s="5"/>
      <c r="K22484" s="5"/>
    </row>
    <row r="22485" spans="1:11" x14ac:dyDescent="0.25">
      <c r="A22485" s="5">
        <f>22478</f>
      </c>
      <c r="B22485" s="5" t="s">
        <v>22493</v>
      </c>
      <c r="C22485" s="5">
        <v>103.9</v>
      </c>
      <c r="D22485" s="5">
        <v>0.1</v>
      </c>
      <c r="E22485" s="5">
        <v>104</v>
      </c>
      <c r="F22485" s="5">
        <v>207.9</v>
      </c>
      <c r="G22485" s="5">
        <v>103.7</v>
      </c>
      <c r="H22485" s="5">
        <v>103.6</v>
      </c>
      <c r="I22485" s="5"/>
      <c r="J22485" s="5"/>
      <c r="K22485" s="5"/>
    </row>
    <row r="22486" spans="1:11" x14ac:dyDescent="0.25">
      <c r="A22486" s="5">
        <f>22479</f>
      </c>
      <c r="B22486" s="5" t="s">
        <v>22494</v>
      </c>
      <c r="C22486" s="5">
        <v>103.4</v>
      </c>
      <c r="D22486" s="5">
        <v>0.1</v>
      </c>
      <c r="E22486" s="5">
        <v>103.5</v>
      </c>
      <c r="F22486" s="5">
        <v>206.2</v>
      </c>
      <c r="G22486" s="5">
        <v>102.9</v>
      </c>
      <c r="H22486" s="5">
        <v>102.9</v>
      </c>
      <c r="I22486" s="5"/>
      <c r="J22486" s="5"/>
      <c r="K22486" s="5"/>
    </row>
    <row r="22487" spans="1:11" x14ac:dyDescent="0.25">
      <c r="A22487" s="5">
        <f>22480</f>
      </c>
      <c r="B22487" s="5" t="s">
        <v>22495</v>
      </c>
      <c r="C22487" s="5">
        <v>103.4</v>
      </c>
      <c r="D22487" s="5">
        <v>0.1</v>
      </c>
      <c r="E22487" s="5">
        <v>103.5</v>
      </c>
      <c r="F22487" s="5">
        <v>206.2</v>
      </c>
      <c r="G22487" s="5">
        <v>102.9</v>
      </c>
      <c r="H22487" s="5">
        <v>102.9</v>
      </c>
      <c r="I22487" s="5"/>
      <c r="J22487" s="5"/>
      <c r="K22487" s="5"/>
    </row>
    <row r="22488" spans="1:11" x14ac:dyDescent="0.25">
      <c r="A22488" s="5">
        <f>22481</f>
      </c>
      <c r="B22488" s="5" t="s">
        <v>22496</v>
      </c>
      <c r="C22488" s="5">
        <v>104.2</v>
      </c>
      <c r="D22488" s="5">
        <v>0.1</v>
      </c>
      <c r="E22488" s="5">
        <v>104.3</v>
      </c>
      <c r="F22488" s="5">
        <v>208.5</v>
      </c>
      <c r="G22488" s="5">
        <v>104</v>
      </c>
      <c r="H22488" s="5">
        <v>103.8</v>
      </c>
      <c r="I22488" s="5"/>
      <c r="J22488" s="5"/>
      <c r="K22488" s="5"/>
    </row>
    <row r="22489" spans="1:11" x14ac:dyDescent="0.25">
      <c r="A22489" s="5">
        <f>22482</f>
      </c>
      <c r="B22489" s="5" t="s">
        <v>22497</v>
      </c>
      <c r="C22489" s="5">
        <v>104.2</v>
      </c>
      <c r="D22489" s="5">
        <v>0.1</v>
      </c>
      <c r="E22489" s="5">
        <v>104.3</v>
      </c>
      <c r="F22489" s="5">
        <v>208.5</v>
      </c>
      <c r="G22489" s="5">
        <v>104</v>
      </c>
      <c r="H22489" s="5">
        <v>103.8</v>
      </c>
      <c r="I22489" s="5"/>
      <c r="J22489" s="5"/>
      <c r="K22489" s="5"/>
    </row>
    <row r="22490" spans="1:11" x14ac:dyDescent="0.25">
      <c r="A22490" s="5">
        <f>22483</f>
      </c>
      <c r="B22490" s="5" t="s">
        <v>22498</v>
      </c>
      <c r="C22490" s="5">
        <v>108.5</v>
      </c>
      <c r="D22490" s="5">
        <v>0.1</v>
      </c>
      <c r="E22490" s="5">
        <v>108.7</v>
      </c>
      <c r="F22490" s="5">
        <v>219.2</v>
      </c>
      <c r="G22490" s="5">
        <v>109.4</v>
      </c>
      <c r="H22490" s="5">
        <v>103.8</v>
      </c>
      <c r="I22490" s="5"/>
      <c r="J22490" s="5"/>
      <c r="K22490" s="5"/>
    </row>
    <row r="22491" spans="1:11" x14ac:dyDescent="0.25">
      <c r="A22491" s="5">
        <f>22484</f>
      </c>
      <c r="B22491" s="5" t="s">
        <v>22499</v>
      </c>
      <c r="C22491" s="5">
        <v>108.5</v>
      </c>
      <c r="D22491" s="5">
        <v>0.1</v>
      </c>
      <c r="E22491" s="5">
        <v>108.7</v>
      </c>
      <c r="F22491" s="5">
        <v>219.2</v>
      </c>
      <c r="G22491" s="5">
        <v>109.4</v>
      </c>
      <c r="H22491" s="5">
        <v>109.2</v>
      </c>
      <c r="I22491" s="5"/>
      <c r="J22491" s="5"/>
      <c r="K22491" s="5"/>
    </row>
    <row r="22492" spans="1:11" x14ac:dyDescent="0.25">
      <c r="A22492" s="5">
        <f>22485</f>
      </c>
      <c r="B22492" s="5" t="s">
        <v>22500</v>
      </c>
      <c r="C22492" s="5">
        <v>102.8</v>
      </c>
      <c r="D22492" s="5">
        <v>0.1</v>
      </c>
      <c r="E22492" s="5">
        <v>103</v>
      </c>
      <c r="F22492" s="5">
        <v>206.3</v>
      </c>
      <c r="G22492" s="5">
        <v>102.9</v>
      </c>
      <c r="H22492" s="5">
        <v>109.2</v>
      </c>
      <c r="I22492" s="5"/>
      <c r="J22492" s="5"/>
      <c r="K22492" s="5"/>
    </row>
    <row r="22493" spans="1:11" x14ac:dyDescent="0.25">
      <c r="A22493" s="5">
        <f>22486</f>
      </c>
      <c r="B22493" s="5" t="s">
        <v>22501</v>
      </c>
      <c r="C22493" s="5">
        <v>102.8</v>
      </c>
      <c r="D22493" s="5">
        <v>0.1</v>
      </c>
      <c r="E22493" s="5">
        <v>103</v>
      </c>
      <c r="F22493" s="5">
        <v>206.3</v>
      </c>
      <c r="G22493" s="5">
        <v>102.9</v>
      </c>
      <c r="H22493" s="5">
        <v>102.7</v>
      </c>
      <c r="I22493" s="5"/>
      <c r="J22493" s="5"/>
      <c r="K22493" s="5"/>
    </row>
    <row r="22494" spans="1:11" x14ac:dyDescent="0.25">
      <c r="A22494" s="5">
        <f>22487</f>
      </c>
      <c r="B22494" s="5" t="s">
        <v>22502</v>
      </c>
      <c r="C22494" s="5">
        <v>102.8</v>
      </c>
      <c r="D22494" s="5">
        <v>0.1</v>
      </c>
      <c r="E22494" s="5">
        <v>103</v>
      </c>
      <c r="F22494" s="5">
        <v>206.3</v>
      </c>
      <c r="G22494" s="5">
        <v>102.9</v>
      </c>
      <c r="H22494" s="5">
        <v>102.7</v>
      </c>
      <c r="I22494" s="5"/>
      <c r="J22494" s="5"/>
      <c r="K22494" s="5"/>
    </row>
    <row r="22495" spans="1:11" x14ac:dyDescent="0.25">
      <c r="A22495" s="5">
        <f>22488</f>
      </c>
      <c r="B22495" s="5" t="s">
        <v>22503</v>
      </c>
      <c r="C22495" s="5">
        <v>102.8</v>
      </c>
      <c r="D22495" s="5">
        <v>0.1</v>
      </c>
      <c r="E22495" s="5">
        <v>103</v>
      </c>
      <c r="F22495" s="5">
        <v>206.3</v>
      </c>
      <c r="G22495" s="5">
        <v>102.9</v>
      </c>
      <c r="H22495" s="5">
        <v>102.7</v>
      </c>
      <c r="I22495" s="5"/>
      <c r="J22495" s="5"/>
      <c r="K22495" s="5"/>
    </row>
    <row r="22496" spans="1:11" x14ac:dyDescent="0.25">
      <c r="A22496" s="5">
        <f>22489</f>
      </c>
      <c r="B22496" s="5" t="s">
        <v>22504</v>
      </c>
      <c r="C22496" s="5">
        <v>103</v>
      </c>
      <c r="D22496" s="5">
        <v>0.1</v>
      </c>
      <c r="E22496" s="5">
        <v>103.1</v>
      </c>
      <c r="F22496" s="5">
        <v>206.4</v>
      </c>
      <c r="G22496" s="5">
        <v>102.9</v>
      </c>
      <c r="H22496" s="5">
        <v>102.7</v>
      </c>
      <c r="I22496" s="5"/>
      <c r="J22496" s="5"/>
      <c r="K22496" s="5"/>
    </row>
    <row r="22497" spans="1:11" x14ac:dyDescent="0.25">
      <c r="A22497" s="5">
        <f>22490</f>
      </c>
      <c r="B22497" s="5" t="s">
        <v>22505</v>
      </c>
      <c r="C22497" s="5">
        <v>103</v>
      </c>
      <c r="D22497" s="5">
        <v>0.1</v>
      </c>
      <c r="E22497" s="5">
        <v>103.1</v>
      </c>
      <c r="F22497" s="5">
        <v>206.4</v>
      </c>
      <c r="G22497" s="5">
        <v>102.9</v>
      </c>
      <c r="H22497" s="5">
        <v>102.7</v>
      </c>
      <c r="I22497" s="5"/>
      <c r="J22497" s="5"/>
      <c r="K22497" s="5"/>
    </row>
    <row r="22498" spans="1:11" x14ac:dyDescent="0.25">
      <c r="A22498" s="5">
        <f>22491</f>
      </c>
      <c r="B22498" s="5" t="s">
        <v>22506</v>
      </c>
      <c r="C22498" s="5">
        <v>102.8</v>
      </c>
      <c r="D22498" s="5">
        <v>0.1</v>
      </c>
      <c r="E22498" s="5">
        <v>103</v>
      </c>
      <c r="F22498" s="5">
        <v>206.1</v>
      </c>
      <c r="G22498" s="5">
        <v>102.8</v>
      </c>
      <c r="H22498" s="5">
        <v>102.7</v>
      </c>
      <c r="I22498" s="5"/>
      <c r="J22498" s="5"/>
      <c r="K22498" s="5"/>
    </row>
    <row r="22499" spans="1:11" x14ac:dyDescent="0.25">
      <c r="A22499" s="5">
        <f>22492</f>
      </c>
      <c r="B22499" s="5" t="s">
        <v>22507</v>
      </c>
      <c r="C22499" s="5">
        <v>102.8</v>
      </c>
      <c r="D22499" s="5">
        <v>0.1</v>
      </c>
      <c r="E22499" s="5">
        <v>103</v>
      </c>
      <c r="F22499" s="5">
        <v>206.1</v>
      </c>
      <c r="G22499" s="5">
        <v>102.8</v>
      </c>
      <c r="H22499" s="5">
        <v>102.7</v>
      </c>
      <c r="I22499" s="5"/>
      <c r="J22499" s="5"/>
      <c r="K22499" s="5"/>
    </row>
    <row r="22500" spans="1:11" x14ac:dyDescent="0.25">
      <c r="A22500" s="5">
        <f>22493</f>
      </c>
      <c r="B22500" s="5" t="s">
        <v>22508</v>
      </c>
      <c r="C22500" s="5">
        <v>102.8</v>
      </c>
      <c r="D22500" s="5">
        <v>0.1</v>
      </c>
      <c r="E22500" s="5">
        <v>103.1</v>
      </c>
      <c r="F22500" s="5">
        <v>209.6</v>
      </c>
      <c r="G22500" s="5">
        <v>104.4</v>
      </c>
      <c r="H22500" s="5">
        <v>104.1</v>
      </c>
      <c r="I22500" s="5"/>
      <c r="J22500" s="5"/>
      <c r="K22500" s="5"/>
    </row>
    <row r="22501" spans="1:11" x14ac:dyDescent="0.25">
      <c r="A22501" s="5">
        <f>22494</f>
      </c>
      <c r="B22501" s="5" t="s">
        <v>22509</v>
      </c>
      <c r="C22501" s="5">
        <v>102.9</v>
      </c>
      <c r="D22501" s="5">
        <v>0.1</v>
      </c>
      <c r="E22501" s="5">
        <v>103.1</v>
      </c>
      <c r="F22501" s="5">
        <v>209.6</v>
      </c>
      <c r="G22501" s="5">
        <v>104.4</v>
      </c>
      <c r="H22501" s="5">
        <v>104.1</v>
      </c>
      <c r="I22501" s="5"/>
      <c r="J22501" s="5"/>
      <c r="K22501" s="5"/>
    </row>
    <row r="22502" spans="1:11" x14ac:dyDescent="0.25">
      <c r="A22502" s="5">
        <f>22495</f>
      </c>
      <c r="B22502" s="5" t="s">
        <v>22510</v>
      </c>
      <c r="C22502" s="5">
        <v>102.9</v>
      </c>
      <c r="D22502" s="5">
        <v>0.1</v>
      </c>
      <c r="E22502" s="5">
        <v>103.1</v>
      </c>
      <c r="F22502" s="5">
        <v>218.4</v>
      </c>
      <c r="G22502" s="5">
        <v>109</v>
      </c>
      <c r="H22502" s="5">
        <v>108.9</v>
      </c>
      <c r="I22502" s="5"/>
      <c r="J22502" s="5"/>
      <c r="K22502" s="5"/>
    </row>
    <row r="22503" spans="1:11" x14ac:dyDescent="0.25">
      <c r="A22503" s="5">
        <f>22496</f>
      </c>
      <c r="B22503" s="5" t="s">
        <v>22511</v>
      </c>
      <c r="C22503" s="5">
        <v>109.2</v>
      </c>
      <c r="D22503" s="5">
        <v>0.1</v>
      </c>
      <c r="E22503" s="5">
        <v>109.4</v>
      </c>
      <c r="F22503" s="5">
        <v>218.4</v>
      </c>
      <c r="G22503" s="5">
        <v>109</v>
      </c>
      <c r="H22503" s="5">
        <v>108.9</v>
      </c>
      <c r="I22503" s="5"/>
      <c r="J22503" s="5"/>
      <c r="K22503" s="5"/>
    </row>
    <row r="22504" spans="1:11" x14ac:dyDescent="0.25">
      <c r="A22504" s="5">
        <f>22497</f>
      </c>
      <c r="B22504" s="5" t="s">
        <v>22512</v>
      </c>
      <c r="C22504" s="5">
        <v>109.2</v>
      </c>
      <c r="D22504" s="5">
        <v>0.1</v>
      </c>
      <c r="E22504" s="5">
        <v>109.4</v>
      </c>
      <c r="F22504" s="5">
        <v>218.4</v>
      </c>
      <c r="G22504" s="5">
        <v>109</v>
      </c>
      <c r="H22504" s="5">
        <v>108.9</v>
      </c>
      <c r="I22504" s="5"/>
      <c r="J22504" s="5"/>
      <c r="K22504" s="5"/>
    </row>
    <row r="22505" spans="1:11" x14ac:dyDescent="0.25">
      <c r="A22505" s="5">
        <f>22498</f>
      </c>
      <c r="B22505" s="5" t="s">
        <v>22513</v>
      </c>
      <c r="C22505" s="5">
        <v>109.2</v>
      </c>
      <c r="D22505" s="5">
        <v>0.1</v>
      </c>
      <c r="E22505" s="5">
        <v>109.4</v>
      </c>
      <c r="F22505" s="5">
        <v>218.4</v>
      </c>
      <c r="G22505" s="5">
        <v>109</v>
      </c>
      <c r="H22505" s="5">
        <v>108.9</v>
      </c>
      <c r="I22505" s="5"/>
      <c r="J22505" s="5"/>
      <c r="K22505" s="5"/>
    </row>
    <row r="22506" spans="1:11" x14ac:dyDescent="0.25">
      <c r="A22506" s="5">
        <f>22499</f>
      </c>
      <c r="B22506" s="5" t="s">
        <v>22514</v>
      </c>
      <c r="C22506" s="5">
        <v>110</v>
      </c>
      <c r="D22506" s="5">
        <v>0.1</v>
      </c>
      <c r="E22506" s="5">
        <v>110.1</v>
      </c>
      <c r="F22506" s="5">
        <v>219.6</v>
      </c>
      <c r="G22506" s="5">
        <v>109.6</v>
      </c>
      <c r="H22506" s="5">
        <v>109.4</v>
      </c>
      <c r="I22506" s="5"/>
      <c r="J22506" s="5"/>
      <c r="K22506" s="5"/>
    </row>
    <row r="22507" spans="1:11" x14ac:dyDescent="0.25">
      <c r="A22507" s="5">
        <f>22500</f>
      </c>
      <c r="B22507" s="5" t="s">
        <v>22515</v>
      </c>
      <c r="C22507" s="5">
        <v>110</v>
      </c>
      <c r="D22507" s="5">
        <v>0.1</v>
      </c>
      <c r="E22507" s="5">
        <v>110.1</v>
      </c>
      <c r="F22507" s="5">
        <v>219.6</v>
      </c>
      <c r="G22507" s="5">
        <v>109.6</v>
      </c>
      <c r="H22507" s="5">
        <v>109.4</v>
      </c>
      <c r="I22507" s="5"/>
      <c r="J22507" s="5"/>
      <c r="K22507" s="5"/>
    </row>
    <row r="22508" spans="1:11" x14ac:dyDescent="0.25">
      <c r="A22508" s="5">
        <f>22501</f>
      </c>
      <c r="B22508" s="5" t="s">
        <v>22516</v>
      </c>
      <c r="C22508" s="5">
        <v>104</v>
      </c>
      <c r="D22508" s="5">
        <v>0.1</v>
      </c>
      <c r="E22508" s="5">
        <v>104.1</v>
      </c>
      <c r="F22508" s="5">
        <v>207.5</v>
      </c>
      <c r="G22508" s="5">
        <v>103.5</v>
      </c>
      <c r="H22508" s="5">
        <v>103.3</v>
      </c>
      <c r="I22508" s="5"/>
      <c r="J22508" s="5"/>
      <c r="K22508" s="5"/>
    </row>
    <row r="22509" spans="1:11" x14ac:dyDescent="0.25">
      <c r="A22509" s="5">
        <f>22502</f>
      </c>
      <c r="B22509" s="5" t="s">
        <v>22517</v>
      </c>
      <c r="C22509" s="5">
        <v>104</v>
      </c>
      <c r="D22509" s="5">
        <v>0.1</v>
      </c>
      <c r="E22509" s="5">
        <v>104.1</v>
      </c>
      <c r="F22509" s="5">
        <v>207.5</v>
      </c>
      <c r="G22509" s="5">
        <v>103.5</v>
      </c>
      <c r="H22509" s="5">
        <v>103.3</v>
      </c>
      <c r="I22509" s="5"/>
      <c r="J22509" s="5"/>
      <c r="K22509" s="5"/>
    </row>
    <row r="22510" spans="1:11" x14ac:dyDescent="0.25">
      <c r="A22510" s="5">
        <f>22503</f>
      </c>
      <c r="B22510" s="5" t="s">
        <v>22518</v>
      </c>
      <c r="C22510" s="5">
        <v>102.4</v>
      </c>
      <c r="D22510" s="5">
        <v>0.1</v>
      </c>
      <c r="E22510" s="5">
        <v>102.6</v>
      </c>
      <c r="F22510" s="5">
        <v>205.9</v>
      </c>
      <c r="G22510" s="5">
        <v>102.7</v>
      </c>
      <c r="H22510" s="5">
        <v>102.6</v>
      </c>
      <c r="I22510" s="5"/>
      <c r="J22510" s="5"/>
      <c r="K22510" s="5"/>
    </row>
    <row r="22511" spans="1:11" x14ac:dyDescent="0.25">
      <c r="A22511" s="5">
        <f>22504</f>
      </c>
      <c r="B22511" s="5" t="s">
        <v>22519</v>
      </c>
      <c r="C22511" s="5">
        <v>102.4</v>
      </c>
      <c r="D22511" s="5">
        <v>0.1</v>
      </c>
      <c r="E22511" s="5">
        <v>102.6</v>
      </c>
      <c r="F22511" s="5">
        <v>205.9</v>
      </c>
      <c r="G22511" s="5">
        <v>102.7</v>
      </c>
      <c r="H22511" s="5">
        <v>102.6</v>
      </c>
      <c r="I22511" s="5"/>
      <c r="J22511" s="5"/>
      <c r="K22511" s="5"/>
    </row>
    <row r="22512" spans="1:11" x14ac:dyDescent="0.25">
      <c r="A22512" s="5">
        <f>22505</f>
      </c>
      <c r="B22512" s="5" t="s">
        <v>22520</v>
      </c>
      <c r="C22512" s="5">
        <v>102.9</v>
      </c>
      <c r="D22512" s="5">
        <v>0.1</v>
      </c>
      <c r="E22512" s="5">
        <v>103.1</v>
      </c>
      <c r="F22512" s="5">
        <v>206.9</v>
      </c>
      <c r="G22512" s="5">
        <v>103.2</v>
      </c>
      <c r="H22512" s="5">
        <v>103</v>
      </c>
      <c r="I22512" s="5"/>
      <c r="J22512" s="5"/>
      <c r="K22512" s="5"/>
    </row>
    <row r="22513" spans="1:11" x14ac:dyDescent="0.25">
      <c r="A22513" s="5">
        <f>22506</f>
      </c>
      <c r="B22513" s="5" t="s">
        <v>22521</v>
      </c>
      <c r="C22513" s="5">
        <v>102.9</v>
      </c>
      <c r="D22513" s="5">
        <v>0.1</v>
      </c>
      <c r="E22513" s="5">
        <v>103.1</v>
      </c>
      <c r="F22513" s="5">
        <v>206.9</v>
      </c>
      <c r="G22513" s="5">
        <v>103.2</v>
      </c>
      <c r="H22513" s="5">
        <v>103</v>
      </c>
      <c r="I22513" s="5"/>
      <c r="J22513" s="5"/>
      <c r="K22513" s="5"/>
    </row>
    <row r="22514" spans="1:11" x14ac:dyDescent="0.25">
      <c r="A22514" s="5">
        <f>22507</f>
      </c>
      <c r="B22514" s="5" t="s">
        <v>22522</v>
      </c>
      <c r="C22514" s="5">
        <v>102.9</v>
      </c>
      <c r="D22514" s="5">
        <v>0.1</v>
      </c>
      <c r="E22514" s="5">
        <v>103.1</v>
      </c>
      <c r="F22514" s="5">
        <v>206.9</v>
      </c>
      <c r="G22514" s="5">
        <v>103.2</v>
      </c>
      <c r="H22514" s="5">
        <v>103</v>
      </c>
      <c r="I22514" s="5"/>
      <c r="J22514" s="5"/>
      <c r="K22514" s="5"/>
    </row>
    <row r="22515" spans="1:11" x14ac:dyDescent="0.25">
      <c r="A22515" s="5">
        <f>22508</f>
      </c>
      <c r="B22515" s="5" t="s">
        <v>22523</v>
      </c>
      <c r="C22515" s="5">
        <v>102.9</v>
      </c>
      <c r="D22515" s="5">
        <v>0.1</v>
      </c>
      <c r="E22515" s="5">
        <v>103.1</v>
      </c>
      <c r="F22515" s="5">
        <v>206.9</v>
      </c>
      <c r="G22515" s="5">
        <v>103.2</v>
      </c>
      <c r="H22515" s="5">
        <v>103</v>
      </c>
      <c r="I22515" s="5"/>
      <c r="J22515" s="5"/>
      <c r="K22515" s="5"/>
    </row>
    <row r="22516" spans="1:11" x14ac:dyDescent="0.25">
      <c r="A22516" s="5">
        <f>22509</f>
      </c>
      <c r="B22516" s="5" t="s">
        <v>22524</v>
      </c>
      <c r="C22516" s="5">
        <v>108.7</v>
      </c>
      <c r="D22516" s="5">
        <v>0.1</v>
      </c>
      <c r="E22516" s="5">
        <v>108.9</v>
      </c>
      <c r="F22516" s="5">
        <v>217.9</v>
      </c>
      <c r="G22516" s="5">
        <v>108.8</v>
      </c>
      <c r="H22516" s="5">
        <v>108.7</v>
      </c>
      <c r="I22516" s="5"/>
      <c r="J22516" s="5"/>
      <c r="K22516" s="5"/>
    </row>
    <row r="22517" spans="1:11" x14ac:dyDescent="0.25">
      <c r="A22517" s="5">
        <f>22510</f>
      </c>
      <c r="B22517" s="5" t="s">
        <v>22525</v>
      </c>
      <c r="C22517" s="5">
        <v>108.7</v>
      </c>
      <c r="D22517" s="5">
        <v>0.1</v>
      </c>
      <c r="E22517" s="5">
        <v>108.9</v>
      </c>
      <c r="F22517" s="5">
        <v>217.9</v>
      </c>
      <c r="G22517" s="5">
        <v>108.8</v>
      </c>
      <c r="H22517" s="5">
        <v>108.7</v>
      </c>
      <c r="I22517" s="5"/>
      <c r="J22517" s="5"/>
      <c r="K22517" s="5"/>
    </row>
    <row r="22518" spans="1:11" x14ac:dyDescent="0.25">
      <c r="A22518" s="5">
        <f>22511</f>
      </c>
      <c r="B22518" s="5" t="s">
        <v>22526</v>
      </c>
      <c r="C22518" s="5">
        <v>109.4</v>
      </c>
      <c r="D22518" s="5">
        <v>0.1</v>
      </c>
      <c r="E22518" s="5">
        <v>109.5</v>
      </c>
      <c r="F22518" s="5">
        <v>218.4</v>
      </c>
      <c r="G22518" s="5">
        <v>109</v>
      </c>
      <c r="H22518" s="5">
        <v>108.8</v>
      </c>
      <c r="I22518" s="5"/>
      <c r="J22518" s="5"/>
      <c r="K22518" s="5"/>
    </row>
    <row r="22519" spans="1:11" x14ac:dyDescent="0.25">
      <c r="A22519" s="5">
        <f>22512</f>
      </c>
      <c r="B22519" s="5" t="s">
        <v>22527</v>
      </c>
      <c r="C22519" s="5">
        <v>109.4</v>
      </c>
      <c r="D22519" s="5">
        <v>0.1</v>
      </c>
      <c r="E22519" s="5">
        <v>109.5</v>
      </c>
      <c r="F22519" s="5">
        <v>218.4</v>
      </c>
      <c r="G22519" s="5">
        <v>109</v>
      </c>
      <c r="H22519" s="5">
        <v>108.8</v>
      </c>
      <c r="I22519" s="5"/>
      <c r="J22519" s="5"/>
      <c r="K22519" s="5"/>
    </row>
    <row r="22520" spans="1:11" x14ac:dyDescent="0.25">
      <c r="A22520" s="5">
        <f>22513</f>
      </c>
      <c r="B22520" s="5" t="s">
        <v>22528</v>
      </c>
      <c r="C22520" s="5">
        <v>109.1</v>
      </c>
      <c r="D22520" s="5">
        <v>0.1</v>
      </c>
      <c r="E22520" s="5">
        <v>109.3</v>
      </c>
      <c r="F22520" s="5">
        <v>216.8</v>
      </c>
      <c r="G22520" s="5">
        <v>108.4</v>
      </c>
      <c r="H22520" s="5">
        <v>108.3</v>
      </c>
      <c r="I22520" s="5"/>
      <c r="J22520" s="5"/>
      <c r="K22520" s="5"/>
    </row>
    <row r="22521" spans="1:11" x14ac:dyDescent="0.25">
      <c r="A22521" s="5">
        <f>22514</f>
      </c>
      <c r="B22521" s="5" t="s">
        <v>22529</v>
      </c>
      <c r="C22521" s="5">
        <v>109.1</v>
      </c>
      <c r="D22521" s="5">
        <v>0.1</v>
      </c>
      <c r="E22521" s="5">
        <v>109.3</v>
      </c>
      <c r="F22521" s="5">
        <v>216.8</v>
      </c>
      <c r="G22521" s="5">
        <v>108.4</v>
      </c>
      <c r="H22521" s="5">
        <v>108.3</v>
      </c>
      <c r="I22521" s="5"/>
      <c r="J22521" s="5"/>
      <c r="K22521" s="5"/>
    </row>
    <row r="22522" spans="1:11" x14ac:dyDescent="0.25">
      <c r="A22522" s="5">
        <f>22515</f>
      </c>
      <c r="B22522" s="5" t="s">
        <v>22530</v>
      </c>
      <c r="C22522" s="5">
        <v>109.4</v>
      </c>
      <c r="D22522" s="5">
        <v>0.1</v>
      </c>
      <c r="E22522" s="5">
        <v>109.5</v>
      </c>
      <c r="F22522" s="5">
        <v>218.3</v>
      </c>
      <c r="G22522" s="5">
        <v>109</v>
      </c>
      <c r="H22522" s="5">
        <v>108.8</v>
      </c>
      <c r="I22522" s="5"/>
      <c r="J22522" s="5"/>
      <c r="K22522" s="5"/>
    </row>
    <row r="22523" spans="1:11" x14ac:dyDescent="0.25">
      <c r="A22523" s="5">
        <f>22516</f>
      </c>
      <c r="B22523" s="5" t="s">
        <v>22531</v>
      </c>
      <c r="C22523" s="5">
        <v>109.4</v>
      </c>
      <c r="D22523" s="5">
        <v>0.1</v>
      </c>
      <c r="E22523" s="5">
        <v>109.5</v>
      </c>
      <c r="F22523" s="5">
        <v>218.3</v>
      </c>
      <c r="G22523" s="5">
        <v>109</v>
      </c>
      <c r="H22523" s="5">
        <v>108.8</v>
      </c>
      <c r="I22523" s="5"/>
      <c r="J22523" s="5"/>
      <c r="K22523" s="5"/>
    </row>
    <row r="22524" spans="1:11" x14ac:dyDescent="0.25">
      <c r="A22524" s="5">
        <f>22517</f>
      </c>
      <c r="B22524" s="5" t="s">
        <v>22532</v>
      </c>
      <c r="C22524" s="5">
        <v>109.4</v>
      </c>
      <c r="D22524" s="5">
        <v>0.1</v>
      </c>
      <c r="E22524" s="5">
        <v>109.5</v>
      </c>
      <c r="F22524" s="5">
        <v>218.3</v>
      </c>
      <c r="G22524" s="5">
        <v>109</v>
      </c>
      <c r="H22524" s="5">
        <v>108.8</v>
      </c>
      <c r="I22524" s="5"/>
      <c r="J22524" s="5"/>
      <c r="K22524" s="5"/>
    </row>
    <row r="22525" spans="1:11" x14ac:dyDescent="0.25">
      <c r="A22525" s="5">
        <f>22518</f>
      </c>
      <c r="B22525" s="5" t="s">
        <v>22533</v>
      </c>
      <c r="C22525" s="5">
        <v>109.4</v>
      </c>
      <c r="D22525" s="5">
        <v>0.1</v>
      </c>
      <c r="E22525" s="5">
        <v>109.5</v>
      </c>
      <c r="F22525" s="5">
        <v>218.3</v>
      </c>
      <c r="G22525" s="5">
        <v>109</v>
      </c>
      <c r="H22525" s="5">
        <v>108.8</v>
      </c>
      <c r="I22525" s="5"/>
      <c r="J22525" s="5"/>
      <c r="K22525" s="5"/>
    </row>
    <row r="22526" spans="1:11" x14ac:dyDescent="0.25">
      <c r="A22526" s="5">
        <f>22519</f>
      </c>
      <c r="B22526" s="5" t="s">
        <v>22534</v>
      </c>
      <c r="C22526" s="5">
        <v>109.4</v>
      </c>
      <c r="D22526" s="5">
        <v>0.1</v>
      </c>
      <c r="E22526" s="5">
        <v>109.6</v>
      </c>
      <c r="F22526" s="5">
        <v>218.2</v>
      </c>
      <c r="G22526" s="5">
        <v>108.9</v>
      </c>
      <c r="H22526" s="5">
        <v>108.8</v>
      </c>
      <c r="I22526" s="5"/>
      <c r="J22526" s="5"/>
      <c r="K22526" s="5"/>
    </row>
    <row r="22527" spans="1:11" x14ac:dyDescent="0.25">
      <c r="A22527" s="5">
        <f>22520</f>
      </c>
      <c r="B22527" s="5" t="s">
        <v>22535</v>
      </c>
      <c r="C22527" s="5">
        <v>109.4</v>
      </c>
      <c r="D22527" s="5">
        <v>0.1</v>
      </c>
      <c r="E22527" s="5">
        <v>109.6</v>
      </c>
      <c r="F22527" s="5">
        <v>218.2</v>
      </c>
      <c r="G22527" s="5">
        <v>108.9</v>
      </c>
      <c r="H22527" s="5">
        <v>108.8</v>
      </c>
      <c r="I22527" s="5"/>
      <c r="J22527" s="5"/>
      <c r="K22527" s="5"/>
    </row>
    <row r="22528" spans="1:11" x14ac:dyDescent="0.25">
      <c r="A22528" s="5">
        <f>22521</f>
      </c>
      <c r="B22528" s="5" t="s">
        <v>22536</v>
      </c>
      <c r="C22528" s="5">
        <v>107.4</v>
      </c>
      <c r="D22528" s="5">
        <v>0.1</v>
      </c>
      <c r="E22528" s="5">
        <v>107.5</v>
      </c>
      <c r="F22528" s="5">
        <v>210</v>
      </c>
      <c r="G22528" s="5">
        <v>105</v>
      </c>
      <c r="H22528" s="5">
        <v>105</v>
      </c>
      <c r="I22528" s="5"/>
      <c r="J22528" s="5"/>
      <c r="K22528" s="5"/>
    </row>
    <row r="22529" spans="1:11" x14ac:dyDescent="0.25">
      <c r="A22529" s="5">
        <f>22522</f>
      </c>
      <c r="B22529" s="5" t="s">
        <v>22537</v>
      </c>
      <c r="C22529" s="5">
        <v>107.4</v>
      </c>
      <c r="D22529" s="5">
        <v>0.1</v>
      </c>
      <c r="E22529" s="5">
        <v>107.5</v>
      </c>
      <c r="F22529" s="5">
        <v>210</v>
      </c>
      <c r="G22529" s="5">
        <v>105</v>
      </c>
      <c r="H22529" s="5">
        <v>105</v>
      </c>
      <c r="I22529" s="5"/>
      <c r="J22529" s="5"/>
      <c r="K22529" s="5"/>
    </row>
    <row r="22530" spans="1:11" x14ac:dyDescent="0.25">
      <c r="A22530" s="5">
        <f>22523</f>
      </c>
      <c r="B22530" s="5" t="s">
        <v>22538</v>
      </c>
      <c r="C22530" s="5">
        <v>103.3</v>
      </c>
      <c r="D22530" s="5">
        <v>0.1</v>
      </c>
      <c r="E22530" s="5">
        <v>103.4</v>
      </c>
      <c r="F22530" s="5">
        <v>205.3</v>
      </c>
      <c r="G22530" s="5">
        <v>102.5</v>
      </c>
      <c r="H22530" s="5">
        <v>102.4</v>
      </c>
      <c r="I22530" s="5"/>
      <c r="J22530" s="5"/>
      <c r="K22530" s="5"/>
    </row>
    <row r="22531" spans="1:11" x14ac:dyDescent="0.25">
      <c r="A22531" s="5">
        <f>22524</f>
      </c>
      <c r="B22531" s="5" t="s">
        <v>22539</v>
      </c>
      <c r="C22531" s="5">
        <v>103.3</v>
      </c>
      <c r="D22531" s="5">
        <v>0.1</v>
      </c>
      <c r="E22531" s="5">
        <v>103.4</v>
      </c>
      <c r="F22531" s="5">
        <v>205.3</v>
      </c>
      <c r="G22531" s="5">
        <v>102.5</v>
      </c>
      <c r="H22531" s="5">
        <v>102.4</v>
      </c>
      <c r="I22531" s="5"/>
      <c r="J22531" s="5"/>
      <c r="K22531" s="5"/>
    </row>
    <row r="22532" spans="1:11" x14ac:dyDescent="0.25">
      <c r="A22532" s="5">
        <f>22525</f>
      </c>
      <c r="B22532" s="5" t="s">
        <v>22540</v>
      </c>
      <c r="C22532" s="5">
        <v>109.1</v>
      </c>
      <c r="D22532" s="5">
        <v>0.1</v>
      </c>
      <c r="E22532" s="5">
        <v>109.2</v>
      </c>
      <c r="F22532" s="5">
        <v>217.9</v>
      </c>
      <c r="G22532" s="5">
        <v>108.8</v>
      </c>
      <c r="H22532" s="5">
        <v>108.7</v>
      </c>
      <c r="I22532" s="5"/>
      <c r="J22532" s="5"/>
      <c r="K22532" s="5"/>
    </row>
    <row r="22533" spans="1:11" x14ac:dyDescent="0.25">
      <c r="A22533" s="5">
        <f>22526</f>
      </c>
      <c r="B22533" s="5" t="s">
        <v>22541</v>
      </c>
      <c r="C22533" s="5">
        <v>109.1</v>
      </c>
      <c r="D22533" s="5">
        <v>0.1</v>
      </c>
      <c r="E22533" s="5">
        <v>109.2</v>
      </c>
      <c r="F22533" s="5">
        <v>217.9</v>
      </c>
      <c r="G22533" s="5">
        <v>108.8</v>
      </c>
      <c r="H22533" s="5">
        <v>108.7</v>
      </c>
      <c r="I22533" s="5"/>
      <c r="J22533" s="5"/>
      <c r="K22533" s="5"/>
    </row>
    <row r="22534" spans="1:11" x14ac:dyDescent="0.25">
      <c r="A22534" s="5">
        <f>22527</f>
      </c>
      <c r="B22534" s="5" t="s">
        <v>22542</v>
      </c>
      <c r="C22534" s="5">
        <v>109.1</v>
      </c>
      <c r="D22534" s="5">
        <v>0.1</v>
      </c>
      <c r="E22534" s="5">
        <v>109.2</v>
      </c>
      <c r="F22534" s="5">
        <v>217.9</v>
      </c>
      <c r="G22534" s="5">
        <v>108.8</v>
      </c>
      <c r="H22534" s="5">
        <v>108.7</v>
      </c>
      <c r="I22534" s="5"/>
      <c r="J22534" s="5"/>
      <c r="K22534" s="5"/>
    </row>
    <row r="22535" spans="1:11" x14ac:dyDescent="0.25">
      <c r="A22535" s="5">
        <f>22528</f>
      </c>
      <c r="B22535" s="5" t="s">
        <v>22543</v>
      </c>
      <c r="C22535" s="5">
        <v>109.1</v>
      </c>
      <c r="D22535" s="5">
        <v>0.1</v>
      </c>
      <c r="E22535" s="5">
        <v>109.2</v>
      </c>
      <c r="F22535" s="5">
        <v>217.9</v>
      </c>
      <c r="G22535" s="5">
        <v>108.8</v>
      </c>
      <c r="H22535" s="5">
        <v>108.7</v>
      </c>
      <c r="I22535" s="5"/>
      <c r="J22535" s="5"/>
      <c r="K22535" s="5"/>
    </row>
    <row r="22536" spans="1:11" x14ac:dyDescent="0.25">
      <c r="A22536" s="5">
        <f>22529</f>
      </c>
      <c r="B22536" s="5" t="s">
        <v>22544</v>
      </c>
      <c r="C22536" s="5">
        <v>102.6</v>
      </c>
      <c r="D22536" s="5">
        <v>0.1</v>
      </c>
      <c r="E22536" s="5">
        <v>102.7</v>
      </c>
      <c r="F22536" s="5">
        <v>206.7</v>
      </c>
      <c r="G22536" s="5">
        <v>102.9</v>
      </c>
      <c r="H22536" s="5">
        <v>102.6</v>
      </c>
      <c r="I22536" s="5"/>
      <c r="J22536" s="5"/>
      <c r="K22536" s="5"/>
    </row>
    <row r="22537" spans="1:11" x14ac:dyDescent="0.25">
      <c r="A22537" s="5">
        <f>22530</f>
      </c>
      <c r="B22537" s="5" t="s">
        <v>22545</v>
      </c>
      <c r="C22537" s="5">
        <v>102.6</v>
      </c>
      <c r="D22537" s="5">
        <v>0.1</v>
      </c>
      <c r="E22537" s="5">
        <v>102.7</v>
      </c>
      <c r="F22537" s="5">
        <v>206.7</v>
      </c>
      <c r="G22537" s="5">
        <v>102.9</v>
      </c>
      <c r="H22537" s="5">
        <v>102.6</v>
      </c>
      <c r="I22537" s="5"/>
      <c r="J22537" s="5"/>
      <c r="K22537" s="5"/>
    </row>
    <row r="22538" spans="1:11" x14ac:dyDescent="0.25">
      <c r="A22538" s="5">
        <f>22531</f>
      </c>
      <c r="B22538" s="5" t="s">
        <v>22546</v>
      </c>
      <c r="C22538" s="5">
        <v>109</v>
      </c>
      <c r="D22538" s="5">
        <v>0.1</v>
      </c>
      <c r="E22538" s="5">
        <v>109.1</v>
      </c>
      <c r="F22538" s="5">
        <v>217.4</v>
      </c>
      <c r="G22538" s="5">
        <v>108.6</v>
      </c>
      <c r="H22538" s="5">
        <v>108.4</v>
      </c>
      <c r="I22538" s="5"/>
      <c r="J22538" s="5"/>
      <c r="K22538" s="5"/>
    </row>
    <row r="22539" spans="1:11" x14ac:dyDescent="0.25">
      <c r="A22539" s="5">
        <f>22532</f>
      </c>
      <c r="B22539" s="5" t="s">
        <v>22547</v>
      </c>
      <c r="C22539" s="5">
        <v>109</v>
      </c>
      <c r="D22539" s="5">
        <v>0.1</v>
      </c>
      <c r="E22539" s="5">
        <v>109.1</v>
      </c>
      <c r="F22539" s="5">
        <v>217.4</v>
      </c>
      <c r="G22539" s="5">
        <v>108.6</v>
      </c>
      <c r="H22539" s="5">
        <v>108.4</v>
      </c>
      <c r="I22539" s="5"/>
      <c r="J22539" s="5"/>
      <c r="K22539" s="5"/>
    </row>
    <row r="22540" spans="1:11" x14ac:dyDescent="0.25">
      <c r="A22540" s="5">
        <f>22533</f>
      </c>
      <c r="B22540" s="5" t="s">
        <v>22548</v>
      </c>
      <c r="C22540" s="5">
        <v>108.8</v>
      </c>
      <c r="D22540" s="5">
        <v>0.1</v>
      </c>
      <c r="E22540" s="5">
        <v>108.9</v>
      </c>
      <c r="F22540" s="5">
        <v>218</v>
      </c>
      <c r="G22540" s="5">
        <v>108.8</v>
      </c>
      <c r="H22540" s="5">
        <v>108.6</v>
      </c>
      <c r="I22540" s="5"/>
      <c r="J22540" s="5"/>
      <c r="K22540" s="5"/>
    </row>
    <row r="22541" spans="1:11" x14ac:dyDescent="0.25">
      <c r="A22541" s="5">
        <f>22534</f>
      </c>
      <c r="B22541" s="5" t="s">
        <v>22549</v>
      </c>
      <c r="C22541" s="5">
        <v>108.8</v>
      </c>
      <c r="D22541" s="5">
        <v>0.1</v>
      </c>
      <c r="E22541" s="5">
        <v>108.9</v>
      </c>
      <c r="F22541" s="5">
        <v>218</v>
      </c>
      <c r="G22541" s="5">
        <v>108.8</v>
      </c>
      <c r="H22541" s="5">
        <v>108.6</v>
      </c>
      <c r="I22541" s="5"/>
      <c r="J22541" s="5"/>
      <c r="K22541" s="5"/>
    </row>
    <row r="22542" spans="1:11" x14ac:dyDescent="0.25">
      <c r="A22542" s="5">
        <f>22535</f>
      </c>
      <c r="B22542" s="5" t="s">
        <v>22550</v>
      </c>
      <c r="C22542" s="5">
        <v>108.4</v>
      </c>
      <c r="D22542" s="5">
        <v>0.1</v>
      </c>
      <c r="E22542" s="5">
        <v>108.5</v>
      </c>
      <c r="F22542" s="5">
        <v>206.4</v>
      </c>
      <c r="G22542" s="5">
        <v>103.3</v>
      </c>
      <c r="H22542" s="5">
        <v>103.8</v>
      </c>
      <c r="I22542" s="5"/>
      <c r="J22542" s="5"/>
      <c r="K22542" s="5"/>
    </row>
    <row r="22543" spans="1:11" x14ac:dyDescent="0.25">
      <c r="A22543" s="5">
        <f>22536</f>
      </c>
      <c r="B22543" s="5" t="s">
        <v>22551</v>
      </c>
      <c r="C22543" s="5">
        <v>108.4</v>
      </c>
      <c r="D22543" s="5">
        <v>0.1</v>
      </c>
      <c r="E22543" s="5">
        <v>108.5</v>
      </c>
      <c r="F22543" s="5">
        <v>206.4</v>
      </c>
      <c r="G22543" s="5">
        <v>103.3</v>
      </c>
      <c r="H22543" s="5">
        <v>103.8</v>
      </c>
      <c r="I22543" s="5"/>
      <c r="J22543" s="5"/>
      <c r="K22543" s="5"/>
    </row>
    <row r="22544" spans="1:11" x14ac:dyDescent="0.25">
      <c r="A22544" s="5">
        <f>22537</f>
      </c>
      <c r="B22544" s="5" t="s">
        <v>22552</v>
      </c>
      <c r="C22544" s="5">
        <v>108.4</v>
      </c>
      <c r="D22544" s="5">
        <v>0.1</v>
      </c>
      <c r="E22544" s="5">
        <v>108.5</v>
      </c>
      <c r="F22544" s="5">
        <v>206.4</v>
      </c>
      <c r="G22544" s="5">
        <v>103.3</v>
      </c>
      <c r="H22544" s="5">
        <v>103.8</v>
      </c>
      <c r="I22544" s="5"/>
      <c r="J22544" s="5"/>
      <c r="K22544" s="5"/>
    </row>
    <row r="22545" spans="1:11" x14ac:dyDescent="0.25">
      <c r="A22545" s="5">
        <f>22538</f>
      </c>
      <c r="B22545" s="5" t="s">
        <v>22553</v>
      </c>
      <c r="C22545" s="5">
        <v>108.4</v>
      </c>
      <c r="D22545" s="5">
        <v>0.1</v>
      </c>
      <c r="E22545" s="5">
        <v>108.5</v>
      </c>
      <c r="F22545" s="5">
        <v>206.4</v>
      </c>
      <c r="G22545" s="5">
        <v>103.3</v>
      </c>
      <c r="H22545" s="5">
        <v>103.8</v>
      </c>
      <c r="I22545" s="5"/>
      <c r="J22545" s="5"/>
      <c r="K22545" s="5"/>
    </row>
    <row r="22546" spans="1:11" x14ac:dyDescent="0.25">
      <c r="A22546" s="5">
        <f>22539</f>
      </c>
      <c r="B22546" s="5" t="s">
        <v>22554</v>
      </c>
      <c r="C22546" s="5">
        <v>101.7</v>
      </c>
      <c r="D22546" s="5">
        <v>0.1</v>
      </c>
      <c r="E22546" s="5">
        <v>101.8</v>
      </c>
      <c r="F22546" s="5">
        <v>203.8</v>
      </c>
      <c r="G22546" s="5">
        <v>101.7</v>
      </c>
      <c r="H22546" s="5">
        <v>101.6</v>
      </c>
      <c r="I22546" s="5"/>
      <c r="J22546" s="5"/>
      <c r="K22546" s="5"/>
    </row>
    <row r="22547" spans="1:11" x14ac:dyDescent="0.25">
      <c r="A22547" s="5">
        <f>22540</f>
      </c>
      <c r="B22547" s="5" t="s">
        <v>22555</v>
      </c>
      <c r="C22547" s="5">
        <v>101.7</v>
      </c>
      <c r="D22547" s="5">
        <v>0.1</v>
      </c>
      <c r="E22547" s="5">
        <v>101.8</v>
      </c>
      <c r="F22547" s="5">
        <v>203.8</v>
      </c>
      <c r="G22547" s="5">
        <v>101.7</v>
      </c>
      <c r="H22547" s="5">
        <v>101.6</v>
      </c>
      <c r="I22547" s="5"/>
      <c r="J22547" s="5"/>
      <c r="K22547" s="5"/>
    </row>
    <row r="22548" spans="1:11" x14ac:dyDescent="0.25">
      <c r="A22548" s="5">
        <f>22541</f>
      </c>
      <c r="B22548" s="5" t="s">
        <v>22556</v>
      </c>
      <c r="C22548" s="5">
        <v>101.8</v>
      </c>
      <c r="D22548" s="5">
        <v>0.1</v>
      </c>
      <c r="E22548" s="5">
        <v>101.9</v>
      </c>
      <c r="F22548" s="5">
        <v>204</v>
      </c>
      <c r="G22548" s="5">
        <v>101.8</v>
      </c>
      <c r="H22548" s="5">
        <v>101.6</v>
      </c>
      <c r="I22548" s="5"/>
      <c r="J22548" s="5"/>
      <c r="K22548" s="5"/>
    </row>
    <row r="22549" spans="1:11" x14ac:dyDescent="0.25">
      <c r="A22549" s="5">
        <f>22542</f>
      </c>
      <c r="B22549" s="5" t="s">
        <v>22557</v>
      </c>
      <c r="C22549" s="5">
        <v>101.8</v>
      </c>
      <c r="D22549" s="5">
        <v>0.1</v>
      </c>
      <c r="E22549" s="5">
        <v>101.9</v>
      </c>
      <c r="F22549" s="5">
        <v>204</v>
      </c>
      <c r="G22549" s="5">
        <v>101.8</v>
      </c>
      <c r="H22549" s="5">
        <v>101.6</v>
      </c>
      <c r="I22549" s="5"/>
      <c r="J22549" s="5"/>
      <c r="K22549" s="5"/>
    </row>
    <row r="22550" spans="1:11" x14ac:dyDescent="0.25">
      <c r="A22550" s="5">
        <f>22543</f>
      </c>
      <c r="B22550" s="5" t="s">
        <v>22558</v>
      </c>
      <c r="C22550" s="5">
        <v>108.1</v>
      </c>
      <c r="D22550" s="5">
        <v>0.1</v>
      </c>
      <c r="E22550" s="5">
        <v>108.2</v>
      </c>
      <c r="F22550" s="5">
        <v>216.2</v>
      </c>
      <c r="G22550" s="5">
        <v>107.7</v>
      </c>
      <c r="H22550" s="5">
        <v>107.3</v>
      </c>
      <c r="I22550" s="5"/>
      <c r="J22550" s="5"/>
      <c r="K22550" s="5"/>
    </row>
    <row r="22551" spans="1:11" x14ac:dyDescent="0.25">
      <c r="A22551" s="5">
        <f>22544</f>
      </c>
      <c r="B22551" s="5" t="s">
        <v>22559</v>
      </c>
      <c r="C22551" s="5">
        <v>108.1</v>
      </c>
      <c r="D22551" s="5">
        <v>0.1</v>
      </c>
      <c r="E22551" s="5">
        <v>108.2</v>
      </c>
      <c r="F22551" s="5">
        <v>216.2</v>
      </c>
      <c r="G22551" s="5">
        <v>107.7</v>
      </c>
      <c r="H22551" s="5">
        <v>107.3</v>
      </c>
      <c r="I22551" s="5"/>
      <c r="J22551" s="5"/>
      <c r="K22551" s="5"/>
    </row>
    <row r="22552" spans="1:11" x14ac:dyDescent="0.25">
      <c r="A22552" s="5">
        <f>22545</f>
      </c>
      <c r="B22552" s="5" t="s">
        <v>22560</v>
      </c>
      <c r="C22552" s="5">
        <v>102.7</v>
      </c>
      <c r="D22552" s="5">
        <v>0.1</v>
      </c>
      <c r="E22552" s="5">
        <v>102.8</v>
      </c>
      <c r="F22552" s="5">
        <v>204.5</v>
      </c>
      <c r="G22552" s="5">
        <v>102.1</v>
      </c>
      <c r="H22552" s="5">
        <v>101.9</v>
      </c>
      <c r="I22552" s="5"/>
      <c r="J22552" s="5"/>
      <c r="K22552" s="5"/>
    </row>
    <row r="22553" spans="1:11" x14ac:dyDescent="0.25">
      <c r="A22553" s="5">
        <f>22546</f>
      </c>
      <c r="B22553" s="5" t="s">
        <v>22561</v>
      </c>
      <c r="C22553" s="5">
        <v>102.7</v>
      </c>
      <c r="D22553" s="5">
        <v>0.1</v>
      </c>
      <c r="E22553" s="5">
        <v>102.8</v>
      </c>
      <c r="F22553" s="5">
        <v>204.5</v>
      </c>
      <c r="G22553" s="5">
        <v>102.1</v>
      </c>
      <c r="H22553" s="5">
        <v>101.9</v>
      </c>
      <c r="I22553" s="5"/>
      <c r="J22553" s="5"/>
      <c r="K22553" s="5"/>
    </row>
    <row r="22554" spans="1:11" x14ac:dyDescent="0.25">
      <c r="A22554" s="5">
        <f>22547</f>
      </c>
      <c r="B22554" s="5" t="s">
        <v>22562</v>
      </c>
      <c r="C22554" s="5">
        <v>102.7</v>
      </c>
      <c r="D22554" s="5">
        <v>0.1</v>
      </c>
      <c r="E22554" s="5">
        <v>102.8</v>
      </c>
      <c r="F22554" s="5">
        <v>204.5</v>
      </c>
      <c r="G22554" s="5">
        <v>102.1</v>
      </c>
      <c r="H22554" s="5">
        <v>101.9</v>
      </c>
      <c r="I22554" s="5"/>
      <c r="J22554" s="5"/>
      <c r="K22554" s="5"/>
    </row>
    <row r="22555" spans="1:11" x14ac:dyDescent="0.25">
      <c r="A22555" s="5">
        <f>22548</f>
      </c>
      <c r="B22555" s="5" t="s">
        <v>22563</v>
      </c>
      <c r="C22555" s="5">
        <v>102.7</v>
      </c>
      <c r="D22555" s="5">
        <v>0.1</v>
      </c>
      <c r="E22555" s="5">
        <v>102.8</v>
      </c>
      <c r="F22555" s="5">
        <v>204.5</v>
      </c>
      <c r="G22555" s="5">
        <v>102.1</v>
      </c>
      <c r="H22555" s="5">
        <v>101.9</v>
      </c>
      <c r="I22555" s="5"/>
      <c r="J22555" s="5"/>
      <c r="K22555" s="5"/>
    </row>
    <row r="22556" spans="1:11" x14ac:dyDescent="0.25">
      <c r="A22556" s="5">
        <f>22549</f>
      </c>
      <c r="B22556" s="5" t="s">
        <v>22564</v>
      </c>
      <c r="C22556" s="5">
        <v>102</v>
      </c>
      <c r="D22556" s="5">
        <v>0.1</v>
      </c>
      <c r="E22556" s="5">
        <v>102.1</v>
      </c>
      <c r="F22556" s="5">
        <v>203.2</v>
      </c>
      <c r="G22556" s="5">
        <v>101.4</v>
      </c>
      <c r="H22556" s="5">
        <v>101.3</v>
      </c>
      <c r="I22556" s="5"/>
      <c r="J22556" s="5"/>
      <c r="K22556" s="5"/>
    </row>
    <row r="22557" spans="1:11" x14ac:dyDescent="0.25">
      <c r="A22557" s="5">
        <f>22550</f>
      </c>
      <c r="B22557" s="5" t="s">
        <v>22565</v>
      </c>
      <c r="C22557" s="5">
        <v>102</v>
      </c>
      <c r="D22557" s="5">
        <v>0.1</v>
      </c>
      <c r="E22557" s="5">
        <v>102.1</v>
      </c>
      <c r="F22557" s="5">
        <v>203.2</v>
      </c>
      <c r="G22557" s="5">
        <v>101.4</v>
      </c>
      <c r="H22557" s="5">
        <v>101.3</v>
      </c>
      <c r="I22557" s="5"/>
      <c r="J22557" s="5"/>
      <c r="K22557" s="5"/>
    </row>
    <row r="22558" spans="1:11" x14ac:dyDescent="0.25">
      <c r="A22558" s="5">
        <f>22551</f>
      </c>
      <c r="B22558" s="5" t="s">
        <v>22566</v>
      </c>
      <c r="C22558" s="5">
        <v>107.8</v>
      </c>
      <c r="D22558" s="5">
        <v>0.1</v>
      </c>
      <c r="E22558" s="5">
        <v>108.1</v>
      </c>
      <c r="F22558" s="5">
        <v>216.4</v>
      </c>
      <c r="G22558" s="5">
        <v>108</v>
      </c>
      <c r="H22558" s="5">
        <v>107.9</v>
      </c>
      <c r="I22558" s="5"/>
      <c r="J22558" s="5"/>
      <c r="K22558" s="5"/>
    </row>
    <row r="22559" spans="1:11" x14ac:dyDescent="0.25">
      <c r="A22559" s="5">
        <f>22552</f>
      </c>
      <c r="B22559" s="5" t="s">
        <v>22567</v>
      </c>
      <c r="C22559" s="5">
        <v>107.8</v>
      </c>
      <c r="D22559" s="5">
        <v>0.1</v>
      </c>
      <c r="E22559" s="5">
        <v>108.1</v>
      </c>
      <c r="F22559" s="5">
        <v>216.4</v>
      </c>
      <c r="G22559" s="5">
        <v>108</v>
      </c>
      <c r="H22559" s="5">
        <v>107.9</v>
      </c>
      <c r="I22559" s="5"/>
      <c r="J22559" s="5"/>
      <c r="K22559" s="5"/>
    </row>
    <row r="22560" spans="1:11" x14ac:dyDescent="0.25">
      <c r="A22560" s="5">
        <f>22553</f>
      </c>
      <c r="B22560" s="5" t="s">
        <v>22568</v>
      </c>
      <c r="C22560" s="5">
        <v>106.7</v>
      </c>
      <c r="D22560" s="5">
        <v>0.1</v>
      </c>
      <c r="E22560" s="5">
        <v>106.8</v>
      </c>
      <c r="F22560" s="5">
        <v>213.4</v>
      </c>
      <c r="G22560" s="5">
        <v>106.5</v>
      </c>
      <c r="H22560" s="5">
        <v>106.3</v>
      </c>
      <c r="I22560" s="5"/>
      <c r="J22560" s="5"/>
      <c r="K22560" s="5"/>
    </row>
    <row r="22561" spans="1:11" x14ac:dyDescent="0.25">
      <c r="A22561" s="5">
        <f>22554</f>
      </c>
      <c r="B22561" s="5" t="s">
        <v>22569</v>
      </c>
      <c r="C22561" s="5">
        <v>106.7</v>
      </c>
      <c r="D22561" s="5">
        <v>0.1</v>
      </c>
      <c r="E22561" s="5">
        <v>106.8</v>
      </c>
      <c r="F22561" s="5">
        <v>213.4</v>
      </c>
      <c r="G22561" s="5">
        <v>106.5</v>
      </c>
      <c r="H22561" s="5">
        <v>106.3</v>
      </c>
      <c r="I22561" s="5"/>
      <c r="J22561" s="5"/>
      <c r="K22561" s="5"/>
    </row>
    <row r="22562" spans="1:11" x14ac:dyDescent="0.25">
      <c r="A22562" s="5">
        <f>22555</f>
      </c>
      <c r="B22562" s="5" t="s">
        <v>22570</v>
      </c>
      <c r="C22562" s="5">
        <v>108.6</v>
      </c>
      <c r="D22562" s="5">
        <v>0.1</v>
      </c>
      <c r="E22562" s="5">
        <v>108.8</v>
      </c>
      <c r="F22562" s="5">
        <v>216.9</v>
      </c>
      <c r="G22562" s="5">
        <v>108.3</v>
      </c>
      <c r="H22562" s="5">
        <v>108.1</v>
      </c>
      <c r="I22562" s="5"/>
      <c r="J22562" s="5"/>
      <c r="K22562" s="5"/>
    </row>
    <row r="22563" spans="1:11" x14ac:dyDescent="0.25">
      <c r="A22563" s="5">
        <f>22556</f>
      </c>
      <c r="B22563" s="5" t="s">
        <v>22571</v>
      </c>
      <c r="C22563" s="5">
        <v>108.6</v>
      </c>
      <c r="D22563" s="5">
        <v>0.1</v>
      </c>
      <c r="E22563" s="5">
        <v>108.8</v>
      </c>
      <c r="F22563" s="5">
        <v>216.9</v>
      </c>
      <c r="G22563" s="5">
        <v>108.3</v>
      </c>
      <c r="H22563" s="5">
        <v>108.1</v>
      </c>
      <c r="I22563" s="5"/>
      <c r="J22563" s="5"/>
      <c r="K22563" s="5"/>
    </row>
    <row r="22564" spans="1:11" x14ac:dyDescent="0.25">
      <c r="A22564" s="5">
        <f>22557</f>
      </c>
      <c r="B22564" s="5" t="s">
        <v>22572</v>
      </c>
      <c r="C22564" s="5">
        <v>108.6</v>
      </c>
      <c r="D22564" s="5">
        <v>0.1</v>
      </c>
      <c r="E22564" s="5">
        <v>108.8</v>
      </c>
      <c r="F22564" s="5">
        <v>216.9</v>
      </c>
      <c r="G22564" s="5">
        <v>108.3</v>
      </c>
      <c r="H22564" s="5">
        <v>108.1</v>
      </c>
      <c r="I22564" s="5"/>
      <c r="J22564" s="5"/>
      <c r="K22564" s="5"/>
    </row>
    <row r="22565" spans="1:11" x14ac:dyDescent="0.25">
      <c r="A22565" s="5">
        <f>22558</f>
      </c>
      <c r="B22565" s="5" t="s">
        <v>22573</v>
      </c>
      <c r="C22565" s="5">
        <v>108.6</v>
      </c>
      <c r="D22565" s="5">
        <v>0.1</v>
      </c>
      <c r="E22565" s="5">
        <v>108.8</v>
      </c>
      <c r="F22565" s="5">
        <v>216.9</v>
      </c>
      <c r="G22565" s="5">
        <v>108.3</v>
      </c>
      <c r="H22565" s="5">
        <v>108.1</v>
      </c>
      <c r="I22565" s="5"/>
      <c r="J22565" s="5"/>
      <c r="K22565" s="5"/>
    </row>
    <row r="22566" spans="1:11" x14ac:dyDescent="0.25">
      <c r="A22566" s="5">
        <f>22559</f>
      </c>
      <c r="B22566" s="5" t="s">
        <v>22574</v>
      </c>
      <c r="C22566" s="5">
        <v>107.2</v>
      </c>
      <c r="D22566" s="5">
        <v>0.1</v>
      </c>
      <c r="E22566" s="5">
        <v>107.4</v>
      </c>
      <c r="F22566" s="5">
        <v>214.5</v>
      </c>
      <c r="G22566" s="5">
        <v>107.1</v>
      </c>
      <c r="H22566" s="5">
        <v>107</v>
      </c>
      <c r="I22566" s="5"/>
      <c r="J22566" s="5"/>
      <c r="K22566" s="5"/>
    </row>
    <row r="22567" spans="1:11" x14ac:dyDescent="0.25">
      <c r="A22567" s="5">
        <f>22560</f>
      </c>
      <c r="B22567" s="5" t="s">
        <v>22575</v>
      </c>
      <c r="C22567" s="5">
        <v>107.2</v>
      </c>
      <c r="D22567" s="5">
        <v>0.1</v>
      </c>
      <c r="E22567" s="5">
        <v>107.4</v>
      </c>
      <c r="F22567" s="5">
        <v>214.5</v>
      </c>
      <c r="G22567" s="5">
        <v>107.1</v>
      </c>
      <c r="H22567" s="5">
        <v>107</v>
      </c>
      <c r="I22567" s="5"/>
      <c r="J22567" s="5"/>
      <c r="K22567" s="5"/>
    </row>
    <row r="22568" spans="1:11" x14ac:dyDescent="0.25">
      <c r="A22568" s="5">
        <f>22561</f>
      </c>
      <c r="B22568" s="5" t="s">
        <v>22576</v>
      </c>
      <c r="C22568" s="5">
        <v>108.3</v>
      </c>
      <c r="D22568" s="5">
        <v>0.1</v>
      </c>
      <c r="E22568" s="5">
        <v>108.5</v>
      </c>
      <c r="F22568" s="5">
        <v>216.7</v>
      </c>
      <c r="G22568" s="5">
        <v>108.2</v>
      </c>
      <c r="H22568" s="5">
        <v>108.1</v>
      </c>
      <c r="I22568" s="5"/>
      <c r="J22568" s="5"/>
      <c r="K22568" s="5"/>
    </row>
    <row r="22569" spans="1:11" x14ac:dyDescent="0.25">
      <c r="A22569" s="5">
        <f>22562</f>
      </c>
      <c r="B22569" s="5" t="s">
        <v>22577</v>
      </c>
      <c r="C22569" s="5">
        <v>108.3</v>
      </c>
      <c r="D22569" s="5">
        <v>0.1</v>
      </c>
      <c r="E22569" s="5">
        <v>108.5</v>
      </c>
      <c r="F22569" s="5">
        <v>216.7</v>
      </c>
      <c r="G22569" s="5">
        <v>108.2</v>
      </c>
      <c r="H22569" s="5">
        <v>108.1</v>
      </c>
      <c r="I22569" s="5"/>
      <c r="J22569" s="5"/>
      <c r="K22569" s="5"/>
    </row>
    <row r="22570" spans="1:11" x14ac:dyDescent="0.25">
      <c r="A22570" s="5">
        <f>22563</f>
      </c>
      <c r="B22570" s="5" t="s">
        <v>22578</v>
      </c>
      <c r="C22570" s="5">
        <v>108</v>
      </c>
      <c r="D22570" s="5">
        <v>0.1</v>
      </c>
      <c r="E22570" s="5">
        <v>108.1</v>
      </c>
      <c r="F22570" s="5">
        <v>215.6</v>
      </c>
      <c r="G22570" s="5">
        <v>107.7</v>
      </c>
      <c r="H22570" s="5">
        <v>107.5</v>
      </c>
      <c r="I22570" s="5"/>
      <c r="J22570" s="5"/>
      <c r="K22570" s="5"/>
    </row>
    <row r="22571" spans="1:11" x14ac:dyDescent="0.25">
      <c r="A22571" s="5">
        <f>22564</f>
      </c>
      <c r="B22571" s="5" t="s">
        <v>22579</v>
      </c>
      <c r="C22571" s="5">
        <v>108</v>
      </c>
      <c r="D22571" s="5">
        <v>0.1</v>
      </c>
      <c r="E22571" s="5">
        <v>108.1</v>
      </c>
      <c r="F22571" s="5">
        <v>215.6</v>
      </c>
      <c r="G22571" s="5">
        <v>107.7</v>
      </c>
      <c r="H22571" s="5">
        <v>107.5</v>
      </c>
      <c r="I22571" s="5"/>
      <c r="J22571" s="5"/>
      <c r="K22571" s="5"/>
    </row>
    <row r="22572" spans="1:11" x14ac:dyDescent="0.25">
      <c r="A22572" s="5">
        <f>22565</f>
      </c>
      <c r="B22572" s="5" t="s">
        <v>22580</v>
      </c>
      <c r="C22572" s="5">
        <v>108.3</v>
      </c>
      <c r="D22572" s="5">
        <v>0.1</v>
      </c>
      <c r="E22572" s="5">
        <v>108.5</v>
      </c>
      <c r="F22572" s="5">
        <v>216.8</v>
      </c>
      <c r="G22572" s="5">
        <v>108.2</v>
      </c>
      <c r="H22572" s="5">
        <v>108.1</v>
      </c>
      <c r="I22572" s="5"/>
      <c r="J22572" s="5"/>
      <c r="K22572" s="5"/>
    </row>
    <row r="22573" spans="1:11" x14ac:dyDescent="0.25">
      <c r="A22573" s="5">
        <f>22566</f>
      </c>
      <c r="B22573" s="5" t="s">
        <v>22581</v>
      </c>
      <c r="C22573" s="5">
        <v>108.3</v>
      </c>
      <c r="D22573" s="5">
        <v>0.1</v>
      </c>
      <c r="E22573" s="5">
        <v>108.5</v>
      </c>
      <c r="F22573" s="5">
        <v>216.8</v>
      </c>
      <c r="G22573" s="5">
        <v>108.2</v>
      </c>
      <c r="H22573" s="5">
        <v>108.1</v>
      </c>
      <c r="I22573" s="5"/>
      <c r="J22573" s="5"/>
      <c r="K22573" s="5"/>
    </row>
    <row r="22574" spans="1:11" x14ac:dyDescent="0.25">
      <c r="A22574" s="5">
        <f>22567</f>
      </c>
      <c r="B22574" s="5" t="s">
        <v>22582</v>
      </c>
      <c r="C22574" s="5">
        <v>108.3</v>
      </c>
      <c r="D22574" s="5">
        <v>0.1</v>
      </c>
      <c r="E22574" s="5">
        <v>108.5</v>
      </c>
      <c r="F22574" s="5">
        <v>216.8</v>
      </c>
      <c r="G22574" s="5">
        <v>108.2</v>
      </c>
      <c r="H22574" s="5">
        <v>108.1</v>
      </c>
      <c r="I22574" s="5"/>
      <c r="J22574" s="5"/>
      <c r="K22574" s="5"/>
    </row>
    <row r="22575" spans="1:11" x14ac:dyDescent="0.25">
      <c r="A22575" s="5">
        <f>22568</f>
      </c>
      <c r="B22575" s="5" t="s">
        <v>22583</v>
      </c>
      <c r="C22575" s="5">
        <v>108.3</v>
      </c>
      <c r="D22575" s="5">
        <v>0.1</v>
      </c>
      <c r="E22575" s="5">
        <v>108.5</v>
      </c>
      <c r="F22575" s="5">
        <v>216.8</v>
      </c>
      <c r="G22575" s="5">
        <v>108.2</v>
      </c>
      <c r="H22575" s="5">
        <v>108.1</v>
      </c>
      <c r="I22575" s="5"/>
      <c r="J22575" s="5"/>
      <c r="K22575" s="5"/>
    </row>
    <row r="22576" spans="1:11" x14ac:dyDescent="0.25">
      <c r="A22576" s="5">
        <f>22569</f>
      </c>
      <c r="B22576" s="5" t="s">
        <v>22584</v>
      </c>
      <c r="C22576" s="5">
        <v>108.7</v>
      </c>
      <c r="D22576" s="5">
        <v>0.1</v>
      </c>
      <c r="E22576" s="5">
        <v>108.8</v>
      </c>
      <c r="F22576" s="5">
        <v>218</v>
      </c>
      <c r="G22576" s="5">
        <v>108.8</v>
      </c>
      <c r="H22576" s="5">
        <v>108.6</v>
      </c>
      <c r="I22576" s="5"/>
      <c r="J22576" s="5"/>
      <c r="K22576" s="5"/>
    </row>
    <row r="22577" spans="1:11" x14ac:dyDescent="0.25">
      <c r="A22577" s="5">
        <f>22570</f>
      </c>
      <c r="B22577" s="5" t="s">
        <v>22585</v>
      </c>
      <c r="C22577" s="5">
        <v>108.7</v>
      </c>
      <c r="D22577" s="5">
        <v>0.1</v>
      </c>
      <c r="E22577" s="5">
        <v>108.8</v>
      </c>
      <c r="F22577" s="5">
        <v>218</v>
      </c>
      <c r="G22577" s="5">
        <v>108.8</v>
      </c>
      <c r="H22577" s="5">
        <v>108.6</v>
      </c>
      <c r="I22577" s="5"/>
      <c r="J22577" s="5"/>
      <c r="K22577" s="5"/>
    </row>
    <row r="22578" spans="1:11" x14ac:dyDescent="0.25">
      <c r="A22578" s="5">
        <f>22571</f>
      </c>
      <c r="B22578" s="5" t="s">
        <v>22586</v>
      </c>
      <c r="C22578" s="5">
        <v>109.1</v>
      </c>
      <c r="D22578" s="5">
        <v>0.1</v>
      </c>
      <c r="E22578" s="5">
        <v>109.3</v>
      </c>
      <c r="F22578" s="5">
        <v>218</v>
      </c>
      <c r="G22578" s="5">
        <v>108.8</v>
      </c>
      <c r="H22578" s="5">
        <v>108.7</v>
      </c>
      <c r="I22578" s="5"/>
      <c r="J22578" s="5"/>
      <c r="K22578" s="5"/>
    </row>
    <row r="22579" spans="1:11" x14ac:dyDescent="0.25">
      <c r="A22579" s="5">
        <f>22572</f>
      </c>
      <c r="B22579" s="5" t="s">
        <v>22587</v>
      </c>
      <c r="C22579" s="5">
        <v>109.1</v>
      </c>
      <c r="D22579" s="5">
        <v>0.1</v>
      </c>
      <c r="E22579" s="5">
        <v>109.3</v>
      </c>
      <c r="F22579" s="5">
        <v>218</v>
      </c>
      <c r="G22579" s="5">
        <v>108.8</v>
      </c>
      <c r="H22579" s="5">
        <v>108.7</v>
      </c>
      <c r="I22579" s="5"/>
      <c r="J22579" s="5"/>
      <c r="K22579" s="5"/>
    </row>
    <row r="22580" spans="1:11" x14ac:dyDescent="0.25">
      <c r="A22580" s="5">
        <f>22573</f>
      </c>
      <c r="B22580" s="5" t="s">
        <v>22588</v>
      </c>
      <c r="C22580" s="5">
        <v>108.8</v>
      </c>
      <c r="D22580" s="5">
        <v>0.1</v>
      </c>
      <c r="E22580" s="5">
        <v>108.9</v>
      </c>
      <c r="F22580" s="5">
        <v>217.2</v>
      </c>
      <c r="G22580" s="5">
        <v>108.4</v>
      </c>
      <c r="H22580" s="5">
        <v>108.3</v>
      </c>
      <c r="I22580" s="5"/>
      <c r="J22580" s="5"/>
      <c r="K22580" s="5"/>
    </row>
    <row r="22581" spans="1:11" x14ac:dyDescent="0.25">
      <c r="A22581" s="5">
        <f>22574</f>
      </c>
      <c r="B22581" s="5" t="s">
        <v>22589</v>
      </c>
      <c r="C22581" s="5">
        <v>108.8</v>
      </c>
      <c r="D22581" s="5">
        <v>0.1</v>
      </c>
      <c r="E22581" s="5">
        <v>108.9</v>
      </c>
      <c r="F22581" s="5">
        <v>217.2</v>
      </c>
      <c r="G22581" s="5">
        <v>108.4</v>
      </c>
      <c r="H22581" s="5">
        <v>108.3</v>
      </c>
      <c r="I22581" s="5"/>
      <c r="J22581" s="5"/>
      <c r="K22581" s="5"/>
    </row>
    <row r="22582" spans="1:11" x14ac:dyDescent="0.25">
      <c r="A22582" s="5">
        <f>22575</f>
      </c>
      <c r="B22582" s="5" t="s">
        <v>22590</v>
      </c>
      <c r="C22582" s="5">
        <v>108.9</v>
      </c>
      <c r="D22582" s="5">
        <v>0.1</v>
      </c>
      <c r="E22582" s="5">
        <v>109.1</v>
      </c>
      <c r="F22582" s="5">
        <v>217.2</v>
      </c>
      <c r="G22582" s="5">
        <v>108.5</v>
      </c>
      <c r="H22582" s="5">
        <v>108.4</v>
      </c>
      <c r="I22582" s="5"/>
      <c r="J22582" s="5"/>
      <c r="K22582" s="5"/>
    </row>
    <row r="22583" spans="1:11" x14ac:dyDescent="0.25">
      <c r="A22583" s="5">
        <f>22576</f>
      </c>
      <c r="B22583" s="5" t="s">
        <v>22591</v>
      </c>
      <c r="C22583" s="5">
        <v>108.9</v>
      </c>
      <c r="D22583" s="5">
        <v>0.1</v>
      </c>
      <c r="E22583" s="5">
        <v>109.1</v>
      </c>
      <c r="F22583" s="5">
        <v>217.2</v>
      </c>
      <c r="G22583" s="5">
        <v>108.5</v>
      </c>
      <c r="H22583" s="5">
        <v>108.4</v>
      </c>
      <c r="I22583" s="5"/>
      <c r="J22583" s="5"/>
      <c r="K22583" s="5"/>
    </row>
    <row r="22584" spans="1:11" x14ac:dyDescent="0.25">
      <c r="A22584" s="5">
        <f>22577</f>
      </c>
      <c r="B22584" s="5" t="s">
        <v>22592</v>
      </c>
      <c r="C22584" s="5">
        <v>108.9</v>
      </c>
      <c r="D22584" s="5">
        <v>0.1</v>
      </c>
      <c r="E22584" s="5">
        <v>109.1</v>
      </c>
      <c r="F22584" s="5">
        <v>217.2</v>
      </c>
      <c r="G22584" s="5">
        <v>108.5</v>
      </c>
      <c r="H22584" s="5">
        <v>108.4</v>
      </c>
      <c r="I22584" s="5"/>
      <c r="J22584" s="5"/>
      <c r="K22584" s="5"/>
    </row>
    <row r="22585" spans="1:11" x14ac:dyDescent="0.25">
      <c r="A22585" s="5">
        <f>22578</f>
      </c>
      <c r="B22585" s="5" t="s">
        <v>22593</v>
      </c>
      <c r="C22585" s="5">
        <v>109.4</v>
      </c>
      <c r="D22585" s="5">
        <v>0.1</v>
      </c>
      <c r="E22585" s="5">
        <v>109.6</v>
      </c>
      <c r="F22585" s="5">
        <v>218.4</v>
      </c>
      <c r="G22585" s="5">
        <v>109</v>
      </c>
      <c r="H22585" s="5">
        <v>108.9</v>
      </c>
      <c r="I22585" s="5"/>
      <c r="J22585" s="5"/>
      <c r="K22585" s="5"/>
    </row>
    <row r="22586" spans="1:11" x14ac:dyDescent="0.25">
      <c r="A22586" s="5">
        <f>22579</f>
      </c>
      <c r="B22586" s="5" t="s">
        <v>22594</v>
      </c>
      <c r="C22586" s="5">
        <v>109.4</v>
      </c>
      <c r="D22586" s="5">
        <v>0.1</v>
      </c>
      <c r="E22586" s="5">
        <v>109.6</v>
      </c>
      <c r="F22586" s="5">
        <v>218.4</v>
      </c>
      <c r="G22586" s="5">
        <v>109</v>
      </c>
      <c r="H22586" s="5">
        <v>108.9</v>
      </c>
      <c r="I22586" s="5"/>
      <c r="J22586" s="5"/>
      <c r="K22586" s="5"/>
    </row>
    <row r="22587" spans="1:11" x14ac:dyDescent="0.25">
      <c r="A22587" s="5">
        <f>22580</f>
      </c>
      <c r="B22587" s="5" t="s">
        <v>22595</v>
      </c>
      <c r="C22587" s="5">
        <v>109.4</v>
      </c>
      <c r="D22587" s="5">
        <v>0.1</v>
      </c>
      <c r="E22587" s="5">
        <v>109</v>
      </c>
      <c r="F22587" s="5">
        <v>217.5</v>
      </c>
      <c r="G22587" s="5">
        <v>108.6</v>
      </c>
      <c r="H22587" s="5">
        <v>108.4</v>
      </c>
      <c r="I22587" s="5"/>
      <c r="J22587" s="5"/>
      <c r="K22587" s="5"/>
    </row>
    <row r="22588" spans="1:11" x14ac:dyDescent="0.25">
      <c r="A22588" s="5">
        <f>22581</f>
      </c>
      <c r="B22588" s="5" t="s">
        <v>22596</v>
      </c>
      <c r="C22588" s="5">
        <v>108.8</v>
      </c>
      <c r="D22588" s="5">
        <v>0.1</v>
      </c>
      <c r="E22588" s="5">
        <v>109</v>
      </c>
      <c r="F22588" s="5">
        <v>217.5</v>
      </c>
      <c r="G22588" s="5">
        <v>108.6</v>
      </c>
      <c r="H22588" s="5">
        <v>108.4</v>
      </c>
      <c r="I22588" s="5"/>
      <c r="J22588" s="5"/>
      <c r="K22588" s="5"/>
    </row>
    <row r="22589" spans="1:11" x14ac:dyDescent="0.25">
      <c r="A22589" s="5">
        <f>22582</f>
      </c>
      <c r="B22589" s="5" t="s">
        <v>22597</v>
      </c>
      <c r="C22589" s="5">
        <v>108.8</v>
      </c>
      <c r="D22589" s="5">
        <v>0.1</v>
      </c>
      <c r="E22589" s="5">
        <v>108.7</v>
      </c>
      <c r="F22589" s="5">
        <v>216.9</v>
      </c>
      <c r="G22589" s="5">
        <v>108.3</v>
      </c>
      <c r="H22589" s="5">
        <v>108.2</v>
      </c>
      <c r="I22589" s="5"/>
      <c r="J22589" s="5"/>
      <c r="K22589" s="5"/>
    </row>
    <row r="22590" spans="1:11" x14ac:dyDescent="0.25">
      <c r="A22590" s="5">
        <f>22583</f>
      </c>
      <c r="B22590" s="5" t="s">
        <v>22598</v>
      </c>
      <c r="C22590" s="5">
        <v>108.5</v>
      </c>
      <c r="D22590" s="5">
        <v>0.1</v>
      </c>
      <c r="E22590" s="5">
        <v>108.7</v>
      </c>
      <c r="F22590" s="5">
        <v>216.9</v>
      </c>
      <c r="G22590" s="5">
        <v>108.3</v>
      </c>
      <c r="H22590" s="5">
        <v>108.2</v>
      </c>
      <c r="I22590" s="5"/>
      <c r="J22590" s="5"/>
      <c r="K22590" s="5"/>
    </row>
    <row r="22591" spans="1:11" x14ac:dyDescent="0.25">
      <c r="A22591" s="5">
        <f>22584</f>
      </c>
      <c r="B22591" s="5" t="s">
        <v>22599</v>
      </c>
      <c r="C22591" s="5">
        <v>108.5</v>
      </c>
      <c r="D22591" s="5">
        <v>0.1</v>
      </c>
      <c r="E22591" s="5">
        <v>108.8</v>
      </c>
      <c r="F22591" s="5">
        <v>217.2</v>
      </c>
      <c r="G22591" s="5">
        <v>108.4</v>
      </c>
      <c r="H22591" s="5">
        <v>108.3</v>
      </c>
      <c r="I22591" s="5"/>
      <c r="J22591" s="5"/>
      <c r="K22591" s="5"/>
    </row>
    <row r="22592" spans="1:11" x14ac:dyDescent="0.25">
      <c r="A22592" s="5">
        <f>22585</f>
      </c>
      <c r="B22592" s="5" t="s">
        <v>22600</v>
      </c>
      <c r="C22592" s="5">
        <v>108.6</v>
      </c>
      <c r="D22592" s="5">
        <v>0.1</v>
      </c>
      <c r="E22592" s="5">
        <v>108.8</v>
      </c>
      <c r="F22592" s="5">
        <v>217.2</v>
      </c>
      <c r="G22592" s="5">
        <v>108.4</v>
      </c>
      <c r="H22592" s="5">
        <v>108.3</v>
      </c>
      <c r="I22592" s="5"/>
      <c r="J22592" s="5"/>
      <c r="K22592" s="5"/>
    </row>
    <row r="22593" spans="1:11" x14ac:dyDescent="0.25">
      <c r="A22593" s="5">
        <f>22586</f>
      </c>
      <c r="B22593" s="5" t="s">
        <v>22601</v>
      </c>
      <c r="C22593" s="5">
        <v>108.6</v>
      </c>
      <c r="D22593" s="5">
        <v>0.1</v>
      </c>
      <c r="E22593" s="5">
        <v>108.8</v>
      </c>
      <c r="F22593" s="5">
        <v>217.2</v>
      </c>
      <c r="G22593" s="5">
        <v>108.4</v>
      </c>
      <c r="H22593" s="5">
        <v>108.3</v>
      </c>
      <c r="I22593" s="5"/>
      <c r="J22593" s="5"/>
      <c r="K22593" s="5"/>
    </row>
    <row r="22594" spans="1:11" x14ac:dyDescent="0.25">
      <c r="A22594" s="5">
        <f>22587</f>
      </c>
      <c r="B22594" s="5" t="s">
        <v>22602</v>
      </c>
      <c r="C22594" s="5">
        <v>108.6</v>
      </c>
      <c r="D22594" s="5">
        <v>0.1</v>
      </c>
      <c r="E22594" s="5">
        <v>108.8</v>
      </c>
      <c r="F22594" s="5">
        <v>217.2</v>
      </c>
      <c r="G22594" s="5">
        <v>108.4</v>
      </c>
      <c r="H22594" s="5">
        <v>108.3</v>
      </c>
      <c r="I22594" s="5"/>
      <c r="J22594" s="5"/>
      <c r="K22594" s="5"/>
    </row>
    <row r="22595" spans="1:11" x14ac:dyDescent="0.25">
      <c r="A22595" s="5">
        <f>22588</f>
      </c>
      <c r="B22595" s="5" t="s">
        <v>22603</v>
      </c>
      <c r="C22595" s="5">
        <v>109</v>
      </c>
      <c r="D22595" s="5">
        <v>0.1</v>
      </c>
      <c r="E22595" s="5">
        <v>109.1</v>
      </c>
      <c r="F22595" s="5">
        <v>217.6</v>
      </c>
      <c r="G22595" s="5">
        <v>108.6</v>
      </c>
      <c r="H22595" s="5">
        <v>108.4</v>
      </c>
      <c r="I22595" s="5"/>
      <c r="J22595" s="5"/>
      <c r="K22595" s="5"/>
    </row>
    <row r="22596" spans="1:11" x14ac:dyDescent="0.25">
      <c r="A22596" s="5">
        <f>22589</f>
      </c>
      <c r="B22596" s="5" t="s">
        <v>22604</v>
      </c>
      <c r="C22596" s="5">
        <v>109</v>
      </c>
      <c r="D22596" s="5">
        <v>0.1</v>
      </c>
      <c r="E22596" s="5">
        <v>109.1</v>
      </c>
      <c r="F22596" s="5">
        <v>217.6</v>
      </c>
      <c r="G22596" s="5">
        <v>108.6</v>
      </c>
      <c r="H22596" s="5">
        <v>108.4</v>
      </c>
      <c r="I22596" s="5"/>
      <c r="J22596" s="5"/>
      <c r="K22596" s="5"/>
    </row>
    <row r="22597" spans="1:11" x14ac:dyDescent="0.25">
      <c r="A22597" s="5">
        <f>22590</f>
      </c>
      <c r="B22597" s="5" t="s">
        <v>22605</v>
      </c>
      <c r="C22597" s="5">
        <v>109.4</v>
      </c>
      <c r="D22597" s="5">
        <v>0.1</v>
      </c>
      <c r="E22597" s="5">
        <v>109.5</v>
      </c>
      <c r="F22597" s="5">
        <v>217.8</v>
      </c>
      <c r="G22597" s="5">
        <v>108.7</v>
      </c>
      <c r="H22597" s="5">
        <v>108.5</v>
      </c>
      <c r="I22597" s="5"/>
      <c r="J22597" s="5"/>
      <c r="K22597" s="5"/>
    </row>
    <row r="22598" spans="1:11" x14ac:dyDescent="0.25">
      <c r="A22598" s="5">
        <f>22591</f>
      </c>
      <c r="B22598" s="5" t="s">
        <v>22606</v>
      </c>
      <c r="C22598" s="5">
        <v>109.4</v>
      </c>
      <c r="D22598" s="5">
        <v>0.1</v>
      </c>
      <c r="E22598" s="5">
        <v>109.5</v>
      </c>
      <c r="F22598" s="5">
        <v>217.8</v>
      </c>
      <c r="G22598" s="5">
        <v>108.7</v>
      </c>
      <c r="H22598" s="5">
        <v>108.5</v>
      </c>
      <c r="I22598" s="5"/>
      <c r="J22598" s="5"/>
      <c r="K22598" s="5"/>
    </row>
    <row r="22599" spans="1:11" x14ac:dyDescent="0.25">
      <c r="A22599" s="5">
        <f>22592</f>
      </c>
      <c r="B22599" s="5" t="s">
        <v>22607</v>
      </c>
      <c r="C22599" s="5">
        <v>108.5</v>
      </c>
      <c r="D22599" s="5">
        <v>0.1</v>
      </c>
      <c r="E22599" s="5">
        <v>108.5</v>
      </c>
      <c r="F22599" s="5">
        <v>216.2</v>
      </c>
      <c r="G22599" s="5">
        <v>107.9</v>
      </c>
      <c r="H22599" s="5">
        <v>107.7</v>
      </c>
      <c r="I22599" s="5"/>
      <c r="J22599" s="5"/>
      <c r="K22599" s="5"/>
    </row>
    <row r="22600" spans="1:11" x14ac:dyDescent="0.25">
      <c r="A22600" s="5">
        <f>22593</f>
      </c>
      <c r="B22600" s="5" t="s">
        <v>22608</v>
      </c>
      <c r="C22600" s="5">
        <v>108.5</v>
      </c>
      <c r="D22600" s="5">
        <v>0.1</v>
      </c>
      <c r="E22600" s="5">
        <v>108.5</v>
      </c>
      <c r="F22600" s="5">
        <v>216.2</v>
      </c>
      <c r="G22600" s="5">
        <v>107.9</v>
      </c>
      <c r="H22600" s="5">
        <v>107.7</v>
      </c>
      <c r="I22600" s="5"/>
      <c r="J22600" s="5"/>
      <c r="K22600" s="5"/>
    </row>
    <row r="22601" spans="1:11" x14ac:dyDescent="0.25">
      <c r="A22601" s="5">
        <f>22594</f>
      </c>
      <c r="B22601" s="5" t="s">
        <v>22609</v>
      </c>
      <c r="C22601" s="5">
        <v>108.5</v>
      </c>
      <c r="D22601" s="5">
        <v>0.1</v>
      </c>
      <c r="E22601" s="5">
        <v>108.7</v>
      </c>
      <c r="F22601" s="5">
        <v>216.8</v>
      </c>
      <c r="G22601" s="5">
        <v>108.1</v>
      </c>
      <c r="H22601" s="5">
        <v>108</v>
      </c>
      <c r="I22601" s="5"/>
      <c r="J22601" s="5"/>
      <c r="K22601" s="5"/>
    </row>
    <row r="22602" spans="1:11" x14ac:dyDescent="0.25">
      <c r="A22602" s="5">
        <f>22595</f>
      </c>
      <c r="B22602" s="5" t="s">
        <v>22610</v>
      </c>
      <c r="C22602" s="5">
        <v>108.5</v>
      </c>
      <c r="D22602" s="5">
        <v>0.1</v>
      </c>
      <c r="E22602" s="5">
        <v>108.7</v>
      </c>
      <c r="F22602" s="5">
        <v>216.8</v>
      </c>
      <c r="G22602" s="5">
        <v>108.1</v>
      </c>
      <c r="H22602" s="5">
        <v>108</v>
      </c>
      <c r="I22602" s="5"/>
      <c r="J22602" s="5"/>
      <c r="K22602" s="5"/>
    </row>
    <row r="22603" spans="1:11" x14ac:dyDescent="0.25">
      <c r="A22603" s="5">
        <f>22596</f>
      </c>
      <c r="B22603" s="5" t="s">
        <v>22611</v>
      </c>
      <c r="C22603" s="5">
        <v>108.5</v>
      </c>
      <c r="D22603" s="5">
        <v>0.1</v>
      </c>
      <c r="E22603" s="5">
        <v>108.7</v>
      </c>
      <c r="F22603" s="5">
        <v>216.8</v>
      </c>
      <c r="G22603" s="5">
        <v>108.1</v>
      </c>
      <c r="H22603" s="5">
        <v>108</v>
      </c>
      <c r="I22603" s="5"/>
      <c r="J22603" s="5"/>
      <c r="K22603" s="5"/>
    </row>
    <row r="22604" spans="1:11" x14ac:dyDescent="0.25">
      <c r="A22604" s="5">
        <f>22597</f>
      </c>
      <c r="B22604" s="5" t="s">
        <v>22612</v>
      </c>
      <c r="C22604" s="5">
        <v>108.5</v>
      </c>
      <c r="D22604" s="5">
        <v>0.1</v>
      </c>
      <c r="E22604" s="5">
        <v>108.7</v>
      </c>
      <c r="F22604" s="5">
        <v>216.8</v>
      </c>
      <c r="G22604" s="5">
        <v>108.1</v>
      </c>
      <c r="H22604" s="5">
        <v>108</v>
      </c>
      <c r="I22604" s="5"/>
      <c r="J22604" s="5"/>
      <c r="K22604" s="5"/>
    </row>
    <row r="22605" spans="1:11" x14ac:dyDescent="0.25">
      <c r="A22605" s="5">
        <f>22598</f>
      </c>
      <c r="B22605" s="5" t="s">
        <v>22613</v>
      </c>
      <c r="C22605" s="5">
        <v>109.6</v>
      </c>
      <c r="D22605" s="5">
        <v>0.1</v>
      </c>
      <c r="E22605" s="5">
        <v>108.7</v>
      </c>
      <c r="F22605" s="5">
        <v>216.8</v>
      </c>
      <c r="G22605" s="5">
        <v>108.1</v>
      </c>
      <c r="H22605" s="5">
        <v>108</v>
      </c>
      <c r="I22605" s="5"/>
      <c r="J22605" s="5"/>
      <c r="K22605" s="5"/>
    </row>
    <row r="22606" spans="1:11" x14ac:dyDescent="0.25">
      <c r="A22606" s="5">
        <f>22599</f>
      </c>
      <c r="B22606" s="5" t="s">
        <v>22614</v>
      </c>
      <c r="C22606" s="5">
        <v>109.6</v>
      </c>
      <c r="D22606" s="5">
        <v>0.1</v>
      </c>
      <c r="E22606" s="5">
        <v>109.7</v>
      </c>
      <c r="F22606" s="5">
        <v>218.9</v>
      </c>
      <c r="G22606" s="5">
        <v>109.3</v>
      </c>
      <c r="H22606" s="5">
        <v>109.1</v>
      </c>
      <c r="I22606" s="5"/>
      <c r="J22606" s="5"/>
      <c r="K22606" s="5"/>
    </row>
    <row r="22607" spans="1:11" x14ac:dyDescent="0.25">
      <c r="A22607" s="5">
        <f>22600</f>
      </c>
      <c r="B22607" s="5" t="s">
        <v>22615</v>
      </c>
      <c r="C22607" s="5">
        <v>109.6</v>
      </c>
      <c r="D22607" s="5">
        <v>0.1</v>
      </c>
      <c r="E22607" s="5">
        <v>109.7</v>
      </c>
      <c r="F22607" s="5">
        <v>218.9</v>
      </c>
      <c r="G22607" s="5">
        <v>109.3</v>
      </c>
      <c r="H22607" s="5">
        <v>109.1</v>
      </c>
      <c r="I22607" s="5"/>
      <c r="J22607" s="5"/>
      <c r="K22607" s="5"/>
    </row>
    <row r="22608" spans="1:11" x14ac:dyDescent="0.25">
      <c r="A22608" s="5">
        <f>22601</f>
      </c>
      <c r="B22608" s="5" t="s">
        <v>22616</v>
      </c>
      <c r="C22608" s="5">
        <v>109.4</v>
      </c>
      <c r="D22608" s="5">
        <v>0.1</v>
      </c>
      <c r="E22608" s="5">
        <v>109.7</v>
      </c>
      <c r="F22608" s="5">
        <v>218.4</v>
      </c>
      <c r="G22608" s="5">
        <v>109</v>
      </c>
      <c r="H22608" s="5">
        <v>108.9</v>
      </c>
      <c r="I22608" s="5"/>
      <c r="J22608" s="5"/>
      <c r="K22608" s="5"/>
    </row>
    <row r="22609" spans="1:11" x14ac:dyDescent="0.25">
      <c r="A22609" s="5">
        <f>22602</f>
      </c>
      <c r="B22609" s="5" t="s">
        <v>22617</v>
      </c>
      <c r="C22609" s="5">
        <v>109.4</v>
      </c>
      <c r="D22609" s="5">
        <v>0.1</v>
      </c>
      <c r="E22609" s="5">
        <v>109.7</v>
      </c>
      <c r="F22609" s="5">
        <v>218.4</v>
      </c>
      <c r="G22609" s="5">
        <v>109</v>
      </c>
      <c r="H22609" s="5">
        <v>108.9</v>
      </c>
      <c r="I22609" s="5"/>
      <c r="J22609" s="5"/>
      <c r="K22609" s="5"/>
    </row>
    <row r="22610" spans="1:11" x14ac:dyDescent="0.25">
      <c r="A22610" s="5">
        <f>22603</f>
      </c>
      <c r="B22610" s="5" t="s">
        <v>22618</v>
      </c>
      <c r="C22610" s="5">
        <v>109.1</v>
      </c>
      <c r="D22610" s="5">
        <v>0.1</v>
      </c>
      <c r="E22610" s="5">
        <v>109.2</v>
      </c>
      <c r="F22610" s="5">
        <v>218.4</v>
      </c>
      <c r="G22610" s="5">
        <v>109</v>
      </c>
      <c r="H22610" s="5">
        <v>108.8</v>
      </c>
      <c r="I22610" s="5"/>
      <c r="J22610" s="5"/>
      <c r="K22610" s="5"/>
    </row>
    <row r="22611" spans="1:11" x14ac:dyDescent="0.25">
      <c r="A22611" s="5">
        <f>22604</f>
      </c>
      <c r="B22611" s="5" t="s">
        <v>22619</v>
      </c>
      <c r="C22611" s="5">
        <v>109.1</v>
      </c>
      <c r="D22611" s="5">
        <v>0.1</v>
      </c>
      <c r="E22611" s="5">
        <v>109.2</v>
      </c>
      <c r="F22611" s="5">
        <v>218.4</v>
      </c>
      <c r="G22611" s="5">
        <v>109</v>
      </c>
      <c r="H22611" s="5">
        <v>108.8</v>
      </c>
      <c r="I22611" s="5"/>
      <c r="J22611" s="5"/>
      <c r="K22611" s="5"/>
    </row>
    <row r="22612" spans="1:11" x14ac:dyDescent="0.25">
      <c r="A22612" s="5">
        <f>22605</f>
      </c>
      <c r="B22612" s="5" t="s">
        <v>22620</v>
      </c>
      <c r="C22612" s="5">
        <v>108.3</v>
      </c>
      <c r="D22612" s="5">
        <v>0.1</v>
      </c>
      <c r="E22612" s="5">
        <v>108.5</v>
      </c>
      <c r="F22612" s="5">
        <v>217</v>
      </c>
      <c r="G22612" s="5">
        <v>108.3</v>
      </c>
      <c r="H22612" s="5">
        <v>108.1</v>
      </c>
      <c r="I22612" s="5"/>
      <c r="J22612" s="5"/>
      <c r="K22612" s="5"/>
    </row>
    <row r="22613" spans="1:11" x14ac:dyDescent="0.25">
      <c r="A22613" s="5">
        <f>22606</f>
      </c>
      <c r="B22613" s="5" t="s">
        <v>22621</v>
      </c>
      <c r="C22613" s="5">
        <v>108.3</v>
      </c>
      <c r="D22613" s="5">
        <v>0.1</v>
      </c>
      <c r="E22613" s="5">
        <v>108.5</v>
      </c>
      <c r="F22613" s="5">
        <v>217</v>
      </c>
      <c r="G22613" s="5">
        <v>108.3</v>
      </c>
      <c r="H22613" s="5">
        <v>108.1</v>
      </c>
      <c r="I22613" s="5"/>
      <c r="J22613" s="5"/>
      <c r="K22613" s="5"/>
    </row>
    <row r="22614" spans="1:11" x14ac:dyDescent="0.25">
      <c r="A22614" s="5">
        <f>22607</f>
      </c>
      <c r="B22614" s="5" t="s">
        <v>22622</v>
      </c>
      <c r="C22614" s="5">
        <v>108.3</v>
      </c>
      <c r="D22614" s="5">
        <v>0.1</v>
      </c>
      <c r="E22614" s="5">
        <v>108.5</v>
      </c>
      <c r="F22614" s="5">
        <v>217</v>
      </c>
      <c r="G22614" s="5">
        <v>108.3</v>
      </c>
      <c r="H22614" s="5">
        <v>108.1</v>
      </c>
      <c r="I22614" s="5"/>
      <c r="J22614" s="5"/>
      <c r="K22614" s="5"/>
    </row>
    <row r="22615" spans="1:11" x14ac:dyDescent="0.25">
      <c r="A22615" s="5">
        <f>22608</f>
      </c>
      <c r="B22615" s="5" t="s">
        <v>22623</v>
      </c>
      <c r="C22615" s="5">
        <v>109.8</v>
      </c>
      <c r="D22615" s="5">
        <v>0.1</v>
      </c>
      <c r="E22615" s="5">
        <v>110</v>
      </c>
      <c r="F22615" s="5">
        <v>219.2</v>
      </c>
      <c r="G22615" s="5">
        <v>109.4</v>
      </c>
      <c r="H22615" s="5">
        <v>109.3</v>
      </c>
      <c r="I22615" s="5"/>
      <c r="J22615" s="5"/>
      <c r="K22615" s="5"/>
    </row>
    <row r="22616" spans="1:11" x14ac:dyDescent="0.25">
      <c r="A22616" s="5">
        <f>22609</f>
      </c>
      <c r="B22616" s="5" t="s">
        <v>22624</v>
      </c>
      <c r="C22616" s="5">
        <v>109.8</v>
      </c>
      <c r="D22616" s="5">
        <v>0.1</v>
      </c>
      <c r="E22616" s="5">
        <v>110</v>
      </c>
      <c r="F22616" s="5">
        <v>219.2</v>
      </c>
      <c r="G22616" s="5">
        <v>109.4</v>
      </c>
      <c r="H22616" s="5">
        <v>109.3</v>
      </c>
      <c r="I22616" s="5"/>
      <c r="J22616" s="5"/>
      <c r="K22616" s="5"/>
    </row>
    <row r="22617" spans="1:11" x14ac:dyDescent="0.25">
      <c r="A22617" s="5">
        <f>22610</f>
      </c>
      <c r="B22617" s="5" t="s">
        <v>22625</v>
      </c>
      <c r="C22617" s="5">
        <v>109.4</v>
      </c>
      <c r="D22617" s="5">
        <v>0.1</v>
      </c>
      <c r="E22617" s="5">
        <v>109.6</v>
      </c>
      <c r="F22617" s="5">
        <v>218.4</v>
      </c>
      <c r="G22617" s="5">
        <v>109.1</v>
      </c>
      <c r="H22617" s="5">
        <v>109</v>
      </c>
      <c r="I22617" s="5"/>
      <c r="J22617" s="5"/>
      <c r="K22617" s="5"/>
    </row>
    <row r="22618" spans="1:11" x14ac:dyDescent="0.25">
      <c r="A22618" s="5">
        <f>22611</f>
      </c>
      <c r="B22618" s="5" t="s">
        <v>22626</v>
      </c>
      <c r="C22618" s="5">
        <v>109.4</v>
      </c>
      <c r="D22618" s="5">
        <v>0.1</v>
      </c>
      <c r="E22618" s="5">
        <v>109.6</v>
      </c>
      <c r="F22618" s="5">
        <v>218.4</v>
      </c>
      <c r="G22618" s="5">
        <v>109.1</v>
      </c>
      <c r="H22618" s="5">
        <v>109</v>
      </c>
      <c r="I22618" s="5"/>
      <c r="J22618" s="5"/>
      <c r="K22618" s="5"/>
    </row>
    <row r="22619" spans="1:11" x14ac:dyDescent="0.25">
      <c r="A22619" s="5">
        <f>22612</f>
      </c>
      <c r="B22619" s="5" t="s">
        <v>22627</v>
      </c>
      <c r="C22619" s="5">
        <v>108.8</v>
      </c>
      <c r="D22619" s="5">
        <v>0.1</v>
      </c>
      <c r="E22619" s="5">
        <v>108.9</v>
      </c>
      <c r="F22619" s="5">
        <v>217.3</v>
      </c>
      <c r="G22619" s="5">
        <v>108.5</v>
      </c>
      <c r="H22619" s="5">
        <v>108.4</v>
      </c>
      <c r="I22619" s="5"/>
      <c r="J22619" s="5"/>
      <c r="K22619" s="5"/>
    </row>
    <row r="22620" spans="1:11" x14ac:dyDescent="0.25">
      <c r="A22620" s="5">
        <f>22613</f>
      </c>
      <c r="B22620" s="5" t="s">
        <v>22628</v>
      </c>
      <c r="C22620" s="5">
        <v>108.8</v>
      </c>
      <c r="D22620" s="5">
        <v>0.1</v>
      </c>
      <c r="E22620" s="5">
        <v>108.9</v>
      </c>
      <c r="F22620" s="5">
        <v>217.3</v>
      </c>
      <c r="G22620" s="5">
        <v>108.5</v>
      </c>
      <c r="H22620" s="5">
        <v>108.4</v>
      </c>
      <c r="I22620" s="5"/>
      <c r="J22620" s="5"/>
      <c r="K22620" s="5"/>
    </row>
    <row r="22621" spans="1:11" x14ac:dyDescent="0.25">
      <c r="A22621" s="5">
        <f>22614</f>
      </c>
      <c r="B22621" s="5" t="s">
        <v>22629</v>
      </c>
      <c r="C22621" s="5">
        <v>109.2</v>
      </c>
      <c r="D22621" s="5">
        <v>0.1</v>
      </c>
      <c r="E22621" s="5">
        <v>109.4</v>
      </c>
      <c r="F22621" s="5">
        <v>219.1</v>
      </c>
      <c r="G22621" s="5">
        <v>109.3</v>
      </c>
      <c r="H22621" s="5">
        <v>109.1</v>
      </c>
      <c r="I22621" s="5"/>
      <c r="J22621" s="5"/>
      <c r="K22621" s="5"/>
    </row>
    <row r="22622" spans="1:11" x14ac:dyDescent="0.25">
      <c r="A22622" s="5">
        <f>22615</f>
      </c>
      <c r="B22622" s="5" t="s">
        <v>22630</v>
      </c>
      <c r="C22622" s="5">
        <v>109.2</v>
      </c>
      <c r="D22622" s="5">
        <v>0.1</v>
      </c>
      <c r="E22622" s="5">
        <v>109.4</v>
      </c>
      <c r="F22622" s="5">
        <v>219.1</v>
      </c>
      <c r="G22622" s="5">
        <v>109.3</v>
      </c>
      <c r="H22622" s="5">
        <v>109.1</v>
      </c>
      <c r="I22622" s="5"/>
      <c r="J22622" s="5"/>
      <c r="K22622" s="5"/>
    </row>
    <row r="22623" spans="1:11" x14ac:dyDescent="0.25">
      <c r="A22623" s="5">
        <f>22616</f>
      </c>
      <c r="B22623" s="5" t="s">
        <v>22631</v>
      </c>
      <c r="C22623" s="5">
        <v>109.2</v>
      </c>
      <c r="D22623" s="5">
        <v>0.1</v>
      </c>
      <c r="E22623" s="5">
        <v>109.4</v>
      </c>
      <c r="F22623" s="5">
        <v>219.1</v>
      </c>
      <c r="G22623" s="5">
        <v>109.3</v>
      </c>
      <c r="H22623" s="5">
        <v>109.1</v>
      </c>
      <c r="I22623" s="5"/>
      <c r="J22623" s="5"/>
      <c r="K22623" s="5"/>
    </row>
    <row r="22624" spans="1:11" x14ac:dyDescent="0.25">
      <c r="A22624" s="5">
        <f>22617</f>
      </c>
      <c r="B22624" s="5" t="s">
        <v>22632</v>
      </c>
      <c r="C22624" s="5">
        <v>109.2</v>
      </c>
      <c r="D22624" s="5">
        <v>0.1</v>
      </c>
      <c r="E22624" s="5">
        <v>109.4</v>
      </c>
      <c r="F22624" s="5">
        <v>219.1</v>
      </c>
      <c r="G22624" s="5">
        <v>109.3</v>
      </c>
      <c r="H22624" s="5">
        <v>109.1</v>
      </c>
      <c r="I22624" s="5"/>
      <c r="J22624" s="5"/>
      <c r="K22624" s="5"/>
    </row>
    <row r="22625" spans="1:11" x14ac:dyDescent="0.25">
      <c r="A22625" s="5">
        <f>22618</f>
      </c>
      <c r="B22625" s="5" t="s">
        <v>22633</v>
      </c>
      <c r="C22625" s="5">
        <v>110.1</v>
      </c>
      <c r="D22625" s="5">
        <v>0.1</v>
      </c>
      <c r="E22625" s="5">
        <v>110.2</v>
      </c>
      <c r="F22625" s="5">
        <v>219.3</v>
      </c>
      <c r="G22625" s="5">
        <v>109.4</v>
      </c>
      <c r="H22625" s="5">
        <v>109.2</v>
      </c>
      <c r="I22625" s="5"/>
      <c r="J22625" s="5"/>
      <c r="K22625" s="5"/>
    </row>
    <row r="22626" spans="1:11" x14ac:dyDescent="0.25">
      <c r="A22626" s="5">
        <f>22619</f>
      </c>
      <c r="B22626" s="5" t="s">
        <v>22634</v>
      </c>
      <c r="C22626" s="5">
        <v>110.1</v>
      </c>
      <c r="D22626" s="5">
        <v>0.1</v>
      </c>
      <c r="E22626" s="5">
        <v>110.2</v>
      </c>
      <c r="F22626" s="5">
        <v>219.3</v>
      </c>
      <c r="G22626" s="5">
        <v>109.4</v>
      </c>
      <c r="H22626" s="5">
        <v>109.2</v>
      </c>
      <c r="I22626" s="5"/>
      <c r="J22626" s="5"/>
      <c r="K22626" s="5"/>
    </row>
    <row r="22627" spans="1:11" x14ac:dyDescent="0.25">
      <c r="A22627" s="5">
        <f>22620</f>
      </c>
      <c r="B22627" s="5" t="s">
        <v>22635</v>
      </c>
      <c r="C22627" s="5">
        <v>110.4</v>
      </c>
      <c r="D22627" s="5">
        <v>0.1</v>
      </c>
      <c r="E22627" s="5">
        <v>110.6</v>
      </c>
      <c r="F22627" s="5">
        <v>220.9</v>
      </c>
      <c r="G22627" s="5">
        <v>110.2</v>
      </c>
      <c r="H22627" s="5">
        <v>110</v>
      </c>
      <c r="I22627" s="5"/>
      <c r="J22627" s="5"/>
      <c r="K22627" s="5"/>
    </row>
    <row r="22628" spans="1:11" x14ac:dyDescent="0.25">
      <c r="A22628" s="5">
        <f>22621</f>
      </c>
      <c r="B22628" s="5" t="s">
        <v>22636</v>
      </c>
      <c r="C22628" s="5">
        <v>110.4</v>
      </c>
      <c r="D22628" s="5">
        <v>0.1</v>
      </c>
      <c r="E22628" s="5">
        <v>110.6</v>
      </c>
      <c r="F22628" s="5">
        <v>220.9</v>
      </c>
      <c r="G22628" s="5">
        <v>110.2</v>
      </c>
      <c r="H22628" s="5">
        <v>110</v>
      </c>
      <c r="I22628" s="5"/>
      <c r="J22628" s="5"/>
      <c r="K22628" s="5"/>
    </row>
    <row r="22629" spans="1:11" x14ac:dyDescent="0.25">
      <c r="A22629" s="5">
        <f>22622</f>
      </c>
      <c r="B22629" s="5" t="s">
        <v>22637</v>
      </c>
      <c r="C22629" s="5">
        <v>110.2</v>
      </c>
      <c r="D22629" s="5">
        <v>0.1</v>
      </c>
      <c r="E22629" s="5">
        <v>110.4</v>
      </c>
      <c r="F22629" s="5">
        <v>220</v>
      </c>
      <c r="G22629" s="5">
        <v>109.8</v>
      </c>
      <c r="H22629" s="5">
        <v>109.6</v>
      </c>
      <c r="I22629" s="5"/>
      <c r="J22629" s="5"/>
      <c r="K22629" s="5"/>
    </row>
    <row r="22630" spans="1:11" x14ac:dyDescent="0.25">
      <c r="A22630" s="5">
        <f>22623</f>
      </c>
      <c r="B22630" s="5" t="s">
        <v>22638</v>
      </c>
      <c r="C22630" s="5">
        <v>110.2</v>
      </c>
      <c r="D22630" s="5">
        <v>0.1</v>
      </c>
      <c r="E22630" s="5">
        <v>110.4</v>
      </c>
      <c r="F22630" s="5">
        <v>220</v>
      </c>
      <c r="G22630" s="5">
        <v>109.8</v>
      </c>
      <c r="H22630" s="5">
        <v>109.6</v>
      </c>
      <c r="I22630" s="5"/>
      <c r="J22630" s="5"/>
      <c r="K22630" s="5"/>
    </row>
    <row r="22631" spans="1:11" x14ac:dyDescent="0.25">
      <c r="A22631" s="5">
        <f>22624</f>
      </c>
      <c r="B22631" s="5" t="s">
        <v>22639</v>
      </c>
      <c r="C22631" s="5">
        <v>110</v>
      </c>
      <c r="D22631" s="5">
        <v>0.1</v>
      </c>
      <c r="E22631" s="5">
        <v>110.1</v>
      </c>
      <c r="F22631" s="5">
        <v>219.7</v>
      </c>
      <c r="G22631" s="5">
        <v>109.7</v>
      </c>
      <c r="H22631" s="5">
        <v>109.6</v>
      </c>
      <c r="I22631" s="5"/>
      <c r="J22631" s="5"/>
      <c r="K22631" s="5"/>
    </row>
    <row r="22632" spans="1:11" x14ac:dyDescent="0.25">
      <c r="A22632" s="5">
        <f>22625</f>
      </c>
      <c r="B22632" s="5" t="s">
        <v>22640</v>
      </c>
      <c r="C22632" s="5">
        <v>110</v>
      </c>
      <c r="D22632" s="5">
        <v>0.1</v>
      </c>
      <c r="E22632" s="5">
        <v>110.1</v>
      </c>
      <c r="F22632" s="5">
        <v>219.7</v>
      </c>
      <c r="G22632" s="5">
        <v>109.7</v>
      </c>
      <c r="H22632" s="5">
        <v>109.6</v>
      </c>
      <c r="I22632" s="5"/>
      <c r="J22632" s="5"/>
      <c r="K22632" s="5"/>
    </row>
    <row r="22633" spans="1:11" x14ac:dyDescent="0.25">
      <c r="A22633" s="5">
        <f>22626</f>
      </c>
      <c r="B22633" s="5" t="s">
        <v>22641</v>
      </c>
      <c r="C22633" s="5">
        <v>110</v>
      </c>
      <c r="D22633" s="5">
        <v>0.1</v>
      </c>
      <c r="E22633" s="5">
        <v>110.1</v>
      </c>
      <c r="F22633" s="5">
        <v>219.7</v>
      </c>
      <c r="G22633" s="5">
        <v>109.7</v>
      </c>
      <c r="H22633" s="5">
        <v>109.6</v>
      </c>
      <c r="I22633" s="5"/>
      <c r="J22633" s="5"/>
      <c r="K22633" s="5"/>
    </row>
    <row r="22634" spans="1:11" x14ac:dyDescent="0.25">
      <c r="A22634" s="5">
        <f>22627</f>
      </c>
      <c r="B22634" s="5" t="s">
        <v>22642</v>
      </c>
      <c r="C22634" s="5">
        <v>110</v>
      </c>
      <c r="D22634" s="5">
        <v>0.1</v>
      </c>
      <c r="E22634" s="5">
        <v>110.1</v>
      </c>
      <c r="F22634" s="5">
        <v>219.7</v>
      </c>
      <c r="G22634" s="5">
        <v>109.7</v>
      </c>
      <c r="H22634" s="5">
        <v>109.6</v>
      </c>
      <c r="I22634" s="5"/>
      <c r="J22634" s="5"/>
      <c r="K22634" s="5"/>
    </row>
    <row r="22635" spans="1:11" x14ac:dyDescent="0.25">
      <c r="A22635" s="5">
        <f>22628</f>
      </c>
      <c r="B22635" s="5" t="s">
        <v>22643</v>
      </c>
      <c r="C22635" s="5">
        <v>110.1</v>
      </c>
      <c r="D22635" s="5">
        <v>0.1</v>
      </c>
      <c r="E22635" s="5">
        <v>110.2</v>
      </c>
      <c r="F22635" s="5">
        <v>220.6</v>
      </c>
      <c r="G22635" s="5">
        <v>109.8</v>
      </c>
      <c r="H22635" s="5">
        <v>109.7</v>
      </c>
      <c r="I22635" s="5"/>
      <c r="J22635" s="5"/>
      <c r="K22635" s="5"/>
    </row>
    <row r="22636" spans="1:11" x14ac:dyDescent="0.25">
      <c r="A22636" s="5">
        <f>22629</f>
      </c>
      <c r="B22636" s="5" t="s">
        <v>22644</v>
      </c>
      <c r="C22636" s="5">
        <v>110.1</v>
      </c>
      <c r="D22636" s="5">
        <v>0.1</v>
      </c>
      <c r="E22636" s="5">
        <v>110.2</v>
      </c>
      <c r="F22636" s="5">
        <v>220.6</v>
      </c>
      <c r="G22636" s="5">
        <v>109.8</v>
      </c>
      <c r="H22636" s="5">
        <v>109.7</v>
      </c>
      <c r="I22636" s="5"/>
      <c r="J22636" s="5"/>
      <c r="K22636" s="5"/>
    </row>
    <row r="22637" spans="1:11" x14ac:dyDescent="0.25">
      <c r="A22637" s="5">
        <f>22630</f>
      </c>
      <c r="B22637" s="5" t="s">
        <v>22645</v>
      </c>
      <c r="C22637" s="5">
        <v>110.2</v>
      </c>
      <c r="D22637" s="5">
        <v>0.1</v>
      </c>
      <c r="E22637" s="5">
        <v>110.4</v>
      </c>
      <c r="F22637" s="5">
        <v>218.6</v>
      </c>
      <c r="G22637" s="5">
        <v>109.7</v>
      </c>
      <c r="H22637" s="5">
        <v>109.6</v>
      </c>
      <c r="I22637" s="5"/>
      <c r="J22637" s="5"/>
      <c r="K22637" s="5"/>
    </row>
    <row r="22638" spans="1:11" x14ac:dyDescent="0.25">
      <c r="A22638" s="5">
        <f>22631</f>
      </c>
      <c r="B22638" s="5" t="s">
        <v>22646</v>
      </c>
      <c r="C22638" s="5">
        <v>110.2</v>
      </c>
      <c r="D22638" s="5">
        <v>0.1</v>
      </c>
      <c r="E22638" s="5">
        <v>110.4</v>
      </c>
      <c r="F22638" s="5">
        <v>218.6</v>
      </c>
      <c r="G22638" s="5">
        <v>109.7</v>
      </c>
      <c r="H22638" s="5">
        <v>109.6</v>
      </c>
      <c r="I22638" s="5"/>
      <c r="J22638" s="5"/>
      <c r="K22638" s="5"/>
    </row>
    <row r="22639" spans="1:11" x14ac:dyDescent="0.25">
      <c r="A22639" s="5">
        <f>22632</f>
      </c>
      <c r="B22639" s="5" t="s">
        <v>22647</v>
      </c>
      <c r="C22639" s="5">
        <v>109.4</v>
      </c>
      <c r="D22639" s="5">
        <v>0.1</v>
      </c>
      <c r="E22639" s="5">
        <v>109.5</v>
      </c>
      <c r="F22639" s="5">
        <v>218.5</v>
      </c>
      <c r="G22639" s="5">
        <v>109.1</v>
      </c>
      <c r="H22639" s="5">
        <v>108.9</v>
      </c>
      <c r="I22639" s="5"/>
      <c r="J22639" s="5"/>
      <c r="K22639" s="5"/>
    </row>
    <row r="22640" spans="1:11" x14ac:dyDescent="0.25">
      <c r="A22640" s="5">
        <f>22633</f>
      </c>
      <c r="B22640" s="5" t="s">
        <v>22648</v>
      </c>
      <c r="C22640" s="5">
        <v>109.4</v>
      </c>
      <c r="D22640" s="5">
        <v>0.1</v>
      </c>
      <c r="E22640" s="5">
        <v>109.5</v>
      </c>
      <c r="F22640" s="5">
        <v>218.5</v>
      </c>
      <c r="G22640" s="5">
        <v>109.1</v>
      </c>
      <c r="H22640" s="5">
        <v>108.9</v>
      </c>
      <c r="I22640" s="5"/>
      <c r="J22640" s="5"/>
      <c r="K22640" s="5"/>
    </row>
    <row r="22641" spans="1:11" x14ac:dyDescent="0.25">
      <c r="A22641" s="5">
        <f>22634</f>
      </c>
      <c r="B22641" s="5" t="s">
        <v>22649</v>
      </c>
      <c r="C22641" s="5">
        <v>110.1</v>
      </c>
      <c r="D22641" s="5">
        <v>0.1</v>
      </c>
      <c r="E22641" s="5">
        <v>110.2</v>
      </c>
      <c r="F22641" s="5">
        <v>219.4</v>
      </c>
      <c r="G22641" s="5">
        <v>109.6</v>
      </c>
      <c r="H22641" s="5">
        <v>109.5</v>
      </c>
      <c r="I22641" s="5"/>
      <c r="J22641" s="5"/>
      <c r="K22641" s="5"/>
    </row>
    <row r="22642" spans="1:11" x14ac:dyDescent="0.25">
      <c r="A22642" s="5">
        <f>22635</f>
      </c>
      <c r="B22642" s="5" t="s">
        <v>22650</v>
      </c>
      <c r="C22642" s="5">
        <v>110.1</v>
      </c>
      <c r="D22642" s="5">
        <v>0.1</v>
      </c>
      <c r="E22642" s="5">
        <v>110.2</v>
      </c>
      <c r="F22642" s="5">
        <v>219.4</v>
      </c>
      <c r="G22642" s="5">
        <v>109.6</v>
      </c>
      <c r="H22642" s="5">
        <v>109.5</v>
      </c>
      <c r="I22642" s="5"/>
      <c r="J22642" s="5"/>
      <c r="K22642" s="5"/>
    </row>
    <row r="22643" spans="1:11" x14ac:dyDescent="0.25">
      <c r="A22643" s="5">
        <f>22636</f>
      </c>
      <c r="B22643" s="5" t="s">
        <v>22651</v>
      </c>
      <c r="C22643" s="5">
        <v>110.1</v>
      </c>
      <c r="D22643" s="5">
        <v>0.1</v>
      </c>
      <c r="E22643" s="5">
        <v>110.2</v>
      </c>
      <c r="F22643" s="5">
        <v>219.4</v>
      </c>
      <c r="G22643" s="5">
        <v>109.6</v>
      </c>
      <c r="H22643" s="5">
        <v>109.5</v>
      </c>
      <c r="I22643" s="5"/>
      <c r="J22643" s="5"/>
      <c r="K22643" s="5"/>
    </row>
    <row r="22644" spans="1:11" x14ac:dyDescent="0.25">
      <c r="A22644" s="5">
        <f>22637</f>
      </c>
      <c r="B22644" s="5" t="s">
        <v>22652</v>
      </c>
      <c r="C22644" s="5">
        <v>110.1</v>
      </c>
      <c r="D22644" s="5">
        <v>0.1</v>
      </c>
      <c r="E22644" s="5">
        <v>110.2</v>
      </c>
      <c r="F22644" s="5">
        <v>219.4</v>
      </c>
      <c r="G22644" s="5">
        <v>109.6</v>
      </c>
      <c r="H22644" s="5">
        <v>109.5</v>
      </c>
      <c r="I22644" s="5"/>
      <c r="J22644" s="5"/>
      <c r="K22644" s="5"/>
    </row>
    <row r="22645" spans="1:11" x14ac:dyDescent="0.25">
      <c r="A22645" s="5">
        <f>22638</f>
      </c>
      <c r="B22645" s="5" t="s">
        <v>22653</v>
      </c>
      <c r="C22645" s="5">
        <v>109.9</v>
      </c>
      <c r="D22645" s="5">
        <v>0.1</v>
      </c>
      <c r="E22645" s="5">
        <v>110.1</v>
      </c>
      <c r="F22645" s="5">
        <v>219</v>
      </c>
      <c r="G22645" s="5">
        <v>109.3</v>
      </c>
      <c r="H22645" s="5">
        <v>109.1</v>
      </c>
      <c r="I22645" s="5"/>
      <c r="J22645" s="5"/>
      <c r="K22645" s="5"/>
    </row>
    <row r="22646" spans="1:11" x14ac:dyDescent="0.25">
      <c r="A22646" s="5">
        <f>22639</f>
      </c>
      <c r="B22646" s="5" t="s">
        <v>22654</v>
      </c>
      <c r="C22646" s="5">
        <v>109.9</v>
      </c>
      <c r="D22646" s="5">
        <v>0.1</v>
      </c>
      <c r="E22646" s="5">
        <v>110.1</v>
      </c>
      <c r="F22646" s="5">
        <v>219</v>
      </c>
      <c r="G22646" s="5">
        <v>109.3</v>
      </c>
      <c r="H22646" s="5">
        <v>109.1</v>
      </c>
      <c r="I22646" s="5"/>
      <c r="J22646" s="5"/>
      <c r="K22646" s="5"/>
    </row>
    <row r="22647" spans="1:11" x14ac:dyDescent="0.25">
      <c r="A22647" s="5">
        <f>22640</f>
      </c>
      <c r="B22647" s="5" t="s">
        <v>22655</v>
      </c>
      <c r="C22647" s="5">
        <v>109.9</v>
      </c>
      <c r="D22647" s="5">
        <v>0.1</v>
      </c>
      <c r="E22647" s="5">
        <v>110.1</v>
      </c>
      <c r="F22647" s="5">
        <v>219</v>
      </c>
      <c r="G22647" s="5">
        <v>109.3</v>
      </c>
      <c r="H22647" s="5">
        <v>109.1</v>
      </c>
      <c r="I22647" s="5"/>
      <c r="J22647" s="5"/>
      <c r="K22647" s="5"/>
    </row>
    <row r="22648" spans="1:11" x14ac:dyDescent="0.25">
      <c r="A22648" s="5">
        <f>22641</f>
      </c>
      <c r="B22648" s="5" t="s">
        <v>22656</v>
      </c>
      <c r="C22648" s="5">
        <v>109.9</v>
      </c>
      <c r="D22648" s="5">
        <v>0.1</v>
      </c>
      <c r="E22648" s="5">
        <v>110.1</v>
      </c>
      <c r="F22648" s="5">
        <v>219</v>
      </c>
      <c r="G22648" s="5">
        <v>109.3</v>
      </c>
      <c r="H22648" s="5">
        <v>109.1</v>
      </c>
      <c r="I22648" s="5"/>
      <c r="J22648" s="5"/>
      <c r="K22648" s="5"/>
    </row>
    <row r="22649" spans="1:11" x14ac:dyDescent="0.25">
      <c r="A22649" s="5">
        <f>22642</f>
      </c>
      <c r="B22649" s="5" t="s">
        <v>22657</v>
      </c>
      <c r="C22649" s="5">
        <v>109.7</v>
      </c>
      <c r="D22649" s="5">
        <v>0.1</v>
      </c>
      <c r="E22649" s="5">
        <v>109.8</v>
      </c>
      <c r="F22649" s="5">
        <v>219.2</v>
      </c>
      <c r="G22649" s="5">
        <v>109.4</v>
      </c>
      <c r="H22649" s="5">
        <v>109.2</v>
      </c>
      <c r="I22649" s="5"/>
      <c r="J22649" s="5"/>
      <c r="K22649" s="5"/>
    </row>
    <row r="22650" spans="1:11" x14ac:dyDescent="0.25">
      <c r="A22650" s="5">
        <f>22643</f>
      </c>
      <c r="B22650" s="5" t="s">
        <v>22658</v>
      </c>
      <c r="C22650" s="5">
        <v>109.7</v>
      </c>
      <c r="D22650" s="5">
        <v>0.1</v>
      </c>
      <c r="E22650" s="5">
        <v>109.8</v>
      </c>
      <c r="F22650" s="5">
        <v>219.2</v>
      </c>
      <c r="G22650" s="5">
        <v>109.4</v>
      </c>
      <c r="H22650" s="5">
        <v>109.2</v>
      </c>
      <c r="I22650" s="5"/>
      <c r="J22650" s="5"/>
      <c r="K22650" s="5"/>
    </row>
    <row r="22651" spans="1:11" x14ac:dyDescent="0.25">
      <c r="A22651" s="5">
        <f>22644</f>
      </c>
      <c r="B22651" s="5" t="s">
        <v>22659</v>
      </c>
      <c r="C22651" s="5">
        <v>110</v>
      </c>
      <c r="D22651" s="5">
        <v>0.1</v>
      </c>
      <c r="E22651" s="5">
        <v>110.1</v>
      </c>
      <c r="F22651" s="5">
        <v>219.9</v>
      </c>
      <c r="G22651" s="5">
        <v>109.8</v>
      </c>
      <c r="H22651" s="5">
        <v>109.6</v>
      </c>
      <c r="I22651" s="5"/>
      <c r="J22651" s="5"/>
      <c r="K22651" s="5"/>
    </row>
    <row r="22652" spans="1:11" x14ac:dyDescent="0.25">
      <c r="A22652" s="5">
        <f>22645</f>
      </c>
      <c r="B22652" s="5" t="s">
        <v>22660</v>
      </c>
      <c r="C22652" s="5">
        <v>110</v>
      </c>
      <c r="D22652" s="5">
        <v>0.1</v>
      </c>
      <c r="E22652" s="5">
        <v>110.1</v>
      </c>
      <c r="F22652" s="5">
        <v>219.9</v>
      </c>
      <c r="G22652" s="5">
        <v>109.8</v>
      </c>
      <c r="H22652" s="5">
        <v>109.6</v>
      </c>
      <c r="I22652" s="5"/>
      <c r="J22652" s="5"/>
      <c r="K22652" s="5"/>
    </row>
    <row r="22653" spans="1:11" x14ac:dyDescent="0.25">
      <c r="A22653" s="5">
        <f>22646</f>
      </c>
      <c r="B22653" s="5" t="s">
        <v>22661</v>
      </c>
      <c r="C22653" s="5">
        <v>110</v>
      </c>
      <c r="D22653" s="5">
        <v>0.1</v>
      </c>
      <c r="E22653" s="5">
        <v>110.1</v>
      </c>
      <c r="F22653" s="5">
        <v>219.9</v>
      </c>
      <c r="G22653" s="5">
        <v>109.8</v>
      </c>
      <c r="H22653" s="5">
        <v>109.6</v>
      </c>
      <c r="I22653" s="5"/>
      <c r="J22653" s="5"/>
      <c r="K22653" s="5"/>
    </row>
    <row r="22654" spans="1:11" x14ac:dyDescent="0.25">
      <c r="A22654" s="5">
        <f>22647</f>
      </c>
      <c r="B22654" s="5" t="s">
        <v>22662</v>
      </c>
      <c r="C22654" s="5">
        <v>110</v>
      </c>
      <c r="D22654" s="5">
        <v>0.1</v>
      </c>
      <c r="E22654" s="5">
        <v>110.1</v>
      </c>
      <c r="F22654" s="5">
        <v>219.9</v>
      </c>
      <c r="G22654" s="5">
        <v>109.8</v>
      </c>
      <c r="H22654" s="5">
        <v>109.6</v>
      </c>
      <c r="I22654" s="5"/>
      <c r="J22654" s="5"/>
      <c r="K22654" s="5"/>
    </row>
    <row r="22655" spans="1:11" x14ac:dyDescent="0.25">
      <c r="A22655" s="5">
        <f>22648</f>
      </c>
      <c r="B22655" s="5" t="s">
        <v>22663</v>
      </c>
      <c r="C22655" s="5">
        <v>110.2</v>
      </c>
      <c r="D22655" s="5">
        <v>0.1</v>
      </c>
      <c r="E22655" s="5">
        <v>110.4</v>
      </c>
      <c r="F22655" s="5">
        <v>220.7</v>
      </c>
      <c r="G22655" s="5">
        <v>110.2</v>
      </c>
      <c r="H22655" s="5">
        <v>110</v>
      </c>
      <c r="I22655" s="5"/>
      <c r="J22655" s="5"/>
      <c r="K22655" s="5"/>
    </row>
    <row r="22656" spans="1:11" x14ac:dyDescent="0.25">
      <c r="A22656" s="5">
        <f>22649</f>
      </c>
      <c r="B22656" s="5" t="s">
        <v>22664</v>
      </c>
      <c r="C22656" s="5">
        <v>110.2</v>
      </c>
      <c r="D22656" s="5">
        <v>0.1</v>
      </c>
      <c r="E22656" s="5">
        <v>110.4</v>
      </c>
      <c r="F22656" s="5">
        <v>220.7</v>
      </c>
      <c r="G22656" s="5">
        <v>110.2</v>
      </c>
      <c r="H22656" s="5">
        <v>110</v>
      </c>
      <c r="I22656" s="5"/>
      <c r="J22656" s="5"/>
      <c r="K22656" s="5"/>
    </row>
    <row r="22657" spans="1:11" x14ac:dyDescent="0.25">
      <c r="A22657" s="5">
        <f>22650</f>
      </c>
      <c r="B22657" s="5" t="s">
        <v>22665</v>
      </c>
      <c r="C22657" s="5">
        <v>110</v>
      </c>
      <c r="D22657" s="5">
        <v>0.1</v>
      </c>
      <c r="E22657" s="5">
        <v>110.1</v>
      </c>
      <c r="F22657" s="5">
        <v>220.3</v>
      </c>
      <c r="G22657" s="5">
        <v>109.9</v>
      </c>
      <c r="H22657" s="5">
        <v>109.7</v>
      </c>
      <c r="I22657" s="5"/>
      <c r="J22657" s="5"/>
      <c r="K22657" s="5"/>
    </row>
    <row r="22658" spans="1:11" x14ac:dyDescent="0.25">
      <c r="A22658" s="5">
        <f>22651</f>
      </c>
      <c r="B22658" s="5" t="s">
        <v>22666</v>
      </c>
      <c r="C22658" s="5">
        <v>110</v>
      </c>
      <c r="D22658" s="5">
        <v>0.1</v>
      </c>
      <c r="E22658" s="5">
        <v>110.1</v>
      </c>
      <c r="F22658" s="5">
        <v>220.3</v>
      </c>
      <c r="G22658" s="5">
        <v>109.9</v>
      </c>
      <c r="H22658" s="5">
        <v>109.7</v>
      </c>
      <c r="I22658" s="5"/>
      <c r="J22658" s="5"/>
      <c r="K22658" s="5"/>
    </row>
    <row r="22659" spans="1:11" x14ac:dyDescent="0.25">
      <c r="A22659" s="5">
        <f>22652</f>
      </c>
      <c r="B22659" s="5" t="s">
        <v>22667</v>
      </c>
      <c r="C22659" s="5">
        <v>109.8</v>
      </c>
      <c r="D22659" s="5">
        <v>0.1</v>
      </c>
      <c r="E22659" s="5">
        <v>110</v>
      </c>
      <c r="F22659" s="5">
        <v>219.7</v>
      </c>
      <c r="G22659" s="5">
        <v>109.7</v>
      </c>
      <c r="H22659" s="5">
        <v>109.5</v>
      </c>
      <c r="I22659" s="5"/>
      <c r="J22659" s="5"/>
      <c r="K22659" s="5"/>
    </row>
    <row r="22660" spans="1:11" x14ac:dyDescent="0.25">
      <c r="A22660" s="5">
        <f>22653</f>
      </c>
      <c r="B22660" s="5" t="s">
        <v>22668</v>
      </c>
      <c r="C22660" s="5">
        <v>109.8</v>
      </c>
      <c r="D22660" s="5">
        <v>0.1</v>
      </c>
      <c r="E22660" s="5">
        <v>110</v>
      </c>
      <c r="F22660" s="5">
        <v>219.7</v>
      </c>
      <c r="G22660" s="5">
        <v>109.7</v>
      </c>
      <c r="H22660" s="5">
        <v>109.5</v>
      </c>
      <c r="I22660" s="5"/>
      <c r="J22660" s="5"/>
      <c r="K22660" s="5"/>
    </row>
    <row r="22661" spans="1:11" x14ac:dyDescent="0.25">
      <c r="A22661" s="5">
        <f>22654</f>
      </c>
      <c r="B22661" s="5" t="s">
        <v>22669</v>
      </c>
      <c r="C22661" s="5">
        <v>110.1</v>
      </c>
      <c r="D22661" s="5">
        <v>0.1</v>
      </c>
      <c r="E22661" s="5">
        <v>110.2</v>
      </c>
      <c r="F22661" s="5">
        <v>220.2</v>
      </c>
      <c r="G22661" s="5">
        <v>109.9</v>
      </c>
      <c r="H22661" s="5">
        <v>109.9</v>
      </c>
      <c r="I22661" s="5"/>
      <c r="J22661" s="5"/>
      <c r="K22661" s="5"/>
    </row>
    <row r="22662" spans="1:11" x14ac:dyDescent="0.25">
      <c r="A22662" s="5">
        <f>22655</f>
      </c>
      <c r="B22662" s="5" t="s">
        <v>22670</v>
      </c>
      <c r="C22662" s="5">
        <v>110.1</v>
      </c>
      <c r="D22662" s="5">
        <v>0.1</v>
      </c>
      <c r="E22662" s="5">
        <v>110.2</v>
      </c>
      <c r="F22662" s="5">
        <v>220.2</v>
      </c>
      <c r="G22662" s="5">
        <v>109.9</v>
      </c>
      <c r="H22662" s="5">
        <v>109.9</v>
      </c>
      <c r="I22662" s="5"/>
      <c r="J22662" s="5"/>
      <c r="K22662" s="5"/>
    </row>
    <row r="22663" spans="1:11" x14ac:dyDescent="0.25">
      <c r="A22663" s="5">
        <f>22656</f>
      </c>
      <c r="B22663" s="5" t="s">
        <v>22671</v>
      </c>
      <c r="C22663" s="5">
        <v>110.1</v>
      </c>
      <c r="D22663" s="5">
        <v>0.1</v>
      </c>
      <c r="E22663" s="5">
        <v>110.2</v>
      </c>
      <c r="F22663" s="5">
        <v>220.2</v>
      </c>
      <c r="G22663" s="5">
        <v>109.9</v>
      </c>
      <c r="H22663" s="5">
        <v>109.9</v>
      </c>
      <c r="I22663" s="5"/>
      <c r="J22663" s="5"/>
      <c r="K22663" s="5"/>
    </row>
    <row r="22664" spans="1:11" x14ac:dyDescent="0.25">
      <c r="A22664" s="5">
        <f>22657</f>
      </c>
      <c r="B22664" s="5" t="s">
        <v>22672</v>
      </c>
      <c r="C22664" s="5">
        <v>110.1</v>
      </c>
      <c r="D22664" s="5">
        <v>0.1</v>
      </c>
      <c r="E22664" s="5">
        <v>110.2</v>
      </c>
      <c r="F22664" s="5">
        <v>220.2</v>
      </c>
      <c r="G22664" s="5">
        <v>109.9</v>
      </c>
      <c r="H22664" s="5">
        <v>109.9</v>
      </c>
      <c r="I22664" s="5"/>
      <c r="J22664" s="5"/>
      <c r="K22664" s="5"/>
    </row>
    <row r="22665" spans="1:11" x14ac:dyDescent="0.25">
      <c r="A22665" s="5">
        <f>22658</f>
      </c>
      <c r="B22665" s="5" t="s">
        <v>22673</v>
      </c>
      <c r="C22665" s="5">
        <v>109.9</v>
      </c>
      <c r="D22665" s="5">
        <v>0.1</v>
      </c>
      <c r="E22665" s="5">
        <v>110</v>
      </c>
      <c r="F22665" s="5">
        <v>219.5</v>
      </c>
      <c r="G22665" s="5">
        <v>109.6</v>
      </c>
      <c r="H22665" s="5">
        <v>109.5</v>
      </c>
      <c r="I22665" s="5"/>
      <c r="J22665" s="5"/>
      <c r="K22665" s="5"/>
    </row>
    <row r="22666" spans="1:11" x14ac:dyDescent="0.25">
      <c r="A22666" s="5">
        <f>22659</f>
      </c>
      <c r="B22666" s="5" t="s">
        <v>22674</v>
      </c>
      <c r="C22666" s="5">
        <v>109.9</v>
      </c>
      <c r="D22666" s="5">
        <v>0.1</v>
      </c>
      <c r="E22666" s="5">
        <v>110</v>
      </c>
      <c r="F22666" s="5">
        <v>219.5</v>
      </c>
      <c r="G22666" s="5">
        <v>109.6</v>
      </c>
      <c r="H22666" s="5">
        <v>109.5</v>
      </c>
      <c r="I22666" s="5"/>
      <c r="J22666" s="5"/>
      <c r="K22666" s="5"/>
    </row>
    <row r="22667" spans="1:11" x14ac:dyDescent="0.25">
      <c r="A22667" s="5">
        <f>22660</f>
      </c>
      <c r="B22667" s="5" t="s">
        <v>22675</v>
      </c>
      <c r="C22667" s="5">
        <v>110.9</v>
      </c>
      <c r="D22667" s="5">
        <v>0.1</v>
      </c>
      <c r="E22667" s="5">
        <v>111</v>
      </c>
      <c r="F22667" s="5">
        <v>220.4</v>
      </c>
      <c r="G22667" s="5">
        <v>110</v>
      </c>
      <c r="H22667" s="5">
        <v>109.9</v>
      </c>
      <c r="I22667" s="5"/>
      <c r="J22667" s="5"/>
      <c r="K22667" s="5"/>
    </row>
    <row r="22668" spans="1:11" x14ac:dyDescent="0.25">
      <c r="A22668" s="5">
        <f>22661</f>
      </c>
      <c r="B22668" s="5" t="s">
        <v>22676</v>
      </c>
      <c r="C22668" s="5">
        <v>110.9</v>
      </c>
      <c r="D22668" s="5">
        <v>0.1</v>
      </c>
      <c r="E22668" s="5">
        <v>111</v>
      </c>
      <c r="F22668" s="5">
        <v>220.4</v>
      </c>
      <c r="G22668" s="5">
        <v>110</v>
      </c>
      <c r="H22668" s="5">
        <v>109.9</v>
      </c>
      <c r="I22668" s="5"/>
      <c r="J22668" s="5"/>
      <c r="K22668" s="5"/>
    </row>
    <row r="22669" spans="1:11" x14ac:dyDescent="0.25">
      <c r="A22669" s="5">
        <f>22662</f>
      </c>
      <c r="B22669" s="5" t="s">
        <v>22677</v>
      </c>
      <c r="C22669" s="5">
        <v>109.9</v>
      </c>
      <c r="D22669" s="5">
        <v>0.1</v>
      </c>
      <c r="E22669" s="5">
        <v>110.1</v>
      </c>
      <c r="F22669" s="5">
        <v>219.1</v>
      </c>
      <c r="G22669" s="5">
        <v>109.3</v>
      </c>
      <c r="H22669" s="5">
        <v>109.2</v>
      </c>
      <c r="I22669" s="5"/>
      <c r="J22669" s="5"/>
      <c r="K22669" s="5"/>
    </row>
    <row r="22670" spans="1:11" x14ac:dyDescent="0.25">
      <c r="A22670" s="5">
        <f>22663</f>
      </c>
      <c r="B22670" s="5" t="s">
        <v>22678</v>
      </c>
      <c r="C22670" s="5">
        <v>109.9</v>
      </c>
      <c r="D22670" s="5">
        <v>0.1</v>
      </c>
      <c r="E22670" s="5">
        <v>110.1</v>
      </c>
      <c r="F22670" s="5">
        <v>219.1</v>
      </c>
      <c r="G22670" s="5">
        <v>109.3</v>
      </c>
      <c r="H22670" s="5">
        <v>109.2</v>
      </c>
      <c r="I22670" s="5"/>
      <c r="J22670" s="5"/>
      <c r="K22670" s="5"/>
    </row>
    <row r="22671" spans="1:11" x14ac:dyDescent="0.25">
      <c r="A22671" s="5">
        <f>22664</f>
      </c>
      <c r="B22671" s="5" t="s">
        <v>22679</v>
      </c>
      <c r="C22671" s="5">
        <v>110</v>
      </c>
      <c r="D22671" s="5">
        <v>0.1</v>
      </c>
      <c r="E22671" s="5">
        <v>110.1</v>
      </c>
      <c r="F22671" s="5">
        <v>219.9</v>
      </c>
      <c r="G22671" s="5">
        <v>109.7</v>
      </c>
      <c r="H22671" s="5">
        <v>109.6</v>
      </c>
      <c r="I22671" s="5"/>
      <c r="J22671" s="5"/>
      <c r="K22671" s="5"/>
    </row>
    <row r="22672" spans="1:11" x14ac:dyDescent="0.25">
      <c r="A22672" s="5">
        <f>22665</f>
      </c>
      <c r="B22672" s="5" t="s">
        <v>22680</v>
      </c>
      <c r="C22672" s="5">
        <v>110</v>
      </c>
      <c r="D22672" s="5">
        <v>0.1</v>
      </c>
      <c r="E22672" s="5">
        <v>110.1</v>
      </c>
      <c r="F22672" s="5">
        <v>219.9</v>
      </c>
      <c r="G22672" s="5">
        <v>109.7</v>
      </c>
      <c r="H22672" s="5">
        <v>109.6</v>
      </c>
      <c r="I22672" s="5"/>
      <c r="J22672" s="5"/>
      <c r="K22672" s="5"/>
    </row>
    <row r="22673" spans="1:11" x14ac:dyDescent="0.25">
      <c r="A22673" s="5">
        <f>22666</f>
      </c>
      <c r="B22673" s="5" t="s">
        <v>22681</v>
      </c>
      <c r="C22673" s="5">
        <v>110</v>
      </c>
      <c r="D22673" s="5">
        <v>0.1</v>
      </c>
      <c r="E22673" s="5">
        <v>110.1</v>
      </c>
      <c r="F22673" s="5">
        <v>219.9</v>
      </c>
      <c r="G22673" s="5">
        <v>109.7</v>
      </c>
      <c r="H22673" s="5">
        <v>109.6</v>
      </c>
      <c r="I22673" s="5"/>
      <c r="J22673" s="5"/>
      <c r="K22673" s="5"/>
    </row>
    <row r="22674" spans="1:11" x14ac:dyDescent="0.25">
      <c r="A22674" s="5">
        <f>22667</f>
      </c>
      <c r="B22674" s="5" t="s">
        <v>22682</v>
      </c>
      <c r="C22674" s="5">
        <v>110</v>
      </c>
      <c r="D22674" s="5">
        <v>0.1</v>
      </c>
      <c r="E22674" s="5">
        <v>110.1</v>
      </c>
      <c r="F22674" s="5">
        <v>219.9</v>
      </c>
      <c r="G22674" s="5">
        <v>109.7</v>
      </c>
      <c r="H22674" s="5">
        <v>109.6</v>
      </c>
      <c r="I22674" s="5"/>
      <c r="J22674" s="5"/>
      <c r="K22674" s="5"/>
    </row>
    <row r="22675" spans="1:11" x14ac:dyDescent="0.25">
      <c r="A22675" s="5">
        <f>22668</f>
      </c>
      <c r="B22675" s="5" t="s">
        <v>22683</v>
      </c>
      <c r="C22675" s="5">
        <v>110.3</v>
      </c>
      <c r="D22675" s="5">
        <v>0.1</v>
      </c>
      <c r="E22675" s="5">
        <v>110.4</v>
      </c>
      <c r="F22675" s="5">
        <v>220.5</v>
      </c>
      <c r="G22675" s="5">
        <v>110.1</v>
      </c>
      <c r="H22675" s="5">
        <v>110</v>
      </c>
      <c r="I22675" s="5"/>
      <c r="J22675" s="5"/>
      <c r="K22675" s="5"/>
    </row>
    <row r="22676" spans="1:11" x14ac:dyDescent="0.25">
      <c r="A22676" s="5">
        <f>22669</f>
      </c>
      <c r="B22676" s="5" t="s">
        <v>22684</v>
      </c>
      <c r="C22676" s="5">
        <v>110.3</v>
      </c>
      <c r="D22676" s="5">
        <v>0.1</v>
      </c>
      <c r="E22676" s="5">
        <v>110.4</v>
      </c>
      <c r="F22676" s="5">
        <v>220.5</v>
      </c>
      <c r="G22676" s="5">
        <v>110.1</v>
      </c>
      <c r="H22676" s="5">
        <v>110</v>
      </c>
      <c r="I22676" s="5"/>
      <c r="J22676" s="5"/>
      <c r="K22676" s="5"/>
    </row>
    <row r="22677" spans="1:11" x14ac:dyDescent="0.25">
      <c r="A22677" s="5">
        <f>22670</f>
      </c>
      <c r="B22677" s="5" t="s">
        <v>22685</v>
      </c>
      <c r="C22677" s="5">
        <v>110.5</v>
      </c>
      <c r="D22677" s="5">
        <v>0.1</v>
      </c>
      <c r="E22677" s="5">
        <v>110.7</v>
      </c>
      <c r="F22677" s="5">
        <v>220.3</v>
      </c>
      <c r="G22677" s="5">
        <v>109.9</v>
      </c>
      <c r="H22677" s="5">
        <v>109.8</v>
      </c>
      <c r="I22677" s="5"/>
      <c r="J22677" s="5"/>
      <c r="K22677" s="5"/>
    </row>
    <row r="22678" spans="1:11" x14ac:dyDescent="0.25">
      <c r="A22678" s="5">
        <f>22671</f>
      </c>
      <c r="B22678" s="5" t="s">
        <v>22686</v>
      </c>
      <c r="C22678" s="5">
        <v>110.5</v>
      </c>
      <c r="D22678" s="5">
        <v>0.1</v>
      </c>
      <c r="E22678" s="5">
        <v>110.7</v>
      </c>
      <c r="F22678" s="5">
        <v>220.3</v>
      </c>
      <c r="G22678" s="5">
        <v>109.9</v>
      </c>
      <c r="H22678" s="5">
        <v>109.8</v>
      </c>
      <c r="I22678" s="5"/>
      <c r="J22678" s="5"/>
      <c r="K22678" s="5"/>
    </row>
    <row r="22679" spans="1:11" x14ac:dyDescent="0.25">
      <c r="A22679" s="5">
        <f>22672</f>
      </c>
      <c r="B22679" s="5" t="s">
        <v>22687</v>
      </c>
      <c r="C22679" s="5">
        <v>110.7</v>
      </c>
      <c r="D22679" s="5">
        <v>0.1</v>
      </c>
      <c r="E22679" s="5">
        <v>110.9</v>
      </c>
      <c r="F22679" s="5">
        <v>221</v>
      </c>
      <c r="G22679" s="5">
        <v>110.3</v>
      </c>
      <c r="H22679" s="5">
        <v>110.2</v>
      </c>
      <c r="I22679" s="5"/>
      <c r="J22679" s="5"/>
      <c r="K22679" s="5"/>
    </row>
    <row r="22680" spans="1:11" x14ac:dyDescent="0.25">
      <c r="A22680" s="5">
        <f>22673</f>
      </c>
      <c r="B22680" s="5" t="s">
        <v>22688</v>
      </c>
      <c r="C22680" s="5">
        <v>110.7</v>
      </c>
      <c r="D22680" s="5">
        <v>0.1</v>
      </c>
      <c r="E22680" s="5">
        <v>110.9</v>
      </c>
      <c r="F22680" s="5">
        <v>221</v>
      </c>
      <c r="G22680" s="5">
        <v>110.3</v>
      </c>
      <c r="H22680" s="5">
        <v>110.2</v>
      </c>
      <c r="I22680" s="5"/>
      <c r="J22680" s="5"/>
      <c r="K22680" s="5"/>
    </row>
    <row r="22681" spans="1:11" x14ac:dyDescent="0.25">
      <c r="A22681" s="5">
        <f>22674</f>
      </c>
      <c r="B22681" s="5" t="s">
        <v>22689</v>
      </c>
      <c r="C22681" s="5">
        <v>110.3</v>
      </c>
      <c r="D22681" s="5">
        <v>0.1</v>
      </c>
      <c r="E22681" s="5">
        <v>110.4</v>
      </c>
      <c r="F22681" s="5">
        <v>220.5</v>
      </c>
      <c r="G22681" s="5">
        <v>110.1</v>
      </c>
      <c r="H22681" s="5">
        <v>109.9</v>
      </c>
      <c r="I22681" s="5"/>
      <c r="J22681" s="5"/>
      <c r="K22681" s="5"/>
    </row>
    <row r="22682" spans="1:11" x14ac:dyDescent="0.25">
      <c r="A22682" s="5">
        <f>22675</f>
      </c>
      <c r="B22682" s="5" t="s">
        <v>22690</v>
      </c>
      <c r="C22682" s="5">
        <v>110.3</v>
      </c>
      <c r="D22682" s="5">
        <v>0.1</v>
      </c>
      <c r="E22682" s="5">
        <v>110.4</v>
      </c>
      <c r="F22682" s="5">
        <v>220.5</v>
      </c>
      <c r="G22682" s="5">
        <v>110.1</v>
      </c>
      <c r="H22682" s="5">
        <v>109.9</v>
      </c>
      <c r="I22682" s="5"/>
      <c r="J22682" s="5"/>
      <c r="K22682" s="5"/>
    </row>
    <row r="22683" spans="1:11" x14ac:dyDescent="0.25">
      <c r="A22683" s="5">
        <f>22676</f>
      </c>
      <c r="B22683" s="5" t="s">
        <v>22691</v>
      </c>
      <c r="C22683" s="5">
        <v>110.3</v>
      </c>
      <c r="D22683" s="5">
        <v>0.1</v>
      </c>
      <c r="E22683" s="5">
        <v>110.4</v>
      </c>
      <c r="F22683" s="5">
        <v>220.5</v>
      </c>
      <c r="G22683" s="5">
        <v>110.1</v>
      </c>
      <c r="H22683" s="5">
        <v>109.9</v>
      </c>
      <c r="I22683" s="5"/>
      <c r="J22683" s="5"/>
      <c r="K22683" s="5"/>
    </row>
    <row r="22684" spans="1:11" x14ac:dyDescent="0.25">
      <c r="A22684" s="5">
        <f>22677</f>
      </c>
      <c r="B22684" s="5" t="s">
        <v>22692</v>
      </c>
      <c r="C22684" s="5">
        <v>110.3</v>
      </c>
      <c r="D22684" s="5">
        <v>0.1</v>
      </c>
      <c r="E22684" s="5">
        <v>110.4</v>
      </c>
      <c r="F22684" s="5">
        <v>220.5</v>
      </c>
      <c r="G22684" s="5">
        <v>110.1</v>
      </c>
      <c r="H22684" s="5">
        <v>109.9</v>
      </c>
      <c r="I22684" s="5"/>
      <c r="J22684" s="5"/>
      <c r="K22684" s="5"/>
    </row>
    <row r="22685" spans="1:11" x14ac:dyDescent="0.25">
      <c r="A22685" s="5">
        <f>22678</f>
      </c>
      <c r="B22685" s="5" t="s">
        <v>22693</v>
      </c>
      <c r="C22685" s="5">
        <v>110.2</v>
      </c>
      <c r="D22685" s="5">
        <v>0.1</v>
      </c>
      <c r="E22685" s="5">
        <v>110.4</v>
      </c>
      <c r="F22685" s="5">
        <v>220.5</v>
      </c>
      <c r="G22685" s="5">
        <v>110.1</v>
      </c>
      <c r="H22685" s="5">
        <v>109.9</v>
      </c>
      <c r="I22685" s="5"/>
      <c r="J22685" s="5"/>
      <c r="K22685" s="5"/>
    </row>
    <row r="22686" spans="1:11" x14ac:dyDescent="0.25">
      <c r="A22686" s="5">
        <f>22679</f>
      </c>
      <c r="B22686" s="5" t="s">
        <v>22694</v>
      </c>
      <c r="C22686" s="5">
        <v>110.2</v>
      </c>
      <c r="D22686" s="5">
        <v>0.1</v>
      </c>
      <c r="E22686" s="5">
        <v>110.4</v>
      </c>
      <c r="F22686" s="5">
        <v>220.5</v>
      </c>
      <c r="G22686" s="5">
        <v>110.1</v>
      </c>
      <c r="H22686" s="5">
        <v>109.9</v>
      </c>
      <c r="I22686" s="5"/>
      <c r="J22686" s="5"/>
      <c r="K22686" s="5"/>
    </row>
    <row r="22687" spans="1:11" x14ac:dyDescent="0.25">
      <c r="A22687" s="5">
        <f>22680</f>
      </c>
      <c r="B22687" s="5" t="s">
        <v>22695</v>
      </c>
      <c r="C22687" s="5">
        <v>110.7</v>
      </c>
      <c r="D22687" s="5">
        <v>0.1</v>
      </c>
      <c r="E22687" s="5">
        <v>110.8</v>
      </c>
      <c r="F22687" s="5">
        <v>221</v>
      </c>
      <c r="G22687" s="5">
        <v>110.3</v>
      </c>
      <c r="H22687" s="5">
        <v>110.1</v>
      </c>
      <c r="I22687" s="5"/>
      <c r="J22687" s="5"/>
      <c r="K22687" s="5"/>
    </row>
    <row r="22688" spans="1:11" x14ac:dyDescent="0.25">
      <c r="A22688" s="5">
        <f>22681</f>
      </c>
      <c r="B22688" s="5" t="s">
        <v>22696</v>
      </c>
      <c r="C22688" s="5">
        <v>110.7</v>
      </c>
      <c r="D22688" s="5">
        <v>0.1</v>
      </c>
      <c r="E22688" s="5">
        <v>110.8</v>
      </c>
      <c r="F22688" s="5">
        <v>221</v>
      </c>
      <c r="G22688" s="5">
        <v>110.3</v>
      </c>
      <c r="H22688" s="5">
        <v>110.1</v>
      </c>
      <c r="I22688" s="5"/>
      <c r="J22688" s="5"/>
      <c r="K22688" s="5"/>
    </row>
    <row r="22689" spans="1:11" x14ac:dyDescent="0.25">
      <c r="A22689" s="5">
        <f>22682</f>
      </c>
      <c r="B22689" s="5" t="s">
        <v>22697</v>
      </c>
      <c r="C22689" s="5">
        <v>110.9</v>
      </c>
      <c r="D22689" s="5">
        <v>0.1</v>
      </c>
      <c r="E22689" s="5">
        <v>111</v>
      </c>
      <c r="F22689" s="5">
        <v>221.9</v>
      </c>
      <c r="G22689" s="5">
        <v>110.7</v>
      </c>
      <c r="H22689" s="5">
        <v>110.5</v>
      </c>
      <c r="I22689" s="5"/>
      <c r="J22689" s="5"/>
      <c r="K22689" s="5"/>
    </row>
    <row r="22690" spans="1:11" x14ac:dyDescent="0.25">
      <c r="A22690" s="5">
        <f>22683</f>
      </c>
      <c r="B22690" s="5" t="s">
        <v>22698</v>
      </c>
      <c r="C22690" s="5">
        <v>110.9</v>
      </c>
      <c r="D22690" s="5">
        <v>0.1</v>
      </c>
      <c r="E22690" s="5">
        <v>111</v>
      </c>
      <c r="F22690" s="5">
        <v>221.9</v>
      </c>
      <c r="G22690" s="5">
        <v>110.7</v>
      </c>
      <c r="H22690" s="5">
        <v>110.5</v>
      </c>
      <c r="I22690" s="5"/>
      <c r="J22690" s="5"/>
      <c r="K22690" s="5"/>
    </row>
    <row r="22691" spans="1:11" x14ac:dyDescent="0.25">
      <c r="A22691" s="5">
        <f>22684</f>
      </c>
      <c r="B22691" s="5" t="s">
        <v>22699</v>
      </c>
      <c r="C22691" s="5">
        <v>111.3</v>
      </c>
      <c r="D22691" s="5">
        <v>0.1</v>
      </c>
      <c r="E22691" s="5">
        <v>111.5</v>
      </c>
      <c r="F22691" s="5">
        <v>221.3</v>
      </c>
      <c r="G22691" s="5">
        <v>110.5</v>
      </c>
      <c r="H22691" s="5">
        <v>110.4</v>
      </c>
      <c r="I22691" s="5"/>
      <c r="J22691" s="5"/>
      <c r="K22691" s="5"/>
    </row>
    <row r="22692" spans="1:11" x14ac:dyDescent="0.25">
      <c r="A22692" s="5">
        <f>22685</f>
      </c>
      <c r="B22692" s="5" t="s">
        <v>22700</v>
      </c>
      <c r="C22692" s="5">
        <v>111.3</v>
      </c>
      <c r="D22692" s="5">
        <v>0.1</v>
      </c>
      <c r="E22692" s="5">
        <v>111.5</v>
      </c>
      <c r="F22692" s="5">
        <v>221.3</v>
      </c>
      <c r="G22692" s="5">
        <v>110.5</v>
      </c>
      <c r="H22692" s="5">
        <v>110.4</v>
      </c>
      <c r="I22692" s="5"/>
      <c r="J22692" s="5"/>
      <c r="K22692" s="5"/>
    </row>
    <row r="22693" spans="1:11" x14ac:dyDescent="0.25">
      <c r="A22693" s="5">
        <f>22686</f>
      </c>
      <c r="B22693" s="5" t="s">
        <v>22701</v>
      </c>
      <c r="C22693" s="5">
        <v>111.3</v>
      </c>
      <c r="D22693" s="5">
        <v>0.1</v>
      </c>
      <c r="E22693" s="5">
        <v>111.5</v>
      </c>
      <c r="F22693" s="5">
        <v>221.3</v>
      </c>
      <c r="G22693" s="5">
        <v>110.5</v>
      </c>
      <c r="H22693" s="5">
        <v>110.4</v>
      </c>
      <c r="I22693" s="5"/>
      <c r="J22693" s="5"/>
      <c r="K22693" s="5"/>
    </row>
    <row r="22694" spans="1:11" x14ac:dyDescent="0.25">
      <c r="A22694" s="5">
        <f>22687</f>
      </c>
      <c r="B22694" s="5" t="s">
        <v>22702</v>
      </c>
      <c r="C22694" s="5">
        <v>110.4</v>
      </c>
      <c r="D22694" s="5">
        <v>0.1</v>
      </c>
      <c r="E22694" s="5">
        <v>110.5</v>
      </c>
      <c r="F22694" s="5">
        <v>220.6</v>
      </c>
      <c r="G22694" s="5">
        <v>110.1</v>
      </c>
      <c r="H22694" s="5">
        <v>109.9</v>
      </c>
      <c r="I22694" s="5"/>
      <c r="J22694" s="5"/>
      <c r="K22694" s="5"/>
    </row>
    <row r="22695" spans="1:11" x14ac:dyDescent="0.25">
      <c r="A22695" s="5">
        <f>22688</f>
      </c>
      <c r="B22695" s="5" t="s">
        <v>22703</v>
      </c>
      <c r="C22695" s="5">
        <v>110.4</v>
      </c>
      <c r="D22695" s="5">
        <v>0.1</v>
      </c>
      <c r="E22695" s="5">
        <v>110.5</v>
      </c>
      <c r="F22695" s="5">
        <v>220.6</v>
      </c>
      <c r="G22695" s="5">
        <v>110.1</v>
      </c>
      <c r="H22695" s="5">
        <v>109.9</v>
      </c>
      <c r="I22695" s="5"/>
      <c r="J22695" s="5"/>
      <c r="K22695" s="5"/>
    </row>
    <row r="22696" spans="1:11" x14ac:dyDescent="0.25">
      <c r="A22696" s="5">
        <f>22689</f>
      </c>
      <c r="B22696" s="5" t="s">
        <v>22704</v>
      </c>
      <c r="C22696" s="5">
        <v>110.9</v>
      </c>
      <c r="D22696" s="5">
        <v>0.1</v>
      </c>
      <c r="E22696" s="5">
        <v>111</v>
      </c>
      <c r="F22696" s="5">
        <v>221.4</v>
      </c>
      <c r="G22696" s="5">
        <v>110.5</v>
      </c>
      <c r="H22696" s="5">
        <v>110.3</v>
      </c>
      <c r="I22696" s="5"/>
      <c r="J22696" s="5"/>
      <c r="K22696" s="5"/>
    </row>
    <row r="22697" spans="1:11" x14ac:dyDescent="0.25">
      <c r="A22697" s="5">
        <f>22690</f>
      </c>
      <c r="B22697" s="5" t="s">
        <v>22705</v>
      </c>
      <c r="C22697" s="5">
        <v>110.9</v>
      </c>
      <c r="D22697" s="5">
        <v>0.1</v>
      </c>
      <c r="E22697" s="5">
        <v>111</v>
      </c>
      <c r="F22697" s="5">
        <v>221.4</v>
      </c>
      <c r="G22697" s="5">
        <v>110.5</v>
      </c>
      <c r="H22697" s="5">
        <v>110.3</v>
      </c>
      <c r="I22697" s="5"/>
      <c r="J22697" s="5"/>
      <c r="K22697" s="5"/>
    </row>
    <row r="22698" spans="1:11" x14ac:dyDescent="0.25">
      <c r="A22698" s="5">
        <f>22691</f>
      </c>
      <c r="B22698" s="5" t="s">
        <v>22706</v>
      </c>
      <c r="C22698" s="5">
        <v>110.4</v>
      </c>
      <c r="D22698" s="5">
        <v>0.1</v>
      </c>
      <c r="E22698" s="5">
        <v>110.5</v>
      </c>
      <c r="F22698" s="5">
        <v>220.6</v>
      </c>
      <c r="G22698" s="5">
        <v>110.1</v>
      </c>
      <c r="H22698" s="5">
        <v>109.9</v>
      </c>
      <c r="I22698" s="5"/>
      <c r="J22698" s="5"/>
      <c r="K22698" s="5"/>
    </row>
    <row r="22699" spans="1:11" x14ac:dyDescent="0.25">
      <c r="A22699" s="5">
        <f>22692</f>
      </c>
      <c r="B22699" s="5" t="s">
        <v>22707</v>
      </c>
      <c r="C22699" s="5">
        <v>110.4</v>
      </c>
      <c r="D22699" s="5">
        <v>0.1</v>
      </c>
      <c r="E22699" s="5">
        <v>110.5</v>
      </c>
      <c r="F22699" s="5">
        <v>220.6</v>
      </c>
      <c r="G22699" s="5">
        <v>110.1</v>
      </c>
      <c r="H22699" s="5">
        <v>109.9</v>
      </c>
      <c r="I22699" s="5"/>
      <c r="J22699" s="5"/>
      <c r="K22699" s="5"/>
    </row>
    <row r="22700" spans="1:11" x14ac:dyDescent="0.25">
      <c r="A22700" s="5">
        <f>22693</f>
      </c>
      <c r="B22700" s="5" t="s">
        <v>22708</v>
      </c>
      <c r="C22700" s="5">
        <v>110.2</v>
      </c>
      <c r="D22700" s="5">
        <v>0.1</v>
      </c>
      <c r="E22700" s="5">
        <v>110.4</v>
      </c>
      <c r="F22700" s="5">
        <v>220.7</v>
      </c>
      <c r="G22700" s="5">
        <v>110.2</v>
      </c>
      <c r="H22700" s="5">
        <v>110</v>
      </c>
      <c r="I22700" s="5"/>
      <c r="J22700" s="5"/>
      <c r="K22700" s="5"/>
    </row>
    <row r="22701" spans="1:11" x14ac:dyDescent="0.25">
      <c r="A22701" s="5">
        <f>22694</f>
      </c>
      <c r="B22701" s="5" t="s">
        <v>22709</v>
      </c>
      <c r="C22701" s="5">
        <v>110.2</v>
      </c>
      <c r="D22701" s="5">
        <v>0.1</v>
      </c>
      <c r="E22701" s="5">
        <v>110.4</v>
      </c>
      <c r="F22701" s="5">
        <v>220.7</v>
      </c>
      <c r="G22701" s="5">
        <v>110.2</v>
      </c>
      <c r="H22701" s="5">
        <v>110</v>
      </c>
      <c r="I22701" s="5"/>
      <c r="J22701" s="5"/>
      <c r="K22701" s="5"/>
    </row>
    <row r="22702" spans="1:11" x14ac:dyDescent="0.25">
      <c r="A22702" s="5">
        <f>22695</f>
      </c>
      <c r="B22702" s="5" t="s">
        <v>22710</v>
      </c>
      <c r="C22702" s="5">
        <v>110.2</v>
      </c>
      <c r="D22702" s="5">
        <v>0.1</v>
      </c>
      <c r="E22702" s="5">
        <v>110.4</v>
      </c>
      <c r="F22702" s="5">
        <v>220.7</v>
      </c>
      <c r="G22702" s="5">
        <v>110.2</v>
      </c>
      <c r="H22702" s="5">
        <v>110</v>
      </c>
      <c r="I22702" s="5"/>
      <c r="J22702" s="5"/>
      <c r="K22702" s="5"/>
    </row>
    <row r="22703" spans="1:11" x14ac:dyDescent="0.25">
      <c r="A22703" s="5">
        <f>22696</f>
      </c>
      <c r="B22703" s="5" t="s">
        <v>22711</v>
      </c>
      <c r="C22703" s="5">
        <v>110.2</v>
      </c>
      <c r="D22703" s="5">
        <v>0.1</v>
      </c>
      <c r="E22703" s="5">
        <v>110.4</v>
      </c>
      <c r="F22703" s="5">
        <v>220.7</v>
      </c>
      <c r="G22703" s="5">
        <v>110.2</v>
      </c>
      <c r="H22703" s="5">
        <v>110</v>
      </c>
      <c r="I22703" s="5"/>
      <c r="J22703" s="5"/>
      <c r="K22703" s="5"/>
    </row>
    <row r="22704" spans="1:11" x14ac:dyDescent="0.25">
      <c r="A22704" s="5">
        <f>22697</f>
      </c>
      <c r="B22704" s="5" t="s">
        <v>22712</v>
      </c>
      <c r="C22704" s="5">
        <v>110.1</v>
      </c>
      <c r="D22704" s="5">
        <v>0.1</v>
      </c>
      <c r="E22704" s="5">
        <v>110.4</v>
      </c>
      <c r="F22704" s="5">
        <v>220.7</v>
      </c>
      <c r="G22704" s="5">
        <v>110.2</v>
      </c>
      <c r="H22704" s="5">
        <v>110</v>
      </c>
      <c r="I22704" s="5"/>
      <c r="J22704" s="5"/>
      <c r="K22704" s="5"/>
    </row>
    <row r="22705" spans="1:11" x14ac:dyDescent="0.25">
      <c r="A22705" s="5">
        <f>22698</f>
      </c>
      <c r="B22705" s="5" t="s">
        <v>22713</v>
      </c>
      <c r="C22705" s="5">
        <v>110.1</v>
      </c>
      <c r="D22705" s="5">
        <v>0.1</v>
      </c>
      <c r="E22705" s="5">
        <v>110.3</v>
      </c>
      <c r="F22705" s="5">
        <v>220.3</v>
      </c>
      <c r="G22705" s="5">
        <v>109.9</v>
      </c>
      <c r="H22705" s="5">
        <v>109.8</v>
      </c>
      <c r="I22705" s="5"/>
      <c r="J22705" s="5"/>
      <c r="K22705" s="5"/>
    </row>
    <row r="22706" spans="1:11" x14ac:dyDescent="0.25">
      <c r="A22706" s="5">
        <f>22699</f>
      </c>
      <c r="B22706" s="5" t="s">
        <v>22714</v>
      </c>
      <c r="C22706" s="5">
        <v>110.4</v>
      </c>
      <c r="D22706" s="5">
        <v>0.1</v>
      </c>
      <c r="E22706" s="5">
        <v>110.3</v>
      </c>
      <c r="F22706" s="5">
        <v>220.3</v>
      </c>
      <c r="G22706" s="5">
        <v>109.9</v>
      </c>
      <c r="H22706" s="5">
        <v>109.8</v>
      </c>
      <c r="I22706" s="5"/>
      <c r="J22706" s="5"/>
      <c r="K22706" s="5"/>
    </row>
    <row r="22707" spans="1:11" x14ac:dyDescent="0.25">
      <c r="A22707" s="5">
        <f>22700</f>
      </c>
      <c r="B22707" s="5" t="s">
        <v>22715</v>
      </c>
      <c r="C22707" s="5">
        <v>110.4</v>
      </c>
      <c r="D22707" s="5">
        <v>0.1</v>
      </c>
      <c r="E22707" s="5">
        <v>110.5</v>
      </c>
      <c r="F22707" s="5">
        <v>220.2</v>
      </c>
      <c r="G22707" s="5">
        <v>109.9</v>
      </c>
      <c r="H22707" s="5">
        <v>109.8</v>
      </c>
      <c r="I22707" s="5"/>
      <c r="J22707" s="5"/>
      <c r="K22707" s="5"/>
    </row>
    <row r="22708" spans="1:11" x14ac:dyDescent="0.25">
      <c r="A22708" s="5">
        <f>22701</f>
      </c>
      <c r="B22708" s="5" t="s">
        <v>22716</v>
      </c>
      <c r="C22708" s="5">
        <v>110.4</v>
      </c>
      <c r="D22708" s="5">
        <v>0.1</v>
      </c>
      <c r="E22708" s="5">
        <v>110.5</v>
      </c>
      <c r="F22708" s="5">
        <v>220.2</v>
      </c>
      <c r="G22708" s="5">
        <v>109.9</v>
      </c>
      <c r="H22708" s="5">
        <v>109.8</v>
      </c>
      <c r="I22708" s="5"/>
      <c r="J22708" s="5"/>
      <c r="K22708" s="5"/>
    </row>
    <row r="22709" spans="1:11" x14ac:dyDescent="0.25">
      <c r="A22709" s="5">
        <f>22702</f>
      </c>
      <c r="B22709" s="5" t="s">
        <v>22717</v>
      </c>
      <c r="C22709" s="5">
        <v>111.3</v>
      </c>
      <c r="D22709" s="5">
        <v>0.1</v>
      </c>
      <c r="E22709" s="5">
        <v>111.4</v>
      </c>
      <c r="F22709" s="5">
        <v>221.7</v>
      </c>
      <c r="G22709" s="5">
        <v>110.7</v>
      </c>
      <c r="H22709" s="5">
        <v>110.5</v>
      </c>
      <c r="I22709" s="5"/>
      <c r="J22709" s="5"/>
      <c r="K22709" s="5"/>
    </row>
    <row r="22710" spans="1:11" x14ac:dyDescent="0.25">
      <c r="A22710" s="5">
        <f>22703</f>
      </c>
      <c r="B22710" s="5" t="s">
        <v>22718</v>
      </c>
      <c r="C22710" s="5">
        <v>111.3</v>
      </c>
      <c r="D22710" s="5">
        <v>0.1</v>
      </c>
      <c r="E22710" s="5">
        <v>111.4</v>
      </c>
      <c r="F22710" s="5">
        <v>221.7</v>
      </c>
      <c r="G22710" s="5">
        <v>110.7</v>
      </c>
      <c r="H22710" s="5">
        <v>110.5</v>
      </c>
      <c r="I22710" s="5"/>
      <c r="J22710" s="5"/>
      <c r="K22710" s="5"/>
    </row>
    <row r="22711" spans="1:11" x14ac:dyDescent="0.25">
      <c r="A22711" s="5">
        <f>22704</f>
      </c>
      <c r="B22711" s="5" t="s">
        <v>22719</v>
      </c>
      <c r="C22711" s="5">
        <v>111</v>
      </c>
      <c r="D22711" s="5">
        <v>0.1</v>
      </c>
      <c r="E22711" s="5">
        <v>111.1</v>
      </c>
      <c r="F22711" s="5">
        <v>221.3</v>
      </c>
      <c r="G22711" s="5">
        <v>110.5</v>
      </c>
      <c r="H22711" s="5">
        <v>110.4</v>
      </c>
      <c r="I22711" s="5"/>
      <c r="J22711" s="5"/>
      <c r="K22711" s="5"/>
    </row>
    <row r="22712" spans="1:11" x14ac:dyDescent="0.25">
      <c r="A22712" s="5">
        <f>22705</f>
      </c>
      <c r="B22712" s="5" t="s">
        <v>22720</v>
      </c>
      <c r="C22712" s="5">
        <v>111</v>
      </c>
      <c r="D22712" s="5">
        <v>0.1</v>
      </c>
      <c r="E22712" s="5">
        <v>111.1</v>
      </c>
      <c r="F22712" s="5">
        <v>221.3</v>
      </c>
      <c r="G22712" s="5">
        <v>110.5</v>
      </c>
      <c r="H22712" s="5">
        <v>110.4</v>
      </c>
      <c r="I22712" s="5"/>
      <c r="J22712" s="5"/>
      <c r="K22712" s="5"/>
    </row>
    <row r="22713" spans="1:11" x14ac:dyDescent="0.25">
      <c r="A22713" s="5">
        <f>22706</f>
      </c>
      <c r="B22713" s="5" t="s">
        <v>22721</v>
      </c>
      <c r="C22713" s="5">
        <v>111</v>
      </c>
      <c r="D22713" s="5">
        <v>0.1</v>
      </c>
      <c r="E22713" s="5">
        <v>111.1</v>
      </c>
      <c r="F22713" s="5">
        <v>221.3</v>
      </c>
      <c r="G22713" s="5">
        <v>110.5</v>
      </c>
      <c r="H22713" s="5">
        <v>110.4</v>
      </c>
      <c r="I22713" s="5"/>
      <c r="J22713" s="5"/>
      <c r="K22713" s="5"/>
    </row>
    <row r="22714" spans="1:11" x14ac:dyDescent="0.25">
      <c r="A22714" s="5">
        <f>22707</f>
      </c>
      <c r="B22714" s="5" t="s">
        <v>22722</v>
      </c>
      <c r="C22714" s="5">
        <v>111</v>
      </c>
      <c r="D22714" s="5">
        <v>0.1</v>
      </c>
      <c r="E22714" s="5">
        <v>111.1</v>
      </c>
      <c r="F22714" s="5">
        <v>221.3</v>
      </c>
      <c r="G22714" s="5">
        <v>111.1</v>
      </c>
      <c r="H22714" s="5">
        <v>110.9</v>
      </c>
      <c r="I22714" s="5"/>
      <c r="J22714" s="5"/>
      <c r="K22714" s="5"/>
    </row>
    <row r="22715" spans="1:11" x14ac:dyDescent="0.25">
      <c r="A22715" s="5">
        <f>22708</f>
      </c>
      <c r="B22715" s="5" t="s">
        <v>22723</v>
      </c>
      <c r="C22715" s="5">
        <v>111</v>
      </c>
      <c r="D22715" s="5">
        <v>0.1</v>
      </c>
      <c r="E22715" s="5">
        <v>111.1</v>
      </c>
      <c r="F22715" s="5">
        <v>222.6</v>
      </c>
      <c r="G22715" s="5">
        <v>111.1</v>
      </c>
      <c r="H22715" s="5">
        <v>110.9</v>
      </c>
      <c r="I22715" s="5"/>
      <c r="J22715" s="5"/>
      <c r="K22715" s="5"/>
    </row>
    <row r="22716" spans="1:11" x14ac:dyDescent="0.25">
      <c r="A22716" s="5">
        <f>22709</f>
      </c>
      <c r="B22716" s="5" t="s">
        <v>22724</v>
      </c>
      <c r="C22716" s="5">
        <v>111</v>
      </c>
      <c r="D22716" s="5">
        <v>0.1</v>
      </c>
      <c r="E22716" s="5">
        <v>111.1</v>
      </c>
      <c r="F22716" s="5">
        <v>222.6</v>
      </c>
      <c r="G22716" s="5">
        <v>111</v>
      </c>
      <c r="H22716" s="5">
        <v>110.8</v>
      </c>
      <c r="I22716" s="5"/>
      <c r="J22716" s="5"/>
      <c r="K22716" s="5"/>
    </row>
    <row r="22717" spans="1:11" x14ac:dyDescent="0.25">
      <c r="A22717" s="5">
        <f>22710</f>
      </c>
      <c r="B22717" s="5" t="s">
        <v>22725</v>
      </c>
      <c r="C22717" s="5">
        <v>111.4</v>
      </c>
      <c r="D22717" s="5">
        <v>0.1</v>
      </c>
      <c r="E22717" s="5">
        <v>111.6</v>
      </c>
      <c r="F22717" s="5">
        <v>222.5</v>
      </c>
      <c r="G22717" s="5">
        <v>111</v>
      </c>
      <c r="H22717" s="5">
        <v>110.8</v>
      </c>
      <c r="I22717" s="5"/>
      <c r="J22717" s="5"/>
      <c r="K22717" s="5"/>
    </row>
    <row r="22718" spans="1:11" x14ac:dyDescent="0.25">
      <c r="A22718" s="5">
        <f>22711</f>
      </c>
      <c r="B22718" s="5" t="s">
        <v>22726</v>
      </c>
      <c r="C22718" s="5">
        <v>111.4</v>
      </c>
      <c r="D22718" s="5">
        <v>0.1</v>
      </c>
      <c r="E22718" s="5">
        <v>111.6</v>
      </c>
      <c r="F22718" s="5">
        <v>222.5</v>
      </c>
      <c r="G22718" s="5">
        <v>111</v>
      </c>
      <c r="H22718" s="5">
        <v>110.7</v>
      </c>
      <c r="I22718" s="5"/>
      <c r="J22718" s="5"/>
      <c r="K22718" s="5"/>
    </row>
    <row r="22719" spans="1:11" x14ac:dyDescent="0.25">
      <c r="A22719" s="5">
        <f>22712</f>
      </c>
      <c r="B22719" s="5" t="s">
        <v>22727</v>
      </c>
      <c r="C22719" s="5">
        <v>111.1</v>
      </c>
      <c r="D22719" s="5">
        <v>0.1</v>
      </c>
      <c r="E22719" s="5">
        <v>111.3</v>
      </c>
      <c r="F22719" s="5">
        <v>222.1</v>
      </c>
      <c r="G22719" s="5">
        <v>110.8</v>
      </c>
      <c r="H22719" s="5">
        <v>110.7</v>
      </c>
      <c r="I22719" s="5"/>
      <c r="J22719" s="5"/>
      <c r="K22719" s="5"/>
    </row>
    <row r="22720" spans="1:11" x14ac:dyDescent="0.25">
      <c r="A22720" s="5">
        <f>22713</f>
      </c>
      <c r="B22720" s="5" t="s">
        <v>22728</v>
      </c>
      <c r="C22720" s="5">
        <v>111.1</v>
      </c>
      <c r="D22720" s="5">
        <v>0.1</v>
      </c>
      <c r="E22720" s="5">
        <v>111.3</v>
      </c>
      <c r="F22720" s="5">
        <v>222.1</v>
      </c>
      <c r="G22720" s="5">
        <v>110.8</v>
      </c>
      <c r="H22720" s="5">
        <v>110.6</v>
      </c>
      <c r="I22720" s="5"/>
      <c r="J22720" s="5"/>
      <c r="K22720" s="5"/>
    </row>
    <row r="22721" spans="1:11" x14ac:dyDescent="0.25">
      <c r="A22721" s="5">
        <f>22714</f>
      </c>
      <c r="B22721" s="5" t="s">
        <v>22729</v>
      </c>
      <c r="C22721" s="5">
        <v>111</v>
      </c>
      <c r="D22721" s="5">
        <v>0.1</v>
      </c>
      <c r="E22721" s="5">
        <v>111.1</v>
      </c>
      <c r="F22721" s="5">
        <v>221.8</v>
      </c>
      <c r="G22721" s="5">
        <v>110.7</v>
      </c>
      <c r="H22721" s="5">
        <v>110.6</v>
      </c>
      <c r="I22721" s="5"/>
      <c r="J22721" s="5"/>
      <c r="K22721" s="5"/>
    </row>
    <row r="22722" spans="1:11" x14ac:dyDescent="0.25">
      <c r="A22722" s="5">
        <f>22715</f>
      </c>
      <c r="B22722" s="5" t="s">
        <v>22730</v>
      </c>
      <c r="C22722" s="5">
        <v>111</v>
      </c>
      <c r="D22722" s="5">
        <v>0.1</v>
      </c>
      <c r="E22722" s="5">
        <v>111.1</v>
      </c>
      <c r="F22722" s="5">
        <v>221.8</v>
      </c>
      <c r="G22722" s="5">
        <v>110.7</v>
      </c>
      <c r="H22722" s="5">
        <v>110.6</v>
      </c>
      <c r="I22722" s="5"/>
      <c r="J22722" s="5"/>
      <c r="K22722" s="5"/>
    </row>
    <row r="22723" spans="1:11" x14ac:dyDescent="0.25">
      <c r="A22723" s="5">
        <f>22716</f>
      </c>
      <c r="B22723" s="5" t="s">
        <v>22731</v>
      </c>
      <c r="C22723" s="5">
        <v>111</v>
      </c>
      <c r="D22723" s="5">
        <v>0.1</v>
      </c>
      <c r="E22723" s="5">
        <v>111.1</v>
      </c>
      <c r="F22723" s="5">
        <v>221.8</v>
      </c>
      <c r="G22723" s="5">
        <v>110.7</v>
      </c>
      <c r="H22723" s="5">
        <v>110.6</v>
      </c>
      <c r="I22723" s="5"/>
      <c r="J22723" s="5"/>
      <c r="K22723" s="5"/>
    </row>
    <row r="22724" spans="1:11" x14ac:dyDescent="0.25">
      <c r="A22724" s="5">
        <f>22717</f>
      </c>
      <c r="B22724" s="5" t="s">
        <v>22732</v>
      </c>
      <c r="C22724" s="5">
        <v>110.4</v>
      </c>
      <c r="D22724" s="5">
        <v>0.1</v>
      </c>
      <c r="E22724" s="5">
        <v>110.6</v>
      </c>
      <c r="F22724" s="5">
        <v>220.8</v>
      </c>
      <c r="G22724" s="5">
        <v>110.2</v>
      </c>
      <c r="H22724" s="5">
        <v>110.1</v>
      </c>
      <c r="I22724" s="5"/>
      <c r="J22724" s="5"/>
      <c r="K22724" s="5"/>
    </row>
    <row r="22725" spans="1:11" x14ac:dyDescent="0.25">
      <c r="A22725" s="5">
        <f>22718</f>
      </c>
      <c r="B22725" s="5" t="s">
        <v>22733</v>
      </c>
      <c r="C22725" s="5">
        <v>110.4</v>
      </c>
      <c r="D22725" s="5">
        <v>0.1</v>
      </c>
      <c r="E22725" s="5">
        <v>110.6</v>
      </c>
      <c r="F22725" s="5">
        <v>220.8</v>
      </c>
      <c r="G22725" s="5">
        <v>110.2</v>
      </c>
      <c r="H22725" s="5">
        <v>110.1</v>
      </c>
      <c r="I22725" s="5"/>
      <c r="J22725" s="5"/>
      <c r="K22725" s="5"/>
    </row>
    <row r="22726" spans="1:11" x14ac:dyDescent="0.25">
      <c r="A22726" s="5">
        <f>22719</f>
      </c>
      <c r="B22726" s="5" t="s">
        <v>22734</v>
      </c>
      <c r="C22726" s="5">
        <v>111.4</v>
      </c>
      <c r="D22726" s="5">
        <v>0.1</v>
      </c>
      <c r="E22726" s="5">
        <v>111.6</v>
      </c>
      <c r="F22726" s="5">
        <v>222.4</v>
      </c>
      <c r="G22726" s="5">
        <v>111</v>
      </c>
      <c r="H22726" s="5">
        <v>110.8</v>
      </c>
      <c r="I22726" s="5"/>
      <c r="J22726" s="5"/>
      <c r="K22726" s="5"/>
    </row>
    <row r="22727" spans="1:11" x14ac:dyDescent="0.25">
      <c r="A22727" s="5">
        <f>22720</f>
      </c>
      <c r="B22727" s="5" t="s">
        <v>22735</v>
      </c>
      <c r="C22727" s="5">
        <v>111.4</v>
      </c>
      <c r="D22727" s="5">
        <v>0.1</v>
      </c>
      <c r="E22727" s="5">
        <v>111.6</v>
      </c>
      <c r="F22727" s="5">
        <v>222.4</v>
      </c>
      <c r="G22727" s="5">
        <v>111</v>
      </c>
      <c r="H22727" s="5">
        <v>110.8</v>
      </c>
      <c r="I22727" s="5"/>
      <c r="J22727" s="5"/>
      <c r="K22727" s="5"/>
    </row>
    <row r="22728" spans="1:11" x14ac:dyDescent="0.25">
      <c r="A22728" s="5">
        <f>22721</f>
      </c>
      <c r="B22728" s="5" t="s">
        <v>22736</v>
      </c>
      <c r="C22728" s="5">
        <v>110.9</v>
      </c>
      <c r="D22728" s="5">
        <v>0.1</v>
      </c>
      <c r="E22728" s="5">
        <v>111</v>
      </c>
      <c r="F22728" s="5">
        <v>221.4</v>
      </c>
      <c r="G22728" s="5">
        <v>110.5</v>
      </c>
      <c r="H22728" s="5">
        <v>110.4</v>
      </c>
      <c r="I22728" s="5"/>
      <c r="J22728" s="5"/>
      <c r="K22728" s="5"/>
    </row>
    <row r="22729" spans="1:11" x14ac:dyDescent="0.25">
      <c r="A22729" s="5">
        <f>22722</f>
      </c>
      <c r="B22729" s="5" t="s">
        <v>22737</v>
      </c>
      <c r="C22729" s="5">
        <v>110.9</v>
      </c>
      <c r="D22729" s="5">
        <v>0.1</v>
      </c>
      <c r="E22729" s="5">
        <v>111</v>
      </c>
      <c r="F22729" s="5">
        <v>221.4</v>
      </c>
      <c r="G22729" s="5">
        <v>110.5</v>
      </c>
      <c r="H22729" s="5">
        <v>110.4</v>
      </c>
      <c r="I22729" s="5"/>
      <c r="J22729" s="5"/>
      <c r="K22729" s="5"/>
    </row>
    <row r="22730" spans="1:11" x14ac:dyDescent="0.25">
      <c r="A22730" s="5">
        <f>22723</f>
      </c>
      <c r="B22730" s="5" t="s">
        <v>22738</v>
      </c>
      <c r="C22730" s="5">
        <v>111.5</v>
      </c>
      <c r="D22730" s="5">
        <v>0.1</v>
      </c>
      <c r="E22730" s="5">
        <v>111.6</v>
      </c>
      <c r="F22730" s="5">
        <v>221.4</v>
      </c>
      <c r="G22730" s="5">
        <v>110.6</v>
      </c>
      <c r="H22730" s="5">
        <v>110.5</v>
      </c>
      <c r="I22730" s="5"/>
      <c r="J22730" s="5"/>
      <c r="K22730" s="5"/>
    </row>
    <row r="22731" spans="1:11" x14ac:dyDescent="0.25">
      <c r="A22731" s="5">
        <f>22724</f>
      </c>
      <c r="B22731" s="5" t="s">
        <v>22739</v>
      </c>
      <c r="C22731" s="5">
        <v>111.5</v>
      </c>
      <c r="D22731" s="5">
        <v>0.1</v>
      </c>
      <c r="E22731" s="5">
        <v>111.6</v>
      </c>
      <c r="F22731" s="5">
        <v>221.4</v>
      </c>
      <c r="G22731" s="5">
        <v>110.6</v>
      </c>
      <c r="H22731" s="5">
        <v>110.5</v>
      </c>
      <c r="I22731" s="5"/>
      <c r="J22731" s="5"/>
      <c r="K22731" s="5"/>
    </row>
    <row r="22732" spans="1:11" x14ac:dyDescent="0.25">
      <c r="A22732" s="5">
        <f>22725</f>
      </c>
      <c r="B22732" s="5" t="s">
        <v>22740</v>
      </c>
      <c r="C22732" s="5">
        <v>111.5</v>
      </c>
      <c r="D22732" s="5">
        <v>0.1</v>
      </c>
      <c r="E22732" s="5">
        <v>111.6</v>
      </c>
      <c r="F22732" s="5">
        <v>221.4</v>
      </c>
      <c r="G22732" s="5">
        <v>110.6</v>
      </c>
      <c r="H22732" s="5">
        <v>110.5</v>
      </c>
      <c r="I22732" s="5"/>
      <c r="J22732" s="5"/>
      <c r="K22732" s="5"/>
    </row>
    <row r="22733" spans="1:11" x14ac:dyDescent="0.25">
      <c r="A22733" s="5">
        <f>22726</f>
      </c>
      <c r="B22733" s="5" t="s">
        <v>22741</v>
      </c>
      <c r="C22733" s="5">
        <v>111.5</v>
      </c>
      <c r="D22733" s="5">
        <v>0.1</v>
      </c>
      <c r="E22733" s="5">
        <v>111.6</v>
      </c>
      <c r="F22733" s="5">
        <v>221.4</v>
      </c>
      <c r="G22733" s="5">
        <v>110.6</v>
      </c>
      <c r="H22733" s="5">
        <v>110.5</v>
      </c>
      <c r="I22733" s="5"/>
      <c r="J22733" s="5"/>
      <c r="K22733" s="5"/>
    </row>
    <row r="22734" spans="1:11" x14ac:dyDescent="0.25">
      <c r="A22734" s="5">
        <f>22727</f>
      </c>
      <c r="B22734" s="5" t="s">
        <v>22742</v>
      </c>
      <c r="C22734" s="5">
        <v>111.2</v>
      </c>
      <c r="D22734" s="5">
        <v>0.1</v>
      </c>
      <c r="E22734" s="5">
        <v>111.3</v>
      </c>
      <c r="F22734" s="5">
        <v>222.2</v>
      </c>
      <c r="G22734" s="5">
        <v>110.9</v>
      </c>
      <c r="H22734" s="5">
        <v>110.8</v>
      </c>
      <c r="I22734" s="5"/>
      <c r="J22734" s="5"/>
      <c r="K22734" s="5"/>
    </row>
    <row r="22735" spans="1:11" x14ac:dyDescent="0.25">
      <c r="A22735" s="5">
        <f>22728</f>
      </c>
      <c r="B22735" s="5" t="s">
        <v>22743</v>
      </c>
      <c r="C22735" s="5">
        <v>111.2</v>
      </c>
      <c r="D22735" s="5">
        <v>0.1</v>
      </c>
      <c r="E22735" s="5">
        <v>111.3</v>
      </c>
      <c r="F22735" s="5">
        <v>222.2</v>
      </c>
      <c r="G22735" s="5">
        <v>110.9</v>
      </c>
      <c r="H22735" s="5">
        <v>110.8</v>
      </c>
      <c r="I22735" s="5"/>
      <c r="J22735" s="5"/>
      <c r="K22735" s="5"/>
    </row>
    <row r="22736" spans="1:11" x14ac:dyDescent="0.25">
      <c r="A22736" s="5">
        <f>22729</f>
      </c>
      <c r="B22736" s="5" t="s">
        <v>22744</v>
      </c>
      <c r="C22736" s="5">
        <v>111.3</v>
      </c>
      <c r="D22736" s="5">
        <v>0.1</v>
      </c>
      <c r="E22736" s="5">
        <v>111.5</v>
      </c>
      <c r="F22736" s="5">
        <v>222.2</v>
      </c>
      <c r="G22736" s="5">
        <v>110.9</v>
      </c>
      <c r="H22736" s="5">
        <v>110.7</v>
      </c>
      <c r="I22736" s="5"/>
      <c r="J22736" s="5"/>
      <c r="K22736" s="5"/>
    </row>
    <row r="22737" spans="1:11" x14ac:dyDescent="0.25">
      <c r="A22737" s="5">
        <f>22730</f>
      </c>
      <c r="B22737" s="5" t="s">
        <v>22745</v>
      </c>
      <c r="C22737" s="5">
        <v>111.3</v>
      </c>
      <c r="D22737" s="5">
        <v>0.1</v>
      </c>
      <c r="E22737" s="5">
        <v>111.5</v>
      </c>
      <c r="F22737" s="5">
        <v>222.2</v>
      </c>
      <c r="G22737" s="5">
        <v>110.9</v>
      </c>
      <c r="H22737" s="5">
        <v>110.7</v>
      </c>
      <c r="I22737" s="5"/>
      <c r="J22737" s="5"/>
      <c r="K22737" s="5"/>
    </row>
    <row r="22738" spans="1:11" x14ac:dyDescent="0.25">
      <c r="A22738" s="5">
        <f>22731</f>
      </c>
      <c r="B22738" s="5" t="s">
        <v>22746</v>
      </c>
      <c r="C22738" s="5">
        <v>111</v>
      </c>
      <c r="D22738" s="5">
        <v>0.1</v>
      </c>
      <c r="E22738" s="5">
        <v>111.2</v>
      </c>
      <c r="F22738" s="5">
        <v>221.8</v>
      </c>
      <c r="G22738" s="5">
        <v>110.7</v>
      </c>
      <c r="H22738" s="5">
        <v>110.5</v>
      </c>
      <c r="I22738" s="5"/>
      <c r="J22738" s="5"/>
      <c r="K22738" s="5"/>
    </row>
    <row r="22739" spans="1:11" x14ac:dyDescent="0.25">
      <c r="A22739" s="5">
        <f>22732</f>
      </c>
      <c r="B22739" s="5" t="s">
        <v>22747</v>
      </c>
      <c r="C22739" s="5">
        <v>111</v>
      </c>
      <c r="D22739" s="5">
        <v>0.1</v>
      </c>
      <c r="E22739" s="5">
        <v>111.2</v>
      </c>
      <c r="F22739" s="5">
        <v>221.8</v>
      </c>
      <c r="G22739" s="5">
        <v>110.7</v>
      </c>
      <c r="H22739" s="5">
        <v>110.5</v>
      </c>
      <c r="I22739" s="5"/>
      <c r="J22739" s="5"/>
      <c r="K22739" s="5"/>
    </row>
    <row r="22740" spans="1:11" x14ac:dyDescent="0.25">
      <c r="A22740" s="5">
        <f>22733</f>
      </c>
      <c r="B22740" s="5" t="s">
        <v>22748</v>
      </c>
      <c r="C22740" s="5">
        <v>111.8</v>
      </c>
      <c r="D22740" s="5">
        <v>0.1</v>
      </c>
      <c r="E22740" s="5">
        <v>112</v>
      </c>
      <c r="F22740" s="5">
        <v>223.1</v>
      </c>
      <c r="G22740" s="5">
        <v>111.3</v>
      </c>
      <c r="H22740" s="5">
        <v>111.2</v>
      </c>
      <c r="I22740" s="5"/>
      <c r="J22740" s="5"/>
      <c r="K22740" s="5"/>
    </row>
    <row r="22741" spans="1:11" x14ac:dyDescent="0.25">
      <c r="A22741" s="5">
        <f>22734</f>
      </c>
      <c r="B22741" s="5" t="s">
        <v>22749</v>
      </c>
      <c r="C22741" s="5">
        <v>111.1</v>
      </c>
      <c r="D22741" s="5">
        <v>0.1</v>
      </c>
      <c r="E22741" s="5">
        <v>111.3</v>
      </c>
      <c r="F22741" s="5">
        <v>0</v>
      </c>
      <c r="G22741" s="5">
        <v>0</v>
      </c>
      <c r="H22741" s="5">
        <v>0</v>
      </c>
      <c r="I22741" s="5"/>
      <c r="J22741" s="5"/>
      <c r="K22741" s="5"/>
    </row>
    <row r="22742" spans="1:11" x14ac:dyDescent="0.25">
      <c r="A22742" s="5">
        <f>22735</f>
      </c>
      <c r="B22742" s="5" t="s">
        <v>22750</v>
      </c>
      <c r="C22742" s="5">
        <v>111.1</v>
      </c>
      <c r="D22742" s="5">
        <v>0.1</v>
      </c>
      <c r="E22742" s="5">
        <v>111.3</v>
      </c>
      <c r="F22742" s="5">
        <v>0</v>
      </c>
      <c r="G22742" s="5">
        <v>0</v>
      </c>
      <c r="H22742" s="5">
        <v>0</v>
      </c>
      <c r="I22742" s="5"/>
      <c r="J22742" s="5"/>
      <c r="K22742" s="5"/>
    </row>
    <row r="22743" spans="1:11" x14ac:dyDescent="0.25">
      <c r="A22743" s="5">
        <f>22736</f>
      </c>
      <c r="B22743" s="5" t="s">
        <v>22751</v>
      </c>
      <c r="C22743" s="5">
        <v>110.6</v>
      </c>
      <c r="D22743" s="5">
        <v>0.1</v>
      </c>
      <c r="E22743" s="5">
        <v>110.7</v>
      </c>
      <c r="F22743" s="5">
        <v>0</v>
      </c>
      <c r="G22743" s="5">
        <v>0</v>
      </c>
      <c r="H22743" s="5">
        <v>0</v>
      </c>
      <c r="I22743" s="5"/>
      <c r="J22743" s="5"/>
      <c r="K22743" s="5"/>
    </row>
    <row r="22744" spans="1:11" x14ac:dyDescent="0.25">
      <c r="A22744" s="5">
        <f>22737</f>
      </c>
      <c r="B22744" s="5" t="s">
        <v>22752</v>
      </c>
      <c r="C22744" s="5">
        <v>110.6</v>
      </c>
      <c r="D22744" s="5">
        <v>0.1</v>
      </c>
      <c r="E22744" s="5">
        <v>110.7</v>
      </c>
      <c r="F22744" s="5">
        <v>0</v>
      </c>
      <c r="G22744" s="5">
        <v>0</v>
      </c>
      <c r="H22744" s="5">
        <v>0</v>
      </c>
      <c r="I22744" s="5"/>
      <c r="J22744" s="5"/>
      <c r="K22744" s="5"/>
    </row>
    <row r="22745" spans="1:11" x14ac:dyDescent="0.25">
      <c r="A22745" s="5">
        <f>22738</f>
      </c>
      <c r="B22745" s="5" t="s">
        <v>22753</v>
      </c>
      <c r="C22745" s="5">
        <v>110.1</v>
      </c>
      <c r="D22745" s="5">
        <v>0.1</v>
      </c>
      <c r="E22745" s="5">
        <v>110.3</v>
      </c>
      <c r="F22745" s="5">
        <v>0</v>
      </c>
      <c r="G22745" s="5">
        <v>0</v>
      </c>
      <c r="H22745" s="5">
        <v>0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110.3</v>
      </c>
      <c r="D22746" s="5">
        <v>0.1</v>
      </c>
      <c r="E22746" s="5">
        <v>110.4</v>
      </c>
      <c r="F22746" s="5">
        <v>0</v>
      </c>
      <c r="G22746" s="5">
        <v>0</v>
      </c>
      <c r="H22746" s="5">
        <v>0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110.3</v>
      </c>
      <c r="D22747" s="5">
        <v>0.1</v>
      </c>
      <c r="E22747" s="5">
        <v>110.4</v>
      </c>
      <c r="F22747" s="5">
        <v>0</v>
      </c>
      <c r="G22747" s="5">
        <v>0</v>
      </c>
      <c r="H22747" s="5">
        <v>0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110.2</v>
      </c>
      <c r="D22748" s="5">
        <v>0.1</v>
      </c>
      <c r="E22748" s="5">
        <v>110.4</v>
      </c>
      <c r="F22748" s="5">
        <v>0</v>
      </c>
      <c r="G22748" s="5">
        <v>0</v>
      </c>
      <c r="H22748" s="5">
        <v>0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110.2</v>
      </c>
      <c r="D22749" s="5">
        <v>0.1</v>
      </c>
      <c r="E22749" s="5">
        <v>110.4</v>
      </c>
      <c r="F22749" s="5">
        <v>0</v>
      </c>
      <c r="G22749" s="5">
        <v>0</v>
      </c>
      <c r="H22749" s="5">
        <v>0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110.1</v>
      </c>
      <c r="D22750" s="5">
        <v>0.1</v>
      </c>
      <c r="E22750" s="5">
        <v>110.3</v>
      </c>
      <c r="F22750" s="5">
        <v>0</v>
      </c>
      <c r="G22750" s="5">
        <v>0</v>
      </c>
      <c r="H22750" s="5">
        <v>0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110.1</v>
      </c>
      <c r="D22751" s="5">
        <v>0.1</v>
      </c>
      <c r="E22751" s="5">
        <v>110.3</v>
      </c>
      <c r="F22751" s="5">
        <v>0</v>
      </c>
      <c r="G22751" s="5">
        <v>0</v>
      </c>
      <c r="H22751" s="5">
        <v>0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109.8</v>
      </c>
      <c r="D22752" s="5">
        <v>0.1</v>
      </c>
      <c r="E22752" s="5">
        <v>110</v>
      </c>
      <c r="F22752" s="5">
        <v>0</v>
      </c>
      <c r="G22752" s="5">
        <v>0</v>
      </c>
      <c r="H22752" s="5">
        <v>0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109.8</v>
      </c>
      <c r="D22753" s="5">
        <v>0.1</v>
      </c>
      <c r="E22753" s="5">
        <v>110</v>
      </c>
      <c r="F22753" s="5">
        <v>0</v>
      </c>
      <c r="G22753" s="5">
        <v>0</v>
      </c>
      <c r="H22753" s="5">
        <v>0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109.8</v>
      </c>
      <c r="D22754" s="5">
        <v>0.1</v>
      </c>
      <c r="E22754" s="5">
        <v>110</v>
      </c>
      <c r="F22754" s="5">
        <v>0</v>
      </c>
      <c r="G22754" s="5">
        <v>0</v>
      </c>
      <c r="H22754" s="5">
        <v>0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109.8</v>
      </c>
      <c r="D22755" s="5">
        <v>0.1</v>
      </c>
      <c r="E22755" s="5">
        <v>110</v>
      </c>
      <c r="F22755" s="5">
        <v>0</v>
      </c>
      <c r="G22755" s="5">
        <v>0</v>
      </c>
      <c r="H22755" s="5">
        <v>0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110.8</v>
      </c>
      <c r="D22756" s="5">
        <v>0.1</v>
      </c>
      <c r="E22756" s="5">
        <v>111</v>
      </c>
      <c r="F22756" s="5">
        <v>0</v>
      </c>
      <c r="G22756" s="5">
        <v>0</v>
      </c>
      <c r="H22756" s="5">
        <v>0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110.8</v>
      </c>
      <c r="D22757" s="5">
        <v>0.1</v>
      </c>
      <c r="E22757" s="5">
        <v>111</v>
      </c>
      <c r="F22757" s="5">
        <v>0</v>
      </c>
      <c r="G22757" s="5">
        <v>0</v>
      </c>
      <c r="H22757" s="5">
        <v>0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110.6</v>
      </c>
      <c r="D22758" s="5">
        <v>0.1</v>
      </c>
      <c r="E22758" s="5">
        <v>110.7</v>
      </c>
      <c r="F22758" s="5">
        <v>0</v>
      </c>
      <c r="G22758" s="5">
        <v>0</v>
      </c>
      <c r="H22758" s="5">
        <v>0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110.6</v>
      </c>
      <c r="D22759" s="5">
        <v>0.1</v>
      </c>
      <c r="E22759" s="5">
        <v>110.7</v>
      </c>
      <c r="F22759" s="5">
        <v>0</v>
      </c>
      <c r="G22759" s="5">
        <v>0</v>
      </c>
      <c r="H22759" s="5">
        <v>0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110.9</v>
      </c>
      <c r="D22760" s="5">
        <v>0.1</v>
      </c>
      <c r="E22760" s="5">
        <v>111</v>
      </c>
      <c r="F22760" s="5">
        <v>0</v>
      </c>
      <c r="G22760" s="5">
        <v>0</v>
      </c>
      <c r="H22760" s="5">
        <v>0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110.9</v>
      </c>
      <c r="D22761" s="5">
        <v>0.1</v>
      </c>
      <c r="E22761" s="5">
        <v>111</v>
      </c>
      <c r="F22761" s="5">
        <v>0</v>
      </c>
      <c r="G22761" s="5">
        <v>0</v>
      </c>
      <c r="H22761" s="5">
        <v>0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110.4</v>
      </c>
      <c r="D22762" s="5">
        <v>0.1</v>
      </c>
      <c r="E22762" s="5">
        <v>110.5</v>
      </c>
      <c r="F22762" s="5">
        <v>0</v>
      </c>
      <c r="G22762" s="5">
        <v>0</v>
      </c>
      <c r="H22762" s="5">
        <v>0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110.4</v>
      </c>
      <c r="D22763" s="5">
        <v>0.1</v>
      </c>
      <c r="E22763" s="5">
        <v>110.5</v>
      </c>
      <c r="F22763" s="5">
        <v>0</v>
      </c>
      <c r="G22763" s="5">
        <v>0</v>
      </c>
      <c r="H22763" s="5">
        <v>0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110.4</v>
      </c>
      <c r="D22764" s="5">
        <v>0.1</v>
      </c>
      <c r="E22764" s="5">
        <v>110.5</v>
      </c>
      <c r="F22764" s="5">
        <v>0</v>
      </c>
      <c r="G22764" s="5">
        <v>0</v>
      </c>
      <c r="H22764" s="5">
        <v>0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110.5</v>
      </c>
      <c r="D22765" s="5">
        <v>0.1</v>
      </c>
      <c r="E22765" s="5">
        <v>110.7</v>
      </c>
      <c r="F22765" s="5">
        <v>0</v>
      </c>
      <c r="G22765" s="5">
        <v>0</v>
      </c>
      <c r="H22765" s="5">
        <v>0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110.5</v>
      </c>
      <c r="D22766" s="5">
        <v>0.1</v>
      </c>
      <c r="E22766" s="5">
        <v>110.7</v>
      </c>
      <c r="F22766" s="5">
        <v>0</v>
      </c>
      <c r="G22766" s="5">
        <v>0</v>
      </c>
      <c r="H22766" s="5">
        <v>0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110.1</v>
      </c>
      <c r="D22767" s="5">
        <v>0.1</v>
      </c>
      <c r="E22767" s="5">
        <v>110.2</v>
      </c>
      <c r="F22767" s="5">
        <v>0</v>
      </c>
      <c r="G22767" s="5">
        <v>0</v>
      </c>
      <c r="H22767" s="5">
        <v>0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110.1</v>
      </c>
      <c r="D22768" s="5">
        <v>0.1</v>
      </c>
      <c r="E22768" s="5">
        <v>110.2</v>
      </c>
      <c r="F22768" s="5">
        <v>0</v>
      </c>
      <c r="G22768" s="5">
        <v>0</v>
      </c>
      <c r="H22768" s="5">
        <v>0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110.5</v>
      </c>
      <c r="D22769" s="5">
        <v>0.1</v>
      </c>
      <c r="E22769" s="5">
        <v>110.6</v>
      </c>
      <c r="F22769" s="5">
        <v>0</v>
      </c>
      <c r="G22769" s="5">
        <v>0</v>
      </c>
      <c r="H22769" s="5">
        <v>0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110.5</v>
      </c>
      <c r="D22770" s="5">
        <v>0.1</v>
      </c>
      <c r="E22770" s="5">
        <v>110.6</v>
      </c>
      <c r="F22770" s="5">
        <v>0</v>
      </c>
      <c r="G22770" s="5">
        <v>0</v>
      </c>
      <c r="H22770" s="5">
        <v>0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110.6</v>
      </c>
      <c r="D22771" s="5">
        <v>0.1</v>
      </c>
      <c r="E22771" s="5">
        <v>110.8</v>
      </c>
      <c r="F22771" s="5">
        <v>0</v>
      </c>
      <c r="G22771" s="5">
        <v>0</v>
      </c>
      <c r="H22771" s="5">
        <v>0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110.6</v>
      </c>
      <c r="D22772" s="5">
        <v>0.1</v>
      </c>
      <c r="E22772" s="5">
        <v>110.8</v>
      </c>
      <c r="F22772" s="5">
        <v>0</v>
      </c>
      <c r="G22772" s="5">
        <v>0</v>
      </c>
      <c r="H22772" s="5">
        <v>0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110.6</v>
      </c>
      <c r="D22773" s="5">
        <v>0.1</v>
      </c>
      <c r="E22773" s="5">
        <v>110.8</v>
      </c>
      <c r="F22773" s="5">
        <v>0</v>
      </c>
      <c r="G22773" s="5">
        <v>0</v>
      </c>
      <c r="H22773" s="5">
        <v>0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110.6</v>
      </c>
      <c r="D22774" s="5">
        <v>0.1</v>
      </c>
      <c r="E22774" s="5">
        <v>110.8</v>
      </c>
      <c r="F22774" s="5">
        <v>0</v>
      </c>
      <c r="G22774" s="5">
        <v>0</v>
      </c>
      <c r="H22774" s="5">
        <v>0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110.3</v>
      </c>
      <c r="D22775" s="5">
        <v>0.1</v>
      </c>
      <c r="E22775" s="5">
        <v>110.4</v>
      </c>
      <c r="F22775" s="5">
        <v>0</v>
      </c>
      <c r="G22775" s="5">
        <v>0</v>
      </c>
      <c r="H22775" s="5">
        <v>0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110.3</v>
      </c>
      <c r="D22776" s="5">
        <v>0.1</v>
      </c>
      <c r="E22776" s="5">
        <v>110.4</v>
      </c>
      <c r="F22776" s="5">
        <v>0</v>
      </c>
      <c r="G22776" s="5">
        <v>0</v>
      </c>
      <c r="H22776" s="5">
        <v>0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110.7</v>
      </c>
      <c r="D22777" s="5">
        <v>0.1</v>
      </c>
      <c r="E22777" s="5">
        <v>110.9</v>
      </c>
      <c r="F22777" s="5">
        <v>0</v>
      </c>
      <c r="G22777" s="5">
        <v>0</v>
      </c>
      <c r="H22777" s="5">
        <v>0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110.7</v>
      </c>
      <c r="D22778" s="5">
        <v>0.1</v>
      </c>
      <c r="E22778" s="5">
        <v>110.9</v>
      </c>
      <c r="F22778" s="5">
        <v>0</v>
      </c>
      <c r="G22778" s="5">
        <v>0</v>
      </c>
      <c r="H22778" s="5">
        <v>0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111.2</v>
      </c>
      <c r="D22779" s="5">
        <v>0.1</v>
      </c>
      <c r="E22779" s="5">
        <v>111.3</v>
      </c>
      <c r="F22779" s="5">
        <v>0</v>
      </c>
      <c r="G22779" s="5">
        <v>0</v>
      </c>
      <c r="H22779" s="5">
        <v>0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111.2</v>
      </c>
      <c r="D22780" s="5">
        <v>0.1</v>
      </c>
      <c r="E22780" s="5">
        <v>111.3</v>
      </c>
      <c r="F22780" s="5">
        <v>0</v>
      </c>
      <c r="G22780" s="5">
        <v>0</v>
      </c>
      <c r="H22780" s="5">
        <v>0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110.9</v>
      </c>
      <c r="D22781" s="5">
        <v>0.1</v>
      </c>
      <c r="E22781" s="5">
        <v>111</v>
      </c>
      <c r="F22781" s="5">
        <v>0</v>
      </c>
      <c r="G22781" s="5">
        <v>0</v>
      </c>
      <c r="H22781" s="5">
        <v>0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110.9</v>
      </c>
      <c r="D22782" s="5">
        <v>0.1</v>
      </c>
      <c r="E22782" s="5">
        <v>111</v>
      </c>
      <c r="F22782" s="5">
        <v>0</v>
      </c>
      <c r="G22782" s="5">
        <v>0</v>
      </c>
      <c r="H22782" s="5">
        <v>0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110.9</v>
      </c>
      <c r="D22783" s="5">
        <v>0.1</v>
      </c>
      <c r="E22783" s="5">
        <v>111</v>
      </c>
      <c r="F22783" s="5">
        <v>0</v>
      </c>
      <c r="G22783" s="5">
        <v>0</v>
      </c>
      <c r="H22783" s="5">
        <v>0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110.9</v>
      </c>
      <c r="D22784" s="5">
        <v>0.1</v>
      </c>
      <c r="E22784" s="5">
        <v>111</v>
      </c>
      <c r="F22784" s="5">
        <v>0</v>
      </c>
      <c r="G22784" s="5">
        <v>0</v>
      </c>
      <c r="H22784" s="5">
        <v>0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111.1</v>
      </c>
      <c r="D22785" s="5">
        <v>0.1</v>
      </c>
      <c r="E22785" s="5">
        <v>111.3</v>
      </c>
      <c r="F22785" s="5">
        <v>0</v>
      </c>
      <c r="G22785" s="5">
        <v>0</v>
      </c>
      <c r="H22785" s="5">
        <v>0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111.1</v>
      </c>
      <c r="D22786" s="5">
        <v>0.1</v>
      </c>
      <c r="E22786" s="5">
        <v>111.3</v>
      </c>
      <c r="F22786" s="5">
        <v>0</v>
      </c>
      <c r="G22786" s="5">
        <v>0</v>
      </c>
      <c r="H22786" s="5">
        <v>0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111.4</v>
      </c>
      <c r="D22787" s="5">
        <v>0.1</v>
      </c>
      <c r="E22787" s="5">
        <v>111.6</v>
      </c>
      <c r="F22787" s="5">
        <v>0</v>
      </c>
      <c r="G22787" s="5">
        <v>0</v>
      </c>
      <c r="H22787" s="5">
        <v>0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111.4</v>
      </c>
      <c r="D22788" s="5">
        <v>0.1</v>
      </c>
      <c r="E22788" s="5">
        <v>111.6</v>
      </c>
      <c r="F22788" s="5">
        <v>0</v>
      </c>
      <c r="G22788" s="5">
        <v>0</v>
      </c>
      <c r="H22788" s="5">
        <v>0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111</v>
      </c>
      <c r="D22789" s="5">
        <v>0.1</v>
      </c>
      <c r="E22789" s="5">
        <v>111.1</v>
      </c>
      <c r="F22789" s="5">
        <v>0</v>
      </c>
      <c r="G22789" s="5">
        <v>0</v>
      </c>
      <c r="H22789" s="5">
        <v>0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111</v>
      </c>
      <c r="D22790" s="5">
        <v>0.1</v>
      </c>
      <c r="E22790" s="5">
        <v>111.1</v>
      </c>
      <c r="F22790" s="5">
        <v>0</v>
      </c>
      <c r="G22790" s="5">
        <v>0</v>
      </c>
      <c r="H22790" s="5">
        <v>0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110.6</v>
      </c>
      <c r="D22791" s="5">
        <v>0.1</v>
      </c>
      <c r="E22791" s="5">
        <v>110.7</v>
      </c>
      <c r="F22791" s="5">
        <v>0</v>
      </c>
      <c r="G22791" s="5">
        <v>0</v>
      </c>
      <c r="H22791" s="5">
        <v>0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110.6</v>
      </c>
      <c r="D22792" s="5">
        <v>0.1</v>
      </c>
      <c r="E22792" s="5">
        <v>110.7</v>
      </c>
      <c r="F22792" s="5">
        <v>0</v>
      </c>
      <c r="G22792" s="5">
        <v>0</v>
      </c>
      <c r="H22792" s="5">
        <v>0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110.6</v>
      </c>
      <c r="D22793" s="5">
        <v>0.1</v>
      </c>
      <c r="E22793" s="5">
        <v>110.7</v>
      </c>
      <c r="F22793" s="5">
        <v>0</v>
      </c>
      <c r="G22793" s="5">
        <v>0</v>
      </c>
      <c r="H22793" s="5">
        <v>0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110.6</v>
      </c>
      <c r="D22794" s="5">
        <v>0.1</v>
      </c>
      <c r="E22794" s="5">
        <v>110.7</v>
      </c>
      <c r="F22794" s="5">
        <v>0</v>
      </c>
      <c r="G22794" s="5">
        <v>0</v>
      </c>
      <c r="H22794" s="5">
        <v>0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111</v>
      </c>
      <c r="D22795" s="5">
        <v>0.1</v>
      </c>
      <c r="E22795" s="5">
        <v>111.2</v>
      </c>
      <c r="F22795" s="5">
        <v>0</v>
      </c>
      <c r="G22795" s="5">
        <v>0</v>
      </c>
      <c r="H22795" s="5">
        <v>0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111</v>
      </c>
      <c r="D22796" s="5">
        <v>0.1</v>
      </c>
      <c r="E22796" s="5">
        <v>111.2</v>
      </c>
      <c r="F22796" s="5">
        <v>0</v>
      </c>
      <c r="G22796" s="5">
        <v>0</v>
      </c>
      <c r="H22796" s="5">
        <v>0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109.6</v>
      </c>
      <c r="D22797" s="5">
        <v>0.1</v>
      </c>
      <c r="E22797" s="5">
        <v>109.7</v>
      </c>
      <c r="F22797" s="5">
        <v>0</v>
      </c>
      <c r="G22797" s="5">
        <v>0</v>
      </c>
      <c r="H22797" s="5">
        <v>0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109.6</v>
      </c>
      <c r="D22798" s="5">
        <v>0.1</v>
      </c>
      <c r="E22798" s="5">
        <v>109.7</v>
      </c>
      <c r="F22798" s="5">
        <v>0</v>
      </c>
      <c r="G22798" s="5">
        <v>0</v>
      </c>
      <c r="H22798" s="5">
        <v>0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111.1</v>
      </c>
      <c r="D22799" s="5">
        <v>0.1</v>
      </c>
      <c r="E22799" s="5">
        <v>111.3</v>
      </c>
      <c r="F22799" s="5">
        <v>0</v>
      </c>
      <c r="G22799" s="5">
        <v>0</v>
      </c>
      <c r="H22799" s="5">
        <v>0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111.1</v>
      </c>
      <c r="D22800" s="5">
        <v>0.1</v>
      </c>
      <c r="E22800" s="5">
        <v>111.3</v>
      </c>
      <c r="F22800" s="5">
        <v>0</v>
      </c>
      <c r="G22800" s="5">
        <v>0</v>
      </c>
      <c r="H22800" s="5">
        <v>0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109.4</v>
      </c>
      <c r="D22801" s="5">
        <v>0.1</v>
      </c>
      <c r="E22801" s="5">
        <v>109.6</v>
      </c>
      <c r="F22801" s="5">
        <v>0</v>
      </c>
      <c r="G22801" s="5">
        <v>0</v>
      </c>
      <c r="H22801" s="5">
        <v>0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109.4</v>
      </c>
      <c r="D22802" s="5">
        <v>0.1</v>
      </c>
      <c r="E22802" s="5">
        <v>109.6</v>
      </c>
      <c r="F22802" s="5">
        <v>0</v>
      </c>
      <c r="G22802" s="5">
        <v>0</v>
      </c>
      <c r="H22802" s="5">
        <v>0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109.4</v>
      </c>
      <c r="D22803" s="5">
        <v>0.1</v>
      </c>
      <c r="E22803" s="5">
        <v>109.6</v>
      </c>
      <c r="F22803" s="5">
        <v>0</v>
      </c>
      <c r="G22803" s="5">
        <v>0</v>
      </c>
      <c r="H22803" s="5">
        <v>0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109.4</v>
      </c>
      <c r="D22804" s="5">
        <v>0.1</v>
      </c>
      <c r="E22804" s="5">
        <v>109.6</v>
      </c>
      <c r="F22804" s="5">
        <v>0</v>
      </c>
      <c r="G22804" s="5">
        <v>0</v>
      </c>
      <c r="H22804" s="5">
        <v>0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111.2</v>
      </c>
      <c r="D22805" s="5">
        <v>0.1</v>
      </c>
      <c r="E22805" s="5">
        <v>111.3</v>
      </c>
      <c r="F22805" s="5">
        <v>0</v>
      </c>
      <c r="G22805" s="5">
        <v>0</v>
      </c>
      <c r="H22805" s="5">
        <v>0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111.2</v>
      </c>
      <c r="D22806" s="5">
        <v>0.1</v>
      </c>
      <c r="E22806" s="5">
        <v>111.3</v>
      </c>
      <c r="F22806" s="5">
        <v>0</v>
      </c>
      <c r="G22806" s="5">
        <v>0</v>
      </c>
      <c r="H22806" s="5">
        <v>0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111.2</v>
      </c>
      <c r="D22807" s="5">
        <v>0.1</v>
      </c>
      <c r="E22807" s="5">
        <v>111.3</v>
      </c>
      <c r="F22807" s="5">
        <v>0</v>
      </c>
      <c r="G22807" s="5">
        <v>0</v>
      </c>
      <c r="H22807" s="5">
        <v>0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111.2</v>
      </c>
      <c r="D22808" s="5">
        <v>0.1</v>
      </c>
      <c r="E22808" s="5">
        <v>111.3</v>
      </c>
      <c r="F22808" s="5">
        <v>0</v>
      </c>
      <c r="G22808" s="5">
        <v>0</v>
      </c>
      <c r="H22808" s="5">
        <v>0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111.2</v>
      </c>
      <c r="D22809" s="5">
        <v>0.1</v>
      </c>
      <c r="E22809" s="5">
        <v>111.3</v>
      </c>
      <c r="F22809" s="5">
        <v>0</v>
      </c>
      <c r="G22809" s="5">
        <v>0</v>
      </c>
      <c r="H22809" s="5">
        <v>0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111.2</v>
      </c>
      <c r="D22810" s="5">
        <v>0.1</v>
      </c>
      <c r="E22810" s="5">
        <v>111.3</v>
      </c>
      <c r="F22810" s="5">
        <v>0</v>
      </c>
      <c r="G22810" s="5">
        <v>0</v>
      </c>
      <c r="H22810" s="5">
        <v>0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110.7</v>
      </c>
      <c r="D22811" s="5">
        <v>0.1</v>
      </c>
      <c r="E22811" s="5">
        <v>110.9</v>
      </c>
      <c r="F22811" s="5">
        <v>0</v>
      </c>
      <c r="G22811" s="5">
        <v>0</v>
      </c>
      <c r="H22811" s="5">
        <v>0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110.7</v>
      </c>
      <c r="D22812" s="5">
        <v>0.1</v>
      </c>
      <c r="E22812" s="5">
        <v>110.9</v>
      </c>
      <c r="F22812" s="5">
        <v>0</v>
      </c>
      <c r="G22812" s="5">
        <v>0</v>
      </c>
      <c r="H22812" s="5">
        <v>0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110.7</v>
      </c>
      <c r="D22813" s="5">
        <v>0.1</v>
      </c>
      <c r="E22813" s="5">
        <v>110.9</v>
      </c>
      <c r="F22813" s="5">
        <v>0</v>
      </c>
      <c r="G22813" s="5">
        <v>0</v>
      </c>
      <c r="H22813" s="5">
        <v>0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110.7</v>
      </c>
      <c r="D22814" s="5">
        <v>0.1</v>
      </c>
      <c r="E22814" s="5">
        <v>110.9</v>
      </c>
      <c r="F22814" s="5">
        <v>0</v>
      </c>
      <c r="G22814" s="5">
        <v>0</v>
      </c>
      <c r="H22814" s="5">
        <v>0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111.2</v>
      </c>
      <c r="D22815" s="5">
        <v>0.1</v>
      </c>
      <c r="E22815" s="5">
        <v>111.3</v>
      </c>
      <c r="F22815" s="5">
        <v>0</v>
      </c>
      <c r="G22815" s="5">
        <v>0</v>
      </c>
      <c r="H22815" s="5">
        <v>0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111.2</v>
      </c>
      <c r="D22816" s="5">
        <v>0.1</v>
      </c>
      <c r="E22816" s="5">
        <v>111.3</v>
      </c>
      <c r="F22816" s="5">
        <v>0</v>
      </c>
      <c r="G22816" s="5">
        <v>0</v>
      </c>
      <c r="H22816" s="5">
        <v>0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110.5</v>
      </c>
      <c r="D22817" s="5">
        <v>0.1</v>
      </c>
      <c r="E22817" s="5">
        <v>110.7</v>
      </c>
      <c r="F22817" s="5">
        <v>0</v>
      </c>
      <c r="G22817" s="5">
        <v>0</v>
      </c>
      <c r="H22817" s="5">
        <v>0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110.5</v>
      </c>
      <c r="D22818" s="5">
        <v>0.1</v>
      </c>
      <c r="E22818" s="5">
        <v>110.7</v>
      </c>
      <c r="F22818" s="5">
        <v>0</v>
      </c>
      <c r="G22818" s="5">
        <v>0</v>
      </c>
      <c r="H22818" s="5">
        <v>0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110.3</v>
      </c>
      <c r="D22819" s="5">
        <v>0.1</v>
      </c>
      <c r="E22819" s="5">
        <v>110.4</v>
      </c>
      <c r="F22819" s="5">
        <v>0</v>
      </c>
      <c r="G22819" s="5">
        <v>0</v>
      </c>
      <c r="H22819" s="5">
        <v>0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110.3</v>
      </c>
      <c r="D22820" s="5">
        <v>0.1</v>
      </c>
      <c r="E22820" s="5">
        <v>110.4</v>
      </c>
      <c r="F22820" s="5">
        <v>0</v>
      </c>
      <c r="G22820" s="5">
        <v>0</v>
      </c>
      <c r="H22820" s="5">
        <v>0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110.3</v>
      </c>
      <c r="D22821" s="5">
        <v>0.1</v>
      </c>
      <c r="E22821" s="5">
        <v>110.4</v>
      </c>
      <c r="F22821" s="5">
        <v>0</v>
      </c>
      <c r="G22821" s="5">
        <v>0</v>
      </c>
      <c r="H22821" s="5">
        <v>0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110.3</v>
      </c>
      <c r="D22822" s="5">
        <v>0.1</v>
      </c>
      <c r="E22822" s="5">
        <v>110.4</v>
      </c>
      <c r="F22822" s="5">
        <v>0</v>
      </c>
      <c r="G22822" s="5">
        <v>0</v>
      </c>
      <c r="H22822" s="5">
        <v>0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110.3</v>
      </c>
      <c r="D22823" s="5">
        <v>0.1</v>
      </c>
      <c r="E22823" s="5">
        <v>110.4</v>
      </c>
      <c r="F22823" s="5">
        <v>0</v>
      </c>
      <c r="G22823" s="5">
        <v>0</v>
      </c>
      <c r="H22823" s="5">
        <v>0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110.3</v>
      </c>
      <c r="D22824" s="5">
        <v>0.1</v>
      </c>
      <c r="E22824" s="5">
        <v>110.4</v>
      </c>
      <c r="F22824" s="5">
        <v>0</v>
      </c>
      <c r="G22824" s="5">
        <v>0</v>
      </c>
      <c r="H22824" s="5">
        <v>0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110.4</v>
      </c>
      <c r="D22825" s="5">
        <v>0.1</v>
      </c>
      <c r="E22825" s="5">
        <v>110.6</v>
      </c>
      <c r="F22825" s="5">
        <v>0</v>
      </c>
      <c r="G22825" s="5">
        <v>0</v>
      </c>
      <c r="H22825" s="5">
        <v>0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110.4</v>
      </c>
      <c r="D22826" s="5">
        <v>0.1</v>
      </c>
      <c r="E22826" s="5">
        <v>110.6</v>
      </c>
      <c r="F22826" s="5">
        <v>0</v>
      </c>
      <c r="G22826" s="5">
        <v>0</v>
      </c>
      <c r="H22826" s="5">
        <v>0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110.7</v>
      </c>
      <c r="D22827" s="5">
        <v>0.1</v>
      </c>
      <c r="E22827" s="5">
        <v>110.9</v>
      </c>
      <c r="F22827" s="5">
        <v>0</v>
      </c>
      <c r="G22827" s="5">
        <v>0</v>
      </c>
      <c r="H22827" s="5">
        <v>0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110.7</v>
      </c>
      <c r="D22828" s="5">
        <v>0.1</v>
      </c>
      <c r="E22828" s="5">
        <v>110.9</v>
      </c>
      <c r="F22828" s="5">
        <v>0</v>
      </c>
      <c r="G22828" s="5">
        <v>0</v>
      </c>
      <c r="H22828" s="5">
        <v>0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110.9</v>
      </c>
      <c r="D22829" s="5">
        <v>0.1</v>
      </c>
      <c r="E22829" s="5">
        <v>111</v>
      </c>
      <c r="F22829" s="5">
        <v>0</v>
      </c>
      <c r="G22829" s="5">
        <v>0</v>
      </c>
      <c r="H22829" s="5">
        <v>0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110.9</v>
      </c>
      <c r="D22830" s="5">
        <v>0.1</v>
      </c>
      <c r="E22830" s="5">
        <v>111</v>
      </c>
      <c r="F22830" s="5">
        <v>0</v>
      </c>
      <c r="G22830" s="5">
        <v>0</v>
      </c>
      <c r="H22830" s="5">
        <v>0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110.4</v>
      </c>
      <c r="D22831" s="5">
        <v>0.1</v>
      </c>
      <c r="E22831" s="5">
        <v>110.6</v>
      </c>
      <c r="F22831" s="5">
        <v>0</v>
      </c>
      <c r="G22831" s="5">
        <v>0</v>
      </c>
      <c r="H22831" s="5">
        <v>0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110.4</v>
      </c>
      <c r="D22832" s="5">
        <v>0.1</v>
      </c>
      <c r="E22832" s="5">
        <v>110.6</v>
      </c>
      <c r="F22832" s="5">
        <v>0</v>
      </c>
      <c r="G22832" s="5">
        <v>0</v>
      </c>
      <c r="H22832" s="5">
        <v>0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110.4</v>
      </c>
      <c r="D22833" s="5">
        <v>0.1</v>
      </c>
      <c r="E22833" s="5">
        <v>110.6</v>
      </c>
      <c r="F22833" s="5">
        <v>0</v>
      </c>
      <c r="G22833" s="5">
        <v>0</v>
      </c>
      <c r="H22833" s="5">
        <v>0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110.4</v>
      </c>
      <c r="D22834" s="5">
        <v>0.1</v>
      </c>
      <c r="E22834" s="5">
        <v>110.6</v>
      </c>
      <c r="F22834" s="5">
        <v>0</v>
      </c>
      <c r="G22834" s="5">
        <v>0</v>
      </c>
      <c r="H22834" s="5">
        <v>0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111.4</v>
      </c>
      <c r="D22835" s="5">
        <v>0.1</v>
      </c>
      <c r="E22835" s="5">
        <v>111.6</v>
      </c>
      <c r="F22835" s="5">
        <v>0</v>
      </c>
      <c r="G22835" s="5">
        <v>0</v>
      </c>
      <c r="H22835" s="5">
        <v>0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111.4</v>
      </c>
      <c r="D22836" s="5">
        <v>0.1</v>
      </c>
      <c r="E22836" s="5">
        <v>111.6</v>
      </c>
      <c r="F22836" s="5">
        <v>0</v>
      </c>
      <c r="G22836" s="5">
        <v>0</v>
      </c>
      <c r="H22836" s="5">
        <v>0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110.7</v>
      </c>
      <c r="D22837" s="5">
        <v>0.1</v>
      </c>
      <c r="E22837" s="5">
        <v>110.9</v>
      </c>
      <c r="F22837" s="5">
        <v>0</v>
      </c>
      <c r="G22837" s="5">
        <v>0</v>
      </c>
      <c r="H22837" s="5">
        <v>0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110.7</v>
      </c>
      <c r="D22838" s="5">
        <v>0.1</v>
      </c>
      <c r="E22838" s="5">
        <v>110.9</v>
      </c>
      <c r="F22838" s="5">
        <v>0</v>
      </c>
      <c r="G22838" s="5">
        <v>0</v>
      </c>
      <c r="H22838" s="5">
        <v>0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111.4</v>
      </c>
      <c r="D22839" s="5">
        <v>0.1</v>
      </c>
      <c r="E22839" s="5">
        <v>111.6</v>
      </c>
      <c r="F22839" s="5">
        <v>0</v>
      </c>
      <c r="G22839" s="5">
        <v>0</v>
      </c>
      <c r="H22839" s="5">
        <v>0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111.4</v>
      </c>
      <c r="D22840" s="5">
        <v>0.1</v>
      </c>
      <c r="E22840" s="5">
        <v>111.6</v>
      </c>
      <c r="F22840" s="5">
        <v>0</v>
      </c>
      <c r="G22840" s="5">
        <v>0</v>
      </c>
      <c r="H22840" s="5">
        <v>0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111.6</v>
      </c>
      <c r="D22841" s="5">
        <v>0.1</v>
      </c>
      <c r="E22841" s="5">
        <v>111.7</v>
      </c>
      <c r="F22841" s="5">
        <v>0</v>
      </c>
      <c r="G22841" s="5">
        <v>0</v>
      </c>
      <c r="H22841" s="5">
        <v>0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111.6</v>
      </c>
      <c r="D22842" s="5">
        <v>0.1</v>
      </c>
      <c r="E22842" s="5">
        <v>111.7</v>
      </c>
      <c r="F22842" s="5">
        <v>0</v>
      </c>
      <c r="G22842" s="5">
        <v>0</v>
      </c>
      <c r="H22842" s="5">
        <v>0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111.6</v>
      </c>
      <c r="D22843" s="5">
        <v>0.1</v>
      </c>
      <c r="E22843" s="5">
        <v>111.7</v>
      </c>
      <c r="F22843" s="5">
        <v>0</v>
      </c>
      <c r="G22843" s="5">
        <v>0</v>
      </c>
      <c r="H22843" s="5">
        <v>0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111.6</v>
      </c>
      <c r="D22844" s="5">
        <v>0.1</v>
      </c>
      <c r="E22844" s="5">
        <v>111.7</v>
      </c>
      <c r="F22844" s="5">
        <v>0</v>
      </c>
      <c r="G22844" s="5">
        <v>0</v>
      </c>
      <c r="H22844" s="5">
        <v>0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111.1</v>
      </c>
      <c r="D22845" s="5">
        <v>0.1</v>
      </c>
      <c r="E22845" s="5">
        <v>111.3</v>
      </c>
      <c r="F22845" s="5">
        <v>0</v>
      </c>
      <c r="G22845" s="5">
        <v>0</v>
      </c>
      <c r="H22845" s="5">
        <v>0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111.1</v>
      </c>
      <c r="D22846" s="5">
        <v>0.1</v>
      </c>
      <c r="E22846" s="5">
        <v>111.3</v>
      </c>
      <c r="F22846" s="5">
        <v>0</v>
      </c>
      <c r="G22846" s="5">
        <v>0</v>
      </c>
      <c r="H22846" s="5">
        <v>0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111</v>
      </c>
      <c r="D22847" s="5">
        <v>0.1</v>
      </c>
      <c r="E22847" s="5">
        <v>111.2</v>
      </c>
      <c r="F22847" s="5">
        <v>0</v>
      </c>
      <c r="G22847" s="5">
        <v>0</v>
      </c>
      <c r="H22847" s="5">
        <v>0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111</v>
      </c>
      <c r="D22848" s="5">
        <v>0.1</v>
      </c>
      <c r="E22848" s="5">
        <v>111.2</v>
      </c>
      <c r="F22848" s="5">
        <v>0</v>
      </c>
      <c r="G22848" s="5">
        <v>0</v>
      </c>
      <c r="H22848" s="5">
        <v>0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111.6</v>
      </c>
      <c r="D22849" s="5">
        <v>0.1</v>
      </c>
      <c r="E22849" s="5">
        <v>111.8</v>
      </c>
      <c r="F22849" s="5">
        <v>0</v>
      </c>
      <c r="G22849" s="5">
        <v>0</v>
      </c>
      <c r="H22849" s="5">
        <v>0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111.6</v>
      </c>
      <c r="D22850" s="5">
        <v>0.1</v>
      </c>
      <c r="E22850" s="5">
        <v>111.8</v>
      </c>
      <c r="F22850" s="5">
        <v>0</v>
      </c>
      <c r="G22850" s="5">
        <v>0</v>
      </c>
      <c r="H22850" s="5">
        <v>0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111.6</v>
      </c>
      <c r="D22851" s="5">
        <v>0.1</v>
      </c>
      <c r="E22851" s="5">
        <v>111.7</v>
      </c>
      <c r="F22851" s="5">
        <v>0</v>
      </c>
      <c r="G22851" s="5">
        <v>0</v>
      </c>
      <c r="H22851" s="5">
        <v>0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111.6</v>
      </c>
      <c r="D22852" s="5">
        <v>0.1</v>
      </c>
      <c r="E22852" s="5">
        <v>111.7</v>
      </c>
      <c r="F22852" s="5">
        <v>0</v>
      </c>
      <c r="G22852" s="5">
        <v>0</v>
      </c>
      <c r="H22852" s="5">
        <v>0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111.6</v>
      </c>
      <c r="D22853" s="5">
        <v>0.1</v>
      </c>
      <c r="E22853" s="5">
        <v>111.7</v>
      </c>
      <c r="F22853" s="5">
        <v>0</v>
      </c>
      <c r="G22853" s="5">
        <v>0</v>
      </c>
      <c r="H22853" s="5">
        <v>0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111.6</v>
      </c>
      <c r="D22854" s="5">
        <v>0.1</v>
      </c>
      <c r="E22854" s="5">
        <v>111.4</v>
      </c>
      <c r="F22854" s="5">
        <v>0</v>
      </c>
      <c r="G22854" s="5">
        <v>0</v>
      </c>
      <c r="H22854" s="5">
        <v>0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111.2</v>
      </c>
      <c r="D22855" s="5">
        <v>0.1</v>
      </c>
      <c r="E22855" s="5">
        <v>111.4</v>
      </c>
      <c r="F22855" s="5">
        <v>0</v>
      </c>
      <c r="G22855" s="5">
        <v>0</v>
      </c>
      <c r="H22855" s="5">
        <v>0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111.2</v>
      </c>
      <c r="D22856" s="5">
        <v>0.1</v>
      </c>
      <c r="E22856" s="5">
        <v>111.4</v>
      </c>
      <c r="F22856" s="5">
        <v>0</v>
      </c>
      <c r="G22856" s="5">
        <v>0</v>
      </c>
      <c r="H22856" s="5">
        <v>0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111.5</v>
      </c>
      <c r="D22857" s="5">
        <v>0.1</v>
      </c>
      <c r="E22857" s="5">
        <v>111.6</v>
      </c>
      <c r="F22857" s="5">
        <v>0</v>
      </c>
      <c r="G22857" s="5">
        <v>0</v>
      </c>
      <c r="H22857" s="5">
        <v>0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111.5</v>
      </c>
      <c r="D22858" s="5">
        <v>0.1</v>
      </c>
      <c r="E22858" s="5">
        <v>111.6</v>
      </c>
      <c r="F22858" s="5">
        <v>0</v>
      </c>
      <c r="G22858" s="5">
        <v>0</v>
      </c>
      <c r="H22858" s="5">
        <v>0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111.3</v>
      </c>
      <c r="D22859" s="5">
        <v>0.1</v>
      </c>
      <c r="E22859" s="5">
        <v>111.4</v>
      </c>
      <c r="F22859" s="5">
        <v>0</v>
      </c>
      <c r="G22859" s="5">
        <v>0</v>
      </c>
      <c r="H22859" s="5">
        <v>0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111.3</v>
      </c>
      <c r="D22860" s="5">
        <v>0.1</v>
      </c>
      <c r="E22860" s="5">
        <v>111.4</v>
      </c>
      <c r="F22860" s="5">
        <v>0</v>
      </c>
      <c r="G22860" s="5">
        <v>0</v>
      </c>
      <c r="H22860" s="5">
        <v>0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110.9</v>
      </c>
      <c r="D22861" s="5">
        <v>0.1</v>
      </c>
      <c r="E22861" s="5">
        <v>111</v>
      </c>
      <c r="F22861" s="5">
        <v>0</v>
      </c>
      <c r="G22861" s="5">
        <v>0</v>
      </c>
      <c r="H22861" s="5">
        <v>0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110.9</v>
      </c>
      <c r="D22862" s="5">
        <v>0.1</v>
      </c>
      <c r="E22862" s="5">
        <v>111</v>
      </c>
      <c r="F22862" s="5">
        <v>0</v>
      </c>
      <c r="G22862" s="5">
        <v>0</v>
      </c>
      <c r="H22862" s="5">
        <v>0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110.9</v>
      </c>
      <c r="D22863" s="5">
        <v>0.1</v>
      </c>
      <c r="E22863" s="5">
        <v>111</v>
      </c>
      <c r="F22863" s="5">
        <v>0</v>
      </c>
      <c r="G22863" s="5">
        <v>0</v>
      </c>
      <c r="H22863" s="5">
        <v>0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111.4</v>
      </c>
      <c r="D22864" s="5">
        <v>0.1</v>
      </c>
      <c r="E22864" s="5">
        <v>111.6</v>
      </c>
      <c r="F22864" s="5">
        <v>0</v>
      </c>
      <c r="G22864" s="5">
        <v>0</v>
      </c>
      <c r="H22864" s="5">
        <v>0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111.4</v>
      </c>
      <c r="D22865" s="5">
        <v>0.1</v>
      </c>
      <c r="E22865" s="5">
        <v>111.6</v>
      </c>
      <c r="F22865" s="5">
        <v>0</v>
      </c>
      <c r="G22865" s="5">
        <v>0</v>
      </c>
      <c r="H22865" s="5">
        <v>0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110.8</v>
      </c>
      <c r="D22866" s="5">
        <v>0.1</v>
      </c>
      <c r="E22866" s="5">
        <v>111.6</v>
      </c>
      <c r="F22866" s="5">
        <v>0</v>
      </c>
      <c r="G22866" s="5">
        <v>0</v>
      </c>
      <c r="H22866" s="5">
        <v>0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110.8</v>
      </c>
      <c r="D22867" s="5">
        <v>0.1</v>
      </c>
      <c r="E22867" s="5">
        <v>111</v>
      </c>
      <c r="F22867" s="5">
        <v>0</v>
      </c>
      <c r="G22867" s="5">
        <v>0</v>
      </c>
      <c r="H22867" s="5">
        <v>0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110.8</v>
      </c>
      <c r="D22868" s="5">
        <v>0.1</v>
      </c>
      <c r="E22868" s="5">
        <v>111</v>
      </c>
      <c r="F22868" s="5">
        <v>0</v>
      </c>
      <c r="G22868" s="5">
        <v>0</v>
      </c>
      <c r="H22868" s="5">
        <v>0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110.9</v>
      </c>
      <c r="D22869" s="5">
        <v>0.1</v>
      </c>
      <c r="E22869" s="5">
        <v>111</v>
      </c>
      <c r="F22869" s="5">
        <v>0</v>
      </c>
      <c r="G22869" s="5">
        <v>0</v>
      </c>
      <c r="H22869" s="5">
        <v>0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110.9</v>
      </c>
      <c r="D22870" s="5">
        <v>0.1</v>
      </c>
      <c r="E22870" s="5">
        <v>111</v>
      </c>
      <c r="F22870" s="5">
        <v>0</v>
      </c>
      <c r="G22870" s="5">
        <v>0</v>
      </c>
      <c r="H22870" s="5">
        <v>0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110.9</v>
      </c>
      <c r="D22871" s="5">
        <v>0.1</v>
      </c>
      <c r="E22871" s="5">
        <v>111</v>
      </c>
      <c r="F22871" s="5">
        <v>0</v>
      </c>
      <c r="G22871" s="5">
        <v>0</v>
      </c>
      <c r="H22871" s="5">
        <v>0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110.9</v>
      </c>
      <c r="D22872" s="5">
        <v>0.1</v>
      </c>
      <c r="E22872" s="5">
        <v>111</v>
      </c>
      <c r="F22872" s="5">
        <v>0</v>
      </c>
      <c r="G22872" s="5">
        <v>0</v>
      </c>
      <c r="H22872" s="5">
        <v>0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110.9</v>
      </c>
      <c r="D22873" s="5">
        <v>0.1</v>
      </c>
      <c r="E22873" s="5">
        <v>111</v>
      </c>
      <c r="F22873" s="5">
        <v>0</v>
      </c>
      <c r="G22873" s="5">
        <v>0</v>
      </c>
      <c r="H22873" s="5">
        <v>0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110.9</v>
      </c>
      <c r="D22874" s="5">
        <v>0.1</v>
      </c>
      <c r="E22874" s="5">
        <v>111</v>
      </c>
      <c r="F22874" s="5">
        <v>0</v>
      </c>
      <c r="G22874" s="5">
        <v>0</v>
      </c>
      <c r="H22874" s="5">
        <v>0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110.7</v>
      </c>
      <c r="D22875" s="5">
        <v>0.1</v>
      </c>
      <c r="E22875" s="5">
        <v>110.9</v>
      </c>
      <c r="F22875" s="5">
        <v>0</v>
      </c>
      <c r="G22875" s="5">
        <v>0</v>
      </c>
      <c r="H22875" s="5">
        <v>0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110.7</v>
      </c>
      <c r="D22876" s="5">
        <v>0.1</v>
      </c>
      <c r="E22876" s="5">
        <v>110.9</v>
      </c>
      <c r="F22876" s="5">
        <v>0</v>
      </c>
      <c r="G22876" s="5">
        <v>0</v>
      </c>
      <c r="H22876" s="5">
        <v>0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110.7</v>
      </c>
      <c r="D22877" s="5">
        <v>0.1</v>
      </c>
      <c r="E22877" s="5">
        <v>110.9</v>
      </c>
      <c r="F22877" s="5">
        <v>0</v>
      </c>
      <c r="G22877" s="5">
        <v>0</v>
      </c>
      <c r="H22877" s="5">
        <v>0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110.7</v>
      </c>
      <c r="D22878" s="5">
        <v>0.1</v>
      </c>
      <c r="E22878" s="5">
        <v>110.9</v>
      </c>
      <c r="F22878" s="5">
        <v>0</v>
      </c>
      <c r="G22878" s="5">
        <v>0</v>
      </c>
      <c r="H22878" s="5">
        <v>0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110.7</v>
      </c>
      <c r="D22879" s="5">
        <v>0.1</v>
      </c>
      <c r="E22879" s="5">
        <v>110.8</v>
      </c>
      <c r="F22879" s="5">
        <v>0</v>
      </c>
      <c r="G22879" s="5">
        <v>0</v>
      </c>
      <c r="H22879" s="5">
        <v>0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110.7</v>
      </c>
      <c r="D22880" s="5">
        <v>0.1</v>
      </c>
      <c r="E22880" s="5">
        <v>110.8</v>
      </c>
      <c r="F22880" s="5">
        <v>0</v>
      </c>
      <c r="G22880" s="5">
        <v>0</v>
      </c>
      <c r="H22880" s="5">
        <v>0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110.9</v>
      </c>
      <c r="D22881" s="5">
        <v>0.1</v>
      </c>
      <c r="E22881" s="5">
        <v>111</v>
      </c>
      <c r="F22881" s="5">
        <v>0</v>
      </c>
      <c r="G22881" s="5">
        <v>0</v>
      </c>
      <c r="H22881" s="5">
        <v>0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110.9</v>
      </c>
      <c r="D22882" s="5">
        <v>0.1</v>
      </c>
      <c r="E22882" s="5">
        <v>111</v>
      </c>
      <c r="F22882" s="5">
        <v>0</v>
      </c>
      <c r="G22882" s="5">
        <v>0</v>
      </c>
      <c r="H22882" s="5">
        <v>0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110.9</v>
      </c>
      <c r="D22883" s="5">
        <v>0.1</v>
      </c>
      <c r="E22883" s="5">
        <v>111</v>
      </c>
      <c r="F22883" s="5">
        <v>0</v>
      </c>
      <c r="G22883" s="5">
        <v>0</v>
      </c>
      <c r="H22883" s="5">
        <v>0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110.9</v>
      </c>
      <c r="D22884" s="5">
        <v>0.1</v>
      </c>
      <c r="E22884" s="5">
        <v>111</v>
      </c>
      <c r="F22884" s="5">
        <v>0</v>
      </c>
      <c r="G22884" s="5">
        <v>0</v>
      </c>
      <c r="H22884" s="5">
        <v>0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110.9</v>
      </c>
      <c r="D22885" s="5">
        <v>0.1</v>
      </c>
      <c r="E22885" s="5">
        <v>111</v>
      </c>
      <c r="F22885" s="5">
        <v>0</v>
      </c>
      <c r="G22885" s="5">
        <v>0</v>
      </c>
      <c r="H22885" s="5">
        <v>0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110.9</v>
      </c>
      <c r="D22886" s="5">
        <v>0.1</v>
      </c>
      <c r="E22886" s="5">
        <v>111</v>
      </c>
      <c r="F22886" s="5">
        <v>0</v>
      </c>
      <c r="G22886" s="5">
        <v>0</v>
      </c>
      <c r="H22886" s="5">
        <v>0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110.9</v>
      </c>
      <c r="D22887" s="5">
        <v>0.1</v>
      </c>
      <c r="E22887" s="5">
        <v>111</v>
      </c>
      <c r="F22887" s="5">
        <v>0</v>
      </c>
      <c r="G22887" s="5">
        <v>0</v>
      </c>
      <c r="H22887" s="5">
        <v>0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110.3</v>
      </c>
      <c r="D22888" s="5">
        <v>0.1</v>
      </c>
      <c r="E22888" s="5">
        <v>110.4</v>
      </c>
      <c r="F22888" s="5">
        <v>0</v>
      </c>
      <c r="G22888" s="5">
        <v>0</v>
      </c>
      <c r="H22888" s="5">
        <v>0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110.3</v>
      </c>
      <c r="D22889" s="5">
        <v>0.1</v>
      </c>
      <c r="E22889" s="5">
        <v>110.4</v>
      </c>
      <c r="F22889" s="5">
        <v>0</v>
      </c>
      <c r="G22889" s="5">
        <v>0</v>
      </c>
      <c r="H22889" s="5">
        <v>0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110.1</v>
      </c>
      <c r="D22890" s="5">
        <v>0.1</v>
      </c>
      <c r="E22890" s="5">
        <v>110.3</v>
      </c>
      <c r="F22890" s="5">
        <v>0</v>
      </c>
      <c r="G22890" s="5">
        <v>0</v>
      </c>
      <c r="H22890" s="5">
        <v>0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110.1</v>
      </c>
      <c r="D22891" s="5">
        <v>0.1</v>
      </c>
      <c r="E22891" s="5">
        <v>110.3</v>
      </c>
      <c r="F22891" s="5">
        <v>0</v>
      </c>
      <c r="G22891" s="5">
        <v>0</v>
      </c>
      <c r="H22891" s="5">
        <v>0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110.1</v>
      </c>
      <c r="D22892" s="5">
        <v>0.1</v>
      </c>
      <c r="E22892" s="5">
        <v>110.3</v>
      </c>
      <c r="F22892" s="5">
        <v>0</v>
      </c>
      <c r="G22892" s="5">
        <v>0</v>
      </c>
      <c r="H22892" s="5">
        <v>0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110.1</v>
      </c>
      <c r="D22893" s="5">
        <v>0.1</v>
      </c>
      <c r="E22893" s="5">
        <v>110.3</v>
      </c>
      <c r="F22893" s="5">
        <v>0</v>
      </c>
      <c r="G22893" s="5">
        <v>0</v>
      </c>
      <c r="H22893" s="5">
        <v>0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110.2</v>
      </c>
      <c r="D22894" s="5">
        <v>0.1</v>
      </c>
      <c r="E22894" s="5">
        <v>110.4</v>
      </c>
      <c r="F22894" s="5">
        <v>0</v>
      </c>
      <c r="G22894" s="5">
        <v>0</v>
      </c>
      <c r="H22894" s="5">
        <v>0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110.2</v>
      </c>
      <c r="D22895" s="5">
        <v>0.1</v>
      </c>
      <c r="E22895" s="5">
        <v>110.4</v>
      </c>
      <c r="F22895" s="5">
        <v>0</v>
      </c>
      <c r="G22895" s="5">
        <v>0</v>
      </c>
      <c r="H22895" s="5">
        <v>0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110.3</v>
      </c>
      <c r="D22896" s="5">
        <v>0.1</v>
      </c>
      <c r="E22896" s="5">
        <v>110.4</v>
      </c>
      <c r="F22896" s="5">
        <v>0</v>
      </c>
      <c r="G22896" s="5">
        <v>0</v>
      </c>
      <c r="H22896" s="5">
        <v>0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110.3</v>
      </c>
      <c r="D22897" s="5">
        <v>0.1</v>
      </c>
      <c r="E22897" s="5">
        <v>110.4</v>
      </c>
      <c r="F22897" s="5">
        <v>0</v>
      </c>
      <c r="G22897" s="5">
        <v>0</v>
      </c>
      <c r="H22897" s="5">
        <v>0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109.3</v>
      </c>
      <c r="D22898" s="5">
        <v>0.1</v>
      </c>
      <c r="E22898" s="5">
        <v>109.4</v>
      </c>
      <c r="F22898" s="5">
        <v>0</v>
      </c>
      <c r="G22898" s="5">
        <v>0</v>
      </c>
      <c r="H22898" s="5">
        <v>0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109.3</v>
      </c>
      <c r="D22899" s="5">
        <v>0.1</v>
      </c>
      <c r="E22899" s="5">
        <v>109.4</v>
      </c>
      <c r="F22899" s="5">
        <v>0</v>
      </c>
      <c r="G22899" s="5">
        <v>0</v>
      </c>
      <c r="H22899" s="5">
        <v>0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109.3</v>
      </c>
      <c r="D22900" s="5">
        <v>0.1</v>
      </c>
      <c r="E22900" s="5">
        <v>109.4</v>
      </c>
      <c r="F22900" s="5">
        <v>0</v>
      </c>
      <c r="G22900" s="5">
        <v>0</v>
      </c>
      <c r="H22900" s="5">
        <v>0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109.3</v>
      </c>
      <c r="D22901" s="5">
        <v>0.1</v>
      </c>
      <c r="E22901" s="5">
        <v>109.4</v>
      </c>
      <c r="F22901" s="5">
        <v>0</v>
      </c>
      <c r="G22901" s="5">
        <v>0</v>
      </c>
      <c r="H22901" s="5">
        <v>0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109.3</v>
      </c>
      <c r="D22902" s="5">
        <v>0.1</v>
      </c>
      <c r="E22902" s="5">
        <v>109.4</v>
      </c>
      <c r="F22902" s="5">
        <v>0</v>
      </c>
      <c r="G22902" s="5">
        <v>0</v>
      </c>
      <c r="H22902" s="5">
        <v>0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109.3</v>
      </c>
      <c r="D22903" s="5">
        <v>0.1</v>
      </c>
      <c r="E22903" s="5">
        <v>109.4</v>
      </c>
      <c r="F22903" s="5">
        <v>0</v>
      </c>
      <c r="G22903" s="5">
        <v>0</v>
      </c>
      <c r="H22903" s="5">
        <v>0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110.5</v>
      </c>
      <c r="D22904" s="5">
        <v>0.1</v>
      </c>
      <c r="E22904" s="5">
        <v>110.7</v>
      </c>
      <c r="F22904" s="5">
        <v>0</v>
      </c>
      <c r="G22904" s="5">
        <v>0</v>
      </c>
      <c r="H22904" s="5">
        <v>0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110.5</v>
      </c>
      <c r="D22905" s="5">
        <v>0.1</v>
      </c>
      <c r="E22905" s="5">
        <v>110.7</v>
      </c>
      <c r="F22905" s="5">
        <v>0</v>
      </c>
      <c r="G22905" s="5">
        <v>0</v>
      </c>
      <c r="H22905" s="5">
        <v>0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110.3</v>
      </c>
      <c r="D22906" s="5">
        <v>0.1</v>
      </c>
      <c r="E22906" s="5">
        <v>110.4</v>
      </c>
      <c r="F22906" s="5">
        <v>0</v>
      </c>
      <c r="G22906" s="5">
        <v>0</v>
      </c>
      <c r="H22906" s="5">
        <v>0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110.3</v>
      </c>
      <c r="D22907" s="5">
        <v>0.1</v>
      </c>
      <c r="E22907" s="5">
        <v>110.4</v>
      </c>
      <c r="F22907" s="5">
        <v>0</v>
      </c>
      <c r="G22907" s="5">
        <v>0</v>
      </c>
      <c r="H22907" s="5">
        <v>0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110.4</v>
      </c>
      <c r="D22908" s="5">
        <v>0.1</v>
      </c>
      <c r="E22908" s="5">
        <v>110.5</v>
      </c>
      <c r="F22908" s="5">
        <v>0</v>
      </c>
      <c r="G22908" s="5">
        <v>0</v>
      </c>
      <c r="H22908" s="5">
        <v>0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110.4</v>
      </c>
      <c r="D22909" s="5">
        <v>0.1</v>
      </c>
      <c r="E22909" s="5">
        <v>110.5</v>
      </c>
      <c r="F22909" s="5">
        <v>0</v>
      </c>
      <c r="G22909" s="5">
        <v>0</v>
      </c>
      <c r="H22909" s="5">
        <v>0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110.4</v>
      </c>
      <c r="D22910" s="5">
        <v>0.1</v>
      </c>
      <c r="E22910" s="5">
        <v>109.7</v>
      </c>
      <c r="F22910" s="5">
        <v>0</v>
      </c>
      <c r="G22910" s="5">
        <v>0</v>
      </c>
      <c r="H22910" s="5">
        <v>0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109.6</v>
      </c>
      <c r="D22911" s="5">
        <v>0.1</v>
      </c>
      <c r="E22911" s="5">
        <v>109.7</v>
      </c>
      <c r="F22911" s="5">
        <v>0</v>
      </c>
      <c r="G22911" s="5">
        <v>0</v>
      </c>
      <c r="H22911" s="5">
        <v>0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109.6</v>
      </c>
      <c r="D22912" s="5">
        <v>0.1</v>
      </c>
      <c r="E22912" s="5">
        <v>109.7</v>
      </c>
      <c r="F22912" s="5">
        <v>0</v>
      </c>
      <c r="G22912" s="5">
        <v>0</v>
      </c>
      <c r="H22912" s="5">
        <v>0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109.6</v>
      </c>
      <c r="D22913" s="5">
        <v>0.1</v>
      </c>
      <c r="E22913" s="5">
        <v>109.7</v>
      </c>
      <c r="F22913" s="5">
        <v>0</v>
      </c>
      <c r="G22913" s="5">
        <v>0</v>
      </c>
      <c r="H22913" s="5">
        <v>0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110.6</v>
      </c>
      <c r="D22914" s="5">
        <v>0.1</v>
      </c>
      <c r="E22914" s="5">
        <v>110.7</v>
      </c>
      <c r="F22914" s="5">
        <v>0</v>
      </c>
      <c r="G22914" s="5">
        <v>0</v>
      </c>
      <c r="H22914" s="5">
        <v>0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110.6</v>
      </c>
      <c r="D22915" s="5">
        <v>0.1</v>
      </c>
      <c r="E22915" s="5">
        <v>110.7</v>
      </c>
      <c r="F22915" s="5">
        <v>0</v>
      </c>
      <c r="G22915" s="5">
        <v>0</v>
      </c>
      <c r="H22915" s="5">
        <v>0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111.3</v>
      </c>
      <c r="D22916" s="5">
        <v>0.1</v>
      </c>
      <c r="E22916" s="5">
        <v>111.5</v>
      </c>
      <c r="F22916" s="5">
        <v>0</v>
      </c>
      <c r="G22916" s="5">
        <v>0</v>
      </c>
      <c r="H22916" s="5">
        <v>0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111.3</v>
      </c>
      <c r="D22917" s="5">
        <v>0.1</v>
      </c>
      <c r="E22917" s="5">
        <v>111.5</v>
      </c>
      <c r="F22917" s="5">
        <v>0</v>
      </c>
      <c r="G22917" s="5">
        <v>0</v>
      </c>
      <c r="H22917" s="5">
        <v>0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110.4</v>
      </c>
      <c r="D22918" s="5">
        <v>0.1</v>
      </c>
      <c r="E22918" s="5">
        <v>110.5</v>
      </c>
      <c r="F22918" s="5">
        <v>0</v>
      </c>
      <c r="G22918" s="5">
        <v>0</v>
      </c>
      <c r="H22918" s="5">
        <v>0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110.4</v>
      </c>
      <c r="D22919" s="5">
        <v>0.1</v>
      </c>
      <c r="E22919" s="5">
        <v>110.5</v>
      </c>
      <c r="F22919" s="5">
        <v>0</v>
      </c>
      <c r="G22919" s="5">
        <v>0</v>
      </c>
      <c r="H22919" s="5">
        <v>0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110.5</v>
      </c>
      <c r="D22920" s="5">
        <v>0.1</v>
      </c>
      <c r="E22920" s="5">
        <v>110.7</v>
      </c>
      <c r="F22920" s="5">
        <v>0</v>
      </c>
      <c r="G22920" s="5">
        <v>0</v>
      </c>
      <c r="H22920" s="5">
        <v>0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110.5</v>
      </c>
      <c r="D22921" s="5">
        <v>0.1</v>
      </c>
      <c r="E22921" s="5">
        <v>110.7</v>
      </c>
      <c r="F22921" s="5">
        <v>0</v>
      </c>
      <c r="G22921" s="5">
        <v>0</v>
      </c>
      <c r="H22921" s="5">
        <v>0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110.5</v>
      </c>
      <c r="D22922" s="5">
        <v>0.1</v>
      </c>
      <c r="E22922" s="5">
        <v>110.7</v>
      </c>
      <c r="F22922" s="5">
        <v>0</v>
      </c>
      <c r="G22922" s="5">
        <v>0</v>
      </c>
      <c r="H22922" s="5">
        <v>0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110.5</v>
      </c>
      <c r="D22923" s="5">
        <v>0.1</v>
      </c>
      <c r="E22923" s="5">
        <v>110.7</v>
      </c>
      <c r="F22923" s="5">
        <v>0</v>
      </c>
      <c r="G22923" s="5">
        <v>0</v>
      </c>
      <c r="H22923" s="5">
        <v>0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111.5</v>
      </c>
      <c r="D22924" s="5">
        <v>0.1</v>
      </c>
      <c r="E22924" s="5">
        <v>111.6</v>
      </c>
      <c r="F22924" s="5">
        <v>0</v>
      </c>
      <c r="G22924" s="5">
        <v>0</v>
      </c>
      <c r="H22924" s="5">
        <v>0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111.5</v>
      </c>
      <c r="D22925" s="5">
        <v>0.1</v>
      </c>
      <c r="E22925" s="5">
        <v>111.6</v>
      </c>
      <c r="F22925" s="5">
        <v>0</v>
      </c>
      <c r="G22925" s="5">
        <v>0</v>
      </c>
      <c r="H22925" s="5">
        <v>0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112</v>
      </c>
      <c r="D22926" s="5">
        <v>0.1</v>
      </c>
      <c r="E22926" s="5">
        <v>112.1</v>
      </c>
      <c r="F22926" s="5">
        <v>0</v>
      </c>
      <c r="G22926" s="5">
        <v>0</v>
      </c>
      <c r="H22926" s="5">
        <v>0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112</v>
      </c>
      <c r="D22927" s="5">
        <v>0.1</v>
      </c>
      <c r="E22927" s="5">
        <v>112.1</v>
      </c>
      <c r="F22927" s="5">
        <v>0</v>
      </c>
      <c r="G22927" s="5">
        <v>0</v>
      </c>
      <c r="H22927" s="5">
        <v>0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111.6</v>
      </c>
      <c r="D22928" s="5">
        <v>0.1</v>
      </c>
      <c r="E22928" s="5">
        <v>111.8</v>
      </c>
      <c r="F22928" s="5">
        <v>0</v>
      </c>
      <c r="G22928" s="5">
        <v>0</v>
      </c>
      <c r="H22928" s="5">
        <v>0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111.6</v>
      </c>
      <c r="D22929" s="5">
        <v>0.1</v>
      </c>
      <c r="E22929" s="5">
        <v>111.8</v>
      </c>
      <c r="F22929" s="5">
        <v>0</v>
      </c>
      <c r="G22929" s="5">
        <v>0</v>
      </c>
      <c r="H22929" s="5">
        <v>0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111.4</v>
      </c>
      <c r="D22930" s="5">
        <v>0.1</v>
      </c>
      <c r="E22930" s="5">
        <v>111.6</v>
      </c>
      <c r="F22930" s="5">
        <v>0</v>
      </c>
      <c r="G22930" s="5">
        <v>0</v>
      </c>
      <c r="H22930" s="5">
        <v>0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111.4</v>
      </c>
      <c r="D22931" s="5">
        <v>0.1</v>
      </c>
      <c r="E22931" s="5">
        <v>111.6</v>
      </c>
      <c r="F22931" s="5">
        <v>0</v>
      </c>
      <c r="G22931" s="5">
        <v>0</v>
      </c>
      <c r="H22931" s="5">
        <v>0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111.4</v>
      </c>
      <c r="D22932" s="5">
        <v>0.1</v>
      </c>
      <c r="E22932" s="5">
        <v>111.6</v>
      </c>
      <c r="F22932" s="5">
        <v>0</v>
      </c>
      <c r="G22932" s="5">
        <v>0</v>
      </c>
      <c r="H22932" s="5">
        <v>0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111.4</v>
      </c>
      <c r="D22933" s="5">
        <v>0.1</v>
      </c>
      <c r="E22933" s="5">
        <v>111.6</v>
      </c>
      <c r="F22933" s="5">
        <v>0</v>
      </c>
      <c r="G22933" s="5">
        <v>0</v>
      </c>
      <c r="H22933" s="5">
        <v>0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111.4</v>
      </c>
      <c r="D22934" s="5">
        <v>0.1</v>
      </c>
      <c r="E22934" s="5">
        <v>111.6</v>
      </c>
      <c r="F22934" s="5">
        <v>0</v>
      </c>
      <c r="G22934" s="5">
        <v>0</v>
      </c>
      <c r="H22934" s="5">
        <v>0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111.4</v>
      </c>
      <c r="D22935" s="5">
        <v>0.1</v>
      </c>
      <c r="E22935" s="5">
        <v>111.6</v>
      </c>
      <c r="F22935" s="5">
        <v>0</v>
      </c>
      <c r="G22935" s="5">
        <v>0</v>
      </c>
      <c r="H22935" s="5">
        <v>0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111.3</v>
      </c>
      <c r="D22936" s="5">
        <v>0.1</v>
      </c>
      <c r="E22936" s="5">
        <v>111.5</v>
      </c>
      <c r="F22936" s="5">
        <v>0</v>
      </c>
      <c r="G22936" s="5">
        <v>0</v>
      </c>
      <c r="H22936" s="5">
        <v>0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111.3</v>
      </c>
      <c r="D22937" s="5">
        <v>0.1</v>
      </c>
      <c r="E22937" s="5">
        <v>111.5</v>
      </c>
      <c r="F22937" s="5">
        <v>0</v>
      </c>
      <c r="G22937" s="5">
        <v>0</v>
      </c>
      <c r="H22937" s="5">
        <v>0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111.4</v>
      </c>
      <c r="D22938" s="5">
        <v>0.1</v>
      </c>
      <c r="E22938" s="5">
        <v>111.6</v>
      </c>
      <c r="F22938" s="5">
        <v>0</v>
      </c>
      <c r="G22938" s="5">
        <v>0</v>
      </c>
      <c r="H22938" s="5">
        <v>0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111.4</v>
      </c>
      <c r="D22939" s="5">
        <v>0.1</v>
      </c>
      <c r="E22939" s="5">
        <v>111.6</v>
      </c>
      <c r="F22939" s="5">
        <v>0</v>
      </c>
      <c r="G22939" s="5">
        <v>0</v>
      </c>
      <c r="H22939" s="5">
        <v>0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111.2</v>
      </c>
      <c r="D22940" s="5">
        <v>0.1</v>
      </c>
      <c r="E22940" s="5">
        <v>111.3</v>
      </c>
      <c r="F22940" s="5">
        <v>0</v>
      </c>
      <c r="G22940" s="5">
        <v>0</v>
      </c>
      <c r="H22940" s="5">
        <v>0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111.2</v>
      </c>
      <c r="D22941" s="5">
        <v>0.1</v>
      </c>
      <c r="E22941" s="5">
        <v>111.3</v>
      </c>
      <c r="F22941" s="5">
        <v>0</v>
      </c>
      <c r="G22941" s="5">
        <v>0</v>
      </c>
      <c r="H22941" s="5">
        <v>0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111.2</v>
      </c>
      <c r="D22942" s="5">
        <v>0.1</v>
      </c>
      <c r="E22942" s="5">
        <v>111.3</v>
      </c>
      <c r="F22942" s="5">
        <v>0</v>
      </c>
      <c r="G22942" s="5">
        <v>0</v>
      </c>
      <c r="H22942" s="5">
        <v>0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111.2</v>
      </c>
      <c r="D22943" s="5">
        <v>0.1</v>
      </c>
      <c r="E22943" s="5">
        <v>111.3</v>
      </c>
      <c r="F22943" s="5">
        <v>0</v>
      </c>
      <c r="G22943" s="5">
        <v>0</v>
      </c>
      <c r="H22943" s="5">
        <v>0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111.1</v>
      </c>
      <c r="D22944" s="5">
        <v>0.1</v>
      </c>
      <c r="E22944" s="5">
        <v>111.2</v>
      </c>
      <c r="F22944" s="5">
        <v>0</v>
      </c>
      <c r="G22944" s="5">
        <v>0</v>
      </c>
      <c r="H22944" s="5">
        <v>0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111.1</v>
      </c>
      <c r="D22945" s="5">
        <v>0.1</v>
      </c>
      <c r="E22945" s="5">
        <v>111.2</v>
      </c>
      <c r="F22945" s="5">
        <v>0</v>
      </c>
      <c r="G22945" s="5">
        <v>0</v>
      </c>
      <c r="H22945" s="5">
        <v>0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111</v>
      </c>
      <c r="D22946" s="5">
        <v>0.1</v>
      </c>
      <c r="E22946" s="5">
        <v>111.1</v>
      </c>
      <c r="F22946" s="5">
        <v>0</v>
      </c>
      <c r="G22946" s="5">
        <v>0</v>
      </c>
      <c r="H22946" s="5">
        <v>0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111</v>
      </c>
      <c r="D22947" s="5">
        <v>0.1</v>
      </c>
      <c r="E22947" s="5">
        <v>111.1</v>
      </c>
      <c r="F22947" s="5">
        <v>0</v>
      </c>
      <c r="G22947" s="5">
        <v>0</v>
      </c>
      <c r="H22947" s="5">
        <v>0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111</v>
      </c>
      <c r="D22948" s="5">
        <v>0.1</v>
      </c>
      <c r="E22948" s="5">
        <v>111.2</v>
      </c>
      <c r="F22948" s="5">
        <v>0</v>
      </c>
      <c r="G22948" s="5">
        <v>0</v>
      </c>
      <c r="H22948" s="5">
        <v>0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111</v>
      </c>
      <c r="D22949" s="5">
        <v>0.1</v>
      </c>
      <c r="E22949" s="5">
        <v>111.2</v>
      </c>
      <c r="F22949" s="5">
        <v>0</v>
      </c>
      <c r="G22949" s="5">
        <v>0</v>
      </c>
      <c r="H22949" s="5">
        <v>0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111</v>
      </c>
      <c r="D22950" s="5">
        <v>0.1</v>
      </c>
      <c r="E22950" s="5">
        <v>111.2</v>
      </c>
      <c r="F22950" s="5">
        <v>0</v>
      </c>
      <c r="G22950" s="5">
        <v>0</v>
      </c>
      <c r="H22950" s="5">
        <v>0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111</v>
      </c>
      <c r="D22951" s="5">
        <v>0.1</v>
      </c>
      <c r="E22951" s="5">
        <v>111.2</v>
      </c>
      <c r="F22951" s="5">
        <v>0</v>
      </c>
      <c r="G22951" s="5">
        <v>0</v>
      </c>
      <c r="H22951" s="5">
        <v>0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111</v>
      </c>
      <c r="D22952" s="5">
        <v>0.1</v>
      </c>
      <c r="E22952" s="5">
        <v>111.2</v>
      </c>
      <c r="F22952" s="5">
        <v>0</v>
      </c>
      <c r="G22952" s="5">
        <v>0</v>
      </c>
      <c r="H22952" s="5">
        <v>0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111</v>
      </c>
      <c r="D22953" s="5">
        <v>0.1</v>
      </c>
      <c r="E22953" s="5">
        <v>111.2</v>
      </c>
      <c r="F22953" s="5">
        <v>0</v>
      </c>
      <c r="G22953" s="5">
        <v>0</v>
      </c>
      <c r="H22953" s="5">
        <v>0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110.2</v>
      </c>
      <c r="D22954" s="5">
        <v>0.1</v>
      </c>
      <c r="E22954" s="5">
        <v>110.4</v>
      </c>
      <c r="F22954" s="5">
        <v>0</v>
      </c>
      <c r="G22954" s="5">
        <v>0</v>
      </c>
      <c r="H22954" s="5">
        <v>0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110.2</v>
      </c>
      <c r="D22955" s="5">
        <v>0.1</v>
      </c>
      <c r="E22955" s="5">
        <v>110.4</v>
      </c>
      <c r="F22955" s="5">
        <v>0</v>
      </c>
      <c r="G22955" s="5">
        <v>0</v>
      </c>
      <c r="H22955" s="5">
        <v>0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110.4</v>
      </c>
      <c r="D22956" s="5">
        <v>0.1</v>
      </c>
      <c r="E22956" s="5">
        <v>110.6</v>
      </c>
      <c r="F22956" s="5">
        <v>0</v>
      </c>
      <c r="G22956" s="5">
        <v>0</v>
      </c>
      <c r="H22956" s="5">
        <v>0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110.4</v>
      </c>
      <c r="D22957" s="5">
        <v>0.1</v>
      </c>
      <c r="E22957" s="5">
        <v>110.6</v>
      </c>
      <c r="F22957" s="5">
        <v>0</v>
      </c>
      <c r="G22957" s="5">
        <v>0</v>
      </c>
      <c r="H22957" s="5">
        <v>0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110.7</v>
      </c>
      <c r="D22958" s="5">
        <v>0.1</v>
      </c>
      <c r="E22958" s="5">
        <v>111</v>
      </c>
      <c r="F22958" s="5">
        <v>0</v>
      </c>
      <c r="G22958" s="5">
        <v>0</v>
      </c>
      <c r="H22958" s="5">
        <v>0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110.7</v>
      </c>
      <c r="D22959" s="5">
        <v>0.1</v>
      </c>
      <c r="E22959" s="5">
        <v>111</v>
      </c>
      <c r="F22959" s="5">
        <v>0</v>
      </c>
      <c r="G22959" s="5">
        <v>0</v>
      </c>
      <c r="H22959" s="5">
        <v>0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111</v>
      </c>
      <c r="D22960" s="5">
        <v>0.1</v>
      </c>
      <c r="E22960" s="5">
        <v>111.1</v>
      </c>
      <c r="F22960" s="5">
        <v>0</v>
      </c>
      <c r="G22960" s="5">
        <v>0</v>
      </c>
      <c r="H22960" s="5">
        <v>0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111</v>
      </c>
      <c r="D22961" s="5">
        <v>0.1</v>
      </c>
      <c r="E22961" s="5">
        <v>111.1</v>
      </c>
      <c r="F22961" s="5">
        <v>0</v>
      </c>
      <c r="G22961" s="5">
        <v>0</v>
      </c>
      <c r="H22961" s="5">
        <v>0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111</v>
      </c>
      <c r="D22962" s="5">
        <v>0.1</v>
      </c>
      <c r="E22962" s="5">
        <v>111.1</v>
      </c>
      <c r="F22962" s="5">
        <v>0</v>
      </c>
      <c r="G22962" s="5">
        <v>0</v>
      </c>
      <c r="H22962" s="5">
        <v>0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111</v>
      </c>
      <c r="D22963" s="5">
        <v>0.1</v>
      </c>
      <c r="E22963" s="5">
        <v>111.1</v>
      </c>
      <c r="F22963" s="5">
        <v>0</v>
      </c>
      <c r="G22963" s="5">
        <v>0</v>
      </c>
      <c r="H22963" s="5">
        <v>0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110.5</v>
      </c>
      <c r="D22964" s="5">
        <v>0.1</v>
      </c>
      <c r="E22964" s="5">
        <v>110.7</v>
      </c>
      <c r="F22964" s="5">
        <v>0</v>
      </c>
      <c r="G22964" s="5">
        <v>0</v>
      </c>
      <c r="H22964" s="5">
        <v>0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110.5</v>
      </c>
      <c r="D22965" s="5">
        <v>0.1</v>
      </c>
      <c r="E22965" s="5">
        <v>110.7</v>
      </c>
      <c r="F22965" s="5">
        <v>0</v>
      </c>
      <c r="G22965" s="5">
        <v>0</v>
      </c>
      <c r="H22965" s="5">
        <v>0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110.9</v>
      </c>
      <c r="D22966" s="5">
        <v>0.1</v>
      </c>
      <c r="E22966" s="5">
        <v>111</v>
      </c>
      <c r="F22966" s="5">
        <v>0</v>
      </c>
      <c r="G22966" s="5">
        <v>0</v>
      </c>
      <c r="H22966" s="5">
        <v>0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110.9</v>
      </c>
      <c r="D22967" s="5">
        <v>0.1</v>
      </c>
      <c r="E22967" s="5">
        <v>111</v>
      </c>
      <c r="F22967" s="5">
        <v>0</v>
      </c>
      <c r="G22967" s="5">
        <v>0</v>
      </c>
      <c r="H22967" s="5">
        <v>0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111</v>
      </c>
      <c r="D22968" s="5">
        <v>0.1</v>
      </c>
      <c r="E22968" s="5">
        <v>111.1</v>
      </c>
      <c r="F22968" s="5">
        <v>0</v>
      </c>
      <c r="G22968" s="5">
        <v>0</v>
      </c>
      <c r="H22968" s="5">
        <v>0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111</v>
      </c>
      <c r="D22969" s="5">
        <v>0.1</v>
      </c>
      <c r="E22969" s="5">
        <v>111.1</v>
      </c>
      <c r="F22969" s="5">
        <v>0</v>
      </c>
      <c r="G22969" s="5">
        <v>0</v>
      </c>
      <c r="H22969" s="5">
        <v>0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110.8</v>
      </c>
      <c r="D22970" s="5">
        <v>0.1</v>
      </c>
      <c r="E22970" s="5">
        <v>111</v>
      </c>
      <c r="F22970" s="5">
        <v>0</v>
      </c>
      <c r="G22970" s="5">
        <v>0</v>
      </c>
      <c r="H22970" s="5">
        <v>0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110.8</v>
      </c>
      <c r="D22971" s="5">
        <v>0.1</v>
      </c>
      <c r="E22971" s="5">
        <v>111</v>
      </c>
      <c r="F22971" s="5">
        <v>0</v>
      </c>
      <c r="G22971" s="5">
        <v>0</v>
      </c>
      <c r="H22971" s="5">
        <v>0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110.8</v>
      </c>
      <c r="D22972" s="5">
        <v>0.1</v>
      </c>
      <c r="E22972" s="5">
        <v>111</v>
      </c>
      <c r="F22972" s="5">
        <v>0</v>
      </c>
      <c r="G22972" s="5">
        <v>0</v>
      </c>
      <c r="H22972" s="5">
        <v>0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110.8</v>
      </c>
      <c r="D22973" s="5">
        <v>0.1</v>
      </c>
      <c r="E22973" s="5">
        <v>111</v>
      </c>
      <c r="F22973" s="5">
        <v>0</v>
      </c>
      <c r="G22973" s="5">
        <v>0</v>
      </c>
      <c r="H22973" s="5">
        <v>0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111.2</v>
      </c>
      <c r="D22974" s="5">
        <v>0.1</v>
      </c>
      <c r="E22974" s="5">
        <v>111.3</v>
      </c>
      <c r="F22974" s="5">
        <v>0</v>
      </c>
      <c r="G22974" s="5">
        <v>0</v>
      </c>
      <c r="H22974" s="5">
        <v>0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111.2</v>
      </c>
      <c r="D22975" s="5">
        <v>0.1</v>
      </c>
      <c r="E22975" s="5">
        <v>111.3</v>
      </c>
      <c r="F22975" s="5">
        <v>0</v>
      </c>
      <c r="G22975" s="5">
        <v>0</v>
      </c>
      <c r="H22975" s="5">
        <v>0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111.4</v>
      </c>
      <c r="D22976" s="5">
        <v>0.1</v>
      </c>
      <c r="E22976" s="5">
        <v>111.6</v>
      </c>
      <c r="F22976" s="5">
        <v>0</v>
      </c>
      <c r="G22976" s="5">
        <v>0</v>
      </c>
      <c r="H22976" s="5">
        <v>0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111.4</v>
      </c>
      <c r="D22977" s="5">
        <v>0.1</v>
      </c>
      <c r="E22977" s="5">
        <v>111.6</v>
      </c>
      <c r="F22977" s="5">
        <v>0</v>
      </c>
      <c r="G22977" s="5">
        <v>0</v>
      </c>
      <c r="H22977" s="5">
        <v>0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111.8</v>
      </c>
      <c r="D22978" s="5">
        <v>0.1</v>
      </c>
      <c r="E22978" s="5">
        <v>112</v>
      </c>
      <c r="F22978" s="5">
        <v>0</v>
      </c>
      <c r="G22978" s="5">
        <v>0</v>
      </c>
      <c r="H22978" s="5">
        <v>0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111.8</v>
      </c>
      <c r="D22979" s="5">
        <v>0.1</v>
      </c>
      <c r="E22979" s="5">
        <v>112</v>
      </c>
      <c r="F22979" s="5">
        <v>0</v>
      </c>
      <c r="G22979" s="5">
        <v>0</v>
      </c>
      <c r="H22979" s="5">
        <v>0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111.4</v>
      </c>
      <c r="D22980" s="5">
        <v>0.1</v>
      </c>
      <c r="E22980" s="5">
        <v>111.6</v>
      </c>
      <c r="F22980" s="5">
        <v>0</v>
      </c>
      <c r="G22980" s="5">
        <v>0</v>
      </c>
      <c r="H22980" s="5">
        <v>0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111.4</v>
      </c>
      <c r="D22981" s="5">
        <v>0.1</v>
      </c>
      <c r="E22981" s="5">
        <v>111.6</v>
      </c>
      <c r="F22981" s="5">
        <v>0</v>
      </c>
      <c r="G22981" s="5">
        <v>0</v>
      </c>
      <c r="H22981" s="5">
        <v>0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111.4</v>
      </c>
      <c r="D22982" s="5">
        <v>0.1</v>
      </c>
      <c r="E22982" s="5">
        <v>111.6</v>
      </c>
      <c r="F22982" s="5">
        <v>0</v>
      </c>
      <c r="G22982" s="5">
        <v>0</v>
      </c>
      <c r="H22982" s="5">
        <v>0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111.4</v>
      </c>
      <c r="D22983" s="5">
        <v>0.1</v>
      </c>
      <c r="E22983" s="5">
        <v>111.6</v>
      </c>
      <c r="F22983" s="5">
        <v>0</v>
      </c>
      <c r="G22983" s="5">
        <v>0</v>
      </c>
      <c r="H22983" s="5">
        <v>0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111.6</v>
      </c>
      <c r="D22984" s="5">
        <v>0.1</v>
      </c>
      <c r="E22984" s="5">
        <v>111.8</v>
      </c>
      <c r="F22984" s="5">
        <v>0</v>
      </c>
      <c r="G22984" s="5">
        <v>0</v>
      </c>
      <c r="H22984" s="5">
        <v>0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111.6</v>
      </c>
      <c r="D22985" s="5">
        <v>0.1</v>
      </c>
      <c r="E22985" s="5">
        <v>111.8</v>
      </c>
      <c r="F22985" s="5">
        <v>0</v>
      </c>
      <c r="G22985" s="5">
        <v>0</v>
      </c>
      <c r="H22985" s="5">
        <v>0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111.8</v>
      </c>
      <c r="D22986" s="5">
        <v>0.1</v>
      </c>
      <c r="E22986" s="5">
        <v>112</v>
      </c>
      <c r="F22986" s="5">
        <v>0</v>
      </c>
      <c r="G22986" s="5">
        <v>0</v>
      </c>
      <c r="H22986" s="5">
        <v>0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111.8</v>
      </c>
      <c r="D22987" s="5">
        <v>0.1</v>
      </c>
      <c r="E22987" s="5">
        <v>112</v>
      </c>
      <c r="F22987" s="5">
        <v>0</v>
      </c>
      <c r="G22987" s="5">
        <v>0</v>
      </c>
      <c r="H22987" s="5">
        <v>0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111.5</v>
      </c>
      <c r="D22988" s="5">
        <v>0.1</v>
      </c>
      <c r="E22988" s="5">
        <v>111.6</v>
      </c>
      <c r="F22988" s="5">
        <v>0</v>
      </c>
      <c r="G22988" s="5">
        <v>0</v>
      </c>
      <c r="H22988" s="5">
        <v>0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111.5</v>
      </c>
      <c r="D22989" s="5">
        <v>0.1</v>
      </c>
      <c r="E22989" s="5">
        <v>111.6</v>
      </c>
      <c r="F22989" s="5">
        <v>0</v>
      </c>
      <c r="G22989" s="5">
        <v>0</v>
      </c>
      <c r="H22989" s="5">
        <v>0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111.7</v>
      </c>
      <c r="D22990" s="5">
        <v>0.1</v>
      </c>
      <c r="E22990" s="5">
        <v>111.9</v>
      </c>
      <c r="F22990" s="5">
        <v>0</v>
      </c>
      <c r="G22990" s="5">
        <v>0</v>
      </c>
      <c r="H22990" s="5">
        <v>0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111.7</v>
      </c>
      <c r="D22991" s="5">
        <v>0.1</v>
      </c>
      <c r="E22991" s="5">
        <v>111.9</v>
      </c>
      <c r="F22991" s="5">
        <v>0</v>
      </c>
      <c r="G22991" s="5">
        <v>0</v>
      </c>
      <c r="H22991" s="5">
        <v>0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111.7</v>
      </c>
      <c r="D22992" s="5">
        <v>0.1</v>
      </c>
      <c r="E22992" s="5">
        <v>111.9</v>
      </c>
      <c r="F22992" s="5">
        <v>0</v>
      </c>
      <c r="G22992" s="5">
        <v>0</v>
      </c>
      <c r="H22992" s="5">
        <v>0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111.7</v>
      </c>
      <c r="D22993" s="5">
        <v>0.1</v>
      </c>
      <c r="E22993" s="5">
        <v>111.9</v>
      </c>
      <c r="F22993" s="5">
        <v>0</v>
      </c>
      <c r="G22993" s="5">
        <v>0</v>
      </c>
      <c r="H22993" s="5">
        <v>0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111.9</v>
      </c>
      <c r="D22994" s="5">
        <v>0.1</v>
      </c>
      <c r="E22994" s="5">
        <v>112</v>
      </c>
      <c r="F22994" s="5">
        <v>0</v>
      </c>
      <c r="G22994" s="5">
        <v>0</v>
      </c>
      <c r="H22994" s="5">
        <v>0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111.9</v>
      </c>
      <c r="D22995" s="5">
        <v>0.1</v>
      </c>
      <c r="E22995" s="5">
        <v>112</v>
      </c>
      <c r="F22995" s="5">
        <v>0</v>
      </c>
      <c r="G22995" s="5">
        <v>0</v>
      </c>
      <c r="H22995" s="5">
        <v>0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111.5</v>
      </c>
      <c r="D22996" s="5">
        <v>0.1</v>
      </c>
      <c r="E22996" s="5">
        <v>111.6</v>
      </c>
      <c r="F22996" s="5">
        <v>0</v>
      </c>
      <c r="G22996" s="5">
        <v>0</v>
      </c>
      <c r="H22996" s="5">
        <v>0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111.5</v>
      </c>
      <c r="D22997" s="5">
        <v>0.1</v>
      </c>
      <c r="E22997" s="5">
        <v>111.6</v>
      </c>
      <c r="F22997" s="5">
        <v>0</v>
      </c>
      <c r="G22997" s="5">
        <v>0</v>
      </c>
      <c r="H22997" s="5">
        <v>0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111.1</v>
      </c>
      <c r="D22998" s="5">
        <v>0.1</v>
      </c>
      <c r="E22998" s="5">
        <v>111.3</v>
      </c>
      <c r="F22998" s="5">
        <v>0</v>
      </c>
      <c r="G22998" s="5">
        <v>0</v>
      </c>
      <c r="H22998" s="5">
        <v>0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111.1</v>
      </c>
      <c r="D22999" s="5">
        <v>0.1</v>
      </c>
      <c r="E22999" s="5">
        <v>111.3</v>
      </c>
      <c r="F22999" s="5">
        <v>0</v>
      </c>
      <c r="G22999" s="5">
        <v>0</v>
      </c>
      <c r="H22999" s="5">
        <v>0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111.6</v>
      </c>
      <c r="D23000" s="5">
        <v>0.1</v>
      </c>
      <c r="E23000" s="5">
        <v>111.7</v>
      </c>
      <c r="F23000" s="5">
        <v>0</v>
      </c>
      <c r="G23000" s="5">
        <v>0</v>
      </c>
      <c r="H23000" s="5">
        <v>0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111.6</v>
      </c>
      <c r="D23001" s="5">
        <v>0.1</v>
      </c>
      <c r="E23001" s="5">
        <v>111.7</v>
      </c>
      <c r="F23001" s="5">
        <v>0</v>
      </c>
      <c r="G23001" s="5">
        <v>0</v>
      </c>
      <c r="H23001" s="5">
        <v>0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111.6</v>
      </c>
      <c r="D23002" s="5">
        <v>0.1</v>
      </c>
      <c r="E23002" s="5">
        <v>111.7</v>
      </c>
      <c r="F23002" s="5">
        <v>0</v>
      </c>
      <c r="G23002" s="5">
        <v>0</v>
      </c>
      <c r="H23002" s="5">
        <v>0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111.3</v>
      </c>
      <c r="D23003" s="5">
        <v>0.1</v>
      </c>
      <c r="E23003" s="5">
        <v>111.4</v>
      </c>
      <c r="F23003" s="5">
        <v>0</v>
      </c>
      <c r="G23003" s="5">
        <v>0</v>
      </c>
      <c r="H23003" s="5">
        <v>0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111.3</v>
      </c>
      <c r="D23004" s="5">
        <v>0.1</v>
      </c>
      <c r="E23004" s="5">
        <v>111.4</v>
      </c>
      <c r="F23004" s="5">
        <v>0</v>
      </c>
      <c r="G23004" s="5">
        <v>0</v>
      </c>
      <c r="H23004" s="5">
        <v>0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111</v>
      </c>
      <c r="D23005" s="5">
        <v>0.1</v>
      </c>
      <c r="E23005" s="5">
        <v>111.2</v>
      </c>
      <c r="F23005" s="5">
        <v>0</v>
      </c>
      <c r="G23005" s="5">
        <v>0</v>
      </c>
      <c r="H23005" s="5">
        <v>0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111</v>
      </c>
      <c r="D23006" s="5">
        <v>0.1</v>
      </c>
      <c r="E23006" s="5">
        <v>111.2</v>
      </c>
      <c r="F23006" s="5">
        <v>0</v>
      </c>
      <c r="G23006" s="5">
        <v>0</v>
      </c>
      <c r="H23006" s="5">
        <v>0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111.6</v>
      </c>
      <c r="D23007" s="5">
        <v>0.1</v>
      </c>
      <c r="E23007" s="5">
        <v>111.7</v>
      </c>
      <c r="F23007" s="5">
        <v>0</v>
      </c>
      <c r="G23007" s="5">
        <v>0</v>
      </c>
      <c r="H23007" s="5">
        <v>0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111.6</v>
      </c>
      <c r="D23008" s="5">
        <v>0.1</v>
      </c>
      <c r="E23008" s="5">
        <v>111.7</v>
      </c>
      <c r="F23008" s="5">
        <v>0</v>
      </c>
      <c r="G23008" s="5">
        <v>0</v>
      </c>
      <c r="H23008" s="5">
        <v>0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111.6</v>
      </c>
      <c r="D23009" s="5">
        <v>0.1</v>
      </c>
      <c r="E23009" s="5">
        <v>111.7</v>
      </c>
      <c r="F23009" s="5">
        <v>0</v>
      </c>
      <c r="G23009" s="5">
        <v>0</v>
      </c>
      <c r="H23009" s="5">
        <v>0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111.6</v>
      </c>
      <c r="D23010" s="5">
        <v>0.1</v>
      </c>
      <c r="E23010" s="5">
        <v>111.7</v>
      </c>
      <c r="F23010" s="5">
        <v>0</v>
      </c>
      <c r="G23010" s="5">
        <v>0</v>
      </c>
      <c r="H23010" s="5">
        <v>0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111.6</v>
      </c>
      <c r="D23011" s="5">
        <v>0.1</v>
      </c>
      <c r="E23011" s="5">
        <v>111.7</v>
      </c>
      <c r="F23011" s="5">
        <v>0</v>
      </c>
      <c r="G23011" s="5">
        <v>0</v>
      </c>
      <c r="H23011" s="5">
        <v>0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111.6</v>
      </c>
      <c r="D23012" s="5">
        <v>0.1</v>
      </c>
      <c r="E23012" s="5">
        <v>111.7</v>
      </c>
      <c r="F23012" s="5">
        <v>0</v>
      </c>
      <c r="G23012" s="5">
        <v>0</v>
      </c>
      <c r="H23012" s="5">
        <v>0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111.4</v>
      </c>
      <c r="D23013" s="5">
        <v>0.1</v>
      </c>
      <c r="E23013" s="5">
        <v>111.6</v>
      </c>
      <c r="F23013" s="5">
        <v>0</v>
      </c>
      <c r="G23013" s="5">
        <v>0</v>
      </c>
      <c r="H23013" s="5">
        <v>0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111.4</v>
      </c>
      <c r="D23014" s="5">
        <v>0.1</v>
      </c>
      <c r="E23014" s="5">
        <v>111.6</v>
      </c>
      <c r="F23014" s="5">
        <v>0</v>
      </c>
      <c r="G23014" s="5">
        <v>0</v>
      </c>
      <c r="H23014" s="5">
        <v>0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111.6</v>
      </c>
      <c r="D23015" s="5">
        <v>0.1</v>
      </c>
      <c r="E23015" s="5">
        <v>111.8</v>
      </c>
      <c r="F23015" s="5">
        <v>0</v>
      </c>
      <c r="G23015" s="5">
        <v>0</v>
      </c>
      <c r="H23015" s="5">
        <v>0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111.6</v>
      </c>
      <c r="D23016" s="5">
        <v>0.1</v>
      </c>
      <c r="E23016" s="5">
        <v>111.8</v>
      </c>
      <c r="F23016" s="5">
        <v>0</v>
      </c>
      <c r="G23016" s="5">
        <v>0</v>
      </c>
      <c r="H23016" s="5">
        <v>0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111</v>
      </c>
      <c r="D23017" s="5">
        <v>0.1</v>
      </c>
      <c r="E23017" s="5">
        <v>111.8</v>
      </c>
      <c r="F23017" s="5">
        <v>0</v>
      </c>
      <c r="G23017" s="5">
        <v>0</v>
      </c>
      <c r="H23017" s="5">
        <v>0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111</v>
      </c>
      <c r="D23018" s="5">
        <v>0.1</v>
      </c>
      <c r="E23018" s="5">
        <v>111.1</v>
      </c>
      <c r="F23018" s="5">
        <v>0</v>
      </c>
      <c r="G23018" s="5">
        <v>0</v>
      </c>
      <c r="H23018" s="5">
        <v>0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111</v>
      </c>
      <c r="D23019" s="5">
        <v>0.1</v>
      </c>
      <c r="E23019" s="5">
        <v>111.1</v>
      </c>
      <c r="F23019" s="5">
        <v>0</v>
      </c>
      <c r="G23019" s="5">
        <v>0</v>
      </c>
      <c r="H23019" s="5">
        <v>0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111.1</v>
      </c>
      <c r="D23020" s="5">
        <v>0.1</v>
      </c>
      <c r="E23020" s="5">
        <v>111.3</v>
      </c>
      <c r="F23020" s="5">
        <v>0</v>
      </c>
      <c r="G23020" s="5">
        <v>0</v>
      </c>
      <c r="H23020" s="5">
        <v>0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111.1</v>
      </c>
      <c r="D23021" s="5">
        <v>0.1</v>
      </c>
      <c r="E23021" s="5">
        <v>111.3</v>
      </c>
      <c r="F23021" s="5">
        <v>0</v>
      </c>
      <c r="G23021" s="5">
        <v>0</v>
      </c>
      <c r="H23021" s="5">
        <v>0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111.1</v>
      </c>
      <c r="D23022" s="5">
        <v>0.1</v>
      </c>
      <c r="E23022" s="5">
        <v>111.3</v>
      </c>
      <c r="F23022" s="5">
        <v>0</v>
      </c>
      <c r="G23022" s="5">
        <v>0</v>
      </c>
      <c r="H23022" s="5">
        <v>0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111.1</v>
      </c>
      <c r="D23023" s="5">
        <v>0.1</v>
      </c>
      <c r="E23023" s="5">
        <v>112</v>
      </c>
      <c r="F23023" s="5">
        <v>0</v>
      </c>
      <c r="G23023" s="5">
        <v>0</v>
      </c>
      <c r="H23023" s="5">
        <v>0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111.9</v>
      </c>
      <c r="D23024" s="5">
        <v>0.1</v>
      </c>
      <c r="E23024" s="5">
        <v>112</v>
      </c>
      <c r="F23024" s="5">
        <v>0</v>
      </c>
      <c r="G23024" s="5">
        <v>0</v>
      </c>
      <c r="H23024" s="5">
        <v>0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111.9</v>
      </c>
      <c r="D23025" s="5">
        <v>0.1</v>
      </c>
      <c r="E23025" s="5">
        <v>111.6</v>
      </c>
      <c r="F23025" s="5">
        <v>0</v>
      </c>
      <c r="G23025" s="5">
        <v>0</v>
      </c>
      <c r="H23025" s="5">
        <v>0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111.4</v>
      </c>
      <c r="D23026" s="5">
        <v>0.1</v>
      </c>
      <c r="E23026" s="5">
        <v>111.6</v>
      </c>
      <c r="F23026" s="5">
        <v>0</v>
      </c>
      <c r="G23026" s="5">
        <v>0</v>
      </c>
      <c r="H23026" s="5">
        <v>0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111.4</v>
      </c>
      <c r="D23027" s="5">
        <v>0.1</v>
      </c>
      <c r="E23027" s="5">
        <v>111.6</v>
      </c>
      <c r="F23027" s="5">
        <v>0</v>
      </c>
      <c r="G23027" s="5">
        <v>0</v>
      </c>
      <c r="H23027" s="5">
        <v>0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111.7</v>
      </c>
      <c r="D23028" s="5">
        <v>0.1</v>
      </c>
      <c r="E23028" s="5">
        <v>111.9</v>
      </c>
      <c r="F23028" s="5">
        <v>0</v>
      </c>
      <c r="G23028" s="5">
        <v>0</v>
      </c>
      <c r="H23028" s="5">
        <v>0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111.7</v>
      </c>
      <c r="D23029" s="5">
        <v>0.1</v>
      </c>
      <c r="E23029" s="5">
        <v>111.9</v>
      </c>
      <c r="F23029" s="5">
        <v>0</v>
      </c>
      <c r="G23029" s="5">
        <v>0</v>
      </c>
      <c r="H23029" s="5">
        <v>0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111</v>
      </c>
      <c r="D23030" s="5">
        <v>0.1</v>
      </c>
      <c r="E23030" s="5">
        <v>111.1</v>
      </c>
      <c r="F23030" s="5">
        <v>0</v>
      </c>
      <c r="G23030" s="5">
        <v>0</v>
      </c>
      <c r="H23030" s="5">
        <v>0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111</v>
      </c>
      <c r="D23031" s="5">
        <v>0.1</v>
      </c>
      <c r="E23031" s="5">
        <v>111.1</v>
      </c>
      <c r="F23031" s="5">
        <v>0</v>
      </c>
      <c r="G23031" s="5">
        <v>0</v>
      </c>
      <c r="H23031" s="5">
        <v>0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111.1</v>
      </c>
      <c r="D23032" s="5">
        <v>0.1</v>
      </c>
      <c r="E23032" s="5">
        <v>111.3</v>
      </c>
      <c r="F23032" s="5">
        <v>0</v>
      </c>
      <c r="G23032" s="5">
        <v>0</v>
      </c>
      <c r="H23032" s="5">
        <v>0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111.1</v>
      </c>
      <c r="D23033" s="5">
        <v>0.1</v>
      </c>
      <c r="E23033" s="5">
        <v>111.3</v>
      </c>
      <c r="F23033" s="5">
        <v>0</v>
      </c>
      <c r="G23033" s="5">
        <v>0</v>
      </c>
      <c r="H23033" s="5">
        <v>0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111</v>
      </c>
      <c r="D23034" s="5">
        <v>0.1</v>
      </c>
      <c r="E23034" s="5">
        <v>111.2</v>
      </c>
      <c r="F23034" s="5">
        <v>0</v>
      </c>
      <c r="G23034" s="5">
        <v>0</v>
      </c>
      <c r="H23034" s="5">
        <v>0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111</v>
      </c>
      <c r="D23035" s="5">
        <v>0.1</v>
      </c>
      <c r="E23035" s="5">
        <v>111.2</v>
      </c>
      <c r="F23035" s="5">
        <v>0</v>
      </c>
      <c r="G23035" s="5">
        <v>0</v>
      </c>
      <c r="H23035" s="5">
        <v>0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111</v>
      </c>
      <c r="D23036" s="5">
        <v>0.1</v>
      </c>
      <c r="E23036" s="5">
        <v>111.2</v>
      </c>
      <c r="F23036" s="5">
        <v>0</v>
      </c>
      <c r="G23036" s="5">
        <v>0</v>
      </c>
      <c r="H23036" s="5">
        <v>0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111</v>
      </c>
      <c r="D23037" s="5">
        <v>0.1</v>
      </c>
      <c r="E23037" s="5">
        <v>111.2</v>
      </c>
      <c r="F23037" s="5">
        <v>0</v>
      </c>
      <c r="G23037" s="5">
        <v>0</v>
      </c>
      <c r="H23037" s="5">
        <v>0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111.3</v>
      </c>
      <c r="D23038" s="5">
        <v>0.1</v>
      </c>
      <c r="E23038" s="5">
        <v>111.4</v>
      </c>
      <c r="F23038" s="5">
        <v>0</v>
      </c>
      <c r="G23038" s="5">
        <v>0</v>
      </c>
      <c r="H23038" s="5">
        <v>0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111.3</v>
      </c>
      <c r="D23039" s="5">
        <v>0.1</v>
      </c>
      <c r="E23039" s="5">
        <v>111.4</v>
      </c>
      <c r="F23039" s="5">
        <v>0</v>
      </c>
      <c r="G23039" s="5">
        <v>0</v>
      </c>
      <c r="H23039" s="5">
        <v>0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111.7</v>
      </c>
      <c r="D23040" s="5">
        <v>0.1</v>
      </c>
      <c r="E23040" s="5">
        <v>111.9</v>
      </c>
      <c r="F23040" s="5">
        <v>0</v>
      </c>
      <c r="G23040" s="5">
        <v>0</v>
      </c>
      <c r="H23040" s="5">
        <v>0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111.7</v>
      </c>
      <c r="D23041" s="5">
        <v>0.1</v>
      </c>
      <c r="E23041" s="5">
        <v>111.9</v>
      </c>
      <c r="F23041" s="5">
        <v>0</v>
      </c>
      <c r="G23041" s="5">
        <v>0</v>
      </c>
      <c r="H23041" s="5">
        <v>0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111.7</v>
      </c>
      <c r="D23042" s="5">
        <v>0.1</v>
      </c>
      <c r="E23042" s="5">
        <v>111.9</v>
      </c>
      <c r="F23042" s="5">
        <v>0</v>
      </c>
      <c r="G23042" s="5">
        <v>0</v>
      </c>
      <c r="H23042" s="5">
        <v>0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111.7</v>
      </c>
      <c r="D23043" s="5">
        <v>0.1</v>
      </c>
      <c r="E23043" s="5">
        <v>111.9</v>
      </c>
      <c r="F23043" s="5">
        <v>0</v>
      </c>
      <c r="G23043" s="5">
        <v>0</v>
      </c>
      <c r="H23043" s="5">
        <v>0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112</v>
      </c>
      <c r="D23044" s="5">
        <v>0.1</v>
      </c>
      <c r="E23044" s="5">
        <v>112.1</v>
      </c>
      <c r="F23044" s="5">
        <v>0</v>
      </c>
      <c r="G23044" s="5">
        <v>0</v>
      </c>
      <c r="H23044" s="5">
        <v>0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112</v>
      </c>
      <c r="D23045" s="5">
        <v>0.1</v>
      </c>
      <c r="E23045" s="5">
        <v>112.1</v>
      </c>
      <c r="F23045" s="5">
        <v>0</v>
      </c>
      <c r="G23045" s="5">
        <v>0</v>
      </c>
      <c r="H23045" s="5">
        <v>0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112</v>
      </c>
      <c r="D23046" s="5">
        <v>0.1</v>
      </c>
      <c r="E23046" s="5">
        <v>112.1</v>
      </c>
      <c r="F23046" s="5">
        <v>0</v>
      </c>
      <c r="G23046" s="5">
        <v>0</v>
      </c>
      <c r="H23046" s="5">
        <v>0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112</v>
      </c>
      <c r="D23047" s="5">
        <v>0.1</v>
      </c>
      <c r="E23047" s="5">
        <v>112.1</v>
      </c>
      <c r="F23047" s="5">
        <v>0</v>
      </c>
      <c r="G23047" s="5">
        <v>0</v>
      </c>
      <c r="H23047" s="5">
        <v>0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111.5</v>
      </c>
      <c r="D23048" s="5">
        <v>0.1</v>
      </c>
      <c r="E23048" s="5">
        <v>111.6</v>
      </c>
      <c r="F23048" s="5">
        <v>0</v>
      </c>
      <c r="G23048" s="5">
        <v>0</v>
      </c>
      <c r="H23048" s="5">
        <v>0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111.5</v>
      </c>
      <c r="D23049" s="5">
        <v>0.1</v>
      </c>
      <c r="E23049" s="5">
        <v>111.6</v>
      </c>
      <c r="F23049" s="5">
        <v>0</v>
      </c>
      <c r="G23049" s="5">
        <v>0</v>
      </c>
      <c r="H23049" s="5">
        <v>0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111.1</v>
      </c>
      <c r="D23050" s="5">
        <v>0.1</v>
      </c>
      <c r="E23050" s="5">
        <v>111.3</v>
      </c>
      <c r="F23050" s="5">
        <v>0</v>
      </c>
      <c r="G23050" s="5">
        <v>0</v>
      </c>
      <c r="H23050" s="5">
        <v>0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111.1</v>
      </c>
      <c r="D23051" s="5">
        <v>0.1</v>
      </c>
      <c r="E23051" s="5">
        <v>111.3</v>
      </c>
      <c r="F23051" s="5">
        <v>0</v>
      </c>
      <c r="G23051" s="5">
        <v>0</v>
      </c>
      <c r="H23051" s="5">
        <v>0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109.3</v>
      </c>
      <c r="D23052" s="5">
        <v>0.1</v>
      </c>
      <c r="E23052" s="5">
        <v>109.4</v>
      </c>
      <c r="F23052" s="5">
        <v>0</v>
      </c>
      <c r="G23052" s="5">
        <v>0</v>
      </c>
      <c r="H23052" s="5">
        <v>0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109.3</v>
      </c>
      <c r="D23053" s="5">
        <v>0.1</v>
      </c>
      <c r="E23053" s="5">
        <v>109.4</v>
      </c>
      <c r="F23053" s="5">
        <v>0</v>
      </c>
      <c r="G23053" s="5">
        <v>0</v>
      </c>
      <c r="H23053" s="5">
        <v>0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111.3</v>
      </c>
      <c r="D23054" s="5">
        <v>0.1</v>
      </c>
      <c r="E23054" s="5">
        <v>111.5</v>
      </c>
      <c r="F23054" s="5">
        <v>0</v>
      </c>
      <c r="G23054" s="5">
        <v>0</v>
      </c>
      <c r="H23054" s="5">
        <v>0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111.3</v>
      </c>
      <c r="D23055" s="5">
        <v>0.1</v>
      </c>
      <c r="E23055" s="5">
        <v>111.5</v>
      </c>
      <c r="F23055" s="5">
        <v>0</v>
      </c>
      <c r="G23055" s="5">
        <v>0</v>
      </c>
      <c r="H23055" s="5">
        <v>0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111.3</v>
      </c>
      <c r="D23056" s="5">
        <v>0.1</v>
      </c>
      <c r="E23056" s="5">
        <v>111.5</v>
      </c>
      <c r="F23056" s="5">
        <v>0</v>
      </c>
      <c r="G23056" s="5">
        <v>0</v>
      </c>
      <c r="H23056" s="5">
        <v>0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111.3</v>
      </c>
      <c r="D23057" s="5">
        <v>0.1</v>
      </c>
      <c r="E23057" s="5">
        <v>111.5</v>
      </c>
      <c r="F23057" s="5">
        <v>0</v>
      </c>
      <c r="G23057" s="5">
        <v>0</v>
      </c>
      <c r="H23057" s="5">
        <v>0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110.7</v>
      </c>
      <c r="D23058" s="5">
        <v>0.1</v>
      </c>
      <c r="E23058" s="5">
        <v>110.9</v>
      </c>
      <c r="F23058" s="5">
        <v>0</v>
      </c>
      <c r="G23058" s="5">
        <v>0</v>
      </c>
      <c r="H23058" s="5">
        <v>0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110.7</v>
      </c>
      <c r="D23059" s="5">
        <v>0.1</v>
      </c>
      <c r="E23059" s="5">
        <v>110.9</v>
      </c>
      <c r="F23059" s="5">
        <v>0</v>
      </c>
      <c r="G23059" s="5">
        <v>0</v>
      </c>
      <c r="H23059" s="5">
        <v>0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111</v>
      </c>
      <c r="D23060" s="5">
        <v>0.1</v>
      </c>
      <c r="E23060" s="5">
        <v>111.2</v>
      </c>
      <c r="F23060" s="5">
        <v>0</v>
      </c>
      <c r="G23060" s="5">
        <v>0</v>
      </c>
      <c r="H23060" s="5">
        <v>0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111</v>
      </c>
      <c r="D23061" s="5">
        <v>0.1</v>
      </c>
      <c r="E23061" s="5">
        <v>111.2</v>
      </c>
      <c r="F23061" s="5">
        <v>0</v>
      </c>
      <c r="G23061" s="5">
        <v>0</v>
      </c>
      <c r="H23061" s="5">
        <v>0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110.7</v>
      </c>
      <c r="D23062" s="5">
        <v>0.1</v>
      </c>
      <c r="E23062" s="5">
        <v>110.9</v>
      </c>
      <c r="F23062" s="5">
        <v>0</v>
      </c>
      <c r="G23062" s="5">
        <v>0</v>
      </c>
      <c r="H23062" s="5">
        <v>0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110.7</v>
      </c>
      <c r="D23063" s="5">
        <v>0.1</v>
      </c>
      <c r="E23063" s="5">
        <v>110.9</v>
      </c>
      <c r="F23063" s="5">
        <v>0</v>
      </c>
      <c r="G23063" s="5">
        <v>0</v>
      </c>
      <c r="H23063" s="5">
        <v>0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109.8</v>
      </c>
      <c r="D23064" s="5">
        <v>0.1</v>
      </c>
      <c r="E23064" s="5">
        <v>110</v>
      </c>
      <c r="F23064" s="5">
        <v>0</v>
      </c>
      <c r="G23064" s="5">
        <v>0</v>
      </c>
      <c r="H23064" s="5">
        <v>0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109.8</v>
      </c>
      <c r="D23065" s="5">
        <v>0.1</v>
      </c>
      <c r="E23065" s="5">
        <v>110</v>
      </c>
      <c r="F23065" s="5">
        <v>0</v>
      </c>
      <c r="G23065" s="5">
        <v>0</v>
      </c>
      <c r="H23065" s="5">
        <v>0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109.8</v>
      </c>
      <c r="D23066" s="5">
        <v>0.1</v>
      </c>
      <c r="E23066" s="5">
        <v>110</v>
      </c>
      <c r="F23066" s="5">
        <v>0</v>
      </c>
      <c r="G23066" s="5">
        <v>0</v>
      </c>
      <c r="H23066" s="5">
        <v>0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109.8</v>
      </c>
      <c r="D23067" s="5">
        <v>0.1</v>
      </c>
      <c r="E23067" s="5">
        <v>110</v>
      </c>
      <c r="F23067" s="5">
        <v>0</v>
      </c>
      <c r="G23067" s="5">
        <v>0</v>
      </c>
      <c r="H23067" s="5">
        <v>0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109.4</v>
      </c>
      <c r="D23068" s="5">
        <v>0.1</v>
      </c>
      <c r="E23068" s="5">
        <v>109.5</v>
      </c>
      <c r="F23068" s="5">
        <v>0</v>
      </c>
      <c r="G23068" s="5">
        <v>0</v>
      </c>
      <c r="H23068" s="5">
        <v>0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109.4</v>
      </c>
      <c r="D23069" s="5">
        <v>0.1</v>
      </c>
      <c r="E23069" s="5">
        <v>109.5</v>
      </c>
      <c r="F23069" s="5">
        <v>0</v>
      </c>
      <c r="G23069" s="5">
        <v>0</v>
      </c>
      <c r="H23069" s="5">
        <v>0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109.2</v>
      </c>
      <c r="D23070" s="5">
        <v>0.1</v>
      </c>
      <c r="E23070" s="5">
        <v>109.4</v>
      </c>
      <c r="F23070" s="5">
        <v>0</v>
      </c>
      <c r="G23070" s="5">
        <v>0</v>
      </c>
      <c r="H23070" s="5">
        <v>0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109.2</v>
      </c>
      <c r="D23071" s="5">
        <v>0.1</v>
      </c>
      <c r="E23071" s="5">
        <v>109.4</v>
      </c>
      <c r="F23071" s="5">
        <v>0</v>
      </c>
      <c r="G23071" s="5">
        <v>0</v>
      </c>
      <c r="H23071" s="5">
        <v>0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108.5</v>
      </c>
      <c r="D23072" s="5">
        <v>0.1</v>
      </c>
      <c r="E23072" s="5">
        <v>108.7</v>
      </c>
      <c r="F23072" s="5">
        <v>0</v>
      </c>
      <c r="G23072" s="5">
        <v>0</v>
      </c>
      <c r="H23072" s="5">
        <v>0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108.5</v>
      </c>
      <c r="D23073" s="5">
        <v>0.1</v>
      </c>
      <c r="E23073" s="5">
        <v>108.7</v>
      </c>
      <c r="F23073" s="5">
        <v>0</v>
      </c>
      <c r="G23073" s="5">
        <v>0</v>
      </c>
      <c r="H23073" s="5">
        <v>0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110.3</v>
      </c>
      <c r="D23074" s="5">
        <v>0.1</v>
      </c>
      <c r="E23074" s="5">
        <v>110.5</v>
      </c>
      <c r="F23074" s="5">
        <v>0</v>
      </c>
      <c r="G23074" s="5">
        <v>0</v>
      </c>
      <c r="H23074" s="5">
        <v>0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110.3</v>
      </c>
      <c r="D23075" s="5">
        <v>0.1</v>
      </c>
      <c r="E23075" s="5">
        <v>110.5</v>
      </c>
      <c r="F23075" s="5">
        <v>0</v>
      </c>
      <c r="G23075" s="5">
        <v>0</v>
      </c>
      <c r="H23075" s="5">
        <v>0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110.3</v>
      </c>
      <c r="D23076" s="5">
        <v>0.1</v>
      </c>
      <c r="E23076" s="5">
        <v>110.5</v>
      </c>
      <c r="F23076" s="5">
        <v>0</v>
      </c>
      <c r="G23076" s="5">
        <v>0</v>
      </c>
      <c r="H23076" s="5">
        <v>0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110.3</v>
      </c>
      <c r="D23077" s="5">
        <v>0.1</v>
      </c>
      <c r="E23077" s="5">
        <v>110.5</v>
      </c>
      <c r="F23077" s="5">
        <v>0</v>
      </c>
      <c r="G23077" s="5">
        <v>0</v>
      </c>
      <c r="H23077" s="5">
        <v>0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109.6</v>
      </c>
      <c r="D23078" s="5">
        <v>0.1</v>
      </c>
      <c r="E23078" s="5">
        <v>109.7</v>
      </c>
      <c r="F23078" s="5">
        <v>0</v>
      </c>
      <c r="G23078" s="5">
        <v>0</v>
      </c>
      <c r="H23078" s="5">
        <v>0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109.6</v>
      </c>
      <c r="D23079" s="5">
        <v>0.1</v>
      </c>
      <c r="E23079" s="5">
        <v>109.7</v>
      </c>
      <c r="F23079" s="5">
        <v>0</v>
      </c>
      <c r="G23079" s="5">
        <v>0</v>
      </c>
      <c r="H23079" s="5">
        <v>0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111</v>
      </c>
      <c r="D23080" s="5">
        <v>0.1</v>
      </c>
      <c r="E23080" s="5">
        <v>111.2</v>
      </c>
      <c r="F23080" s="5">
        <v>0</v>
      </c>
      <c r="G23080" s="5">
        <v>0</v>
      </c>
      <c r="H23080" s="5">
        <v>0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111</v>
      </c>
      <c r="D23081" s="5">
        <v>0.1</v>
      </c>
      <c r="E23081" s="5">
        <v>111.2</v>
      </c>
      <c r="F23081" s="5">
        <v>0</v>
      </c>
      <c r="G23081" s="5">
        <v>0</v>
      </c>
      <c r="H23081" s="5">
        <v>0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109.5</v>
      </c>
      <c r="D23082" s="5">
        <v>0.1</v>
      </c>
      <c r="E23082" s="5">
        <v>109.7</v>
      </c>
      <c r="F23082" s="5">
        <v>0</v>
      </c>
      <c r="G23082" s="5">
        <v>0</v>
      </c>
      <c r="H23082" s="5">
        <v>0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109.5</v>
      </c>
      <c r="D23083" s="5">
        <v>0.1</v>
      </c>
      <c r="E23083" s="5">
        <v>109.7</v>
      </c>
      <c r="F23083" s="5">
        <v>0</v>
      </c>
      <c r="G23083" s="5">
        <v>0</v>
      </c>
      <c r="H23083" s="5">
        <v>0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110.1</v>
      </c>
      <c r="D23084" s="5">
        <v>0.1</v>
      </c>
      <c r="E23084" s="5">
        <v>110.2</v>
      </c>
      <c r="F23084" s="5">
        <v>0</v>
      </c>
      <c r="G23084" s="5">
        <v>0</v>
      </c>
      <c r="H23084" s="5">
        <v>0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110.1</v>
      </c>
      <c r="D23085" s="5">
        <v>0.1</v>
      </c>
      <c r="E23085" s="5">
        <v>110.2</v>
      </c>
      <c r="F23085" s="5">
        <v>0</v>
      </c>
      <c r="G23085" s="5">
        <v>0</v>
      </c>
      <c r="H23085" s="5">
        <v>0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110.1</v>
      </c>
      <c r="D23086" s="5">
        <v>0.1</v>
      </c>
      <c r="E23086" s="5">
        <v>110.2</v>
      </c>
      <c r="F23086" s="5">
        <v>0</v>
      </c>
      <c r="G23086" s="5">
        <v>0</v>
      </c>
      <c r="H23086" s="5">
        <v>0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110.1</v>
      </c>
      <c r="D23087" s="5">
        <v>0.1</v>
      </c>
      <c r="E23087" s="5">
        <v>110.2</v>
      </c>
      <c r="F23087" s="5">
        <v>0</v>
      </c>
      <c r="G23087" s="5">
        <v>0</v>
      </c>
      <c r="H23087" s="5">
        <v>0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110.2</v>
      </c>
      <c r="D23088" s="5">
        <v>0.1</v>
      </c>
      <c r="E23088" s="5">
        <v>110.4</v>
      </c>
      <c r="F23088" s="5">
        <v>0</v>
      </c>
      <c r="G23088" s="5">
        <v>0</v>
      </c>
      <c r="H23088" s="5">
        <v>0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110.2</v>
      </c>
      <c r="D23089" s="5">
        <v>0.1</v>
      </c>
      <c r="E23089" s="5">
        <v>110.4</v>
      </c>
      <c r="F23089" s="5">
        <v>0</v>
      </c>
      <c r="G23089" s="5">
        <v>0</v>
      </c>
      <c r="H23089" s="5">
        <v>0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109.9</v>
      </c>
      <c r="D23090" s="5">
        <v>0.1</v>
      </c>
      <c r="E23090" s="5">
        <v>110.1</v>
      </c>
      <c r="F23090" s="5">
        <v>0</v>
      </c>
      <c r="G23090" s="5">
        <v>0</v>
      </c>
      <c r="H23090" s="5">
        <v>0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109.9</v>
      </c>
      <c r="D23091" s="5">
        <v>0.1</v>
      </c>
      <c r="E23091" s="5">
        <v>110.1</v>
      </c>
      <c r="F23091" s="5">
        <v>0</v>
      </c>
      <c r="G23091" s="5">
        <v>0</v>
      </c>
      <c r="H23091" s="5">
        <v>0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111.6</v>
      </c>
      <c r="D23092" s="5">
        <v>0.1</v>
      </c>
      <c r="E23092" s="5">
        <v>111.7</v>
      </c>
      <c r="F23092" s="5">
        <v>0</v>
      </c>
      <c r="G23092" s="5">
        <v>0</v>
      </c>
      <c r="H23092" s="5">
        <v>0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111.6</v>
      </c>
      <c r="D23093" s="5">
        <v>0.1</v>
      </c>
      <c r="E23093" s="5">
        <v>111.7</v>
      </c>
      <c r="F23093" s="5">
        <v>0</v>
      </c>
      <c r="G23093" s="5">
        <v>0</v>
      </c>
      <c r="H23093" s="5">
        <v>0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110.6</v>
      </c>
      <c r="D23094" s="5">
        <v>0.1</v>
      </c>
      <c r="E23094" s="5">
        <v>110.7</v>
      </c>
      <c r="F23094" s="5">
        <v>0</v>
      </c>
      <c r="G23094" s="5">
        <v>0</v>
      </c>
      <c r="H23094" s="5">
        <v>0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110.6</v>
      </c>
      <c r="D23095" s="5">
        <v>0.1</v>
      </c>
      <c r="E23095" s="5">
        <v>110.7</v>
      </c>
      <c r="F23095" s="5">
        <v>0</v>
      </c>
      <c r="G23095" s="5">
        <v>0</v>
      </c>
      <c r="H23095" s="5">
        <v>0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110.6</v>
      </c>
      <c r="D23096" s="5">
        <v>0.1</v>
      </c>
      <c r="E23096" s="5">
        <v>110.7</v>
      </c>
      <c r="F23096" s="5">
        <v>0</v>
      </c>
      <c r="G23096" s="5">
        <v>0</v>
      </c>
      <c r="H23096" s="5">
        <v>0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110.6</v>
      </c>
      <c r="D23097" s="5">
        <v>0.1</v>
      </c>
      <c r="E23097" s="5">
        <v>111.2</v>
      </c>
      <c r="F23097" s="5">
        <v>0</v>
      </c>
      <c r="G23097" s="5">
        <v>0</v>
      </c>
      <c r="H23097" s="5">
        <v>0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111</v>
      </c>
      <c r="D23098" s="5">
        <v>0.1</v>
      </c>
      <c r="E23098" s="5">
        <v>111.2</v>
      </c>
      <c r="F23098" s="5">
        <v>0</v>
      </c>
      <c r="G23098" s="5">
        <v>0</v>
      </c>
      <c r="H23098" s="5">
        <v>0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111</v>
      </c>
      <c r="D23099" s="5">
        <v>0.1</v>
      </c>
      <c r="E23099" s="5">
        <v>111.2</v>
      </c>
      <c r="F23099" s="5">
        <v>0</v>
      </c>
      <c r="G23099" s="5">
        <v>0</v>
      </c>
      <c r="H23099" s="5">
        <v>0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111</v>
      </c>
      <c r="D23100" s="5">
        <v>0.1</v>
      </c>
      <c r="E23100" s="5">
        <v>111.2</v>
      </c>
      <c r="F23100" s="5">
        <v>0</v>
      </c>
      <c r="G23100" s="5">
        <v>0</v>
      </c>
      <c r="H23100" s="5">
        <v>0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111</v>
      </c>
      <c r="D23101" s="5">
        <v>0.1</v>
      </c>
      <c r="E23101" s="5">
        <v>111.2</v>
      </c>
      <c r="F23101" s="5">
        <v>0</v>
      </c>
      <c r="G23101" s="5">
        <v>0</v>
      </c>
      <c r="H23101" s="5">
        <v>0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111.4</v>
      </c>
      <c r="D23102" s="5">
        <v>0.1</v>
      </c>
      <c r="E23102" s="5">
        <v>111.6</v>
      </c>
      <c r="F23102" s="5">
        <v>0</v>
      </c>
      <c r="G23102" s="5">
        <v>0</v>
      </c>
      <c r="H23102" s="5">
        <v>0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111.4</v>
      </c>
      <c r="D23103" s="5">
        <v>0.1</v>
      </c>
      <c r="E23103" s="5">
        <v>111.6</v>
      </c>
      <c r="F23103" s="5">
        <v>0</v>
      </c>
      <c r="G23103" s="5">
        <v>0</v>
      </c>
      <c r="H23103" s="5">
        <v>0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111.7</v>
      </c>
      <c r="D23104" s="5">
        <v>0.1</v>
      </c>
      <c r="E23104" s="5">
        <v>111.9</v>
      </c>
      <c r="F23104" s="5">
        <v>0</v>
      </c>
      <c r="G23104" s="5">
        <v>0</v>
      </c>
      <c r="H23104" s="5">
        <v>0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111.7</v>
      </c>
      <c r="D23105" s="5">
        <v>0.1</v>
      </c>
      <c r="E23105" s="5">
        <v>111.9</v>
      </c>
      <c r="F23105" s="5">
        <v>0</v>
      </c>
      <c r="G23105" s="5">
        <v>0</v>
      </c>
      <c r="H23105" s="5">
        <v>0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111.7</v>
      </c>
      <c r="D23106" s="5">
        <v>0.1</v>
      </c>
      <c r="E23106" s="5">
        <v>111.9</v>
      </c>
      <c r="F23106" s="5">
        <v>0</v>
      </c>
      <c r="G23106" s="5">
        <v>0</v>
      </c>
      <c r="H23106" s="5">
        <v>0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111.7</v>
      </c>
      <c r="D23107" s="5">
        <v>0.1</v>
      </c>
      <c r="E23107" s="5">
        <v>111.9</v>
      </c>
      <c r="F23107" s="5">
        <v>0</v>
      </c>
      <c r="G23107" s="5">
        <v>0</v>
      </c>
      <c r="H23107" s="5">
        <v>0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111.3</v>
      </c>
      <c r="D23108" s="5">
        <v>0.1</v>
      </c>
      <c r="E23108" s="5">
        <v>111.5</v>
      </c>
      <c r="F23108" s="5">
        <v>0</v>
      </c>
      <c r="G23108" s="5">
        <v>0</v>
      </c>
      <c r="H23108" s="5">
        <v>0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111.3</v>
      </c>
      <c r="D23109" s="5">
        <v>0.1</v>
      </c>
      <c r="E23109" s="5">
        <v>111.5</v>
      </c>
      <c r="F23109" s="5">
        <v>0</v>
      </c>
      <c r="G23109" s="5">
        <v>0</v>
      </c>
      <c r="H23109" s="5">
        <v>0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111.4</v>
      </c>
      <c r="D23110" s="5">
        <v>0.1</v>
      </c>
      <c r="E23110" s="5">
        <v>111.6</v>
      </c>
      <c r="F23110" s="5">
        <v>0</v>
      </c>
      <c r="G23110" s="5">
        <v>0</v>
      </c>
      <c r="H23110" s="5">
        <v>0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111.4</v>
      </c>
      <c r="D23111" s="5">
        <v>0.1</v>
      </c>
      <c r="E23111" s="5">
        <v>111.6</v>
      </c>
      <c r="F23111" s="5">
        <v>0</v>
      </c>
      <c r="G23111" s="5">
        <v>0</v>
      </c>
      <c r="H23111" s="5">
        <v>0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111.6</v>
      </c>
      <c r="D23112" s="5">
        <v>0.1</v>
      </c>
      <c r="E23112" s="5">
        <v>111.7</v>
      </c>
      <c r="F23112" s="5">
        <v>0</v>
      </c>
      <c r="G23112" s="5">
        <v>0</v>
      </c>
      <c r="H23112" s="5">
        <v>0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111.6</v>
      </c>
      <c r="D23113" s="5">
        <v>0.1</v>
      </c>
      <c r="E23113" s="5">
        <v>111.7</v>
      </c>
      <c r="F23113" s="5">
        <v>0</v>
      </c>
      <c r="G23113" s="5">
        <v>0</v>
      </c>
      <c r="H23113" s="5">
        <v>0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111.6</v>
      </c>
      <c r="D23114" s="5">
        <v>0.1</v>
      </c>
      <c r="E23114" s="5">
        <v>111.8</v>
      </c>
      <c r="F23114" s="5">
        <v>0</v>
      </c>
      <c r="G23114" s="5">
        <v>0</v>
      </c>
      <c r="H23114" s="5">
        <v>0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111.6</v>
      </c>
      <c r="D23115" s="5">
        <v>0.1</v>
      </c>
      <c r="E23115" s="5">
        <v>111.8</v>
      </c>
      <c r="F23115" s="5">
        <v>0</v>
      </c>
      <c r="G23115" s="5">
        <v>0</v>
      </c>
      <c r="H23115" s="5">
        <v>0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111.6</v>
      </c>
      <c r="D23116" s="5">
        <v>0.1</v>
      </c>
      <c r="E23116" s="5">
        <v>111.8</v>
      </c>
      <c r="F23116" s="5">
        <v>0</v>
      </c>
      <c r="G23116" s="5">
        <v>0</v>
      </c>
      <c r="H23116" s="5">
        <v>0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111.6</v>
      </c>
      <c r="D23117" s="5">
        <v>0.1</v>
      </c>
      <c r="E23117" s="5">
        <v>111.8</v>
      </c>
      <c r="F23117" s="5">
        <v>0</v>
      </c>
      <c r="G23117" s="5">
        <v>0</v>
      </c>
      <c r="H23117" s="5">
        <v>0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110.8</v>
      </c>
      <c r="D23118" s="5">
        <v>0.1</v>
      </c>
      <c r="E23118" s="5">
        <v>111</v>
      </c>
      <c r="F23118" s="5">
        <v>0</v>
      </c>
      <c r="G23118" s="5">
        <v>0</v>
      </c>
      <c r="H23118" s="5">
        <v>0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110.8</v>
      </c>
      <c r="D23119" s="5">
        <v>0.1</v>
      </c>
      <c r="E23119" s="5">
        <v>111</v>
      </c>
      <c r="F23119" s="5">
        <v>0</v>
      </c>
      <c r="G23119" s="5">
        <v>0</v>
      </c>
      <c r="H23119" s="5">
        <v>0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110.9</v>
      </c>
      <c r="D23120" s="5">
        <v>0.1</v>
      </c>
      <c r="E23120" s="5">
        <v>111</v>
      </c>
      <c r="F23120" s="5">
        <v>0</v>
      </c>
      <c r="G23120" s="5">
        <v>0</v>
      </c>
      <c r="H23120" s="5">
        <v>0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110.9</v>
      </c>
      <c r="D23121" s="5">
        <v>0.1</v>
      </c>
      <c r="E23121" s="5">
        <v>111</v>
      </c>
      <c r="F23121" s="5">
        <v>0</v>
      </c>
      <c r="G23121" s="5">
        <v>0</v>
      </c>
      <c r="H23121" s="5">
        <v>0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111.2</v>
      </c>
      <c r="D23122" s="5">
        <v>0.1</v>
      </c>
      <c r="E23122" s="5">
        <v>111.3</v>
      </c>
      <c r="F23122" s="5">
        <v>0</v>
      </c>
      <c r="G23122" s="5">
        <v>0</v>
      </c>
      <c r="H23122" s="5">
        <v>0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111.2</v>
      </c>
      <c r="D23123" s="5">
        <v>0.1</v>
      </c>
      <c r="E23123" s="5">
        <v>111.3</v>
      </c>
      <c r="F23123" s="5">
        <v>0</v>
      </c>
      <c r="G23123" s="5">
        <v>0</v>
      </c>
      <c r="H23123" s="5">
        <v>0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110.6</v>
      </c>
      <c r="D23124" s="5">
        <v>0.1</v>
      </c>
      <c r="E23124" s="5">
        <v>110.7</v>
      </c>
      <c r="F23124" s="5">
        <v>0</v>
      </c>
      <c r="G23124" s="5">
        <v>0</v>
      </c>
      <c r="H23124" s="5">
        <v>0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110.6</v>
      </c>
      <c r="D23125" s="5">
        <v>0.1</v>
      </c>
      <c r="E23125" s="5">
        <v>110.7</v>
      </c>
      <c r="F23125" s="5">
        <v>0</v>
      </c>
      <c r="G23125" s="5">
        <v>0</v>
      </c>
      <c r="H23125" s="5">
        <v>0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110.6</v>
      </c>
      <c r="D23126" s="5">
        <v>0.1</v>
      </c>
      <c r="E23126" s="5">
        <v>110.7</v>
      </c>
      <c r="F23126" s="5">
        <v>0</v>
      </c>
      <c r="G23126" s="5">
        <v>0</v>
      </c>
      <c r="H23126" s="5">
        <v>0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110.6</v>
      </c>
      <c r="D23127" s="5">
        <v>0.1</v>
      </c>
      <c r="E23127" s="5">
        <v>110.7</v>
      </c>
      <c r="F23127" s="5">
        <v>0</v>
      </c>
      <c r="G23127" s="5">
        <v>0</v>
      </c>
      <c r="H23127" s="5">
        <v>0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111</v>
      </c>
      <c r="D23128" s="5">
        <v>0.1</v>
      </c>
      <c r="E23128" s="5">
        <v>111.1</v>
      </c>
      <c r="F23128" s="5">
        <v>0</v>
      </c>
      <c r="G23128" s="5">
        <v>0</v>
      </c>
      <c r="H23128" s="5">
        <v>0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111</v>
      </c>
      <c r="D23129" s="5">
        <v>0.1</v>
      </c>
      <c r="E23129" s="5">
        <v>111.1</v>
      </c>
      <c r="F23129" s="5">
        <v>0</v>
      </c>
      <c r="G23129" s="5">
        <v>0</v>
      </c>
      <c r="H23129" s="5">
        <v>0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111.4</v>
      </c>
      <c r="D23130" s="5">
        <v>0.1</v>
      </c>
      <c r="E23130" s="5">
        <v>111.6</v>
      </c>
      <c r="F23130" s="5">
        <v>0</v>
      </c>
      <c r="G23130" s="5">
        <v>0</v>
      </c>
      <c r="H23130" s="5">
        <v>0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111.4</v>
      </c>
      <c r="D23131" s="5">
        <v>0.1</v>
      </c>
      <c r="E23131" s="5">
        <v>111.6</v>
      </c>
      <c r="F23131" s="5">
        <v>0</v>
      </c>
      <c r="G23131" s="5">
        <v>0</v>
      </c>
      <c r="H23131" s="5">
        <v>0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111.9</v>
      </c>
      <c r="D23132" s="5">
        <v>0.1</v>
      </c>
      <c r="E23132" s="5">
        <v>112</v>
      </c>
      <c r="F23132" s="5">
        <v>0</v>
      </c>
      <c r="G23132" s="5">
        <v>0</v>
      </c>
      <c r="H23132" s="5">
        <v>0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111.9</v>
      </c>
      <c r="D23133" s="5">
        <v>0.1</v>
      </c>
      <c r="E23133" s="5">
        <v>112</v>
      </c>
      <c r="F23133" s="5">
        <v>0</v>
      </c>
      <c r="G23133" s="5">
        <v>0</v>
      </c>
      <c r="H23133" s="5">
        <v>0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111</v>
      </c>
      <c r="D23134" s="5">
        <v>0.1</v>
      </c>
      <c r="E23134" s="5">
        <v>111.1</v>
      </c>
      <c r="F23134" s="5">
        <v>0</v>
      </c>
      <c r="G23134" s="5">
        <v>0</v>
      </c>
      <c r="H23134" s="5">
        <v>0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111</v>
      </c>
      <c r="D23135" s="5">
        <v>0.1</v>
      </c>
      <c r="E23135" s="5">
        <v>111.1</v>
      </c>
      <c r="F23135" s="5">
        <v>0</v>
      </c>
      <c r="G23135" s="5">
        <v>0</v>
      </c>
      <c r="H23135" s="5">
        <v>0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111</v>
      </c>
      <c r="D23136" s="5">
        <v>0.1</v>
      </c>
      <c r="E23136" s="5">
        <v>111.1</v>
      </c>
      <c r="F23136" s="5">
        <v>0</v>
      </c>
      <c r="G23136" s="5">
        <v>0</v>
      </c>
      <c r="H23136" s="5">
        <v>0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111.2</v>
      </c>
      <c r="D23137" s="5">
        <v>0.1</v>
      </c>
      <c r="E23137" s="5">
        <v>111.3</v>
      </c>
      <c r="F23137" s="5">
        <v>0</v>
      </c>
      <c r="G23137" s="5">
        <v>0</v>
      </c>
      <c r="H23137" s="5">
        <v>0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111.2</v>
      </c>
      <c r="D23138" s="5">
        <v>0.1</v>
      </c>
      <c r="E23138" s="5">
        <v>111.3</v>
      </c>
      <c r="F23138" s="5">
        <v>0</v>
      </c>
      <c r="G23138" s="5">
        <v>0</v>
      </c>
      <c r="H23138" s="5">
        <v>0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111.7</v>
      </c>
      <c r="D23139" s="5">
        <v>0.1</v>
      </c>
      <c r="E23139" s="5">
        <v>111.9</v>
      </c>
      <c r="F23139" s="5">
        <v>0</v>
      </c>
      <c r="G23139" s="5">
        <v>0</v>
      </c>
      <c r="H23139" s="5">
        <v>0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111.7</v>
      </c>
      <c r="D23140" s="5">
        <v>0.1</v>
      </c>
      <c r="E23140" s="5">
        <v>111.9</v>
      </c>
      <c r="F23140" s="5">
        <v>0</v>
      </c>
      <c r="G23140" s="5">
        <v>0</v>
      </c>
      <c r="H23140" s="5">
        <v>0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111</v>
      </c>
      <c r="D23141" s="5">
        <v>0.1</v>
      </c>
      <c r="E23141" s="5">
        <v>111.1</v>
      </c>
      <c r="F23141" s="5">
        <v>0</v>
      </c>
      <c r="G23141" s="5">
        <v>0</v>
      </c>
      <c r="H23141" s="5">
        <v>0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111</v>
      </c>
      <c r="D23142" s="5">
        <v>0.1</v>
      </c>
      <c r="E23142" s="5">
        <v>111.1</v>
      </c>
      <c r="F23142" s="5">
        <v>0</v>
      </c>
      <c r="G23142" s="5">
        <v>0</v>
      </c>
      <c r="H23142" s="5">
        <v>0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110.9</v>
      </c>
      <c r="D23143" s="5">
        <v>0.1</v>
      </c>
      <c r="E23143" s="5">
        <v>111</v>
      </c>
      <c r="F23143" s="5">
        <v>0</v>
      </c>
      <c r="G23143" s="5">
        <v>0</v>
      </c>
      <c r="H23143" s="5">
        <v>0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110.9</v>
      </c>
      <c r="D23144" s="5">
        <v>0.1</v>
      </c>
      <c r="E23144" s="5">
        <v>111</v>
      </c>
      <c r="F23144" s="5">
        <v>0</v>
      </c>
      <c r="G23144" s="5">
        <v>0</v>
      </c>
      <c r="H23144" s="5">
        <v>0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110.9</v>
      </c>
      <c r="D23145" s="5">
        <v>0.1</v>
      </c>
      <c r="E23145" s="5">
        <v>111</v>
      </c>
      <c r="F23145" s="5">
        <v>0</v>
      </c>
      <c r="G23145" s="5">
        <v>0</v>
      </c>
      <c r="H23145" s="5">
        <v>0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110.9</v>
      </c>
      <c r="D23146" s="5">
        <v>0.1</v>
      </c>
      <c r="E23146" s="5">
        <v>111</v>
      </c>
      <c r="F23146" s="5">
        <v>0</v>
      </c>
      <c r="G23146" s="5">
        <v>0</v>
      </c>
      <c r="H23146" s="5">
        <v>0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111.3</v>
      </c>
      <c r="D23147" s="5">
        <v>0.1</v>
      </c>
      <c r="E23147" s="5">
        <v>111.5</v>
      </c>
      <c r="F23147" s="5">
        <v>0</v>
      </c>
      <c r="G23147" s="5">
        <v>0</v>
      </c>
      <c r="H23147" s="5">
        <v>0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111.3</v>
      </c>
      <c r="D23148" s="5">
        <v>0.1</v>
      </c>
      <c r="E23148" s="5">
        <v>111.5</v>
      </c>
      <c r="F23148" s="5">
        <v>0</v>
      </c>
      <c r="G23148" s="5">
        <v>0</v>
      </c>
      <c r="H23148" s="5">
        <v>0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111.5</v>
      </c>
      <c r="D23149" s="5">
        <v>0.1</v>
      </c>
      <c r="E23149" s="5">
        <v>111.6</v>
      </c>
      <c r="F23149" s="5">
        <v>0</v>
      </c>
      <c r="G23149" s="5">
        <v>0</v>
      </c>
      <c r="H23149" s="5">
        <v>0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111.5</v>
      </c>
      <c r="D23150" s="5">
        <v>0.1</v>
      </c>
      <c r="E23150" s="5">
        <v>111.6</v>
      </c>
      <c r="F23150" s="5">
        <v>0</v>
      </c>
      <c r="G23150" s="5">
        <v>0</v>
      </c>
      <c r="H23150" s="5">
        <v>0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111.7</v>
      </c>
      <c r="D23151" s="5">
        <v>0.1</v>
      </c>
      <c r="E23151" s="5">
        <v>111.9</v>
      </c>
      <c r="F23151" s="5">
        <v>0</v>
      </c>
      <c r="G23151" s="5">
        <v>0</v>
      </c>
      <c r="H23151" s="5">
        <v>0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111.7</v>
      </c>
      <c r="D23152" s="5">
        <v>0.1</v>
      </c>
      <c r="E23152" s="5">
        <v>111.9</v>
      </c>
      <c r="F23152" s="5">
        <v>0</v>
      </c>
      <c r="G23152" s="5">
        <v>0</v>
      </c>
      <c r="H23152" s="5">
        <v>0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111.9</v>
      </c>
      <c r="D23153" s="5">
        <v>0.1</v>
      </c>
      <c r="E23153" s="5">
        <v>112</v>
      </c>
      <c r="F23153" s="5">
        <v>0</v>
      </c>
      <c r="G23153" s="5">
        <v>0</v>
      </c>
      <c r="H23153" s="5">
        <v>0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111.9</v>
      </c>
      <c r="D23154" s="5">
        <v>0.1</v>
      </c>
      <c r="E23154" s="5">
        <v>112</v>
      </c>
      <c r="F23154" s="5">
        <v>0</v>
      </c>
      <c r="G23154" s="5">
        <v>0</v>
      </c>
      <c r="H23154" s="5">
        <v>0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111.9</v>
      </c>
      <c r="D23155" s="5">
        <v>0.1</v>
      </c>
      <c r="E23155" s="5">
        <v>112</v>
      </c>
      <c r="F23155" s="5">
        <v>0</v>
      </c>
      <c r="G23155" s="5">
        <v>0</v>
      </c>
      <c r="H23155" s="5">
        <v>0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111.9</v>
      </c>
      <c r="D23156" s="5">
        <v>0.1</v>
      </c>
      <c r="E23156" s="5">
        <v>112</v>
      </c>
      <c r="F23156" s="5">
        <v>0</v>
      </c>
      <c r="G23156" s="5">
        <v>0</v>
      </c>
      <c r="H23156" s="5">
        <v>0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110.6</v>
      </c>
      <c r="D23157" s="5">
        <v>0.1</v>
      </c>
      <c r="E23157" s="5">
        <v>110.7</v>
      </c>
      <c r="F23157" s="5">
        <v>0</v>
      </c>
      <c r="G23157" s="5">
        <v>0</v>
      </c>
      <c r="H23157" s="5">
        <v>0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110.6</v>
      </c>
      <c r="D23158" s="5">
        <v>0.1</v>
      </c>
      <c r="E23158" s="5">
        <v>110.7</v>
      </c>
      <c r="F23158" s="5">
        <v>0</v>
      </c>
      <c r="G23158" s="5">
        <v>0</v>
      </c>
      <c r="H23158" s="5">
        <v>0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111.3</v>
      </c>
      <c r="D23159" s="5">
        <v>0.1</v>
      </c>
      <c r="E23159" s="5">
        <v>111.4</v>
      </c>
      <c r="F23159" s="5">
        <v>0</v>
      </c>
      <c r="G23159" s="5">
        <v>0</v>
      </c>
      <c r="H23159" s="5">
        <v>0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111.3</v>
      </c>
      <c r="D23160" s="5">
        <v>0.1</v>
      </c>
      <c r="E23160" s="5">
        <v>111.4</v>
      </c>
      <c r="F23160" s="5">
        <v>0</v>
      </c>
      <c r="G23160" s="5">
        <v>0</v>
      </c>
      <c r="H23160" s="5">
        <v>0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110.6</v>
      </c>
      <c r="D23161" s="5">
        <v>0.1</v>
      </c>
      <c r="E23161" s="5">
        <v>110.7</v>
      </c>
      <c r="F23161" s="5">
        <v>0</v>
      </c>
      <c r="G23161" s="5">
        <v>0</v>
      </c>
      <c r="H23161" s="5">
        <v>0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110.6</v>
      </c>
      <c r="D23162" s="5">
        <v>0.1</v>
      </c>
      <c r="E23162" s="5">
        <v>110.7</v>
      </c>
      <c r="F23162" s="5">
        <v>0</v>
      </c>
      <c r="G23162" s="5">
        <v>0</v>
      </c>
      <c r="H23162" s="5">
        <v>0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110.9</v>
      </c>
      <c r="D23163" s="5">
        <v>0.1</v>
      </c>
      <c r="E23163" s="5">
        <v>110.7</v>
      </c>
      <c r="F23163" s="5">
        <v>0</v>
      </c>
      <c r="G23163" s="5">
        <v>0</v>
      </c>
      <c r="H23163" s="5">
        <v>0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110.9</v>
      </c>
      <c r="D23164" s="5">
        <v>0.1</v>
      </c>
      <c r="E23164" s="5">
        <v>111</v>
      </c>
      <c r="F23164" s="5">
        <v>0</v>
      </c>
      <c r="G23164" s="5">
        <v>0</v>
      </c>
      <c r="H23164" s="5">
        <v>0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110.9</v>
      </c>
      <c r="D23165" s="5">
        <v>0.1</v>
      </c>
      <c r="E23165" s="5">
        <v>111</v>
      </c>
      <c r="F23165" s="5">
        <v>0</v>
      </c>
      <c r="G23165" s="5">
        <v>0</v>
      </c>
      <c r="H23165" s="5">
        <v>0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110.9</v>
      </c>
      <c r="D23166" s="5">
        <v>0.1</v>
      </c>
      <c r="E23166" s="5">
        <v>111</v>
      </c>
      <c r="F23166" s="5">
        <v>0</v>
      </c>
      <c r="G23166" s="5">
        <v>0</v>
      </c>
      <c r="H23166" s="5">
        <v>0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110.9</v>
      </c>
      <c r="D23167" s="5">
        <v>0.1</v>
      </c>
      <c r="E23167" s="5">
        <v>111</v>
      </c>
      <c r="F23167" s="5">
        <v>0</v>
      </c>
      <c r="G23167" s="5">
        <v>0</v>
      </c>
      <c r="H23167" s="5">
        <v>0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110.9</v>
      </c>
      <c r="D23168" s="5">
        <v>0.1</v>
      </c>
      <c r="E23168" s="5">
        <v>111</v>
      </c>
      <c r="F23168" s="5">
        <v>0</v>
      </c>
      <c r="G23168" s="5">
        <v>0</v>
      </c>
      <c r="H23168" s="5">
        <v>0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110.9</v>
      </c>
      <c r="D23169" s="5">
        <v>0.1</v>
      </c>
      <c r="E23169" s="5">
        <v>110.7</v>
      </c>
      <c r="F23169" s="5">
        <v>0</v>
      </c>
      <c r="G23169" s="5">
        <v>0</v>
      </c>
      <c r="H23169" s="5">
        <v>0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110.6</v>
      </c>
      <c r="D23170" s="5">
        <v>0.1</v>
      </c>
      <c r="E23170" s="5">
        <v>110.7</v>
      </c>
      <c r="F23170" s="5">
        <v>0</v>
      </c>
      <c r="G23170" s="5">
        <v>0</v>
      </c>
      <c r="H23170" s="5">
        <v>0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110.6</v>
      </c>
      <c r="D23171" s="5">
        <v>0.1</v>
      </c>
      <c r="E23171" s="5">
        <v>111.3</v>
      </c>
      <c r="F23171" s="5">
        <v>0</v>
      </c>
      <c r="G23171" s="5">
        <v>0</v>
      </c>
      <c r="H23171" s="5">
        <v>0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111.1</v>
      </c>
      <c r="D23172" s="5">
        <v>0.1</v>
      </c>
      <c r="E23172" s="5">
        <v>111.3</v>
      </c>
      <c r="F23172" s="5">
        <v>0</v>
      </c>
      <c r="G23172" s="5">
        <v>0</v>
      </c>
      <c r="H23172" s="5">
        <v>0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111.1</v>
      </c>
      <c r="D23173" s="5">
        <v>0.1</v>
      </c>
      <c r="E23173" s="5">
        <v>111.3</v>
      </c>
      <c r="F23173" s="5">
        <v>0</v>
      </c>
      <c r="G23173" s="5">
        <v>0</v>
      </c>
      <c r="H23173" s="5">
        <v>0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110.7</v>
      </c>
      <c r="D23174" s="5">
        <v>0.1</v>
      </c>
      <c r="E23174" s="5">
        <v>110.9</v>
      </c>
      <c r="F23174" s="5">
        <v>0</v>
      </c>
      <c r="G23174" s="5">
        <v>0</v>
      </c>
      <c r="H23174" s="5">
        <v>0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110.7</v>
      </c>
      <c r="D23175" s="5">
        <v>0.1</v>
      </c>
      <c r="E23175" s="5">
        <v>110.9</v>
      </c>
      <c r="F23175" s="5">
        <v>0</v>
      </c>
      <c r="G23175" s="5">
        <v>0</v>
      </c>
      <c r="H23175" s="5">
        <v>0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110.7</v>
      </c>
      <c r="D23176" s="5">
        <v>0.1</v>
      </c>
      <c r="E23176" s="5">
        <v>110.9</v>
      </c>
      <c r="F23176" s="5">
        <v>0</v>
      </c>
      <c r="G23176" s="5">
        <v>0</v>
      </c>
      <c r="H23176" s="5">
        <v>0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110.1</v>
      </c>
      <c r="D23177" s="5">
        <v>0.1</v>
      </c>
      <c r="E23177" s="5">
        <v>110.2</v>
      </c>
      <c r="F23177" s="5">
        <v>0</v>
      </c>
      <c r="G23177" s="5">
        <v>0</v>
      </c>
      <c r="H23177" s="5">
        <v>0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110.1</v>
      </c>
      <c r="D23178" s="5">
        <v>0.1</v>
      </c>
      <c r="E23178" s="5">
        <v>110.2</v>
      </c>
      <c r="F23178" s="5">
        <v>0</v>
      </c>
      <c r="G23178" s="5">
        <v>0</v>
      </c>
      <c r="H23178" s="5">
        <v>0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109.7</v>
      </c>
      <c r="D23179" s="5">
        <v>0.1</v>
      </c>
      <c r="E23179" s="5">
        <v>109.9</v>
      </c>
      <c r="F23179" s="5">
        <v>0</v>
      </c>
      <c r="G23179" s="5">
        <v>0</v>
      </c>
      <c r="H23179" s="5">
        <v>0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109.7</v>
      </c>
      <c r="D23180" s="5">
        <v>0.1</v>
      </c>
      <c r="E23180" s="5">
        <v>109.9</v>
      </c>
      <c r="F23180" s="5">
        <v>0</v>
      </c>
      <c r="G23180" s="5">
        <v>0</v>
      </c>
      <c r="H23180" s="5">
        <v>0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111.2</v>
      </c>
      <c r="D23181" s="5">
        <v>0.1</v>
      </c>
      <c r="E23181" s="5">
        <v>111.3</v>
      </c>
      <c r="F23181" s="5">
        <v>0</v>
      </c>
      <c r="G23181" s="5">
        <v>0</v>
      </c>
      <c r="H23181" s="5">
        <v>0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111.2</v>
      </c>
      <c r="D23182" s="5">
        <v>0.1</v>
      </c>
      <c r="E23182" s="5">
        <v>111.3</v>
      </c>
      <c r="F23182" s="5">
        <v>0</v>
      </c>
      <c r="G23182" s="5">
        <v>0</v>
      </c>
      <c r="H23182" s="5">
        <v>0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110.8</v>
      </c>
      <c r="D23183" s="5">
        <v>0.1</v>
      </c>
      <c r="E23183" s="5">
        <v>111</v>
      </c>
      <c r="F23183" s="5">
        <v>0</v>
      </c>
      <c r="G23183" s="5">
        <v>0</v>
      </c>
      <c r="H23183" s="5">
        <v>0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110.8</v>
      </c>
      <c r="D23184" s="5">
        <v>0.1</v>
      </c>
      <c r="E23184" s="5">
        <v>111</v>
      </c>
      <c r="F23184" s="5">
        <v>0</v>
      </c>
      <c r="G23184" s="5">
        <v>0</v>
      </c>
      <c r="H23184" s="5">
        <v>0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110.8</v>
      </c>
      <c r="D23185" s="5">
        <v>0.1</v>
      </c>
      <c r="E23185" s="5">
        <v>111</v>
      </c>
      <c r="F23185" s="5">
        <v>0</v>
      </c>
      <c r="G23185" s="5">
        <v>0</v>
      </c>
      <c r="H23185" s="5">
        <v>0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110.8</v>
      </c>
      <c r="D23186" s="5">
        <v>0.1</v>
      </c>
      <c r="E23186" s="5">
        <v>111</v>
      </c>
      <c r="F23186" s="5">
        <v>0</v>
      </c>
      <c r="G23186" s="5">
        <v>0</v>
      </c>
      <c r="H23186" s="5">
        <v>0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110.7</v>
      </c>
      <c r="D23187" s="5">
        <v>0.1</v>
      </c>
      <c r="E23187" s="5">
        <v>110.8</v>
      </c>
      <c r="F23187" s="5">
        <v>0</v>
      </c>
      <c r="G23187" s="5">
        <v>0</v>
      </c>
      <c r="H23187" s="5">
        <v>0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110.7</v>
      </c>
      <c r="D23188" s="5">
        <v>0.1</v>
      </c>
      <c r="E23188" s="5">
        <v>110.8</v>
      </c>
      <c r="F23188" s="5">
        <v>0</v>
      </c>
      <c r="G23188" s="5">
        <v>0</v>
      </c>
      <c r="H23188" s="5">
        <v>0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111.6</v>
      </c>
      <c r="D23189" s="5">
        <v>0.1</v>
      </c>
      <c r="E23189" s="5">
        <v>111.8</v>
      </c>
      <c r="F23189" s="5">
        <v>0</v>
      </c>
      <c r="G23189" s="5">
        <v>0</v>
      </c>
      <c r="H23189" s="5">
        <v>0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111.6</v>
      </c>
      <c r="D23190" s="5">
        <v>0.1</v>
      </c>
      <c r="E23190" s="5">
        <v>111.8</v>
      </c>
      <c r="F23190" s="5">
        <v>0</v>
      </c>
      <c r="G23190" s="5">
        <v>0</v>
      </c>
      <c r="H23190" s="5">
        <v>0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110.9</v>
      </c>
      <c r="D23191" s="5">
        <v>0.1</v>
      </c>
      <c r="E23191" s="5">
        <v>111</v>
      </c>
      <c r="F23191" s="5">
        <v>0</v>
      </c>
      <c r="G23191" s="5">
        <v>0</v>
      </c>
      <c r="H23191" s="5">
        <v>0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110.9</v>
      </c>
      <c r="D23192" s="5">
        <v>0.1</v>
      </c>
      <c r="E23192" s="5">
        <v>111</v>
      </c>
      <c r="F23192" s="5">
        <v>0</v>
      </c>
      <c r="G23192" s="5">
        <v>0</v>
      </c>
      <c r="H23192" s="5">
        <v>0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110.8</v>
      </c>
      <c r="D23193" s="5">
        <v>0.1</v>
      </c>
      <c r="E23193" s="5">
        <v>111</v>
      </c>
      <c r="F23193" s="5">
        <v>0</v>
      </c>
      <c r="G23193" s="5">
        <v>0</v>
      </c>
      <c r="H23193" s="5">
        <v>0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110.8</v>
      </c>
      <c r="D23194" s="5">
        <v>0.1</v>
      </c>
      <c r="E23194" s="5">
        <v>111</v>
      </c>
      <c r="F23194" s="5">
        <v>0</v>
      </c>
      <c r="G23194" s="5">
        <v>0</v>
      </c>
      <c r="H23194" s="5">
        <v>0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110.8</v>
      </c>
      <c r="D23195" s="5">
        <v>0.1</v>
      </c>
      <c r="E23195" s="5">
        <v>111</v>
      </c>
      <c r="F23195" s="5">
        <v>0</v>
      </c>
      <c r="G23195" s="5">
        <v>0</v>
      </c>
      <c r="H23195" s="5">
        <v>0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110.8</v>
      </c>
      <c r="D23196" s="5">
        <v>0.1</v>
      </c>
      <c r="E23196" s="5">
        <v>111</v>
      </c>
      <c r="F23196" s="5">
        <v>0</v>
      </c>
      <c r="G23196" s="5">
        <v>0</v>
      </c>
      <c r="H23196" s="5">
        <v>0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111</v>
      </c>
      <c r="D23197" s="5">
        <v>0.1</v>
      </c>
      <c r="E23197" s="5">
        <v>111.1</v>
      </c>
      <c r="F23197" s="5">
        <v>0</v>
      </c>
      <c r="G23197" s="5">
        <v>0</v>
      </c>
      <c r="H23197" s="5">
        <v>0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111</v>
      </c>
      <c r="D23198" s="5">
        <v>0.1</v>
      </c>
      <c r="E23198" s="5">
        <v>111.1</v>
      </c>
      <c r="F23198" s="5">
        <v>0</v>
      </c>
      <c r="G23198" s="5">
        <v>0</v>
      </c>
      <c r="H23198" s="5">
        <v>0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110.4</v>
      </c>
      <c r="D23199" s="5">
        <v>0.1</v>
      </c>
      <c r="E23199" s="5">
        <v>110.6</v>
      </c>
      <c r="F23199" s="5">
        <v>0</v>
      </c>
      <c r="G23199" s="5">
        <v>0</v>
      </c>
      <c r="H23199" s="5">
        <v>0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110.4</v>
      </c>
      <c r="D23200" s="5">
        <v>0.1</v>
      </c>
      <c r="E23200" s="5">
        <v>110.6</v>
      </c>
      <c r="F23200" s="5">
        <v>0</v>
      </c>
      <c r="G23200" s="5">
        <v>0</v>
      </c>
      <c r="H23200" s="5">
        <v>0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109.9</v>
      </c>
      <c r="D23201" s="5">
        <v>0.1</v>
      </c>
      <c r="E23201" s="5">
        <v>110.1</v>
      </c>
      <c r="F23201" s="5">
        <v>0</v>
      </c>
      <c r="G23201" s="5">
        <v>0</v>
      </c>
      <c r="H23201" s="5">
        <v>0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109.9</v>
      </c>
      <c r="D23202" s="5">
        <v>0.1</v>
      </c>
      <c r="E23202" s="5">
        <v>110.1</v>
      </c>
      <c r="F23202" s="5">
        <v>0</v>
      </c>
      <c r="G23202" s="5">
        <v>0</v>
      </c>
      <c r="H23202" s="5">
        <v>0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111.1</v>
      </c>
      <c r="D23203" s="5">
        <v>0.1</v>
      </c>
      <c r="E23203" s="5">
        <v>111.2</v>
      </c>
      <c r="F23203" s="5">
        <v>0</v>
      </c>
      <c r="G23203" s="5">
        <v>0</v>
      </c>
      <c r="H23203" s="5">
        <v>0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111.1</v>
      </c>
      <c r="D23204" s="5">
        <v>0.1</v>
      </c>
      <c r="E23204" s="5">
        <v>111.2</v>
      </c>
      <c r="F23204" s="5">
        <v>0</v>
      </c>
      <c r="G23204" s="5">
        <v>0</v>
      </c>
      <c r="H23204" s="5">
        <v>0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111.1</v>
      </c>
      <c r="D23205" s="5">
        <v>0.1</v>
      </c>
      <c r="E23205" s="5">
        <v>111.2</v>
      </c>
      <c r="F23205" s="5">
        <v>0</v>
      </c>
      <c r="G23205" s="5">
        <v>0</v>
      </c>
      <c r="H23205" s="5">
        <v>0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111.1</v>
      </c>
      <c r="D23206" s="5">
        <v>0.1</v>
      </c>
      <c r="E23206" s="5">
        <v>111.2</v>
      </c>
      <c r="F23206" s="5">
        <v>0</v>
      </c>
      <c r="G23206" s="5">
        <v>0</v>
      </c>
      <c r="H23206" s="5">
        <v>0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110.1</v>
      </c>
      <c r="D23207" s="5">
        <v>0.1</v>
      </c>
      <c r="E23207" s="5">
        <v>110.2</v>
      </c>
      <c r="F23207" s="5">
        <v>0</v>
      </c>
      <c r="G23207" s="5">
        <v>0</v>
      </c>
      <c r="H23207" s="5">
        <v>0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110.1</v>
      </c>
      <c r="D23208" s="5">
        <v>0.1</v>
      </c>
      <c r="E23208" s="5">
        <v>110.2</v>
      </c>
      <c r="F23208" s="5">
        <v>0</v>
      </c>
      <c r="G23208" s="5">
        <v>0</v>
      </c>
      <c r="H23208" s="5">
        <v>0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109.4</v>
      </c>
      <c r="D23209" s="5">
        <v>0.1</v>
      </c>
      <c r="E23209" s="5">
        <v>109.6</v>
      </c>
      <c r="F23209" s="5">
        <v>0</v>
      </c>
      <c r="G23209" s="5">
        <v>0</v>
      </c>
      <c r="H23209" s="5">
        <v>0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109.4</v>
      </c>
      <c r="D23210" s="5">
        <v>0.1</v>
      </c>
      <c r="E23210" s="5">
        <v>109.6</v>
      </c>
      <c r="F23210" s="5">
        <v>0</v>
      </c>
      <c r="G23210" s="5">
        <v>0</v>
      </c>
      <c r="H23210" s="5">
        <v>0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111</v>
      </c>
      <c r="D23211" s="5">
        <v>0.1</v>
      </c>
      <c r="E23211" s="5">
        <v>111.2</v>
      </c>
      <c r="F23211" s="5">
        <v>0</v>
      </c>
      <c r="G23211" s="5">
        <v>0</v>
      </c>
      <c r="H23211" s="5">
        <v>0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111</v>
      </c>
      <c r="D23212" s="5">
        <v>0.1</v>
      </c>
      <c r="E23212" s="5">
        <v>111.2</v>
      </c>
      <c r="F23212" s="5">
        <v>0</v>
      </c>
      <c r="G23212" s="5">
        <v>0</v>
      </c>
      <c r="H23212" s="5">
        <v>0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108.5</v>
      </c>
      <c r="D23213" s="5">
        <v>0.1</v>
      </c>
      <c r="E23213" s="5">
        <v>108.7</v>
      </c>
      <c r="F23213" s="5">
        <v>0</v>
      </c>
      <c r="G23213" s="5">
        <v>0</v>
      </c>
      <c r="H23213" s="5">
        <v>0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108.5</v>
      </c>
      <c r="D23214" s="5">
        <v>0.1</v>
      </c>
      <c r="E23214" s="5">
        <v>108.7</v>
      </c>
      <c r="F23214" s="5">
        <v>0</v>
      </c>
      <c r="G23214" s="5">
        <v>0</v>
      </c>
      <c r="H23214" s="5">
        <v>0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108.5</v>
      </c>
      <c r="D23215" s="5">
        <v>0.1</v>
      </c>
      <c r="E23215" s="5">
        <v>108.7</v>
      </c>
      <c r="F23215" s="5">
        <v>0</v>
      </c>
      <c r="G23215" s="5">
        <v>0</v>
      </c>
      <c r="H23215" s="5">
        <v>0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108.5</v>
      </c>
      <c r="D23216" s="5">
        <v>0.1</v>
      </c>
      <c r="E23216" s="5">
        <v>108.7</v>
      </c>
      <c r="F23216" s="5">
        <v>0</v>
      </c>
      <c r="G23216" s="5">
        <v>0</v>
      </c>
      <c r="H23216" s="5">
        <v>0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110.8</v>
      </c>
      <c r="D23217" s="5">
        <v>0.1</v>
      </c>
      <c r="E23217" s="5">
        <v>111</v>
      </c>
      <c r="F23217" s="5">
        <v>0</v>
      </c>
      <c r="G23217" s="5">
        <v>0</v>
      </c>
      <c r="H23217" s="5">
        <v>0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110.8</v>
      </c>
      <c r="D23218" s="5">
        <v>0.1</v>
      </c>
      <c r="E23218" s="5">
        <v>111</v>
      </c>
      <c r="F23218" s="5">
        <v>0</v>
      </c>
      <c r="G23218" s="5">
        <v>0</v>
      </c>
      <c r="H23218" s="5">
        <v>0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110.4</v>
      </c>
      <c r="D23219" s="5">
        <v>0.1</v>
      </c>
      <c r="E23219" s="5">
        <v>110.6</v>
      </c>
      <c r="F23219" s="5">
        <v>0</v>
      </c>
      <c r="G23219" s="5">
        <v>0</v>
      </c>
      <c r="H23219" s="5">
        <v>0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110.4</v>
      </c>
      <c r="D23220" s="5">
        <v>0.1</v>
      </c>
      <c r="E23220" s="5">
        <v>110.6</v>
      </c>
      <c r="F23220" s="5">
        <v>0</v>
      </c>
      <c r="G23220" s="5">
        <v>0</v>
      </c>
      <c r="H23220" s="5">
        <v>0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111.8</v>
      </c>
      <c r="D23221" s="5">
        <v>0.1</v>
      </c>
      <c r="E23221" s="5">
        <v>112</v>
      </c>
      <c r="F23221" s="5">
        <v>0</v>
      </c>
      <c r="G23221" s="5">
        <v>0</v>
      </c>
      <c r="H23221" s="5">
        <v>0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111.8</v>
      </c>
      <c r="D23222" s="5">
        <v>0.1</v>
      </c>
      <c r="E23222" s="5">
        <v>112</v>
      </c>
      <c r="F23222" s="5">
        <v>0</v>
      </c>
      <c r="G23222" s="5">
        <v>0</v>
      </c>
      <c r="H23222" s="5">
        <v>0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111.1</v>
      </c>
      <c r="D23223" s="5">
        <v>0.1</v>
      </c>
      <c r="E23223" s="5">
        <v>111.3</v>
      </c>
      <c r="F23223" s="5">
        <v>0</v>
      </c>
      <c r="G23223" s="5">
        <v>0</v>
      </c>
      <c r="H23223" s="5">
        <v>0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111.1</v>
      </c>
      <c r="D23224" s="5">
        <v>0.1</v>
      </c>
      <c r="E23224" s="5">
        <v>111.3</v>
      </c>
      <c r="F23224" s="5">
        <v>0</v>
      </c>
      <c r="G23224" s="5">
        <v>0</v>
      </c>
      <c r="H23224" s="5">
        <v>0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111.1</v>
      </c>
      <c r="D23225" s="5">
        <v>0.1</v>
      </c>
      <c r="E23225" s="5">
        <v>111.3</v>
      </c>
      <c r="F23225" s="5">
        <v>0</v>
      </c>
      <c r="G23225" s="5">
        <v>0</v>
      </c>
      <c r="H23225" s="5">
        <v>0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111.1</v>
      </c>
      <c r="D23226" s="5">
        <v>0.1</v>
      </c>
      <c r="E23226" s="5">
        <v>111.3</v>
      </c>
      <c r="F23226" s="5">
        <v>0</v>
      </c>
      <c r="G23226" s="5">
        <v>0</v>
      </c>
      <c r="H23226" s="5">
        <v>0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111</v>
      </c>
      <c r="D23227" s="5">
        <v>0.1</v>
      </c>
      <c r="E23227" s="5">
        <v>111.2</v>
      </c>
      <c r="F23227" s="5">
        <v>0</v>
      </c>
      <c r="G23227" s="5">
        <v>0</v>
      </c>
      <c r="H23227" s="5">
        <v>0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111</v>
      </c>
      <c r="D23228" s="5">
        <v>0.1</v>
      </c>
      <c r="E23228" s="5">
        <v>111.2</v>
      </c>
      <c r="F23228" s="5">
        <v>0</v>
      </c>
      <c r="G23228" s="5">
        <v>0</v>
      </c>
      <c r="H23228" s="5">
        <v>0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110.4</v>
      </c>
      <c r="D23229" s="5">
        <v>0.1</v>
      </c>
      <c r="E23229" s="5">
        <v>110.7</v>
      </c>
      <c r="F23229" s="5">
        <v>0</v>
      </c>
      <c r="G23229" s="5">
        <v>0</v>
      </c>
      <c r="H23229" s="5">
        <v>0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110.4</v>
      </c>
      <c r="D23230" s="5">
        <v>0.1</v>
      </c>
      <c r="E23230" s="5">
        <v>110.7</v>
      </c>
      <c r="F23230" s="5">
        <v>0</v>
      </c>
      <c r="G23230" s="5">
        <v>0</v>
      </c>
      <c r="H23230" s="5">
        <v>0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111</v>
      </c>
      <c r="D23231" s="5">
        <v>0.1</v>
      </c>
      <c r="E23231" s="5">
        <v>111.1</v>
      </c>
      <c r="F23231" s="5">
        <v>0</v>
      </c>
      <c r="G23231" s="5">
        <v>0</v>
      </c>
      <c r="H23231" s="5">
        <v>0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111</v>
      </c>
      <c r="D23232" s="5">
        <v>0.1</v>
      </c>
      <c r="E23232" s="5">
        <v>111.1</v>
      </c>
      <c r="F23232" s="5">
        <v>0</v>
      </c>
      <c r="G23232" s="5">
        <v>0</v>
      </c>
      <c r="H23232" s="5">
        <v>0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111.3</v>
      </c>
      <c r="D23233" s="5">
        <v>0.1</v>
      </c>
      <c r="E23233" s="5">
        <v>111.5</v>
      </c>
      <c r="F23233" s="5">
        <v>0</v>
      </c>
      <c r="G23233" s="5">
        <v>0</v>
      </c>
      <c r="H23233" s="5">
        <v>0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111.3</v>
      </c>
      <c r="D23234" s="5">
        <v>0.1</v>
      </c>
      <c r="E23234" s="5">
        <v>111.5</v>
      </c>
      <c r="F23234" s="5">
        <v>0</v>
      </c>
      <c r="G23234" s="5">
        <v>0</v>
      </c>
      <c r="H23234" s="5">
        <v>0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111.3</v>
      </c>
      <c r="D23235" s="5">
        <v>0.1</v>
      </c>
      <c r="E23235" s="5">
        <v>111.5</v>
      </c>
      <c r="F23235" s="5">
        <v>0</v>
      </c>
      <c r="G23235" s="5">
        <v>0</v>
      </c>
      <c r="H23235" s="5">
        <v>0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111.3</v>
      </c>
      <c r="D23236" s="5">
        <v>0.1</v>
      </c>
      <c r="E23236" s="5">
        <v>111.5</v>
      </c>
      <c r="F23236" s="5">
        <v>0</v>
      </c>
      <c r="G23236" s="5">
        <v>0</v>
      </c>
      <c r="H23236" s="5">
        <v>0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112</v>
      </c>
      <c r="D23237" s="5">
        <v>0.1</v>
      </c>
      <c r="E23237" s="5">
        <v>112.2</v>
      </c>
      <c r="F23237" s="5">
        <v>0</v>
      </c>
      <c r="G23237" s="5">
        <v>0</v>
      </c>
      <c r="H23237" s="5">
        <v>0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112</v>
      </c>
      <c r="D23238" s="5">
        <v>0.1</v>
      </c>
      <c r="E23238" s="5">
        <v>112.2</v>
      </c>
      <c r="F23238" s="5">
        <v>0</v>
      </c>
      <c r="G23238" s="5">
        <v>0</v>
      </c>
      <c r="H23238" s="5">
        <v>0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111.3</v>
      </c>
      <c r="D23239" s="5">
        <v>0.1</v>
      </c>
      <c r="E23239" s="5">
        <v>111.5</v>
      </c>
      <c r="F23239" s="5">
        <v>0</v>
      </c>
      <c r="G23239" s="5">
        <v>0</v>
      </c>
      <c r="H23239" s="5">
        <v>0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111.3</v>
      </c>
      <c r="D23240" s="5">
        <v>0.1</v>
      </c>
      <c r="E23240" s="5">
        <v>111.5</v>
      </c>
      <c r="F23240" s="5">
        <v>0</v>
      </c>
      <c r="G23240" s="5">
        <v>0</v>
      </c>
      <c r="H23240" s="5">
        <v>0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111.3</v>
      </c>
      <c r="D23241" s="5">
        <v>0.1</v>
      </c>
      <c r="E23241" s="5">
        <v>111.5</v>
      </c>
      <c r="F23241" s="5">
        <v>0</v>
      </c>
      <c r="G23241" s="5">
        <v>0</v>
      </c>
      <c r="H23241" s="5">
        <v>0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111.3</v>
      </c>
      <c r="D23242" s="5">
        <v>0.1</v>
      </c>
      <c r="E23242" s="5">
        <v>111.5</v>
      </c>
      <c r="F23242" s="5">
        <v>0</v>
      </c>
      <c r="G23242" s="5">
        <v>0</v>
      </c>
      <c r="H23242" s="5">
        <v>0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111.6</v>
      </c>
      <c r="D23243" s="5">
        <v>0.1</v>
      </c>
      <c r="E23243" s="5">
        <v>111.7</v>
      </c>
      <c r="F23243" s="5">
        <v>0</v>
      </c>
      <c r="G23243" s="5">
        <v>0</v>
      </c>
      <c r="H23243" s="5">
        <v>0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111.6</v>
      </c>
      <c r="D23244" s="5">
        <v>0.1</v>
      </c>
      <c r="E23244" s="5">
        <v>111.7</v>
      </c>
      <c r="F23244" s="5">
        <v>0</v>
      </c>
      <c r="G23244" s="5">
        <v>0</v>
      </c>
      <c r="H23244" s="5">
        <v>0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111.6</v>
      </c>
      <c r="D23245" s="5">
        <v>0.1</v>
      </c>
      <c r="E23245" s="5">
        <v>111.7</v>
      </c>
      <c r="F23245" s="5">
        <v>0</v>
      </c>
      <c r="G23245" s="5">
        <v>0</v>
      </c>
      <c r="H23245" s="5">
        <v>0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111.6</v>
      </c>
      <c r="D23246" s="5">
        <v>0.1</v>
      </c>
      <c r="E23246" s="5">
        <v>111.7</v>
      </c>
      <c r="F23246" s="5">
        <v>0</v>
      </c>
      <c r="G23246" s="5">
        <v>0</v>
      </c>
      <c r="H23246" s="5">
        <v>0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110.8</v>
      </c>
      <c r="D23247" s="5">
        <v>0.1</v>
      </c>
      <c r="E23247" s="5">
        <v>111</v>
      </c>
      <c r="F23247" s="5">
        <v>0</v>
      </c>
      <c r="G23247" s="5">
        <v>0</v>
      </c>
      <c r="H23247" s="5">
        <v>0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110.8</v>
      </c>
      <c r="D23248" s="5">
        <v>0.1</v>
      </c>
      <c r="E23248" s="5">
        <v>111</v>
      </c>
      <c r="F23248" s="5">
        <v>0</v>
      </c>
      <c r="G23248" s="5">
        <v>0</v>
      </c>
      <c r="H23248" s="5">
        <v>0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111</v>
      </c>
      <c r="D23249" s="5">
        <v>0.1</v>
      </c>
      <c r="E23249" s="5">
        <v>111.2</v>
      </c>
      <c r="F23249" s="5">
        <v>0</v>
      </c>
      <c r="G23249" s="5">
        <v>0</v>
      </c>
      <c r="H23249" s="5">
        <v>0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111</v>
      </c>
      <c r="D23250" s="5">
        <v>0.1</v>
      </c>
      <c r="E23250" s="5">
        <v>111.2</v>
      </c>
      <c r="F23250" s="5">
        <v>0</v>
      </c>
      <c r="G23250" s="5">
        <v>0</v>
      </c>
      <c r="H23250" s="5">
        <v>0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109.9</v>
      </c>
      <c r="D23251" s="5">
        <v>0.1</v>
      </c>
      <c r="E23251" s="5">
        <v>110.1</v>
      </c>
      <c r="F23251" s="5">
        <v>0</v>
      </c>
      <c r="G23251" s="5">
        <v>0</v>
      </c>
      <c r="H23251" s="5">
        <v>0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109.9</v>
      </c>
      <c r="D23252" s="5">
        <v>0.1</v>
      </c>
      <c r="E23252" s="5">
        <v>110.1</v>
      </c>
      <c r="F23252" s="5">
        <v>0</v>
      </c>
      <c r="G23252" s="5">
        <v>0</v>
      </c>
      <c r="H23252" s="5">
        <v>0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110.4</v>
      </c>
      <c r="D23253" s="5">
        <v>0.1</v>
      </c>
      <c r="E23253" s="5">
        <v>110.5</v>
      </c>
      <c r="F23253" s="5">
        <v>0</v>
      </c>
      <c r="G23253" s="5">
        <v>0</v>
      </c>
      <c r="H23253" s="5">
        <v>0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110.4</v>
      </c>
      <c r="D23254" s="5">
        <v>0.1</v>
      </c>
      <c r="E23254" s="5">
        <v>110.5</v>
      </c>
      <c r="F23254" s="5">
        <v>0</v>
      </c>
      <c r="G23254" s="5">
        <v>0</v>
      </c>
      <c r="H23254" s="5">
        <v>0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110.4</v>
      </c>
      <c r="D23255" s="5">
        <v>0.1</v>
      </c>
      <c r="E23255" s="5">
        <v>110.5</v>
      </c>
      <c r="F23255" s="5">
        <v>0</v>
      </c>
      <c r="G23255" s="5">
        <v>0</v>
      </c>
      <c r="H23255" s="5">
        <v>0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110.4</v>
      </c>
      <c r="D23256" s="5">
        <v>0.1</v>
      </c>
      <c r="E23256" s="5">
        <v>111</v>
      </c>
      <c r="F23256" s="5">
        <v>0</v>
      </c>
      <c r="G23256" s="5">
        <v>0</v>
      </c>
      <c r="H23256" s="5">
        <v>0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110.9</v>
      </c>
      <c r="D23257" s="5">
        <v>0.1</v>
      </c>
      <c r="E23257" s="5">
        <v>111</v>
      </c>
      <c r="F23257" s="5">
        <v>0</v>
      </c>
      <c r="G23257" s="5">
        <v>0</v>
      </c>
      <c r="H23257" s="5">
        <v>0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110.9</v>
      </c>
      <c r="D23258" s="5">
        <v>0.1</v>
      </c>
      <c r="E23258" s="5">
        <v>111.4</v>
      </c>
      <c r="F23258" s="5">
        <v>0</v>
      </c>
      <c r="G23258" s="5">
        <v>0</v>
      </c>
      <c r="H23258" s="5">
        <v>0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111.3</v>
      </c>
      <c r="D23259" s="5">
        <v>0.1</v>
      </c>
      <c r="E23259" s="5">
        <v>111.4</v>
      </c>
      <c r="F23259" s="5">
        <v>0</v>
      </c>
      <c r="G23259" s="5">
        <v>0</v>
      </c>
      <c r="H23259" s="5">
        <v>0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111.3</v>
      </c>
      <c r="D23260" s="5">
        <v>0.1</v>
      </c>
      <c r="E23260" s="5">
        <v>111.4</v>
      </c>
      <c r="F23260" s="5">
        <v>0</v>
      </c>
      <c r="G23260" s="5">
        <v>0</v>
      </c>
      <c r="H23260" s="5">
        <v>0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111.3</v>
      </c>
      <c r="D23261" s="5">
        <v>0.1</v>
      </c>
      <c r="E23261" s="5">
        <v>111.5</v>
      </c>
      <c r="F23261" s="5">
        <v>0</v>
      </c>
      <c r="G23261" s="5">
        <v>0</v>
      </c>
      <c r="H23261" s="5">
        <v>0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111.3</v>
      </c>
      <c r="D23262" s="5">
        <v>0.1</v>
      </c>
      <c r="E23262" s="5">
        <v>111.5</v>
      </c>
      <c r="F23262" s="5">
        <v>0</v>
      </c>
      <c r="G23262" s="5">
        <v>0</v>
      </c>
      <c r="H23262" s="5">
        <v>0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110.9</v>
      </c>
      <c r="D23263" s="5">
        <v>0.1</v>
      </c>
      <c r="E23263" s="5">
        <v>111</v>
      </c>
      <c r="F23263" s="5">
        <v>0</v>
      </c>
      <c r="G23263" s="5">
        <v>0</v>
      </c>
      <c r="H23263" s="5">
        <v>0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110.9</v>
      </c>
      <c r="D23264" s="5">
        <v>0.1</v>
      </c>
      <c r="E23264" s="5">
        <v>111</v>
      </c>
      <c r="F23264" s="5">
        <v>0</v>
      </c>
      <c r="G23264" s="5">
        <v>0</v>
      </c>
      <c r="H23264" s="5">
        <v>0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110.9</v>
      </c>
      <c r="D23265" s="5">
        <v>0.1</v>
      </c>
      <c r="E23265" s="5">
        <v>111</v>
      </c>
      <c r="F23265" s="5">
        <v>0</v>
      </c>
      <c r="G23265" s="5">
        <v>0</v>
      </c>
      <c r="H23265" s="5">
        <v>0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110.9</v>
      </c>
      <c r="D23266" s="5">
        <v>0.1</v>
      </c>
      <c r="E23266" s="5">
        <v>111</v>
      </c>
      <c r="F23266" s="5">
        <v>0</v>
      </c>
      <c r="G23266" s="5">
        <v>0</v>
      </c>
      <c r="H23266" s="5">
        <v>0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110.2</v>
      </c>
      <c r="D23267" s="5">
        <v>0.1</v>
      </c>
      <c r="E23267" s="5">
        <v>110.4</v>
      </c>
      <c r="F23267" s="5">
        <v>0</v>
      </c>
      <c r="G23267" s="5">
        <v>0</v>
      </c>
      <c r="H23267" s="5">
        <v>0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110.2</v>
      </c>
      <c r="D23268" s="5">
        <v>0.1</v>
      </c>
      <c r="E23268" s="5">
        <v>110.4</v>
      </c>
      <c r="F23268" s="5">
        <v>0</v>
      </c>
      <c r="G23268" s="5">
        <v>0</v>
      </c>
      <c r="H23268" s="5">
        <v>0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110.6</v>
      </c>
      <c r="D23269" s="5">
        <v>0.1</v>
      </c>
      <c r="E23269" s="5">
        <v>110.7</v>
      </c>
      <c r="F23269" s="5">
        <v>0</v>
      </c>
      <c r="G23269" s="5">
        <v>0</v>
      </c>
      <c r="H23269" s="5">
        <v>0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110.6</v>
      </c>
      <c r="D23270" s="5">
        <v>0.1</v>
      </c>
      <c r="E23270" s="5">
        <v>110.7</v>
      </c>
      <c r="F23270" s="5">
        <v>0</v>
      </c>
      <c r="G23270" s="5">
        <v>0</v>
      </c>
      <c r="H23270" s="5">
        <v>0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110.9</v>
      </c>
      <c r="D23271" s="5">
        <v>0.1</v>
      </c>
      <c r="E23271" s="5">
        <v>111</v>
      </c>
      <c r="F23271" s="5">
        <v>0</v>
      </c>
      <c r="G23271" s="5">
        <v>0</v>
      </c>
      <c r="H23271" s="5">
        <v>0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110.9</v>
      </c>
      <c r="D23272" s="5">
        <v>0.1</v>
      </c>
      <c r="E23272" s="5">
        <v>111</v>
      </c>
      <c r="F23272" s="5">
        <v>0</v>
      </c>
      <c r="G23272" s="5">
        <v>0</v>
      </c>
      <c r="H23272" s="5">
        <v>0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111.6</v>
      </c>
      <c r="D23273" s="5">
        <v>0.1</v>
      </c>
      <c r="E23273" s="5">
        <v>111.8</v>
      </c>
      <c r="F23273" s="5">
        <v>0</v>
      </c>
      <c r="G23273" s="5">
        <v>0</v>
      </c>
      <c r="H23273" s="5">
        <v>0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111.6</v>
      </c>
      <c r="D23274" s="5">
        <v>0.1</v>
      </c>
      <c r="E23274" s="5">
        <v>111.8</v>
      </c>
      <c r="F23274" s="5">
        <v>0</v>
      </c>
      <c r="G23274" s="5">
        <v>0</v>
      </c>
      <c r="H23274" s="5">
        <v>0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111.6</v>
      </c>
      <c r="D23275" s="5">
        <v>0.1</v>
      </c>
      <c r="E23275" s="5">
        <v>111.8</v>
      </c>
      <c r="F23275" s="5">
        <v>0</v>
      </c>
      <c r="G23275" s="5">
        <v>0</v>
      </c>
      <c r="H23275" s="5">
        <v>0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111.6</v>
      </c>
      <c r="D23276" s="5">
        <v>0.1</v>
      </c>
      <c r="E23276" s="5">
        <v>111.8</v>
      </c>
      <c r="F23276" s="5">
        <v>0</v>
      </c>
      <c r="G23276" s="5">
        <v>0</v>
      </c>
      <c r="H23276" s="5">
        <v>0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110.7</v>
      </c>
      <c r="D23277" s="5">
        <v>0.1</v>
      </c>
      <c r="E23277" s="5">
        <v>110.8</v>
      </c>
      <c r="F23277" s="5">
        <v>0</v>
      </c>
      <c r="G23277" s="5">
        <v>0</v>
      </c>
      <c r="H23277" s="5">
        <v>0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110.7</v>
      </c>
      <c r="D23278" s="5">
        <v>0.1</v>
      </c>
      <c r="E23278" s="5">
        <v>110.8</v>
      </c>
      <c r="F23278" s="5">
        <v>0</v>
      </c>
      <c r="G23278" s="5">
        <v>0</v>
      </c>
      <c r="H23278" s="5">
        <v>0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110.8</v>
      </c>
      <c r="D23279" s="5">
        <v>0.1</v>
      </c>
      <c r="E23279" s="5">
        <v>111</v>
      </c>
      <c r="F23279" s="5">
        <v>0</v>
      </c>
      <c r="G23279" s="5">
        <v>0</v>
      </c>
      <c r="H23279" s="5">
        <v>0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110.8</v>
      </c>
      <c r="D23280" s="5">
        <v>0.1</v>
      </c>
      <c r="E23280" s="5">
        <v>111</v>
      </c>
      <c r="F23280" s="5">
        <v>0</v>
      </c>
      <c r="G23280" s="5">
        <v>0</v>
      </c>
      <c r="H23280" s="5">
        <v>0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111.4</v>
      </c>
      <c r="D23281" s="5">
        <v>0.1</v>
      </c>
      <c r="E23281" s="5">
        <v>111.6</v>
      </c>
      <c r="F23281" s="5">
        <v>0</v>
      </c>
      <c r="G23281" s="5">
        <v>0</v>
      </c>
      <c r="H23281" s="5">
        <v>0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111.4</v>
      </c>
      <c r="D23282" s="5">
        <v>0.1</v>
      </c>
      <c r="E23282" s="5">
        <v>111.6</v>
      </c>
      <c r="F23282" s="5">
        <v>0</v>
      </c>
      <c r="G23282" s="5">
        <v>0</v>
      </c>
      <c r="H23282" s="5">
        <v>0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111.6</v>
      </c>
      <c r="D23283" s="5">
        <v>0.1</v>
      </c>
      <c r="E23283" s="5">
        <v>111.8</v>
      </c>
      <c r="F23283" s="5">
        <v>0</v>
      </c>
      <c r="G23283" s="5">
        <v>0</v>
      </c>
      <c r="H23283" s="5">
        <v>0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111.6</v>
      </c>
      <c r="D23284" s="5">
        <v>0.1</v>
      </c>
      <c r="E23284" s="5">
        <v>111.8</v>
      </c>
      <c r="F23284" s="5">
        <v>0</v>
      </c>
      <c r="G23284" s="5">
        <v>0</v>
      </c>
      <c r="H23284" s="5">
        <v>0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111.6</v>
      </c>
      <c r="D23285" s="5">
        <v>0.1</v>
      </c>
      <c r="E23285" s="5">
        <v>111.8</v>
      </c>
      <c r="F23285" s="5">
        <v>0</v>
      </c>
      <c r="G23285" s="5">
        <v>0</v>
      </c>
      <c r="H23285" s="5">
        <v>0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111.6</v>
      </c>
      <c r="D23286" s="5">
        <v>0.1</v>
      </c>
      <c r="E23286" s="5">
        <v>111.8</v>
      </c>
      <c r="F23286" s="5">
        <v>0</v>
      </c>
      <c r="G23286" s="5">
        <v>0</v>
      </c>
      <c r="H23286" s="5">
        <v>0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111.3</v>
      </c>
      <c r="D23287" s="5">
        <v>0.1</v>
      </c>
      <c r="E23287" s="5">
        <v>111.4</v>
      </c>
      <c r="F23287" s="5">
        <v>0</v>
      </c>
      <c r="G23287" s="5">
        <v>0</v>
      </c>
      <c r="H23287" s="5">
        <v>0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111.3</v>
      </c>
      <c r="D23288" s="5">
        <v>0.1</v>
      </c>
      <c r="E23288" s="5">
        <v>111.4</v>
      </c>
      <c r="F23288" s="5">
        <v>0</v>
      </c>
      <c r="G23288" s="5">
        <v>0</v>
      </c>
      <c r="H23288" s="5">
        <v>0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110.9</v>
      </c>
      <c r="D23289" s="5">
        <v>0.1</v>
      </c>
      <c r="E23289" s="5">
        <v>111</v>
      </c>
      <c r="F23289" s="5">
        <v>0</v>
      </c>
      <c r="G23289" s="5">
        <v>0</v>
      </c>
      <c r="H23289" s="5">
        <v>0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110.9</v>
      </c>
      <c r="D23290" s="5">
        <v>0.1</v>
      </c>
      <c r="E23290" s="5">
        <v>111</v>
      </c>
      <c r="F23290" s="5">
        <v>0</v>
      </c>
      <c r="G23290" s="5">
        <v>0</v>
      </c>
      <c r="H23290" s="5">
        <v>0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113</v>
      </c>
      <c r="D23291" s="5">
        <v>0.1</v>
      </c>
      <c r="E23291" s="5">
        <v>113.2</v>
      </c>
      <c r="F23291" s="5">
        <v>0</v>
      </c>
      <c r="G23291" s="5">
        <v>0</v>
      </c>
      <c r="H23291" s="5">
        <v>0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113</v>
      </c>
      <c r="D23292" s="5">
        <v>0.1</v>
      </c>
      <c r="E23292" s="5">
        <v>113.2</v>
      </c>
      <c r="F23292" s="5">
        <v>0</v>
      </c>
      <c r="G23292" s="5">
        <v>0</v>
      </c>
      <c r="H23292" s="5">
        <v>0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113.6</v>
      </c>
      <c r="D23293" s="5">
        <v>0.1</v>
      </c>
      <c r="E23293" s="5">
        <v>113.7</v>
      </c>
      <c r="F23293" s="5">
        <v>0</v>
      </c>
      <c r="G23293" s="5">
        <v>0</v>
      </c>
      <c r="H23293" s="5">
        <v>0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113.6</v>
      </c>
      <c r="D23294" s="5">
        <v>0.1</v>
      </c>
      <c r="E23294" s="5">
        <v>113.7</v>
      </c>
      <c r="F23294" s="5">
        <v>0</v>
      </c>
      <c r="G23294" s="5">
        <v>0</v>
      </c>
      <c r="H23294" s="5">
        <v>0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113.6</v>
      </c>
      <c r="D23295" s="5">
        <v>0.1</v>
      </c>
      <c r="E23295" s="5">
        <v>113.7</v>
      </c>
      <c r="F23295" s="5">
        <v>0</v>
      </c>
      <c r="G23295" s="5">
        <v>0</v>
      </c>
      <c r="H23295" s="5">
        <v>0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113.2</v>
      </c>
      <c r="D23296" s="5">
        <v>0.1</v>
      </c>
      <c r="E23296" s="5">
        <v>113.4</v>
      </c>
      <c r="F23296" s="5">
        <v>0</v>
      </c>
      <c r="G23296" s="5">
        <v>0</v>
      </c>
      <c r="H23296" s="5">
        <v>0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113.2</v>
      </c>
      <c r="D23297" s="5">
        <v>0.1</v>
      </c>
      <c r="E23297" s="5">
        <v>113.4</v>
      </c>
      <c r="F23297" s="5">
        <v>0</v>
      </c>
      <c r="G23297" s="5">
        <v>0</v>
      </c>
      <c r="H23297" s="5">
        <v>0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113.2</v>
      </c>
      <c r="D23298" s="5">
        <v>0.1</v>
      </c>
      <c r="E23298" s="5">
        <v>112.6</v>
      </c>
      <c r="F23298" s="5">
        <v>0</v>
      </c>
      <c r="G23298" s="5">
        <v>0</v>
      </c>
      <c r="H23298" s="5">
        <v>0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112.5</v>
      </c>
      <c r="D23299" s="5">
        <v>0.1</v>
      </c>
      <c r="E23299" s="5">
        <v>112.6</v>
      </c>
      <c r="F23299" s="5">
        <v>0</v>
      </c>
      <c r="G23299" s="5">
        <v>0</v>
      </c>
      <c r="H23299" s="5">
        <v>0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112.5</v>
      </c>
      <c r="D23300" s="5">
        <v>0.1</v>
      </c>
      <c r="E23300" s="5">
        <v>112.6</v>
      </c>
      <c r="F23300" s="5">
        <v>0</v>
      </c>
      <c r="G23300" s="5">
        <v>0</v>
      </c>
      <c r="H23300" s="5">
        <v>0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112.4</v>
      </c>
      <c r="D23301" s="5">
        <v>0.1</v>
      </c>
      <c r="E23301" s="5">
        <v>112.6</v>
      </c>
      <c r="F23301" s="5">
        <v>0</v>
      </c>
      <c r="G23301" s="5">
        <v>0</v>
      </c>
      <c r="H23301" s="5">
        <v>0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112.4</v>
      </c>
      <c r="D23302" s="5">
        <v>0.1</v>
      </c>
      <c r="E23302" s="5">
        <v>111.3</v>
      </c>
      <c r="F23302" s="5">
        <v>0</v>
      </c>
      <c r="G23302" s="5">
        <v>0</v>
      </c>
      <c r="H23302" s="5">
        <v>0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111.1</v>
      </c>
      <c r="D23303" s="5">
        <v>0.1</v>
      </c>
      <c r="E23303" s="5">
        <v>111.3</v>
      </c>
      <c r="F23303" s="5">
        <v>0</v>
      </c>
      <c r="G23303" s="5">
        <v>0</v>
      </c>
      <c r="H23303" s="5">
        <v>0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111.1</v>
      </c>
      <c r="D23304" s="5">
        <v>0.1</v>
      </c>
      <c r="E23304" s="5">
        <v>111.3</v>
      </c>
      <c r="F23304" s="5">
        <v>0</v>
      </c>
      <c r="G23304" s="5">
        <v>0</v>
      </c>
      <c r="H23304" s="5">
        <v>0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111.1</v>
      </c>
      <c r="D23305" s="5">
        <v>0.1</v>
      </c>
      <c r="E23305" s="5">
        <v>111.3</v>
      </c>
      <c r="F23305" s="5">
        <v>0</v>
      </c>
      <c r="G23305" s="5">
        <v>0</v>
      </c>
      <c r="H23305" s="5">
        <v>0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111.7</v>
      </c>
      <c r="D23306" s="5">
        <v>0.1</v>
      </c>
      <c r="E23306" s="5">
        <v>111.9</v>
      </c>
      <c r="F23306" s="5">
        <v>0</v>
      </c>
      <c r="G23306" s="5">
        <v>0</v>
      </c>
      <c r="H23306" s="5">
        <v>0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111.7</v>
      </c>
      <c r="D23307" s="5">
        <v>0.1</v>
      </c>
      <c r="E23307" s="5">
        <v>111.9</v>
      </c>
      <c r="F23307" s="5">
        <v>0</v>
      </c>
      <c r="G23307" s="5">
        <v>0</v>
      </c>
      <c r="H23307" s="5">
        <v>0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109.7</v>
      </c>
      <c r="D23308" s="5">
        <v>0.1</v>
      </c>
      <c r="E23308" s="5">
        <v>109.8</v>
      </c>
      <c r="F23308" s="5">
        <v>0</v>
      </c>
      <c r="G23308" s="5">
        <v>0</v>
      </c>
      <c r="H23308" s="5">
        <v>0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109.7</v>
      </c>
      <c r="D23309" s="5">
        <v>0.1</v>
      </c>
      <c r="E23309" s="5">
        <v>109.8</v>
      </c>
      <c r="F23309" s="5">
        <v>0</v>
      </c>
      <c r="G23309" s="5">
        <v>0</v>
      </c>
      <c r="H23309" s="5">
        <v>0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111.3</v>
      </c>
      <c r="D23310" s="5">
        <v>0.1</v>
      </c>
      <c r="E23310" s="5">
        <v>111.5</v>
      </c>
      <c r="F23310" s="5">
        <v>0</v>
      </c>
      <c r="G23310" s="5">
        <v>0</v>
      </c>
      <c r="H23310" s="5">
        <v>0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111.3</v>
      </c>
      <c r="D23311" s="5">
        <v>0.1</v>
      </c>
      <c r="E23311" s="5">
        <v>111.5</v>
      </c>
      <c r="F23311" s="5">
        <v>0</v>
      </c>
      <c r="G23311" s="5">
        <v>0</v>
      </c>
      <c r="H23311" s="5">
        <v>0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110.9</v>
      </c>
      <c r="D23312" s="5">
        <v>0.1</v>
      </c>
      <c r="E23312" s="5">
        <v>111</v>
      </c>
      <c r="F23312" s="5">
        <v>0</v>
      </c>
      <c r="G23312" s="5">
        <v>0</v>
      </c>
      <c r="H23312" s="5">
        <v>0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110.9</v>
      </c>
      <c r="D23313" s="5">
        <v>0.1</v>
      </c>
      <c r="E23313" s="5">
        <v>111</v>
      </c>
      <c r="F23313" s="5">
        <v>0</v>
      </c>
      <c r="G23313" s="5">
        <v>0</v>
      </c>
      <c r="H23313" s="5">
        <v>0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110.9</v>
      </c>
      <c r="D23314" s="5">
        <v>0.1</v>
      </c>
      <c r="E23314" s="5">
        <v>111</v>
      </c>
      <c r="F23314" s="5">
        <v>0</v>
      </c>
      <c r="G23314" s="5">
        <v>0</v>
      </c>
      <c r="H23314" s="5">
        <v>0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110.9</v>
      </c>
      <c r="D23315" s="5">
        <v>0.1</v>
      </c>
      <c r="E23315" s="5">
        <v>111</v>
      </c>
      <c r="F23315" s="5">
        <v>0</v>
      </c>
      <c r="G23315" s="5">
        <v>0</v>
      </c>
      <c r="H23315" s="5">
        <v>0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111.3</v>
      </c>
      <c r="D23316" s="5">
        <v>0.1</v>
      </c>
      <c r="E23316" s="5">
        <v>111.4</v>
      </c>
      <c r="F23316" s="5">
        <v>0</v>
      </c>
      <c r="G23316" s="5">
        <v>0</v>
      </c>
      <c r="H23316" s="5">
        <v>0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111.3</v>
      </c>
      <c r="D23317" s="5">
        <v>0.1</v>
      </c>
      <c r="E23317" s="5">
        <v>111.4</v>
      </c>
      <c r="F23317" s="5">
        <v>0</v>
      </c>
      <c r="G23317" s="5">
        <v>0</v>
      </c>
      <c r="H23317" s="5">
        <v>0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110.7</v>
      </c>
      <c r="D23318" s="5">
        <v>0.1</v>
      </c>
      <c r="E23318" s="5">
        <v>110.8</v>
      </c>
      <c r="F23318" s="5">
        <v>0</v>
      </c>
      <c r="G23318" s="5">
        <v>0</v>
      </c>
      <c r="H23318" s="5">
        <v>0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110.7</v>
      </c>
      <c r="D23319" s="5">
        <v>0.1</v>
      </c>
      <c r="E23319" s="5">
        <v>110.8</v>
      </c>
      <c r="F23319" s="5">
        <v>0</v>
      </c>
      <c r="G23319" s="5">
        <v>0</v>
      </c>
      <c r="H23319" s="5">
        <v>0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111.1</v>
      </c>
      <c r="D23320" s="5">
        <v>0.1</v>
      </c>
      <c r="E23320" s="5">
        <v>111.3</v>
      </c>
      <c r="F23320" s="5">
        <v>0</v>
      </c>
      <c r="G23320" s="5">
        <v>0</v>
      </c>
      <c r="H23320" s="5">
        <v>0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111.1</v>
      </c>
      <c r="D23321" s="5">
        <v>0.1</v>
      </c>
      <c r="E23321" s="5">
        <v>111.3</v>
      </c>
      <c r="F23321" s="5">
        <v>0</v>
      </c>
      <c r="G23321" s="5">
        <v>0</v>
      </c>
      <c r="H23321" s="5">
        <v>0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111</v>
      </c>
      <c r="D23322" s="5">
        <v>0.1</v>
      </c>
      <c r="E23322" s="5">
        <v>111.2</v>
      </c>
      <c r="F23322" s="5">
        <v>0</v>
      </c>
      <c r="G23322" s="5">
        <v>0</v>
      </c>
      <c r="H23322" s="5">
        <v>0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111</v>
      </c>
      <c r="D23323" s="5">
        <v>0.1</v>
      </c>
      <c r="E23323" s="5">
        <v>111.2</v>
      </c>
      <c r="F23323" s="5">
        <v>0</v>
      </c>
      <c r="G23323" s="5">
        <v>0</v>
      </c>
      <c r="H23323" s="5">
        <v>0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111</v>
      </c>
      <c r="D23324" s="5">
        <v>0.1</v>
      </c>
      <c r="E23324" s="5">
        <v>111.2</v>
      </c>
      <c r="F23324" s="5">
        <v>0</v>
      </c>
      <c r="G23324" s="5">
        <v>0</v>
      </c>
      <c r="H23324" s="5">
        <v>0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111</v>
      </c>
      <c r="D23325" s="5">
        <v>0.1</v>
      </c>
      <c r="E23325" s="5">
        <v>111.2</v>
      </c>
      <c r="F23325" s="5">
        <v>0</v>
      </c>
      <c r="G23325" s="5">
        <v>0</v>
      </c>
      <c r="H23325" s="5">
        <v>0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110.7</v>
      </c>
      <c r="D23326" s="5">
        <v>0.1</v>
      </c>
      <c r="E23326" s="5">
        <v>111</v>
      </c>
      <c r="F23326" s="5">
        <v>0</v>
      </c>
      <c r="G23326" s="5">
        <v>0</v>
      </c>
      <c r="H23326" s="5">
        <v>0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110.7</v>
      </c>
      <c r="D23327" s="5">
        <v>0.1</v>
      </c>
      <c r="E23327" s="5">
        <v>111</v>
      </c>
      <c r="F23327" s="5">
        <v>0</v>
      </c>
      <c r="G23327" s="5">
        <v>0</v>
      </c>
      <c r="H23327" s="5">
        <v>0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110.9</v>
      </c>
      <c r="D23328" s="5">
        <v>0.1</v>
      </c>
      <c r="E23328" s="5">
        <v>111</v>
      </c>
      <c r="F23328" s="5">
        <v>0</v>
      </c>
      <c r="G23328" s="5">
        <v>0</v>
      </c>
      <c r="H23328" s="5">
        <v>0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110.9</v>
      </c>
      <c r="D23329" s="5">
        <v>0.1</v>
      </c>
      <c r="E23329" s="5">
        <v>111</v>
      </c>
      <c r="F23329" s="5">
        <v>0</v>
      </c>
      <c r="G23329" s="5">
        <v>0</v>
      </c>
      <c r="H23329" s="5">
        <v>0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110.9</v>
      </c>
      <c r="D23330" s="5">
        <v>0.1</v>
      </c>
      <c r="E23330" s="5">
        <v>111</v>
      </c>
      <c r="F23330" s="5">
        <v>0</v>
      </c>
      <c r="G23330" s="5">
        <v>0</v>
      </c>
      <c r="H23330" s="5">
        <v>0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110.9</v>
      </c>
      <c r="D23331" s="5">
        <v>0.1</v>
      </c>
      <c r="E23331" s="5">
        <v>111</v>
      </c>
      <c r="F23331" s="5">
        <v>0</v>
      </c>
      <c r="G23331" s="5">
        <v>0</v>
      </c>
      <c r="H23331" s="5">
        <v>0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109.3</v>
      </c>
      <c r="D23332" s="5">
        <v>0.1</v>
      </c>
      <c r="E23332" s="5">
        <v>109.4</v>
      </c>
      <c r="F23332" s="5">
        <v>0</v>
      </c>
      <c r="G23332" s="5">
        <v>0</v>
      </c>
      <c r="H23332" s="5">
        <v>0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109.3</v>
      </c>
      <c r="D23333" s="5">
        <v>0.1</v>
      </c>
      <c r="E23333" s="5">
        <v>109.4</v>
      </c>
      <c r="F23333" s="5">
        <v>0</v>
      </c>
      <c r="G23333" s="5">
        <v>0</v>
      </c>
      <c r="H23333" s="5">
        <v>0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109.3</v>
      </c>
      <c r="D23334" s="5">
        <v>0.1</v>
      </c>
      <c r="E23334" s="5">
        <v>109.4</v>
      </c>
      <c r="F23334" s="5">
        <v>0</v>
      </c>
      <c r="G23334" s="5">
        <v>0</v>
      </c>
      <c r="H23334" s="5">
        <v>0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109.3</v>
      </c>
      <c r="D23335" s="5">
        <v>0.1</v>
      </c>
      <c r="E23335" s="5">
        <v>109.4</v>
      </c>
      <c r="F23335" s="5">
        <v>0</v>
      </c>
      <c r="G23335" s="5">
        <v>0</v>
      </c>
      <c r="H23335" s="5">
        <v>0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110.2</v>
      </c>
      <c r="D23336" s="5">
        <v>0.1</v>
      </c>
      <c r="E23336" s="5">
        <v>110.4</v>
      </c>
      <c r="F23336" s="5">
        <v>0</v>
      </c>
      <c r="G23336" s="5">
        <v>0</v>
      </c>
      <c r="H23336" s="5">
        <v>0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110.2</v>
      </c>
      <c r="D23337" s="5">
        <v>0.1</v>
      </c>
      <c r="E23337" s="5">
        <v>110.4</v>
      </c>
      <c r="F23337" s="5">
        <v>0</v>
      </c>
      <c r="G23337" s="5">
        <v>0</v>
      </c>
      <c r="H23337" s="5">
        <v>0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109.1</v>
      </c>
      <c r="D23338" s="5">
        <v>0.1</v>
      </c>
      <c r="E23338" s="5">
        <v>109.2</v>
      </c>
      <c r="F23338" s="5">
        <v>0</v>
      </c>
      <c r="G23338" s="5">
        <v>0</v>
      </c>
      <c r="H23338" s="5">
        <v>0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109.1</v>
      </c>
      <c r="D23339" s="5">
        <v>0.1</v>
      </c>
      <c r="E23339" s="5">
        <v>109.2</v>
      </c>
      <c r="F23339" s="5">
        <v>0</v>
      </c>
      <c r="G23339" s="5">
        <v>0</v>
      </c>
      <c r="H23339" s="5">
        <v>0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109.7</v>
      </c>
      <c r="D23340" s="5">
        <v>0.1</v>
      </c>
      <c r="E23340" s="5">
        <v>109.9</v>
      </c>
      <c r="F23340" s="5">
        <v>0</v>
      </c>
      <c r="G23340" s="5">
        <v>0</v>
      </c>
      <c r="H23340" s="5">
        <v>0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109.7</v>
      </c>
      <c r="D23341" s="5">
        <v>0.1</v>
      </c>
      <c r="E23341" s="5">
        <v>109.9</v>
      </c>
      <c r="F23341" s="5">
        <v>0</v>
      </c>
      <c r="G23341" s="5">
        <v>0</v>
      </c>
      <c r="H23341" s="5">
        <v>0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110.2</v>
      </c>
      <c r="D23342" s="5">
        <v>0.1</v>
      </c>
      <c r="E23342" s="5">
        <v>110.4</v>
      </c>
      <c r="F23342" s="5">
        <v>0</v>
      </c>
      <c r="G23342" s="5">
        <v>0</v>
      </c>
      <c r="H23342" s="5">
        <v>0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110.2</v>
      </c>
      <c r="D23343" s="5">
        <v>0.1</v>
      </c>
      <c r="E23343" s="5">
        <v>110.4</v>
      </c>
      <c r="F23343" s="5">
        <v>0</v>
      </c>
      <c r="G23343" s="5">
        <v>0</v>
      </c>
      <c r="H23343" s="5">
        <v>0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110.2</v>
      </c>
      <c r="D23344" s="5">
        <v>0.1</v>
      </c>
      <c r="E23344" s="5">
        <v>110.4</v>
      </c>
      <c r="F23344" s="5">
        <v>0</v>
      </c>
      <c r="G23344" s="5">
        <v>0</v>
      </c>
      <c r="H23344" s="5">
        <v>0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110.2</v>
      </c>
      <c r="D23345" s="5">
        <v>0.1</v>
      </c>
      <c r="E23345" s="5">
        <v>110.4</v>
      </c>
      <c r="F23345" s="5">
        <v>0</v>
      </c>
      <c r="G23345" s="5">
        <v>0</v>
      </c>
      <c r="H23345" s="5">
        <v>0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111</v>
      </c>
      <c r="D23346" s="5">
        <v>0.1</v>
      </c>
      <c r="E23346" s="5">
        <v>111.1</v>
      </c>
      <c r="F23346" s="5">
        <v>0</v>
      </c>
      <c r="G23346" s="5">
        <v>0</v>
      </c>
      <c r="H23346" s="5">
        <v>0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111</v>
      </c>
      <c r="D23347" s="5">
        <v>0.1</v>
      </c>
      <c r="E23347" s="5">
        <v>111.1</v>
      </c>
      <c r="F23347" s="5">
        <v>0</v>
      </c>
      <c r="G23347" s="5">
        <v>0</v>
      </c>
      <c r="H23347" s="5">
        <v>0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109.8</v>
      </c>
      <c r="D23348" s="5">
        <v>0.1</v>
      </c>
      <c r="E23348" s="5">
        <v>110</v>
      </c>
      <c r="F23348" s="5">
        <v>0</v>
      </c>
      <c r="G23348" s="5">
        <v>0</v>
      </c>
      <c r="H23348" s="5">
        <v>0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109.8</v>
      </c>
      <c r="D23349" s="5">
        <v>0.1</v>
      </c>
      <c r="E23349" s="5">
        <v>110</v>
      </c>
      <c r="F23349" s="5">
        <v>0</v>
      </c>
      <c r="G23349" s="5">
        <v>0</v>
      </c>
      <c r="H23349" s="5">
        <v>0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109.8</v>
      </c>
      <c r="D23350" s="5">
        <v>0.1</v>
      </c>
      <c r="E23350" s="5">
        <v>110</v>
      </c>
      <c r="F23350" s="5">
        <v>0</v>
      </c>
      <c r="G23350" s="5">
        <v>0</v>
      </c>
      <c r="H23350" s="5">
        <v>0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109.8</v>
      </c>
      <c r="D23351" s="5">
        <v>0.1</v>
      </c>
      <c r="E23351" s="5">
        <v>110</v>
      </c>
      <c r="F23351" s="5">
        <v>0</v>
      </c>
      <c r="G23351" s="5">
        <v>0</v>
      </c>
      <c r="H23351" s="5">
        <v>0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110.4</v>
      </c>
      <c r="D23352" s="5">
        <v>0.1</v>
      </c>
      <c r="E23352" s="5">
        <v>110.6</v>
      </c>
      <c r="F23352" s="5">
        <v>0</v>
      </c>
      <c r="G23352" s="5">
        <v>0</v>
      </c>
      <c r="H23352" s="5">
        <v>0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110.4</v>
      </c>
      <c r="D23353" s="5">
        <v>0.1</v>
      </c>
      <c r="E23353" s="5">
        <v>110.6</v>
      </c>
      <c r="F23353" s="5">
        <v>0</v>
      </c>
      <c r="G23353" s="5">
        <v>0</v>
      </c>
      <c r="H23353" s="5">
        <v>0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110.4</v>
      </c>
      <c r="D23354" s="5">
        <v>0.1</v>
      </c>
      <c r="E23354" s="5">
        <v>110.6</v>
      </c>
      <c r="F23354" s="5">
        <v>0</v>
      </c>
      <c r="G23354" s="5">
        <v>0</v>
      </c>
      <c r="H23354" s="5">
        <v>0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110.4</v>
      </c>
      <c r="D23355" s="5">
        <v>0.1</v>
      </c>
      <c r="E23355" s="5">
        <v>110.6</v>
      </c>
      <c r="F23355" s="5">
        <v>0</v>
      </c>
      <c r="G23355" s="5">
        <v>0</v>
      </c>
      <c r="H23355" s="5">
        <v>0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111</v>
      </c>
      <c r="D23356" s="5">
        <v>0.1</v>
      </c>
      <c r="E23356" s="5">
        <v>111.2</v>
      </c>
      <c r="F23356" s="5">
        <v>0</v>
      </c>
      <c r="G23356" s="5">
        <v>0</v>
      </c>
      <c r="H23356" s="5">
        <v>0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111</v>
      </c>
      <c r="D23357" s="5">
        <v>0.1</v>
      </c>
      <c r="E23357" s="5">
        <v>111.2</v>
      </c>
      <c r="F23357" s="5">
        <v>0</v>
      </c>
      <c r="G23357" s="5">
        <v>0</v>
      </c>
      <c r="H23357" s="5">
        <v>0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110.9</v>
      </c>
      <c r="D23358" s="5">
        <v>0.1</v>
      </c>
      <c r="E23358" s="5">
        <v>111</v>
      </c>
      <c r="F23358" s="5">
        <v>0</v>
      </c>
      <c r="G23358" s="5">
        <v>0</v>
      </c>
      <c r="H23358" s="5">
        <v>0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110.9</v>
      </c>
      <c r="D23359" s="5">
        <v>0.1</v>
      </c>
      <c r="E23359" s="5">
        <v>111</v>
      </c>
      <c r="F23359" s="5">
        <v>0</v>
      </c>
      <c r="G23359" s="5">
        <v>0</v>
      </c>
      <c r="H23359" s="5">
        <v>0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111.4</v>
      </c>
      <c r="D23360" s="5">
        <v>0.1</v>
      </c>
      <c r="E23360" s="5">
        <v>111.6</v>
      </c>
      <c r="F23360" s="5">
        <v>0</v>
      </c>
      <c r="G23360" s="5">
        <v>0</v>
      </c>
      <c r="H23360" s="5">
        <v>0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111.4</v>
      </c>
      <c r="D23361" s="5">
        <v>0.1</v>
      </c>
      <c r="E23361" s="5">
        <v>111.6</v>
      </c>
      <c r="F23361" s="5">
        <v>0</v>
      </c>
      <c r="G23361" s="5">
        <v>0</v>
      </c>
      <c r="H23361" s="5">
        <v>0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110.7</v>
      </c>
      <c r="D23362" s="5">
        <v>0.1</v>
      </c>
      <c r="E23362" s="5">
        <v>110.9</v>
      </c>
      <c r="F23362" s="5">
        <v>0</v>
      </c>
      <c r="G23362" s="5">
        <v>0</v>
      </c>
      <c r="H23362" s="5">
        <v>0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110.7</v>
      </c>
      <c r="D23363" s="5">
        <v>0.1</v>
      </c>
      <c r="E23363" s="5">
        <v>110.9</v>
      </c>
      <c r="F23363" s="5">
        <v>0</v>
      </c>
      <c r="G23363" s="5">
        <v>0</v>
      </c>
      <c r="H23363" s="5">
        <v>0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110.7</v>
      </c>
      <c r="D23364" s="5">
        <v>0.1</v>
      </c>
      <c r="E23364" s="5">
        <v>110.9</v>
      </c>
      <c r="F23364" s="5">
        <v>0</v>
      </c>
      <c r="G23364" s="5">
        <v>0</v>
      </c>
      <c r="H23364" s="5">
        <v>0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110.7</v>
      </c>
      <c r="D23365" s="5">
        <v>0.1</v>
      </c>
      <c r="E23365" s="5">
        <v>110.9</v>
      </c>
      <c r="F23365" s="5">
        <v>0</v>
      </c>
      <c r="G23365" s="5">
        <v>0</v>
      </c>
      <c r="H23365" s="5">
        <v>0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110.8</v>
      </c>
      <c r="D23366" s="5">
        <v>0.1</v>
      </c>
      <c r="E23366" s="5">
        <v>111</v>
      </c>
      <c r="F23366" s="5">
        <v>0</v>
      </c>
      <c r="G23366" s="5">
        <v>0</v>
      </c>
      <c r="H23366" s="5">
        <v>0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110.8</v>
      </c>
      <c r="D23367" s="5">
        <v>0.1</v>
      </c>
      <c r="E23367" s="5">
        <v>111</v>
      </c>
      <c r="F23367" s="5">
        <v>0</v>
      </c>
      <c r="G23367" s="5">
        <v>0</v>
      </c>
      <c r="H23367" s="5">
        <v>0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111.3</v>
      </c>
      <c r="D23368" s="5">
        <v>0.1</v>
      </c>
      <c r="E23368" s="5">
        <v>111.4</v>
      </c>
      <c r="F23368" s="5">
        <v>0</v>
      </c>
      <c r="G23368" s="5">
        <v>0</v>
      </c>
      <c r="H23368" s="5">
        <v>0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111.3</v>
      </c>
      <c r="D23369" s="5">
        <v>0.1</v>
      </c>
      <c r="E23369" s="5">
        <v>111.4</v>
      </c>
      <c r="F23369" s="5">
        <v>0</v>
      </c>
      <c r="G23369" s="5">
        <v>0</v>
      </c>
      <c r="H23369" s="5">
        <v>0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111</v>
      </c>
      <c r="D23370" s="5">
        <v>0.1</v>
      </c>
      <c r="E23370" s="5">
        <v>111.2</v>
      </c>
      <c r="F23370" s="5">
        <v>0</v>
      </c>
      <c r="G23370" s="5">
        <v>0</v>
      </c>
      <c r="H23370" s="5">
        <v>0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111</v>
      </c>
      <c r="D23371" s="5">
        <v>0.1</v>
      </c>
      <c r="E23371" s="5">
        <v>111.2</v>
      </c>
      <c r="F23371" s="5">
        <v>0</v>
      </c>
      <c r="G23371" s="5">
        <v>0</v>
      </c>
      <c r="H23371" s="5">
        <v>0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111.5</v>
      </c>
      <c r="D23372" s="5">
        <v>0.1</v>
      </c>
      <c r="E23372" s="5">
        <v>111.6</v>
      </c>
      <c r="F23372" s="5">
        <v>0</v>
      </c>
      <c r="G23372" s="5">
        <v>0</v>
      </c>
      <c r="H23372" s="5">
        <v>0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111.5</v>
      </c>
      <c r="D23373" s="5">
        <v>0.1</v>
      </c>
      <c r="E23373" s="5">
        <v>111.6</v>
      </c>
      <c r="F23373" s="5">
        <v>0</v>
      </c>
      <c r="G23373" s="5">
        <v>0</v>
      </c>
      <c r="H23373" s="5">
        <v>0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111.5</v>
      </c>
      <c r="D23374" s="5">
        <v>0.1</v>
      </c>
      <c r="E23374" s="5">
        <v>111.6</v>
      </c>
      <c r="F23374" s="5">
        <v>0</v>
      </c>
      <c r="G23374" s="5">
        <v>0</v>
      </c>
      <c r="H23374" s="5">
        <v>0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111.5</v>
      </c>
      <c r="D23375" s="5">
        <v>0.1</v>
      </c>
      <c r="E23375" s="5">
        <v>111.6</v>
      </c>
      <c r="F23375" s="5">
        <v>0</v>
      </c>
      <c r="G23375" s="5">
        <v>0</v>
      </c>
      <c r="H23375" s="5">
        <v>0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111.9</v>
      </c>
      <c r="D23376" s="5">
        <v>0.1</v>
      </c>
      <c r="E23376" s="5">
        <v>112</v>
      </c>
      <c r="F23376" s="5">
        <v>0</v>
      </c>
      <c r="G23376" s="5">
        <v>0</v>
      </c>
      <c r="H23376" s="5">
        <v>0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111.9</v>
      </c>
      <c r="D23377" s="5">
        <v>0.1</v>
      </c>
      <c r="E23377" s="5">
        <v>112</v>
      </c>
      <c r="F23377" s="5">
        <v>0</v>
      </c>
      <c r="G23377" s="5">
        <v>0</v>
      </c>
      <c r="H23377" s="5">
        <v>0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111.3</v>
      </c>
      <c r="D23378" s="5">
        <v>0.1</v>
      </c>
      <c r="E23378" s="5">
        <v>111.5</v>
      </c>
      <c r="F23378" s="5">
        <v>0</v>
      </c>
      <c r="G23378" s="5">
        <v>0</v>
      </c>
      <c r="H23378" s="5">
        <v>0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111.3</v>
      </c>
      <c r="D23379" s="5">
        <v>0.1</v>
      </c>
      <c r="E23379" s="5">
        <v>111.5</v>
      </c>
      <c r="F23379" s="5">
        <v>0</v>
      </c>
      <c r="G23379" s="5">
        <v>0</v>
      </c>
      <c r="H23379" s="5">
        <v>0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110.8</v>
      </c>
      <c r="D23380" s="5">
        <v>0.1</v>
      </c>
      <c r="E23380" s="5">
        <v>111</v>
      </c>
      <c r="F23380" s="5">
        <v>0</v>
      </c>
      <c r="G23380" s="5">
        <v>0</v>
      </c>
      <c r="H23380" s="5">
        <v>0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110.8</v>
      </c>
      <c r="D23381" s="5">
        <v>0.1</v>
      </c>
      <c r="E23381" s="5">
        <v>111</v>
      </c>
      <c r="F23381" s="5">
        <v>0</v>
      </c>
      <c r="G23381" s="5">
        <v>0</v>
      </c>
      <c r="H23381" s="5">
        <v>0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111</v>
      </c>
      <c r="D23382" s="5">
        <v>0.1</v>
      </c>
      <c r="E23382" s="5">
        <v>111.2</v>
      </c>
      <c r="F23382" s="5">
        <v>0</v>
      </c>
      <c r="G23382" s="5">
        <v>0</v>
      </c>
      <c r="H23382" s="5">
        <v>0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111</v>
      </c>
      <c r="D23383" s="5">
        <v>0.1</v>
      </c>
      <c r="E23383" s="5">
        <v>111.2</v>
      </c>
      <c r="F23383" s="5">
        <v>0</v>
      </c>
      <c r="G23383" s="5">
        <v>0</v>
      </c>
      <c r="H23383" s="5">
        <v>0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111</v>
      </c>
      <c r="D23384" s="5">
        <v>0.1</v>
      </c>
      <c r="E23384" s="5">
        <v>111.2</v>
      </c>
      <c r="F23384" s="5">
        <v>0</v>
      </c>
      <c r="G23384" s="5">
        <v>0</v>
      </c>
      <c r="H23384" s="5">
        <v>0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111</v>
      </c>
      <c r="D23385" s="5">
        <v>0.1</v>
      </c>
      <c r="E23385" s="5">
        <v>111.2</v>
      </c>
      <c r="F23385" s="5">
        <v>0</v>
      </c>
      <c r="G23385" s="5">
        <v>0</v>
      </c>
      <c r="H23385" s="5">
        <v>0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111.3</v>
      </c>
      <c r="D23386" s="5">
        <v>0.1</v>
      </c>
      <c r="E23386" s="5">
        <v>111.4</v>
      </c>
      <c r="F23386" s="5">
        <v>0</v>
      </c>
      <c r="G23386" s="5">
        <v>0</v>
      </c>
      <c r="H23386" s="5">
        <v>0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111.3</v>
      </c>
      <c r="D23387" s="5">
        <v>0.1</v>
      </c>
      <c r="E23387" s="5">
        <v>111.4</v>
      </c>
      <c r="F23387" s="5">
        <v>0</v>
      </c>
      <c r="G23387" s="5">
        <v>0</v>
      </c>
      <c r="H23387" s="5">
        <v>0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111.3</v>
      </c>
      <c r="D23388" s="5">
        <v>0.1</v>
      </c>
      <c r="E23388" s="5">
        <v>111.5</v>
      </c>
      <c r="F23388" s="5">
        <v>0</v>
      </c>
      <c r="G23388" s="5">
        <v>0</v>
      </c>
      <c r="H23388" s="5">
        <v>0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111.3</v>
      </c>
      <c r="D23389" s="5">
        <v>0.1</v>
      </c>
      <c r="E23389" s="5">
        <v>111.5</v>
      </c>
      <c r="F23389" s="5">
        <v>0</v>
      </c>
      <c r="G23389" s="5">
        <v>0</v>
      </c>
      <c r="H23389" s="5">
        <v>0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111.1</v>
      </c>
      <c r="D23390" s="5">
        <v>0.1</v>
      </c>
      <c r="E23390" s="5">
        <v>111.3</v>
      </c>
      <c r="F23390" s="5">
        <v>0</v>
      </c>
      <c r="G23390" s="5">
        <v>0</v>
      </c>
      <c r="H23390" s="5">
        <v>0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111.1</v>
      </c>
      <c r="D23391" s="5">
        <v>0.1</v>
      </c>
      <c r="E23391" s="5">
        <v>111.3</v>
      </c>
      <c r="F23391" s="5">
        <v>0</v>
      </c>
      <c r="G23391" s="5">
        <v>0</v>
      </c>
      <c r="H23391" s="5">
        <v>0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111.6</v>
      </c>
      <c r="D23392" s="5">
        <v>0.1</v>
      </c>
      <c r="E23392" s="5">
        <v>111.8</v>
      </c>
      <c r="F23392" s="5">
        <v>0</v>
      </c>
      <c r="G23392" s="5">
        <v>0</v>
      </c>
      <c r="H23392" s="5">
        <v>0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111.6</v>
      </c>
      <c r="D23393" s="5">
        <v>0.1</v>
      </c>
      <c r="E23393" s="5">
        <v>111.8</v>
      </c>
      <c r="F23393" s="5">
        <v>0</v>
      </c>
      <c r="G23393" s="5">
        <v>0</v>
      </c>
      <c r="H23393" s="5">
        <v>0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111.6</v>
      </c>
      <c r="D23394" s="5">
        <v>0.1</v>
      </c>
      <c r="E23394" s="5">
        <v>111.8</v>
      </c>
      <c r="F23394" s="5">
        <v>0</v>
      </c>
      <c r="G23394" s="5">
        <v>0</v>
      </c>
      <c r="H23394" s="5">
        <v>0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111.6</v>
      </c>
      <c r="D23395" s="5">
        <v>0.1</v>
      </c>
      <c r="E23395" s="5">
        <v>111.8</v>
      </c>
      <c r="F23395" s="5">
        <v>0</v>
      </c>
      <c r="G23395" s="5">
        <v>0</v>
      </c>
      <c r="H23395" s="5">
        <v>0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112.1</v>
      </c>
      <c r="D23396" s="5">
        <v>0.1</v>
      </c>
      <c r="E23396" s="5">
        <v>112.3</v>
      </c>
      <c r="F23396" s="5">
        <v>0</v>
      </c>
      <c r="G23396" s="5">
        <v>0</v>
      </c>
      <c r="H23396" s="5">
        <v>0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112.1</v>
      </c>
      <c r="D23397" s="5">
        <v>0.1</v>
      </c>
      <c r="E23397" s="5">
        <v>112.3</v>
      </c>
      <c r="F23397" s="5">
        <v>0</v>
      </c>
      <c r="G23397" s="5">
        <v>0</v>
      </c>
      <c r="H23397" s="5">
        <v>0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111.6</v>
      </c>
      <c r="D23398" s="5">
        <v>0.1</v>
      </c>
      <c r="E23398" s="5">
        <v>111.8</v>
      </c>
      <c r="F23398" s="5">
        <v>0</v>
      </c>
      <c r="G23398" s="5">
        <v>0</v>
      </c>
      <c r="H23398" s="5">
        <v>0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111.6</v>
      </c>
      <c r="D23399" s="5">
        <v>0.1</v>
      </c>
      <c r="E23399" s="5">
        <v>111.8</v>
      </c>
      <c r="F23399" s="5">
        <v>0</v>
      </c>
      <c r="G23399" s="5">
        <v>0</v>
      </c>
      <c r="H23399" s="5">
        <v>0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112.1</v>
      </c>
      <c r="D23400" s="5">
        <v>0.1</v>
      </c>
      <c r="E23400" s="5">
        <v>112.3</v>
      </c>
      <c r="F23400" s="5">
        <v>0</v>
      </c>
      <c r="G23400" s="5">
        <v>0</v>
      </c>
      <c r="H23400" s="5">
        <v>0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112.1</v>
      </c>
      <c r="D23401" s="5">
        <v>0.1</v>
      </c>
      <c r="E23401" s="5">
        <v>112.3</v>
      </c>
      <c r="F23401" s="5">
        <v>0</v>
      </c>
      <c r="G23401" s="5">
        <v>0</v>
      </c>
      <c r="H23401" s="5">
        <v>0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111.6</v>
      </c>
      <c r="D23402" s="5">
        <v>0.1</v>
      </c>
      <c r="E23402" s="5">
        <v>111.7</v>
      </c>
      <c r="F23402" s="5">
        <v>0</v>
      </c>
      <c r="G23402" s="5">
        <v>0</v>
      </c>
      <c r="H23402" s="5">
        <v>0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111.6</v>
      </c>
      <c r="D23403" s="5">
        <v>0.1</v>
      </c>
      <c r="E23403" s="5">
        <v>111.7</v>
      </c>
      <c r="F23403" s="5">
        <v>0</v>
      </c>
      <c r="G23403" s="5">
        <v>0</v>
      </c>
      <c r="H23403" s="5">
        <v>0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111.6</v>
      </c>
      <c r="D23404" s="5">
        <v>0.1</v>
      </c>
      <c r="E23404" s="5">
        <v>111.7</v>
      </c>
      <c r="F23404" s="5">
        <v>0</v>
      </c>
      <c r="G23404" s="5">
        <v>0</v>
      </c>
      <c r="H23404" s="5">
        <v>0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111.6</v>
      </c>
      <c r="D23405" s="5">
        <v>0.1</v>
      </c>
      <c r="E23405" s="5">
        <v>111.7</v>
      </c>
      <c r="F23405" s="5">
        <v>0</v>
      </c>
      <c r="G23405" s="5">
        <v>0</v>
      </c>
      <c r="H23405" s="5">
        <v>0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111.4</v>
      </c>
      <c r="D23406" s="5">
        <v>0.1</v>
      </c>
      <c r="E23406" s="5">
        <v>111.6</v>
      </c>
      <c r="F23406" s="5">
        <v>0</v>
      </c>
      <c r="G23406" s="5">
        <v>0</v>
      </c>
      <c r="H23406" s="5">
        <v>0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111.4</v>
      </c>
      <c r="D23407" s="5">
        <v>0.1</v>
      </c>
      <c r="E23407" s="5">
        <v>111.6</v>
      </c>
      <c r="F23407" s="5">
        <v>0</v>
      </c>
      <c r="G23407" s="5">
        <v>0</v>
      </c>
      <c r="H23407" s="5">
        <v>0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111.3</v>
      </c>
      <c r="D23408" s="5">
        <v>0.1</v>
      </c>
      <c r="E23408" s="5">
        <v>111.6</v>
      </c>
      <c r="F23408" s="5">
        <v>0</v>
      </c>
      <c r="G23408" s="5">
        <v>0</v>
      </c>
      <c r="H23408" s="5">
        <v>0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111.3</v>
      </c>
      <c r="D23409" s="5">
        <v>0.1</v>
      </c>
      <c r="E23409" s="5">
        <v>111.6</v>
      </c>
      <c r="F23409" s="5">
        <v>0</v>
      </c>
      <c r="G23409" s="5">
        <v>0</v>
      </c>
      <c r="H23409" s="5">
        <v>0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111.6</v>
      </c>
      <c r="D23410" s="5">
        <v>0.1</v>
      </c>
      <c r="E23410" s="5">
        <v>111.8</v>
      </c>
      <c r="F23410" s="5">
        <v>0</v>
      </c>
      <c r="G23410" s="5">
        <v>0</v>
      </c>
      <c r="H23410" s="5">
        <v>0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111.6</v>
      </c>
      <c r="D23411" s="5">
        <v>0.1</v>
      </c>
      <c r="E23411" s="5">
        <v>111.8</v>
      </c>
      <c r="F23411" s="5">
        <v>0</v>
      </c>
      <c r="G23411" s="5">
        <v>0</v>
      </c>
      <c r="H23411" s="5">
        <v>0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111</v>
      </c>
      <c r="D23412" s="5">
        <v>0.1</v>
      </c>
      <c r="E23412" s="5">
        <v>111.2</v>
      </c>
      <c r="F23412" s="5">
        <v>0</v>
      </c>
      <c r="G23412" s="5">
        <v>0</v>
      </c>
      <c r="H23412" s="5">
        <v>0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111</v>
      </c>
      <c r="D23413" s="5">
        <v>0.1</v>
      </c>
      <c r="E23413" s="5">
        <v>111.2</v>
      </c>
      <c r="F23413" s="5">
        <v>0</v>
      </c>
      <c r="G23413" s="5">
        <v>0</v>
      </c>
      <c r="H23413" s="5">
        <v>0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111</v>
      </c>
      <c r="D23414" s="5">
        <v>0.1</v>
      </c>
      <c r="E23414" s="5">
        <v>111.2</v>
      </c>
      <c r="F23414" s="5">
        <v>0</v>
      </c>
      <c r="G23414" s="5">
        <v>0</v>
      </c>
      <c r="H23414" s="5">
        <v>0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111</v>
      </c>
      <c r="D23415" s="5">
        <v>0.1</v>
      </c>
      <c r="E23415" s="5">
        <v>111.2</v>
      </c>
      <c r="F23415" s="5">
        <v>0</v>
      </c>
      <c r="G23415" s="5">
        <v>0</v>
      </c>
      <c r="H23415" s="5">
        <v>0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111.4</v>
      </c>
      <c r="D23416" s="5">
        <v>0.1</v>
      </c>
      <c r="E23416" s="5">
        <v>111.6</v>
      </c>
      <c r="F23416" s="5">
        <v>0</v>
      </c>
      <c r="G23416" s="5">
        <v>0</v>
      </c>
      <c r="H23416" s="5">
        <v>0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111.4</v>
      </c>
      <c r="D23417" s="5">
        <v>0.1</v>
      </c>
      <c r="E23417" s="5">
        <v>111.6</v>
      </c>
      <c r="F23417" s="5">
        <v>0</v>
      </c>
      <c r="G23417" s="5">
        <v>0</v>
      </c>
      <c r="H23417" s="5">
        <v>0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112</v>
      </c>
      <c r="D23418" s="5">
        <v>0.1</v>
      </c>
      <c r="E23418" s="5">
        <v>112.1</v>
      </c>
      <c r="F23418" s="5">
        <v>0</v>
      </c>
      <c r="G23418" s="5">
        <v>0</v>
      </c>
      <c r="H23418" s="5">
        <v>0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112</v>
      </c>
      <c r="D23419" s="5">
        <v>0.1</v>
      </c>
      <c r="E23419" s="5">
        <v>112.1</v>
      </c>
      <c r="F23419" s="5">
        <v>0</v>
      </c>
      <c r="G23419" s="5">
        <v>0</v>
      </c>
      <c r="H23419" s="5">
        <v>0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110.9</v>
      </c>
      <c r="D23420" s="5">
        <v>0.1</v>
      </c>
      <c r="E23420" s="5">
        <v>111</v>
      </c>
      <c r="F23420" s="5">
        <v>0</v>
      </c>
      <c r="G23420" s="5">
        <v>0</v>
      </c>
      <c r="H23420" s="5">
        <v>0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110.9</v>
      </c>
      <c r="D23421" s="5">
        <v>0.1</v>
      </c>
      <c r="E23421" s="5">
        <v>111</v>
      </c>
      <c r="F23421" s="5">
        <v>0</v>
      </c>
      <c r="G23421" s="5">
        <v>0</v>
      </c>
      <c r="H23421" s="5">
        <v>0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111.5</v>
      </c>
      <c r="D23422" s="5">
        <v>0.1</v>
      </c>
      <c r="E23422" s="5">
        <v>111.6</v>
      </c>
      <c r="F23422" s="5">
        <v>0</v>
      </c>
      <c r="G23422" s="5">
        <v>0</v>
      </c>
      <c r="H23422" s="5">
        <v>0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111.5</v>
      </c>
      <c r="D23423" s="5">
        <v>0.1</v>
      </c>
      <c r="E23423" s="5">
        <v>111.6</v>
      </c>
      <c r="F23423" s="5">
        <v>0</v>
      </c>
      <c r="G23423" s="5">
        <v>0</v>
      </c>
      <c r="H23423" s="5">
        <v>0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111.5</v>
      </c>
      <c r="D23424" s="5">
        <v>0.1</v>
      </c>
      <c r="E23424" s="5">
        <v>111.6</v>
      </c>
      <c r="F23424" s="5">
        <v>0</v>
      </c>
      <c r="G23424" s="5">
        <v>0</v>
      </c>
      <c r="H23424" s="5">
        <v>0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111.5</v>
      </c>
      <c r="D23425" s="5">
        <v>0.1</v>
      </c>
      <c r="E23425" s="5">
        <v>111.6</v>
      </c>
      <c r="F23425" s="5">
        <v>0</v>
      </c>
      <c r="G23425" s="5">
        <v>0</v>
      </c>
      <c r="H23425" s="5">
        <v>0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111.5</v>
      </c>
      <c r="D23426" s="5">
        <v>0.1</v>
      </c>
      <c r="E23426" s="5">
        <v>111.6</v>
      </c>
      <c r="F23426" s="5">
        <v>0</v>
      </c>
      <c r="G23426" s="5">
        <v>0</v>
      </c>
      <c r="H23426" s="5">
        <v>0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111.5</v>
      </c>
      <c r="D23427" s="5">
        <v>0.1</v>
      </c>
      <c r="E23427" s="5">
        <v>113.8</v>
      </c>
      <c r="F23427" s="5">
        <v>0</v>
      </c>
      <c r="G23427" s="5">
        <v>0</v>
      </c>
      <c r="H23427" s="5">
        <v>0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113.6</v>
      </c>
      <c r="D23428" s="5">
        <v>0.1</v>
      </c>
      <c r="E23428" s="5">
        <v>113.8</v>
      </c>
      <c r="F23428" s="5">
        <v>0</v>
      </c>
      <c r="G23428" s="5">
        <v>0</v>
      </c>
      <c r="H23428" s="5">
        <v>0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113.6</v>
      </c>
      <c r="D23429" s="5">
        <v>0.1</v>
      </c>
      <c r="E23429" s="5">
        <v>112.6</v>
      </c>
      <c r="F23429" s="5">
        <v>0</v>
      </c>
      <c r="G23429" s="5">
        <v>0</v>
      </c>
      <c r="H23429" s="5">
        <v>0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112.5</v>
      </c>
      <c r="D23430" s="5">
        <v>0.1</v>
      </c>
      <c r="E23430" s="5">
        <v>112.6</v>
      </c>
      <c r="F23430" s="5">
        <v>0</v>
      </c>
      <c r="G23430" s="5">
        <v>0</v>
      </c>
      <c r="H23430" s="5">
        <v>0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112.5</v>
      </c>
      <c r="D23431" s="5">
        <v>0.1</v>
      </c>
      <c r="E23431" s="5">
        <v>112.6</v>
      </c>
      <c r="F23431" s="5">
        <v>0</v>
      </c>
      <c r="G23431" s="5">
        <v>0</v>
      </c>
      <c r="H23431" s="5">
        <v>0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112.8</v>
      </c>
      <c r="D23432" s="5">
        <v>0.1</v>
      </c>
      <c r="E23432" s="5">
        <v>112.9</v>
      </c>
      <c r="F23432" s="5">
        <v>0</v>
      </c>
      <c r="G23432" s="5">
        <v>0</v>
      </c>
      <c r="H23432" s="5">
        <v>0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112.8</v>
      </c>
      <c r="D23433" s="5">
        <v>0.1</v>
      </c>
      <c r="E23433" s="5">
        <v>112.9</v>
      </c>
      <c r="F23433" s="5">
        <v>0</v>
      </c>
      <c r="G23433" s="5">
        <v>0</v>
      </c>
      <c r="H23433" s="5">
        <v>0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112.8</v>
      </c>
      <c r="D23434" s="5">
        <v>0.1</v>
      </c>
      <c r="E23434" s="5">
        <v>112.9</v>
      </c>
      <c r="F23434" s="5">
        <v>0</v>
      </c>
      <c r="G23434" s="5">
        <v>0</v>
      </c>
      <c r="H23434" s="5">
        <v>0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112.6</v>
      </c>
      <c r="D23435" s="5">
        <v>0.1</v>
      </c>
      <c r="E23435" s="5">
        <v>112.8</v>
      </c>
      <c r="F23435" s="5">
        <v>0</v>
      </c>
      <c r="G23435" s="5">
        <v>0</v>
      </c>
      <c r="H23435" s="5">
        <v>0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112.6</v>
      </c>
      <c r="D23436" s="5">
        <v>0.1</v>
      </c>
      <c r="E23436" s="5">
        <v>112.8</v>
      </c>
      <c r="F23436" s="5">
        <v>0</v>
      </c>
      <c r="G23436" s="5">
        <v>0</v>
      </c>
      <c r="H23436" s="5">
        <v>0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113</v>
      </c>
      <c r="D23437" s="5">
        <v>0.1</v>
      </c>
      <c r="E23437" s="5">
        <v>113.2</v>
      </c>
      <c r="F23437" s="5">
        <v>0</v>
      </c>
      <c r="G23437" s="5">
        <v>0</v>
      </c>
      <c r="H23437" s="5">
        <v>0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113</v>
      </c>
      <c r="D23438" s="5">
        <v>0.1</v>
      </c>
      <c r="E23438" s="5">
        <v>113.2</v>
      </c>
      <c r="F23438" s="5">
        <v>0</v>
      </c>
      <c r="G23438" s="5">
        <v>0</v>
      </c>
      <c r="H23438" s="5">
        <v>0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112.2</v>
      </c>
      <c r="D23439" s="5">
        <v>0.1</v>
      </c>
      <c r="E23439" s="5">
        <v>112.3</v>
      </c>
      <c r="F23439" s="5">
        <v>0</v>
      </c>
      <c r="G23439" s="5">
        <v>0</v>
      </c>
      <c r="H23439" s="5">
        <v>0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112.2</v>
      </c>
      <c r="D23440" s="5">
        <v>0.1</v>
      </c>
      <c r="E23440" s="5">
        <v>112.3</v>
      </c>
      <c r="F23440" s="5">
        <v>0</v>
      </c>
      <c r="G23440" s="5">
        <v>0</v>
      </c>
      <c r="H23440" s="5">
        <v>0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112.5</v>
      </c>
      <c r="D23441" s="5">
        <v>0.1</v>
      </c>
      <c r="E23441" s="5">
        <v>112.6</v>
      </c>
      <c r="F23441" s="5">
        <v>0</v>
      </c>
      <c r="G23441" s="5">
        <v>0</v>
      </c>
      <c r="H23441" s="5">
        <v>0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112.5</v>
      </c>
      <c r="D23442" s="5">
        <v>0.1</v>
      </c>
      <c r="E23442" s="5">
        <v>112.6</v>
      </c>
      <c r="F23442" s="5">
        <v>0</v>
      </c>
      <c r="G23442" s="5">
        <v>0</v>
      </c>
      <c r="H23442" s="5">
        <v>0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112.5</v>
      </c>
      <c r="D23443" s="5">
        <v>0.1</v>
      </c>
      <c r="E23443" s="5">
        <v>112.6</v>
      </c>
      <c r="F23443" s="5">
        <v>0</v>
      </c>
      <c r="G23443" s="5">
        <v>0</v>
      </c>
      <c r="H23443" s="5">
        <v>0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112.5</v>
      </c>
      <c r="D23444" s="5">
        <v>0.1</v>
      </c>
      <c r="E23444" s="5">
        <v>112.6</v>
      </c>
      <c r="F23444" s="5">
        <v>0</v>
      </c>
      <c r="G23444" s="5">
        <v>0</v>
      </c>
      <c r="H23444" s="5">
        <v>0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112.6</v>
      </c>
      <c r="D23445" s="5">
        <v>0.1</v>
      </c>
      <c r="E23445" s="5">
        <v>112.7</v>
      </c>
      <c r="F23445" s="5">
        <v>0</v>
      </c>
      <c r="G23445" s="5">
        <v>0</v>
      </c>
      <c r="H23445" s="5">
        <v>0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112.6</v>
      </c>
      <c r="D23446" s="5">
        <v>0.1</v>
      </c>
      <c r="E23446" s="5">
        <v>112.7</v>
      </c>
      <c r="F23446" s="5">
        <v>0</v>
      </c>
      <c r="G23446" s="5">
        <v>0</v>
      </c>
      <c r="H23446" s="5">
        <v>0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110.8</v>
      </c>
      <c r="D23447" s="5">
        <v>0.1</v>
      </c>
      <c r="E23447" s="5">
        <v>111</v>
      </c>
      <c r="F23447" s="5">
        <v>0</v>
      </c>
      <c r="G23447" s="5">
        <v>0</v>
      </c>
      <c r="H23447" s="5">
        <v>0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110.8</v>
      </c>
      <c r="D23448" s="5">
        <v>0.1</v>
      </c>
      <c r="E23448" s="5">
        <v>111</v>
      </c>
      <c r="F23448" s="5">
        <v>0</v>
      </c>
      <c r="G23448" s="5">
        <v>0</v>
      </c>
      <c r="H23448" s="5">
        <v>0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111.8</v>
      </c>
      <c r="D23449" s="5">
        <v>0.1</v>
      </c>
      <c r="E23449" s="5">
        <v>112</v>
      </c>
      <c r="F23449" s="5">
        <v>0</v>
      </c>
      <c r="G23449" s="5">
        <v>0</v>
      </c>
      <c r="H23449" s="5">
        <v>0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111.8</v>
      </c>
      <c r="D23450" s="5">
        <v>0.1</v>
      </c>
      <c r="E23450" s="5">
        <v>112</v>
      </c>
      <c r="F23450" s="5">
        <v>0</v>
      </c>
      <c r="G23450" s="5">
        <v>0</v>
      </c>
      <c r="H23450" s="5">
        <v>0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111.4</v>
      </c>
      <c r="D23451" s="5">
        <v>0.1</v>
      </c>
      <c r="E23451" s="5">
        <v>111.6</v>
      </c>
      <c r="F23451" s="5">
        <v>0</v>
      </c>
      <c r="G23451" s="5">
        <v>0</v>
      </c>
      <c r="H23451" s="5">
        <v>0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111.4</v>
      </c>
      <c r="D23452" s="5">
        <v>0.1</v>
      </c>
      <c r="E23452" s="5">
        <v>111.6</v>
      </c>
      <c r="F23452" s="5">
        <v>0</v>
      </c>
      <c r="G23452" s="5">
        <v>0</v>
      </c>
      <c r="H23452" s="5">
        <v>0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111.4</v>
      </c>
      <c r="D23453" s="5">
        <v>0.1</v>
      </c>
      <c r="E23453" s="5">
        <v>111.6</v>
      </c>
      <c r="F23453" s="5">
        <v>0</v>
      </c>
      <c r="G23453" s="5">
        <v>0</v>
      </c>
      <c r="H23453" s="5">
        <v>0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111.4</v>
      </c>
      <c r="D23454" s="5">
        <v>0.1</v>
      </c>
      <c r="E23454" s="5">
        <v>111.6</v>
      </c>
      <c r="F23454" s="5">
        <v>0</v>
      </c>
      <c r="G23454" s="5">
        <v>0</v>
      </c>
      <c r="H23454" s="5">
        <v>0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111.4</v>
      </c>
      <c r="D23455" s="5">
        <v>0.1</v>
      </c>
      <c r="E23455" s="5">
        <v>112.6</v>
      </c>
      <c r="F23455" s="5">
        <v>0</v>
      </c>
      <c r="G23455" s="5">
        <v>0</v>
      </c>
      <c r="H23455" s="5">
        <v>0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112.5</v>
      </c>
      <c r="D23456" s="5">
        <v>0.1</v>
      </c>
      <c r="E23456" s="5">
        <v>112.6</v>
      </c>
      <c r="F23456" s="5">
        <v>0</v>
      </c>
      <c r="G23456" s="5">
        <v>0</v>
      </c>
      <c r="H23456" s="5">
        <v>0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112.5</v>
      </c>
      <c r="D23457" s="5">
        <v>0.1</v>
      </c>
      <c r="E23457" s="5">
        <v>112.6</v>
      </c>
      <c r="F23457" s="5">
        <v>0</v>
      </c>
      <c r="G23457" s="5">
        <v>0</v>
      </c>
      <c r="H23457" s="5">
        <v>0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112.5</v>
      </c>
      <c r="D23458" s="5">
        <v>0.1</v>
      </c>
      <c r="E23458" s="5">
        <v>112.6</v>
      </c>
      <c r="F23458" s="5">
        <v>0</v>
      </c>
      <c r="G23458" s="5">
        <v>0</v>
      </c>
      <c r="H23458" s="5">
        <v>0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112.5</v>
      </c>
      <c r="D23459" s="5">
        <v>0.1</v>
      </c>
      <c r="E23459" s="5">
        <v>112.6</v>
      </c>
      <c r="F23459" s="5">
        <v>0</v>
      </c>
      <c r="G23459" s="5">
        <v>0</v>
      </c>
      <c r="H23459" s="5">
        <v>0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112.1</v>
      </c>
      <c r="D23460" s="5">
        <v>0.1</v>
      </c>
      <c r="E23460" s="5">
        <v>112.3</v>
      </c>
      <c r="F23460" s="5">
        <v>0</v>
      </c>
      <c r="G23460" s="5">
        <v>0</v>
      </c>
      <c r="H23460" s="5">
        <v>0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112.1</v>
      </c>
      <c r="D23461" s="5">
        <v>0.1</v>
      </c>
      <c r="E23461" s="5">
        <v>112.3</v>
      </c>
      <c r="F23461" s="5">
        <v>0</v>
      </c>
      <c r="G23461" s="5">
        <v>0</v>
      </c>
      <c r="H23461" s="5">
        <v>0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112</v>
      </c>
      <c r="D23462" s="5">
        <v>0.1</v>
      </c>
      <c r="E23462" s="5">
        <v>112.2</v>
      </c>
      <c r="F23462" s="5">
        <v>0</v>
      </c>
      <c r="G23462" s="5">
        <v>0</v>
      </c>
      <c r="H23462" s="5">
        <v>0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112</v>
      </c>
      <c r="D23463" s="5">
        <v>0.1</v>
      </c>
      <c r="E23463" s="5">
        <v>112.2</v>
      </c>
      <c r="F23463" s="5">
        <v>0</v>
      </c>
      <c r="G23463" s="5">
        <v>0</v>
      </c>
      <c r="H23463" s="5">
        <v>0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112</v>
      </c>
      <c r="D23464" s="5">
        <v>0.1</v>
      </c>
      <c r="E23464" s="5">
        <v>112.2</v>
      </c>
      <c r="F23464" s="5">
        <v>0</v>
      </c>
      <c r="G23464" s="5">
        <v>0</v>
      </c>
      <c r="H23464" s="5">
        <v>0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112.3</v>
      </c>
      <c r="D23465" s="5">
        <v>0.1</v>
      </c>
      <c r="E23465" s="5">
        <v>112.4</v>
      </c>
      <c r="F23465" s="5">
        <v>0</v>
      </c>
      <c r="G23465" s="5">
        <v>0</v>
      </c>
      <c r="H23465" s="5">
        <v>0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112.3</v>
      </c>
      <c r="D23466" s="5">
        <v>0.1</v>
      </c>
      <c r="E23466" s="5">
        <v>112.4</v>
      </c>
      <c r="F23466" s="5">
        <v>0</v>
      </c>
      <c r="G23466" s="5">
        <v>0</v>
      </c>
      <c r="H23466" s="5">
        <v>0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110.7</v>
      </c>
      <c r="D23467" s="5">
        <v>0.1</v>
      </c>
      <c r="E23467" s="5">
        <v>110.9</v>
      </c>
      <c r="F23467" s="5">
        <v>0</v>
      </c>
      <c r="G23467" s="5">
        <v>0</v>
      </c>
      <c r="H23467" s="5">
        <v>0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110.7</v>
      </c>
      <c r="D23468" s="5">
        <v>0.1</v>
      </c>
      <c r="E23468" s="5">
        <v>110.9</v>
      </c>
      <c r="F23468" s="5">
        <v>0</v>
      </c>
      <c r="G23468" s="5">
        <v>0</v>
      </c>
      <c r="H23468" s="5">
        <v>0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111.2</v>
      </c>
      <c r="D23469" s="5">
        <v>0.1</v>
      </c>
      <c r="E23469" s="5">
        <v>111.3</v>
      </c>
      <c r="F23469" s="5">
        <v>0</v>
      </c>
      <c r="G23469" s="5">
        <v>0</v>
      </c>
      <c r="H23469" s="5">
        <v>0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111.2</v>
      </c>
      <c r="D23470" s="5">
        <v>0.1</v>
      </c>
      <c r="E23470" s="5">
        <v>111.3</v>
      </c>
      <c r="F23470" s="5">
        <v>0</v>
      </c>
      <c r="G23470" s="5">
        <v>0</v>
      </c>
      <c r="H23470" s="5">
        <v>0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110.7</v>
      </c>
      <c r="D23471" s="5">
        <v>0.1</v>
      </c>
      <c r="E23471" s="5">
        <v>110.9</v>
      </c>
      <c r="F23471" s="5">
        <v>0</v>
      </c>
      <c r="G23471" s="5">
        <v>0</v>
      </c>
      <c r="H23471" s="5">
        <v>0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110.7</v>
      </c>
      <c r="D23472" s="5">
        <v>0.1</v>
      </c>
      <c r="E23472" s="5">
        <v>110.9</v>
      </c>
      <c r="F23472" s="5">
        <v>0</v>
      </c>
      <c r="G23472" s="5">
        <v>0</v>
      </c>
      <c r="H23472" s="5">
        <v>0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110.7</v>
      </c>
      <c r="D23473" s="5">
        <v>0.1</v>
      </c>
      <c r="E23473" s="5">
        <v>110.9</v>
      </c>
      <c r="F23473" s="5">
        <v>0</v>
      </c>
      <c r="G23473" s="5">
        <v>0</v>
      </c>
      <c r="H23473" s="5">
        <v>0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110.7</v>
      </c>
      <c r="D23474" s="5">
        <v>0.1</v>
      </c>
      <c r="E23474" s="5">
        <v>110.9</v>
      </c>
      <c r="F23474" s="5">
        <v>0</v>
      </c>
      <c r="G23474" s="5">
        <v>0</v>
      </c>
      <c r="H23474" s="5">
        <v>0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110.9</v>
      </c>
      <c r="D23475" s="5">
        <v>0.1</v>
      </c>
      <c r="E23475" s="5">
        <v>111</v>
      </c>
      <c r="F23475" s="5">
        <v>0</v>
      </c>
      <c r="G23475" s="5">
        <v>0</v>
      </c>
      <c r="H23475" s="5">
        <v>0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110.9</v>
      </c>
      <c r="D23476" s="5">
        <v>0.1</v>
      </c>
      <c r="E23476" s="5">
        <v>111</v>
      </c>
      <c r="F23476" s="5">
        <v>0</v>
      </c>
      <c r="G23476" s="5">
        <v>0</v>
      </c>
      <c r="H23476" s="5">
        <v>0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111</v>
      </c>
      <c r="D23477" s="5">
        <v>0.1</v>
      </c>
      <c r="E23477" s="5">
        <v>111.2</v>
      </c>
      <c r="F23477" s="5">
        <v>0</v>
      </c>
      <c r="G23477" s="5">
        <v>0</v>
      </c>
      <c r="H23477" s="5">
        <v>0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111</v>
      </c>
      <c r="D23478" s="5">
        <v>0.1</v>
      </c>
      <c r="E23478" s="5">
        <v>111.2</v>
      </c>
      <c r="F23478" s="5">
        <v>0</v>
      </c>
      <c r="G23478" s="5">
        <v>0</v>
      </c>
      <c r="H23478" s="5">
        <v>0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110.9</v>
      </c>
      <c r="D23479" s="5">
        <v>0.1</v>
      </c>
      <c r="E23479" s="5">
        <v>111</v>
      </c>
      <c r="F23479" s="5">
        <v>0</v>
      </c>
      <c r="G23479" s="5">
        <v>0</v>
      </c>
      <c r="H23479" s="5">
        <v>0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110.9</v>
      </c>
      <c r="D23480" s="5">
        <v>0.1</v>
      </c>
      <c r="E23480" s="5">
        <v>111</v>
      </c>
      <c r="F23480" s="5">
        <v>0</v>
      </c>
      <c r="G23480" s="5">
        <v>0</v>
      </c>
      <c r="H23480" s="5">
        <v>0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110</v>
      </c>
      <c r="D23481" s="5">
        <v>0.1</v>
      </c>
      <c r="E23481" s="5">
        <v>110.2</v>
      </c>
      <c r="F23481" s="5">
        <v>0</v>
      </c>
      <c r="G23481" s="5">
        <v>0</v>
      </c>
      <c r="H23481" s="5">
        <v>0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110</v>
      </c>
      <c r="D23482" s="5">
        <v>0.1</v>
      </c>
      <c r="E23482" s="5">
        <v>110.2</v>
      </c>
      <c r="F23482" s="5">
        <v>0</v>
      </c>
      <c r="G23482" s="5">
        <v>0</v>
      </c>
      <c r="H23482" s="5">
        <v>0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110</v>
      </c>
      <c r="D23483" s="5">
        <v>0.1</v>
      </c>
      <c r="E23483" s="5">
        <v>110.2</v>
      </c>
      <c r="F23483" s="5">
        <v>0</v>
      </c>
      <c r="G23483" s="5">
        <v>0</v>
      </c>
      <c r="H23483" s="5">
        <v>0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110</v>
      </c>
      <c r="D23484" s="5">
        <v>0.1</v>
      </c>
      <c r="E23484" s="5">
        <v>110.2</v>
      </c>
      <c r="F23484" s="5">
        <v>0</v>
      </c>
      <c r="G23484" s="5">
        <v>0</v>
      </c>
      <c r="H23484" s="5">
        <v>0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107.9</v>
      </c>
      <c r="D23485" s="5">
        <v>0.1</v>
      </c>
      <c r="E23485" s="5">
        <v>108.1</v>
      </c>
      <c r="F23485" s="5">
        <v>0</v>
      </c>
      <c r="G23485" s="5">
        <v>0</v>
      </c>
      <c r="H23485" s="5">
        <v>0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107.9</v>
      </c>
      <c r="D23486" s="5">
        <v>0.1</v>
      </c>
      <c r="E23486" s="5">
        <v>108.1</v>
      </c>
      <c r="F23486" s="5">
        <v>0</v>
      </c>
      <c r="G23486" s="5">
        <v>0</v>
      </c>
      <c r="H23486" s="5">
        <v>0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108.9</v>
      </c>
      <c r="D23487" s="5">
        <v>0.1</v>
      </c>
      <c r="E23487" s="5">
        <v>109.1</v>
      </c>
      <c r="F23487" s="5">
        <v>0</v>
      </c>
      <c r="G23487" s="5">
        <v>0</v>
      </c>
      <c r="H23487" s="5">
        <v>0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108.9</v>
      </c>
      <c r="D23488" s="5">
        <v>0.1</v>
      </c>
      <c r="E23488" s="5">
        <v>109.1</v>
      </c>
      <c r="F23488" s="5">
        <v>0</v>
      </c>
      <c r="G23488" s="5">
        <v>0</v>
      </c>
      <c r="H23488" s="5">
        <v>0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108.8</v>
      </c>
      <c r="D23489" s="5">
        <v>0.1</v>
      </c>
      <c r="E23489" s="5">
        <v>109</v>
      </c>
      <c r="F23489" s="5">
        <v>0</v>
      </c>
      <c r="G23489" s="5">
        <v>0</v>
      </c>
      <c r="H23489" s="5">
        <v>0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108.8</v>
      </c>
      <c r="D23490" s="5">
        <v>0.1</v>
      </c>
      <c r="E23490" s="5">
        <v>109</v>
      </c>
      <c r="F23490" s="5">
        <v>0</v>
      </c>
      <c r="G23490" s="5">
        <v>0</v>
      </c>
      <c r="H23490" s="5">
        <v>0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111.3</v>
      </c>
      <c r="D23491" s="5">
        <v>0.1</v>
      </c>
      <c r="E23491" s="5">
        <v>111.5</v>
      </c>
      <c r="F23491" s="5">
        <v>0</v>
      </c>
      <c r="G23491" s="5">
        <v>0</v>
      </c>
      <c r="H23491" s="5">
        <v>0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111.3</v>
      </c>
      <c r="D23492" s="5">
        <v>0.1</v>
      </c>
      <c r="E23492" s="5">
        <v>111.5</v>
      </c>
      <c r="F23492" s="5">
        <v>0</v>
      </c>
      <c r="G23492" s="5">
        <v>0</v>
      </c>
      <c r="H23492" s="5">
        <v>0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111.3</v>
      </c>
      <c r="D23493" s="5">
        <v>0.1</v>
      </c>
      <c r="E23493" s="5">
        <v>111.5</v>
      </c>
      <c r="F23493" s="5">
        <v>0</v>
      </c>
      <c r="G23493" s="5">
        <v>0</v>
      </c>
      <c r="H23493" s="5">
        <v>0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111.3</v>
      </c>
      <c r="D23494" s="5">
        <v>0.1</v>
      </c>
      <c r="E23494" s="5">
        <v>111.5</v>
      </c>
      <c r="F23494" s="5">
        <v>0</v>
      </c>
      <c r="G23494" s="5">
        <v>0</v>
      </c>
      <c r="H23494" s="5">
        <v>0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112.1</v>
      </c>
      <c r="D23495" s="5">
        <v>0.1</v>
      </c>
      <c r="E23495" s="5">
        <v>112.3</v>
      </c>
      <c r="F23495" s="5">
        <v>0</v>
      </c>
      <c r="G23495" s="5">
        <v>0</v>
      </c>
      <c r="H23495" s="5">
        <v>0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112.1</v>
      </c>
      <c r="D23496" s="5">
        <v>0.1</v>
      </c>
      <c r="E23496" s="5">
        <v>112.3</v>
      </c>
      <c r="F23496" s="5">
        <v>0</v>
      </c>
      <c r="G23496" s="5">
        <v>0</v>
      </c>
      <c r="H23496" s="5">
        <v>0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110.2</v>
      </c>
      <c r="D23497" s="5">
        <v>0.1</v>
      </c>
      <c r="E23497" s="5">
        <v>110.4</v>
      </c>
      <c r="F23497" s="5">
        <v>0</v>
      </c>
      <c r="G23497" s="5">
        <v>0</v>
      </c>
      <c r="H23497" s="5">
        <v>0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110.2</v>
      </c>
      <c r="D23498" s="5">
        <v>0.1</v>
      </c>
      <c r="E23498" s="5">
        <v>110.4</v>
      </c>
      <c r="F23498" s="5">
        <v>0</v>
      </c>
      <c r="G23498" s="5">
        <v>0</v>
      </c>
      <c r="H23498" s="5">
        <v>0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109.1</v>
      </c>
      <c r="D23499" s="5">
        <v>0.1</v>
      </c>
      <c r="E23499" s="5">
        <v>109.2</v>
      </c>
      <c r="F23499" s="5">
        <v>0</v>
      </c>
      <c r="G23499" s="5">
        <v>0</v>
      </c>
      <c r="H23499" s="5">
        <v>0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109.1</v>
      </c>
      <c r="D23500" s="5">
        <v>0.1</v>
      </c>
      <c r="E23500" s="5">
        <v>109.2</v>
      </c>
      <c r="F23500" s="5">
        <v>0</v>
      </c>
      <c r="G23500" s="5">
        <v>0</v>
      </c>
      <c r="H23500" s="5">
        <v>0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109.9</v>
      </c>
      <c r="D23501" s="5">
        <v>0.1</v>
      </c>
      <c r="E23501" s="5">
        <v>110.1</v>
      </c>
      <c r="F23501" s="5">
        <v>0</v>
      </c>
      <c r="G23501" s="5">
        <v>0</v>
      </c>
      <c r="H23501" s="5">
        <v>0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109.9</v>
      </c>
      <c r="D23502" s="5">
        <v>0.1</v>
      </c>
      <c r="E23502" s="5">
        <v>110.1</v>
      </c>
      <c r="F23502" s="5">
        <v>0</v>
      </c>
      <c r="G23502" s="5">
        <v>0</v>
      </c>
      <c r="H23502" s="5">
        <v>0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109.9</v>
      </c>
      <c r="D23503" s="5">
        <v>0.1</v>
      </c>
      <c r="E23503" s="5">
        <v>110.1</v>
      </c>
      <c r="F23503" s="5">
        <v>0</v>
      </c>
      <c r="G23503" s="5">
        <v>0</v>
      </c>
      <c r="H23503" s="5">
        <v>0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109.9</v>
      </c>
      <c r="D23504" s="5">
        <v>0.1</v>
      </c>
      <c r="E23504" s="5">
        <v>110.1</v>
      </c>
      <c r="F23504" s="5">
        <v>0</v>
      </c>
      <c r="G23504" s="5">
        <v>0</v>
      </c>
      <c r="H23504" s="5">
        <v>0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109.8</v>
      </c>
      <c r="D23505" s="5">
        <v>0.1</v>
      </c>
      <c r="E23505" s="5">
        <v>110</v>
      </c>
      <c r="F23505" s="5">
        <v>0</v>
      </c>
      <c r="G23505" s="5">
        <v>0</v>
      </c>
      <c r="H23505" s="5">
        <v>0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109.8</v>
      </c>
      <c r="D23506" s="5">
        <v>0.1</v>
      </c>
      <c r="E23506" s="5">
        <v>110</v>
      </c>
      <c r="F23506" s="5">
        <v>0</v>
      </c>
      <c r="G23506" s="5">
        <v>0</v>
      </c>
      <c r="H23506" s="5">
        <v>0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111.3</v>
      </c>
      <c r="D23507" s="5">
        <v>0.1</v>
      </c>
      <c r="E23507" s="5">
        <v>111.4</v>
      </c>
      <c r="F23507" s="5">
        <v>0</v>
      </c>
      <c r="G23507" s="5">
        <v>0</v>
      </c>
      <c r="H23507" s="5">
        <v>0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111.3</v>
      </c>
      <c r="D23508" s="5">
        <v>0.1</v>
      </c>
      <c r="E23508" s="5">
        <v>111.4</v>
      </c>
      <c r="F23508" s="5">
        <v>0</v>
      </c>
      <c r="G23508" s="5">
        <v>0</v>
      </c>
      <c r="H23508" s="5">
        <v>0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110.4</v>
      </c>
      <c r="D23509" s="5">
        <v>0.1</v>
      </c>
      <c r="E23509" s="5">
        <v>110.5</v>
      </c>
      <c r="F23509" s="5">
        <v>0</v>
      </c>
      <c r="G23509" s="5">
        <v>0</v>
      </c>
      <c r="H23509" s="5">
        <v>0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110.4</v>
      </c>
      <c r="D23510" s="5">
        <v>0.1</v>
      </c>
      <c r="E23510" s="5">
        <v>110.5</v>
      </c>
      <c r="F23510" s="5">
        <v>0</v>
      </c>
      <c r="G23510" s="5">
        <v>0</v>
      </c>
      <c r="H23510" s="5">
        <v>0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109.4</v>
      </c>
      <c r="D23511" s="5">
        <v>0.1</v>
      </c>
      <c r="E23511" s="5">
        <v>109.6</v>
      </c>
      <c r="F23511" s="5">
        <v>0</v>
      </c>
      <c r="G23511" s="5">
        <v>0</v>
      </c>
      <c r="H23511" s="5">
        <v>0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109.4</v>
      </c>
      <c r="D23512" s="5">
        <v>0.1</v>
      </c>
      <c r="E23512" s="5">
        <v>109.6</v>
      </c>
      <c r="F23512" s="5">
        <v>0</v>
      </c>
      <c r="G23512" s="5">
        <v>0</v>
      </c>
      <c r="H23512" s="5">
        <v>0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109.4</v>
      </c>
      <c r="D23513" s="5">
        <v>0.1</v>
      </c>
      <c r="E23513" s="5">
        <v>109.6</v>
      </c>
      <c r="F23513" s="5">
        <v>0</v>
      </c>
      <c r="G23513" s="5">
        <v>0</v>
      </c>
      <c r="H23513" s="5">
        <v>0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109.4</v>
      </c>
      <c r="D23514" s="5">
        <v>0.1</v>
      </c>
      <c r="E23514" s="5">
        <v>109.6</v>
      </c>
      <c r="F23514" s="5">
        <v>0</v>
      </c>
      <c r="G23514" s="5">
        <v>0</v>
      </c>
      <c r="H23514" s="5">
        <v>0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107.9</v>
      </c>
      <c r="D23515" s="5">
        <v>0.1</v>
      </c>
      <c r="E23515" s="5">
        <v>108.1</v>
      </c>
      <c r="F23515" s="5">
        <v>0</v>
      </c>
      <c r="G23515" s="5">
        <v>0</v>
      </c>
      <c r="H23515" s="5">
        <v>0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107.9</v>
      </c>
      <c r="D23516" s="5">
        <v>0.1</v>
      </c>
      <c r="E23516" s="5">
        <v>108.1</v>
      </c>
      <c r="F23516" s="5">
        <v>0</v>
      </c>
      <c r="G23516" s="5">
        <v>0</v>
      </c>
      <c r="H23516" s="5">
        <v>0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110.4</v>
      </c>
      <c r="D23517" s="5">
        <v>0.1</v>
      </c>
      <c r="E23517" s="5">
        <v>110.6</v>
      </c>
      <c r="F23517" s="5">
        <v>0</v>
      </c>
      <c r="G23517" s="5">
        <v>0</v>
      </c>
      <c r="H23517" s="5">
        <v>0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110.4</v>
      </c>
      <c r="D23518" s="5">
        <v>0.1</v>
      </c>
      <c r="E23518" s="5">
        <v>110.6</v>
      </c>
      <c r="F23518" s="5">
        <v>0</v>
      </c>
      <c r="G23518" s="5">
        <v>0</v>
      </c>
      <c r="H23518" s="5">
        <v>0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108.5</v>
      </c>
      <c r="D23519" s="5">
        <v>0.1</v>
      </c>
      <c r="E23519" s="5">
        <v>108.6</v>
      </c>
      <c r="F23519" s="5">
        <v>0</v>
      </c>
      <c r="G23519" s="5">
        <v>0</v>
      </c>
      <c r="H23519" s="5">
        <v>0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108.5</v>
      </c>
      <c r="D23520" s="5">
        <v>0.1</v>
      </c>
      <c r="E23520" s="5">
        <v>108.6</v>
      </c>
      <c r="F23520" s="5">
        <v>0</v>
      </c>
      <c r="G23520" s="5">
        <v>0</v>
      </c>
      <c r="H23520" s="5">
        <v>0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109.1</v>
      </c>
      <c r="D23521" s="5">
        <v>0.1</v>
      </c>
      <c r="E23521" s="5">
        <v>109.2</v>
      </c>
      <c r="F23521" s="5">
        <v>0</v>
      </c>
      <c r="G23521" s="5">
        <v>0</v>
      </c>
      <c r="H23521" s="5">
        <v>0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109.1</v>
      </c>
      <c r="D23522" s="5">
        <v>0.1</v>
      </c>
      <c r="E23522" s="5">
        <v>109.2</v>
      </c>
      <c r="F23522" s="5">
        <v>0</v>
      </c>
      <c r="G23522" s="5">
        <v>0</v>
      </c>
      <c r="H23522" s="5">
        <v>0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109.1</v>
      </c>
      <c r="D23523" s="5">
        <v>0.1</v>
      </c>
      <c r="E23523" s="5">
        <v>109.2</v>
      </c>
      <c r="F23523" s="5">
        <v>0</v>
      </c>
      <c r="G23523" s="5">
        <v>0</v>
      </c>
      <c r="H23523" s="5">
        <v>0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109.1</v>
      </c>
      <c r="D23524" s="5">
        <v>0.1</v>
      </c>
      <c r="E23524" s="5">
        <v>109.2</v>
      </c>
      <c r="F23524" s="5">
        <v>0</v>
      </c>
      <c r="G23524" s="5">
        <v>0</v>
      </c>
      <c r="H23524" s="5">
        <v>0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109</v>
      </c>
      <c r="D23525" s="5">
        <v>0.1</v>
      </c>
      <c r="E23525" s="5">
        <v>109.1</v>
      </c>
      <c r="F23525" s="5">
        <v>0</v>
      </c>
      <c r="G23525" s="5">
        <v>0</v>
      </c>
      <c r="H23525" s="5">
        <v>0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109</v>
      </c>
      <c r="D23526" s="5">
        <v>0.1</v>
      </c>
      <c r="E23526" s="5">
        <v>109.1</v>
      </c>
      <c r="F23526" s="5">
        <v>0</v>
      </c>
      <c r="G23526" s="5">
        <v>0</v>
      </c>
      <c r="H23526" s="5">
        <v>0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108.8</v>
      </c>
      <c r="D23527" s="5">
        <v>0.1</v>
      </c>
      <c r="E23527" s="5">
        <v>108.9</v>
      </c>
      <c r="F23527" s="5">
        <v>0</v>
      </c>
      <c r="G23527" s="5">
        <v>0</v>
      </c>
      <c r="H23527" s="5">
        <v>0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108.8</v>
      </c>
      <c r="D23528" s="5">
        <v>0.1</v>
      </c>
      <c r="E23528" s="5">
        <v>108.9</v>
      </c>
      <c r="F23528" s="5">
        <v>0</v>
      </c>
      <c r="G23528" s="5">
        <v>0</v>
      </c>
      <c r="H23528" s="5">
        <v>0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108.8</v>
      </c>
      <c r="D23529" s="5">
        <v>0.1</v>
      </c>
      <c r="E23529" s="5">
        <v>108.9</v>
      </c>
      <c r="F23529" s="5">
        <v>0</v>
      </c>
      <c r="G23529" s="5">
        <v>0</v>
      </c>
      <c r="H23529" s="5">
        <v>0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108.8</v>
      </c>
      <c r="D23530" s="5">
        <v>0.1</v>
      </c>
      <c r="E23530" s="5">
        <v>108.9</v>
      </c>
      <c r="F23530" s="5">
        <v>0</v>
      </c>
      <c r="G23530" s="5">
        <v>0</v>
      </c>
      <c r="H23530" s="5">
        <v>0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110.2</v>
      </c>
      <c r="D23531" s="5">
        <v>0.1</v>
      </c>
      <c r="E23531" s="5">
        <v>110.4</v>
      </c>
      <c r="F23531" s="5">
        <v>0</v>
      </c>
      <c r="G23531" s="5">
        <v>0</v>
      </c>
      <c r="H23531" s="5">
        <v>0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110.2</v>
      </c>
      <c r="D23532" s="5">
        <v>0.1</v>
      </c>
      <c r="E23532" s="5">
        <v>110.4</v>
      </c>
      <c r="F23532" s="5">
        <v>0</v>
      </c>
      <c r="G23532" s="5">
        <v>0</v>
      </c>
      <c r="H23532" s="5">
        <v>0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110.2</v>
      </c>
      <c r="D23533" s="5">
        <v>0.1</v>
      </c>
      <c r="E23533" s="5">
        <v>110.4</v>
      </c>
      <c r="F23533" s="5">
        <v>0</v>
      </c>
      <c r="G23533" s="5">
        <v>0</v>
      </c>
      <c r="H23533" s="5">
        <v>0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110.2</v>
      </c>
      <c r="D23534" s="5">
        <v>0.1</v>
      </c>
      <c r="E23534" s="5">
        <v>110.4</v>
      </c>
      <c r="F23534" s="5">
        <v>0</v>
      </c>
      <c r="G23534" s="5">
        <v>0</v>
      </c>
      <c r="H23534" s="5">
        <v>0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109.6</v>
      </c>
      <c r="D23535" s="5">
        <v>0.1</v>
      </c>
      <c r="E23535" s="5">
        <v>109.7</v>
      </c>
      <c r="F23535" s="5">
        <v>0</v>
      </c>
      <c r="G23535" s="5">
        <v>0</v>
      </c>
      <c r="H23535" s="5">
        <v>0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109.6</v>
      </c>
      <c r="D23536" s="5">
        <v>0.1</v>
      </c>
      <c r="E23536" s="5">
        <v>109.7</v>
      </c>
      <c r="F23536" s="5">
        <v>0</v>
      </c>
      <c r="G23536" s="5">
        <v>0</v>
      </c>
      <c r="H23536" s="5">
        <v>0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109.5</v>
      </c>
      <c r="D23537" s="5">
        <v>0.1</v>
      </c>
      <c r="E23537" s="5">
        <v>109.7</v>
      </c>
      <c r="F23537" s="5">
        <v>0</v>
      </c>
      <c r="G23537" s="5">
        <v>0</v>
      </c>
      <c r="H23537" s="5">
        <v>0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109.5</v>
      </c>
      <c r="D23538" s="5">
        <v>0.1</v>
      </c>
      <c r="E23538" s="5">
        <v>109.7</v>
      </c>
      <c r="F23538" s="5">
        <v>0</v>
      </c>
      <c r="G23538" s="5">
        <v>0</v>
      </c>
      <c r="H23538" s="5">
        <v>0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112.1</v>
      </c>
      <c r="D23539" s="5">
        <v>0.1</v>
      </c>
      <c r="E23539" s="5">
        <v>112.3</v>
      </c>
      <c r="F23539" s="5">
        <v>0</v>
      </c>
      <c r="G23539" s="5">
        <v>0</v>
      </c>
      <c r="H23539" s="5">
        <v>0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112.1</v>
      </c>
      <c r="D23540" s="5">
        <v>0.1</v>
      </c>
      <c r="E23540" s="5">
        <v>112.3</v>
      </c>
      <c r="F23540" s="5">
        <v>0</v>
      </c>
      <c r="G23540" s="5">
        <v>0</v>
      </c>
      <c r="H23540" s="5">
        <v>0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111.5</v>
      </c>
      <c r="D23541" s="5">
        <v>0.1</v>
      </c>
      <c r="E23541" s="5">
        <v>111.6</v>
      </c>
      <c r="F23541" s="5">
        <v>0</v>
      </c>
      <c r="G23541" s="5">
        <v>0</v>
      </c>
      <c r="H23541" s="5">
        <v>0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111.5</v>
      </c>
      <c r="D23542" s="5">
        <v>0.1</v>
      </c>
      <c r="E23542" s="5">
        <v>111.6</v>
      </c>
      <c r="F23542" s="5">
        <v>0</v>
      </c>
      <c r="G23542" s="5">
        <v>0</v>
      </c>
      <c r="H23542" s="5">
        <v>0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111.5</v>
      </c>
      <c r="D23543" s="5">
        <v>0.1</v>
      </c>
      <c r="E23543" s="5">
        <v>111.6</v>
      </c>
      <c r="F23543" s="5">
        <v>0</v>
      </c>
      <c r="G23543" s="5">
        <v>0</v>
      </c>
      <c r="H23543" s="5">
        <v>0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111.5</v>
      </c>
      <c r="D23544" s="5">
        <v>0.1</v>
      </c>
      <c r="E23544" s="5">
        <v>111.6</v>
      </c>
      <c r="F23544" s="5">
        <v>0</v>
      </c>
      <c r="G23544" s="5">
        <v>0</v>
      </c>
      <c r="H23544" s="5">
        <v>0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110.2</v>
      </c>
      <c r="D23545" s="5">
        <v>0.1</v>
      </c>
      <c r="E23545" s="5">
        <v>110.4</v>
      </c>
      <c r="F23545" s="5">
        <v>0</v>
      </c>
      <c r="G23545" s="5">
        <v>0</v>
      </c>
      <c r="H23545" s="5">
        <v>0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110.2</v>
      </c>
      <c r="D23546" s="5">
        <v>0.1</v>
      </c>
      <c r="E23546" s="5">
        <v>110.4</v>
      </c>
      <c r="F23546" s="5">
        <v>0</v>
      </c>
      <c r="G23546" s="5">
        <v>0</v>
      </c>
      <c r="H23546" s="5">
        <v>0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110.1</v>
      </c>
      <c r="D23547" s="5">
        <v>0.1</v>
      </c>
      <c r="E23547" s="5">
        <v>110.3</v>
      </c>
      <c r="F23547" s="5">
        <v>0</v>
      </c>
      <c r="G23547" s="5">
        <v>0</v>
      </c>
      <c r="H23547" s="5">
        <v>0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110.1</v>
      </c>
      <c r="D23548" s="5">
        <v>0.1</v>
      </c>
      <c r="E23548" s="5">
        <v>110.3</v>
      </c>
      <c r="F23548" s="5">
        <v>0</v>
      </c>
      <c r="G23548" s="5">
        <v>0</v>
      </c>
      <c r="H23548" s="5">
        <v>0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110.3</v>
      </c>
      <c r="D23549" s="5">
        <v>0.1</v>
      </c>
      <c r="E23549" s="5">
        <v>110.4</v>
      </c>
      <c r="F23549" s="5">
        <v>0</v>
      </c>
      <c r="G23549" s="5">
        <v>0</v>
      </c>
      <c r="H23549" s="5">
        <v>0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110.3</v>
      </c>
      <c r="D23550" s="5">
        <v>0.1</v>
      </c>
      <c r="E23550" s="5">
        <v>110.4</v>
      </c>
      <c r="F23550" s="5">
        <v>0</v>
      </c>
      <c r="G23550" s="5">
        <v>0</v>
      </c>
      <c r="H23550" s="5">
        <v>0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110.1</v>
      </c>
      <c r="D23551" s="5">
        <v>0.1</v>
      </c>
      <c r="E23551" s="5">
        <v>110.2</v>
      </c>
      <c r="F23551" s="5">
        <v>0</v>
      </c>
      <c r="G23551" s="5">
        <v>0</v>
      </c>
      <c r="H23551" s="5">
        <v>0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110.1</v>
      </c>
      <c r="D23552" s="5">
        <v>0.1</v>
      </c>
      <c r="E23552" s="5">
        <v>110.2</v>
      </c>
      <c r="F23552" s="5">
        <v>0</v>
      </c>
      <c r="G23552" s="5">
        <v>0</v>
      </c>
      <c r="H23552" s="5">
        <v>0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110.1</v>
      </c>
      <c r="D23553" s="5">
        <v>0.1</v>
      </c>
      <c r="E23553" s="5">
        <v>110.2</v>
      </c>
      <c r="F23553" s="5">
        <v>0</v>
      </c>
      <c r="G23553" s="5">
        <v>0</v>
      </c>
      <c r="H23553" s="5">
        <v>0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110.1</v>
      </c>
      <c r="D23554" s="5">
        <v>0.1</v>
      </c>
      <c r="E23554" s="5">
        <v>110.2</v>
      </c>
      <c r="F23554" s="5">
        <v>0</v>
      </c>
      <c r="G23554" s="5">
        <v>0</v>
      </c>
      <c r="H23554" s="5">
        <v>0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110.1</v>
      </c>
      <c r="D23555" s="5">
        <v>0.1</v>
      </c>
      <c r="E23555" s="5">
        <v>110.2</v>
      </c>
      <c r="F23555" s="5">
        <v>0</v>
      </c>
      <c r="G23555" s="5">
        <v>0</v>
      </c>
      <c r="H23555" s="5">
        <v>0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109.7</v>
      </c>
      <c r="D23556" s="5">
        <v>0.1</v>
      </c>
      <c r="E23556" s="5">
        <v>109.8</v>
      </c>
      <c r="F23556" s="5">
        <v>0</v>
      </c>
      <c r="G23556" s="5">
        <v>0</v>
      </c>
      <c r="H23556" s="5">
        <v>0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109.7</v>
      </c>
      <c r="D23557" s="5">
        <v>0.1</v>
      </c>
      <c r="E23557" s="5">
        <v>109.8</v>
      </c>
      <c r="F23557" s="5">
        <v>0</v>
      </c>
      <c r="G23557" s="5">
        <v>0</v>
      </c>
      <c r="H23557" s="5">
        <v>0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109.6</v>
      </c>
      <c r="D23558" s="5">
        <v>0.1</v>
      </c>
      <c r="E23558" s="5">
        <v>109.7</v>
      </c>
      <c r="F23558" s="5">
        <v>0</v>
      </c>
      <c r="G23558" s="5">
        <v>0</v>
      </c>
      <c r="H23558" s="5">
        <v>0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109.6</v>
      </c>
      <c r="D23559" s="5">
        <v>0.1</v>
      </c>
      <c r="E23559" s="5">
        <v>109.7</v>
      </c>
      <c r="F23559" s="5">
        <v>0</v>
      </c>
      <c r="G23559" s="5">
        <v>0</v>
      </c>
      <c r="H23559" s="5">
        <v>0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110.9</v>
      </c>
      <c r="D23560" s="5">
        <v>0.1</v>
      </c>
      <c r="E23560" s="5">
        <v>111</v>
      </c>
      <c r="F23560" s="5">
        <v>0</v>
      </c>
      <c r="G23560" s="5">
        <v>0</v>
      </c>
      <c r="H23560" s="5">
        <v>0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110.9</v>
      </c>
      <c r="D23561" s="5">
        <v>0.1</v>
      </c>
      <c r="E23561" s="5">
        <v>111</v>
      </c>
      <c r="F23561" s="5">
        <v>0</v>
      </c>
      <c r="G23561" s="5">
        <v>0</v>
      </c>
      <c r="H23561" s="5">
        <v>0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110.9</v>
      </c>
      <c r="D23562" s="5">
        <v>0.1</v>
      </c>
      <c r="E23562" s="5">
        <v>111</v>
      </c>
      <c r="F23562" s="5">
        <v>0</v>
      </c>
      <c r="G23562" s="5">
        <v>0</v>
      </c>
      <c r="H23562" s="5">
        <v>0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110.9</v>
      </c>
      <c r="D23563" s="5">
        <v>0.1</v>
      </c>
      <c r="E23563" s="5">
        <v>111</v>
      </c>
      <c r="F23563" s="5">
        <v>0</v>
      </c>
      <c r="G23563" s="5">
        <v>0</v>
      </c>
      <c r="H23563" s="5">
        <v>0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111.5</v>
      </c>
      <c r="D23564" s="5">
        <v>0.1</v>
      </c>
      <c r="E23564" s="5">
        <v>111.6</v>
      </c>
      <c r="F23564" s="5">
        <v>0</v>
      </c>
      <c r="G23564" s="5">
        <v>0</v>
      </c>
      <c r="H23564" s="5">
        <v>0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111.5</v>
      </c>
      <c r="D23565" s="5">
        <v>0.1</v>
      </c>
      <c r="E23565" s="5">
        <v>111.6</v>
      </c>
      <c r="F23565" s="5">
        <v>0</v>
      </c>
      <c r="G23565" s="5">
        <v>0</v>
      </c>
      <c r="H23565" s="5">
        <v>0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110.6</v>
      </c>
      <c r="D23566" s="5">
        <v>0.1</v>
      </c>
      <c r="E23566" s="5">
        <v>111.6</v>
      </c>
      <c r="F23566" s="5">
        <v>0</v>
      </c>
      <c r="G23566" s="5">
        <v>0</v>
      </c>
      <c r="H23566" s="5">
        <v>0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110.6</v>
      </c>
      <c r="D23567" s="5">
        <v>0.1</v>
      </c>
      <c r="E23567" s="5">
        <v>110.7</v>
      </c>
      <c r="F23567" s="5">
        <v>0</v>
      </c>
      <c r="G23567" s="5">
        <v>0</v>
      </c>
      <c r="H23567" s="5">
        <v>0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110.6</v>
      </c>
      <c r="D23568" s="5">
        <v>0.1</v>
      </c>
      <c r="E23568" s="5">
        <v>110.7</v>
      </c>
      <c r="F23568" s="5">
        <v>0</v>
      </c>
      <c r="G23568" s="5">
        <v>0</v>
      </c>
      <c r="H23568" s="5">
        <v>0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109.7</v>
      </c>
      <c r="D23569" s="5">
        <v>0.1</v>
      </c>
      <c r="E23569" s="5">
        <v>109.8</v>
      </c>
      <c r="F23569" s="5">
        <v>0</v>
      </c>
      <c r="G23569" s="5">
        <v>0</v>
      </c>
      <c r="H23569" s="5">
        <v>0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109.7</v>
      </c>
      <c r="D23570" s="5">
        <v>0.1</v>
      </c>
      <c r="E23570" s="5">
        <v>109.8</v>
      </c>
      <c r="F23570" s="5">
        <v>0</v>
      </c>
      <c r="G23570" s="5">
        <v>0</v>
      </c>
      <c r="H23570" s="5">
        <v>0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109.8</v>
      </c>
      <c r="D23571" s="5">
        <v>0.1</v>
      </c>
      <c r="E23571" s="5">
        <v>110</v>
      </c>
      <c r="F23571" s="5">
        <v>0</v>
      </c>
      <c r="G23571" s="5">
        <v>0</v>
      </c>
      <c r="H23571" s="5">
        <v>0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109.8</v>
      </c>
      <c r="D23572" s="5">
        <v>0.1</v>
      </c>
      <c r="E23572" s="5">
        <v>110</v>
      </c>
      <c r="F23572" s="5">
        <v>0</v>
      </c>
      <c r="G23572" s="5">
        <v>0</v>
      </c>
      <c r="H23572" s="5">
        <v>0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109.8</v>
      </c>
      <c r="D23573" s="5">
        <v>0.1</v>
      </c>
      <c r="E23573" s="5">
        <v>110</v>
      </c>
      <c r="F23573" s="5">
        <v>0</v>
      </c>
      <c r="G23573" s="5">
        <v>0</v>
      </c>
      <c r="H23573" s="5">
        <v>0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109.8</v>
      </c>
      <c r="D23574" s="5">
        <v>0.1</v>
      </c>
      <c r="E23574" s="5">
        <v>110</v>
      </c>
      <c r="F23574" s="5">
        <v>0</v>
      </c>
      <c r="G23574" s="5">
        <v>0</v>
      </c>
      <c r="H23574" s="5">
        <v>0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110.4</v>
      </c>
      <c r="D23575" s="5">
        <v>0.1</v>
      </c>
      <c r="E23575" s="5">
        <v>110.6</v>
      </c>
      <c r="F23575" s="5">
        <v>0</v>
      </c>
      <c r="G23575" s="5">
        <v>0</v>
      </c>
      <c r="H23575" s="5">
        <v>0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110.4</v>
      </c>
      <c r="D23576" s="5">
        <v>0.1</v>
      </c>
      <c r="E23576" s="5">
        <v>110.6</v>
      </c>
      <c r="F23576" s="5">
        <v>0</v>
      </c>
      <c r="G23576" s="5">
        <v>0</v>
      </c>
      <c r="H23576" s="5">
        <v>0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110.4</v>
      </c>
      <c r="D23577" s="5">
        <v>0.1</v>
      </c>
      <c r="E23577" s="5">
        <v>110.5</v>
      </c>
      <c r="F23577" s="5">
        <v>0</v>
      </c>
      <c r="G23577" s="5">
        <v>0</v>
      </c>
      <c r="H23577" s="5">
        <v>0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110.4</v>
      </c>
      <c r="D23578" s="5">
        <v>0.1</v>
      </c>
      <c r="E23578" s="5">
        <v>110.5</v>
      </c>
      <c r="F23578" s="5">
        <v>0</v>
      </c>
      <c r="G23578" s="5">
        <v>0</v>
      </c>
      <c r="H23578" s="5">
        <v>0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110.3</v>
      </c>
      <c r="D23579" s="5">
        <v>0.1</v>
      </c>
      <c r="E23579" s="5">
        <v>110.4</v>
      </c>
      <c r="F23579" s="5">
        <v>0</v>
      </c>
      <c r="G23579" s="5">
        <v>0</v>
      </c>
      <c r="H23579" s="5">
        <v>0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110.3</v>
      </c>
      <c r="D23580" s="5">
        <v>0.1</v>
      </c>
      <c r="E23580" s="5">
        <v>110.4</v>
      </c>
      <c r="F23580" s="5">
        <v>0</v>
      </c>
      <c r="G23580" s="5">
        <v>0</v>
      </c>
      <c r="H23580" s="5">
        <v>0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110.5</v>
      </c>
      <c r="D23581" s="5">
        <v>0.1</v>
      </c>
      <c r="E23581" s="5">
        <v>110.7</v>
      </c>
      <c r="F23581" s="5">
        <v>0</v>
      </c>
      <c r="G23581" s="5">
        <v>0</v>
      </c>
      <c r="H23581" s="5">
        <v>0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110.5</v>
      </c>
      <c r="D23582" s="5">
        <v>0.1</v>
      </c>
      <c r="E23582" s="5">
        <v>110.7</v>
      </c>
      <c r="F23582" s="5">
        <v>0</v>
      </c>
      <c r="G23582" s="5">
        <v>0</v>
      </c>
      <c r="H23582" s="5">
        <v>0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110.5</v>
      </c>
      <c r="D23583" s="5">
        <v>0.1</v>
      </c>
      <c r="E23583" s="5">
        <v>110.7</v>
      </c>
      <c r="F23583" s="5">
        <v>0</v>
      </c>
      <c r="G23583" s="5">
        <v>0</v>
      </c>
      <c r="H23583" s="5">
        <v>0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110.5</v>
      </c>
      <c r="D23584" s="5">
        <v>0.1</v>
      </c>
      <c r="E23584" s="5">
        <v>110.7</v>
      </c>
      <c r="F23584" s="5">
        <v>0</v>
      </c>
      <c r="G23584" s="5">
        <v>0</v>
      </c>
      <c r="H23584" s="5">
        <v>0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109.6</v>
      </c>
      <c r="D23585" s="5">
        <v>0.1</v>
      </c>
      <c r="E23585" s="5">
        <v>109.7</v>
      </c>
      <c r="F23585" s="5">
        <v>0</v>
      </c>
      <c r="G23585" s="5">
        <v>0</v>
      </c>
      <c r="H23585" s="5">
        <v>0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109.6</v>
      </c>
      <c r="D23586" s="5">
        <v>0.1</v>
      </c>
      <c r="E23586" s="5">
        <v>109.7</v>
      </c>
      <c r="F23586" s="5">
        <v>0</v>
      </c>
      <c r="G23586" s="5">
        <v>0</v>
      </c>
      <c r="H23586" s="5">
        <v>0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109.8</v>
      </c>
      <c r="D23587" s="5">
        <v>0.1</v>
      </c>
      <c r="E23587" s="5">
        <v>110</v>
      </c>
      <c r="F23587" s="5">
        <v>0</v>
      </c>
      <c r="G23587" s="5">
        <v>0</v>
      </c>
      <c r="H23587" s="5">
        <v>0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109.8</v>
      </c>
      <c r="D23588" s="5">
        <v>0.1</v>
      </c>
      <c r="E23588" s="5">
        <v>110</v>
      </c>
      <c r="F23588" s="5">
        <v>0</v>
      </c>
      <c r="G23588" s="5">
        <v>0</v>
      </c>
      <c r="H23588" s="5">
        <v>0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109.8</v>
      </c>
      <c r="D23589" s="5">
        <v>0.1</v>
      </c>
      <c r="E23589" s="5">
        <v>110</v>
      </c>
      <c r="F23589" s="5">
        <v>0</v>
      </c>
      <c r="G23589" s="5">
        <v>0</v>
      </c>
      <c r="H23589" s="5">
        <v>0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109.8</v>
      </c>
      <c r="D23590" s="5">
        <v>0.1</v>
      </c>
      <c r="E23590" s="5">
        <v>110</v>
      </c>
      <c r="F23590" s="5">
        <v>0</v>
      </c>
      <c r="G23590" s="5">
        <v>0</v>
      </c>
      <c r="H23590" s="5">
        <v>0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110</v>
      </c>
      <c r="D23591" s="5">
        <v>0.1</v>
      </c>
      <c r="E23591" s="5">
        <v>110.1</v>
      </c>
      <c r="F23591" s="5">
        <v>0</v>
      </c>
      <c r="G23591" s="5">
        <v>0</v>
      </c>
      <c r="H23591" s="5">
        <v>0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110</v>
      </c>
      <c r="D23592" s="5">
        <v>0.1</v>
      </c>
      <c r="E23592" s="5">
        <v>110.1</v>
      </c>
      <c r="F23592" s="5">
        <v>0</v>
      </c>
      <c r="G23592" s="5">
        <v>0</v>
      </c>
      <c r="H23592" s="5">
        <v>0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110</v>
      </c>
      <c r="D23593" s="5">
        <v>0.1</v>
      </c>
      <c r="E23593" s="5">
        <v>110.1</v>
      </c>
      <c r="F23593" s="5">
        <v>0</v>
      </c>
      <c r="G23593" s="5">
        <v>0</v>
      </c>
      <c r="H23593" s="5">
        <v>0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109.6</v>
      </c>
      <c r="D23594" s="5">
        <v>0.1</v>
      </c>
      <c r="E23594" s="5">
        <v>109.7</v>
      </c>
      <c r="F23594" s="5">
        <v>0</v>
      </c>
      <c r="G23594" s="5">
        <v>0</v>
      </c>
      <c r="H23594" s="5">
        <v>0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109.6</v>
      </c>
      <c r="D23595" s="5">
        <v>0.1</v>
      </c>
      <c r="E23595" s="5">
        <v>109.7</v>
      </c>
      <c r="F23595" s="5">
        <v>0</v>
      </c>
      <c r="G23595" s="5">
        <v>0</v>
      </c>
      <c r="H23595" s="5">
        <v>0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110</v>
      </c>
      <c r="D23596" s="5">
        <v>0.1</v>
      </c>
      <c r="E23596" s="5">
        <v>110.1</v>
      </c>
      <c r="F23596" s="5">
        <v>0</v>
      </c>
      <c r="G23596" s="5">
        <v>0</v>
      </c>
      <c r="H23596" s="5">
        <v>0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110</v>
      </c>
      <c r="D23597" s="5">
        <v>0.1</v>
      </c>
      <c r="E23597" s="5">
        <v>110.1</v>
      </c>
      <c r="F23597" s="5">
        <v>0</v>
      </c>
      <c r="G23597" s="5">
        <v>0</v>
      </c>
      <c r="H23597" s="5">
        <v>0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111.1</v>
      </c>
      <c r="D23598" s="5">
        <v>0.1</v>
      </c>
      <c r="E23598" s="5">
        <v>111.3</v>
      </c>
      <c r="F23598" s="5">
        <v>0</v>
      </c>
      <c r="G23598" s="5">
        <v>0</v>
      </c>
      <c r="H23598" s="5">
        <v>0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111.1</v>
      </c>
      <c r="D23599" s="5">
        <v>0.1</v>
      </c>
      <c r="E23599" s="5">
        <v>111.3</v>
      </c>
      <c r="F23599" s="5">
        <v>0</v>
      </c>
      <c r="G23599" s="5">
        <v>0</v>
      </c>
      <c r="H23599" s="5">
        <v>0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110.8</v>
      </c>
      <c r="D23600" s="5">
        <v>0.1</v>
      </c>
      <c r="E23600" s="5">
        <v>111</v>
      </c>
      <c r="F23600" s="5">
        <v>0</v>
      </c>
      <c r="G23600" s="5">
        <v>0</v>
      </c>
      <c r="H23600" s="5">
        <v>0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110.8</v>
      </c>
      <c r="D23601" s="5">
        <v>0.1</v>
      </c>
      <c r="E23601" s="5">
        <v>111</v>
      </c>
      <c r="F23601" s="5">
        <v>0</v>
      </c>
      <c r="G23601" s="5">
        <v>0</v>
      </c>
      <c r="H23601" s="5">
        <v>0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110.8</v>
      </c>
      <c r="D23602" s="5">
        <v>0.1</v>
      </c>
      <c r="E23602" s="5">
        <v>111</v>
      </c>
      <c r="F23602" s="5">
        <v>0</v>
      </c>
      <c r="G23602" s="5">
        <v>0</v>
      </c>
      <c r="H23602" s="5">
        <v>0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110.8</v>
      </c>
      <c r="D23603" s="5">
        <v>0.1</v>
      </c>
      <c r="E23603" s="5">
        <v>111</v>
      </c>
      <c r="F23603" s="5">
        <v>0</v>
      </c>
      <c r="G23603" s="5">
        <v>0</v>
      </c>
      <c r="H23603" s="5">
        <v>0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111</v>
      </c>
      <c r="D23604" s="5">
        <v>0.1</v>
      </c>
      <c r="E23604" s="5">
        <v>111.2</v>
      </c>
      <c r="F23604" s="5">
        <v>0</v>
      </c>
      <c r="G23604" s="5">
        <v>0</v>
      </c>
      <c r="H23604" s="5">
        <v>0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111</v>
      </c>
      <c r="D23605" s="5">
        <v>0.1</v>
      </c>
      <c r="E23605" s="5">
        <v>111.2</v>
      </c>
      <c r="F23605" s="5">
        <v>0</v>
      </c>
      <c r="G23605" s="5">
        <v>0</v>
      </c>
      <c r="H23605" s="5">
        <v>0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110.3</v>
      </c>
      <c r="D23606" s="5">
        <v>0.1</v>
      </c>
      <c r="E23606" s="5">
        <v>110.4</v>
      </c>
      <c r="F23606" s="5">
        <v>0</v>
      </c>
      <c r="G23606" s="5">
        <v>0</v>
      </c>
      <c r="H23606" s="5">
        <v>0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110.3</v>
      </c>
      <c r="D23607" s="5">
        <v>0.1</v>
      </c>
      <c r="E23607" s="5">
        <v>110.4</v>
      </c>
      <c r="F23607" s="5">
        <v>0</v>
      </c>
      <c r="G23607" s="5">
        <v>0</v>
      </c>
      <c r="H23607" s="5">
        <v>0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110.5</v>
      </c>
      <c r="D23608" s="5">
        <v>0.1</v>
      </c>
      <c r="E23608" s="5">
        <v>110.7</v>
      </c>
      <c r="F23608" s="5">
        <v>0</v>
      </c>
      <c r="G23608" s="5">
        <v>0</v>
      </c>
      <c r="H23608" s="5">
        <v>0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110.5</v>
      </c>
      <c r="D23609" s="5">
        <v>0.1</v>
      </c>
      <c r="E23609" s="5">
        <v>110.7</v>
      </c>
      <c r="F23609" s="5">
        <v>0</v>
      </c>
      <c r="G23609" s="5">
        <v>0</v>
      </c>
      <c r="H23609" s="5">
        <v>0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109.4</v>
      </c>
      <c r="D23610" s="5">
        <v>0.1</v>
      </c>
      <c r="E23610" s="5">
        <v>109.5</v>
      </c>
      <c r="F23610" s="5">
        <v>0</v>
      </c>
      <c r="G23610" s="5">
        <v>0</v>
      </c>
      <c r="H23610" s="5">
        <v>0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109.4</v>
      </c>
      <c r="D23611" s="5">
        <v>0.1</v>
      </c>
      <c r="E23611" s="5">
        <v>109.5</v>
      </c>
      <c r="F23611" s="5">
        <v>0</v>
      </c>
      <c r="G23611" s="5">
        <v>0</v>
      </c>
      <c r="H23611" s="5">
        <v>0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109.4</v>
      </c>
      <c r="D23612" s="5">
        <v>0.1</v>
      </c>
      <c r="E23612" s="5">
        <v>109.5</v>
      </c>
      <c r="F23612" s="5">
        <v>0</v>
      </c>
      <c r="G23612" s="5">
        <v>0</v>
      </c>
      <c r="H23612" s="5">
        <v>0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109.4</v>
      </c>
      <c r="D23613" s="5">
        <v>0.1</v>
      </c>
      <c r="E23613" s="5">
        <v>109.5</v>
      </c>
      <c r="F23613" s="5">
        <v>0</v>
      </c>
      <c r="G23613" s="5">
        <v>0</v>
      </c>
      <c r="H23613" s="5">
        <v>0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108.5</v>
      </c>
      <c r="D23614" s="5">
        <v>0.1</v>
      </c>
      <c r="E23614" s="5">
        <v>108.7</v>
      </c>
      <c r="F23614" s="5">
        <v>0</v>
      </c>
      <c r="G23614" s="5">
        <v>0</v>
      </c>
      <c r="H23614" s="5">
        <v>0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108.5</v>
      </c>
      <c r="D23615" s="5">
        <v>0.1</v>
      </c>
      <c r="E23615" s="5">
        <v>108.7</v>
      </c>
      <c r="F23615" s="5">
        <v>0</v>
      </c>
      <c r="G23615" s="5">
        <v>0</v>
      </c>
      <c r="H23615" s="5">
        <v>0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109.1</v>
      </c>
      <c r="D23616" s="5">
        <v>0.1</v>
      </c>
      <c r="E23616" s="5">
        <v>109.3</v>
      </c>
      <c r="F23616" s="5">
        <v>0</v>
      </c>
      <c r="G23616" s="5">
        <v>0</v>
      </c>
      <c r="H23616" s="5">
        <v>0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109.1</v>
      </c>
      <c r="D23617" s="5">
        <v>0.1</v>
      </c>
      <c r="E23617" s="5">
        <v>109.3</v>
      </c>
      <c r="F23617" s="5">
        <v>0</v>
      </c>
      <c r="G23617" s="5">
        <v>0</v>
      </c>
      <c r="H23617" s="5">
        <v>0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108.9</v>
      </c>
      <c r="D23618" s="5">
        <v>0.1</v>
      </c>
      <c r="E23618" s="5">
        <v>109.1</v>
      </c>
      <c r="F23618" s="5">
        <v>0</v>
      </c>
      <c r="G23618" s="5">
        <v>0</v>
      </c>
      <c r="H23618" s="5">
        <v>0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108.9</v>
      </c>
      <c r="D23619" s="5">
        <v>0.1</v>
      </c>
      <c r="E23619" s="5">
        <v>109.1</v>
      </c>
      <c r="F23619" s="5">
        <v>0</v>
      </c>
      <c r="G23619" s="5">
        <v>0</v>
      </c>
      <c r="H23619" s="5">
        <v>0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109.4</v>
      </c>
      <c r="D23620" s="5">
        <v>0.1</v>
      </c>
      <c r="E23620" s="5">
        <v>109.6</v>
      </c>
      <c r="F23620" s="5">
        <v>0</v>
      </c>
      <c r="G23620" s="5">
        <v>0</v>
      </c>
      <c r="H23620" s="5">
        <v>0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109.4</v>
      </c>
      <c r="D23621" s="5">
        <v>0.1</v>
      </c>
      <c r="E23621" s="5">
        <v>109.6</v>
      </c>
      <c r="F23621" s="5">
        <v>0</v>
      </c>
      <c r="G23621" s="5">
        <v>0</v>
      </c>
      <c r="H23621" s="5">
        <v>0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109.4</v>
      </c>
      <c r="D23622" s="5">
        <v>0.1</v>
      </c>
      <c r="E23622" s="5">
        <v>109.6</v>
      </c>
      <c r="F23622" s="5">
        <v>0</v>
      </c>
      <c r="G23622" s="5">
        <v>0</v>
      </c>
      <c r="H23622" s="5">
        <v>0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109.4</v>
      </c>
      <c r="D23623" s="5">
        <v>0.1</v>
      </c>
      <c r="E23623" s="5">
        <v>109.6</v>
      </c>
      <c r="F23623" s="5">
        <v>0</v>
      </c>
      <c r="G23623" s="5">
        <v>0</v>
      </c>
      <c r="H23623" s="5">
        <v>0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108.8</v>
      </c>
      <c r="D23624" s="5">
        <v>0.1</v>
      </c>
      <c r="E23624" s="5">
        <v>109.1</v>
      </c>
      <c r="F23624" s="5">
        <v>0</v>
      </c>
      <c r="G23624" s="5">
        <v>0</v>
      </c>
      <c r="H23624" s="5">
        <v>0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108.8</v>
      </c>
      <c r="D23625" s="5">
        <v>0.1</v>
      </c>
      <c r="E23625" s="5">
        <v>109.1</v>
      </c>
      <c r="F23625" s="5">
        <v>0</v>
      </c>
      <c r="G23625" s="5">
        <v>0</v>
      </c>
      <c r="H23625" s="5">
        <v>0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109.4</v>
      </c>
      <c r="D23626" s="5">
        <v>0.1</v>
      </c>
      <c r="E23626" s="5">
        <v>109.6</v>
      </c>
      <c r="F23626" s="5">
        <v>0</v>
      </c>
      <c r="G23626" s="5">
        <v>0</v>
      </c>
      <c r="H23626" s="5">
        <v>0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109.4</v>
      </c>
      <c r="D23627" s="5">
        <v>0.1</v>
      </c>
      <c r="E23627" s="5">
        <v>109.6</v>
      </c>
      <c r="F23627" s="5">
        <v>0</v>
      </c>
      <c r="G23627" s="5">
        <v>0</v>
      </c>
      <c r="H23627" s="5">
        <v>0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110</v>
      </c>
      <c r="D23628" s="5">
        <v>0.1</v>
      </c>
      <c r="E23628" s="5">
        <v>110.1</v>
      </c>
      <c r="F23628" s="5">
        <v>0</v>
      </c>
      <c r="G23628" s="5">
        <v>0</v>
      </c>
      <c r="H23628" s="5">
        <v>0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110</v>
      </c>
      <c r="D23629" s="5">
        <v>0.1</v>
      </c>
      <c r="E23629" s="5">
        <v>110.1</v>
      </c>
      <c r="F23629" s="5">
        <v>0</v>
      </c>
      <c r="G23629" s="5">
        <v>0</v>
      </c>
      <c r="H23629" s="5">
        <v>0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111.2</v>
      </c>
      <c r="D23630" s="5">
        <v>0.1</v>
      </c>
      <c r="E23630" s="5">
        <v>111.3</v>
      </c>
      <c r="F23630" s="5">
        <v>0</v>
      </c>
      <c r="G23630" s="5">
        <v>0</v>
      </c>
      <c r="H23630" s="5">
        <v>0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111.2</v>
      </c>
      <c r="D23631" s="5">
        <v>0.1</v>
      </c>
      <c r="E23631" s="5">
        <v>111.3</v>
      </c>
      <c r="F23631" s="5">
        <v>0</v>
      </c>
      <c r="G23631" s="5">
        <v>0</v>
      </c>
      <c r="H23631" s="5">
        <v>0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111.2</v>
      </c>
      <c r="D23632" s="5">
        <v>0.1</v>
      </c>
      <c r="E23632" s="5">
        <v>111.3</v>
      </c>
      <c r="F23632" s="5">
        <v>0</v>
      </c>
      <c r="G23632" s="5">
        <v>0</v>
      </c>
      <c r="H23632" s="5">
        <v>0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111.2</v>
      </c>
      <c r="D23633" s="5">
        <v>0.1</v>
      </c>
      <c r="E23633" s="5">
        <v>111.3</v>
      </c>
      <c r="F23633" s="5">
        <v>0</v>
      </c>
      <c r="G23633" s="5">
        <v>0</v>
      </c>
      <c r="H23633" s="5">
        <v>0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110.1</v>
      </c>
      <c r="D23634" s="5">
        <v>0.1</v>
      </c>
      <c r="E23634" s="5">
        <v>110.2</v>
      </c>
      <c r="F23634" s="5">
        <v>0</v>
      </c>
      <c r="G23634" s="5">
        <v>0</v>
      </c>
      <c r="H23634" s="5">
        <v>0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110.1</v>
      </c>
      <c r="D23635" s="5">
        <v>0.1</v>
      </c>
      <c r="E23635" s="5">
        <v>110.2</v>
      </c>
      <c r="F23635" s="5">
        <v>0</v>
      </c>
      <c r="G23635" s="5">
        <v>0</v>
      </c>
      <c r="H23635" s="5">
        <v>0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109.7</v>
      </c>
      <c r="D23636" s="5">
        <v>0.1</v>
      </c>
      <c r="E23636" s="5">
        <v>109.8</v>
      </c>
      <c r="F23636" s="5">
        <v>0</v>
      </c>
      <c r="G23636" s="5">
        <v>0</v>
      </c>
      <c r="H23636" s="5">
        <v>0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109.7</v>
      </c>
      <c r="D23637" s="5">
        <v>0.1</v>
      </c>
      <c r="E23637" s="5">
        <v>109.8</v>
      </c>
      <c r="F23637" s="5">
        <v>0</v>
      </c>
      <c r="G23637" s="5">
        <v>0</v>
      </c>
      <c r="H23637" s="5">
        <v>0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109.3</v>
      </c>
      <c r="D23638" s="5">
        <v>0.1</v>
      </c>
      <c r="E23638" s="5">
        <v>109.4</v>
      </c>
      <c r="F23638" s="5">
        <v>0</v>
      </c>
      <c r="G23638" s="5">
        <v>0</v>
      </c>
      <c r="H23638" s="5">
        <v>0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109.3</v>
      </c>
      <c r="D23639" s="5">
        <v>0.1</v>
      </c>
      <c r="E23639" s="5">
        <v>109.4</v>
      </c>
      <c r="F23639" s="5">
        <v>0</v>
      </c>
      <c r="G23639" s="5">
        <v>0</v>
      </c>
      <c r="H23639" s="5">
        <v>0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110.5</v>
      </c>
      <c r="D23640" s="5">
        <v>0.1</v>
      </c>
      <c r="E23640" s="5">
        <v>110.7</v>
      </c>
      <c r="F23640" s="5">
        <v>0</v>
      </c>
      <c r="G23640" s="5">
        <v>0</v>
      </c>
      <c r="H23640" s="5">
        <v>0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110.5</v>
      </c>
      <c r="D23641" s="5">
        <v>0.1</v>
      </c>
      <c r="E23641" s="5">
        <v>110.7</v>
      </c>
      <c r="F23641" s="5">
        <v>0</v>
      </c>
      <c r="G23641" s="5">
        <v>0</v>
      </c>
      <c r="H23641" s="5">
        <v>0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110.5</v>
      </c>
      <c r="D23642" s="5">
        <v>0.1</v>
      </c>
      <c r="E23642" s="5">
        <v>110.7</v>
      </c>
      <c r="F23642" s="5">
        <v>0</v>
      </c>
      <c r="G23642" s="5">
        <v>0</v>
      </c>
      <c r="H23642" s="5">
        <v>0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110.5</v>
      </c>
      <c r="D23643" s="5">
        <v>0.1</v>
      </c>
      <c r="E23643" s="5">
        <v>110.7</v>
      </c>
      <c r="F23643" s="5">
        <v>0</v>
      </c>
      <c r="G23643" s="5">
        <v>0</v>
      </c>
      <c r="H23643" s="5">
        <v>0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109.4</v>
      </c>
      <c r="D23644" s="5">
        <v>0.1</v>
      </c>
      <c r="E23644" s="5">
        <v>109.5</v>
      </c>
      <c r="F23644" s="5">
        <v>0</v>
      </c>
      <c r="G23644" s="5">
        <v>0</v>
      </c>
      <c r="H23644" s="5">
        <v>0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109.4</v>
      </c>
      <c r="D23645" s="5">
        <v>0.1</v>
      </c>
      <c r="E23645" s="5">
        <v>109.5</v>
      </c>
      <c r="F23645" s="5">
        <v>0</v>
      </c>
      <c r="G23645" s="5">
        <v>0</v>
      </c>
      <c r="H23645" s="5">
        <v>0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109.2</v>
      </c>
      <c r="D23646" s="5">
        <v>0.1</v>
      </c>
      <c r="E23646" s="5">
        <v>109.4</v>
      </c>
      <c r="F23646" s="5">
        <v>0</v>
      </c>
      <c r="G23646" s="5">
        <v>0</v>
      </c>
      <c r="H23646" s="5">
        <v>0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109.2</v>
      </c>
      <c r="D23647" s="5">
        <v>0.1</v>
      </c>
      <c r="E23647" s="5">
        <v>109.4</v>
      </c>
      <c r="F23647" s="5">
        <v>0</v>
      </c>
      <c r="G23647" s="5">
        <v>0</v>
      </c>
      <c r="H23647" s="5">
        <v>0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109.5</v>
      </c>
      <c r="D23648" s="5">
        <v>0.1</v>
      </c>
      <c r="E23648" s="5">
        <v>109.7</v>
      </c>
      <c r="F23648" s="5">
        <v>0</v>
      </c>
      <c r="G23648" s="5">
        <v>0</v>
      </c>
      <c r="H23648" s="5">
        <v>0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109.5</v>
      </c>
      <c r="D23649" s="5">
        <v>0.1</v>
      </c>
      <c r="E23649" s="5">
        <v>109.7</v>
      </c>
      <c r="F23649" s="5">
        <v>0</v>
      </c>
      <c r="G23649" s="5">
        <v>0</v>
      </c>
      <c r="H23649" s="5">
        <v>0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110</v>
      </c>
      <c r="D23650" s="5">
        <v>0.1</v>
      </c>
      <c r="E23650" s="5">
        <v>110.1</v>
      </c>
      <c r="F23650" s="5">
        <v>0</v>
      </c>
      <c r="G23650" s="5">
        <v>0</v>
      </c>
      <c r="H23650" s="5">
        <v>0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110</v>
      </c>
      <c r="D23651" s="5">
        <v>0.1</v>
      </c>
      <c r="E23651" s="5">
        <v>110.1</v>
      </c>
      <c r="F23651" s="5">
        <v>0</v>
      </c>
      <c r="G23651" s="5">
        <v>0</v>
      </c>
      <c r="H23651" s="5">
        <v>0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110</v>
      </c>
      <c r="D23652" s="5">
        <v>0.1</v>
      </c>
      <c r="E23652" s="5">
        <v>110.1</v>
      </c>
      <c r="F23652" s="5">
        <v>0</v>
      </c>
      <c r="G23652" s="5">
        <v>0</v>
      </c>
      <c r="H23652" s="5">
        <v>0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110</v>
      </c>
      <c r="D23653" s="5">
        <v>0.1</v>
      </c>
      <c r="E23653" s="5">
        <v>110.1</v>
      </c>
      <c r="F23653" s="5">
        <v>0</v>
      </c>
      <c r="G23653" s="5">
        <v>0</v>
      </c>
      <c r="H23653" s="5">
        <v>0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107.8</v>
      </c>
      <c r="D23654" s="5">
        <v>0.1</v>
      </c>
      <c r="E23654" s="5">
        <v>107.9</v>
      </c>
      <c r="F23654" s="5">
        <v>0</v>
      </c>
      <c r="G23654" s="5">
        <v>0</v>
      </c>
      <c r="H23654" s="5">
        <v>0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107.8</v>
      </c>
      <c r="D23655" s="5">
        <v>0.1</v>
      </c>
      <c r="E23655" s="5">
        <v>107.9</v>
      </c>
      <c r="F23655" s="5">
        <v>0</v>
      </c>
      <c r="G23655" s="5">
        <v>0</v>
      </c>
      <c r="H23655" s="5">
        <v>0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107.6</v>
      </c>
      <c r="D23656" s="5">
        <v>0.1</v>
      </c>
      <c r="E23656" s="5">
        <v>107.8</v>
      </c>
      <c r="F23656" s="5">
        <v>0</v>
      </c>
      <c r="G23656" s="5">
        <v>0</v>
      </c>
      <c r="H23656" s="5">
        <v>0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107.6</v>
      </c>
      <c r="D23657" s="5">
        <v>0.1</v>
      </c>
      <c r="E23657" s="5">
        <v>107.8</v>
      </c>
      <c r="F23657" s="5">
        <v>0</v>
      </c>
      <c r="G23657" s="5">
        <v>0</v>
      </c>
      <c r="H23657" s="5">
        <v>0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105.3</v>
      </c>
      <c r="D23658" s="5">
        <v>0.1</v>
      </c>
      <c r="E23658" s="5">
        <v>105.4</v>
      </c>
      <c r="F23658" s="5">
        <v>0</v>
      </c>
      <c r="G23658" s="5">
        <v>0</v>
      </c>
      <c r="H23658" s="5">
        <v>0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105.3</v>
      </c>
      <c r="D23659" s="5">
        <v>0.1</v>
      </c>
      <c r="E23659" s="5">
        <v>105.4</v>
      </c>
      <c r="F23659" s="5">
        <v>0</v>
      </c>
      <c r="G23659" s="5">
        <v>0</v>
      </c>
      <c r="H23659" s="5">
        <v>0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106.4</v>
      </c>
      <c r="D23660" s="5">
        <v>0.1</v>
      </c>
      <c r="E23660" s="5">
        <v>106.6</v>
      </c>
      <c r="F23660" s="5">
        <v>0</v>
      </c>
      <c r="G23660" s="5">
        <v>0</v>
      </c>
      <c r="H23660" s="5">
        <v>0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106.4</v>
      </c>
      <c r="D23661" s="5">
        <v>0.1</v>
      </c>
      <c r="E23661" s="5">
        <v>106.6</v>
      </c>
      <c r="F23661" s="5">
        <v>0</v>
      </c>
      <c r="G23661" s="5">
        <v>0</v>
      </c>
      <c r="H23661" s="5">
        <v>0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106.4</v>
      </c>
      <c r="D23662" s="5">
        <v>0.1</v>
      </c>
      <c r="E23662" s="5">
        <v>106.6</v>
      </c>
      <c r="F23662" s="5">
        <v>0</v>
      </c>
      <c r="G23662" s="5">
        <v>0</v>
      </c>
      <c r="H23662" s="5">
        <v>0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106.4</v>
      </c>
      <c r="D23663" s="5">
        <v>0.1</v>
      </c>
      <c r="E23663" s="5">
        <v>106.6</v>
      </c>
      <c r="F23663" s="5">
        <v>0</v>
      </c>
      <c r="G23663" s="5">
        <v>0</v>
      </c>
      <c r="H23663" s="5">
        <v>0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109.4</v>
      </c>
      <c r="D23664" s="5">
        <v>0.1</v>
      </c>
      <c r="E23664" s="5">
        <v>109.5</v>
      </c>
      <c r="F23664" s="5">
        <v>0</v>
      </c>
      <c r="G23664" s="5">
        <v>0</v>
      </c>
      <c r="H23664" s="5">
        <v>0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109.4</v>
      </c>
      <c r="D23665" s="5">
        <v>0.1</v>
      </c>
      <c r="E23665" s="5">
        <v>109.5</v>
      </c>
      <c r="F23665" s="5">
        <v>0</v>
      </c>
      <c r="G23665" s="5">
        <v>0</v>
      </c>
      <c r="H23665" s="5">
        <v>0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109.9</v>
      </c>
      <c r="D23666" s="5">
        <v>0.1</v>
      </c>
      <c r="E23666" s="5">
        <v>110.1</v>
      </c>
      <c r="F23666" s="5">
        <v>0</v>
      </c>
      <c r="G23666" s="5">
        <v>0</v>
      </c>
      <c r="H23666" s="5">
        <v>0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109.9</v>
      </c>
      <c r="D23667" s="5">
        <v>0.1</v>
      </c>
      <c r="E23667" s="5">
        <v>110.1</v>
      </c>
      <c r="F23667" s="5">
        <v>0</v>
      </c>
      <c r="G23667" s="5">
        <v>0</v>
      </c>
      <c r="H23667" s="5">
        <v>0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110.4</v>
      </c>
      <c r="D23668" s="5">
        <v>0.1</v>
      </c>
      <c r="E23668" s="5">
        <v>110.5</v>
      </c>
      <c r="F23668" s="5">
        <v>0</v>
      </c>
      <c r="G23668" s="5">
        <v>0</v>
      </c>
      <c r="H23668" s="5">
        <v>0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110.4</v>
      </c>
      <c r="D23669" s="5">
        <v>0.1</v>
      </c>
      <c r="E23669" s="5">
        <v>110.5</v>
      </c>
      <c r="F23669" s="5">
        <v>0</v>
      </c>
      <c r="G23669" s="5">
        <v>0</v>
      </c>
      <c r="H23669" s="5">
        <v>0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107.3</v>
      </c>
      <c r="D23670" s="5">
        <v>0.1</v>
      </c>
      <c r="E23670" s="5">
        <v>107.5</v>
      </c>
      <c r="F23670" s="5">
        <v>0</v>
      </c>
      <c r="G23670" s="5">
        <v>0</v>
      </c>
      <c r="H23670" s="5">
        <v>0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107.3</v>
      </c>
      <c r="D23671" s="5">
        <v>0.1</v>
      </c>
      <c r="E23671" s="5">
        <v>107.5</v>
      </c>
      <c r="F23671" s="5">
        <v>0</v>
      </c>
      <c r="G23671" s="5">
        <v>0</v>
      </c>
      <c r="H23671" s="5">
        <v>0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107.3</v>
      </c>
      <c r="D23672" s="5">
        <v>0.1</v>
      </c>
      <c r="E23672" s="5">
        <v>107.5</v>
      </c>
      <c r="F23672" s="5">
        <v>0</v>
      </c>
      <c r="G23672" s="5">
        <v>0</v>
      </c>
      <c r="H23672" s="5">
        <v>0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107.3</v>
      </c>
      <c r="D23673" s="5">
        <v>0.1</v>
      </c>
      <c r="E23673" s="5">
        <v>107.5</v>
      </c>
      <c r="F23673" s="5">
        <v>0</v>
      </c>
      <c r="G23673" s="5">
        <v>0</v>
      </c>
      <c r="H23673" s="5">
        <v>0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110.1</v>
      </c>
      <c r="D23674" s="5">
        <v>0.1</v>
      </c>
      <c r="E23674" s="5">
        <v>110.2</v>
      </c>
      <c r="F23674" s="5">
        <v>0</v>
      </c>
      <c r="G23674" s="5">
        <v>0</v>
      </c>
      <c r="H23674" s="5">
        <v>0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110.1</v>
      </c>
      <c r="D23675" s="5">
        <v>0.1</v>
      </c>
      <c r="E23675" s="5">
        <v>110.2</v>
      </c>
      <c r="F23675" s="5">
        <v>0</v>
      </c>
      <c r="G23675" s="5">
        <v>0</v>
      </c>
      <c r="H23675" s="5">
        <v>0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109.1</v>
      </c>
      <c r="D23676" s="5">
        <v>0.1</v>
      </c>
      <c r="E23676" s="5">
        <v>109.2</v>
      </c>
      <c r="F23676" s="5">
        <v>0</v>
      </c>
      <c r="G23676" s="5">
        <v>0</v>
      </c>
      <c r="H23676" s="5">
        <v>0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109.1</v>
      </c>
      <c r="D23677" s="5">
        <v>0.1</v>
      </c>
      <c r="E23677" s="5">
        <v>109.2</v>
      </c>
      <c r="F23677" s="5">
        <v>0</v>
      </c>
      <c r="G23677" s="5">
        <v>0</v>
      </c>
      <c r="H23677" s="5">
        <v>0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109.9</v>
      </c>
      <c r="D23678" s="5">
        <v>0.1</v>
      </c>
      <c r="E23678" s="5">
        <v>110.1</v>
      </c>
      <c r="F23678" s="5">
        <v>0</v>
      </c>
      <c r="G23678" s="5">
        <v>0</v>
      </c>
      <c r="H23678" s="5">
        <v>0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109.9</v>
      </c>
      <c r="D23679" s="5">
        <v>0.1</v>
      </c>
      <c r="E23679" s="5">
        <v>110.1</v>
      </c>
      <c r="F23679" s="5">
        <v>0</v>
      </c>
      <c r="G23679" s="5">
        <v>0</v>
      </c>
      <c r="H23679" s="5">
        <v>0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111.4</v>
      </c>
      <c r="D23680" s="5">
        <v>0.1</v>
      </c>
      <c r="E23680" s="5">
        <v>111.6</v>
      </c>
      <c r="F23680" s="5">
        <v>0</v>
      </c>
      <c r="G23680" s="5">
        <v>0</v>
      </c>
      <c r="H23680" s="5">
        <v>0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111.4</v>
      </c>
      <c r="D23681" s="5">
        <v>0.1</v>
      </c>
      <c r="E23681" s="5">
        <v>111.6</v>
      </c>
      <c r="F23681" s="5">
        <v>0</v>
      </c>
      <c r="G23681" s="5">
        <v>0</v>
      </c>
      <c r="H23681" s="5">
        <v>0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111.4</v>
      </c>
      <c r="D23682" s="5">
        <v>0.1</v>
      </c>
      <c r="E23682" s="5">
        <v>111.6</v>
      </c>
      <c r="F23682" s="5">
        <v>0</v>
      </c>
      <c r="G23682" s="5">
        <v>0</v>
      </c>
      <c r="H23682" s="5">
        <v>0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111.4</v>
      </c>
      <c r="D23683" s="5">
        <v>0.1</v>
      </c>
      <c r="E23683" s="5">
        <v>111.6</v>
      </c>
      <c r="F23683" s="5">
        <v>0</v>
      </c>
      <c r="G23683" s="5">
        <v>0</v>
      </c>
      <c r="H23683" s="5">
        <v>0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111.9</v>
      </c>
      <c r="D23684" s="5">
        <v>0.1</v>
      </c>
      <c r="E23684" s="5">
        <v>112</v>
      </c>
      <c r="F23684" s="5">
        <v>0</v>
      </c>
      <c r="G23684" s="5">
        <v>0</v>
      </c>
      <c r="H23684" s="5">
        <v>0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111.9</v>
      </c>
      <c r="D23685" s="5">
        <v>0.1</v>
      </c>
      <c r="E23685" s="5">
        <v>112</v>
      </c>
      <c r="F23685" s="5">
        <v>0</v>
      </c>
      <c r="G23685" s="5">
        <v>0</v>
      </c>
      <c r="H23685" s="5">
        <v>0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112.5</v>
      </c>
      <c r="D23686" s="5">
        <v>0.1</v>
      </c>
      <c r="E23686" s="5">
        <v>112.6</v>
      </c>
      <c r="F23686" s="5">
        <v>0</v>
      </c>
      <c r="G23686" s="5">
        <v>0</v>
      </c>
      <c r="H23686" s="5">
        <v>0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112.5</v>
      </c>
      <c r="D23687" s="5">
        <v>0.1</v>
      </c>
      <c r="E23687" s="5">
        <v>112.6</v>
      </c>
      <c r="F23687" s="5">
        <v>0</v>
      </c>
      <c r="G23687" s="5">
        <v>0</v>
      </c>
      <c r="H23687" s="5">
        <v>0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112.6</v>
      </c>
      <c r="D23688" s="5">
        <v>0.1</v>
      </c>
      <c r="E23688" s="5">
        <v>112.9</v>
      </c>
      <c r="F23688" s="5">
        <v>0</v>
      </c>
      <c r="G23688" s="5">
        <v>0</v>
      </c>
      <c r="H23688" s="5">
        <v>0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112.6</v>
      </c>
      <c r="D23689" s="5">
        <v>0.1</v>
      </c>
      <c r="E23689" s="5">
        <v>112.9</v>
      </c>
      <c r="F23689" s="5">
        <v>0</v>
      </c>
      <c r="G23689" s="5">
        <v>0</v>
      </c>
      <c r="H23689" s="5">
        <v>0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111</v>
      </c>
      <c r="D23690" s="5">
        <v>0.1</v>
      </c>
      <c r="E23690" s="5">
        <v>111.2</v>
      </c>
      <c r="F23690" s="5">
        <v>0</v>
      </c>
      <c r="G23690" s="5">
        <v>0</v>
      </c>
      <c r="H23690" s="5">
        <v>0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111</v>
      </c>
      <c r="D23691" s="5">
        <v>0.1</v>
      </c>
      <c r="E23691" s="5">
        <v>111.2</v>
      </c>
      <c r="F23691" s="5">
        <v>0</v>
      </c>
      <c r="G23691" s="5">
        <v>0</v>
      </c>
      <c r="H23691" s="5">
        <v>0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111</v>
      </c>
      <c r="D23692" s="5">
        <v>0.1</v>
      </c>
      <c r="E23692" s="5">
        <v>111.2</v>
      </c>
      <c r="F23692" s="5">
        <v>0</v>
      </c>
      <c r="G23692" s="5">
        <v>0</v>
      </c>
      <c r="H23692" s="5">
        <v>0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111</v>
      </c>
      <c r="D23693" s="5">
        <v>0.1</v>
      </c>
      <c r="E23693" s="5">
        <v>111.2</v>
      </c>
      <c r="F23693" s="5">
        <v>0</v>
      </c>
      <c r="G23693" s="5">
        <v>0</v>
      </c>
      <c r="H23693" s="5">
        <v>0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110.3</v>
      </c>
      <c r="D23694" s="5">
        <v>0.1</v>
      </c>
      <c r="E23694" s="5">
        <v>110.4</v>
      </c>
      <c r="F23694" s="5">
        <v>0</v>
      </c>
      <c r="G23694" s="5">
        <v>0</v>
      </c>
      <c r="H23694" s="5">
        <v>0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110.3</v>
      </c>
      <c r="D23695" s="5">
        <v>0.1</v>
      </c>
      <c r="E23695" s="5">
        <v>110.4</v>
      </c>
      <c r="F23695" s="5">
        <v>0</v>
      </c>
      <c r="G23695" s="5">
        <v>0</v>
      </c>
      <c r="H23695" s="5">
        <v>0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110.5</v>
      </c>
      <c r="D23696" s="5">
        <v>0.1</v>
      </c>
      <c r="E23696" s="5">
        <v>110.7</v>
      </c>
      <c r="F23696" s="5">
        <v>0</v>
      </c>
      <c r="G23696" s="5">
        <v>0</v>
      </c>
      <c r="H23696" s="5">
        <v>0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110.5</v>
      </c>
      <c r="D23697" s="5">
        <v>0.1</v>
      </c>
      <c r="E23697" s="5">
        <v>110.7</v>
      </c>
      <c r="F23697" s="5">
        <v>0</v>
      </c>
      <c r="G23697" s="5">
        <v>0</v>
      </c>
      <c r="H23697" s="5">
        <v>0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110.7</v>
      </c>
      <c r="D23698" s="5">
        <v>0.1</v>
      </c>
      <c r="E23698" s="5">
        <v>110.8</v>
      </c>
      <c r="F23698" s="5">
        <v>0</v>
      </c>
      <c r="G23698" s="5">
        <v>0</v>
      </c>
      <c r="H23698" s="5">
        <v>0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110.7</v>
      </c>
      <c r="D23699" s="5">
        <v>0.1</v>
      </c>
      <c r="E23699" s="5">
        <v>110.8</v>
      </c>
      <c r="F23699" s="5">
        <v>0</v>
      </c>
      <c r="G23699" s="5">
        <v>0</v>
      </c>
      <c r="H23699" s="5">
        <v>0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110.7</v>
      </c>
      <c r="D23700" s="5">
        <v>0.1</v>
      </c>
      <c r="E23700" s="5">
        <v>110.9</v>
      </c>
      <c r="F23700" s="5">
        <v>0</v>
      </c>
      <c r="G23700" s="5">
        <v>0</v>
      </c>
      <c r="H23700" s="5">
        <v>0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110.7</v>
      </c>
      <c r="D23701" s="5">
        <v>0.1</v>
      </c>
      <c r="E23701" s="5">
        <v>110.9</v>
      </c>
      <c r="F23701" s="5">
        <v>0</v>
      </c>
      <c r="G23701" s="5">
        <v>0</v>
      </c>
      <c r="H23701" s="5">
        <v>0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110.7</v>
      </c>
      <c r="D23702" s="5">
        <v>0.1</v>
      </c>
      <c r="E23702" s="5">
        <v>110.9</v>
      </c>
      <c r="F23702" s="5">
        <v>0</v>
      </c>
      <c r="G23702" s="5">
        <v>0</v>
      </c>
      <c r="H23702" s="5">
        <v>0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110.7</v>
      </c>
      <c r="D23703" s="5">
        <v>0.1</v>
      </c>
      <c r="E23703" s="5">
        <v>110.9</v>
      </c>
      <c r="F23703" s="5">
        <v>0</v>
      </c>
      <c r="G23703" s="5">
        <v>0</v>
      </c>
      <c r="H23703" s="5">
        <v>0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110.4</v>
      </c>
      <c r="D23704" s="5">
        <v>0.1</v>
      </c>
      <c r="E23704" s="5">
        <v>110.6</v>
      </c>
      <c r="F23704" s="5">
        <v>0</v>
      </c>
      <c r="G23704" s="5">
        <v>0</v>
      </c>
      <c r="H23704" s="5">
        <v>0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110.4</v>
      </c>
      <c r="D23705" s="5">
        <v>0.1</v>
      </c>
      <c r="E23705" s="5">
        <v>110.6</v>
      </c>
      <c r="F23705" s="5">
        <v>0</v>
      </c>
      <c r="G23705" s="5">
        <v>0</v>
      </c>
      <c r="H23705" s="5">
        <v>0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110</v>
      </c>
      <c r="D23706" s="5">
        <v>0.1</v>
      </c>
      <c r="E23706" s="5">
        <v>110.1</v>
      </c>
      <c r="F23706" s="5">
        <v>0</v>
      </c>
      <c r="G23706" s="5">
        <v>0</v>
      </c>
      <c r="H23706" s="5">
        <v>0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110</v>
      </c>
      <c r="D23707" s="5">
        <v>0.1</v>
      </c>
      <c r="E23707" s="5">
        <v>110.1</v>
      </c>
      <c r="F23707" s="5">
        <v>0</v>
      </c>
      <c r="G23707" s="5">
        <v>0</v>
      </c>
      <c r="H23707" s="5">
        <v>0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110.9</v>
      </c>
      <c r="D23708" s="5">
        <v>0.1</v>
      </c>
      <c r="E23708" s="5">
        <v>111</v>
      </c>
      <c r="F23708" s="5">
        <v>0</v>
      </c>
      <c r="G23708" s="5">
        <v>0</v>
      </c>
      <c r="H23708" s="5">
        <v>0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110.9</v>
      </c>
      <c r="D23709" s="5">
        <v>0.1</v>
      </c>
      <c r="E23709" s="5">
        <v>111</v>
      </c>
      <c r="F23709" s="5">
        <v>0</v>
      </c>
      <c r="G23709" s="5">
        <v>0</v>
      </c>
      <c r="H23709" s="5">
        <v>0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109.4</v>
      </c>
      <c r="D23710" s="5">
        <v>0.1</v>
      </c>
      <c r="E23710" s="5">
        <v>109.6</v>
      </c>
      <c r="F23710" s="5">
        <v>0</v>
      </c>
      <c r="G23710" s="5">
        <v>0</v>
      </c>
      <c r="H23710" s="5">
        <v>0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109.4</v>
      </c>
      <c r="D23711" s="5">
        <v>0.1</v>
      </c>
      <c r="E23711" s="5">
        <v>109.6</v>
      </c>
      <c r="F23711" s="5">
        <v>0</v>
      </c>
      <c r="G23711" s="5">
        <v>0</v>
      </c>
      <c r="H23711" s="5">
        <v>0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109.4</v>
      </c>
      <c r="D23712" s="5">
        <v>0.1</v>
      </c>
      <c r="E23712" s="5">
        <v>109.6</v>
      </c>
      <c r="F23712" s="5">
        <v>0</v>
      </c>
      <c r="G23712" s="5">
        <v>0</v>
      </c>
      <c r="H23712" s="5">
        <v>0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109.4</v>
      </c>
      <c r="D23713" s="5">
        <v>0.1</v>
      </c>
      <c r="E23713" s="5">
        <v>109.6</v>
      </c>
      <c r="F23713" s="5">
        <v>0</v>
      </c>
      <c r="G23713" s="5">
        <v>0</v>
      </c>
      <c r="H23713" s="5">
        <v>0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110.6</v>
      </c>
      <c r="D23714" s="5">
        <v>0.1</v>
      </c>
      <c r="E23714" s="5">
        <v>110.7</v>
      </c>
      <c r="F23714" s="5">
        <v>0</v>
      </c>
      <c r="G23714" s="5">
        <v>0</v>
      </c>
      <c r="H23714" s="5">
        <v>0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110.6</v>
      </c>
      <c r="D23715" s="5">
        <v>0.1</v>
      </c>
      <c r="E23715" s="5">
        <v>110.7</v>
      </c>
      <c r="F23715" s="5">
        <v>0</v>
      </c>
      <c r="G23715" s="5">
        <v>0</v>
      </c>
      <c r="H23715" s="5">
        <v>0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110.8</v>
      </c>
      <c r="D23716" s="5">
        <v>0.1</v>
      </c>
      <c r="E23716" s="5">
        <v>111</v>
      </c>
      <c r="F23716" s="5">
        <v>0</v>
      </c>
      <c r="G23716" s="5">
        <v>0</v>
      </c>
      <c r="H23716" s="5">
        <v>0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110.8</v>
      </c>
      <c r="D23717" s="5">
        <v>0.1</v>
      </c>
      <c r="E23717" s="5">
        <v>111</v>
      </c>
      <c r="F23717" s="5">
        <v>0</v>
      </c>
      <c r="G23717" s="5">
        <v>0</v>
      </c>
      <c r="H23717" s="5">
        <v>0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111.3</v>
      </c>
      <c r="D23718" s="5">
        <v>0.1</v>
      </c>
      <c r="E23718" s="5">
        <v>111.5</v>
      </c>
      <c r="F23718" s="5">
        <v>0</v>
      </c>
      <c r="G23718" s="5">
        <v>0</v>
      </c>
      <c r="H23718" s="5">
        <v>0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111.3</v>
      </c>
      <c r="D23719" s="5">
        <v>0.1</v>
      </c>
      <c r="E23719" s="5">
        <v>111.5</v>
      </c>
      <c r="F23719" s="5">
        <v>0</v>
      </c>
      <c r="G23719" s="5">
        <v>0</v>
      </c>
      <c r="H23719" s="5">
        <v>0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110.8</v>
      </c>
      <c r="D23720" s="5">
        <v>0.1</v>
      </c>
      <c r="E23720" s="5">
        <v>111</v>
      </c>
      <c r="F23720" s="5">
        <v>0</v>
      </c>
      <c r="G23720" s="5">
        <v>0</v>
      </c>
      <c r="H23720" s="5">
        <v>0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110.8</v>
      </c>
      <c r="D23721" s="5">
        <v>0.1</v>
      </c>
      <c r="E23721" s="5">
        <v>111</v>
      </c>
      <c r="F23721" s="5">
        <v>0</v>
      </c>
      <c r="G23721" s="5">
        <v>0</v>
      </c>
      <c r="H23721" s="5">
        <v>0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110.8</v>
      </c>
      <c r="D23722" s="5">
        <v>0.1</v>
      </c>
      <c r="E23722" s="5">
        <v>111</v>
      </c>
      <c r="F23722" s="5">
        <v>0</v>
      </c>
      <c r="G23722" s="5">
        <v>0</v>
      </c>
      <c r="H23722" s="5">
        <v>0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110.8</v>
      </c>
      <c r="D23723" s="5">
        <v>0.1</v>
      </c>
      <c r="E23723" s="5">
        <v>111</v>
      </c>
      <c r="F23723" s="5">
        <v>0</v>
      </c>
      <c r="G23723" s="5">
        <v>0</v>
      </c>
      <c r="H23723" s="5">
        <v>0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110.3</v>
      </c>
      <c r="D23724" s="5">
        <v>0.1</v>
      </c>
      <c r="E23724" s="5">
        <v>110.4</v>
      </c>
      <c r="F23724" s="5">
        <v>0</v>
      </c>
      <c r="G23724" s="5">
        <v>0</v>
      </c>
      <c r="H23724" s="5">
        <v>0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110.1</v>
      </c>
      <c r="D23725" s="5">
        <v>0.1</v>
      </c>
      <c r="E23725" s="5">
        <v>110.2</v>
      </c>
      <c r="F23725" s="5">
        <v>0</v>
      </c>
      <c r="G23725" s="5">
        <v>0</v>
      </c>
      <c r="H23725" s="5">
        <v>0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110.1</v>
      </c>
      <c r="D23726" s="5">
        <v>0.1</v>
      </c>
      <c r="E23726" s="5">
        <v>110.2</v>
      </c>
      <c r="F23726" s="5">
        <v>0</v>
      </c>
      <c r="G23726" s="5">
        <v>0</v>
      </c>
      <c r="H23726" s="5">
        <v>0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110.6</v>
      </c>
      <c r="D23727" s="5">
        <v>0.1</v>
      </c>
      <c r="E23727" s="5">
        <v>110.7</v>
      </c>
      <c r="F23727" s="5">
        <v>0</v>
      </c>
      <c r="G23727" s="5">
        <v>0</v>
      </c>
      <c r="H23727" s="5">
        <v>0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110.6</v>
      </c>
      <c r="D23728" s="5">
        <v>0.1</v>
      </c>
      <c r="E23728" s="5">
        <v>110.7</v>
      </c>
      <c r="F23728" s="5">
        <v>0</v>
      </c>
      <c r="G23728" s="5">
        <v>0</v>
      </c>
      <c r="H23728" s="5">
        <v>0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110.6</v>
      </c>
      <c r="D23729" s="5">
        <v>0.1</v>
      </c>
      <c r="E23729" s="5">
        <v>110.7</v>
      </c>
      <c r="F23729" s="5">
        <v>0</v>
      </c>
      <c r="G23729" s="5">
        <v>0</v>
      </c>
      <c r="H23729" s="5">
        <v>0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110.6</v>
      </c>
      <c r="D23730" s="5">
        <v>0.1</v>
      </c>
      <c r="E23730" s="5">
        <v>110.7</v>
      </c>
      <c r="F23730" s="5">
        <v>0</v>
      </c>
      <c r="G23730" s="5">
        <v>0</v>
      </c>
      <c r="H23730" s="5">
        <v>0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110.7</v>
      </c>
      <c r="D23731" s="5">
        <v>0.1</v>
      </c>
      <c r="E23731" s="5">
        <v>110.9</v>
      </c>
      <c r="F23731" s="5">
        <v>0</v>
      </c>
      <c r="G23731" s="5">
        <v>0</v>
      </c>
      <c r="H23731" s="5">
        <v>0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110.7</v>
      </c>
      <c r="D23732" s="5">
        <v>0.1</v>
      </c>
      <c r="E23732" s="5">
        <v>110.9</v>
      </c>
      <c r="F23732" s="5">
        <v>0</v>
      </c>
      <c r="G23732" s="5">
        <v>0</v>
      </c>
      <c r="H23732" s="5">
        <v>0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109.7</v>
      </c>
      <c r="D23733" s="5">
        <v>0.1</v>
      </c>
      <c r="E23733" s="5">
        <v>109.8</v>
      </c>
      <c r="F23733" s="5">
        <v>0</v>
      </c>
      <c r="G23733" s="5">
        <v>0</v>
      </c>
      <c r="H23733" s="5">
        <v>0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109.7</v>
      </c>
      <c r="D23734" s="5">
        <v>0.1</v>
      </c>
      <c r="E23734" s="5">
        <v>109.8</v>
      </c>
      <c r="F23734" s="5">
        <v>0</v>
      </c>
      <c r="G23734" s="5">
        <v>0</v>
      </c>
      <c r="H23734" s="5">
        <v>0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110.7</v>
      </c>
      <c r="D23735" s="5">
        <v>0.1</v>
      </c>
      <c r="E23735" s="5">
        <v>110.8</v>
      </c>
      <c r="F23735" s="5">
        <v>0</v>
      </c>
      <c r="G23735" s="5">
        <v>0</v>
      </c>
      <c r="H23735" s="5">
        <v>0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110.7</v>
      </c>
      <c r="D23736" s="5">
        <v>0.1</v>
      </c>
      <c r="E23736" s="5">
        <v>110.8</v>
      </c>
      <c r="F23736" s="5">
        <v>0</v>
      </c>
      <c r="G23736" s="5">
        <v>0</v>
      </c>
      <c r="H23736" s="5">
        <v>0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111</v>
      </c>
      <c r="D23737" s="5">
        <v>0.1</v>
      </c>
      <c r="E23737" s="5">
        <v>111.2</v>
      </c>
      <c r="F23737" s="5">
        <v>0</v>
      </c>
      <c r="G23737" s="5">
        <v>0</v>
      </c>
      <c r="H23737" s="5">
        <v>0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111</v>
      </c>
      <c r="D23738" s="5">
        <v>0.1</v>
      </c>
      <c r="E23738" s="5">
        <v>111.2</v>
      </c>
      <c r="F23738" s="5">
        <v>0</v>
      </c>
      <c r="G23738" s="5">
        <v>0</v>
      </c>
      <c r="H23738" s="5">
        <v>0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111</v>
      </c>
      <c r="D23739" s="5">
        <v>0.1</v>
      </c>
      <c r="E23739" s="5">
        <v>111.2</v>
      </c>
      <c r="F23739" s="5">
        <v>0</v>
      </c>
      <c r="G23739" s="5">
        <v>0</v>
      </c>
      <c r="H23739" s="5">
        <v>0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111</v>
      </c>
      <c r="D23740" s="5">
        <v>0.1</v>
      </c>
      <c r="E23740" s="5">
        <v>111.2</v>
      </c>
      <c r="F23740" s="5">
        <v>0</v>
      </c>
      <c r="G23740" s="5">
        <v>0</v>
      </c>
      <c r="H23740" s="5">
        <v>0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110.7</v>
      </c>
      <c r="D23741" s="5">
        <v>0.1</v>
      </c>
      <c r="E23741" s="5">
        <v>110.9</v>
      </c>
      <c r="F23741" s="5">
        <v>0</v>
      </c>
      <c r="G23741" s="5">
        <v>0</v>
      </c>
      <c r="H23741" s="5">
        <v>0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110.7</v>
      </c>
      <c r="D23742" s="5">
        <v>0.1</v>
      </c>
      <c r="E23742" s="5">
        <v>110.9</v>
      </c>
      <c r="F23742" s="5">
        <v>0</v>
      </c>
      <c r="G23742" s="5">
        <v>0</v>
      </c>
      <c r="H23742" s="5">
        <v>0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111.4</v>
      </c>
      <c r="D23743" s="5">
        <v>0.1</v>
      </c>
      <c r="E23743" s="5">
        <v>111.6</v>
      </c>
      <c r="F23743" s="5">
        <v>0</v>
      </c>
      <c r="G23743" s="5">
        <v>0</v>
      </c>
      <c r="H23743" s="5">
        <v>0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111.4</v>
      </c>
      <c r="D23744" s="5">
        <v>0.1</v>
      </c>
      <c r="E23744" s="5">
        <v>111.6</v>
      </c>
      <c r="F23744" s="5">
        <v>0</v>
      </c>
      <c r="G23744" s="5">
        <v>0</v>
      </c>
      <c r="H23744" s="5">
        <v>0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111.1</v>
      </c>
      <c r="D23745" s="5">
        <v>0.1</v>
      </c>
      <c r="E23745" s="5">
        <v>111.3</v>
      </c>
      <c r="F23745" s="5">
        <v>0</v>
      </c>
      <c r="G23745" s="5">
        <v>0</v>
      </c>
      <c r="H23745" s="5">
        <v>0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111.1</v>
      </c>
      <c r="D23746" s="5">
        <v>0.1</v>
      </c>
      <c r="E23746" s="5">
        <v>111.3</v>
      </c>
      <c r="F23746" s="5">
        <v>0</v>
      </c>
      <c r="G23746" s="5">
        <v>0</v>
      </c>
      <c r="H23746" s="5">
        <v>0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111.4</v>
      </c>
      <c r="D23747" s="5">
        <v>0.1</v>
      </c>
      <c r="E23747" s="5">
        <v>111.6</v>
      </c>
      <c r="F23747" s="5">
        <v>0</v>
      </c>
      <c r="G23747" s="5">
        <v>0</v>
      </c>
      <c r="H23747" s="5">
        <v>0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111.4</v>
      </c>
      <c r="D23748" s="5">
        <v>0.1</v>
      </c>
      <c r="E23748" s="5">
        <v>111.6</v>
      </c>
      <c r="F23748" s="5">
        <v>0</v>
      </c>
      <c r="G23748" s="5">
        <v>0</v>
      </c>
      <c r="H23748" s="5">
        <v>0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111.4</v>
      </c>
      <c r="D23749" s="5">
        <v>0.1</v>
      </c>
      <c r="E23749" s="5">
        <v>111.6</v>
      </c>
      <c r="F23749" s="5">
        <v>0</v>
      </c>
      <c r="G23749" s="5">
        <v>0</v>
      </c>
      <c r="H23749" s="5">
        <v>0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111.7</v>
      </c>
      <c r="D23750" s="5">
        <v>0.1</v>
      </c>
      <c r="E23750" s="5">
        <v>111.9</v>
      </c>
      <c r="F23750" s="5">
        <v>0</v>
      </c>
      <c r="G23750" s="5">
        <v>0</v>
      </c>
      <c r="H23750" s="5">
        <v>0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111.7</v>
      </c>
      <c r="D23751" s="5">
        <v>0.1</v>
      </c>
      <c r="E23751" s="5">
        <v>111.9</v>
      </c>
      <c r="F23751" s="5">
        <v>0</v>
      </c>
      <c r="G23751" s="5">
        <v>0</v>
      </c>
      <c r="H23751" s="5">
        <v>0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112.4</v>
      </c>
      <c r="D23752" s="5">
        <v>0.1</v>
      </c>
      <c r="E23752" s="5">
        <v>112.6</v>
      </c>
      <c r="F23752" s="5">
        <v>0</v>
      </c>
      <c r="G23752" s="5">
        <v>0</v>
      </c>
      <c r="H23752" s="5">
        <v>0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112.4</v>
      </c>
      <c r="D23753" s="5">
        <v>0.1</v>
      </c>
      <c r="E23753" s="5">
        <v>112.6</v>
      </c>
      <c r="F23753" s="5">
        <v>0</v>
      </c>
      <c r="G23753" s="5">
        <v>0</v>
      </c>
      <c r="H23753" s="5">
        <v>0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111.5</v>
      </c>
      <c r="D23754" s="5">
        <v>0.1</v>
      </c>
      <c r="E23754" s="5">
        <v>111.6</v>
      </c>
      <c r="F23754" s="5">
        <v>0</v>
      </c>
      <c r="G23754" s="5">
        <v>0</v>
      </c>
      <c r="H23754" s="5">
        <v>0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111.5</v>
      </c>
      <c r="D23755" s="5">
        <v>0.1</v>
      </c>
      <c r="E23755" s="5">
        <v>111.6</v>
      </c>
      <c r="F23755" s="5">
        <v>0</v>
      </c>
      <c r="G23755" s="5">
        <v>0</v>
      </c>
      <c r="H23755" s="5">
        <v>0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112.1</v>
      </c>
      <c r="D23756" s="5">
        <v>0.1</v>
      </c>
      <c r="E23756" s="5">
        <v>112.3</v>
      </c>
      <c r="F23756" s="5">
        <v>0</v>
      </c>
      <c r="G23756" s="5">
        <v>0</v>
      </c>
      <c r="H23756" s="5">
        <v>0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112.1</v>
      </c>
      <c r="D23757" s="5">
        <v>0.1</v>
      </c>
      <c r="E23757" s="5">
        <v>112.3</v>
      </c>
      <c r="F23757" s="5">
        <v>0</v>
      </c>
      <c r="G23757" s="5">
        <v>0</v>
      </c>
      <c r="H23757" s="5">
        <v>0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112.1</v>
      </c>
      <c r="D23758" s="5">
        <v>0.1</v>
      </c>
      <c r="E23758" s="5">
        <v>112.3</v>
      </c>
      <c r="F23758" s="5">
        <v>0</v>
      </c>
      <c r="G23758" s="5">
        <v>0</v>
      </c>
      <c r="H23758" s="5">
        <v>0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112.1</v>
      </c>
      <c r="D23759" s="5">
        <v>0.1</v>
      </c>
      <c r="E23759" s="5">
        <v>112.3</v>
      </c>
      <c r="F23759" s="5">
        <v>0</v>
      </c>
      <c r="G23759" s="5">
        <v>0</v>
      </c>
      <c r="H23759" s="5">
        <v>0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112</v>
      </c>
      <c r="D23760" s="5">
        <v>0.1</v>
      </c>
      <c r="E23760" s="5">
        <v>112.1</v>
      </c>
      <c r="F23760" s="5">
        <v>0</v>
      </c>
      <c r="G23760" s="5">
        <v>0</v>
      </c>
      <c r="H23760" s="5">
        <v>0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112</v>
      </c>
      <c r="D23761" s="5">
        <v>0.1</v>
      </c>
      <c r="E23761" s="5">
        <v>112.1</v>
      </c>
      <c r="F23761" s="5">
        <v>0</v>
      </c>
      <c r="G23761" s="5">
        <v>0</v>
      </c>
      <c r="H23761" s="5">
        <v>0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111.6</v>
      </c>
      <c r="D23762" s="5">
        <v>0.1</v>
      </c>
      <c r="E23762" s="5">
        <v>111.7</v>
      </c>
      <c r="F23762" s="5">
        <v>0</v>
      </c>
      <c r="G23762" s="5">
        <v>0</v>
      </c>
      <c r="H23762" s="5">
        <v>0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111.6</v>
      </c>
      <c r="D23763" s="5">
        <v>0.1</v>
      </c>
      <c r="E23763" s="5">
        <v>111.7</v>
      </c>
      <c r="F23763" s="5">
        <v>0</v>
      </c>
      <c r="G23763" s="5">
        <v>0</v>
      </c>
      <c r="H23763" s="5">
        <v>0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112</v>
      </c>
      <c r="D23764" s="5">
        <v>0.1</v>
      </c>
      <c r="E23764" s="5">
        <v>111.7</v>
      </c>
      <c r="F23764" s="5">
        <v>0</v>
      </c>
      <c r="G23764" s="5">
        <v>0</v>
      </c>
      <c r="H23764" s="5">
        <v>0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112</v>
      </c>
      <c r="D23765" s="5">
        <v>0.1</v>
      </c>
      <c r="E23765" s="5">
        <v>112.2</v>
      </c>
      <c r="F23765" s="5">
        <v>0</v>
      </c>
      <c r="G23765" s="5">
        <v>0</v>
      </c>
      <c r="H23765" s="5">
        <v>0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112</v>
      </c>
      <c r="D23766" s="5">
        <v>0.1</v>
      </c>
      <c r="E23766" s="5">
        <v>112.2</v>
      </c>
      <c r="F23766" s="5">
        <v>0</v>
      </c>
      <c r="G23766" s="5">
        <v>0</v>
      </c>
      <c r="H23766" s="5">
        <v>0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112</v>
      </c>
      <c r="D23767" s="5">
        <v>0.1</v>
      </c>
      <c r="E23767" s="5">
        <v>112.1</v>
      </c>
      <c r="F23767" s="5">
        <v>0</v>
      </c>
      <c r="G23767" s="5">
        <v>0</v>
      </c>
      <c r="H23767" s="5">
        <v>0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112</v>
      </c>
      <c r="D23768" s="5">
        <v>0.1</v>
      </c>
      <c r="E23768" s="5">
        <v>112.1</v>
      </c>
      <c r="F23768" s="5">
        <v>0</v>
      </c>
      <c r="G23768" s="5">
        <v>0</v>
      </c>
      <c r="H23768" s="5">
        <v>0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112</v>
      </c>
      <c r="D23769" s="5">
        <v>0.1</v>
      </c>
      <c r="E23769" s="5">
        <v>112.1</v>
      </c>
      <c r="F23769" s="5">
        <v>0</v>
      </c>
      <c r="G23769" s="5">
        <v>0</v>
      </c>
      <c r="H23769" s="5">
        <v>0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112.4</v>
      </c>
      <c r="D23770" s="5">
        <v>0.1</v>
      </c>
      <c r="E23770" s="5">
        <v>112.6</v>
      </c>
      <c r="F23770" s="5">
        <v>0</v>
      </c>
      <c r="G23770" s="5">
        <v>0</v>
      </c>
      <c r="H23770" s="5">
        <v>0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112.4</v>
      </c>
      <c r="D23771" s="5">
        <v>0.1</v>
      </c>
      <c r="E23771" s="5">
        <v>112.6</v>
      </c>
      <c r="F23771" s="5">
        <v>0</v>
      </c>
      <c r="G23771" s="5">
        <v>0</v>
      </c>
      <c r="H23771" s="5">
        <v>0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112.4</v>
      </c>
      <c r="D23772" s="5">
        <v>0.1</v>
      </c>
      <c r="E23772" s="5">
        <v>112.6</v>
      </c>
      <c r="F23772" s="5">
        <v>0</v>
      </c>
      <c r="G23772" s="5">
        <v>0</v>
      </c>
      <c r="H23772" s="5">
        <v>0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112.4</v>
      </c>
      <c r="D23773" s="5">
        <v>0.1</v>
      </c>
      <c r="E23773" s="5">
        <v>112.6</v>
      </c>
      <c r="F23773" s="5">
        <v>0</v>
      </c>
      <c r="G23773" s="5">
        <v>0</v>
      </c>
      <c r="H23773" s="5">
        <v>0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112.4</v>
      </c>
      <c r="D23774" s="5">
        <v>0.1</v>
      </c>
      <c r="E23774" s="5">
        <v>112.9</v>
      </c>
      <c r="F23774" s="5">
        <v>0</v>
      </c>
      <c r="G23774" s="5">
        <v>0</v>
      </c>
      <c r="H23774" s="5">
        <v>0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112.8</v>
      </c>
      <c r="D23775" s="5">
        <v>0.1</v>
      </c>
      <c r="E23775" s="5">
        <v>112.9</v>
      </c>
      <c r="F23775" s="5">
        <v>0</v>
      </c>
      <c r="G23775" s="5">
        <v>0</v>
      </c>
      <c r="H23775" s="5">
        <v>0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112.8</v>
      </c>
      <c r="D23776" s="5">
        <v>0.1</v>
      </c>
      <c r="E23776" s="5">
        <v>112.5</v>
      </c>
      <c r="F23776" s="5">
        <v>0</v>
      </c>
      <c r="G23776" s="5">
        <v>0</v>
      </c>
      <c r="H23776" s="5">
        <v>0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112.3</v>
      </c>
      <c r="D23777" s="5">
        <v>0.1</v>
      </c>
      <c r="E23777" s="5">
        <v>112.5</v>
      </c>
      <c r="F23777" s="5">
        <v>0</v>
      </c>
      <c r="G23777" s="5">
        <v>0</v>
      </c>
      <c r="H23777" s="5">
        <v>0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112.3</v>
      </c>
      <c r="D23778" s="5">
        <v>0.1</v>
      </c>
      <c r="E23778" s="5">
        <v>112.5</v>
      </c>
      <c r="F23778" s="5">
        <v>0</v>
      </c>
      <c r="G23778" s="5">
        <v>0</v>
      </c>
      <c r="H23778" s="5">
        <v>0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112.3</v>
      </c>
      <c r="D23779" s="5">
        <v>0.1</v>
      </c>
      <c r="E23779" s="5">
        <v>112.5</v>
      </c>
      <c r="F23779" s="5">
        <v>0</v>
      </c>
      <c r="G23779" s="5">
        <v>0</v>
      </c>
      <c r="H23779" s="5">
        <v>0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112.3</v>
      </c>
      <c r="D23780" s="5">
        <v>0.1</v>
      </c>
      <c r="E23780" s="5">
        <v>112.5</v>
      </c>
      <c r="F23780" s="5">
        <v>0</v>
      </c>
      <c r="G23780" s="5">
        <v>0</v>
      </c>
      <c r="H23780" s="5">
        <v>0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112.3</v>
      </c>
      <c r="D23781" s="5">
        <v>0.1</v>
      </c>
      <c r="E23781" s="5">
        <v>112.5</v>
      </c>
      <c r="F23781" s="5">
        <v>0</v>
      </c>
      <c r="G23781" s="5">
        <v>0</v>
      </c>
      <c r="H23781" s="5">
        <v>0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112.3</v>
      </c>
      <c r="D23782" s="5">
        <v>0.1</v>
      </c>
      <c r="E23782" s="5">
        <v>112.5</v>
      </c>
      <c r="F23782" s="5">
        <v>0</v>
      </c>
      <c r="G23782" s="5">
        <v>0</v>
      </c>
      <c r="H23782" s="5">
        <v>0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112.3</v>
      </c>
      <c r="D23783" s="5">
        <v>0.1</v>
      </c>
      <c r="E23783" s="5">
        <v>112.5</v>
      </c>
      <c r="F23783" s="5">
        <v>0</v>
      </c>
      <c r="G23783" s="5">
        <v>0</v>
      </c>
      <c r="H23783" s="5">
        <v>0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111.8</v>
      </c>
      <c r="D23784" s="5">
        <v>0.1</v>
      </c>
      <c r="E23784" s="5">
        <v>112</v>
      </c>
      <c r="F23784" s="5">
        <v>0</v>
      </c>
      <c r="G23784" s="5">
        <v>0</v>
      </c>
      <c r="H23784" s="5">
        <v>0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111.8</v>
      </c>
      <c r="D23785" s="5">
        <v>0.1</v>
      </c>
      <c r="E23785" s="5">
        <v>112</v>
      </c>
      <c r="F23785" s="5">
        <v>0</v>
      </c>
      <c r="G23785" s="5">
        <v>0</v>
      </c>
      <c r="H23785" s="5">
        <v>0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111.7</v>
      </c>
      <c r="D23786" s="5">
        <v>0.1</v>
      </c>
      <c r="E23786" s="5">
        <v>111.9</v>
      </c>
      <c r="F23786" s="5">
        <v>0</v>
      </c>
      <c r="G23786" s="5">
        <v>0</v>
      </c>
      <c r="H23786" s="5">
        <v>0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111.7</v>
      </c>
      <c r="D23787" s="5">
        <v>0.1</v>
      </c>
      <c r="E23787" s="5">
        <v>111.9</v>
      </c>
      <c r="F23787" s="5">
        <v>0</v>
      </c>
      <c r="G23787" s="5">
        <v>0</v>
      </c>
      <c r="H23787" s="5">
        <v>0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111.7</v>
      </c>
      <c r="D23788" s="5">
        <v>0.1</v>
      </c>
      <c r="E23788" s="5">
        <v>111.9</v>
      </c>
      <c r="F23788" s="5">
        <v>0</v>
      </c>
      <c r="G23788" s="5">
        <v>0</v>
      </c>
      <c r="H23788" s="5">
        <v>0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111.7</v>
      </c>
      <c r="D23789" s="5">
        <v>0.1</v>
      </c>
      <c r="E23789" s="5">
        <v>111.9</v>
      </c>
      <c r="F23789" s="5">
        <v>0</v>
      </c>
      <c r="G23789" s="5">
        <v>0</v>
      </c>
      <c r="H23789" s="5">
        <v>0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111.7</v>
      </c>
      <c r="D23790" s="5">
        <v>0.1</v>
      </c>
      <c r="E23790" s="5">
        <v>111.9</v>
      </c>
      <c r="F23790" s="5">
        <v>0</v>
      </c>
      <c r="G23790" s="5">
        <v>0</v>
      </c>
      <c r="H23790" s="5">
        <v>0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111.7</v>
      </c>
      <c r="D23791" s="5">
        <v>0.1</v>
      </c>
      <c r="E23791" s="5">
        <v>111.9</v>
      </c>
      <c r="F23791" s="5">
        <v>0</v>
      </c>
      <c r="G23791" s="5">
        <v>0</v>
      </c>
      <c r="H23791" s="5">
        <v>0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112.2</v>
      </c>
      <c r="D23792" s="5">
        <v>0.1</v>
      </c>
      <c r="E23792" s="5">
        <v>112.3</v>
      </c>
      <c r="F23792" s="5">
        <v>0</v>
      </c>
      <c r="G23792" s="5">
        <v>0</v>
      </c>
      <c r="H23792" s="5">
        <v>0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112.2</v>
      </c>
      <c r="D23793" s="5">
        <v>0.1</v>
      </c>
      <c r="E23793" s="5">
        <v>112.3</v>
      </c>
      <c r="F23793" s="5">
        <v>0</v>
      </c>
      <c r="G23793" s="5">
        <v>0</v>
      </c>
      <c r="H23793" s="5">
        <v>0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112</v>
      </c>
      <c r="D23794" s="5">
        <v>0.1</v>
      </c>
      <c r="E23794" s="5">
        <v>112.1</v>
      </c>
      <c r="F23794" s="5">
        <v>0</v>
      </c>
      <c r="G23794" s="5">
        <v>0</v>
      </c>
      <c r="H23794" s="5">
        <v>0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112</v>
      </c>
      <c r="D23795" s="5">
        <v>0.1</v>
      </c>
      <c r="E23795" s="5">
        <v>112.1</v>
      </c>
      <c r="F23795" s="5">
        <v>0</v>
      </c>
      <c r="G23795" s="5">
        <v>0</v>
      </c>
      <c r="H23795" s="5">
        <v>0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111.9</v>
      </c>
      <c r="D23796" s="5">
        <v>0.1</v>
      </c>
      <c r="E23796" s="5">
        <v>112</v>
      </c>
      <c r="F23796" s="5">
        <v>0</v>
      </c>
      <c r="G23796" s="5">
        <v>0</v>
      </c>
      <c r="H23796" s="5">
        <v>0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111.9</v>
      </c>
      <c r="D23797" s="5">
        <v>0.1</v>
      </c>
      <c r="E23797" s="5">
        <v>112</v>
      </c>
      <c r="F23797" s="5">
        <v>0</v>
      </c>
      <c r="G23797" s="5">
        <v>0</v>
      </c>
      <c r="H23797" s="5">
        <v>0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111.9</v>
      </c>
      <c r="D23798" s="5">
        <v>0.1</v>
      </c>
      <c r="E23798" s="5">
        <v>112</v>
      </c>
      <c r="F23798" s="5">
        <v>0</v>
      </c>
      <c r="G23798" s="5">
        <v>0</v>
      </c>
      <c r="H23798" s="5">
        <v>0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111.9</v>
      </c>
      <c r="D23799" s="5">
        <v>0.1</v>
      </c>
      <c r="E23799" s="5">
        <v>112</v>
      </c>
      <c r="F23799" s="5">
        <v>0</v>
      </c>
      <c r="G23799" s="5">
        <v>0</v>
      </c>
      <c r="H23799" s="5">
        <v>0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111.4</v>
      </c>
      <c r="D23800" s="5">
        <v>0.1</v>
      </c>
      <c r="E23800" s="5">
        <v>111.6</v>
      </c>
      <c r="F23800" s="5">
        <v>0</v>
      </c>
      <c r="G23800" s="5">
        <v>0</v>
      </c>
      <c r="H23800" s="5">
        <v>0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111.4</v>
      </c>
      <c r="D23801" s="5">
        <v>0.1</v>
      </c>
      <c r="E23801" s="5">
        <v>111.6</v>
      </c>
      <c r="F23801" s="5">
        <v>0</v>
      </c>
      <c r="G23801" s="5">
        <v>0</v>
      </c>
      <c r="H23801" s="5">
        <v>0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111.8</v>
      </c>
      <c r="D23802" s="5">
        <v>0.1</v>
      </c>
      <c r="E23802" s="5">
        <v>112</v>
      </c>
      <c r="F23802" s="5">
        <v>0</v>
      </c>
      <c r="G23802" s="5">
        <v>0</v>
      </c>
      <c r="H23802" s="5">
        <v>0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111.8</v>
      </c>
      <c r="D23803" s="5">
        <v>0.1</v>
      </c>
      <c r="E23803" s="5">
        <v>112</v>
      </c>
      <c r="F23803" s="5">
        <v>0</v>
      </c>
      <c r="G23803" s="5">
        <v>0</v>
      </c>
      <c r="H23803" s="5">
        <v>0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111.8</v>
      </c>
      <c r="D23804" s="5">
        <v>0.1</v>
      </c>
      <c r="E23804" s="5">
        <v>112</v>
      </c>
      <c r="F23804" s="5">
        <v>0</v>
      </c>
      <c r="G23804" s="5">
        <v>0</v>
      </c>
      <c r="H23804" s="5">
        <v>0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111.8</v>
      </c>
      <c r="D23805" s="5">
        <v>0.1</v>
      </c>
      <c r="E23805" s="5">
        <v>112</v>
      </c>
      <c r="F23805" s="5">
        <v>0</v>
      </c>
      <c r="G23805" s="5">
        <v>0</v>
      </c>
      <c r="H23805" s="5">
        <v>0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110.8</v>
      </c>
      <c r="D23806" s="5">
        <v>0.1</v>
      </c>
      <c r="E23806" s="5">
        <v>111</v>
      </c>
      <c r="F23806" s="5">
        <v>0</v>
      </c>
      <c r="G23806" s="5">
        <v>0</v>
      </c>
      <c r="H23806" s="5">
        <v>0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110.8</v>
      </c>
      <c r="D23807" s="5">
        <v>0.1</v>
      </c>
      <c r="E23807" s="5">
        <v>111</v>
      </c>
      <c r="F23807" s="5">
        <v>0</v>
      </c>
      <c r="G23807" s="5">
        <v>0</v>
      </c>
      <c r="H23807" s="5">
        <v>0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110.8</v>
      </c>
      <c r="D23808" s="5">
        <v>0.1</v>
      </c>
      <c r="E23808" s="5">
        <v>111</v>
      </c>
      <c r="F23808" s="5">
        <v>0</v>
      </c>
      <c r="G23808" s="5">
        <v>0</v>
      </c>
      <c r="H23808" s="5">
        <v>0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110.8</v>
      </c>
      <c r="D23809" s="5">
        <v>0.1</v>
      </c>
      <c r="E23809" s="5">
        <v>111</v>
      </c>
      <c r="F23809" s="5">
        <v>0</v>
      </c>
      <c r="G23809" s="5">
        <v>0</v>
      </c>
      <c r="H23809" s="5">
        <v>0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111.5</v>
      </c>
      <c r="D23810" s="5">
        <v>0.1</v>
      </c>
      <c r="E23810" s="5">
        <v>111.6</v>
      </c>
      <c r="F23810" s="5">
        <v>0</v>
      </c>
      <c r="G23810" s="5">
        <v>0</v>
      </c>
      <c r="H23810" s="5">
        <v>0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111.5</v>
      </c>
      <c r="D23811" s="5">
        <v>0.1</v>
      </c>
      <c r="E23811" s="5">
        <v>111.6</v>
      </c>
      <c r="F23811" s="5">
        <v>0</v>
      </c>
      <c r="G23811" s="5">
        <v>0</v>
      </c>
      <c r="H23811" s="5">
        <v>0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111.9</v>
      </c>
      <c r="D23812" s="5">
        <v>0.1</v>
      </c>
      <c r="E23812" s="5">
        <v>112</v>
      </c>
      <c r="F23812" s="5">
        <v>0</v>
      </c>
      <c r="G23812" s="5">
        <v>0</v>
      </c>
      <c r="H23812" s="5">
        <v>0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111.9</v>
      </c>
      <c r="D23813" s="5">
        <v>0.1</v>
      </c>
      <c r="E23813" s="5">
        <v>112</v>
      </c>
      <c r="F23813" s="5">
        <v>0</v>
      </c>
      <c r="G23813" s="5">
        <v>0</v>
      </c>
      <c r="H23813" s="5">
        <v>0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111.6</v>
      </c>
      <c r="D23814" s="5">
        <v>0.1</v>
      </c>
      <c r="E23814" s="5">
        <v>111.7</v>
      </c>
      <c r="F23814" s="5">
        <v>0</v>
      </c>
      <c r="G23814" s="5">
        <v>0</v>
      </c>
      <c r="H23814" s="5">
        <v>0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111.6</v>
      </c>
      <c r="D23815" s="5">
        <v>0.1</v>
      </c>
      <c r="E23815" s="5">
        <v>111.7</v>
      </c>
      <c r="F23815" s="5">
        <v>0</v>
      </c>
      <c r="G23815" s="5">
        <v>0</v>
      </c>
      <c r="H23815" s="5">
        <v>0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112</v>
      </c>
      <c r="D23816" s="5">
        <v>0.1</v>
      </c>
      <c r="E23816" s="5">
        <v>112.2</v>
      </c>
      <c r="F23816" s="5">
        <v>0</v>
      </c>
      <c r="G23816" s="5">
        <v>0</v>
      </c>
      <c r="H23816" s="5">
        <v>0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112</v>
      </c>
      <c r="D23817" s="5">
        <v>0.1</v>
      </c>
      <c r="E23817" s="5">
        <v>112.2</v>
      </c>
      <c r="F23817" s="5">
        <v>0</v>
      </c>
      <c r="G23817" s="5">
        <v>0</v>
      </c>
      <c r="H23817" s="5">
        <v>0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112</v>
      </c>
      <c r="D23818" s="5">
        <v>0.1</v>
      </c>
      <c r="E23818" s="5">
        <v>112.2</v>
      </c>
      <c r="F23818" s="5">
        <v>0</v>
      </c>
      <c r="G23818" s="5">
        <v>0</v>
      </c>
      <c r="H23818" s="5">
        <v>0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112</v>
      </c>
      <c r="D23819" s="5">
        <v>0.1</v>
      </c>
      <c r="E23819" s="5">
        <v>112.2</v>
      </c>
      <c r="F23819" s="5">
        <v>0</v>
      </c>
      <c r="G23819" s="5">
        <v>0</v>
      </c>
      <c r="H23819" s="5">
        <v>0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110.2</v>
      </c>
      <c r="D23820" s="5">
        <v>0.1</v>
      </c>
      <c r="E23820" s="5">
        <v>110.4</v>
      </c>
      <c r="F23820" s="5">
        <v>0</v>
      </c>
      <c r="G23820" s="5">
        <v>0</v>
      </c>
      <c r="H23820" s="5">
        <v>0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110.2</v>
      </c>
      <c r="D23821" s="5">
        <v>0.1</v>
      </c>
      <c r="E23821" s="5">
        <v>110.4</v>
      </c>
      <c r="F23821" s="5">
        <v>0</v>
      </c>
      <c r="G23821" s="5">
        <v>0</v>
      </c>
      <c r="H23821" s="5">
        <v>0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110.9</v>
      </c>
      <c r="D23822" s="5">
        <v>0.1</v>
      </c>
      <c r="E23822" s="5">
        <v>111</v>
      </c>
      <c r="F23822" s="5">
        <v>0</v>
      </c>
      <c r="G23822" s="5">
        <v>0</v>
      </c>
      <c r="H23822" s="5">
        <v>0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110.9</v>
      </c>
      <c r="D23823" s="5">
        <v>0.1</v>
      </c>
      <c r="E23823" s="5">
        <v>111</v>
      </c>
      <c r="F23823" s="5">
        <v>0</v>
      </c>
      <c r="G23823" s="5">
        <v>0</v>
      </c>
      <c r="H23823" s="5">
        <v>0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108</v>
      </c>
      <c r="D23824" s="5">
        <v>0.1</v>
      </c>
      <c r="E23824" s="5">
        <v>108.1</v>
      </c>
      <c r="F23824" s="5">
        <v>0</v>
      </c>
      <c r="G23824" s="5">
        <v>0</v>
      </c>
      <c r="H23824" s="5">
        <v>0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108</v>
      </c>
      <c r="D23825" s="5">
        <v>0.1</v>
      </c>
      <c r="E23825" s="5">
        <v>108.1</v>
      </c>
      <c r="F23825" s="5">
        <v>0</v>
      </c>
      <c r="G23825" s="5">
        <v>0</v>
      </c>
      <c r="H23825" s="5">
        <v>0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109.6</v>
      </c>
      <c r="D23826" s="5">
        <v>0.1</v>
      </c>
      <c r="E23826" s="5">
        <v>109.7</v>
      </c>
      <c r="F23826" s="5">
        <v>0</v>
      </c>
      <c r="G23826" s="5">
        <v>0</v>
      </c>
      <c r="H23826" s="5">
        <v>0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109.6</v>
      </c>
      <c r="D23827" s="5">
        <v>0.1</v>
      </c>
      <c r="E23827" s="5">
        <v>109.7</v>
      </c>
      <c r="F23827" s="5">
        <v>0</v>
      </c>
      <c r="G23827" s="5">
        <v>0</v>
      </c>
      <c r="H23827" s="5">
        <v>0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109.6</v>
      </c>
      <c r="D23828" s="5">
        <v>0.1</v>
      </c>
      <c r="E23828" s="5">
        <v>109.7</v>
      </c>
      <c r="F23828" s="5">
        <v>0</v>
      </c>
      <c r="G23828" s="5">
        <v>0</v>
      </c>
      <c r="H23828" s="5">
        <v>0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109.6</v>
      </c>
      <c r="D23829" s="5">
        <v>0.1</v>
      </c>
      <c r="E23829" s="5">
        <v>109.7</v>
      </c>
      <c r="F23829" s="5">
        <v>0</v>
      </c>
      <c r="G23829" s="5">
        <v>0</v>
      </c>
      <c r="H23829" s="5">
        <v>0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108.6</v>
      </c>
      <c r="D23830" s="5">
        <v>0.1</v>
      </c>
      <c r="E23830" s="5">
        <v>108.8</v>
      </c>
      <c r="F23830" s="5">
        <v>0</v>
      </c>
      <c r="G23830" s="5">
        <v>0</v>
      </c>
      <c r="H23830" s="5">
        <v>0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108.6</v>
      </c>
      <c r="D23831" s="5">
        <v>0.1</v>
      </c>
      <c r="E23831" s="5">
        <v>108.8</v>
      </c>
      <c r="F23831" s="5">
        <v>0</v>
      </c>
      <c r="G23831" s="5">
        <v>0</v>
      </c>
      <c r="H23831" s="5">
        <v>0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107.9</v>
      </c>
      <c r="D23832" s="5">
        <v>0.1</v>
      </c>
      <c r="E23832" s="5">
        <v>108.1</v>
      </c>
      <c r="F23832" s="5">
        <v>0</v>
      </c>
      <c r="G23832" s="5">
        <v>0</v>
      </c>
      <c r="H23832" s="5">
        <v>0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107.9</v>
      </c>
      <c r="D23833" s="5">
        <v>0.1</v>
      </c>
      <c r="E23833" s="5">
        <v>108.1</v>
      </c>
      <c r="F23833" s="5">
        <v>0</v>
      </c>
      <c r="G23833" s="5">
        <v>0</v>
      </c>
      <c r="H23833" s="5">
        <v>0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111.1</v>
      </c>
      <c r="D23834" s="5">
        <v>0.1</v>
      </c>
      <c r="E23834" s="5">
        <v>111.3</v>
      </c>
      <c r="F23834" s="5">
        <v>0</v>
      </c>
      <c r="G23834" s="5">
        <v>0</v>
      </c>
      <c r="H23834" s="5">
        <v>0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111.1</v>
      </c>
      <c r="D23835" s="5">
        <v>0.1</v>
      </c>
      <c r="E23835" s="5">
        <v>111.3</v>
      </c>
      <c r="F23835" s="5">
        <v>0</v>
      </c>
      <c r="G23835" s="5">
        <v>0</v>
      </c>
      <c r="H23835" s="5">
        <v>0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111.6</v>
      </c>
      <c r="D23836" s="5">
        <v>0.1</v>
      </c>
      <c r="E23836" s="5">
        <v>111.8</v>
      </c>
      <c r="F23836" s="5">
        <v>0</v>
      </c>
      <c r="G23836" s="5">
        <v>0</v>
      </c>
      <c r="H23836" s="5">
        <v>0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111.6</v>
      </c>
      <c r="D23837" s="5">
        <v>0.1</v>
      </c>
      <c r="E23837" s="5">
        <v>111.8</v>
      </c>
      <c r="F23837" s="5">
        <v>0</v>
      </c>
      <c r="G23837" s="5">
        <v>0</v>
      </c>
      <c r="H23837" s="5">
        <v>0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111.6</v>
      </c>
      <c r="D23838" s="5">
        <v>0.1</v>
      </c>
      <c r="E23838" s="5">
        <v>111.8</v>
      </c>
      <c r="F23838" s="5">
        <v>0</v>
      </c>
      <c r="G23838" s="5">
        <v>0</v>
      </c>
      <c r="H23838" s="5">
        <v>0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111.6</v>
      </c>
      <c r="D23839" s="5">
        <v>0.1</v>
      </c>
      <c r="E23839" s="5">
        <v>111.8</v>
      </c>
      <c r="F23839" s="5">
        <v>0</v>
      </c>
      <c r="G23839" s="5">
        <v>0</v>
      </c>
      <c r="H23839" s="5">
        <v>0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111.4</v>
      </c>
      <c r="D23840" s="5">
        <v>0.1</v>
      </c>
      <c r="E23840" s="5">
        <v>111.6</v>
      </c>
      <c r="F23840" s="5">
        <v>0</v>
      </c>
      <c r="G23840" s="5">
        <v>0</v>
      </c>
      <c r="H23840" s="5">
        <v>0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111.4</v>
      </c>
      <c r="D23841" s="5">
        <v>0.1</v>
      </c>
      <c r="E23841" s="5">
        <v>111.6</v>
      </c>
      <c r="F23841" s="5">
        <v>0</v>
      </c>
      <c r="G23841" s="5">
        <v>0</v>
      </c>
      <c r="H23841" s="5">
        <v>0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109.5</v>
      </c>
      <c r="D23842" s="5">
        <v>0.1</v>
      </c>
      <c r="E23842" s="5">
        <v>109.7</v>
      </c>
      <c r="F23842" s="5">
        <v>0</v>
      </c>
      <c r="G23842" s="5">
        <v>0</v>
      </c>
      <c r="H23842" s="5">
        <v>0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109.5</v>
      </c>
      <c r="D23843" s="5">
        <v>0.1</v>
      </c>
      <c r="E23843" s="5">
        <v>109.7</v>
      </c>
      <c r="F23843" s="5">
        <v>0</v>
      </c>
      <c r="G23843" s="5">
        <v>0</v>
      </c>
      <c r="H23843" s="5">
        <v>0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111.4</v>
      </c>
      <c r="D23844" s="5">
        <v>0.1</v>
      </c>
      <c r="E23844" s="5">
        <v>111.6</v>
      </c>
      <c r="F23844" s="5">
        <v>0</v>
      </c>
      <c r="G23844" s="5">
        <v>0</v>
      </c>
      <c r="H23844" s="5">
        <v>0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111.4</v>
      </c>
      <c r="D23845" s="5">
        <v>0.1</v>
      </c>
      <c r="E23845" s="5">
        <v>111.6</v>
      </c>
      <c r="F23845" s="5">
        <v>0</v>
      </c>
      <c r="G23845" s="5">
        <v>0</v>
      </c>
      <c r="H23845" s="5">
        <v>0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110.7</v>
      </c>
      <c r="D23846" s="5">
        <v>0.1</v>
      </c>
      <c r="E23846" s="5">
        <v>110.9</v>
      </c>
      <c r="F23846" s="5">
        <v>0</v>
      </c>
      <c r="G23846" s="5">
        <v>0</v>
      </c>
      <c r="H23846" s="5">
        <v>0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110.7</v>
      </c>
      <c r="D23847" s="5">
        <v>0.1</v>
      </c>
      <c r="E23847" s="5">
        <v>110.9</v>
      </c>
      <c r="F23847" s="5">
        <v>0</v>
      </c>
      <c r="G23847" s="5">
        <v>0</v>
      </c>
      <c r="H23847" s="5">
        <v>0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110.7</v>
      </c>
      <c r="D23848" s="5">
        <v>0.1</v>
      </c>
      <c r="E23848" s="5">
        <v>110.9</v>
      </c>
      <c r="F23848" s="5">
        <v>0</v>
      </c>
      <c r="G23848" s="5">
        <v>0</v>
      </c>
      <c r="H23848" s="5">
        <v>0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110.7</v>
      </c>
      <c r="D23849" s="5">
        <v>0.1</v>
      </c>
      <c r="E23849" s="5">
        <v>110.9</v>
      </c>
      <c r="F23849" s="5">
        <v>0</v>
      </c>
      <c r="G23849" s="5">
        <v>0</v>
      </c>
      <c r="H23849" s="5">
        <v>0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110.7</v>
      </c>
      <c r="D23850" s="5">
        <v>0.1</v>
      </c>
      <c r="E23850" s="5">
        <v>110.9</v>
      </c>
      <c r="F23850" s="5">
        <v>0</v>
      </c>
      <c r="G23850" s="5">
        <v>0</v>
      </c>
      <c r="H23850" s="5">
        <v>0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110.7</v>
      </c>
      <c r="D23851" s="5">
        <v>0.1</v>
      </c>
      <c r="E23851" s="5">
        <v>110.9</v>
      </c>
      <c r="F23851" s="5">
        <v>0</v>
      </c>
      <c r="G23851" s="5">
        <v>0</v>
      </c>
      <c r="H23851" s="5">
        <v>0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110.6</v>
      </c>
      <c r="D23852" s="5">
        <v>0.1</v>
      </c>
      <c r="E23852" s="5">
        <v>110.7</v>
      </c>
      <c r="F23852" s="5">
        <v>0</v>
      </c>
      <c r="G23852" s="5">
        <v>0</v>
      </c>
      <c r="H23852" s="5">
        <v>0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110.6</v>
      </c>
      <c r="D23853" s="5">
        <v>0.1</v>
      </c>
      <c r="E23853" s="5">
        <v>110.7</v>
      </c>
      <c r="F23853" s="5">
        <v>0</v>
      </c>
      <c r="G23853" s="5">
        <v>0</v>
      </c>
      <c r="H23853" s="5">
        <v>0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109.6</v>
      </c>
      <c r="D23854" s="5">
        <v>0.1</v>
      </c>
      <c r="E23854" s="5">
        <v>109.8</v>
      </c>
      <c r="F23854" s="5">
        <v>0</v>
      </c>
      <c r="G23854" s="5">
        <v>0</v>
      </c>
      <c r="H23854" s="5">
        <v>0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109.6</v>
      </c>
      <c r="D23855" s="5">
        <v>0.1</v>
      </c>
      <c r="E23855" s="5">
        <v>109.8</v>
      </c>
      <c r="F23855" s="5">
        <v>0</v>
      </c>
      <c r="G23855" s="5">
        <v>0</v>
      </c>
      <c r="H23855" s="5">
        <v>0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111.6</v>
      </c>
      <c r="D23856" s="5">
        <v>0.1</v>
      </c>
      <c r="E23856" s="5">
        <v>111.8</v>
      </c>
      <c r="F23856" s="5">
        <v>0</v>
      </c>
      <c r="G23856" s="5">
        <v>0</v>
      </c>
      <c r="H23856" s="5">
        <v>0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111.6</v>
      </c>
      <c r="D23857" s="5">
        <v>0.1</v>
      </c>
      <c r="E23857" s="5">
        <v>111.8</v>
      </c>
      <c r="F23857" s="5">
        <v>0</v>
      </c>
      <c r="G23857" s="5">
        <v>0</v>
      </c>
      <c r="H23857" s="5">
        <v>0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111.6</v>
      </c>
      <c r="D23858" s="5">
        <v>0.1</v>
      </c>
      <c r="E23858" s="5">
        <v>111.8</v>
      </c>
      <c r="F23858" s="5">
        <v>0</v>
      </c>
      <c r="G23858" s="5">
        <v>0</v>
      </c>
      <c r="H23858" s="5">
        <v>0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111.6</v>
      </c>
      <c r="D23859" s="5">
        <v>0.1</v>
      </c>
      <c r="E23859" s="5">
        <v>111.8</v>
      </c>
      <c r="F23859" s="5">
        <v>0</v>
      </c>
      <c r="G23859" s="5">
        <v>0</v>
      </c>
      <c r="H23859" s="5">
        <v>0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109.9</v>
      </c>
      <c r="D23860" s="5">
        <v>0.1</v>
      </c>
      <c r="E23860" s="5">
        <v>110.1</v>
      </c>
      <c r="F23860" s="5">
        <v>0</v>
      </c>
      <c r="G23860" s="5">
        <v>0</v>
      </c>
      <c r="H23860" s="5">
        <v>0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109.9</v>
      </c>
      <c r="D23861" s="5">
        <v>0.1</v>
      </c>
      <c r="E23861" s="5">
        <v>110.1</v>
      </c>
      <c r="F23861" s="5">
        <v>0</v>
      </c>
      <c r="G23861" s="5">
        <v>0</v>
      </c>
      <c r="H23861" s="5">
        <v>0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111.3</v>
      </c>
      <c r="D23862" s="5">
        <v>0.1</v>
      </c>
      <c r="E23862" s="5">
        <v>111.6</v>
      </c>
      <c r="F23862" s="5">
        <v>0</v>
      </c>
      <c r="G23862" s="5">
        <v>0</v>
      </c>
      <c r="H23862" s="5">
        <v>0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111.3</v>
      </c>
      <c r="D23863" s="5">
        <v>0.1</v>
      </c>
      <c r="E23863" s="5">
        <v>111.6</v>
      </c>
      <c r="F23863" s="5">
        <v>0</v>
      </c>
      <c r="G23863" s="5">
        <v>0</v>
      </c>
      <c r="H23863" s="5">
        <v>0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109.5</v>
      </c>
      <c r="D23864" s="5">
        <v>0.1</v>
      </c>
      <c r="E23864" s="5">
        <v>109.7</v>
      </c>
      <c r="F23864" s="5">
        <v>0</v>
      </c>
      <c r="G23864" s="5">
        <v>0</v>
      </c>
      <c r="H23864" s="5">
        <v>0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109.5</v>
      </c>
      <c r="D23865" s="5">
        <v>0.1</v>
      </c>
      <c r="E23865" s="5">
        <v>109.7</v>
      </c>
      <c r="F23865" s="5">
        <v>0</v>
      </c>
      <c r="G23865" s="5">
        <v>0</v>
      </c>
      <c r="H23865" s="5">
        <v>0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104.5</v>
      </c>
      <c r="D23866" s="5">
        <v>0.1</v>
      </c>
      <c r="E23866" s="5">
        <v>104.6</v>
      </c>
      <c r="F23866" s="5">
        <v>0</v>
      </c>
      <c r="G23866" s="5">
        <v>0</v>
      </c>
      <c r="H23866" s="5">
        <v>0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104.5</v>
      </c>
      <c r="D23867" s="5">
        <v>0.1</v>
      </c>
      <c r="E23867" s="5">
        <v>104.6</v>
      </c>
      <c r="F23867" s="5">
        <v>0</v>
      </c>
      <c r="G23867" s="5">
        <v>0</v>
      </c>
      <c r="H23867" s="5">
        <v>0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104.5</v>
      </c>
      <c r="D23868" s="5">
        <v>0.1</v>
      </c>
      <c r="E23868" s="5">
        <v>104.6</v>
      </c>
      <c r="F23868" s="5">
        <v>0</v>
      </c>
      <c r="G23868" s="5">
        <v>0</v>
      </c>
      <c r="H23868" s="5">
        <v>0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111</v>
      </c>
      <c r="D23869" s="5">
        <v>0.1</v>
      </c>
      <c r="E23869" s="5">
        <v>111.1</v>
      </c>
      <c r="F23869" s="5">
        <v>0</v>
      </c>
      <c r="G23869" s="5">
        <v>0</v>
      </c>
      <c r="H23869" s="5">
        <v>0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111</v>
      </c>
      <c r="D23870" s="5">
        <v>0.1</v>
      </c>
      <c r="E23870" s="5">
        <v>111.1</v>
      </c>
      <c r="F23870" s="5">
        <v>0</v>
      </c>
      <c r="G23870" s="5">
        <v>0</v>
      </c>
      <c r="H23870" s="5">
        <v>0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110.6</v>
      </c>
      <c r="D23871" s="5">
        <v>0.1</v>
      </c>
      <c r="E23871" s="5">
        <v>110.7</v>
      </c>
      <c r="F23871" s="5">
        <v>0</v>
      </c>
      <c r="G23871" s="5">
        <v>0</v>
      </c>
      <c r="H23871" s="5">
        <v>0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110.6</v>
      </c>
      <c r="D23872" s="5">
        <v>0.1</v>
      </c>
      <c r="E23872" s="5">
        <v>110.7</v>
      </c>
      <c r="F23872" s="5">
        <v>0</v>
      </c>
      <c r="G23872" s="5">
        <v>0</v>
      </c>
      <c r="H23872" s="5">
        <v>0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110.4</v>
      </c>
      <c r="D23873" s="5">
        <v>0.1</v>
      </c>
      <c r="E23873" s="5">
        <v>110.6</v>
      </c>
      <c r="F23873" s="5">
        <v>0</v>
      </c>
      <c r="G23873" s="5">
        <v>0</v>
      </c>
      <c r="H23873" s="5">
        <v>0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110.4</v>
      </c>
      <c r="D23874" s="5">
        <v>0.1</v>
      </c>
      <c r="E23874" s="5">
        <v>110.6</v>
      </c>
      <c r="F23874" s="5">
        <v>0</v>
      </c>
      <c r="G23874" s="5">
        <v>0</v>
      </c>
      <c r="H23874" s="5">
        <v>0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110.4</v>
      </c>
      <c r="D23875" s="5">
        <v>0.1</v>
      </c>
      <c r="E23875" s="5">
        <v>110.6</v>
      </c>
      <c r="F23875" s="5">
        <v>0</v>
      </c>
      <c r="G23875" s="5">
        <v>0</v>
      </c>
      <c r="H23875" s="5">
        <v>0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110.4</v>
      </c>
      <c r="D23876" s="5">
        <v>0.1</v>
      </c>
      <c r="E23876" s="5">
        <v>110.6</v>
      </c>
      <c r="F23876" s="5">
        <v>0</v>
      </c>
      <c r="G23876" s="5">
        <v>0</v>
      </c>
      <c r="H23876" s="5">
        <v>0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109.9</v>
      </c>
      <c r="D23877" s="5">
        <v>0.1</v>
      </c>
      <c r="E23877" s="5">
        <v>110.1</v>
      </c>
      <c r="F23877" s="5">
        <v>0</v>
      </c>
      <c r="G23877" s="5">
        <v>0</v>
      </c>
      <c r="H23877" s="5">
        <v>0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109.9</v>
      </c>
      <c r="D23878" s="5">
        <v>0.1</v>
      </c>
      <c r="E23878" s="5">
        <v>110.1</v>
      </c>
      <c r="F23878" s="5">
        <v>0</v>
      </c>
      <c r="G23878" s="5">
        <v>0</v>
      </c>
      <c r="H23878" s="5">
        <v>0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107.1</v>
      </c>
      <c r="D23879" s="5">
        <v>0.1</v>
      </c>
      <c r="E23879" s="5">
        <v>107.2</v>
      </c>
      <c r="F23879" s="5">
        <v>0</v>
      </c>
      <c r="G23879" s="5">
        <v>0</v>
      </c>
      <c r="H23879" s="5">
        <v>0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107.1</v>
      </c>
      <c r="D23880" s="5">
        <v>0.1</v>
      </c>
      <c r="E23880" s="5">
        <v>107.2</v>
      </c>
      <c r="F23880" s="5">
        <v>0</v>
      </c>
      <c r="G23880" s="5">
        <v>0</v>
      </c>
      <c r="H23880" s="5">
        <v>0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111</v>
      </c>
      <c r="D23881" s="5">
        <v>0.1</v>
      </c>
      <c r="E23881" s="5">
        <v>111.1</v>
      </c>
      <c r="F23881" s="5">
        <v>0</v>
      </c>
      <c r="G23881" s="5">
        <v>0</v>
      </c>
      <c r="H23881" s="5">
        <v>0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111</v>
      </c>
      <c r="D23882" s="5">
        <v>0.1</v>
      </c>
      <c r="E23882" s="5">
        <v>111.1</v>
      </c>
      <c r="F23882" s="5">
        <v>0</v>
      </c>
      <c r="G23882" s="5">
        <v>0</v>
      </c>
      <c r="H23882" s="5">
        <v>0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107.5</v>
      </c>
      <c r="D23883" s="5">
        <v>0.1</v>
      </c>
      <c r="E23883" s="5">
        <v>107.7</v>
      </c>
      <c r="F23883" s="5">
        <v>0</v>
      </c>
      <c r="G23883" s="5">
        <v>0</v>
      </c>
      <c r="H23883" s="5">
        <v>0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107.5</v>
      </c>
      <c r="D23884" s="5">
        <v>0.1</v>
      </c>
      <c r="E23884" s="5">
        <v>107.7</v>
      </c>
      <c r="F23884" s="5">
        <v>0</v>
      </c>
      <c r="G23884" s="5">
        <v>0</v>
      </c>
      <c r="H23884" s="5">
        <v>0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111.3</v>
      </c>
      <c r="D23885" s="5">
        <v>0.1</v>
      </c>
      <c r="E23885" s="5">
        <v>111.5</v>
      </c>
      <c r="F23885" s="5">
        <v>0</v>
      </c>
      <c r="G23885" s="5">
        <v>0</v>
      </c>
      <c r="H23885" s="5">
        <v>0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111.3</v>
      </c>
      <c r="D23886" s="5">
        <v>0.1</v>
      </c>
      <c r="E23886" s="5">
        <v>111.5</v>
      </c>
      <c r="F23886" s="5">
        <v>0</v>
      </c>
      <c r="G23886" s="5">
        <v>0</v>
      </c>
      <c r="H23886" s="5">
        <v>0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111.6</v>
      </c>
      <c r="D23887" s="5">
        <v>0.1</v>
      </c>
      <c r="E23887" s="5">
        <v>111.7</v>
      </c>
      <c r="F23887" s="5">
        <v>0</v>
      </c>
      <c r="G23887" s="5">
        <v>0</v>
      </c>
      <c r="H23887" s="5">
        <v>0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111.6</v>
      </c>
      <c r="D23888" s="5">
        <v>0.1</v>
      </c>
      <c r="E23888" s="5">
        <v>111.7</v>
      </c>
      <c r="F23888" s="5">
        <v>0</v>
      </c>
      <c r="G23888" s="5">
        <v>0</v>
      </c>
      <c r="H23888" s="5">
        <v>0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111.6</v>
      </c>
      <c r="D23889" s="5">
        <v>0.1</v>
      </c>
      <c r="E23889" s="5">
        <v>111.7</v>
      </c>
      <c r="F23889" s="5">
        <v>0</v>
      </c>
      <c r="G23889" s="5">
        <v>0</v>
      </c>
      <c r="H23889" s="5">
        <v>0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107.7</v>
      </c>
      <c r="D23890" s="5">
        <v>0.1</v>
      </c>
      <c r="E23890" s="5">
        <v>107.8</v>
      </c>
      <c r="F23890" s="5">
        <v>0</v>
      </c>
      <c r="G23890" s="5">
        <v>0</v>
      </c>
      <c r="H23890" s="5">
        <v>0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107.7</v>
      </c>
      <c r="D23891" s="5">
        <v>0.1</v>
      </c>
      <c r="E23891" s="5">
        <v>107.8</v>
      </c>
      <c r="F23891" s="5">
        <v>0</v>
      </c>
      <c r="G23891" s="5">
        <v>0</v>
      </c>
      <c r="H23891" s="5">
        <v>0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112.1</v>
      </c>
      <c r="D23892" s="5">
        <v>0.1</v>
      </c>
      <c r="E23892" s="5">
        <v>112.3</v>
      </c>
      <c r="F23892" s="5">
        <v>0</v>
      </c>
      <c r="G23892" s="5">
        <v>0</v>
      </c>
      <c r="H23892" s="5">
        <v>0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111.3</v>
      </c>
      <c r="D23893" s="5">
        <v>0.1</v>
      </c>
      <c r="E23893" s="5">
        <v>111.5</v>
      </c>
      <c r="F23893" s="5">
        <v>0</v>
      </c>
      <c r="G23893" s="5">
        <v>0</v>
      </c>
      <c r="H23893" s="5">
        <v>0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111.3</v>
      </c>
      <c r="D23894" s="5">
        <v>0.1</v>
      </c>
      <c r="E23894" s="5">
        <v>111.5</v>
      </c>
      <c r="F23894" s="5">
        <v>0</v>
      </c>
      <c r="G23894" s="5">
        <v>0</v>
      </c>
      <c r="H23894" s="5">
        <v>0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111.4</v>
      </c>
      <c r="D23895" s="5">
        <v>0.1</v>
      </c>
      <c r="E23895" s="5">
        <v>111.6</v>
      </c>
      <c r="F23895" s="5">
        <v>0</v>
      </c>
      <c r="G23895" s="5">
        <v>0</v>
      </c>
      <c r="H23895" s="5">
        <v>0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111.4</v>
      </c>
      <c r="D23896" s="5">
        <v>0.1</v>
      </c>
      <c r="E23896" s="5">
        <v>111.6</v>
      </c>
      <c r="F23896" s="5">
        <v>0</v>
      </c>
      <c r="G23896" s="5">
        <v>0</v>
      </c>
      <c r="H23896" s="5">
        <v>0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110.7</v>
      </c>
      <c r="D23897" s="5">
        <v>0.1</v>
      </c>
      <c r="E23897" s="5">
        <v>110.9</v>
      </c>
      <c r="F23897" s="5">
        <v>0</v>
      </c>
      <c r="G23897" s="5">
        <v>0</v>
      </c>
      <c r="H23897" s="5">
        <v>0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110.7</v>
      </c>
      <c r="D23898" s="5">
        <v>0.1</v>
      </c>
      <c r="E23898" s="5">
        <v>110.9</v>
      </c>
      <c r="F23898" s="5">
        <v>0</v>
      </c>
      <c r="G23898" s="5">
        <v>0</v>
      </c>
      <c r="H23898" s="5">
        <v>0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111.3</v>
      </c>
      <c r="D23899" s="5">
        <v>0.1</v>
      </c>
      <c r="E23899" s="5">
        <v>111.4</v>
      </c>
      <c r="F23899" s="5">
        <v>0</v>
      </c>
      <c r="G23899" s="5">
        <v>0</v>
      </c>
      <c r="H23899" s="5">
        <v>0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106.9</v>
      </c>
      <c r="D23900" s="5">
        <v>0.1</v>
      </c>
      <c r="E23900" s="5">
        <v>107.2</v>
      </c>
      <c r="F23900" s="5">
        <v>0</v>
      </c>
      <c r="G23900" s="5">
        <v>0</v>
      </c>
      <c r="H23900" s="5">
        <v>0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106.9</v>
      </c>
      <c r="D23901" s="5">
        <v>0.1</v>
      </c>
      <c r="E23901" s="5">
        <v>107.2</v>
      </c>
      <c r="F23901" s="5">
        <v>0</v>
      </c>
      <c r="G23901" s="5">
        <v>0</v>
      </c>
      <c r="H23901" s="5">
        <v>0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111.6</v>
      </c>
      <c r="D23902" s="5">
        <v>0.1</v>
      </c>
      <c r="E23902" s="5">
        <v>111.8</v>
      </c>
      <c r="F23902" s="5">
        <v>0</v>
      </c>
      <c r="G23902" s="5">
        <v>0</v>
      </c>
      <c r="H23902" s="5">
        <v>0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111.6</v>
      </c>
      <c r="D23903" s="5">
        <v>0.1</v>
      </c>
      <c r="E23903" s="5">
        <v>111.8</v>
      </c>
      <c r="F23903" s="5">
        <v>0</v>
      </c>
      <c r="G23903" s="5">
        <v>0</v>
      </c>
      <c r="H23903" s="5">
        <v>0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108.5</v>
      </c>
      <c r="D23904" s="5">
        <v>0.1</v>
      </c>
      <c r="E23904" s="5">
        <v>108.7</v>
      </c>
      <c r="F23904" s="5">
        <v>0</v>
      </c>
      <c r="G23904" s="5">
        <v>0</v>
      </c>
      <c r="H23904" s="5">
        <v>0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111.7</v>
      </c>
      <c r="D23905" s="5">
        <v>0.1</v>
      </c>
      <c r="E23905" s="5">
        <v>109</v>
      </c>
      <c r="F23905" s="5">
        <v>0</v>
      </c>
      <c r="G23905" s="5">
        <v>0</v>
      </c>
      <c r="H23905" s="5">
        <v>0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111.7</v>
      </c>
      <c r="D23906" s="5">
        <v>0.1</v>
      </c>
      <c r="E23906" s="5">
        <v>111.9</v>
      </c>
      <c r="F23906" s="5">
        <v>0</v>
      </c>
      <c r="G23906" s="5">
        <v>0</v>
      </c>
      <c r="H23906" s="5">
        <v>0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111.7</v>
      </c>
      <c r="D23907" s="5">
        <v>0.1</v>
      </c>
      <c r="E23907" s="5">
        <v>111.9</v>
      </c>
      <c r="F23907" s="5">
        <v>0</v>
      </c>
      <c r="G23907" s="5">
        <v>0</v>
      </c>
      <c r="H23907" s="5">
        <v>0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111.7</v>
      </c>
      <c r="D23908" s="5">
        <v>0.1</v>
      </c>
      <c r="E23908" s="5">
        <v>111.9</v>
      </c>
      <c r="F23908" s="5">
        <v>0</v>
      </c>
      <c r="G23908" s="5">
        <v>0</v>
      </c>
      <c r="H23908" s="5">
        <v>0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111.8</v>
      </c>
      <c r="D23909" s="5">
        <v>0.1</v>
      </c>
      <c r="E23909" s="5">
        <v>112</v>
      </c>
      <c r="F23909" s="5">
        <v>0</v>
      </c>
      <c r="G23909" s="5">
        <v>0</v>
      </c>
      <c r="H23909" s="5">
        <v>0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111.8</v>
      </c>
      <c r="D23910" s="5">
        <v>0.1</v>
      </c>
      <c r="E23910" s="5">
        <v>112</v>
      </c>
      <c r="F23910" s="5">
        <v>0</v>
      </c>
      <c r="G23910" s="5">
        <v>0</v>
      </c>
      <c r="H23910" s="5">
        <v>0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112.1</v>
      </c>
      <c r="D23911" s="5">
        <v>0.1</v>
      </c>
      <c r="E23911" s="5">
        <v>112.3</v>
      </c>
      <c r="F23911" s="5">
        <v>0</v>
      </c>
      <c r="G23911" s="5">
        <v>0</v>
      </c>
      <c r="H23911" s="5">
        <v>0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112.1</v>
      </c>
      <c r="D23912" s="5">
        <v>0.1</v>
      </c>
      <c r="E23912" s="5">
        <v>112.3</v>
      </c>
      <c r="F23912" s="5">
        <v>0</v>
      </c>
      <c r="G23912" s="5">
        <v>0</v>
      </c>
      <c r="H23912" s="5">
        <v>0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112.9</v>
      </c>
      <c r="D23913" s="5">
        <v>0.1</v>
      </c>
      <c r="E23913" s="5">
        <v>113</v>
      </c>
      <c r="F23913" s="5">
        <v>0</v>
      </c>
      <c r="G23913" s="5">
        <v>0</v>
      </c>
      <c r="H23913" s="5">
        <v>0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112.9</v>
      </c>
      <c r="D23914" s="5">
        <v>0.1</v>
      </c>
      <c r="E23914" s="5">
        <v>113</v>
      </c>
      <c r="F23914" s="5">
        <v>0</v>
      </c>
      <c r="G23914" s="5">
        <v>0</v>
      </c>
      <c r="H23914" s="5">
        <v>0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112.2</v>
      </c>
      <c r="D23915" s="5">
        <v>0.1</v>
      </c>
      <c r="E23915" s="5">
        <v>112.3</v>
      </c>
      <c r="F23915" s="5">
        <v>0</v>
      </c>
      <c r="G23915" s="5">
        <v>0</v>
      </c>
      <c r="H23915" s="5">
        <v>0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112.2</v>
      </c>
      <c r="D23916" s="5">
        <v>0.1</v>
      </c>
      <c r="E23916" s="5">
        <v>112.3</v>
      </c>
      <c r="F23916" s="5">
        <v>0</v>
      </c>
      <c r="G23916" s="5">
        <v>0</v>
      </c>
      <c r="H23916" s="5">
        <v>0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112.2</v>
      </c>
      <c r="D23917" s="5">
        <v>0.1</v>
      </c>
      <c r="E23917" s="5">
        <v>112.3</v>
      </c>
      <c r="F23917" s="5">
        <v>0</v>
      </c>
      <c r="G23917" s="5">
        <v>0</v>
      </c>
      <c r="H23917" s="5">
        <v>0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112.2</v>
      </c>
      <c r="D23918" s="5">
        <v>0.1</v>
      </c>
      <c r="E23918" s="5">
        <v>112.3</v>
      </c>
      <c r="F23918" s="5">
        <v>0</v>
      </c>
      <c r="G23918" s="5">
        <v>0</v>
      </c>
      <c r="H23918" s="5">
        <v>0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112.1</v>
      </c>
      <c r="D23919" s="5">
        <v>0.1</v>
      </c>
      <c r="E23919" s="5">
        <v>112.3</v>
      </c>
      <c r="F23919" s="5">
        <v>0</v>
      </c>
      <c r="G23919" s="5">
        <v>0</v>
      </c>
      <c r="H23919" s="5">
        <v>0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112.1</v>
      </c>
      <c r="D23920" s="5">
        <v>0.1</v>
      </c>
      <c r="E23920" s="5">
        <v>112.3</v>
      </c>
      <c r="F23920" s="5">
        <v>0</v>
      </c>
      <c r="G23920" s="5">
        <v>0</v>
      </c>
      <c r="H23920" s="5">
        <v>0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112</v>
      </c>
      <c r="D23921" s="5">
        <v>0.1</v>
      </c>
      <c r="E23921" s="5">
        <v>112.2</v>
      </c>
      <c r="F23921" s="5">
        <v>0</v>
      </c>
      <c r="G23921" s="5">
        <v>0</v>
      </c>
      <c r="H23921" s="5">
        <v>0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105.1</v>
      </c>
      <c r="D23922" s="5">
        <v>0.1</v>
      </c>
      <c r="E23922" s="5">
        <v>105.3</v>
      </c>
      <c r="F23922" s="5">
        <v>0</v>
      </c>
      <c r="G23922" s="5">
        <v>0</v>
      </c>
      <c r="H23922" s="5">
        <v>0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105.1</v>
      </c>
      <c r="D23923" s="5">
        <v>0.1</v>
      </c>
      <c r="E23923" s="5">
        <v>105.3</v>
      </c>
      <c r="F23923" s="5">
        <v>0</v>
      </c>
      <c r="G23923" s="5">
        <v>0</v>
      </c>
      <c r="H23923" s="5">
        <v>0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110.5</v>
      </c>
      <c r="D23924" s="5">
        <v>0.1</v>
      </c>
      <c r="E23924" s="5">
        <v>110.7</v>
      </c>
      <c r="F23924" s="5">
        <v>0</v>
      </c>
      <c r="G23924" s="5">
        <v>0</v>
      </c>
      <c r="H23924" s="5">
        <v>0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110.5</v>
      </c>
      <c r="D23925" s="5">
        <v>0.1</v>
      </c>
      <c r="E23925" s="5">
        <v>110.7</v>
      </c>
      <c r="F23925" s="5">
        <v>0</v>
      </c>
      <c r="G23925" s="5">
        <v>0</v>
      </c>
      <c r="H23925" s="5">
        <v>0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109.9</v>
      </c>
      <c r="D23926" s="5">
        <v>0.1</v>
      </c>
      <c r="E23926" s="5">
        <v>110.1</v>
      </c>
      <c r="F23926" s="5">
        <v>0</v>
      </c>
      <c r="G23926" s="5">
        <v>0</v>
      </c>
      <c r="H23926" s="5">
        <v>0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109.9</v>
      </c>
      <c r="D23927" s="5">
        <v>0.1</v>
      </c>
      <c r="E23927" s="5">
        <v>110.1</v>
      </c>
      <c r="F23927" s="5">
        <v>0</v>
      </c>
      <c r="G23927" s="5">
        <v>0</v>
      </c>
      <c r="H23927" s="5">
        <v>0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109.9</v>
      </c>
      <c r="D23928" s="5">
        <v>0.1</v>
      </c>
      <c r="E23928" s="5">
        <v>109.9</v>
      </c>
      <c r="F23928" s="5">
        <v>0</v>
      </c>
      <c r="G23928" s="5">
        <v>0</v>
      </c>
      <c r="H23928" s="5">
        <v>0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109.7</v>
      </c>
      <c r="D23929" s="5">
        <v>0.1</v>
      </c>
      <c r="E23929" s="5">
        <v>109.9</v>
      </c>
      <c r="F23929" s="5">
        <v>0</v>
      </c>
      <c r="G23929" s="5">
        <v>0</v>
      </c>
      <c r="H23929" s="5">
        <v>0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109.7</v>
      </c>
      <c r="D23930" s="5">
        <v>0.1</v>
      </c>
      <c r="E23930" s="5">
        <v>109.9</v>
      </c>
      <c r="F23930" s="5">
        <v>0</v>
      </c>
      <c r="G23930" s="5">
        <v>0</v>
      </c>
      <c r="H23930" s="5">
        <v>0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109.4</v>
      </c>
      <c r="D23931" s="5">
        <v>0.1</v>
      </c>
      <c r="E23931" s="5">
        <v>109.6</v>
      </c>
      <c r="F23931" s="5">
        <v>0</v>
      </c>
      <c r="G23931" s="5">
        <v>0</v>
      </c>
      <c r="H23931" s="5">
        <v>0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104</v>
      </c>
      <c r="D23932" s="5">
        <v>0.1</v>
      </c>
      <c r="E23932" s="5">
        <v>104.1</v>
      </c>
      <c r="F23932" s="5">
        <v>209.1</v>
      </c>
      <c r="G23932" s="5">
        <v>104.3</v>
      </c>
      <c r="H23932" s="5">
        <v>104.1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104</v>
      </c>
      <c r="D23933" s="5">
        <v>0.1</v>
      </c>
      <c r="E23933" s="5">
        <v>104.1</v>
      </c>
      <c r="F23933" s="5">
        <v>209.1</v>
      </c>
      <c r="G23933" s="5">
        <v>104.3</v>
      </c>
      <c r="H23933" s="5">
        <v>104.1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109.7</v>
      </c>
      <c r="D23934" s="5">
        <v>0.1</v>
      </c>
      <c r="E23934" s="5">
        <v>109.8</v>
      </c>
      <c r="F23934" s="5">
        <v>218.2</v>
      </c>
      <c r="G23934" s="5">
        <v>108.9</v>
      </c>
      <c r="H23934" s="5">
        <v>108.8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109.7</v>
      </c>
      <c r="D23935" s="5">
        <v>0.1</v>
      </c>
      <c r="E23935" s="5">
        <v>109.8</v>
      </c>
      <c r="F23935" s="5">
        <v>218.2</v>
      </c>
      <c r="G23935" s="5">
        <v>108.9</v>
      </c>
      <c r="H23935" s="5">
        <v>108.8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110.2</v>
      </c>
      <c r="D23936" s="5">
        <v>0.1</v>
      </c>
      <c r="E23936" s="5">
        <v>110.4</v>
      </c>
      <c r="F23936" s="5">
        <v>211.5</v>
      </c>
      <c r="G23936" s="5">
        <v>105.9</v>
      </c>
      <c r="H23936" s="5">
        <v>106.3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110.2</v>
      </c>
      <c r="D23937" s="5">
        <v>0.1</v>
      </c>
      <c r="E23937" s="5">
        <v>110.4</v>
      </c>
      <c r="F23937" s="5">
        <v>211.5</v>
      </c>
      <c r="G23937" s="5">
        <v>105.9</v>
      </c>
      <c r="H23937" s="5">
        <v>106.3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104.5</v>
      </c>
      <c r="D23938" s="5">
        <v>0.1</v>
      </c>
      <c r="E23938" s="5">
        <v>104.6</v>
      </c>
      <c r="F23938" s="5">
        <v>215.4</v>
      </c>
      <c r="G23938" s="5">
        <v>107</v>
      </c>
      <c r="H23938" s="5">
        <v>106.4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104.5</v>
      </c>
      <c r="D23939" s="5">
        <v>0.1</v>
      </c>
      <c r="E23939" s="5">
        <v>104.6</v>
      </c>
      <c r="F23939" s="5">
        <v>215.4</v>
      </c>
      <c r="G23939" s="5">
        <v>107</v>
      </c>
      <c r="H23939" s="5">
        <v>106.4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110.2</v>
      </c>
      <c r="D23940" s="5">
        <v>0.1</v>
      </c>
      <c r="E23940" s="5">
        <v>110.4</v>
      </c>
      <c r="F23940" s="5">
        <v>220.6</v>
      </c>
      <c r="G23940" s="5">
        <v>110.2</v>
      </c>
      <c r="H23940" s="5">
        <v>110.1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110.2</v>
      </c>
      <c r="D23941" s="5">
        <v>0.1</v>
      </c>
      <c r="E23941" s="5">
        <v>110.4</v>
      </c>
      <c r="F23941" s="5">
        <v>220.6</v>
      </c>
      <c r="G23941" s="5">
        <v>110.2</v>
      </c>
      <c r="H23941" s="5">
        <v>110.1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110.2</v>
      </c>
      <c r="D23942" s="5">
        <v>0.1</v>
      </c>
      <c r="E23942" s="5">
        <v>110.4</v>
      </c>
      <c r="F23942" s="5">
        <v>220.6</v>
      </c>
      <c r="G23942" s="5">
        <v>110.2</v>
      </c>
      <c r="H23942" s="5">
        <v>110.1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110.2</v>
      </c>
      <c r="D23943" s="5">
        <v>0.1</v>
      </c>
      <c r="E23943" s="5">
        <v>110.4</v>
      </c>
      <c r="F23943" s="5">
        <v>220.6</v>
      </c>
      <c r="G23943" s="5">
        <v>110.2</v>
      </c>
      <c r="H23943" s="5">
        <v>110.1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110</v>
      </c>
      <c r="D23944" s="5">
        <v>0.1</v>
      </c>
      <c r="E23944" s="5">
        <v>110.1</v>
      </c>
      <c r="F23944" s="5">
        <v>216.7</v>
      </c>
      <c r="G23944" s="5">
        <v>109.7</v>
      </c>
      <c r="H23944" s="5">
        <v>109.7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110</v>
      </c>
      <c r="D23945" s="5">
        <v>0.1</v>
      </c>
      <c r="E23945" s="5">
        <v>110.1</v>
      </c>
      <c r="F23945" s="5">
        <v>216.7</v>
      </c>
      <c r="G23945" s="5">
        <v>109.7</v>
      </c>
      <c r="H23945" s="5">
        <v>109.7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109.4</v>
      </c>
      <c r="D23946" s="5">
        <v>0.1</v>
      </c>
      <c r="E23946" s="5">
        <v>109.6</v>
      </c>
      <c r="F23946" s="5">
        <v>219.2</v>
      </c>
      <c r="G23946" s="5">
        <v>109.4</v>
      </c>
      <c r="H23946" s="5">
        <v>109.3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109.4</v>
      </c>
      <c r="D23947" s="5">
        <v>0.1</v>
      </c>
      <c r="E23947" s="5">
        <v>109.6</v>
      </c>
      <c r="F23947" s="5">
        <v>219.2</v>
      </c>
      <c r="G23947" s="5">
        <v>109.4</v>
      </c>
      <c r="H23947" s="5">
        <v>109.3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109.2</v>
      </c>
      <c r="D23948" s="5">
        <v>0.1</v>
      </c>
      <c r="E23948" s="5">
        <v>109.4</v>
      </c>
      <c r="F23948" s="5">
        <v>218.5</v>
      </c>
      <c r="G23948" s="5">
        <v>109</v>
      </c>
      <c r="H23948" s="5">
        <v>108.9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109.2</v>
      </c>
      <c r="D23949" s="5">
        <v>0.1</v>
      </c>
      <c r="E23949" s="5">
        <v>109.4</v>
      </c>
      <c r="F23949" s="5">
        <v>218.5</v>
      </c>
      <c r="G23949" s="5">
        <v>109</v>
      </c>
      <c r="H23949" s="5">
        <v>108.9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104</v>
      </c>
      <c r="D23950" s="5">
        <v>0.1</v>
      </c>
      <c r="E23950" s="5">
        <v>104.1</v>
      </c>
      <c r="F23950" s="5">
        <v>209.3</v>
      </c>
      <c r="G23950" s="5">
        <v>104.4</v>
      </c>
      <c r="H23950" s="5">
        <v>104.1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105.1</v>
      </c>
      <c r="D23951" s="5">
        <v>0.1</v>
      </c>
      <c r="E23951" s="5">
        <v>105.3</v>
      </c>
      <c r="F23951" s="5">
        <v>204.4</v>
      </c>
      <c r="G23951" s="5">
        <v>101.5</v>
      </c>
      <c r="H23951" s="5">
        <v>100.9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104</v>
      </c>
      <c r="D23952" s="5">
        <v>0.1</v>
      </c>
      <c r="E23952" s="5">
        <v>104.2</v>
      </c>
      <c r="F23952" s="5">
        <v>208.1</v>
      </c>
      <c r="G23952" s="5">
        <v>104.3</v>
      </c>
      <c r="H23952" s="5">
        <v>104.7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104</v>
      </c>
      <c r="D23953" s="5">
        <v>0.1</v>
      </c>
      <c r="E23953" s="5">
        <v>104.2</v>
      </c>
      <c r="F23953" s="5">
        <v>208.1</v>
      </c>
      <c r="G23953" s="5">
        <v>104.3</v>
      </c>
      <c r="H23953" s="5">
        <v>104.7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110.7</v>
      </c>
      <c r="D23954" s="5">
        <v>0.1</v>
      </c>
      <c r="E23954" s="5">
        <v>110.8</v>
      </c>
      <c r="F23954" s="5">
        <v>220.7</v>
      </c>
      <c r="G23954" s="5">
        <v>110.3</v>
      </c>
      <c r="H23954" s="5">
        <v>110.2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110.7</v>
      </c>
      <c r="D23955" s="5">
        <v>0.1</v>
      </c>
      <c r="E23955" s="5">
        <v>110.8</v>
      </c>
      <c r="F23955" s="5">
        <v>220.7</v>
      </c>
      <c r="G23955" s="5">
        <v>110.3</v>
      </c>
      <c r="H23955" s="5">
        <v>110.2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110.7</v>
      </c>
      <c r="D23956" s="5">
        <v>0.1</v>
      </c>
      <c r="E23956" s="5">
        <v>110.8</v>
      </c>
      <c r="F23956" s="5">
        <v>220.7</v>
      </c>
      <c r="G23956" s="5">
        <v>110.3</v>
      </c>
      <c r="H23956" s="5">
        <v>110.2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110.7</v>
      </c>
      <c r="D23957" s="5">
        <v>0.1</v>
      </c>
      <c r="E23957" s="5">
        <v>110.8</v>
      </c>
      <c r="F23957" s="5">
        <v>220.7</v>
      </c>
      <c r="G23957" s="5">
        <v>110.3</v>
      </c>
      <c r="H23957" s="5">
        <v>110.2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110.1</v>
      </c>
      <c r="D23958" s="5">
        <v>0.1</v>
      </c>
      <c r="E23958" s="5">
        <v>110.2</v>
      </c>
      <c r="F23958" s="5">
        <v>219.9</v>
      </c>
      <c r="G23958" s="5">
        <v>109.4</v>
      </c>
      <c r="H23958" s="5">
        <v>108.8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110.1</v>
      </c>
      <c r="D23959" s="5">
        <v>0.1</v>
      </c>
      <c r="E23959" s="5">
        <v>110.2</v>
      </c>
      <c r="F23959" s="5">
        <v>219.9</v>
      </c>
      <c r="G23959" s="5">
        <v>109.4</v>
      </c>
      <c r="H23959" s="5">
        <v>108.8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110.6</v>
      </c>
      <c r="D23960" s="5">
        <v>0.1</v>
      </c>
      <c r="E23960" s="5">
        <v>110.7</v>
      </c>
      <c r="F23960" s="5">
        <v>220.5</v>
      </c>
      <c r="G23960" s="5">
        <v>110</v>
      </c>
      <c r="H23960" s="5">
        <v>109.9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110.6</v>
      </c>
      <c r="D23961" s="5">
        <v>0.1</v>
      </c>
      <c r="E23961" s="5">
        <v>110.7</v>
      </c>
      <c r="F23961" s="5">
        <v>220.5</v>
      </c>
      <c r="G23961" s="5">
        <v>110</v>
      </c>
      <c r="H23961" s="5">
        <v>109.9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109.7</v>
      </c>
      <c r="D23962" s="5">
        <v>0.1</v>
      </c>
      <c r="E23962" s="5">
        <v>109.9</v>
      </c>
      <c r="F23962" s="5">
        <v>219.1</v>
      </c>
      <c r="G23962" s="5">
        <v>108.8</v>
      </c>
      <c r="H23962" s="5">
        <v>108.2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109.7</v>
      </c>
      <c r="D23963" s="5">
        <v>0.1</v>
      </c>
      <c r="E23963" s="5">
        <v>109.9</v>
      </c>
      <c r="F23963" s="5">
        <v>219.1</v>
      </c>
      <c r="G23963" s="5">
        <v>108.8</v>
      </c>
      <c r="H23963" s="5">
        <v>108.2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110.4</v>
      </c>
      <c r="D23964" s="5">
        <v>0.1</v>
      </c>
      <c r="E23964" s="5">
        <v>110.6</v>
      </c>
      <c r="F23964" s="5">
        <v>219.6</v>
      </c>
      <c r="G23964" s="5">
        <v>109.7</v>
      </c>
      <c r="H23964" s="5">
        <v>109.6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110.4</v>
      </c>
      <c r="D23965" s="5">
        <v>0.1</v>
      </c>
      <c r="E23965" s="5">
        <v>110.6</v>
      </c>
      <c r="F23965" s="5">
        <v>219.6</v>
      </c>
      <c r="G23965" s="5">
        <v>109.7</v>
      </c>
      <c r="H23965" s="5">
        <v>109.6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110.4</v>
      </c>
      <c r="D23966" s="5">
        <v>0.1</v>
      </c>
      <c r="E23966" s="5">
        <v>110.6</v>
      </c>
      <c r="F23966" s="5">
        <v>219.6</v>
      </c>
      <c r="G23966" s="5">
        <v>109.7</v>
      </c>
      <c r="H23966" s="5">
        <v>109.6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110.4</v>
      </c>
      <c r="D23967" s="5">
        <v>0.1</v>
      </c>
      <c r="E23967" s="5">
        <v>110.6</v>
      </c>
      <c r="F23967" s="5">
        <v>219.6</v>
      </c>
      <c r="G23967" s="5">
        <v>109.7</v>
      </c>
      <c r="H23967" s="5">
        <v>109.6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106.2</v>
      </c>
      <c r="D23968" s="5">
        <v>0.1</v>
      </c>
      <c r="E23968" s="5">
        <v>106.4</v>
      </c>
      <c r="F23968" s="5">
        <v>213.1</v>
      </c>
      <c r="G23968" s="5">
        <v>106.3</v>
      </c>
      <c r="H23968" s="5">
        <v>106.1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106.2</v>
      </c>
      <c r="D23969" s="5">
        <v>0.1</v>
      </c>
      <c r="E23969" s="5">
        <v>106.4</v>
      </c>
      <c r="F23969" s="5">
        <v>213.1</v>
      </c>
      <c r="G23969" s="5">
        <v>106.3</v>
      </c>
      <c r="H23969" s="5">
        <v>106.1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110.4</v>
      </c>
      <c r="D23970" s="5">
        <v>0.1</v>
      </c>
      <c r="E23970" s="5">
        <v>110.5</v>
      </c>
      <c r="F23970" s="5">
        <v>217.3</v>
      </c>
      <c r="G23970" s="5">
        <v>108</v>
      </c>
      <c r="H23970" s="5">
        <v>107.5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110.4</v>
      </c>
      <c r="D23971" s="5">
        <v>0.1</v>
      </c>
      <c r="E23971" s="5">
        <v>110.5</v>
      </c>
      <c r="F23971" s="5">
        <v>217.3</v>
      </c>
      <c r="G23971" s="5">
        <v>108</v>
      </c>
      <c r="H23971" s="5">
        <v>107.5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106.1</v>
      </c>
      <c r="D23972" s="5">
        <v>0.1</v>
      </c>
      <c r="E23972" s="5">
        <v>106.2</v>
      </c>
      <c r="F23972" s="5">
        <v>207.5</v>
      </c>
      <c r="G23972" s="5">
        <v>103</v>
      </c>
      <c r="H23972" s="5">
        <v>102.5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106.1</v>
      </c>
      <c r="D23973" s="5">
        <v>0.1</v>
      </c>
      <c r="E23973" s="5">
        <v>106.2</v>
      </c>
      <c r="F23973" s="5">
        <v>207.5</v>
      </c>
      <c r="G23973" s="5">
        <v>103</v>
      </c>
      <c r="H23973" s="5">
        <v>102.5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106.6</v>
      </c>
      <c r="D23974" s="5">
        <v>0.1</v>
      </c>
      <c r="E23974" s="5">
        <v>106.7</v>
      </c>
      <c r="F23974" s="5">
        <v>208.7</v>
      </c>
      <c r="G23974" s="5">
        <v>103.5</v>
      </c>
      <c r="H23974" s="5">
        <v>102.7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106.6</v>
      </c>
      <c r="D23975" s="5">
        <v>0.1</v>
      </c>
      <c r="E23975" s="5">
        <v>106.7</v>
      </c>
      <c r="F23975" s="5">
        <v>208.7</v>
      </c>
      <c r="G23975" s="5">
        <v>103.5</v>
      </c>
      <c r="H23975" s="5">
        <v>102.7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106.6</v>
      </c>
      <c r="D23976" s="5">
        <v>0.1</v>
      </c>
      <c r="E23976" s="5">
        <v>106.7</v>
      </c>
      <c r="F23976" s="5">
        <v>208.7</v>
      </c>
      <c r="G23976" s="5">
        <v>103.5</v>
      </c>
      <c r="H23976" s="5">
        <v>102.7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106.6</v>
      </c>
      <c r="D23977" s="5">
        <v>0.1</v>
      </c>
      <c r="E23977" s="5">
        <v>106.7</v>
      </c>
      <c r="F23977" s="5">
        <v>208.7</v>
      </c>
      <c r="G23977" s="5">
        <v>103.5</v>
      </c>
      <c r="H23977" s="5">
        <v>102.7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110.1</v>
      </c>
      <c r="D23978" s="5">
        <v>0.1</v>
      </c>
      <c r="E23978" s="5">
        <v>110.2</v>
      </c>
      <c r="F23978" s="5">
        <v>212.8</v>
      </c>
      <c r="G23978" s="5">
        <v>106.4</v>
      </c>
      <c r="H23978" s="5">
        <v>106.4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110.1</v>
      </c>
      <c r="D23979" s="5">
        <v>0.1</v>
      </c>
      <c r="E23979" s="5">
        <v>110.2</v>
      </c>
      <c r="F23979" s="5">
        <v>212.8</v>
      </c>
      <c r="G23979" s="5">
        <v>106.4</v>
      </c>
      <c r="H23979" s="5">
        <v>106.4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106.7</v>
      </c>
      <c r="D23980" s="5">
        <v>0.1</v>
      </c>
      <c r="E23980" s="5">
        <v>106.9</v>
      </c>
      <c r="F23980" s="5">
        <v>214.3</v>
      </c>
      <c r="G23980" s="5">
        <v>106.9</v>
      </c>
      <c r="H23980" s="5">
        <v>106.8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106.7</v>
      </c>
      <c r="D23981" s="5">
        <v>0.1</v>
      </c>
      <c r="E23981" s="5">
        <v>106.9</v>
      </c>
      <c r="F23981" s="5">
        <v>214.3</v>
      </c>
      <c r="G23981" s="5">
        <v>106.9</v>
      </c>
      <c r="H23981" s="5">
        <v>106.8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110.2</v>
      </c>
      <c r="D23982" s="5">
        <v>0.1</v>
      </c>
      <c r="E23982" s="5">
        <v>110.4</v>
      </c>
      <c r="F23982" s="5">
        <v>211.5</v>
      </c>
      <c r="G23982" s="5">
        <v>105.7</v>
      </c>
      <c r="H23982" s="5">
        <v>105.7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110.2</v>
      </c>
      <c r="D23983" s="5">
        <v>0.1</v>
      </c>
      <c r="E23983" s="5">
        <v>110.4</v>
      </c>
      <c r="F23983" s="5">
        <v>211.5</v>
      </c>
      <c r="G23983" s="5">
        <v>105.7</v>
      </c>
      <c r="H23983" s="5">
        <v>105.7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106.1</v>
      </c>
      <c r="D23984" s="5">
        <v>0.1</v>
      </c>
      <c r="E23984" s="5">
        <v>106.2</v>
      </c>
      <c r="F23984" s="5">
        <v>211.5</v>
      </c>
      <c r="G23984" s="5">
        <v>105.5</v>
      </c>
      <c r="H23984" s="5">
        <v>105.2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106.1</v>
      </c>
      <c r="D23985" s="5">
        <v>0.1</v>
      </c>
      <c r="E23985" s="5">
        <v>106.2</v>
      </c>
      <c r="F23985" s="5">
        <v>211.5</v>
      </c>
      <c r="G23985" s="5">
        <v>105.5</v>
      </c>
      <c r="H23985" s="5">
        <v>105.2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106.1</v>
      </c>
      <c r="D23986" s="5">
        <v>0.1</v>
      </c>
      <c r="E23986" s="5">
        <v>106.2</v>
      </c>
      <c r="F23986" s="5">
        <v>211.5</v>
      </c>
      <c r="G23986" s="5">
        <v>105.5</v>
      </c>
      <c r="H23986" s="5">
        <v>105.2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106.1</v>
      </c>
      <c r="D23987" s="5">
        <v>0.1</v>
      </c>
      <c r="E23987" s="5">
        <v>106.2</v>
      </c>
      <c r="F23987" s="5">
        <v>211.5</v>
      </c>
      <c r="G23987" s="5">
        <v>105.5</v>
      </c>
      <c r="H23987" s="5">
        <v>105.2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110.6</v>
      </c>
      <c r="D23988" s="5">
        <v>0.1</v>
      </c>
      <c r="E23988" s="5">
        <v>110.7</v>
      </c>
      <c r="F23988" s="5">
        <v>217.3</v>
      </c>
      <c r="G23988" s="5">
        <v>108.8</v>
      </c>
      <c r="H23988" s="5">
        <v>108.9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110.6</v>
      </c>
      <c r="D23989" s="5">
        <v>0.1</v>
      </c>
      <c r="E23989" s="5">
        <v>110.7</v>
      </c>
      <c r="F23989" s="5">
        <v>217.3</v>
      </c>
      <c r="G23989" s="5">
        <v>108.8</v>
      </c>
      <c r="H23989" s="5">
        <v>108.9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106.8</v>
      </c>
      <c r="D23990" s="5">
        <v>0.1</v>
      </c>
      <c r="E23990" s="5">
        <v>106.9</v>
      </c>
      <c r="F23990" s="5">
        <v>213.7</v>
      </c>
      <c r="G23990" s="5">
        <v>106.7</v>
      </c>
      <c r="H23990" s="5">
        <v>106.6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106.8</v>
      </c>
      <c r="D23991" s="5">
        <v>0.1</v>
      </c>
      <c r="E23991" s="5">
        <v>106.9</v>
      </c>
      <c r="F23991" s="5">
        <v>213.7</v>
      </c>
      <c r="G23991" s="5">
        <v>106.7</v>
      </c>
      <c r="H23991" s="5">
        <v>106.6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111.4</v>
      </c>
      <c r="D23992" s="5">
        <v>0.1</v>
      </c>
      <c r="E23992" s="5">
        <v>111.6</v>
      </c>
      <c r="F23992" s="5">
        <v>218.6</v>
      </c>
      <c r="G23992" s="5">
        <v>109.4</v>
      </c>
      <c r="H23992" s="5">
        <v>109.5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111.4</v>
      </c>
      <c r="D23993" s="5">
        <v>0.1</v>
      </c>
      <c r="E23993" s="5">
        <v>111.6</v>
      </c>
      <c r="F23993" s="5">
        <v>218.6</v>
      </c>
      <c r="G23993" s="5">
        <v>109.4</v>
      </c>
      <c r="H23993" s="5">
        <v>109.5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111</v>
      </c>
      <c r="D23994" s="5">
        <v>0.1</v>
      </c>
      <c r="E23994" s="5">
        <v>111.2</v>
      </c>
      <c r="F23994" s="5">
        <v>220.8</v>
      </c>
      <c r="G23994" s="5">
        <v>110.2</v>
      </c>
      <c r="H23994" s="5">
        <v>110.2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111</v>
      </c>
      <c r="D23995" s="5">
        <v>0.1</v>
      </c>
      <c r="E23995" s="5">
        <v>111.2</v>
      </c>
      <c r="F23995" s="5">
        <v>220.8</v>
      </c>
      <c r="G23995" s="5">
        <v>110.2</v>
      </c>
      <c r="H23995" s="5">
        <v>110.2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111</v>
      </c>
      <c r="D23996" s="5">
        <v>0.1</v>
      </c>
      <c r="E23996" s="5">
        <v>111.2</v>
      </c>
      <c r="F23996" s="5">
        <v>220.8</v>
      </c>
      <c r="G23996" s="5">
        <v>110.2</v>
      </c>
      <c r="H23996" s="5">
        <v>110.2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105.9</v>
      </c>
      <c r="D23997" s="5">
        <v>0.1</v>
      </c>
      <c r="E23997" s="5">
        <v>106.1</v>
      </c>
      <c r="F23997" s="5">
        <v>220.8</v>
      </c>
      <c r="G23997" s="5">
        <v>110.2</v>
      </c>
      <c r="H23997" s="5">
        <v>110.2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105.9</v>
      </c>
      <c r="D23998" s="5">
        <v>0.1</v>
      </c>
      <c r="E23998" s="5">
        <v>106.1</v>
      </c>
      <c r="F23998" s="5">
        <v>214.3</v>
      </c>
      <c r="G23998" s="5">
        <v>106.9</v>
      </c>
      <c r="H23998" s="5">
        <v>106.6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105.9</v>
      </c>
      <c r="D23999" s="5">
        <v>0.1</v>
      </c>
      <c r="E23999" s="5">
        <v>106.1</v>
      </c>
      <c r="F23999" s="5">
        <v>214.3</v>
      </c>
      <c r="G23999" s="5">
        <v>106.9</v>
      </c>
      <c r="H23999" s="5">
        <v>106.6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110.1</v>
      </c>
      <c r="D24000" s="5">
        <v>0.1</v>
      </c>
      <c r="E24000" s="5">
        <v>110.3</v>
      </c>
      <c r="F24000" s="5">
        <v>208.7</v>
      </c>
      <c r="G24000" s="5">
        <v>104.5</v>
      </c>
      <c r="H24000" s="5">
        <v>104.7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110.1</v>
      </c>
      <c r="D24001" s="5">
        <v>0.1</v>
      </c>
      <c r="E24001" s="5">
        <v>110.3</v>
      </c>
      <c r="F24001" s="5">
        <v>208.7</v>
      </c>
      <c r="G24001" s="5">
        <v>104.5</v>
      </c>
      <c r="H24001" s="5">
        <v>104.7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108.5</v>
      </c>
      <c r="D24002" s="5">
        <v>0.1</v>
      </c>
      <c r="E24002" s="5">
        <v>108.6</v>
      </c>
      <c r="F24002" s="5">
        <v>216.1</v>
      </c>
      <c r="G24002" s="5">
        <v>107.9</v>
      </c>
      <c r="H24002" s="5">
        <v>107.8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108.5</v>
      </c>
      <c r="D24003" s="5">
        <v>0.1</v>
      </c>
      <c r="E24003" s="5">
        <v>108.6</v>
      </c>
      <c r="F24003" s="5">
        <v>216.1</v>
      </c>
      <c r="G24003" s="5">
        <v>107.9</v>
      </c>
      <c r="H24003" s="5">
        <v>107.8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110.2</v>
      </c>
      <c r="D24004" s="5">
        <v>0.1</v>
      </c>
      <c r="E24004" s="5">
        <v>110.4</v>
      </c>
      <c r="F24004" s="5">
        <v>217.6</v>
      </c>
      <c r="G24004" s="5">
        <v>107.5</v>
      </c>
      <c r="H24004" s="5">
        <v>106.4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110.2</v>
      </c>
      <c r="D24005" s="5">
        <v>0.1</v>
      </c>
      <c r="E24005" s="5">
        <v>110.4</v>
      </c>
      <c r="F24005" s="5">
        <v>217.6</v>
      </c>
      <c r="G24005" s="5">
        <v>107.5</v>
      </c>
      <c r="H24005" s="5">
        <v>106.4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110.2</v>
      </c>
      <c r="D24006" s="5">
        <v>0.1</v>
      </c>
      <c r="E24006" s="5">
        <v>110.4</v>
      </c>
      <c r="F24006" s="5">
        <v>217.6</v>
      </c>
      <c r="G24006" s="5">
        <v>107.5</v>
      </c>
      <c r="H24006" s="5">
        <v>106.4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110.2</v>
      </c>
      <c r="D24007" s="5">
        <v>0.1</v>
      </c>
      <c r="E24007" s="5">
        <v>110.4</v>
      </c>
      <c r="F24007" s="5">
        <v>217.6</v>
      </c>
      <c r="G24007" s="5">
        <v>107.5</v>
      </c>
      <c r="H24007" s="5">
        <v>106.4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105.5</v>
      </c>
      <c r="D24008" s="5">
        <v>0.1</v>
      </c>
      <c r="E24008" s="5">
        <v>105.6</v>
      </c>
      <c r="F24008" s="5">
        <v>213.7</v>
      </c>
      <c r="G24008" s="5">
        <v>106.3</v>
      </c>
      <c r="H24008" s="5">
        <v>105.8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105.5</v>
      </c>
      <c r="D24009" s="5">
        <v>0.1</v>
      </c>
      <c r="E24009" s="5">
        <v>105.6</v>
      </c>
      <c r="F24009" s="5">
        <v>213.7</v>
      </c>
      <c r="G24009" s="5">
        <v>106.3</v>
      </c>
      <c r="H24009" s="5">
        <v>105.8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101.2</v>
      </c>
      <c r="D24010" s="5">
        <v>0.1</v>
      </c>
      <c r="E24010" s="5">
        <v>101.4</v>
      </c>
      <c r="F24010" s="5">
        <v>214.1</v>
      </c>
      <c r="G24010" s="5">
        <v>106.3</v>
      </c>
      <c r="H24010" s="5">
        <v>105.5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101.2</v>
      </c>
      <c r="D24011" s="5">
        <v>0.1</v>
      </c>
      <c r="E24011" s="5">
        <v>101.4</v>
      </c>
      <c r="F24011" s="5">
        <v>214.1</v>
      </c>
      <c r="G24011" s="5">
        <v>106.3</v>
      </c>
      <c r="H24011" s="5">
        <v>105.5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109.7</v>
      </c>
      <c r="D24012" s="5">
        <v>0.1</v>
      </c>
      <c r="E24012" s="5">
        <v>109.9</v>
      </c>
      <c r="F24012" s="5">
        <v>213</v>
      </c>
      <c r="G24012" s="5">
        <v>106.7</v>
      </c>
      <c r="H24012" s="5">
        <v>107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109.7</v>
      </c>
      <c r="D24013" s="5">
        <v>0.1</v>
      </c>
      <c r="E24013" s="5">
        <v>109.9</v>
      </c>
      <c r="F24013" s="5">
        <v>213</v>
      </c>
      <c r="G24013" s="5">
        <v>106.7</v>
      </c>
      <c r="H24013" s="5">
        <v>107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106</v>
      </c>
      <c r="D24014" s="5">
        <v>0.1</v>
      </c>
      <c r="E24014" s="5">
        <v>106.1</v>
      </c>
      <c r="F24014" s="5">
        <v>209.8</v>
      </c>
      <c r="G24014" s="5">
        <v>105</v>
      </c>
      <c r="H24014" s="5">
        <v>105.1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106</v>
      </c>
      <c r="D24015" s="5">
        <v>0.1</v>
      </c>
      <c r="E24015" s="5">
        <v>106.1</v>
      </c>
      <c r="F24015" s="5">
        <v>209.8</v>
      </c>
      <c r="G24015" s="5">
        <v>105</v>
      </c>
      <c r="H24015" s="5">
        <v>105.1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106</v>
      </c>
      <c r="D24016" s="5">
        <v>0.1</v>
      </c>
      <c r="E24016" s="5">
        <v>106.1</v>
      </c>
      <c r="F24016" s="5">
        <v>209.8</v>
      </c>
      <c r="G24016" s="5">
        <v>105</v>
      </c>
      <c r="H24016" s="5">
        <v>105.1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106</v>
      </c>
      <c r="D24017" s="5">
        <v>0.1</v>
      </c>
      <c r="E24017" s="5">
        <v>106.1</v>
      </c>
      <c r="F24017" s="5">
        <v>209.8</v>
      </c>
      <c r="G24017" s="5">
        <v>105</v>
      </c>
      <c r="H24017" s="5">
        <v>109.3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106.6</v>
      </c>
      <c r="D24018" s="5">
        <v>0.1</v>
      </c>
      <c r="E24018" s="5">
        <v>106.8</v>
      </c>
      <c r="F24018" s="5">
        <v>219.8</v>
      </c>
      <c r="G24018" s="5">
        <v>109.6</v>
      </c>
      <c r="H24018" s="5">
        <v>109.3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106.6</v>
      </c>
      <c r="D24019" s="5">
        <v>0.1</v>
      </c>
      <c r="E24019" s="5">
        <v>106.8</v>
      </c>
      <c r="F24019" s="5">
        <v>219.8</v>
      </c>
      <c r="G24019" s="5">
        <v>109.6</v>
      </c>
      <c r="H24019" s="5">
        <v>109.3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109.1</v>
      </c>
      <c r="D24020" s="5">
        <v>0.1</v>
      </c>
      <c r="E24020" s="5">
        <v>109.3</v>
      </c>
      <c r="F24020" s="5">
        <v>220.3</v>
      </c>
      <c r="G24020" s="5">
        <v>109.9</v>
      </c>
      <c r="H24020" s="5">
        <v>109.8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109.1</v>
      </c>
      <c r="D24021" s="5">
        <v>0.1</v>
      </c>
      <c r="E24021" s="5">
        <v>109.3</v>
      </c>
      <c r="F24021" s="5">
        <v>220.3</v>
      </c>
      <c r="G24021" s="5">
        <v>109.9</v>
      </c>
      <c r="H24021" s="5">
        <v>109.8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110.4</v>
      </c>
      <c r="D24022" s="5">
        <v>0.1</v>
      </c>
      <c r="E24022" s="5">
        <v>110.6</v>
      </c>
      <c r="F24022" s="5">
        <v>219.9</v>
      </c>
      <c r="G24022" s="5">
        <v>109.7</v>
      </c>
      <c r="H24022" s="5">
        <v>109.6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110.4</v>
      </c>
      <c r="D24023" s="5">
        <v>0.1</v>
      </c>
      <c r="E24023" s="5">
        <v>110.6</v>
      </c>
      <c r="F24023" s="5">
        <v>219.9</v>
      </c>
      <c r="G24023" s="5">
        <v>109.7</v>
      </c>
      <c r="H24023" s="5">
        <v>109.6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110.7</v>
      </c>
      <c r="D24024" s="5">
        <v>0.1</v>
      </c>
      <c r="E24024" s="5">
        <v>110.8</v>
      </c>
      <c r="F24024" s="5">
        <v>218.1</v>
      </c>
      <c r="G24024" s="5">
        <v>109.6</v>
      </c>
      <c r="H24024" s="5">
        <v>109.6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110.7</v>
      </c>
      <c r="D24025" s="5">
        <v>0.1</v>
      </c>
      <c r="E24025" s="5">
        <v>110.8</v>
      </c>
      <c r="F24025" s="5">
        <v>218.1</v>
      </c>
      <c r="G24025" s="5">
        <v>109.6</v>
      </c>
      <c r="H24025" s="5">
        <v>109.6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110.7</v>
      </c>
      <c r="D24026" s="5">
        <v>0.1</v>
      </c>
      <c r="E24026" s="5">
        <v>110.8</v>
      </c>
      <c r="F24026" s="5">
        <v>218.1</v>
      </c>
      <c r="G24026" s="5">
        <v>109.6</v>
      </c>
      <c r="H24026" s="5">
        <v>109.6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109.7</v>
      </c>
      <c r="D24027" s="5">
        <v>0.1</v>
      </c>
      <c r="E24027" s="5">
        <v>109.9</v>
      </c>
      <c r="F24027" s="5">
        <v>219.2</v>
      </c>
      <c r="G24027" s="5">
        <v>109.4</v>
      </c>
      <c r="H24027" s="5">
        <v>109.3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109.7</v>
      </c>
      <c r="D24028" s="5">
        <v>0.1</v>
      </c>
      <c r="E24028" s="5">
        <v>109.9</v>
      </c>
      <c r="F24028" s="5">
        <v>219.2</v>
      </c>
      <c r="G24028" s="5">
        <v>109.4</v>
      </c>
      <c r="H24028" s="5">
        <v>109.3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110.3</v>
      </c>
      <c r="D24029" s="5">
        <v>0.1</v>
      </c>
      <c r="E24029" s="5">
        <v>110.4</v>
      </c>
      <c r="F24029" s="5">
        <v>216</v>
      </c>
      <c r="G24029" s="5">
        <v>108.2</v>
      </c>
      <c r="H24029" s="5">
        <v>108.4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110.3</v>
      </c>
      <c r="D24030" s="5">
        <v>0.1</v>
      </c>
      <c r="E24030" s="5">
        <v>110.4</v>
      </c>
      <c r="F24030" s="5">
        <v>216</v>
      </c>
      <c r="G24030" s="5">
        <v>108.2</v>
      </c>
      <c r="H24030" s="5">
        <v>108.4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105.2</v>
      </c>
      <c r="D24031" s="5">
        <v>0.1</v>
      </c>
      <c r="E24031" s="5">
        <v>105.3</v>
      </c>
      <c r="F24031" s="5">
        <v>208.9</v>
      </c>
      <c r="G24031" s="5">
        <v>104.3</v>
      </c>
      <c r="H24031" s="5">
        <v>104.3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105.2</v>
      </c>
      <c r="D24032" s="5">
        <v>0.1</v>
      </c>
      <c r="E24032" s="5">
        <v>105.3</v>
      </c>
      <c r="F24032" s="5">
        <v>208.9</v>
      </c>
      <c r="G24032" s="5">
        <v>104.3</v>
      </c>
      <c r="H24032" s="5">
        <v>104.3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105.3</v>
      </c>
      <c r="D24033" s="5">
        <v>0.1</v>
      </c>
      <c r="E24033" s="5">
        <v>105.5</v>
      </c>
      <c r="F24033" s="5">
        <v>211.2</v>
      </c>
      <c r="G24033" s="5">
        <v>105.5</v>
      </c>
      <c r="H24033" s="5">
        <v>105.3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105.3</v>
      </c>
      <c r="D24034" s="5">
        <v>0.1</v>
      </c>
      <c r="E24034" s="5">
        <v>105.5</v>
      </c>
      <c r="F24034" s="5">
        <v>211.2</v>
      </c>
      <c r="G24034" s="5">
        <v>105.5</v>
      </c>
      <c r="H24034" s="5">
        <v>105.3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105.3</v>
      </c>
      <c r="D24035" s="5">
        <v>0.1</v>
      </c>
      <c r="E24035" s="5">
        <v>105.5</v>
      </c>
      <c r="F24035" s="5">
        <v>211.2</v>
      </c>
      <c r="G24035" s="5">
        <v>105.5</v>
      </c>
      <c r="H24035" s="5">
        <v>105.3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105.3</v>
      </c>
      <c r="D24036" s="5">
        <v>0.1</v>
      </c>
      <c r="E24036" s="5">
        <v>105.5</v>
      </c>
      <c r="F24036" s="5">
        <v>211.2</v>
      </c>
      <c r="G24036" s="5">
        <v>105.5</v>
      </c>
      <c r="H24036" s="5">
        <v>105.3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105.3</v>
      </c>
      <c r="D24037" s="5">
        <v>0.1</v>
      </c>
      <c r="E24037" s="5">
        <v>105.5</v>
      </c>
      <c r="F24037" s="5">
        <v>211.2</v>
      </c>
      <c r="G24037" s="5">
        <v>105.5</v>
      </c>
      <c r="H24037" s="5">
        <v>105.3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105.3</v>
      </c>
      <c r="D24038" s="5">
        <v>0.1</v>
      </c>
      <c r="E24038" s="5">
        <v>105.5</v>
      </c>
      <c r="F24038" s="5">
        <v>211.2</v>
      </c>
      <c r="G24038" s="5">
        <v>105.5</v>
      </c>
      <c r="H24038" s="5">
        <v>105.3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111</v>
      </c>
      <c r="D24039" s="5">
        <v>0.1</v>
      </c>
      <c r="E24039" s="5">
        <v>111.1</v>
      </c>
      <c r="F24039" s="5">
        <v>216</v>
      </c>
      <c r="G24039" s="5">
        <v>108</v>
      </c>
      <c r="H24039" s="5">
        <v>105.3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111</v>
      </c>
      <c r="D24040" s="5">
        <v>0.1</v>
      </c>
      <c r="E24040" s="5">
        <v>111.1</v>
      </c>
      <c r="F24040" s="5">
        <v>216</v>
      </c>
      <c r="G24040" s="5">
        <v>108</v>
      </c>
      <c r="H24040" s="5">
        <v>108.1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110.7</v>
      </c>
      <c r="D24041" s="5">
        <v>0.1</v>
      </c>
      <c r="E24041" s="5">
        <v>110.9</v>
      </c>
      <c r="F24041" s="5">
        <v>216</v>
      </c>
      <c r="G24041" s="5">
        <v>108</v>
      </c>
      <c r="H24041" s="5">
        <v>108.1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110.7</v>
      </c>
      <c r="D24042" s="5">
        <v>0.1</v>
      </c>
      <c r="E24042" s="5">
        <v>110.9</v>
      </c>
      <c r="F24042" s="5">
        <v>214.7</v>
      </c>
      <c r="G24042" s="5">
        <v>106.2</v>
      </c>
      <c r="H24042" s="5">
        <v>106.3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106.2</v>
      </c>
      <c r="D24043" s="5">
        <v>0.1</v>
      </c>
      <c r="E24043" s="5">
        <v>110.9</v>
      </c>
      <c r="F24043" s="5">
        <v>214.7</v>
      </c>
      <c r="G24043" s="5">
        <v>106.2</v>
      </c>
      <c r="H24043" s="5">
        <v>106.3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106.2</v>
      </c>
      <c r="D24044" s="5">
        <v>0.1</v>
      </c>
      <c r="E24044" s="5">
        <v>106.4</v>
      </c>
      <c r="F24044" s="5">
        <v>213.1</v>
      </c>
      <c r="G24044" s="5">
        <v>106.6</v>
      </c>
      <c r="H24044" s="5">
        <v>106.4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106.2</v>
      </c>
      <c r="D24045" s="5">
        <v>0.1</v>
      </c>
      <c r="E24045" s="5">
        <v>106.4</v>
      </c>
      <c r="F24045" s="5">
        <v>213.1</v>
      </c>
      <c r="G24045" s="5">
        <v>106.6</v>
      </c>
      <c r="H24045" s="5">
        <v>106.4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106.2</v>
      </c>
      <c r="D24046" s="5">
        <v>0.1</v>
      </c>
      <c r="E24046" s="5">
        <v>106.4</v>
      </c>
      <c r="F24046" s="5">
        <v>213.1</v>
      </c>
      <c r="G24046" s="5">
        <v>106.6</v>
      </c>
      <c r="H24046" s="5">
        <v>106.4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106.2</v>
      </c>
      <c r="D24047" s="5">
        <v>0.1</v>
      </c>
      <c r="E24047" s="5">
        <v>106.4</v>
      </c>
      <c r="F24047" s="5">
        <v>214.9</v>
      </c>
      <c r="G24047" s="5">
        <v>107.7</v>
      </c>
      <c r="H24047" s="5">
        <v>108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105.9</v>
      </c>
      <c r="D24048" s="5">
        <v>0.1</v>
      </c>
      <c r="E24048" s="5">
        <v>106.1</v>
      </c>
      <c r="F24048" s="5">
        <v>214.9</v>
      </c>
      <c r="G24048" s="5">
        <v>107.7</v>
      </c>
      <c r="H24048" s="5">
        <v>108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105.9</v>
      </c>
      <c r="D24049" s="5">
        <v>0.1</v>
      </c>
      <c r="E24049" s="5">
        <v>106.1</v>
      </c>
      <c r="F24049" s="5">
        <v>214.9</v>
      </c>
      <c r="G24049" s="5">
        <v>107.7</v>
      </c>
      <c r="H24049" s="5">
        <v>110.7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111.3</v>
      </c>
      <c r="D24050" s="5">
        <v>0.1</v>
      </c>
      <c r="E24050" s="5">
        <v>111.4</v>
      </c>
      <c r="F24050" s="5">
        <v>222</v>
      </c>
      <c r="G24050" s="5">
        <v>110.8</v>
      </c>
      <c r="H24050" s="5">
        <v>110.7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111.3</v>
      </c>
      <c r="D24051" s="5">
        <v>0.1</v>
      </c>
      <c r="E24051" s="5">
        <v>111.4</v>
      </c>
      <c r="F24051" s="5">
        <v>222</v>
      </c>
      <c r="G24051" s="5">
        <v>110.8</v>
      </c>
      <c r="H24051" s="5">
        <v>110.7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105.4</v>
      </c>
      <c r="D24052" s="5">
        <v>0.1</v>
      </c>
      <c r="E24052" s="5">
        <v>105.6</v>
      </c>
      <c r="F24052" s="5">
        <v>210.9</v>
      </c>
      <c r="G24052" s="5">
        <v>105.3</v>
      </c>
      <c r="H24052" s="5">
        <v>105.2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105.4</v>
      </c>
      <c r="D24053" s="5">
        <v>0.1</v>
      </c>
      <c r="E24053" s="5">
        <v>105.6</v>
      </c>
      <c r="F24053" s="5">
        <v>210.9</v>
      </c>
      <c r="G24053" s="5">
        <v>105.3</v>
      </c>
      <c r="H24053" s="5">
        <v>105.2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110.4</v>
      </c>
      <c r="D24054" s="5">
        <v>0.1</v>
      </c>
      <c r="E24054" s="5">
        <v>110.5</v>
      </c>
      <c r="F24054" s="5">
        <v>213.3</v>
      </c>
      <c r="G24054" s="5">
        <v>107</v>
      </c>
      <c r="H24054" s="5">
        <v>107.3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110.4</v>
      </c>
      <c r="D24055" s="5">
        <v>0.1</v>
      </c>
      <c r="E24055" s="5">
        <v>110.5</v>
      </c>
      <c r="F24055" s="5">
        <v>213.3</v>
      </c>
      <c r="G24055" s="5">
        <v>107</v>
      </c>
      <c r="H24055" s="5">
        <v>107.3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110.4</v>
      </c>
      <c r="D24056" s="5">
        <v>0.1</v>
      </c>
      <c r="E24056" s="5">
        <v>110.5</v>
      </c>
      <c r="F24056" s="5">
        <v>213.3</v>
      </c>
      <c r="G24056" s="5">
        <v>107</v>
      </c>
      <c r="H24056" s="5">
        <v>107.3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110.7</v>
      </c>
      <c r="D24057" s="5">
        <v>0.1</v>
      </c>
      <c r="E24057" s="5">
        <v>110.9</v>
      </c>
      <c r="F24057" s="5">
        <v>221.6</v>
      </c>
      <c r="G24057" s="5">
        <v>110.6</v>
      </c>
      <c r="H24057" s="5">
        <v>110.3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110.7</v>
      </c>
      <c r="D24058" s="5">
        <v>0.1</v>
      </c>
      <c r="E24058" s="5">
        <v>110.9</v>
      </c>
      <c r="F24058" s="5">
        <v>221.6</v>
      </c>
      <c r="G24058" s="5">
        <v>110.6</v>
      </c>
      <c r="H24058" s="5">
        <v>110.3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110.1</v>
      </c>
      <c r="D24059" s="5">
        <v>0.1</v>
      </c>
      <c r="E24059" s="5">
        <v>110.2</v>
      </c>
      <c r="F24059" s="5">
        <v>219.7</v>
      </c>
      <c r="G24059" s="5">
        <v>109.5</v>
      </c>
      <c r="H24059" s="5">
        <v>109.1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110.1</v>
      </c>
      <c r="D24060" s="5">
        <v>0.1</v>
      </c>
      <c r="E24060" s="5">
        <v>110.2</v>
      </c>
      <c r="F24060" s="5">
        <v>219.7</v>
      </c>
      <c r="G24060" s="5">
        <v>109.5</v>
      </c>
      <c r="H24060" s="5">
        <v>109.1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109.3</v>
      </c>
      <c r="D24061" s="5">
        <v>0.1</v>
      </c>
      <c r="E24061" s="5">
        <v>109.4</v>
      </c>
      <c r="F24061" s="5">
        <v>216.5</v>
      </c>
      <c r="G24061" s="5">
        <v>108.2</v>
      </c>
      <c r="H24061" s="5">
        <v>106.4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109.3</v>
      </c>
      <c r="D24062" s="5">
        <v>0.1</v>
      </c>
      <c r="E24062" s="5">
        <v>109.4</v>
      </c>
      <c r="F24062" s="5">
        <v>216.5</v>
      </c>
      <c r="G24062" s="5">
        <v>108.2</v>
      </c>
      <c r="H24062" s="5">
        <v>106.4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105.6</v>
      </c>
      <c r="D24063" s="5">
        <v>0.1</v>
      </c>
      <c r="E24063" s="5">
        <v>105.8</v>
      </c>
      <c r="F24063" s="5">
        <v>211.7</v>
      </c>
      <c r="G24063" s="5">
        <v>105.9</v>
      </c>
      <c r="H24063" s="5">
        <v>104.9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105.6</v>
      </c>
      <c r="D24064" s="5">
        <v>0.1</v>
      </c>
      <c r="E24064" s="5">
        <v>105.8</v>
      </c>
      <c r="F24064" s="5">
        <v>211.7</v>
      </c>
      <c r="G24064" s="5">
        <v>105.9</v>
      </c>
      <c r="H24064" s="5">
        <v>104.9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105.6</v>
      </c>
      <c r="D24065" s="5">
        <v>0.1</v>
      </c>
      <c r="E24065" s="5">
        <v>105.8</v>
      </c>
      <c r="F24065" s="5">
        <v>211.7</v>
      </c>
      <c r="G24065" s="5">
        <v>105.9</v>
      </c>
      <c r="H24065" s="5">
        <v>104.9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105.6</v>
      </c>
      <c r="D24066" s="5">
        <v>0.1</v>
      </c>
      <c r="E24066" s="5">
        <v>105.8</v>
      </c>
      <c r="F24066" s="5">
        <v>211.7</v>
      </c>
      <c r="G24066" s="5">
        <v>105.9</v>
      </c>
      <c r="H24066" s="5">
        <v>104.9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105.7</v>
      </c>
      <c r="D24067" s="5">
        <v>0.1</v>
      </c>
      <c r="E24067" s="5">
        <v>105.8</v>
      </c>
      <c r="F24067" s="5">
        <v>215.1</v>
      </c>
      <c r="G24067" s="5">
        <v>107</v>
      </c>
      <c r="H24067" s="5">
        <v>106.4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105.7</v>
      </c>
      <c r="D24068" s="5">
        <v>0.1</v>
      </c>
      <c r="E24068" s="5">
        <v>105.8</v>
      </c>
      <c r="F24068" s="5">
        <v>215.1</v>
      </c>
      <c r="G24068" s="5">
        <v>107</v>
      </c>
      <c r="H24068" s="5">
        <v>106.4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101.2</v>
      </c>
      <c r="D24069" s="5">
        <v>0.1</v>
      </c>
      <c r="E24069" s="5">
        <v>101.4</v>
      </c>
      <c r="F24069" s="5">
        <v>205.9</v>
      </c>
      <c r="G24069" s="5">
        <v>102.5</v>
      </c>
      <c r="H24069" s="5">
        <v>102.1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101.2</v>
      </c>
      <c r="D24070" s="5">
        <v>0.1</v>
      </c>
      <c r="E24070" s="5">
        <v>101.4</v>
      </c>
      <c r="F24070" s="5">
        <v>205.9</v>
      </c>
      <c r="G24070" s="5">
        <v>102.5</v>
      </c>
      <c r="H24070" s="5">
        <v>102.1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107.8</v>
      </c>
      <c r="D24071" s="5">
        <v>0.1</v>
      </c>
      <c r="E24071" s="5">
        <v>108</v>
      </c>
      <c r="F24071" s="5">
        <v>215.1</v>
      </c>
      <c r="G24071" s="5">
        <v>107.3</v>
      </c>
      <c r="H24071" s="5">
        <v>107.1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107.8</v>
      </c>
      <c r="D24072" s="5">
        <v>0.1</v>
      </c>
      <c r="E24072" s="5">
        <v>108</v>
      </c>
      <c r="F24072" s="5">
        <v>215.1</v>
      </c>
      <c r="G24072" s="5">
        <v>107.3</v>
      </c>
      <c r="H24072" s="5">
        <v>107.1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108.5</v>
      </c>
      <c r="D24073" s="5">
        <v>0.1</v>
      </c>
      <c r="E24073" s="5">
        <v>108.6</v>
      </c>
      <c r="F24073" s="5">
        <v>216.4</v>
      </c>
      <c r="G24073" s="5">
        <v>108.1</v>
      </c>
      <c r="H24073" s="5">
        <v>108.2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108.5</v>
      </c>
      <c r="D24074" s="5">
        <v>0.1</v>
      </c>
      <c r="E24074" s="5">
        <v>108.6</v>
      </c>
      <c r="F24074" s="5">
        <v>216.4</v>
      </c>
      <c r="G24074" s="5">
        <v>108.1</v>
      </c>
      <c r="H24074" s="5">
        <v>108.2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108.5</v>
      </c>
      <c r="D24075" s="5">
        <v>0.1</v>
      </c>
      <c r="E24075" s="5">
        <v>108.6</v>
      </c>
      <c r="F24075" s="5">
        <v>216.4</v>
      </c>
      <c r="G24075" s="5">
        <v>108.1</v>
      </c>
      <c r="H24075" s="5">
        <v>108.2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108.5</v>
      </c>
      <c r="D24076" s="5">
        <v>0.1</v>
      </c>
      <c r="E24076" s="5">
        <v>108.6</v>
      </c>
      <c r="F24076" s="5">
        <v>216.4</v>
      </c>
      <c r="G24076" s="5">
        <v>108.1</v>
      </c>
      <c r="H24076" s="5">
        <v>108.2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107.8</v>
      </c>
      <c r="D24077" s="5">
        <v>0.1</v>
      </c>
      <c r="E24077" s="5">
        <v>108</v>
      </c>
      <c r="F24077" s="5">
        <v>215.1</v>
      </c>
      <c r="G24077" s="5">
        <v>107.3</v>
      </c>
      <c r="H24077" s="5">
        <v>107.2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107.8</v>
      </c>
      <c r="D24078" s="5">
        <v>0.1</v>
      </c>
      <c r="E24078" s="5">
        <v>108</v>
      </c>
      <c r="F24078" s="5">
        <v>215.1</v>
      </c>
      <c r="G24078" s="5">
        <v>107.3</v>
      </c>
      <c r="H24078" s="5">
        <v>107.2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105.6</v>
      </c>
      <c r="D24079" s="5">
        <v>0.1</v>
      </c>
      <c r="E24079" s="5">
        <v>105.7</v>
      </c>
      <c r="F24079" s="5">
        <v>216.3</v>
      </c>
      <c r="G24079" s="5">
        <v>108.4</v>
      </c>
      <c r="H24079" s="5">
        <v>108.6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105.6</v>
      </c>
      <c r="D24080" s="5">
        <v>0.1</v>
      </c>
      <c r="E24080" s="5">
        <v>105.7</v>
      </c>
      <c r="F24080" s="5">
        <v>216.3</v>
      </c>
      <c r="G24080" s="5">
        <v>108.4</v>
      </c>
      <c r="H24080" s="5">
        <v>108.6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111.7</v>
      </c>
      <c r="D24081" s="5">
        <v>0.1</v>
      </c>
      <c r="E24081" s="5">
        <v>111.9</v>
      </c>
      <c r="F24081" s="5">
        <v>223</v>
      </c>
      <c r="G24081" s="5">
        <v>111.3</v>
      </c>
      <c r="H24081" s="5">
        <v>111.1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111.7</v>
      </c>
      <c r="D24082" s="5">
        <v>0.1</v>
      </c>
      <c r="E24082" s="5">
        <v>111.9</v>
      </c>
      <c r="F24082" s="5">
        <v>223</v>
      </c>
      <c r="G24082" s="5">
        <v>111.3</v>
      </c>
      <c r="H24082" s="5">
        <v>111.1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106.3</v>
      </c>
      <c r="D24083" s="5">
        <v>0.1</v>
      </c>
      <c r="E24083" s="5">
        <v>106.5</v>
      </c>
      <c r="F24083" s="5">
        <v>214.2</v>
      </c>
      <c r="G24083" s="5">
        <v>107</v>
      </c>
      <c r="H24083" s="5">
        <v>106.8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106.3</v>
      </c>
      <c r="D24084" s="5">
        <v>0.1</v>
      </c>
      <c r="E24084" s="5">
        <v>106.5</v>
      </c>
      <c r="F24084" s="5">
        <v>214.2</v>
      </c>
      <c r="G24084" s="5">
        <v>107</v>
      </c>
      <c r="H24084" s="5">
        <v>106.8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106.3</v>
      </c>
      <c r="D24085" s="5">
        <v>0.1</v>
      </c>
      <c r="E24085" s="5">
        <v>106.5</v>
      </c>
      <c r="F24085" s="5">
        <v>214.2</v>
      </c>
      <c r="G24085" s="5">
        <v>107</v>
      </c>
      <c r="H24085" s="5">
        <v>106.8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106.3</v>
      </c>
      <c r="D24086" s="5">
        <v>0.1</v>
      </c>
      <c r="E24086" s="5">
        <v>106.5</v>
      </c>
      <c r="F24086" s="5">
        <v>214.2</v>
      </c>
      <c r="G24086" s="5">
        <v>107</v>
      </c>
      <c r="H24086" s="5">
        <v>106.8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106.6</v>
      </c>
      <c r="D24087" s="5">
        <v>0.1</v>
      </c>
      <c r="E24087" s="5">
        <v>106.7</v>
      </c>
      <c r="F24087" s="5">
        <v>212.5</v>
      </c>
      <c r="G24087" s="5">
        <v>106.1</v>
      </c>
      <c r="H24087" s="5">
        <v>106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106.6</v>
      </c>
      <c r="D24088" s="5">
        <v>0.1</v>
      </c>
      <c r="E24088" s="5">
        <v>106.7</v>
      </c>
      <c r="F24088" s="5">
        <v>212.5</v>
      </c>
      <c r="G24088" s="5">
        <v>106.1</v>
      </c>
      <c r="H24088" s="5">
        <v>106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111</v>
      </c>
      <c r="D24089" s="5">
        <v>0.1</v>
      </c>
      <c r="E24089" s="5">
        <v>111.2</v>
      </c>
      <c r="F24089" s="5">
        <v>221.9</v>
      </c>
      <c r="G24089" s="5">
        <v>110.7</v>
      </c>
      <c r="H24089" s="5">
        <v>110.3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111</v>
      </c>
      <c r="D24090" s="5">
        <v>0.1</v>
      </c>
      <c r="E24090" s="5">
        <v>111.2</v>
      </c>
      <c r="F24090" s="5">
        <v>221.9</v>
      </c>
      <c r="G24090" s="5">
        <v>110.7</v>
      </c>
      <c r="H24090" s="5">
        <v>110.3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111.6</v>
      </c>
      <c r="D24091" s="5">
        <v>0.1</v>
      </c>
      <c r="E24091" s="5">
        <v>111.8</v>
      </c>
      <c r="F24091" s="5">
        <v>222.7</v>
      </c>
      <c r="G24091" s="5">
        <v>111.2</v>
      </c>
      <c r="H24091" s="5">
        <v>111.1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111.6</v>
      </c>
      <c r="D24092" s="5">
        <v>0.1</v>
      </c>
      <c r="E24092" s="5">
        <v>111.8</v>
      </c>
      <c r="F24092" s="5">
        <v>222.7</v>
      </c>
      <c r="G24092" s="5">
        <v>111.2</v>
      </c>
      <c r="H24092" s="5">
        <v>111.1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108.5</v>
      </c>
      <c r="D24093" s="5">
        <v>0.1</v>
      </c>
      <c r="E24093" s="5">
        <v>108.6</v>
      </c>
      <c r="F24093" s="5">
        <v>216.5</v>
      </c>
      <c r="G24093" s="5">
        <v>107.4</v>
      </c>
      <c r="H24093" s="5">
        <v>106.7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108.5</v>
      </c>
      <c r="D24094" s="5">
        <v>0.1</v>
      </c>
      <c r="E24094" s="5">
        <v>108.6</v>
      </c>
      <c r="F24094" s="5">
        <v>216.5</v>
      </c>
      <c r="G24094" s="5">
        <v>107.4</v>
      </c>
      <c r="H24094" s="5">
        <v>106.7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108.5</v>
      </c>
      <c r="D24095" s="5">
        <v>0.1</v>
      </c>
      <c r="E24095" s="5">
        <v>108.6</v>
      </c>
      <c r="F24095" s="5">
        <v>216.5</v>
      </c>
      <c r="G24095" s="5">
        <v>107.4</v>
      </c>
      <c r="H24095" s="5">
        <v>106.7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108.5</v>
      </c>
      <c r="D24096" s="5">
        <v>0.1</v>
      </c>
      <c r="E24096" s="5">
        <v>108.6</v>
      </c>
      <c r="F24096" s="5">
        <v>216.5</v>
      </c>
      <c r="G24096" s="5">
        <v>107.4</v>
      </c>
      <c r="H24096" s="5">
        <v>106.7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101.7</v>
      </c>
      <c r="D24097" s="5">
        <v>0.1</v>
      </c>
      <c r="E24097" s="5">
        <v>101.8</v>
      </c>
      <c r="F24097" s="5">
        <v>204.5</v>
      </c>
      <c r="G24097" s="5">
        <v>102</v>
      </c>
      <c r="H24097" s="5">
        <v>101.8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101.7</v>
      </c>
      <c r="D24098" s="5">
        <v>0.1</v>
      </c>
      <c r="E24098" s="5">
        <v>101.8</v>
      </c>
      <c r="F24098" s="5">
        <v>204.5</v>
      </c>
      <c r="G24098" s="5">
        <v>102</v>
      </c>
      <c r="H24098" s="5">
        <v>101.8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101.5</v>
      </c>
      <c r="D24099" s="5">
        <v>0.1</v>
      </c>
      <c r="E24099" s="5">
        <v>101.6</v>
      </c>
      <c r="F24099" s="5">
        <v>203.3</v>
      </c>
      <c r="G24099" s="5">
        <v>101.5</v>
      </c>
      <c r="H24099" s="5">
        <v>101.5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101.5</v>
      </c>
      <c r="D24100" s="5">
        <v>0.1</v>
      </c>
      <c r="E24100" s="5">
        <v>101.6</v>
      </c>
      <c r="F24100" s="5">
        <v>203.3</v>
      </c>
      <c r="G24100" s="5">
        <v>101.5</v>
      </c>
      <c r="H24100" s="5">
        <v>101.5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111.9</v>
      </c>
      <c r="D24101" s="5">
        <v>0.1</v>
      </c>
      <c r="E24101" s="5">
        <v>112</v>
      </c>
      <c r="F24101" s="5">
        <v>223.3</v>
      </c>
      <c r="G24101" s="5">
        <v>111.5</v>
      </c>
      <c r="H24101" s="5">
        <v>111.4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111.9</v>
      </c>
      <c r="D24102" s="5">
        <v>0.1</v>
      </c>
      <c r="E24102" s="5">
        <v>112</v>
      </c>
      <c r="F24102" s="5">
        <v>223.3</v>
      </c>
      <c r="G24102" s="5">
        <v>111.5</v>
      </c>
      <c r="H24102" s="5">
        <v>111.4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109.7</v>
      </c>
      <c r="D24103" s="5">
        <v>0.1</v>
      </c>
      <c r="E24103" s="5">
        <v>109.9</v>
      </c>
      <c r="F24103" s="5">
        <v>221</v>
      </c>
      <c r="G24103" s="5">
        <v>110.5</v>
      </c>
      <c r="H24103" s="5">
        <v>110.5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109.7</v>
      </c>
      <c r="D24104" s="5">
        <v>0.1</v>
      </c>
      <c r="E24104" s="5">
        <v>109.9</v>
      </c>
      <c r="F24104" s="5">
        <v>221</v>
      </c>
      <c r="G24104" s="5">
        <v>110.5</v>
      </c>
      <c r="H24104" s="5">
        <v>110.5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109.7</v>
      </c>
      <c r="D24105" s="5">
        <v>0.1</v>
      </c>
      <c r="E24105" s="5">
        <v>109.9</v>
      </c>
      <c r="F24105" s="5">
        <v>221</v>
      </c>
      <c r="G24105" s="5">
        <v>110.5</v>
      </c>
      <c r="H24105" s="5">
        <v>110.5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109.7</v>
      </c>
      <c r="D24106" s="5">
        <v>0.1</v>
      </c>
      <c r="E24106" s="5">
        <v>109.9</v>
      </c>
      <c r="F24106" s="5">
        <v>221</v>
      </c>
      <c r="G24106" s="5">
        <v>110.5</v>
      </c>
      <c r="H24106" s="5">
        <v>110.5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103</v>
      </c>
      <c r="D24107" s="5">
        <v>0.1</v>
      </c>
      <c r="E24107" s="5">
        <v>103.1</v>
      </c>
      <c r="F24107" s="5">
        <v>206.8</v>
      </c>
      <c r="G24107" s="5">
        <v>103.1</v>
      </c>
      <c r="H24107" s="5">
        <v>102.9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103</v>
      </c>
      <c r="D24108" s="5">
        <v>0.1</v>
      </c>
      <c r="E24108" s="5">
        <v>103.1</v>
      </c>
      <c r="F24108" s="5">
        <v>206.8</v>
      </c>
      <c r="G24108" s="5">
        <v>103.1</v>
      </c>
      <c r="H24108" s="5">
        <v>102.9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106.6</v>
      </c>
      <c r="D24109" s="5">
        <v>0.1</v>
      </c>
      <c r="E24109" s="5">
        <v>106.7</v>
      </c>
      <c r="F24109" s="5">
        <v>219.1</v>
      </c>
      <c r="G24109" s="5">
        <v>109.2</v>
      </c>
      <c r="H24109" s="5">
        <v>108.8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106.6</v>
      </c>
      <c r="D24110" s="5">
        <v>0.1</v>
      </c>
      <c r="E24110" s="5">
        <v>106.7</v>
      </c>
      <c r="F24110" s="5">
        <v>219.1</v>
      </c>
      <c r="G24110" s="5">
        <v>109.2</v>
      </c>
      <c r="H24110" s="5">
        <v>108.8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107.5</v>
      </c>
      <c r="D24111" s="5">
        <v>0.1</v>
      </c>
      <c r="E24111" s="5">
        <v>107.7</v>
      </c>
      <c r="F24111" s="5">
        <v>205.6</v>
      </c>
      <c r="G24111" s="5">
        <v>103.1</v>
      </c>
      <c r="H24111" s="5">
        <v>103.4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107.5</v>
      </c>
      <c r="D24112" s="5">
        <v>0.1</v>
      </c>
      <c r="E24112" s="5">
        <v>107.7</v>
      </c>
      <c r="F24112" s="5">
        <v>205.6</v>
      </c>
      <c r="G24112" s="5">
        <v>103.1</v>
      </c>
      <c r="H24112" s="5">
        <v>103.4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107.2</v>
      </c>
      <c r="D24113" s="5">
        <v>0.1</v>
      </c>
      <c r="E24113" s="5">
        <v>107.4</v>
      </c>
      <c r="F24113" s="5">
        <v>206.8</v>
      </c>
      <c r="G24113" s="5">
        <v>102.1</v>
      </c>
      <c r="H24113" s="5">
        <v>102.4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107.2</v>
      </c>
      <c r="D24114" s="5">
        <v>0.1</v>
      </c>
      <c r="E24114" s="5">
        <v>107.4</v>
      </c>
      <c r="F24114" s="5">
        <v>206.8</v>
      </c>
      <c r="G24114" s="5">
        <v>102.1</v>
      </c>
      <c r="H24114" s="5">
        <v>102.4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107.2</v>
      </c>
      <c r="D24115" s="5">
        <v>0.1</v>
      </c>
      <c r="E24115" s="5">
        <v>107.4</v>
      </c>
      <c r="F24115" s="5">
        <v>206.8</v>
      </c>
      <c r="G24115" s="5">
        <v>102.1</v>
      </c>
      <c r="H24115" s="5">
        <v>102.4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107.2</v>
      </c>
      <c r="D24116" s="5">
        <v>0.1</v>
      </c>
      <c r="E24116" s="5">
        <v>107.4</v>
      </c>
      <c r="F24116" s="5">
        <v>206.8</v>
      </c>
      <c r="G24116" s="5">
        <v>102.1</v>
      </c>
      <c r="H24116" s="5">
        <v>102.4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106.6</v>
      </c>
      <c r="D24117" s="5">
        <v>0.1</v>
      </c>
      <c r="E24117" s="5">
        <v>106.8</v>
      </c>
      <c r="F24117" s="5">
        <v>213.1</v>
      </c>
      <c r="G24117" s="5">
        <v>106.3</v>
      </c>
      <c r="H24117" s="5">
        <v>106.3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106.6</v>
      </c>
      <c r="D24118" s="5">
        <v>0.1</v>
      </c>
      <c r="E24118" s="5">
        <v>106.8</v>
      </c>
      <c r="F24118" s="5">
        <v>213.1</v>
      </c>
      <c r="G24118" s="5">
        <v>106.3</v>
      </c>
      <c r="H24118" s="5">
        <v>106.3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105.2</v>
      </c>
      <c r="D24119" s="5">
        <v>0.1</v>
      </c>
      <c r="E24119" s="5">
        <v>105.3</v>
      </c>
      <c r="F24119" s="5">
        <v>210.7</v>
      </c>
      <c r="G24119" s="5">
        <v>105</v>
      </c>
      <c r="H24119" s="5">
        <v>104.8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105.2</v>
      </c>
      <c r="D24120" s="5">
        <v>0.1</v>
      </c>
      <c r="E24120" s="5">
        <v>105.3</v>
      </c>
      <c r="F24120" s="5">
        <v>210.7</v>
      </c>
      <c r="G24120" s="5">
        <v>105</v>
      </c>
      <c r="H24120" s="5">
        <v>104.8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107.1</v>
      </c>
      <c r="D24121" s="5">
        <v>0.1</v>
      </c>
      <c r="E24121" s="5">
        <v>107.2</v>
      </c>
      <c r="F24121" s="5">
        <v>213</v>
      </c>
      <c r="G24121" s="5">
        <v>106.4</v>
      </c>
      <c r="H24121" s="5">
        <v>106.2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107.1</v>
      </c>
      <c r="D24122" s="5">
        <v>0.1</v>
      </c>
      <c r="E24122" s="5">
        <v>107.2</v>
      </c>
      <c r="F24122" s="5">
        <v>213</v>
      </c>
      <c r="G24122" s="5">
        <v>106.4</v>
      </c>
      <c r="H24122" s="5">
        <v>106.2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110.7</v>
      </c>
      <c r="D24123" s="5">
        <v>0.1</v>
      </c>
      <c r="E24123" s="5">
        <v>110.8</v>
      </c>
      <c r="F24123" s="5">
        <v>217.5</v>
      </c>
      <c r="G24123" s="5">
        <v>108.8</v>
      </c>
      <c r="H24123" s="5">
        <v>108.8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110.7</v>
      </c>
      <c r="D24124" s="5">
        <v>0.1</v>
      </c>
      <c r="E24124" s="5">
        <v>110.8</v>
      </c>
      <c r="F24124" s="5">
        <v>217.5</v>
      </c>
      <c r="G24124" s="5">
        <v>108.8</v>
      </c>
      <c r="H24124" s="5">
        <v>108.8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110.7</v>
      </c>
      <c r="D24125" s="5">
        <v>0.1</v>
      </c>
      <c r="E24125" s="5">
        <v>110.8</v>
      </c>
      <c r="F24125" s="5">
        <v>217.5</v>
      </c>
      <c r="G24125" s="5">
        <v>108.8</v>
      </c>
      <c r="H24125" s="5">
        <v>108.8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110.7</v>
      </c>
      <c r="D24126" s="5">
        <v>0.1</v>
      </c>
      <c r="E24126" s="5">
        <v>110.8</v>
      </c>
      <c r="F24126" s="5">
        <v>217.5</v>
      </c>
      <c r="G24126" s="5">
        <v>108.8</v>
      </c>
      <c r="H24126" s="5">
        <v>108.8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105.6</v>
      </c>
      <c r="D24127" s="5">
        <v>0.1</v>
      </c>
      <c r="E24127" s="5">
        <v>105.7</v>
      </c>
      <c r="F24127" s="5">
        <v>213.9</v>
      </c>
      <c r="G24127" s="5">
        <v>106.6</v>
      </c>
      <c r="H24127" s="5">
        <v>106.2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105.6</v>
      </c>
      <c r="D24128" s="5">
        <v>0.1</v>
      </c>
      <c r="E24128" s="5">
        <v>105.7</v>
      </c>
      <c r="F24128" s="5">
        <v>213.9</v>
      </c>
      <c r="G24128" s="5">
        <v>106.6</v>
      </c>
      <c r="H24128" s="5">
        <v>106.2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107.6</v>
      </c>
      <c r="D24129" s="5">
        <v>0.1</v>
      </c>
      <c r="E24129" s="5">
        <v>107.8</v>
      </c>
      <c r="F24129" s="5">
        <v>220.4</v>
      </c>
      <c r="G24129" s="5">
        <v>110</v>
      </c>
      <c r="H24129" s="5">
        <v>109.8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107.6</v>
      </c>
      <c r="D24130" s="5">
        <v>0.1</v>
      </c>
      <c r="E24130" s="5">
        <v>107.8</v>
      </c>
      <c r="F24130" s="5">
        <v>220.4</v>
      </c>
      <c r="G24130" s="5">
        <v>110</v>
      </c>
      <c r="H24130" s="5">
        <v>109.8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104.6</v>
      </c>
      <c r="D24131" s="5">
        <v>0.1</v>
      </c>
      <c r="E24131" s="5">
        <v>104.7</v>
      </c>
      <c r="F24131" s="5">
        <v>215</v>
      </c>
      <c r="G24131" s="5">
        <v>107</v>
      </c>
      <c r="H24131" s="5">
        <v>106.6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104.6</v>
      </c>
      <c r="D24132" s="5">
        <v>0.1</v>
      </c>
      <c r="E24132" s="5">
        <v>104.7</v>
      </c>
      <c r="F24132" s="5">
        <v>215</v>
      </c>
      <c r="G24132" s="5">
        <v>107</v>
      </c>
      <c r="H24132" s="5">
        <v>106.6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105</v>
      </c>
      <c r="D24133" s="5">
        <v>0.1</v>
      </c>
      <c r="E24133" s="5">
        <v>105</v>
      </c>
      <c r="F24133" s="5">
        <v>216.7</v>
      </c>
      <c r="G24133" s="5">
        <v>108.8</v>
      </c>
      <c r="H24133" s="5">
        <v>108.1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105</v>
      </c>
      <c r="D24134" s="5">
        <v>0.1</v>
      </c>
      <c r="E24134" s="5">
        <v>105</v>
      </c>
      <c r="F24134" s="5">
        <v>216.7</v>
      </c>
      <c r="G24134" s="5">
        <v>108.8</v>
      </c>
      <c r="H24134" s="5">
        <v>108.1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105</v>
      </c>
      <c r="D24135" s="5">
        <v>0.1</v>
      </c>
      <c r="E24135" s="5">
        <v>105</v>
      </c>
      <c r="F24135" s="5">
        <v>216.7</v>
      </c>
      <c r="G24135" s="5">
        <v>108.8</v>
      </c>
      <c r="H24135" s="5">
        <v>108.1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108.5</v>
      </c>
      <c r="D24136" s="5">
        <v>0.1</v>
      </c>
      <c r="E24136" s="5">
        <v>108.7</v>
      </c>
      <c r="F24136" s="5">
        <v>216.7</v>
      </c>
      <c r="G24136" s="5">
        <v>108.8</v>
      </c>
      <c r="H24136" s="5">
        <v>108.1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100.1</v>
      </c>
      <c r="D24137" s="5">
        <v>0.1</v>
      </c>
      <c r="E24137" s="5">
        <v>100.2</v>
      </c>
      <c r="F24137" s="5">
        <v>209.6</v>
      </c>
      <c r="G24137" s="5">
        <v>104.7</v>
      </c>
      <c r="H24137" s="5">
        <v>104.5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100.1</v>
      </c>
      <c r="D24138" s="5">
        <v>0.1</v>
      </c>
      <c r="E24138" s="5">
        <v>100.2</v>
      </c>
      <c r="F24138" s="5">
        <v>209.6</v>
      </c>
      <c r="G24138" s="5">
        <v>104.7</v>
      </c>
      <c r="H24138" s="5">
        <v>104.5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100.1</v>
      </c>
      <c r="D24139" s="5">
        <v>0.1</v>
      </c>
      <c r="E24139" s="5">
        <v>100.2</v>
      </c>
      <c r="F24139" s="5">
        <v>209.6</v>
      </c>
      <c r="G24139" s="5">
        <v>104.7</v>
      </c>
      <c r="H24139" s="5">
        <v>104.5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100.1</v>
      </c>
      <c r="D24140" s="5">
        <v>0.1</v>
      </c>
      <c r="E24140" s="5">
        <v>100.2</v>
      </c>
      <c r="F24140" s="5">
        <v>209.6</v>
      </c>
      <c r="G24140" s="5">
        <v>104.7</v>
      </c>
      <c r="H24140" s="5">
        <v>104.5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103.1</v>
      </c>
      <c r="D24141" s="5">
        <v>0.1</v>
      </c>
      <c r="E24141" s="5">
        <v>103.3</v>
      </c>
      <c r="F24141" s="5">
        <v>207.6</v>
      </c>
      <c r="G24141" s="5">
        <v>103.8</v>
      </c>
      <c r="H24141" s="5">
        <v>103.5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103.1</v>
      </c>
      <c r="D24142" s="5">
        <v>0.1</v>
      </c>
      <c r="E24142" s="5">
        <v>103.3</v>
      </c>
      <c r="F24142" s="5">
        <v>207.6</v>
      </c>
      <c r="G24142" s="5">
        <v>103.8</v>
      </c>
      <c r="H24142" s="5">
        <v>103.5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105</v>
      </c>
      <c r="D24143" s="5">
        <v>0.1</v>
      </c>
      <c r="E24143" s="5">
        <v>105.1</v>
      </c>
      <c r="F24143" s="5">
        <v>208.4</v>
      </c>
      <c r="G24143" s="5">
        <v>104</v>
      </c>
      <c r="H24143" s="5">
        <v>101.5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105</v>
      </c>
      <c r="D24144" s="5">
        <v>0.1</v>
      </c>
      <c r="E24144" s="5">
        <v>105.1</v>
      </c>
      <c r="F24144" s="5">
        <v>208.4</v>
      </c>
      <c r="G24144" s="5">
        <v>104</v>
      </c>
      <c r="H24144" s="5">
        <v>101.5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99.5</v>
      </c>
      <c r="D24145" s="5">
        <v>0.1</v>
      </c>
      <c r="E24145" s="5">
        <v>99.6</v>
      </c>
      <c r="F24145" s="5">
        <v>207.6</v>
      </c>
      <c r="G24145" s="5">
        <v>103</v>
      </c>
      <c r="H24145" s="5">
        <v>102.4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99.5</v>
      </c>
      <c r="D24146" s="5">
        <v>0.1</v>
      </c>
      <c r="E24146" s="5">
        <v>99.6</v>
      </c>
      <c r="F24146" s="5">
        <v>207.6</v>
      </c>
      <c r="G24146" s="5">
        <v>103</v>
      </c>
      <c r="H24146" s="5">
        <v>102.4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98.5</v>
      </c>
      <c r="D24147" s="5">
        <v>0.1</v>
      </c>
      <c r="E24147" s="5">
        <v>98.6</v>
      </c>
      <c r="F24147" s="5">
        <v>204.9</v>
      </c>
      <c r="G24147" s="5">
        <v>101.7</v>
      </c>
      <c r="H24147" s="5">
        <v>101.1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98.5</v>
      </c>
      <c r="D24148" s="5">
        <v>0.1</v>
      </c>
      <c r="E24148" s="5">
        <v>98.6</v>
      </c>
      <c r="F24148" s="5">
        <v>204.9</v>
      </c>
      <c r="G24148" s="5">
        <v>101.7</v>
      </c>
      <c r="H24148" s="5">
        <v>101.1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98.5</v>
      </c>
      <c r="D24149" s="5">
        <v>0.1</v>
      </c>
      <c r="E24149" s="5">
        <v>98.6</v>
      </c>
      <c r="F24149" s="5">
        <v>204.9</v>
      </c>
      <c r="G24149" s="5">
        <v>101.7</v>
      </c>
      <c r="H24149" s="5">
        <v>101.1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98.5</v>
      </c>
      <c r="D24150" s="5">
        <v>0.1</v>
      </c>
      <c r="E24150" s="5">
        <v>98.6</v>
      </c>
      <c r="F24150" s="5">
        <v>204.9</v>
      </c>
      <c r="G24150" s="5">
        <v>101.7</v>
      </c>
      <c r="H24150" s="5">
        <v>101.1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104.6</v>
      </c>
      <c r="D24151" s="5">
        <v>0.1</v>
      </c>
      <c r="E24151" s="5">
        <v>104.7</v>
      </c>
      <c r="F24151" s="5">
        <v>203.7</v>
      </c>
      <c r="G24151" s="5">
        <v>101.8</v>
      </c>
      <c r="H24151" s="5">
        <v>101.8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104.6</v>
      </c>
      <c r="D24152" s="5">
        <v>0.1</v>
      </c>
      <c r="E24152" s="5">
        <v>104.7</v>
      </c>
      <c r="F24152" s="5">
        <v>203.7</v>
      </c>
      <c r="G24152" s="5">
        <v>101.8</v>
      </c>
      <c r="H24152" s="5">
        <v>101.8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106.6</v>
      </c>
      <c r="D24153" s="5">
        <v>0.1</v>
      </c>
      <c r="E24153" s="5">
        <v>106.7</v>
      </c>
      <c r="F24153" s="5">
        <v>212.5</v>
      </c>
      <c r="G24153" s="5">
        <v>106.1</v>
      </c>
      <c r="H24153" s="5">
        <v>105.9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106.6</v>
      </c>
      <c r="D24154" s="5">
        <v>0.1</v>
      </c>
      <c r="E24154" s="5">
        <v>106.7</v>
      </c>
      <c r="F24154" s="5">
        <v>212.5</v>
      </c>
      <c r="G24154" s="5">
        <v>106.1</v>
      </c>
      <c r="H24154" s="5">
        <v>105.9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106.6</v>
      </c>
      <c r="D24155" s="5">
        <v>0.1</v>
      </c>
      <c r="E24155" s="5">
        <v>106.7</v>
      </c>
      <c r="F24155" s="5">
        <v>212.1</v>
      </c>
      <c r="G24155" s="5">
        <v>105.9</v>
      </c>
      <c r="H24155" s="5">
        <v>105.8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106.6</v>
      </c>
      <c r="D24156" s="5">
        <v>0.1</v>
      </c>
      <c r="E24156" s="5">
        <v>106.7</v>
      </c>
      <c r="F24156" s="5">
        <v>212.1</v>
      </c>
      <c r="G24156" s="5">
        <v>105.9</v>
      </c>
      <c r="H24156" s="5">
        <v>105.8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107.2</v>
      </c>
      <c r="D24157" s="5">
        <v>0.1</v>
      </c>
      <c r="E24157" s="5">
        <v>107.3</v>
      </c>
      <c r="F24157" s="5">
        <v>213.2</v>
      </c>
      <c r="G24157" s="5">
        <v>106.4</v>
      </c>
      <c r="H24157" s="5">
        <v>106.3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107.2</v>
      </c>
      <c r="D24158" s="5">
        <v>0.1</v>
      </c>
      <c r="E24158" s="5">
        <v>107.3</v>
      </c>
      <c r="F24158" s="5">
        <v>213.2</v>
      </c>
      <c r="G24158" s="5">
        <v>106.4</v>
      </c>
      <c r="H24158" s="5">
        <v>106.3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107.2</v>
      </c>
      <c r="D24159" s="5">
        <v>0.1</v>
      </c>
      <c r="E24159" s="5">
        <v>107.3</v>
      </c>
      <c r="F24159" s="5">
        <v>213.2</v>
      </c>
      <c r="G24159" s="5">
        <v>106.4</v>
      </c>
      <c r="H24159" s="5">
        <v>106.3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107.2</v>
      </c>
      <c r="D24160" s="5">
        <v>0.1</v>
      </c>
      <c r="E24160" s="5">
        <v>107.3</v>
      </c>
      <c r="F24160" s="5">
        <v>213.2</v>
      </c>
      <c r="G24160" s="5">
        <v>106.4</v>
      </c>
      <c r="H24160" s="5">
        <v>106.3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107.2</v>
      </c>
      <c r="D24161" s="5">
        <v>0.1</v>
      </c>
      <c r="E24161" s="5">
        <v>107.3</v>
      </c>
      <c r="F24161" s="5">
        <v>213.2</v>
      </c>
      <c r="G24161" s="5">
        <v>106.4</v>
      </c>
      <c r="H24161" s="5">
        <v>106.3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107.2</v>
      </c>
      <c r="D24162" s="5">
        <v>0.1</v>
      </c>
      <c r="E24162" s="5">
        <v>107.3</v>
      </c>
      <c r="F24162" s="5">
        <v>213.2</v>
      </c>
      <c r="G24162" s="5">
        <v>106.4</v>
      </c>
      <c r="H24162" s="5">
        <v>106.3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106.9</v>
      </c>
      <c r="D24163" s="5">
        <v>0.1</v>
      </c>
      <c r="E24163" s="5">
        <v>107</v>
      </c>
      <c r="F24163" s="5">
        <v>213.3</v>
      </c>
      <c r="G24163" s="5">
        <v>106.4</v>
      </c>
      <c r="H24163" s="5">
        <v>106.3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106.9</v>
      </c>
      <c r="D24164" s="5">
        <v>0.1</v>
      </c>
      <c r="E24164" s="5">
        <v>107</v>
      </c>
      <c r="F24164" s="5">
        <v>213.3</v>
      </c>
      <c r="G24164" s="5">
        <v>106.4</v>
      </c>
      <c r="H24164" s="5">
        <v>106.3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106.9</v>
      </c>
      <c r="D24165" s="5">
        <v>0.1</v>
      </c>
      <c r="E24165" s="5">
        <v>107</v>
      </c>
      <c r="F24165" s="5">
        <v>213.7</v>
      </c>
      <c r="G24165" s="5">
        <v>106.6</v>
      </c>
      <c r="H24165" s="5">
        <v>106.5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106.9</v>
      </c>
      <c r="D24166" s="5">
        <v>0.1</v>
      </c>
      <c r="E24166" s="5">
        <v>107</v>
      </c>
      <c r="F24166" s="5">
        <v>213.7</v>
      </c>
      <c r="G24166" s="5">
        <v>106.6</v>
      </c>
      <c r="H24166" s="5">
        <v>106.5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103.1</v>
      </c>
      <c r="D24167" s="5">
        <v>0.1</v>
      </c>
      <c r="E24167" s="5">
        <v>103.2</v>
      </c>
      <c r="F24167" s="5">
        <v>205.2</v>
      </c>
      <c r="G24167" s="5">
        <v>102.4</v>
      </c>
      <c r="H24167" s="5">
        <v>102.2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103.1</v>
      </c>
      <c r="D24168" s="5">
        <v>0.1</v>
      </c>
      <c r="E24168" s="5">
        <v>103.2</v>
      </c>
      <c r="F24168" s="5">
        <v>205.2</v>
      </c>
      <c r="G24168" s="5">
        <v>102.4</v>
      </c>
      <c r="H24168" s="5">
        <v>102.2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103.1</v>
      </c>
      <c r="D24169" s="5">
        <v>0.1</v>
      </c>
      <c r="E24169" s="5">
        <v>103.2</v>
      </c>
      <c r="F24169" s="5">
        <v>205.2</v>
      </c>
      <c r="G24169" s="5">
        <v>102.4</v>
      </c>
      <c r="H24169" s="5">
        <v>102.2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103.1</v>
      </c>
      <c r="D24170" s="5">
        <v>0.1</v>
      </c>
      <c r="E24170" s="5">
        <v>103.2</v>
      </c>
      <c r="F24170" s="5">
        <v>205.2</v>
      </c>
      <c r="G24170" s="5">
        <v>102.4</v>
      </c>
      <c r="H24170" s="5">
        <v>102.2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106.6</v>
      </c>
      <c r="D24171" s="5">
        <v>0.1</v>
      </c>
      <c r="E24171" s="5">
        <v>106.8</v>
      </c>
      <c r="F24171" s="5">
        <v>212.4</v>
      </c>
      <c r="G24171" s="5">
        <v>106</v>
      </c>
      <c r="H24171" s="5">
        <v>105.9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106.6</v>
      </c>
      <c r="D24172" s="5">
        <v>0.1</v>
      </c>
      <c r="E24172" s="5">
        <v>106.8</v>
      </c>
      <c r="F24172" s="5">
        <v>212.4</v>
      </c>
      <c r="G24172" s="5">
        <v>106</v>
      </c>
      <c r="H24172" s="5">
        <v>105.9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105.9</v>
      </c>
      <c r="D24173" s="5">
        <v>0.1</v>
      </c>
      <c r="E24173" s="5">
        <v>106.1</v>
      </c>
      <c r="F24173" s="5">
        <v>211.8</v>
      </c>
      <c r="G24173" s="5">
        <v>105.7</v>
      </c>
      <c r="H24173" s="5">
        <v>105.5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105.9</v>
      </c>
      <c r="D24174" s="5">
        <v>0.1</v>
      </c>
      <c r="E24174" s="5">
        <v>106.1</v>
      </c>
      <c r="F24174" s="5">
        <v>211.8</v>
      </c>
      <c r="G24174" s="5">
        <v>105.7</v>
      </c>
      <c r="H24174" s="5">
        <v>105.5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106.6</v>
      </c>
      <c r="D24175" s="5">
        <v>0.1</v>
      </c>
      <c r="E24175" s="5">
        <v>106.8</v>
      </c>
      <c r="F24175" s="5">
        <v>213</v>
      </c>
      <c r="G24175" s="5">
        <v>106.3</v>
      </c>
      <c r="H24175" s="5">
        <v>106.2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106.6</v>
      </c>
      <c r="D24176" s="5">
        <v>0.1</v>
      </c>
      <c r="E24176" s="5">
        <v>106.8</v>
      </c>
      <c r="F24176" s="5">
        <v>213</v>
      </c>
      <c r="G24176" s="5">
        <v>106.3</v>
      </c>
      <c r="H24176" s="5">
        <v>106.2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107.1</v>
      </c>
      <c r="D24177" s="5">
        <v>0.1</v>
      </c>
      <c r="E24177" s="5">
        <v>107.2</v>
      </c>
      <c r="F24177" s="5">
        <v>214.2</v>
      </c>
      <c r="G24177" s="5">
        <v>106.9</v>
      </c>
      <c r="H24177" s="5">
        <v>106.8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107.1</v>
      </c>
      <c r="D24178" s="5">
        <v>0.1</v>
      </c>
      <c r="E24178" s="5">
        <v>107.2</v>
      </c>
      <c r="F24178" s="5">
        <v>214.2</v>
      </c>
      <c r="G24178" s="5">
        <v>106.9</v>
      </c>
      <c r="H24178" s="5">
        <v>106.8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107.1</v>
      </c>
      <c r="D24179" s="5">
        <v>0.1</v>
      </c>
      <c r="E24179" s="5">
        <v>107.2</v>
      </c>
      <c r="F24179" s="5">
        <v>214.2</v>
      </c>
      <c r="G24179" s="5">
        <v>106.9</v>
      </c>
      <c r="H24179" s="5">
        <v>106.8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107.1</v>
      </c>
      <c r="D24180" s="5">
        <v>0.1</v>
      </c>
      <c r="E24180" s="5">
        <v>107.2</v>
      </c>
      <c r="F24180" s="5">
        <v>213.4</v>
      </c>
      <c r="G24180" s="5">
        <v>106.5</v>
      </c>
      <c r="H24180" s="5">
        <v>106.4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107.1</v>
      </c>
      <c r="D24181" s="5">
        <v>0.1</v>
      </c>
      <c r="E24181" s="5">
        <v>107.2</v>
      </c>
      <c r="F24181" s="5">
        <v>213.4</v>
      </c>
      <c r="G24181" s="5">
        <v>106.5</v>
      </c>
      <c r="H24181" s="5">
        <v>106.4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106.6</v>
      </c>
      <c r="D24182" s="5">
        <v>0.1</v>
      </c>
      <c r="E24182" s="5">
        <v>106.7</v>
      </c>
      <c r="F24182" s="5">
        <v>212.9</v>
      </c>
      <c r="G24182" s="5">
        <v>106.3</v>
      </c>
      <c r="H24182" s="5">
        <v>106.1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106.6</v>
      </c>
      <c r="D24183" s="5">
        <v>0.1</v>
      </c>
      <c r="E24183" s="5">
        <v>106.7</v>
      </c>
      <c r="F24183" s="5">
        <v>212.9</v>
      </c>
      <c r="G24183" s="5">
        <v>106.3</v>
      </c>
      <c r="H24183" s="5">
        <v>106.1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107.2</v>
      </c>
      <c r="D24184" s="5">
        <v>0.1</v>
      </c>
      <c r="E24184" s="5">
        <v>107.4</v>
      </c>
      <c r="F24184" s="5">
        <v>213.6</v>
      </c>
      <c r="G24184" s="5">
        <v>106.6</v>
      </c>
      <c r="H24184" s="5">
        <v>106.5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107.2</v>
      </c>
      <c r="D24185" s="5">
        <v>0.1</v>
      </c>
      <c r="E24185" s="5">
        <v>107.4</v>
      </c>
      <c r="F24185" s="5">
        <v>213.6</v>
      </c>
      <c r="G24185" s="5">
        <v>106.6</v>
      </c>
      <c r="H24185" s="5">
        <v>106.5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107.2</v>
      </c>
      <c r="D24186" s="5">
        <v>0.1</v>
      </c>
      <c r="E24186" s="5">
        <v>107</v>
      </c>
      <c r="F24186" s="5">
        <v>212.9</v>
      </c>
      <c r="G24186" s="5">
        <v>106.2</v>
      </c>
      <c r="H24186" s="5">
        <v>106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106.9</v>
      </c>
      <c r="D24187" s="5">
        <v>0.1</v>
      </c>
      <c r="E24187" s="5">
        <v>107</v>
      </c>
      <c r="F24187" s="5">
        <v>212.9</v>
      </c>
      <c r="G24187" s="5">
        <v>106.2</v>
      </c>
      <c r="H24187" s="5">
        <v>106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106.9</v>
      </c>
      <c r="D24188" s="5">
        <v>0.1</v>
      </c>
      <c r="E24188" s="5">
        <v>107</v>
      </c>
      <c r="F24188" s="5">
        <v>212.9</v>
      </c>
      <c r="G24188" s="5">
        <v>106.2</v>
      </c>
      <c r="H24188" s="5">
        <v>106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106.9</v>
      </c>
      <c r="D24189" s="5">
        <v>0.1</v>
      </c>
      <c r="E24189" s="5">
        <v>107</v>
      </c>
      <c r="F24189" s="5">
        <v>212.9</v>
      </c>
      <c r="G24189" s="5">
        <v>106.2</v>
      </c>
      <c r="H24189" s="5">
        <v>106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106.1</v>
      </c>
      <c r="D24190" s="5">
        <v>0.1</v>
      </c>
      <c r="E24190" s="5">
        <v>106.2</v>
      </c>
      <c r="F24190" s="5">
        <v>211.5</v>
      </c>
      <c r="G24190" s="5">
        <v>105.6</v>
      </c>
      <c r="H24190" s="5">
        <v>105.4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106.1</v>
      </c>
      <c r="D24191" s="5">
        <v>0.1</v>
      </c>
      <c r="E24191" s="5">
        <v>106.2</v>
      </c>
      <c r="F24191" s="5">
        <v>211.5</v>
      </c>
      <c r="G24191" s="5">
        <v>105.6</v>
      </c>
      <c r="H24191" s="5">
        <v>105.4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106.1</v>
      </c>
      <c r="D24192" s="5">
        <v>0.1</v>
      </c>
      <c r="E24192" s="5">
        <v>106.2</v>
      </c>
      <c r="F24192" s="5">
        <v>212.4</v>
      </c>
      <c r="G24192" s="5">
        <v>106</v>
      </c>
      <c r="H24192" s="5">
        <v>105.9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106.1</v>
      </c>
      <c r="D24193" s="5">
        <v>0.1</v>
      </c>
      <c r="E24193" s="5">
        <v>106.2</v>
      </c>
      <c r="F24193" s="5">
        <v>212.4</v>
      </c>
      <c r="G24193" s="5">
        <v>106</v>
      </c>
      <c r="H24193" s="5">
        <v>105.9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105.9</v>
      </c>
      <c r="D24194" s="5">
        <v>0.1</v>
      </c>
      <c r="E24194" s="5">
        <v>106</v>
      </c>
      <c r="F24194" s="5">
        <v>211.9</v>
      </c>
      <c r="G24194" s="5">
        <v>105.7</v>
      </c>
      <c r="H24194" s="5">
        <v>105.6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105.9</v>
      </c>
      <c r="D24195" s="5">
        <v>0.1</v>
      </c>
      <c r="E24195" s="5">
        <v>106</v>
      </c>
      <c r="F24195" s="5">
        <v>211.9</v>
      </c>
      <c r="G24195" s="5">
        <v>105.7</v>
      </c>
      <c r="H24195" s="5">
        <v>105.6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105.3</v>
      </c>
      <c r="D24196" s="5">
        <v>0.1</v>
      </c>
      <c r="E24196" s="5">
        <v>105.5</v>
      </c>
      <c r="F24196" s="5">
        <v>210.7</v>
      </c>
      <c r="G24196" s="5">
        <v>105.2</v>
      </c>
      <c r="H24196" s="5">
        <v>105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105.3</v>
      </c>
      <c r="D24197" s="5">
        <v>0.1</v>
      </c>
      <c r="E24197" s="5">
        <v>105.5</v>
      </c>
      <c r="F24197" s="5">
        <v>210.7</v>
      </c>
      <c r="G24197" s="5">
        <v>105.2</v>
      </c>
      <c r="H24197" s="5">
        <v>105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105.3</v>
      </c>
      <c r="D24198" s="5">
        <v>0.1</v>
      </c>
      <c r="E24198" s="5">
        <v>105.5</v>
      </c>
      <c r="F24198" s="5">
        <v>210.7</v>
      </c>
      <c r="G24198" s="5">
        <v>105.2</v>
      </c>
      <c r="H24198" s="5">
        <v>105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105.3</v>
      </c>
      <c r="D24199" s="5">
        <v>0.1</v>
      </c>
      <c r="E24199" s="5">
        <v>105.5</v>
      </c>
      <c r="F24199" s="5">
        <v>210.7</v>
      </c>
      <c r="G24199" s="5">
        <v>105.2</v>
      </c>
      <c r="H24199" s="5">
        <v>105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104.7</v>
      </c>
      <c r="D24200" s="5">
        <v>0.1</v>
      </c>
      <c r="E24200" s="5">
        <v>104.9</v>
      </c>
      <c r="F24200" s="5">
        <v>209.8</v>
      </c>
      <c r="G24200" s="5">
        <v>105.2</v>
      </c>
      <c r="H24200" s="5">
        <v>105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104.7</v>
      </c>
      <c r="D24201" s="5">
        <v>0.1</v>
      </c>
      <c r="E24201" s="5">
        <v>104.9</v>
      </c>
      <c r="F24201" s="5">
        <v>209.8</v>
      </c>
      <c r="G24201" s="5">
        <v>104.7</v>
      </c>
      <c r="H24201" s="5">
        <v>104.6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105.3</v>
      </c>
      <c r="D24202" s="5">
        <v>0.1</v>
      </c>
      <c r="E24202" s="5">
        <v>105.4</v>
      </c>
      <c r="F24202" s="5">
        <v>210.5</v>
      </c>
      <c r="G24202" s="5">
        <v>104.7</v>
      </c>
      <c r="H24202" s="5">
        <v>104.6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105.3</v>
      </c>
      <c r="D24203" s="5">
        <v>0.1</v>
      </c>
      <c r="E24203" s="5">
        <v>105.4</v>
      </c>
      <c r="F24203" s="5">
        <v>210.5</v>
      </c>
      <c r="G24203" s="5">
        <v>105</v>
      </c>
      <c r="H24203" s="5">
        <v>104.7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104.9</v>
      </c>
      <c r="D24204" s="5">
        <v>0.1</v>
      </c>
      <c r="E24204" s="5">
        <v>105.4</v>
      </c>
      <c r="F24204" s="5">
        <v>210.5</v>
      </c>
      <c r="G24204" s="5">
        <v>105</v>
      </c>
      <c r="H24204" s="5">
        <v>104.7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104.9</v>
      </c>
      <c r="D24205" s="5">
        <v>0.1</v>
      </c>
      <c r="E24205" s="5">
        <v>105</v>
      </c>
      <c r="F24205" s="5">
        <v>210</v>
      </c>
      <c r="G24205" s="5">
        <v>104.8</v>
      </c>
      <c r="H24205" s="5">
        <v>104.7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105.5</v>
      </c>
      <c r="D24206" s="5">
        <v>0.1</v>
      </c>
      <c r="E24206" s="5">
        <v>105</v>
      </c>
      <c r="F24206" s="5">
        <v>210</v>
      </c>
      <c r="G24206" s="5">
        <v>104.8</v>
      </c>
      <c r="H24206" s="5">
        <v>104.7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105.5</v>
      </c>
      <c r="D24207" s="5">
        <v>0.1</v>
      </c>
      <c r="E24207" s="5">
        <v>105.6</v>
      </c>
      <c r="F24207" s="5">
        <v>210.4</v>
      </c>
      <c r="G24207" s="5">
        <v>104.9</v>
      </c>
      <c r="H24207" s="5">
        <v>104.8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105.5</v>
      </c>
      <c r="D24208" s="5">
        <v>0.1</v>
      </c>
      <c r="E24208" s="5">
        <v>105.6</v>
      </c>
      <c r="F24208" s="5">
        <v>210.4</v>
      </c>
      <c r="G24208" s="5">
        <v>104.9</v>
      </c>
      <c r="H24208" s="5">
        <v>104.8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105.5</v>
      </c>
      <c r="D24209" s="5">
        <v>0.1</v>
      </c>
      <c r="E24209" s="5">
        <v>105.6</v>
      </c>
      <c r="F24209" s="5">
        <v>210.4</v>
      </c>
      <c r="G24209" s="5">
        <v>104.9</v>
      </c>
      <c r="H24209" s="5">
        <v>104.8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105.5</v>
      </c>
      <c r="D24210" s="5">
        <v>0.1</v>
      </c>
      <c r="E24210" s="5">
        <v>105.6</v>
      </c>
      <c r="F24210" s="5">
        <v>210.4</v>
      </c>
      <c r="G24210" s="5">
        <v>104.9</v>
      </c>
      <c r="H24210" s="5">
        <v>103.2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104.3</v>
      </c>
      <c r="D24211" s="5">
        <v>0.1</v>
      </c>
      <c r="E24211" s="5">
        <v>104.5</v>
      </c>
      <c r="F24211" s="5">
        <v>207.1</v>
      </c>
      <c r="G24211" s="5">
        <v>103.3</v>
      </c>
      <c r="H24211" s="5">
        <v>103.2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104.3</v>
      </c>
      <c r="D24212" s="5">
        <v>0.1</v>
      </c>
      <c r="E24212" s="5">
        <v>104.5</v>
      </c>
      <c r="F24212" s="5">
        <v>207.1</v>
      </c>
      <c r="G24212" s="5">
        <v>103.3</v>
      </c>
      <c r="H24212" s="5">
        <v>103.2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105.3</v>
      </c>
      <c r="D24213" s="5">
        <v>0.1</v>
      </c>
      <c r="E24213" s="5">
        <v>105.5</v>
      </c>
      <c r="F24213" s="5">
        <v>209.9</v>
      </c>
      <c r="G24213" s="5">
        <v>104.7</v>
      </c>
      <c r="H24213" s="5">
        <v>104.6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105.3</v>
      </c>
      <c r="D24214" s="5">
        <v>0.1</v>
      </c>
      <c r="E24214" s="5">
        <v>105.5</v>
      </c>
      <c r="F24214" s="5">
        <v>209.9</v>
      </c>
      <c r="G24214" s="5">
        <v>104.7</v>
      </c>
      <c r="H24214" s="5">
        <v>104.6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104.1</v>
      </c>
      <c r="D24215" s="5">
        <v>0.1</v>
      </c>
      <c r="E24215" s="5">
        <v>104.3</v>
      </c>
      <c r="F24215" s="5">
        <v>208.6</v>
      </c>
      <c r="G24215" s="5">
        <v>104.1</v>
      </c>
      <c r="H24215" s="5">
        <v>103.8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104.1</v>
      </c>
      <c r="D24216" s="5">
        <v>0.1</v>
      </c>
      <c r="E24216" s="5">
        <v>104.3</v>
      </c>
      <c r="F24216" s="5">
        <v>208.6</v>
      </c>
      <c r="G24216" s="5">
        <v>104.1</v>
      </c>
      <c r="H24216" s="5">
        <v>103.8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105</v>
      </c>
      <c r="D24217" s="5">
        <v>0.1</v>
      </c>
      <c r="E24217" s="5">
        <v>105.2</v>
      </c>
      <c r="F24217" s="5">
        <v>209.5</v>
      </c>
      <c r="G24217" s="5">
        <v>104.5</v>
      </c>
      <c r="H24217" s="5">
        <v>104.3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105</v>
      </c>
      <c r="D24218" s="5">
        <v>0.1</v>
      </c>
      <c r="E24218" s="5">
        <v>105.2</v>
      </c>
      <c r="F24218" s="5">
        <v>209.5</v>
      </c>
      <c r="G24218" s="5">
        <v>104.5</v>
      </c>
      <c r="H24218" s="5">
        <v>104.3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105</v>
      </c>
      <c r="D24219" s="5">
        <v>0.1</v>
      </c>
      <c r="E24219" s="5">
        <v>105.2</v>
      </c>
      <c r="F24219" s="5">
        <v>209.5</v>
      </c>
      <c r="G24219" s="5">
        <v>104.5</v>
      </c>
      <c r="H24219" s="5">
        <v>104.3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105.1</v>
      </c>
      <c r="D24220" s="5">
        <v>0.1</v>
      </c>
      <c r="E24220" s="5">
        <v>105.3</v>
      </c>
      <c r="F24220" s="5">
        <v>209.8</v>
      </c>
      <c r="G24220" s="5">
        <v>104.7</v>
      </c>
      <c r="H24220" s="5">
        <v>104.5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105.1</v>
      </c>
      <c r="D24221" s="5">
        <v>0.1</v>
      </c>
      <c r="E24221" s="5">
        <v>105.3</v>
      </c>
      <c r="F24221" s="5">
        <v>209.8</v>
      </c>
      <c r="G24221" s="5">
        <v>104.7</v>
      </c>
      <c r="H24221" s="5">
        <v>104.5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106</v>
      </c>
      <c r="D24222" s="5">
        <v>0.1</v>
      </c>
      <c r="E24222" s="5">
        <v>106.2</v>
      </c>
      <c r="F24222" s="5">
        <v>210.9</v>
      </c>
      <c r="G24222" s="5">
        <v>105.3</v>
      </c>
      <c r="H24222" s="5">
        <v>105.3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106</v>
      </c>
      <c r="D24223" s="5">
        <v>0.1</v>
      </c>
      <c r="E24223" s="5">
        <v>106.2</v>
      </c>
      <c r="F24223" s="5">
        <v>210.9</v>
      </c>
      <c r="G24223" s="5">
        <v>105.3</v>
      </c>
      <c r="H24223" s="5">
        <v>105.3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105.2</v>
      </c>
      <c r="D24224" s="5">
        <v>0.1</v>
      </c>
      <c r="E24224" s="5">
        <v>105.3</v>
      </c>
      <c r="F24224" s="5">
        <v>211</v>
      </c>
      <c r="G24224" s="5">
        <v>105.3</v>
      </c>
      <c r="H24224" s="5">
        <v>105.2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105.2</v>
      </c>
      <c r="D24225" s="5">
        <v>0.1</v>
      </c>
      <c r="E24225" s="5">
        <v>105.3</v>
      </c>
      <c r="F24225" s="5">
        <v>211</v>
      </c>
      <c r="G24225" s="5">
        <v>105.3</v>
      </c>
      <c r="H24225" s="5">
        <v>105.2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105.2</v>
      </c>
      <c r="D24226" s="5">
        <v>0.1</v>
      </c>
      <c r="E24226" s="5">
        <v>105.4</v>
      </c>
      <c r="F24226" s="5">
        <v>210.2</v>
      </c>
      <c r="G24226" s="5">
        <v>104.9</v>
      </c>
      <c r="H24226" s="5">
        <v>104.8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105.3</v>
      </c>
      <c r="D24227" s="5">
        <v>0.1</v>
      </c>
      <c r="E24227" s="5">
        <v>105.4</v>
      </c>
      <c r="F24227" s="5">
        <v>210.2</v>
      </c>
      <c r="G24227" s="5">
        <v>104.9</v>
      </c>
      <c r="H24227" s="5">
        <v>104.8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105.3</v>
      </c>
      <c r="D24228" s="5">
        <v>0.1</v>
      </c>
      <c r="E24228" s="5">
        <v>105.4</v>
      </c>
      <c r="F24228" s="5">
        <v>210.2</v>
      </c>
      <c r="G24228" s="5">
        <v>104.9</v>
      </c>
      <c r="H24228" s="5">
        <v>104.8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105.3</v>
      </c>
      <c r="D24229" s="5">
        <v>0.1</v>
      </c>
      <c r="E24229" s="5">
        <v>105.4</v>
      </c>
      <c r="F24229" s="5">
        <v>210.2</v>
      </c>
      <c r="G24229" s="5">
        <v>104.9</v>
      </c>
      <c r="H24229" s="5">
        <v>104.8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104.8</v>
      </c>
      <c r="D24230" s="5">
        <v>0.1</v>
      </c>
      <c r="E24230" s="5">
        <v>105</v>
      </c>
      <c r="F24230" s="5">
        <v>210</v>
      </c>
      <c r="G24230" s="5">
        <v>104.8</v>
      </c>
      <c r="H24230" s="5">
        <v>104.6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104.8</v>
      </c>
      <c r="D24231" s="5">
        <v>0.1</v>
      </c>
      <c r="E24231" s="5">
        <v>105</v>
      </c>
      <c r="F24231" s="5">
        <v>210</v>
      </c>
      <c r="G24231" s="5">
        <v>104.8</v>
      </c>
      <c r="H24231" s="5">
        <v>104.6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105.3</v>
      </c>
      <c r="D24232" s="5">
        <v>0.1</v>
      </c>
      <c r="E24232" s="5">
        <v>105.4</v>
      </c>
      <c r="F24232" s="5">
        <v>210.1</v>
      </c>
      <c r="G24232" s="5">
        <v>104.8</v>
      </c>
      <c r="H24232" s="5">
        <v>104.7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105.3</v>
      </c>
      <c r="D24233" s="5">
        <v>0.1</v>
      </c>
      <c r="E24233" s="5">
        <v>105.4</v>
      </c>
      <c r="F24233" s="5">
        <v>210.1</v>
      </c>
      <c r="G24233" s="5">
        <v>104.8</v>
      </c>
      <c r="H24233" s="5">
        <v>104.7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105.3</v>
      </c>
      <c r="D24234" s="5">
        <v>0.1</v>
      </c>
      <c r="E24234" s="5">
        <v>105.4</v>
      </c>
      <c r="F24234" s="5">
        <v>210.1</v>
      </c>
      <c r="G24234" s="5">
        <v>104.8</v>
      </c>
      <c r="H24234" s="5">
        <v>104.7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105.3</v>
      </c>
      <c r="D24235" s="5">
        <v>0.1</v>
      </c>
      <c r="E24235" s="5">
        <v>105.4</v>
      </c>
      <c r="F24235" s="5">
        <v>210.1</v>
      </c>
      <c r="G24235" s="5">
        <v>104.8</v>
      </c>
      <c r="H24235" s="5">
        <v>104.7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105.3</v>
      </c>
      <c r="D24236" s="5">
        <v>0.1</v>
      </c>
      <c r="E24236" s="5">
        <v>105.5</v>
      </c>
      <c r="F24236" s="5">
        <v>210.7</v>
      </c>
      <c r="G24236" s="5">
        <v>105.2</v>
      </c>
      <c r="H24236" s="5">
        <v>105.1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105.3</v>
      </c>
      <c r="D24237" s="5">
        <v>0.1</v>
      </c>
      <c r="E24237" s="5">
        <v>105.5</v>
      </c>
      <c r="F24237" s="5">
        <v>210.7</v>
      </c>
      <c r="G24237" s="5">
        <v>105.2</v>
      </c>
      <c r="H24237" s="5">
        <v>105.1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105.3</v>
      </c>
      <c r="D24238" s="5">
        <v>0.1</v>
      </c>
      <c r="E24238" s="5">
        <v>105.5</v>
      </c>
      <c r="F24238" s="5">
        <v>210.7</v>
      </c>
      <c r="G24238" s="5">
        <v>105.2</v>
      </c>
      <c r="H24238" s="5">
        <v>105.1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105.3</v>
      </c>
      <c r="D24239" s="5">
        <v>0.1</v>
      </c>
      <c r="E24239" s="5">
        <v>105.5</v>
      </c>
      <c r="F24239" s="5">
        <v>210.7</v>
      </c>
      <c r="G24239" s="5">
        <v>105.2</v>
      </c>
      <c r="H24239" s="5">
        <v>105.1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99.2</v>
      </c>
      <c r="D24240" s="5">
        <v>0.1</v>
      </c>
      <c r="E24240" s="5">
        <v>99.2</v>
      </c>
      <c r="F24240" s="5">
        <v>196.3</v>
      </c>
      <c r="G24240" s="5">
        <v>97.8</v>
      </c>
      <c r="H24240" s="5">
        <v>97.5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99.2</v>
      </c>
      <c r="D24241" s="5">
        <v>0.1</v>
      </c>
      <c r="E24241" s="5">
        <v>99.2</v>
      </c>
      <c r="F24241" s="5">
        <v>196.3</v>
      </c>
      <c r="G24241" s="5">
        <v>97.8</v>
      </c>
      <c r="H24241" s="5">
        <v>97.5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99.2</v>
      </c>
      <c r="D24242" s="5">
        <v>0.1</v>
      </c>
      <c r="E24242" s="5">
        <v>99.2</v>
      </c>
      <c r="F24242" s="5">
        <v>198.4</v>
      </c>
      <c r="G24242" s="5">
        <v>99</v>
      </c>
      <c r="H24242" s="5">
        <v>98.8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99.2</v>
      </c>
      <c r="D24243" s="5">
        <v>0.1</v>
      </c>
      <c r="E24243" s="5">
        <v>99.2</v>
      </c>
      <c r="F24243" s="5">
        <v>198.4</v>
      </c>
      <c r="G24243" s="5">
        <v>99</v>
      </c>
      <c r="H24243" s="5">
        <v>98.8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97.6</v>
      </c>
      <c r="D24244" s="5">
        <v>0.1</v>
      </c>
      <c r="E24244" s="5">
        <v>97.6</v>
      </c>
      <c r="F24244" s="5">
        <v>193.8</v>
      </c>
      <c r="G24244" s="5">
        <v>96.8</v>
      </c>
      <c r="H24244" s="5">
        <v>96.7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97.6</v>
      </c>
      <c r="D24245" s="5">
        <v>0.1</v>
      </c>
      <c r="E24245" s="5">
        <v>97.6</v>
      </c>
      <c r="F24245" s="5">
        <v>193.8</v>
      </c>
      <c r="G24245" s="5">
        <v>96.8</v>
      </c>
      <c r="H24245" s="5">
        <v>96.7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99.5</v>
      </c>
      <c r="D24246" s="5">
        <v>0.1</v>
      </c>
      <c r="E24246" s="5">
        <v>99.6</v>
      </c>
      <c r="F24246" s="5">
        <v>197</v>
      </c>
      <c r="G24246" s="5">
        <v>98.1</v>
      </c>
      <c r="H24246" s="5">
        <v>97.8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99.5</v>
      </c>
      <c r="D24247" s="5">
        <v>0.1</v>
      </c>
      <c r="E24247" s="5">
        <v>99.6</v>
      </c>
      <c r="F24247" s="5">
        <v>197</v>
      </c>
      <c r="G24247" s="5">
        <v>98.1</v>
      </c>
      <c r="H24247" s="5">
        <v>97.8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99.5</v>
      </c>
      <c r="D24248" s="5">
        <v>0.1</v>
      </c>
      <c r="E24248" s="5">
        <v>99.6</v>
      </c>
      <c r="F24248" s="5">
        <v>197</v>
      </c>
      <c r="G24248" s="5">
        <v>98.1</v>
      </c>
      <c r="H24248" s="5">
        <v>97.8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99.5</v>
      </c>
      <c r="D24249" s="5">
        <v>0.1</v>
      </c>
      <c r="E24249" s="5">
        <v>99.6</v>
      </c>
      <c r="F24249" s="5">
        <v>197</v>
      </c>
      <c r="G24249" s="5">
        <v>98.1</v>
      </c>
      <c r="H24249" s="5">
        <v>97.8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99.5</v>
      </c>
      <c r="D24250" s="5">
        <v>0.1</v>
      </c>
      <c r="E24250" s="5">
        <v>99.6</v>
      </c>
      <c r="F24250" s="5">
        <v>197</v>
      </c>
      <c r="G24250" s="5">
        <v>98.1</v>
      </c>
      <c r="H24250" s="5">
        <v>97.8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99.5</v>
      </c>
      <c r="D24251" s="5">
        <v>0.1</v>
      </c>
      <c r="E24251" s="5">
        <v>99.6</v>
      </c>
      <c r="F24251" s="5">
        <v>197</v>
      </c>
      <c r="G24251" s="5">
        <v>98.1</v>
      </c>
      <c r="H24251" s="5">
        <v>97.8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105.6</v>
      </c>
      <c r="D24252" s="5">
        <v>0.1</v>
      </c>
      <c r="E24252" s="5">
        <v>105.8</v>
      </c>
      <c r="F24252" s="5">
        <v>210.8</v>
      </c>
      <c r="G24252" s="5">
        <v>105.2</v>
      </c>
      <c r="H24252" s="5">
        <v>105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105.6</v>
      </c>
      <c r="D24253" s="5">
        <v>0.1</v>
      </c>
      <c r="E24253" s="5">
        <v>105.8</v>
      </c>
      <c r="F24253" s="5">
        <v>210.8</v>
      </c>
      <c r="G24253" s="5">
        <v>105.2</v>
      </c>
      <c r="H24253" s="5">
        <v>105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101.4</v>
      </c>
      <c r="D24254" s="5">
        <v>0.1</v>
      </c>
      <c r="E24254" s="5">
        <v>101.5</v>
      </c>
      <c r="F24254" s="5">
        <v>205.2</v>
      </c>
      <c r="G24254" s="5">
        <v>101.7</v>
      </c>
      <c r="H24254" s="5">
        <v>101.5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102.7</v>
      </c>
      <c r="D24255" s="5">
        <v>0.1</v>
      </c>
      <c r="E24255" s="5">
        <v>102.8</v>
      </c>
      <c r="F24255" s="5">
        <v>204.6</v>
      </c>
      <c r="G24255" s="5">
        <v>102.3</v>
      </c>
      <c r="H24255" s="5">
        <v>102.3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102.7</v>
      </c>
      <c r="D24256" s="5">
        <v>0.1</v>
      </c>
      <c r="E24256" s="5">
        <v>102.8</v>
      </c>
      <c r="F24256" s="5">
        <v>204.6</v>
      </c>
      <c r="G24256" s="5">
        <v>102.3</v>
      </c>
      <c r="H24256" s="5">
        <v>102.3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102.7</v>
      </c>
      <c r="D24257" s="5">
        <v>0.1</v>
      </c>
      <c r="E24257" s="5">
        <v>102.8</v>
      </c>
      <c r="F24257" s="5">
        <v>204.6</v>
      </c>
      <c r="G24257" s="5">
        <v>102.3</v>
      </c>
      <c r="H24257" s="5">
        <v>102.3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105.9</v>
      </c>
      <c r="D24258" s="5">
        <v>0.1</v>
      </c>
      <c r="E24258" s="5">
        <v>106</v>
      </c>
      <c r="F24258" s="5">
        <v>205.9</v>
      </c>
      <c r="G24258" s="5">
        <v>103</v>
      </c>
      <c r="H24258" s="5">
        <v>103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105.9</v>
      </c>
      <c r="D24259" s="5">
        <v>0.1</v>
      </c>
      <c r="E24259" s="5">
        <v>106</v>
      </c>
      <c r="F24259" s="5">
        <v>205.9</v>
      </c>
      <c r="G24259" s="5">
        <v>103</v>
      </c>
      <c r="H24259" s="5">
        <v>103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102.4</v>
      </c>
      <c r="D24260" s="5">
        <v>0.1</v>
      </c>
      <c r="E24260" s="5">
        <v>102.5</v>
      </c>
      <c r="F24260" s="5">
        <v>204.9</v>
      </c>
      <c r="G24260" s="5">
        <v>102.2</v>
      </c>
      <c r="H24260" s="5">
        <v>102.1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102.4</v>
      </c>
      <c r="D24261" s="5">
        <v>0.1</v>
      </c>
      <c r="E24261" s="5">
        <v>102.5</v>
      </c>
      <c r="F24261" s="5">
        <v>204.9</v>
      </c>
      <c r="G24261" s="5">
        <v>102.2</v>
      </c>
      <c r="H24261" s="5">
        <v>102.1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101.8</v>
      </c>
      <c r="D24262" s="5">
        <v>0.1</v>
      </c>
      <c r="E24262" s="5">
        <v>102</v>
      </c>
      <c r="F24262" s="5">
        <v>204.2</v>
      </c>
      <c r="G24262" s="5">
        <v>101.9</v>
      </c>
      <c r="H24262" s="5">
        <v>101.7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101.8</v>
      </c>
      <c r="D24263" s="5">
        <v>0.1</v>
      </c>
      <c r="E24263" s="5">
        <v>102</v>
      </c>
      <c r="F24263" s="5">
        <v>204.2</v>
      </c>
      <c r="G24263" s="5">
        <v>101.9</v>
      </c>
      <c r="H24263" s="5">
        <v>101.7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104.1</v>
      </c>
      <c r="D24264" s="5">
        <v>0.1</v>
      </c>
      <c r="E24264" s="5">
        <v>104.2</v>
      </c>
      <c r="F24264" s="5">
        <v>209.7</v>
      </c>
      <c r="G24264" s="5">
        <v>104.5</v>
      </c>
      <c r="H24264" s="5">
        <v>104.2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104.1</v>
      </c>
      <c r="D24265" s="5">
        <v>0.1</v>
      </c>
      <c r="E24265" s="5">
        <v>104.2</v>
      </c>
      <c r="F24265" s="5">
        <v>209.7</v>
      </c>
      <c r="G24265" s="5">
        <v>104.5</v>
      </c>
      <c r="H24265" s="5">
        <v>104.2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104.1</v>
      </c>
      <c r="D24266" s="5">
        <v>0.1</v>
      </c>
      <c r="E24266" s="5">
        <v>104.2</v>
      </c>
      <c r="F24266" s="5">
        <v>209.7</v>
      </c>
      <c r="G24266" s="5">
        <v>104.5</v>
      </c>
      <c r="H24266" s="5">
        <v>104.2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105.4</v>
      </c>
      <c r="D24267" s="5">
        <v>0.1</v>
      </c>
      <c r="E24267" s="5">
        <v>105.6</v>
      </c>
      <c r="F24267" s="5">
        <v>211</v>
      </c>
      <c r="G24267" s="5">
        <v>105.3</v>
      </c>
      <c r="H24267" s="5">
        <v>105.1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105.4</v>
      </c>
      <c r="D24268" s="5">
        <v>0.1</v>
      </c>
      <c r="E24268" s="5">
        <v>105.6</v>
      </c>
      <c r="F24268" s="5">
        <v>211</v>
      </c>
      <c r="G24268" s="5">
        <v>105.3</v>
      </c>
      <c r="H24268" s="5">
        <v>105.1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104.8</v>
      </c>
      <c r="D24269" s="5">
        <v>0.1</v>
      </c>
      <c r="E24269" s="5">
        <v>105</v>
      </c>
      <c r="F24269" s="5">
        <v>210.9</v>
      </c>
      <c r="G24269" s="5">
        <v>105.3</v>
      </c>
      <c r="H24269" s="5">
        <v>105.1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104.8</v>
      </c>
      <c r="D24270" s="5">
        <v>0.1</v>
      </c>
      <c r="E24270" s="5">
        <v>105</v>
      </c>
      <c r="F24270" s="5">
        <v>210.9</v>
      </c>
      <c r="G24270" s="5">
        <v>105.3</v>
      </c>
      <c r="H24270" s="5">
        <v>105.1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104.1</v>
      </c>
      <c r="D24271" s="5">
        <v>0.1</v>
      </c>
      <c r="E24271" s="5">
        <v>104.3</v>
      </c>
      <c r="F24271" s="5">
        <v>204.1</v>
      </c>
      <c r="G24271" s="5">
        <v>101.3</v>
      </c>
      <c r="H24271" s="5">
        <v>100.9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104.1</v>
      </c>
      <c r="D24272" s="5">
        <v>0.1</v>
      </c>
      <c r="E24272" s="5">
        <v>104.3</v>
      </c>
      <c r="F24272" s="5">
        <v>204.1</v>
      </c>
      <c r="G24272" s="5">
        <v>101.3</v>
      </c>
      <c r="H24272" s="5">
        <v>100.9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102.7</v>
      </c>
      <c r="D24273" s="5">
        <v>0.1</v>
      </c>
      <c r="E24273" s="5">
        <v>102.8</v>
      </c>
      <c r="F24273" s="5">
        <v>205.1</v>
      </c>
      <c r="G24273" s="5">
        <v>102.6</v>
      </c>
      <c r="H24273" s="5">
        <v>104.2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102.7</v>
      </c>
      <c r="D24274" s="5">
        <v>0.1</v>
      </c>
      <c r="E24274" s="5">
        <v>102.8</v>
      </c>
      <c r="F24274" s="5">
        <v>205.1</v>
      </c>
      <c r="G24274" s="5">
        <v>102.6</v>
      </c>
      <c r="H24274" s="5">
        <v>104.2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102.7</v>
      </c>
      <c r="D24275" s="5">
        <v>0.1</v>
      </c>
      <c r="E24275" s="5">
        <v>102.8</v>
      </c>
      <c r="F24275" s="5">
        <v>205.1</v>
      </c>
      <c r="G24275" s="5">
        <v>102.6</v>
      </c>
      <c r="H24275" s="5">
        <v>104.2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102.7</v>
      </c>
      <c r="D24276" s="5">
        <v>0.1</v>
      </c>
      <c r="E24276" s="5">
        <v>102.8</v>
      </c>
      <c r="F24276" s="5">
        <v>205.1</v>
      </c>
      <c r="G24276" s="5">
        <v>102.6</v>
      </c>
      <c r="H24276" s="5">
        <v>104.2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104.6</v>
      </c>
      <c r="D24277" s="5">
        <v>0.1</v>
      </c>
      <c r="E24277" s="5">
        <v>104.8</v>
      </c>
      <c r="F24277" s="5">
        <v>204.9</v>
      </c>
      <c r="G24277" s="5">
        <v>102.4</v>
      </c>
      <c r="H24277" s="5">
        <v>102.4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104.6</v>
      </c>
      <c r="D24278" s="5">
        <v>0.1</v>
      </c>
      <c r="E24278" s="5">
        <v>104.8</v>
      </c>
      <c r="F24278" s="5">
        <v>204.9</v>
      </c>
      <c r="G24278" s="5">
        <v>102.4</v>
      </c>
      <c r="H24278" s="5">
        <v>102.4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104.9</v>
      </c>
      <c r="D24279" s="5">
        <v>0.1</v>
      </c>
      <c r="E24279" s="5">
        <v>105</v>
      </c>
      <c r="F24279" s="5">
        <v>204.6</v>
      </c>
      <c r="G24279" s="5">
        <v>102.3</v>
      </c>
      <c r="H24279" s="5">
        <v>102.4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104.9</v>
      </c>
      <c r="D24280" s="5">
        <v>0.1</v>
      </c>
      <c r="E24280" s="5">
        <v>105</v>
      </c>
      <c r="F24280" s="5">
        <v>204.6</v>
      </c>
      <c r="G24280" s="5">
        <v>102.3</v>
      </c>
      <c r="H24280" s="5">
        <v>102.4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105.7</v>
      </c>
      <c r="D24281" s="5">
        <v>0.1</v>
      </c>
      <c r="E24281" s="5">
        <v>105.9</v>
      </c>
      <c r="F24281" s="5">
        <v>205.5</v>
      </c>
      <c r="G24281" s="5">
        <v>102.7</v>
      </c>
      <c r="H24281" s="5">
        <v>102.8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105.7</v>
      </c>
      <c r="D24282" s="5">
        <v>0.1</v>
      </c>
      <c r="E24282" s="5">
        <v>105.9</v>
      </c>
      <c r="F24282" s="5">
        <v>205.5</v>
      </c>
      <c r="G24282" s="5">
        <v>102.7</v>
      </c>
      <c r="H24282" s="5">
        <v>102.8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105.5</v>
      </c>
      <c r="D24283" s="5">
        <v>0.1</v>
      </c>
      <c r="E24283" s="5">
        <v>105.6</v>
      </c>
      <c r="F24283" s="5">
        <v>203.9</v>
      </c>
      <c r="G24283" s="5">
        <v>102.2</v>
      </c>
      <c r="H24283" s="5">
        <v>102.3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105.5</v>
      </c>
      <c r="D24284" s="5">
        <v>0.1</v>
      </c>
      <c r="E24284" s="5">
        <v>105.6</v>
      </c>
      <c r="F24284" s="5">
        <v>203.9</v>
      </c>
      <c r="G24284" s="5">
        <v>102.2</v>
      </c>
      <c r="H24284" s="5">
        <v>102.3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105.5</v>
      </c>
      <c r="D24285" s="5">
        <v>0.1</v>
      </c>
      <c r="E24285" s="5">
        <v>105.6</v>
      </c>
      <c r="F24285" s="5">
        <v>203.9</v>
      </c>
      <c r="G24285" s="5">
        <v>102.2</v>
      </c>
      <c r="H24285" s="5">
        <v>102.3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105.5</v>
      </c>
      <c r="D24286" s="5">
        <v>0.1</v>
      </c>
      <c r="E24286" s="5">
        <v>105.6</v>
      </c>
      <c r="F24286" s="5">
        <v>203.9</v>
      </c>
      <c r="G24286" s="5">
        <v>102.2</v>
      </c>
      <c r="H24286" s="5">
        <v>102.3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98.1</v>
      </c>
      <c r="D24287" s="5">
        <v>0.1</v>
      </c>
      <c r="E24287" s="5">
        <v>98.2</v>
      </c>
      <c r="F24287" s="5">
        <v>200.7</v>
      </c>
      <c r="G24287" s="5">
        <v>100.1</v>
      </c>
      <c r="H24287" s="5">
        <v>99.8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98.1</v>
      </c>
      <c r="D24288" s="5">
        <v>0.1</v>
      </c>
      <c r="E24288" s="5">
        <v>98.2</v>
      </c>
      <c r="F24288" s="5">
        <v>200.7</v>
      </c>
      <c r="G24288" s="5">
        <v>100.1</v>
      </c>
      <c r="H24288" s="5">
        <v>99.8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99.1</v>
      </c>
      <c r="D24289" s="5">
        <v>0.1</v>
      </c>
      <c r="E24289" s="5">
        <v>99.2</v>
      </c>
      <c r="F24289" s="5">
        <v>196.4</v>
      </c>
      <c r="G24289" s="5">
        <v>97.8</v>
      </c>
      <c r="H24289" s="5">
        <v>97.4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100.8</v>
      </c>
      <c r="D24290" s="5">
        <v>0.1</v>
      </c>
      <c r="E24290" s="5">
        <v>101.6</v>
      </c>
      <c r="F24290" s="5">
        <v>201.5</v>
      </c>
      <c r="G24290" s="5">
        <v>100.6</v>
      </c>
      <c r="H24290" s="5">
        <v>100.4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100.8</v>
      </c>
      <c r="D24291" s="5">
        <v>0.1</v>
      </c>
      <c r="E24291" s="5">
        <v>100.9</v>
      </c>
      <c r="F24291" s="5">
        <v>201</v>
      </c>
      <c r="G24291" s="5">
        <v>100.3</v>
      </c>
      <c r="H24291" s="5">
        <v>100.2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100.8</v>
      </c>
      <c r="D24292" s="5">
        <v>0.1</v>
      </c>
      <c r="E24292" s="5">
        <v>100.9</v>
      </c>
      <c r="F24292" s="5">
        <v>201</v>
      </c>
      <c r="G24292" s="5">
        <v>100.3</v>
      </c>
      <c r="H24292" s="5">
        <v>100.2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100.5</v>
      </c>
      <c r="D24293" s="5">
        <v>0.1</v>
      </c>
      <c r="E24293" s="5">
        <v>100.6</v>
      </c>
      <c r="F24293" s="5">
        <v>201.1</v>
      </c>
      <c r="G24293" s="5">
        <v>100.3</v>
      </c>
      <c r="H24293" s="5">
        <v>100.2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100.5</v>
      </c>
      <c r="D24294" s="5">
        <v>0.1</v>
      </c>
      <c r="E24294" s="5">
        <v>100.6</v>
      </c>
      <c r="F24294" s="5">
        <v>201.1</v>
      </c>
      <c r="G24294" s="5">
        <v>100.3</v>
      </c>
      <c r="H24294" s="5">
        <v>100.2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100.5</v>
      </c>
      <c r="D24295" s="5">
        <v>0.1</v>
      </c>
      <c r="E24295" s="5">
        <v>100.6</v>
      </c>
      <c r="F24295" s="5">
        <v>201.1</v>
      </c>
      <c r="G24295" s="5">
        <v>100.3</v>
      </c>
      <c r="H24295" s="5">
        <v>100.2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100.5</v>
      </c>
      <c r="D24296" s="5">
        <v>0.1</v>
      </c>
      <c r="E24296" s="5">
        <v>100.6</v>
      </c>
      <c r="F24296" s="5">
        <v>201.1</v>
      </c>
      <c r="G24296" s="5">
        <v>100.3</v>
      </c>
      <c r="H24296" s="5">
        <v>100.2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101.1</v>
      </c>
      <c r="D24297" s="5">
        <v>0.1</v>
      </c>
      <c r="E24297" s="5">
        <v>101.2</v>
      </c>
      <c r="F24297" s="5">
        <v>201.4</v>
      </c>
      <c r="G24297" s="5">
        <v>100.5</v>
      </c>
      <c r="H24297" s="5">
        <v>100.4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101.1</v>
      </c>
      <c r="D24298" s="5">
        <v>0.1</v>
      </c>
      <c r="E24298" s="5">
        <v>101.2</v>
      </c>
      <c r="F24298" s="5">
        <v>201.4</v>
      </c>
      <c r="G24298" s="5">
        <v>100.5</v>
      </c>
      <c r="H24298" s="5">
        <v>100.4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101.1</v>
      </c>
      <c r="D24299" s="5">
        <v>0.1</v>
      </c>
      <c r="E24299" s="5">
        <v>101.2</v>
      </c>
      <c r="F24299" s="5">
        <v>201.7</v>
      </c>
      <c r="G24299" s="5">
        <v>100.7</v>
      </c>
      <c r="H24299" s="5">
        <v>100.5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101.1</v>
      </c>
      <c r="D24300" s="5">
        <v>0.1</v>
      </c>
      <c r="E24300" s="5">
        <v>101.2</v>
      </c>
      <c r="F24300" s="5">
        <v>201.7</v>
      </c>
      <c r="G24300" s="5">
        <v>100.7</v>
      </c>
      <c r="H24300" s="5">
        <v>100.5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100.9</v>
      </c>
      <c r="D24301" s="5">
        <v>0.1</v>
      </c>
      <c r="E24301" s="5">
        <v>101</v>
      </c>
      <c r="F24301" s="5">
        <v>201</v>
      </c>
      <c r="G24301" s="5">
        <v>100.3</v>
      </c>
      <c r="H24301" s="5">
        <v>100.2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100.9</v>
      </c>
      <c r="D24302" s="5">
        <v>0.1</v>
      </c>
      <c r="E24302" s="5">
        <v>101</v>
      </c>
      <c r="F24302" s="5">
        <v>201</v>
      </c>
      <c r="G24302" s="5">
        <v>100.3</v>
      </c>
      <c r="H24302" s="5">
        <v>100.2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100.3</v>
      </c>
      <c r="D24303" s="5">
        <v>0.1</v>
      </c>
      <c r="E24303" s="5">
        <v>100.5</v>
      </c>
      <c r="F24303" s="5">
        <v>200.7</v>
      </c>
      <c r="G24303" s="5">
        <v>100.1</v>
      </c>
      <c r="H24303" s="5">
        <v>99.9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100.3</v>
      </c>
      <c r="D24304" s="5">
        <v>0.1</v>
      </c>
      <c r="E24304" s="5">
        <v>100.5</v>
      </c>
      <c r="F24304" s="5">
        <v>200.7</v>
      </c>
      <c r="G24304" s="5">
        <v>100.1</v>
      </c>
      <c r="H24304" s="5">
        <v>99.9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100.3</v>
      </c>
      <c r="D24305" s="5">
        <v>0.1</v>
      </c>
      <c r="E24305" s="5">
        <v>100.5</v>
      </c>
      <c r="F24305" s="5">
        <v>200.7</v>
      </c>
      <c r="G24305" s="5">
        <v>100.1</v>
      </c>
      <c r="H24305" s="5">
        <v>99.9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100.3</v>
      </c>
      <c r="D24306" s="5">
        <v>0.1</v>
      </c>
      <c r="E24306" s="5">
        <v>100.5</v>
      </c>
      <c r="F24306" s="5">
        <v>200.7</v>
      </c>
      <c r="G24306" s="5">
        <v>100.1</v>
      </c>
      <c r="H24306" s="5">
        <v>99.9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100.2</v>
      </c>
      <c r="D24307" s="5">
        <v>0.1</v>
      </c>
      <c r="E24307" s="5">
        <v>100.3</v>
      </c>
      <c r="F24307" s="5">
        <v>201.5</v>
      </c>
      <c r="G24307" s="5">
        <v>100.5</v>
      </c>
      <c r="H24307" s="5">
        <v>100.4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103.6</v>
      </c>
      <c r="D24308" s="5">
        <v>0.1</v>
      </c>
      <c r="E24308" s="5">
        <v>103.7</v>
      </c>
      <c r="F24308" s="5">
        <v>206.7</v>
      </c>
      <c r="G24308" s="5">
        <v>103.2</v>
      </c>
      <c r="H24308" s="5">
        <v>103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97.6</v>
      </c>
      <c r="D24309" s="5">
        <v>0.1</v>
      </c>
      <c r="E24309" s="5">
        <v>97.7</v>
      </c>
      <c r="F24309" s="5">
        <v>207.8</v>
      </c>
      <c r="G24309" s="5">
        <v>103.7</v>
      </c>
      <c r="H24309" s="5">
        <v>103.6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97.6</v>
      </c>
      <c r="D24310" s="5">
        <v>0.1</v>
      </c>
      <c r="E24310" s="5">
        <v>97.7</v>
      </c>
      <c r="F24310" s="5">
        <v>207.8</v>
      </c>
      <c r="G24310" s="5">
        <v>103.7</v>
      </c>
      <c r="H24310" s="5">
        <v>103.6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97.6</v>
      </c>
      <c r="D24311" s="5">
        <v>0.1</v>
      </c>
      <c r="E24311" s="5">
        <v>97.7</v>
      </c>
      <c r="F24311" s="5">
        <v>207.8</v>
      </c>
      <c r="G24311" s="5">
        <v>103.7</v>
      </c>
      <c r="H24311" s="5">
        <v>103.6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97.6</v>
      </c>
      <c r="D24312" s="5">
        <v>0.1</v>
      </c>
      <c r="E24312" s="5">
        <v>97.7</v>
      </c>
      <c r="F24312" s="5">
        <v>207.8</v>
      </c>
      <c r="G24312" s="5">
        <v>103.7</v>
      </c>
      <c r="H24312" s="5">
        <v>103.6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104.3</v>
      </c>
      <c r="D24313" s="5">
        <v>0.1</v>
      </c>
      <c r="E24313" s="5">
        <v>104.3</v>
      </c>
      <c r="F24313" s="5">
        <v>208.7</v>
      </c>
      <c r="G24313" s="5">
        <v>104.2</v>
      </c>
      <c r="H24313" s="5">
        <v>104.1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104.3</v>
      </c>
      <c r="D24314" s="5">
        <v>0.1</v>
      </c>
      <c r="E24314" s="5">
        <v>104.3</v>
      </c>
      <c r="F24314" s="5">
        <v>208.7</v>
      </c>
      <c r="G24314" s="5">
        <v>104.2</v>
      </c>
      <c r="H24314" s="5">
        <v>104.1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104.7</v>
      </c>
      <c r="D24315" s="5">
        <v>0.1</v>
      </c>
      <c r="E24315" s="5">
        <v>104.9</v>
      </c>
      <c r="F24315" s="5">
        <v>208.7</v>
      </c>
      <c r="G24315" s="5">
        <v>104.2</v>
      </c>
      <c r="H24315" s="5">
        <v>104.1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104.7</v>
      </c>
      <c r="D24316" s="5">
        <v>0.1</v>
      </c>
      <c r="E24316" s="5">
        <v>104.9</v>
      </c>
      <c r="F24316" s="5">
        <v>208.7</v>
      </c>
      <c r="G24316" s="5">
        <v>104.2</v>
      </c>
      <c r="H24316" s="5">
        <v>104.1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104.8</v>
      </c>
      <c r="D24317" s="5">
        <v>0.1</v>
      </c>
      <c r="E24317" s="5">
        <v>105</v>
      </c>
      <c r="F24317" s="5">
        <v>209.1</v>
      </c>
      <c r="G24317" s="5">
        <v>104.4</v>
      </c>
      <c r="H24317" s="5">
        <v>104.2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104.8</v>
      </c>
      <c r="D24318" s="5">
        <v>0.1</v>
      </c>
      <c r="E24318" s="5">
        <v>105</v>
      </c>
      <c r="F24318" s="5">
        <v>209.1</v>
      </c>
      <c r="G24318" s="5">
        <v>104.4</v>
      </c>
      <c r="H24318" s="5">
        <v>104.2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103.5</v>
      </c>
      <c r="D24319" s="5">
        <v>0.1</v>
      </c>
      <c r="E24319" s="5">
        <v>103.6</v>
      </c>
      <c r="F24319" s="5">
        <v>206.7</v>
      </c>
      <c r="G24319" s="5">
        <v>103.1</v>
      </c>
      <c r="H24319" s="5">
        <v>103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103.5</v>
      </c>
      <c r="D24320" s="5">
        <v>0.1</v>
      </c>
      <c r="E24320" s="5">
        <v>103.6</v>
      </c>
      <c r="F24320" s="5">
        <v>206.7</v>
      </c>
      <c r="G24320" s="5">
        <v>103.1</v>
      </c>
      <c r="H24320" s="5">
        <v>103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103.5</v>
      </c>
      <c r="D24321" s="5">
        <v>0.1</v>
      </c>
      <c r="E24321" s="5">
        <v>103.6</v>
      </c>
      <c r="F24321" s="5">
        <v>206.7</v>
      </c>
      <c r="G24321" s="5">
        <v>103.1</v>
      </c>
      <c r="H24321" s="5">
        <v>103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103.5</v>
      </c>
      <c r="D24322" s="5">
        <v>0.1</v>
      </c>
      <c r="E24322" s="5">
        <v>103.6</v>
      </c>
      <c r="F24322" s="5">
        <v>206.7</v>
      </c>
      <c r="G24322" s="5">
        <v>103.1</v>
      </c>
      <c r="H24322" s="5">
        <v>103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101.4</v>
      </c>
      <c r="D24323" s="5">
        <v>0.1</v>
      </c>
      <c r="E24323" s="5">
        <v>101.5</v>
      </c>
      <c r="F24323" s="5">
        <v>207.2</v>
      </c>
      <c r="G24323" s="5">
        <v>103.5</v>
      </c>
      <c r="H24323" s="5">
        <v>103.2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101.4</v>
      </c>
      <c r="D24324" s="5">
        <v>0.1</v>
      </c>
      <c r="E24324" s="5">
        <v>101.5</v>
      </c>
      <c r="F24324" s="5">
        <v>207.2</v>
      </c>
      <c r="G24324" s="5">
        <v>103.5</v>
      </c>
      <c r="H24324" s="5">
        <v>103.2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100.2</v>
      </c>
      <c r="D24325" s="5">
        <v>0.1</v>
      </c>
      <c r="E24325" s="5">
        <v>100.3</v>
      </c>
      <c r="F24325" s="5">
        <v>202.2</v>
      </c>
      <c r="G24325" s="5">
        <v>103</v>
      </c>
      <c r="H24325" s="5">
        <v>104.2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100.2</v>
      </c>
      <c r="D24326" s="5">
        <v>0.1</v>
      </c>
      <c r="E24326" s="5">
        <v>100.3</v>
      </c>
      <c r="F24326" s="5">
        <v>202.2</v>
      </c>
      <c r="G24326" s="5">
        <v>103</v>
      </c>
      <c r="H24326" s="5">
        <v>104.2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104</v>
      </c>
      <c r="D24327" s="5">
        <v>0.1</v>
      </c>
      <c r="E24327" s="5">
        <v>104.1</v>
      </c>
      <c r="F24327" s="5">
        <v>209.7</v>
      </c>
      <c r="G24327" s="5">
        <v>104.7</v>
      </c>
      <c r="H24327" s="5">
        <v>102.5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104</v>
      </c>
      <c r="D24328" s="5">
        <v>0.1</v>
      </c>
      <c r="E24328" s="5">
        <v>104.1</v>
      </c>
      <c r="F24328" s="5">
        <v>209.7</v>
      </c>
      <c r="G24328" s="5">
        <v>104.7</v>
      </c>
      <c r="H24328" s="5">
        <v>102.5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100.6</v>
      </c>
      <c r="D24329" s="5">
        <v>0.1</v>
      </c>
      <c r="E24329" s="5">
        <v>100.8</v>
      </c>
      <c r="F24329" s="5">
        <v>209.3</v>
      </c>
      <c r="G24329" s="5">
        <v>103</v>
      </c>
      <c r="H24329" s="5">
        <v>101.5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100.6</v>
      </c>
      <c r="D24330" s="5">
        <v>0.1</v>
      </c>
      <c r="E24330" s="5">
        <v>100.8</v>
      </c>
      <c r="F24330" s="5">
        <v>209.3</v>
      </c>
      <c r="G24330" s="5">
        <v>103</v>
      </c>
      <c r="H24330" s="5">
        <v>101.5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100.6</v>
      </c>
      <c r="D24331" s="5">
        <v>0.1</v>
      </c>
      <c r="E24331" s="5">
        <v>100.8</v>
      </c>
      <c r="F24331" s="5">
        <v>209.3</v>
      </c>
      <c r="G24331" s="5">
        <v>103</v>
      </c>
      <c r="H24331" s="5">
        <v>101.5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100.6</v>
      </c>
      <c r="D24332" s="5">
        <v>0.1</v>
      </c>
      <c r="E24332" s="5">
        <v>100.8</v>
      </c>
      <c r="F24332" s="5">
        <v>209.3</v>
      </c>
      <c r="G24332" s="5">
        <v>103</v>
      </c>
      <c r="H24332" s="5">
        <v>101.5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101.5</v>
      </c>
      <c r="D24333" s="5">
        <v>0.1</v>
      </c>
      <c r="E24333" s="5">
        <v>101.6</v>
      </c>
      <c r="F24333" s="5">
        <v>203</v>
      </c>
      <c r="G24333" s="5">
        <v>101.3</v>
      </c>
      <c r="H24333" s="5">
        <v>101.1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101.5</v>
      </c>
      <c r="D24334" s="5">
        <v>0.1</v>
      </c>
      <c r="E24334" s="5">
        <v>101.6</v>
      </c>
      <c r="F24334" s="5">
        <v>203</v>
      </c>
      <c r="G24334" s="5">
        <v>101.3</v>
      </c>
      <c r="H24334" s="5">
        <v>101.1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101.3</v>
      </c>
      <c r="D24335" s="5">
        <v>0.1</v>
      </c>
      <c r="E24335" s="5">
        <v>101.5</v>
      </c>
      <c r="F24335" s="5">
        <v>202.8</v>
      </c>
      <c r="G24335" s="5">
        <v>101</v>
      </c>
      <c r="H24335" s="5">
        <v>100.5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101.3</v>
      </c>
      <c r="D24336" s="5">
        <v>0.1</v>
      </c>
      <c r="E24336" s="5">
        <v>101.5</v>
      </c>
      <c r="F24336" s="5">
        <v>202.8</v>
      </c>
      <c r="G24336" s="5">
        <v>101</v>
      </c>
      <c r="H24336" s="5">
        <v>100.5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101</v>
      </c>
      <c r="D24337" s="5">
        <v>0.1</v>
      </c>
      <c r="E24337" s="5">
        <v>101.1</v>
      </c>
      <c r="F24337" s="5">
        <v>202.7</v>
      </c>
      <c r="G24337" s="5">
        <v>101.1</v>
      </c>
      <c r="H24337" s="5">
        <v>100.8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101</v>
      </c>
      <c r="D24338" s="5">
        <v>0.1</v>
      </c>
      <c r="E24338" s="5">
        <v>101.1</v>
      </c>
      <c r="F24338" s="5">
        <v>202.7</v>
      </c>
      <c r="G24338" s="5">
        <v>101.1</v>
      </c>
      <c r="H24338" s="5">
        <v>100.8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104.3</v>
      </c>
      <c r="D24339" s="5">
        <v>0.1</v>
      </c>
      <c r="E24339" s="5">
        <v>104.5</v>
      </c>
      <c r="F24339" s="5">
        <v>209.7</v>
      </c>
      <c r="G24339" s="5">
        <v>104.5</v>
      </c>
      <c r="H24339" s="5">
        <v>104.1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104.3</v>
      </c>
      <c r="D24340" s="5">
        <v>0.1</v>
      </c>
      <c r="E24340" s="5">
        <v>104.5</v>
      </c>
      <c r="F24340" s="5">
        <v>209.7</v>
      </c>
      <c r="G24340" s="5">
        <v>104.5</v>
      </c>
      <c r="H24340" s="5">
        <v>104.1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104.3</v>
      </c>
      <c r="D24341" s="5">
        <v>0.1</v>
      </c>
      <c r="E24341" s="5">
        <v>104.5</v>
      </c>
      <c r="F24341" s="5">
        <v>209.7</v>
      </c>
      <c r="G24341" s="5">
        <v>104.5</v>
      </c>
      <c r="H24341" s="5">
        <v>104.1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104.3</v>
      </c>
      <c r="D24342" s="5">
        <v>0.1</v>
      </c>
      <c r="E24342" s="5">
        <v>104.5</v>
      </c>
      <c r="F24342" s="5">
        <v>209.7</v>
      </c>
      <c r="G24342" s="5">
        <v>104.5</v>
      </c>
      <c r="H24342" s="5">
        <v>104.1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105.3</v>
      </c>
      <c r="D24343" s="5">
        <v>0.1</v>
      </c>
      <c r="E24343" s="5">
        <v>105.4</v>
      </c>
      <c r="F24343" s="5">
        <v>203.7</v>
      </c>
      <c r="G24343" s="5">
        <v>101.6</v>
      </c>
      <c r="H24343" s="5">
        <v>101.3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105.3</v>
      </c>
      <c r="D24344" s="5">
        <v>0.1</v>
      </c>
      <c r="E24344" s="5">
        <v>105.4</v>
      </c>
      <c r="F24344" s="5">
        <v>203.7</v>
      </c>
      <c r="G24344" s="5">
        <v>101.6</v>
      </c>
      <c r="H24344" s="5">
        <v>101.3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104.8</v>
      </c>
      <c r="D24345" s="5">
        <v>0.1</v>
      </c>
      <c r="E24345" s="5">
        <v>105</v>
      </c>
      <c r="F24345" s="5">
        <v>210.2</v>
      </c>
      <c r="G24345" s="5">
        <v>104.9</v>
      </c>
      <c r="H24345" s="5">
        <v>104.8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104.8</v>
      </c>
      <c r="D24346" s="5">
        <v>0.1</v>
      </c>
      <c r="E24346" s="5">
        <v>105</v>
      </c>
      <c r="F24346" s="5">
        <v>210.2</v>
      </c>
      <c r="G24346" s="5">
        <v>104.9</v>
      </c>
      <c r="H24346" s="5">
        <v>104.8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106.1</v>
      </c>
      <c r="D24347" s="5">
        <v>0.1</v>
      </c>
      <c r="E24347" s="5">
        <v>106.2</v>
      </c>
      <c r="F24347" s="5">
        <v>211.7</v>
      </c>
      <c r="G24347" s="5">
        <v>105.6</v>
      </c>
      <c r="H24347" s="5">
        <v>105.5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106.1</v>
      </c>
      <c r="D24348" s="5">
        <v>0.1</v>
      </c>
      <c r="E24348" s="5">
        <v>106.2</v>
      </c>
      <c r="F24348" s="5">
        <v>211.7</v>
      </c>
      <c r="G24348" s="5">
        <v>105.6</v>
      </c>
      <c r="H24348" s="5">
        <v>105.5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101.7</v>
      </c>
      <c r="D24349" s="5">
        <v>0.1</v>
      </c>
      <c r="E24349" s="5">
        <v>101.8</v>
      </c>
      <c r="F24349" s="5">
        <v>209.6</v>
      </c>
      <c r="G24349" s="5">
        <v>104.7</v>
      </c>
      <c r="H24349" s="5">
        <v>104.7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101.7</v>
      </c>
      <c r="D24350" s="5">
        <v>0.1</v>
      </c>
      <c r="E24350" s="5">
        <v>101.8</v>
      </c>
      <c r="F24350" s="5">
        <v>209.6</v>
      </c>
      <c r="G24350" s="5">
        <v>104.7</v>
      </c>
      <c r="H24350" s="5">
        <v>104.7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101.7</v>
      </c>
      <c r="D24351" s="5">
        <v>0.1</v>
      </c>
      <c r="E24351" s="5">
        <v>101.8</v>
      </c>
      <c r="F24351" s="5">
        <v>209.6</v>
      </c>
      <c r="G24351" s="5">
        <v>104.7</v>
      </c>
      <c r="H24351" s="5">
        <v>104.7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101.7</v>
      </c>
      <c r="D24352" s="5">
        <v>0.1</v>
      </c>
      <c r="E24352" s="5">
        <v>101.8</v>
      </c>
      <c r="F24352" s="5">
        <v>209.6</v>
      </c>
      <c r="G24352" s="5">
        <v>104.7</v>
      </c>
      <c r="H24352" s="5">
        <v>104.7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105.2</v>
      </c>
      <c r="D24353" s="5">
        <v>0.1</v>
      </c>
      <c r="E24353" s="5">
        <v>105.3</v>
      </c>
      <c r="F24353" s="5">
        <v>210.1</v>
      </c>
      <c r="G24353" s="5">
        <v>104.8</v>
      </c>
      <c r="H24353" s="5">
        <v>104.6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105.2</v>
      </c>
      <c r="D24354" s="5">
        <v>0.1</v>
      </c>
      <c r="E24354" s="5">
        <v>105.3</v>
      </c>
      <c r="F24354" s="5">
        <v>210.1</v>
      </c>
      <c r="G24354" s="5">
        <v>104.8</v>
      </c>
      <c r="H24354" s="5">
        <v>104.6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105</v>
      </c>
      <c r="D24355" s="5">
        <v>0.1</v>
      </c>
      <c r="E24355" s="5">
        <v>105.2</v>
      </c>
      <c r="F24355" s="5">
        <v>210.4</v>
      </c>
      <c r="G24355" s="5">
        <v>105</v>
      </c>
      <c r="H24355" s="5">
        <v>104.8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105</v>
      </c>
      <c r="D24356" s="5">
        <v>0.1</v>
      </c>
      <c r="E24356" s="5">
        <v>105.2</v>
      </c>
      <c r="F24356" s="5">
        <v>210.4</v>
      </c>
      <c r="G24356" s="5">
        <v>105</v>
      </c>
      <c r="H24356" s="5">
        <v>104.8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101.3</v>
      </c>
      <c r="D24357" s="5">
        <v>0.1</v>
      </c>
      <c r="E24357" s="5">
        <v>101.5</v>
      </c>
      <c r="F24357" s="5">
        <v>204.6</v>
      </c>
      <c r="G24357" s="5">
        <v>102</v>
      </c>
      <c r="H24357" s="5">
        <v>101.8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101.3</v>
      </c>
      <c r="D24358" s="5">
        <v>0.1</v>
      </c>
      <c r="E24358" s="5">
        <v>101.5</v>
      </c>
      <c r="F24358" s="5">
        <v>204.6</v>
      </c>
      <c r="G24358" s="5">
        <v>102</v>
      </c>
      <c r="H24358" s="5">
        <v>101.8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104</v>
      </c>
      <c r="D24359" s="5">
        <v>0.1</v>
      </c>
      <c r="E24359" s="5">
        <v>104.2</v>
      </c>
      <c r="F24359" s="5">
        <v>207.4</v>
      </c>
      <c r="G24359" s="5">
        <v>103.5</v>
      </c>
      <c r="H24359" s="5">
        <v>103.4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104</v>
      </c>
      <c r="D24360" s="5">
        <v>0.1</v>
      </c>
      <c r="E24360" s="5">
        <v>104.2</v>
      </c>
      <c r="F24360" s="5">
        <v>207.4</v>
      </c>
      <c r="G24360" s="5">
        <v>103.5</v>
      </c>
      <c r="H24360" s="5">
        <v>103.4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104</v>
      </c>
      <c r="D24361" s="5">
        <v>0.1</v>
      </c>
      <c r="E24361" s="5">
        <v>104.2</v>
      </c>
      <c r="F24361" s="5">
        <v>207.4</v>
      </c>
      <c r="G24361" s="5">
        <v>103.5</v>
      </c>
      <c r="H24361" s="5">
        <v>103.4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98</v>
      </c>
      <c r="D24362" s="5">
        <v>0.1</v>
      </c>
      <c r="E24362" s="5">
        <v>98.1</v>
      </c>
      <c r="F24362" s="5">
        <v>204.3</v>
      </c>
      <c r="G24362" s="5">
        <v>101.6</v>
      </c>
      <c r="H24362" s="5">
        <v>101.2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98</v>
      </c>
      <c r="D24363" s="5">
        <v>0.1</v>
      </c>
      <c r="E24363" s="5">
        <v>98.1</v>
      </c>
      <c r="F24363" s="5">
        <v>204.3</v>
      </c>
      <c r="G24363" s="5">
        <v>101.6</v>
      </c>
      <c r="H24363" s="5">
        <v>101.2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96.3</v>
      </c>
      <c r="D24364" s="5">
        <v>0.1</v>
      </c>
      <c r="E24364" s="5">
        <v>96.4</v>
      </c>
      <c r="F24364" s="5">
        <v>188.4</v>
      </c>
      <c r="G24364" s="5">
        <v>101.6</v>
      </c>
      <c r="H24364" s="5">
        <v>101.2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96.3</v>
      </c>
      <c r="D24365" s="5">
        <v>0.1</v>
      </c>
      <c r="E24365" s="5">
        <v>96.4</v>
      </c>
      <c r="F24365" s="5">
        <v>188.4</v>
      </c>
      <c r="G24365" s="5">
        <v>94.2</v>
      </c>
      <c r="H24365" s="5">
        <v>94.2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97.5</v>
      </c>
      <c r="D24366" s="5">
        <v>0.1</v>
      </c>
      <c r="E24366" s="5">
        <v>97.6</v>
      </c>
      <c r="F24366" s="5">
        <v>188.4</v>
      </c>
      <c r="G24366" s="5">
        <v>94.2</v>
      </c>
      <c r="H24366" s="5">
        <v>94.2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97.5</v>
      </c>
      <c r="D24367" s="5">
        <v>0.1</v>
      </c>
      <c r="E24367" s="5">
        <v>97.6</v>
      </c>
      <c r="F24367" s="5">
        <v>198.8</v>
      </c>
      <c r="G24367" s="5">
        <v>99</v>
      </c>
      <c r="H24367" s="5">
        <v>98.7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95.8</v>
      </c>
      <c r="D24368" s="5">
        <v>0.1</v>
      </c>
      <c r="E24368" s="5">
        <v>97.6</v>
      </c>
      <c r="F24368" s="5">
        <v>198.8</v>
      </c>
      <c r="G24368" s="5">
        <v>99</v>
      </c>
      <c r="H24368" s="5">
        <v>98.7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95.8</v>
      </c>
      <c r="D24369" s="5">
        <v>0.1</v>
      </c>
      <c r="E24369" s="5">
        <v>95.9</v>
      </c>
      <c r="F24369" s="5">
        <v>191</v>
      </c>
      <c r="G24369" s="5">
        <v>95.3</v>
      </c>
      <c r="H24369" s="5">
        <v>95.2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95.8</v>
      </c>
      <c r="D24370" s="5">
        <v>0.1</v>
      </c>
      <c r="E24370" s="5">
        <v>95.9</v>
      </c>
      <c r="F24370" s="5">
        <v>191</v>
      </c>
      <c r="G24370" s="5">
        <v>95.3</v>
      </c>
      <c r="H24370" s="5">
        <v>95.2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95.8</v>
      </c>
      <c r="D24371" s="5">
        <v>0.1</v>
      </c>
      <c r="E24371" s="5">
        <v>95.9</v>
      </c>
      <c r="F24371" s="5">
        <v>191</v>
      </c>
      <c r="G24371" s="5">
        <v>95.3</v>
      </c>
      <c r="H24371" s="5">
        <v>95.2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95.8</v>
      </c>
      <c r="D24372" s="5">
        <v>0.1</v>
      </c>
      <c r="E24372" s="5">
        <v>95.9</v>
      </c>
      <c r="F24372" s="5">
        <v>191</v>
      </c>
      <c r="G24372" s="5">
        <v>95.3</v>
      </c>
      <c r="H24372" s="5">
        <v>95.2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94.2</v>
      </c>
      <c r="D24373" s="5">
        <v>0.1</v>
      </c>
      <c r="E24373" s="5">
        <v>94.4</v>
      </c>
      <c r="F24373" s="5">
        <v>189.3</v>
      </c>
      <c r="G24373" s="5">
        <v>94.5</v>
      </c>
      <c r="H24373" s="5">
        <v>94.5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94.2</v>
      </c>
      <c r="D24374" s="5">
        <v>0.1</v>
      </c>
      <c r="E24374" s="5">
        <v>94.4</v>
      </c>
      <c r="F24374" s="5">
        <v>189.3</v>
      </c>
      <c r="G24374" s="5">
        <v>94.5</v>
      </c>
      <c r="H24374" s="5">
        <v>94.5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102.1</v>
      </c>
      <c r="D24375" s="5">
        <v>0.1</v>
      </c>
      <c r="E24375" s="5">
        <v>102.3</v>
      </c>
      <c r="F24375" s="5">
        <v>199.1</v>
      </c>
      <c r="G24375" s="5">
        <v>99.6</v>
      </c>
      <c r="H24375" s="5">
        <v>99.7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102.1</v>
      </c>
      <c r="D24376" s="5">
        <v>0.1</v>
      </c>
      <c r="E24376" s="5">
        <v>102.3</v>
      </c>
      <c r="F24376" s="5">
        <v>199.1</v>
      </c>
      <c r="G24376" s="5">
        <v>99.6</v>
      </c>
      <c r="H24376" s="5">
        <v>99.7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103</v>
      </c>
      <c r="D24377" s="5">
        <v>0.1</v>
      </c>
      <c r="E24377" s="5">
        <v>103.1</v>
      </c>
      <c r="F24377" s="5">
        <v>204.5</v>
      </c>
      <c r="G24377" s="5">
        <v>102.1</v>
      </c>
      <c r="H24377" s="5">
        <v>102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103</v>
      </c>
      <c r="D24378" s="5">
        <v>0.1</v>
      </c>
      <c r="E24378" s="5">
        <v>103.1</v>
      </c>
      <c r="F24378" s="5">
        <v>204.5</v>
      </c>
      <c r="G24378" s="5">
        <v>102.1</v>
      </c>
      <c r="H24378" s="5">
        <v>102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100.1</v>
      </c>
      <c r="D24379" s="5">
        <v>0.1</v>
      </c>
      <c r="E24379" s="5">
        <v>100.2</v>
      </c>
      <c r="F24379" s="5">
        <v>201.3</v>
      </c>
      <c r="G24379" s="5">
        <v>100.5</v>
      </c>
      <c r="H24379" s="5">
        <v>100.4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100.1</v>
      </c>
      <c r="D24380" s="5">
        <v>0.1</v>
      </c>
      <c r="E24380" s="5">
        <v>100.2</v>
      </c>
      <c r="F24380" s="5">
        <v>201.3</v>
      </c>
      <c r="G24380" s="5">
        <v>100.5</v>
      </c>
      <c r="H24380" s="5">
        <v>100.4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100.1</v>
      </c>
      <c r="D24381" s="5">
        <v>0.1</v>
      </c>
      <c r="E24381" s="5">
        <v>100.2</v>
      </c>
      <c r="F24381" s="5">
        <v>201.3</v>
      </c>
      <c r="G24381" s="5">
        <v>100.5</v>
      </c>
      <c r="H24381" s="5">
        <v>100.4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100.1</v>
      </c>
      <c r="D24382" s="5">
        <v>0.1</v>
      </c>
      <c r="E24382" s="5">
        <v>100.2</v>
      </c>
      <c r="F24382" s="5">
        <v>201.3</v>
      </c>
      <c r="G24382" s="5">
        <v>100.5</v>
      </c>
      <c r="H24382" s="5">
        <v>100.4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96.5</v>
      </c>
      <c r="D24383" s="5">
        <v>0.1</v>
      </c>
      <c r="E24383" s="5">
        <v>96.7</v>
      </c>
      <c r="F24383" s="5">
        <v>192</v>
      </c>
      <c r="G24383" s="5">
        <v>95.9</v>
      </c>
      <c r="H24383" s="5">
        <v>95.9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96.5</v>
      </c>
      <c r="D24384" s="5">
        <v>0.1</v>
      </c>
      <c r="E24384" s="5">
        <v>96.7</v>
      </c>
      <c r="F24384" s="5">
        <v>192</v>
      </c>
      <c r="G24384" s="5">
        <v>95.9</v>
      </c>
      <c r="H24384" s="5">
        <v>95.9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95.5</v>
      </c>
      <c r="D24385" s="5">
        <v>0.1</v>
      </c>
      <c r="E24385" s="5">
        <v>95.7</v>
      </c>
      <c r="F24385" s="5">
        <v>195.8</v>
      </c>
      <c r="G24385" s="5">
        <v>97.5</v>
      </c>
      <c r="H24385" s="5">
        <v>97.1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95.5</v>
      </c>
      <c r="D24386" s="5">
        <v>0.1</v>
      </c>
      <c r="E24386" s="5">
        <v>95.7</v>
      </c>
      <c r="F24386" s="5">
        <v>195.8</v>
      </c>
      <c r="G24386" s="5">
        <v>97.5</v>
      </c>
      <c r="H24386" s="5">
        <v>97.1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98.2</v>
      </c>
      <c r="D24387" s="5">
        <v>0.1</v>
      </c>
      <c r="E24387" s="5">
        <v>98.3</v>
      </c>
      <c r="F24387" s="5">
        <v>192.9</v>
      </c>
      <c r="G24387" s="5">
        <v>96.3</v>
      </c>
      <c r="H24387" s="5">
        <v>96.2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98.2</v>
      </c>
      <c r="D24388" s="5">
        <v>0.1</v>
      </c>
      <c r="E24388" s="5">
        <v>98.3</v>
      </c>
      <c r="F24388" s="5">
        <v>192.9</v>
      </c>
      <c r="G24388" s="5">
        <v>96.3</v>
      </c>
      <c r="H24388" s="5">
        <v>96.2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100.1</v>
      </c>
      <c r="D24389" s="5">
        <v>0.1</v>
      </c>
      <c r="E24389" s="5">
        <v>100.2</v>
      </c>
      <c r="F24389" s="5">
        <v>201.5</v>
      </c>
      <c r="G24389" s="5">
        <v>100.4</v>
      </c>
      <c r="H24389" s="5">
        <v>100.2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100.1</v>
      </c>
      <c r="D24390" s="5">
        <v>0.1</v>
      </c>
      <c r="E24390" s="5">
        <v>100.2</v>
      </c>
      <c r="F24390" s="5">
        <v>201.5</v>
      </c>
      <c r="G24390" s="5">
        <v>100.4</v>
      </c>
      <c r="H24390" s="5">
        <v>100.2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100.1</v>
      </c>
      <c r="D24391" s="5">
        <v>0.1</v>
      </c>
      <c r="E24391" s="5">
        <v>100.2</v>
      </c>
      <c r="F24391" s="5">
        <v>201.5</v>
      </c>
      <c r="G24391" s="5">
        <v>100.4</v>
      </c>
      <c r="H24391" s="5">
        <v>100.2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100.1</v>
      </c>
      <c r="D24392" s="5">
        <v>0.1</v>
      </c>
      <c r="E24392" s="5">
        <v>100.2</v>
      </c>
      <c r="F24392" s="5">
        <v>201.5</v>
      </c>
      <c r="G24392" s="5">
        <v>100.7</v>
      </c>
      <c r="H24392" s="5">
        <v>100.7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105</v>
      </c>
      <c r="D24393" s="5">
        <v>0.1</v>
      </c>
      <c r="E24393" s="5">
        <v>105.2</v>
      </c>
      <c r="F24393" s="5">
        <v>201.3</v>
      </c>
      <c r="G24393" s="5">
        <v>100.7</v>
      </c>
      <c r="H24393" s="5">
        <v>100.7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103.5</v>
      </c>
      <c r="D24394" s="5">
        <v>0.1</v>
      </c>
      <c r="E24394" s="5">
        <v>100.8</v>
      </c>
      <c r="F24394" s="5">
        <v>208</v>
      </c>
      <c r="G24394" s="5">
        <v>103.8</v>
      </c>
      <c r="H24394" s="5">
        <v>100.6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103.5</v>
      </c>
      <c r="D24395" s="5">
        <v>0.1</v>
      </c>
      <c r="E24395" s="5">
        <v>103.7</v>
      </c>
      <c r="F24395" s="5">
        <v>202</v>
      </c>
      <c r="G24395" s="5">
        <v>100.8</v>
      </c>
      <c r="H24395" s="5">
        <v>100.6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103.5</v>
      </c>
      <c r="D24396" s="5">
        <v>0.1</v>
      </c>
      <c r="E24396" s="5">
        <v>103.7</v>
      </c>
      <c r="F24396" s="5">
        <v>202</v>
      </c>
      <c r="G24396" s="5">
        <v>100.8</v>
      </c>
      <c r="H24396" s="5">
        <v>100.6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104.6</v>
      </c>
      <c r="D24397" s="5">
        <v>0.1</v>
      </c>
      <c r="E24397" s="5">
        <v>104.8</v>
      </c>
      <c r="F24397" s="5">
        <v>209.5</v>
      </c>
      <c r="G24397" s="5">
        <v>104.6</v>
      </c>
      <c r="H24397" s="5">
        <v>104.4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104.6</v>
      </c>
      <c r="D24398" s="5">
        <v>0.1</v>
      </c>
      <c r="E24398" s="5">
        <v>104.8</v>
      </c>
      <c r="F24398" s="5">
        <v>209.5</v>
      </c>
      <c r="G24398" s="5">
        <v>104.6</v>
      </c>
      <c r="H24398" s="5">
        <v>104.4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104.6</v>
      </c>
      <c r="D24399" s="5">
        <v>0.1</v>
      </c>
      <c r="E24399" s="5">
        <v>104.8</v>
      </c>
      <c r="F24399" s="5">
        <v>209.5</v>
      </c>
      <c r="G24399" s="5">
        <v>104.6</v>
      </c>
      <c r="H24399" s="5">
        <v>104.4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99.2</v>
      </c>
      <c r="D24400" s="5">
        <v>0.1</v>
      </c>
      <c r="E24400" s="5">
        <v>99.3</v>
      </c>
      <c r="F24400" s="5">
        <v>199.2</v>
      </c>
      <c r="G24400" s="5">
        <v>99.4</v>
      </c>
      <c r="H24400" s="5">
        <v>99.3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99.2</v>
      </c>
      <c r="D24401" s="5">
        <v>0.1</v>
      </c>
      <c r="E24401" s="5">
        <v>99.3</v>
      </c>
      <c r="F24401" s="5">
        <v>199.2</v>
      </c>
      <c r="G24401" s="5">
        <v>99.4</v>
      </c>
      <c r="H24401" s="5">
        <v>99.3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95.4</v>
      </c>
      <c r="D24402" s="5">
        <v>0.1</v>
      </c>
      <c r="E24402" s="5">
        <v>95.5</v>
      </c>
      <c r="F24402" s="5">
        <v>188.7</v>
      </c>
      <c r="G24402" s="5">
        <v>94.3</v>
      </c>
      <c r="H24402" s="5">
        <v>94.3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95.4</v>
      </c>
      <c r="D24403" s="5">
        <v>0.1</v>
      </c>
      <c r="E24403" s="5">
        <v>95.5</v>
      </c>
      <c r="F24403" s="5">
        <v>188.7</v>
      </c>
      <c r="G24403" s="5">
        <v>94.3</v>
      </c>
      <c r="H24403" s="5">
        <v>94.3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101.1</v>
      </c>
      <c r="D24404" s="5">
        <v>0.1</v>
      </c>
      <c r="E24404" s="5">
        <v>101.3</v>
      </c>
      <c r="F24404" s="5">
        <v>202.4</v>
      </c>
      <c r="G24404" s="5">
        <v>101</v>
      </c>
      <c r="H24404" s="5">
        <v>100.8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101.1</v>
      </c>
      <c r="D24405" s="5">
        <v>0.1</v>
      </c>
      <c r="E24405" s="5">
        <v>101.3</v>
      </c>
      <c r="F24405" s="5">
        <v>202.4</v>
      </c>
      <c r="G24405" s="5">
        <v>101</v>
      </c>
      <c r="H24405" s="5">
        <v>100.8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101.4</v>
      </c>
      <c r="D24406" s="5">
        <v>0.1</v>
      </c>
      <c r="E24406" s="5">
        <v>101.5</v>
      </c>
      <c r="F24406" s="5">
        <v>200.8</v>
      </c>
      <c r="G24406" s="5">
        <v>100.3</v>
      </c>
      <c r="H24406" s="5">
        <v>100.2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101.4</v>
      </c>
      <c r="D24407" s="5">
        <v>0.1</v>
      </c>
      <c r="E24407" s="5">
        <v>101.5</v>
      </c>
      <c r="F24407" s="5">
        <v>200.8</v>
      </c>
      <c r="G24407" s="5">
        <v>100.3</v>
      </c>
      <c r="H24407" s="5">
        <v>100.2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101.4</v>
      </c>
      <c r="D24408" s="5">
        <v>0.1</v>
      </c>
      <c r="E24408" s="5">
        <v>101.5</v>
      </c>
      <c r="F24408" s="5">
        <v>200.8</v>
      </c>
      <c r="G24408" s="5">
        <v>100.3</v>
      </c>
      <c r="H24408" s="5">
        <v>100.2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101.4</v>
      </c>
      <c r="D24409" s="5">
        <v>0.1</v>
      </c>
      <c r="E24409" s="5">
        <v>101.5</v>
      </c>
      <c r="F24409" s="5">
        <v>200.8</v>
      </c>
      <c r="G24409" s="5">
        <v>100.3</v>
      </c>
      <c r="H24409" s="5">
        <v>100.2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99.5</v>
      </c>
      <c r="D24410" s="5">
        <v>0.1</v>
      </c>
      <c r="E24410" s="5">
        <v>99.6</v>
      </c>
      <c r="F24410" s="5">
        <v>198</v>
      </c>
      <c r="G24410" s="5">
        <v>98.9</v>
      </c>
      <c r="H24410" s="5">
        <v>98.9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99.5</v>
      </c>
      <c r="D24411" s="5">
        <v>0.1</v>
      </c>
      <c r="E24411" s="5">
        <v>99.6</v>
      </c>
      <c r="F24411" s="5">
        <v>198</v>
      </c>
      <c r="G24411" s="5">
        <v>98.9</v>
      </c>
      <c r="H24411" s="5">
        <v>98.9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98.4</v>
      </c>
      <c r="D24412" s="5">
        <v>0.1</v>
      </c>
      <c r="E24412" s="5">
        <v>98.6</v>
      </c>
      <c r="F24412" s="5">
        <v>186.9</v>
      </c>
      <c r="G24412" s="5">
        <v>93.2</v>
      </c>
      <c r="H24412" s="5">
        <v>93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98.4</v>
      </c>
      <c r="D24413" s="5">
        <v>0.1</v>
      </c>
      <c r="E24413" s="5">
        <v>98.6</v>
      </c>
      <c r="F24413" s="5">
        <v>186.9</v>
      </c>
      <c r="G24413" s="5">
        <v>93.2</v>
      </c>
      <c r="H24413" s="5">
        <v>93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100.8</v>
      </c>
      <c r="D24414" s="5">
        <v>0.1</v>
      </c>
      <c r="E24414" s="5">
        <v>101</v>
      </c>
      <c r="F24414" s="5">
        <v>201.7</v>
      </c>
      <c r="G24414" s="5">
        <v>100.6</v>
      </c>
      <c r="H24414" s="5">
        <v>100.5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96.4</v>
      </c>
      <c r="D24415" s="5">
        <v>0.1</v>
      </c>
      <c r="E24415" s="5">
        <v>96.6</v>
      </c>
      <c r="F24415" s="5">
        <v>196.3</v>
      </c>
      <c r="G24415" s="5">
        <v>97.6</v>
      </c>
      <c r="H24415" s="5">
        <v>97.1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96.4</v>
      </c>
      <c r="D24416" s="5">
        <v>0.1</v>
      </c>
      <c r="E24416" s="5">
        <v>96.6</v>
      </c>
      <c r="F24416" s="5">
        <v>196.3</v>
      </c>
      <c r="G24416" s="5">
        <v>97.6</v>
      </c>
      <c r="H24416" s="5">
        <v>97.1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96.4</v>
      </c>
      <c r="D24417" s="5">
        <v>0.1</v>
      </c>
      <c r="E24417" s="5">
        <v>96.6</v>
      </c>
      <c r="F24417" s="5">
        <v>196.3</v>
      </c>
      <c r="G24417" s="5">
        <v>97.6</v>
      </c>
      <c r="H24417" s="5">
        <v>97.1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96.4</v>
      </c>
      <c r="D24418" s="5">
        <v>0.1</v>
      </c>
      <c r="E24418" s="5">
        <v>96.6</v>
      </c>
      <c r="F24418" s="5">
        <v>196.3</v>
      </c>
      <c r="G24418" s="5">
        <v>97.6</v>
      </c>
      <c r="H24418" s="5">
        <v>97.1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92.9</v>
      </c>
      <c r="D24419" s="5">
        <v>0.1</v>
      </c>
      <c r="E24419" s="5">
        <v>93</v>
      </c>
      <c r="F24419" s="5">
        <v>184.8</v>
      </c>
      <c r="G24419" s="5">
        <v>92.3</v>
      </c>
      <c r="H24419" s="5">
        <v>92.4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92.9</v>
      </c>
      <c r="D24420" s="5">
        <v>0.1</v>
      </c>
      <c r="E24420" s="5">
        <v>93</v>
      </c>
      <c r="F24420" s="5">
        <v>184.8</v>
      </c>
      <c r="G24420" s="5">
        <v>92.3</v>
      </c>
      <c r="H24420" s="5">
        <v>92.4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96.7</v>
      </c>
      <c r="D24421" s="5">
        <v>0.1</v>
      </c>
      <c r="E24421" s="5">
        <v>96.9</v>
      </c>
      <c r="F24421" s="5">
        <v>186</v>
      </c>
      <c r="G24421" s="5">
        <v>93.1</v>
      </c>
      <c r="H24421" s="5">
        <v>93.2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96.7</v>
      </c>
      <c r="D24422" s="5">
        <v>0.1</v>
      </c>
      <c r="E24422" s="5">
        <v>96.9</v>
      </c>
      <c r="F24422" s="5">
        <v>186</v>
      </c>
      <c r="G24422" s="5">
        <v>93.1</v>
      </c>
      <c r="H24422" s="5">
        <v>93.2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91.7</v>
      </c>
      <c r="D24423" s="5">
        <v>0.1</v>
      </c>
      <c r="E24423" s="5">
        <v>91.9</v>
      </c>
      <c r="F24423" s="5">
        <v>186.2</v>
      </c>
      <c r="G24423" s="5">
        <v>92.7</v>
      </c>
      <c r="H24423" s="5">
        <v>92.4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91.7</v>
      </c>
      <c r="D24424" s="5">
        <v>0.1</v>
      </c>
      <c r="E24424" s="5">
        <v>91.9</v>
      </c>
      <c r="F24424" s="5">
        <v>186.2</v>
      </c>
      <c r="G24424" s="5">
        <v>92.7</v>
      </c>
      <c r="H24424" s="5">
        <v>92.4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98.3</v>
      </c>
      <c r="D24425" s="5">
        <v>0.1</v>
      </c>
      <c r="E24425" s="5">
        <v>98.3</v>
      </c>
      <c r="F24425" s="5">
        <v>189.6</v>
      </c>
      <c r="G24425" s="5">
        <v>93.8</v>
      </c>
      <c r="H24425" s="5">
        <v>93.9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98.3</v>
      </c>
      <c r="D24426" s="5">
        <v>0.1</v>
      </c>
      <c r="E24426" s="5">
        <v>98.3</v>
      </c>
      <c r="F24426" s="5">
        <v>189.6</v>
      </c>
      <c r="G24426" s="5">
        <v>93.8</v>
      </c>
      <c r="H24426" s="5">
        <v>93.9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98.3</v>
      </c>
      <c r="D24427" s="5">
        <v>0.1</v>
      </c>
      <c r="E24427" s="5">
        <v>98.3</v>
      </c>
      <c r="F24427" s="5">
        <v>189.6</v>
      </c>
      <c r="G24427" s="5">
        <v>93.8</v>
      </c>
      <c r="H24427" s="5">
        <v>93.9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98.3</v>
      </c>
      <c r="D24428" s="5">
        <v>0.1</v>
      </c>
      <c r="E24428" s="5">
        <v>98.3</v>
      </c>
      <c r="F24428" s="5">
        <v>189.6</v>
      </c>
      <c r="G24428" s="5">
        <v>93.8</v>
      </c>
      <c r="H24428" s="5">
        <v>93.9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105.1</v>
      </c>
      <c r="D24429" s="5">
        <v>0.1</v>
      </c>
      <c r="E24429" s="5">
        <v>105.3</v>
      </c>
      <c r="F24429" s="5">
        <v>210.2</v>
      </c>
      <c r="G24429" s="5">
        <v>104.9</v>
      </c>
      <c r="H24429" s="5">
        <v>104.7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105.1</v>
      </c>
      <c r="D24430" s="5">
        <v>0.1</v>
      </c>
      <c r="E24430" s="5">
        <v>105.3</v>
      </c>
      <c r="F24430" s="5">
        <v>210.2</v>
      </c>
      <c r="G24430" s="5">
        <v>104.9</v>
      </c>
      <c r="H24430" s="5">
        <v>104.7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105</v>
      </c>
      <c r="D24431" s="5">
        <v>0.1</v>
      </c>
      <c r="E24431" s="5">
        <v>105.1</v>
      </c>
      <c r="F24431" s="5">
        <v>209.1</v>
      </c>
      <c r="G24431" s="5">
        <v>104.4</v>
      </c>
      <c r="H24431" s="5">
        <v>104.3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105</v>
      </c>
      <c r="D24432" s="5">
        <v>0.1</v>
      </c>
      <c r="E24432" s="5">
        <v>105.1</v>
      </c>
      <c r="F24432" s="5">
        <v>209.1</v>
      </c>
      <c r="G24432" s="5">
        <v>104.4</v>
      </c>
      <c r="H24432" s="5">
        <v>104.3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105.2</v>
      </c>
      <c r="D24433" s="5">
        <v>0.1</v>
      </c>
      <c r="E24433" s="5">
        <v>105.3</v>
      </c>
      <c r="F24433" s="5">
        <v>210.4</v>
      </c>
      <c r="G24433" s="5">
        <v>105</v>
      </c>
      <c r="H24433" s="5">
        <v>104.8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105.2</v>
      </c>
      <c r="D24434" s="5">
        <v>0.1</v>
      </c>
      <c r="E24434" s="5">
        <v>105.3</v>
      </c>
      <c r="F24434" s="5">
        <v>210.4</v>
      </c>
      <c r="G24434" s="5">
        <v>105</v>
      </c>
      <c r="H24434" s="5">
        <v>104.8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104.4</v>
      </c>
      <c r="D24435" s="5">
        <v>0.1</v>
      </c>
      <c r="E24435" s="5">
        <v>104.6</v>
      </c>
      <c r="F24435" s="5">
        <v>208.4</v>
      </c>
      <c r="G24435" s="5">
        <v>104</v>
      </c>
      <c r="H24435" s="5">
        <v>103.9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104.4</v>
      </c>
      <c r="D24436" s="5">
        <v>0.1</v>
      </c>
      <c r="E24436" s="5">
        <v>104.6</v>
      </c>
      <c r="F24436" s="5">
        <v>208.4</v>
      </c>
      <c r="G24436" s="5">
        <v>104</v>
      </c>
      <c r="H24436" s="5">
        <v>103.9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104.4</v>
      </c>
      <c r="D24437" s="5">
        <v>0.1</v>
      </c>
      <c r="E24437" s="5">
        <v>104.6</v>
      </c>
      <c r="F24437" s="5">
        <v>208.4</v>
      </c>
      <c r="G24437" s="5">
        <v>104</v>
      </c>
      <c r="H24437" s="5">
        <v>103.9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104.3</v>
      </c>
      <c r="D24438" s="5">
        <v>0.1</v>
      </c>
      <c r="E24438" s="5">
        <v>104.4</v>
      </c>
      <c r="F24438" s="5">
        <v>208.6</v>
      </c>
      <c r="G24438" s="5">
        <v>104</v>
      </c>
      <c r="H24438" s="5">
        <v>103.9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104.3</v>
      </c>
      <c r="D24439" s="5">
        <v>0.1</v>
      </c>
      <c r="E24439" s="5">
        <v>104.4</v>
      </c>
      <c r="F24439" s="5">
        <v>208.6</v>
      </c>
      <c r="G24439" s="5">
        <v>104.4</v>
      </c>
      <c r="H24439" s="5">
        <v>104.2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105</v>
      </c>
      <c r="D24440" s="5">
        <v>0.1</v>
      </c>
      <c r="E24440" s="5">
        <v>104.4</v>
      </c>
      <c r="F24440" s="5">
        <v>208.6</v>
      </c>
      <c r="G24440" s="5">
        <v>104.4</v>
      </c>
      <c r="H24440" s="5">
        <v>104.2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105</v>
      </c>
      <c r="D24441" s="5">
        <v>0.1</v>
      </c>
      <c r="E24441" s="5">
        <v>105.2</v>
      </c>
      <c r="F24441" s="5">
        <v>209.2</v>
      </c>
      <c r="G24441" s="5">
        <v>104.6</v>
      </c>
      <c r="H24441" s="5">
        <v>104.5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105</v>
      </c>
      <c r="D24442" s="5">
        <v>0.1</v>
      </c>
      <c r="E24442" s="5">
        <v>105.2</v>
      </c>
      <c r="F24442" s="5">
        <v>209.2</v>
      </c>
      <c r="G24442" s="5">
        <v>104.6</v>
      </c>
      <c r="H24442" s="5">
        <v>104.5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102.1</v>
      </c>
      <c r="D24443" s="5">
        <v>0.1</v>
      </c>
      <c r="E24443" s="5">
        <v>102.1</v>
      </c>
      <c r="F24443" s="5">
        <v>203.5</v>
      </c>
      <c r="G24443" s="5">
        <v>101.9</v>
      </c>
      <c r="H24443" s="5">
        <v>101.9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102.1</v>
      </c>
      <c r="D24444" s="5">
        <v>0.1</v>
      </c>
      <c r="E24444" s="5">
        <v>102.1</v>
      </c>
      <c r="F24444" s="5">
        <v>203.5</v>
      </c>
      <c r="G24444" s="5">
        <v>101.9</v>
      </c>
      <c r="H24444" s="5">
        <v>101.9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101.5</v>
      </c>
      <c r="D24445" s="5">
        <v>0.1</v>
      </c>
      <c r="E24445" s="5">
        <v>101.7</v>
      </c>
      <c r="F24445" s="5">
        <v>203.3</v>
      </c>
      <c r="G24445" s="5">
        <v>102.4</v>
      </c>
      <c r="H24445" s="5">
        <v>103.3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101.9</v>
      </c>
      <c r="D24446" s="5">
        <v>0.1</v>
      </c>
      <c r="E24446" s="5">
        <v>102.1</v>
      </c>
      <c r="F24446" s="5">
        <v>203.5</v>
      </c>
      <c r="G24446" s="5">
        <v>101.5</v>
      </c>
      <c r="H24446" s="5">
        <v>101.4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100.6</v>
      </c>
      <c r="D24447" s="5">
        <v>0.1</v>
      </c>
      <c r="E24447" s="5">
        <v>100.8</v>
      </c>
      <c r="F24447" s="5">
        <v>203</v>
      </c>
      <c r="G24447" s="5">
        <v>101.3</v>
      </c>
      <c r="H24447" s="5">
        <v>101.1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100.6</v>
      </c>
      <c r="D24448" s="5">
        <v>0.1</v>
      </c>
      <c r="E24448" s="5">
        <v>100.8</v>
      </c>
      <c r="F24448" s="5">
        <v>203</v>
      </c>
      <c r="G24448" s="5">
        <v>101.3</v>
      </c>
      <c r="H24448" s="5">
        <v>101.1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100.9</v>
      </c>
      <c r="D24449" s="5">
        <v>0.1</v>
      </c>
      <c r="E24449" s="5">
        <v>101.1</v>
      </c>
      <c r="F24449" s="5">
        <v>202.8</v>
      </c>
      <c r="G24449" s="5">
        <v>101.2</v>
      </c>
      <c r="H24449" s="5">
        <v>101.1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100.9</v>
      </c>
      <c r="D24450" s="5">
        <v>0.1</v>
      </c>
      <c r="E24450" s="5">
        <v>101.1</v>
      </c>
      <c r="F24450" s="5">
        <v>202.8</v>
      </c>
      <c r="G24450" s="5">
        <v>101.2</v>
      </c>
      <c r="H24450" s="5">
        <v>101.1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100.1</v>
      </c>
      <c r="D24451" s="5">
        <v>0.1</v>
      </c>
      <c r="E24451" s="5">
        <v>100.2</v>
      </c>
      <c r="F24451" s="5">
        <v>202.2</v>
      </c>
      <c r="G24451" s="5">
        <v>100.8</v>
      </c>
      <c r="H24451" s="5">
        <v>100.7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100.1</v>
      </c>
      <c r="D24452" s="5">
        <v>0.1</v>
      </c>
      <c r="E24452" s="5">
        <v>100.2</v>
      </c>
      <c r="F24452" s="5">
        <v>202.2</v>
      </c>
      <c r="G24452" s="5">
        <v>100.8</v>
      </c>
      <c r="H24452" s="5">
        <v>100.7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105.5</v>
      </c>
      <c r="D24453" s="5">
        <v>0.1</v>
      </c>
      <c r="E24453" s="5">
        <v>105.6</v>
      </c>
      <c r="F24453" s="5">
        <v>211.1</v>
      </c>
      <c r="G24453" s="5">
        <v>105.4</v>
      </c>
      <c r="H24453" s="5">
        <v>105.2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105.5</v>
      </c>
      <c r="D24454" s="5">
        <v>0.1</v>
      </c>
      <c r="E24454" s="5">
        <v>105.6</v>
      </c>
      <c r="F24454" s="5">
        <v>211.1</v>
      </c>
      <c r="G24454" s="5">
        <v>105.4</v>
      </c>
      <c r="H24454" s="5">
        <v>105.2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105.5</v>
      </c>
      <c r="D24455" s="5">
        <v>0.1</v>
      </c>
      <c r="E24455" s="5">
        <v>105.6</v>
      </c>
      <c r="F24455" s="5">
        <v>211.1</v>
      </c>
      <c r="G24455" s="5">
        <v>105.4</v>
      </c>
      <c r="H24455" s="5">
        <v>105.2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105.5</v>
      </c>
      <c r="D24456" s="5">
        <v>0.1</v>
      </c>
      <c r="E24456" s="5">
        <v>105.6</v>
      </c>
      <c r="F24456" s="5">
        <v>211.1</v>
      </c>
      <c r="G24456" s="5">
        <v>105.4</v>
      </c>
      <c r="H24456" s="5">
        <v>105.2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105.6</v>
      </c>
      <c r="D24457" s="5">
        <v>0.1</v>
      </c>
      <c r="E24457" s="5">
        <v>105.7</v>
      </c>
      <c r="F24457" s="5">
        <v>210.8</v>
      </c>
      <c r="G24457" s="5">
        <v>105.2</v>
      </c>
      <c r="H24457" s="5">
        <v>105.1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105.6</v>
      </c>
      <c r="D24458" s="5">
        <v>0.1</v>
      </c>
      <c r="E24458" s="5">
        <v>105.7</v>
      </c>
      <c r="F24458" s="5">
        <v>210.8</v>
      </c>
      <c r="G24458" s="5">
        <v>105.2</v>
      </c>
      <c r="H24458" s="5">
        <v>105.1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105.2</v>
      </c>
      <c r="D24459" s="5">
        <v>0.1</v>
      </c>
      <c r="E24459" s="5">
        <v>105.3</v>
      </c>
      <c r="F24459" s="5">
        <v>211.2</v>
      </c>
      <c r="G24459" s="5">
        <v>105.4</v>
      </c>
      <c r="H24459" s="5">
        <v>105.2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105.2</v>
      </c>
      <c r="D24460" s="5">
        <v>0.1</v>
      </c>
      <c r="E24460" s="5">
        <v>105.3</v>
      </c>
      <c r="F24460" s="5">
        <v>210.8</v>
      </c>
      <c r="G24460" s="5">
        <v>105.1</v>
      </c>
      <c r="H24460" s="5">
        <v>104.9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105.2</v>
      </c>
      <c r="D24461" s="5">
        <v>0.1</v>
      </c>
      <c r="E24461" s="5">
        <v>105.3</v>
      </c>
      <c r="F24461" s="5">
        <v>210.8</v>
      </c>
      <c r="G24461" s="5">
        <v>105.1</v>
      </c>
      <c r="H24461" s="5">
        <v>104.9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105.6</v>
      </c>
      <c r="D24462" s="5">
        <v>0.1</v>
      </c>
      <c r="E24462" s="5">
        <v>105.7</v>
      </c>
      <c r="F24462" s="5">
        <v>211.5</v>
      </c>
      <c r="G24462" s="5">
        <v>105.5</v>
      </c>
      <c r="H24462" s="5">
        <v>105.4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105.6</v>
      </c>
      <c r="D24463" s="5">
        <v>0.1</v>
      </c>
      <c r="E24463" s="5">
        <v>105.7</v>
      </c>
      <c r="F24463" s="5">
        <v>211.5</v>
      </c>
      <c r="G24463" s="5">
        <v>105.5</v>
      </c>
      <c r="H24463" s="5">
        <v>105.4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105.5</v>
      </c>
      <c r="D24464" s="5">
        <v>0.1</v>
      </c>
      <c r="E24464" s="5">
        <v>105.6</v>
      </c>
      <c r="F24464" s="5">
        <v>211.8</v>
      </c>
      <c r="G24464" s="5">
        <v>105.7</v>
      </c>
      <c r="H24464" s="5">
        <v>105.5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105.5</v>
      </c>
      <c r="D24465" s="5">
        <v>0.1</v>
      </c>
      <c r="E24465" s="5">
        <v>105.6</v>
      </c>
      <c r="F24465" s="5">
        <v>211.8</v>
      </c>
      <c r="G24465" s="5">
        <v>105.7</v>
      </c>
      <c r="H24465" s="5">
        <v>105.5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101.5</v>
      </c>
      <c r="D24466" s="5">
        <v>0.1</v>
      </c>
      <c r="E24466" s="5">
        <v>101.6</v>
      </c>
      <c r="F24466" s="5">
        <v>205.6</v>
      </c>
      <c r="G24466" s="5">
        <v>103.4</v>
      </c>
      <c r="H24466" s="5">
        <v>103.1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101.5</v>
      </c>
      <c r="D24467" s="5">
        <v>0.1</v>
      </c>
      <c r="E24467" s="5">
        <v>101.6</v>
      </c>
      <c r="F24467" s="5">
        <v>205.6</v>
      </c>
      <c r="G24467" s="5">
        <v>103.4</v>
      </c>
      <c r="H24467" s="5">
        <v>103.1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101.8</v>
      </c>
      <c r="D24468" s="5">
        <v>0.1</v>
      </c>
      <c r="E24468" s="5">
        <v>102</v>
      </c>
      <c r="F24468" s="5">
        <v>203.3</v>
      </c>
      <c r="G24468" s="5">
        <v>101.4</v>
      </c>
      <c r="H24468" s="5">
        <v>101.1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101.8</v>
      </c>
      <c r="D24469" s="5">
        <v>0.1</v>
      </c>
      <c r="E24469" s="5">
        <v>102</v>
      </c>
      <c r="F24469" s="5">
        <v>203.3</v>
      </c>
      <c r="G24469" s="5">
        <v>101.4</v>
      </c>
      <c r="H24469" s="5">
        <v>101.1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105.6</v>
      </c>
      <c r="D24470" s="5">
        <v>0.1</v>
      </c>
      <c r="E24470" s="5">
        <v>105.8</v>
      </c>
      <c r="F24470" s="5">
        <v>211.3</v>
      </c>
      <c r="G24470" s="5">
        <v>105.5</v>
      </c>
      <c r="H24470" s="5">
        <v>105.2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105.6</v>
      </c>
      <c r="D24471" s="5">
        <v>0.1</v>
      </c>
      <c r="E24471" s="5">
        <v>105.8</v>
      </c>
      <c r="F24471" s="5">
        <v>211.3</v>
      </c>
      <c r="G24471" s="5">
        <v>105.5</v>
      </c>
      <c r="H24471" s="5">
        <v>105.2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104.3</v>
      </c>
      <c r="D24472" s="5">
        <v>0.1</v>
      </c>
      <c r="E24472" s="5">
        <v>104.4</v>
      </c>
      <c r="F24472" s="5">
        <v>208.5</v>
      </c>
      <c r="G24472" s="5">
        <v>104</v>
      </c>
      <c r="H24472" s="5">
        <v>103.9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104.3</v>
      </c>
      <c r="D24473" s="5">
        <v>0.1</v>
      </c>
      <c r="E24473" s="5">
        <v>104.4</v>
      </c>
      <c r="F24473" s="5">
        <v>208.5</v>
      </c>
      <c r="G24473" s="5">
        <v>104</v>
      </c>
      <c r="H24473" s="5">
        <v>103.9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104.3</v>
      </c>
      <c r="D24474" s="5">
        <v>0.1</v>
      </c>
      <c r="E24474" s="5">
        <v>104.4</v>
      </c>
      <c r="F24474" s="5">
        <v>208.5</v>
      </c>
      <c r="G24474" s="5">
        <v>104</v>
      </c>
      <c r="H24474" s="5">
        <v>103.9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104.3</v>
      </c>
      <c r="D24475" s="5">
        <v>0.1</v>
      </c>
      <c r="E24475" s="5">
        <v>104.4</v>
      </c>
      <c r="F24475" s="5">
        <v>208.5</v>
      </c>
      <c r="G24475" s="5">
        <v>104</v>
      </c>
      <c r="H24475" s="5">
        <v>103.9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104.3</v>
      </c>
      <c r="D24476" s="5">
        <v>0.1</v>
      </c>
      <c r="E24476" s="5">
        <v>104.5</v>
      </c>
      <c r="F24476" s="5">
        <v>208.2</v>
      </c>
      <c r="G24476" s="5">
        <v>103.9</v>
      </c>
      <c r="H24476" s="5">
        <v>103.7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104.3</v>
      </c>
      <c r="D24477" s="5">
        <v>0.1</v>
      </c>
      <c r="E24477" s="5">
        <v>104.5</v>
      </c>
      <c r="F24477" s="5">
        <v>208.2</v>
      </c>
      <c r="G24477" s="5">
        <v>103.9</v>
      </c>
      <c r="H24477" s="5">
        <v>103.7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101.6</v>
      </c>
      <c r="D24478" s="5">
        <v>0.1</v>
      </c>
      <c r="E24478" s="5">
        <v>101.8</v>
      </c>
      <c r="F24478" s="5">
        <v>205.1</v>
      </c>
      <c r="G24478" s="5">
        <v>102.2</v>
      </c>
      <c r="H24478" s="5">
        <v>101.9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101.6</v>
      </c>
      <c r="D24479" s="5">
        <v>0.1</v>
      </c>
      <c r="E24479" s="5">
        <v>101.8</v>
      </c>
      <c r="F24479" s="5">
        <v>205.1</v>
      </c>
      <c r="G24479" s="5">
        <v>102.2</v>
      </c>
      <c r="H24479" s="5">
        <v>101.9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106.2</v>
      </c>
      <c r="D24480" s="5">
        <v>0.1</v>
      </c>
      <c r="E24480" s="5">
        <v>106.4</v>
      </c>
      <c r="F24480" s="5">
        <v>211.5</v>
      </c>
      <c r="G24480" s="5">
        <v>105.6</v>
      </c>
      <c r="H24480" s="5">
        <v>105.4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106.2</v>
      </c>
      <c r="D24481" s="5">
        <v>0.1</v>
      </c>
      <c r="E24481" s="5">
        <v>106.4</v>
      </c>
      <c r="F24481" s="5">
        <v>211.5</v>
      </c>
      <c r="G24481" s="5">
        <v>105.6</v>
      </c>
      <c r="H24481" s="5">
        <v>105.4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102.4</v>
      </c>
      <c r="D24482" s="5">
        <v>0.1</v>
      </c>
      <c r="E24482" s="5">
        <v>102.6</v>
      </c>
      <c r="F24482" s="5">
        <v>207.2</v>
      </c>
      <c r="G24482" s="5">
        <v>103.1</v>
      </c>
      <c r="H24482" s="5">
        <v>102.6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102.4</v>
      </c>
      <c r="D24483" s="5">
        <v>0.1</v>
      </c>
      <c r="E24483" s="5">
        <v>102.6</v>
      </c>
      <c r="F24483" s="5">
        <v>207.2</v>
      </c>
      <c r="G24483" s="5">
        <v>103.1</v>
      </c>
      <c r="H24483" s="5">
        <v>102.6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102.4</v>
      </c>
      <c r="D24484" s="5">
        <v>0.1</v>
      </c>
      <c r="E24484" s="5">
        <v>102.6</v>
      </c>
      <c r="F24484" s="5">
        <v>207.2</v>
      </c>
      <c r="G24484" s="5">
        <v>103.1</v>
      </c>
      <c r="H24484" s="5">
        <v>102.6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105.9</v>
      </c>
      <c r="D24485" s="5">
        <v>0.1</v>
      </c>
      <c r="E24485" s="5">
        <v>106</v>
      </c>
      <c r="F24485" s="5">
        <v>211.3</v>
      </c>
      <c r="G24485" s="5">
        <v>105.4</v>
      </c>
      <c r="H24485" s="5">
        <v>105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105.9</v>
      </c>
      <c r="D24486" s="5">
        <v>0.1</v>
      </c>
      <c r="E24486" s="5">
        <v>106</v>
      </c>
      <c r="F24486" s="5">
        <v>211.3</v>
      </c>
      <c r="G24486" s="5">
        <v>105.4</v>
      </c>
      <c r="H24486" s="5">
        <v>105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104.7</v>
      </c>
      <c r="D24487" s="5">
        <v>0.1</v>
      </c>
      <c r="E24487" s="5">
        <v>104.9</v>
      </c>
      <c r="F24487" s="5">
        <v>210.6</v>
      </c>
      <c r="G24487" s="5">
        <v>105.1</v>
      </c>
      <c r="H24487" s="5">
        <v>104.9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102.2</v>
      </c>
      <c r="D24488" s="5">
        <v>0.1</v>
      </c>
      <c r="E24488" s="5">
        <v>102.3</v>
      </c>
      <c r="F24488" s="5">
        <v>205</v>
      </c>
      <c r="G24488" s="5">
        <v>102.3</v>
      </c>
      <c r="H24488" s="5">
        <v>102.1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102.2</v>
      </c>
      <c r="D24489" s="5">
        <v>0.1</v>
      </c>
      <c r="E24489" s="5">
        <v>102.3</v>
      </c>
      <c r="F24489" s="5">
        <v>205</v>
      </c>
      <c r="G24489" s="5">
        <v>102.3</v>
      </c>
      <c r="H24489" s="5">
        <v>102.1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101.8</v>
      </c>
      <c r="D24490" s="5">
        <v>0.1</v>
      </c>
      <c r="E24490" s="5">
        <v>102</v>
      </c>
      <c r="F24490" s="5">
        <v>205.1</v>
      </c>
      <c r="G24490" s="5">
        <v>102.4</v>
      </c>
      <c r="H24490" s="5">
        <v>102.2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101.8</v>
      </c>
      <c r="D24491" s="5">
        <v>0.1</v>
      </c>
      <c r="E24491" s="5">
        <v>102</v>
      </c>
      <c r="F24491" s="5">
        <v>205.1</v>
      </c>
      <c r="G24491" s="5">
        <v>102.4</v>
      </c>
      <c r="H24491" s="5">
        <v>102.2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105.4</v>
      </c>
      <c r="D24492" s="5">
        <v>0.1</v>
      </c>
      <c r="E24492" s="5">
        <v>105.6</v>
      </c>
      <c r="F24492" s="5">
        <v>210.3</v>
      </c>
      <c r="G24492" s="5">
        <v>104.9</v>
      </c>
      <c r="H24492" s="5">
        <v>104.8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105.4</v>
      </c>
      <c r="D24493" s="5">
        <v>0.1</v>
      </c>
      <c r="E24493" s="5">
        <v>105.6</v>
      </c>
      <c r="F24493" s="5">
        <v>210.3</v>
      </c>
      <c r="G24493" s="5">
        <v>104.9</v>
      </c>
      <c r="H24493" s="5">
        <v>104.8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105.4</v>
      </c>
      <c r="D24494" s="5">
        <v>0.1</v>
      </c>
      <c r="E24494" s="5">
        <v>105.6</v>
      </c>
      <c r="F24494" s="5">
        <v>210.3</v>
      </c>
      <c r="G24494" s="5">
        <v>104.9</v>
      </c>
      <c r="H24494" s="5">
        <v>104.8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105.4</v>
      </c>
      <c r="D24495" s="5">
        <v>0.1</v>
      </c>
      <c r="E24495" s="5">
        <v>105.6</v>
      </c>
      <c r="F24495" s="5">
        <v>210.3</v>
      </c>
      <c r="G24495" s="5">
        <v>104.9</v>
      </c>
      <c r="H24495" s="5">
        <v>104.8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105</v>
      </c>
      <c r="D24496" s="5">
        <v>0.1</v>
      </c>
      <c r="E24496" s="5">
        <v>105.1</v>
      </c>
      <c r="F24496" s="5">
        <v>209.5</v>
      </c>
      <c r="G24496" s="5">
        <v>104.4</v>
      </c>
      <c r="H24496" s="5">
        <v>104.2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105</v>
      </c>
      <c r="D24497" s="5">
        <v>0.1</v>
      </c>
      <c r="E24497" s="5">
        <v>105.1</v>
      </c>
      <c r="F24497" s="5">
        <v>209.5</v>
      </c>
      <c r="G24497" s="5">
        <v>104.4</v>
      </c>
      <c r="H24497" s="5">
        <v>104.2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105</v>
      </c>
      <c r="D24498" s="5">
        <v>0.1</v>
      </c>
      <c r="E24498" s="5">
        <v>105.2</v>
      </c>
      <c r="F24498" s="5">
        <v>208.7</v>
      </c>
      <c r="G24498" s="5">
        <v>104.6</v>
      </c>
      <c r="H24498" s="5">
        <v>104.5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102.1</v>
      </c>
      <c r="D24499" s="5">
        <v>0.1</v>
      </c>
      <c r="E24499" s="5">
        <v>102.1</v>
      </c>
      <c r="F24499" s="5">
        <v>203.5</v>
      </c>
      <c r="G24499" s="5">
        <v>101.9</v>
      </c>
      <c r="H24499" s="5">
        <v>102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102.1</v>
      </c>
      <c r="D24500" s="5">
        <v>0.1</v>
      </c>
      <c r="E24500" s="5">
        <v>102.1</v>
      </c>
      <c r="F24500" s="5">
        <v>203.5</v>
      </c>
      <c r="G24500" s="5">
        <v>101.9</v>
      </c>
      <c r="H24500" s="5">
        <v>102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101.5</v>
      </c>
      <c r="D24501" s="5">
        <v>0.1</v>
      </c>
      <c r="E24501" s="5">
        <v>101.6</v>
      </c>
      <c r="F24501" s="5">
        <v>202.1</v>
      </c>
      <c r="G24501" s="5">
        <v>100.8</v>
      </c>
      <c r="H24501" s="5">
        <v>100.6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102.9</v>
      </c>
      <c r="D24502" s="5">
        <v>0.1</v>
      </c>
      <c r="E24502" s="5">
        <v>101.6</v>
      </c>
      <c r="F24502" s="5">
        <v>202.1</v>
      </c>
      <c r="G24502" s="5">
        <v>100.8</v>
      </c>
      <c r="H24502" s="5">
        <v>100.6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102.9</v>
      </c>
      <c r="D24503" s="5">
        <v>0.1</v>
      </c>
      <c r="E24503" s="5">
        <v>103.1</v>
      </c>
      <c r="F24503" s="5">
        <v>194.1</v>
      </c>
      <c r="G24503" s="5">
        <v>97.3</v>
      </c>
      <c r="H24503" s="5">
        <v>97.7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102.9</v>
      </c>
      <c r="D24504" s="5">
        <v>0.1</v>
      </c>
      <c r="E24504" s="5">
        <v>103.1</v>
      </c>
      <c r="F24504" s="5">
        <v>194.1</v>
      </c>
      <c r="G24504" s="5">
        <v>97.3</v>
      </c>
      <c r="H24504" s="5">
        <v>97.7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97.1</v>
      </c>
      <c r="D24505" s="5">
        <v>0.1</v>
      </c>
      <c r="E24505" s="5">
        <v>97.3</v>
      </c>
      <c r="F24505" s="5">
        <v>196.1</v>
      </c>
      <c r="G24505" s="5">
        <v>97.6</v>
      </c>
      <c r="H24505" s="5">
        <v>97.3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97.1</v>
      </c>
      <c r="D24506" s="5">
        <v>0.1</v>
      </c>
      <c r="E24506" s="5">
        <v>97.3</v>
      </c>
      <c r="F24506" s="5">
        <v>196.1</v>
      </c>
      <c r="G24506" s="5">
        <v>97.6</v>
      </c>
      <c r="H24506" s="5">
        <v>97.3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97.1</v>
      </c>
      <c r="D24507" s="5">
        <v>0.1</v>
      </c>
      <c r="E24507" s="5">
        <v>97.3</v>
      </c>
      <c r="F24507" s="5">
        <v>196.1</v>
      </c>
      <c r="G24507" s="5">
        <v>97.6</v>
      </c>
      <c r="H24507" s="5">
        <v>97.3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101.5</v>
      </c>
      <c r="D24508" s="5">
        <v>0.1</v>
      </c>
      <c r="E24508" s="5">
        <v>101.6</v>
      </c>
      <c r="F24508" s="5">
        <v>194.2</v>
      </c>
      <c r="G24508" s="5">
        <v>97.3</v>
      </c>
      <c r="H24508" s="5">
        <v>97.5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101.5</v>
      </c>
      <c r="D24509" s="5">
        <v>0.1</v>
      </c>
      <c r="E24509" s="5">
        <v>101.6</v>
      </c>
      <c r="F24509" s="5">
        <v>194.2</v>
      </c>
      <c r="G24509" s="5">
        <v>97.3</v>
      </c>
      <c r="H24509" s="5">
        <v>97.5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97</v>
      </c>
      <c r="D24510" s="5">
        <v>0.1</v>
      </c>
      <c r="E24510" s="5">
        <v>97.1</v>
      </c>
      <c r="F24510" s="5">
        <v>196.7</v>
      </c>
      <c r="G24510" s="5">
        <v>98.3</v>
      </c>
      <c r="H24510" s="5">
        <v>97.7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97</v>
      </c>
      <c r="D24511" s="5">
        <v>0.1</v>
      </c>
      <c r="E24511" s="5">
        <v>97.1</v>
      </c>
      <c r="F24511" s="5">
        <v>196.7</v>
      </c>
      <c r="G24511" s="5">
        <v>98.3</v>
      </c>
      <c r="H24511" s="5">
        <v>97.7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100.5</v>
      </c>
      <c r="D24512" s="5">
        <v>0.1</v>
      </c>
      <c r="E24512" s="5">
        <v>100.6</v>
      </c>
      <c r="F24512" s="5">
        <v>198.6</v>
      </c>
      <c r="G24512" s="5">
        <v>98.6</v>
      </c>
      <c r="H24512" s="5">
        <v>97.9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100.5</v>
      </c>
      <c r="D24513" s="5">
        <v>0.1</v>
      </c>
      <c r="E24513" s="5">
        <v>100.6</v>
      </c>
      <c r="F24513" s="5">
        <v>198.6</v>
      </c>
      <c r="G24513" s="5">
        <v>98.6</v>
      </c>
      <c r="H24513" s="5">
        <v>97.9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94.8</v>
      </c>
      <c r="D24514" s="5">
        <v>0.1</v>
      </c>
      <c r="E24514" s="5">
        <v>94.9</v>
      </c>
      <c r="F24514" s="5">
        <v>197.4</v>
      </c>
      <c r="G24514" s="5">
        <v>98</v>
      </c>
      <c r="H24514" s="5">
        <v>99.5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94.8</v>
      </c>
      <c r="D24515" s="5">
        <v>0.1</v>
      </c>
      <c r="E24515" s="5">
        <v>94.9</v>
      </c>
      <c r="F24515" s="5">
        <v>197.4</v>
      </c>
      <c r="G24515" s="5">
        <v>98</v>
      </c>
      <c r="H24515" s="5">
        <v>99.5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94.8</v>
      </c>
      <c r="D24516" s="5">
        <v>0.1</v>
      </c>
      <c r="E24516" s="5">
        <v>94.9</v>
      </c>
      <c r="F24516" s="5">
        <v>197.4</v>
      </c>
      <c r="G24516" s="5">
        <v>98</v>
      </c>
      <c r="H24516" s="5">
        <v>99.5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94.8</v>
      </c>
      <c r="D24517" s="5">
        <v>0.1</v>
      </c>
      <c r="E24517" s="5">
        <v>94.9</v>
      </c>
      <c r="F24517" s="5">
        <v>197.4</v>
      </c>
      <c r="G24517" s="5">
        <v>98</v>
      </c>
      <c r="H24517" s="5">
        <v>99.5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94.9</v>
      </c>
      <c r="D24518" s="5">
        <v>0.1</v>
      </c>
      <c r="E24518" s="5">
        <v>95.1</v>
      </c>
      <c r="F24518" s="5">
        <v>202.3</v>
      </c>
      <c r="G24518" s="5">
        <v>100.1</v>
      </c>
      <c r="H24518" s="5">
        <v>99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94.9</v>
      </c>
      <c r="D24519" s="5">
        <v>0.1</v>
      </c>
      <c r="E24519" s="5">
        <v>95.1</v>
      </c>
      <c r="F24519" s="5">
        <v>202.3</v>
      </c>
      <c r="G24519" s="5">
        <v>100.1</v>
      </c>
      <c r="H24519" s="5">
        <v>99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91.6</v>
      </c>
      <c r="D24520" s="5">
        <v>0.1</v>
      </c>
      <c r="E24520" s="5">
        <v>91.7</v>
      </c>
      <c r="F24520" s="5">
        <v>182.6</v>
      </c>
      <c r="G24520" s="5">
        <v>90.9</v>
      </c>
      <c r="H24520" s="5">
        <v>90.7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91.6</v>
      </c>
      <c r="D24521" s="5">
        <v>0.1</v>
      </c>
      <c r="E24521" s="5">
        <v>91.7</v>
      </c>
      <c r="F24521" s="5">
        <v>182.6</v>
      </c>
      <c r="G24521" s="5">
        <v>90.9</v>
      </c>
      <c r="H24521" s="5">
        <v>90.7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97.1</v>
      </c>
      <c r="D24522" s="5">
        <v>0.1</v>
      </c>
      <c r="E24522" s="5">
        <v>97.3</v>
      </c>
      <c r="F24522" s="5">
        <v>190.8</v>
      </c>
      <c r="G24522" s="5">
        <v>95.2</v>
      </c>
      <c r="H24522" s="5">
        <v>95.2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97.1</v>
      </c>
      <c r="D24523" s="5">
        <v>0.1</v>
      </c>
      <c r="E24523" s="5">
        <v>97.3</v>
      </c>
      <c r="F24523" s="5">
        <v>190.8</v>
      </c>
      <c r="G24523" s="5">
        <v>95.2</v>
      </c>
      <c r="H24523" s="5">
        <v>95.2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99.5</v>
      </c>
      <c r="D24524" s="5">
        <v>0.1</v>
      </c>
      <c r="E24524" s="5">
        <v>99.6</v>
      </c>
      <c r="F24524" s="5">
        <v>198.2</v>
      </c>
      <c r="G24524" s="5">
        <v>98.7</v>
      </c>
      <c r="H24524" s="5">
        <v>95.2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99.5</v>
      </c>
      <c r="D24525" s="5">
        <v>0.1</v>
      </c>
      <c r="E24525" s="5">
        <v>99.6</v>
      </c>
      <c r="F24525" s="5">
        <v>198.2</v>
      </c>
      <c r="G24525" s="5">
        <v>98.7</v>
      </c>
      <c r="H24525" s="5">
        <v>98.5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99.5</v>
      </c>
      <c r="D24526" s="5">
        <v>0.1</v>
      </c>
      <c r="E24526" s="5">
        <v>99.6</v>
      </c>
      <c r="F24526" s="5">
        <v>198.2</v>
      </c>
      <c r="G24526" s="5">
        <v>98.7</v>
      </c>
      <c r="H24526" s="5">
        <v>98.5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99.5</v>
      </c>
      <c r="D24527" s="5">
        <v>0.1</v>
      </c>
      <c r="E24527" s="5">
        <v>99.6</v>
      </c>
      <c r="F24527" s="5">
        <v>198.2</v>
      </c>
      <c r="G24527" s="5">
        <v>98.7</v>
      </c>
      <c r="H24527" s="5">
        <v>98.5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101.6</v>
      </c>
      <c r="D24528" s="5">
        <v>0.1</v>
      </c>
      <c r="E24528" s="5">
        <v>101.8</v>
      </c>
      <c r="F24528" s="5">
        <v>191.8</v>
      </c>
      <c r="G24528" s="5">
        <v>96</v>
      </c>
      <c r="H24528" s="5">
        <v>96.2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101.6</v>
      </c>
      <c r="D24529" s="5">
        <v>0.1</v>
      </c>
      <c r="E24529" s="5">
        <v>101.8</v>
      </c>
      <c r="F24529" s="5">
        <v>191.8</v>
      </c>
      <c r="G24529" s="5">
        <v>96</v>
      </c>
      <c r="H24529" s="5">
        <v>96.2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101.1</v>
      </c>
      <c r="D24530" s="5">
        <v>0.1</v>
      </c>
      <c r="E24530" s="5">
        <v>101.3</v>
      </c>
      <c r="F24530" s="5">
        <v>193.7</v>
      </c>
      <c r="G24530" s="5">
        <v>95.3</v>
      </c>
      <c r="H24530" s="5">
        <v>95.3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101.1</v>
      </c>
      <c r="D24531" s="5">
        <v>0.1</v>
      </c>
      <c r="E24531" s="5">
        <v>101.3</v>
      </c>
      <c r="F24531" s="5">
        <v>193.7</v>
      </c>
      <c r="G24531" s="5">
        <v>95.3</v>
      </c>
      <c r="H24531" s="5">
        <v>95.3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101.1</v>
      </c>
      <c r="D24532" s="5">
        <v>0.1</v>
      </c>
      <c r="E24532" s="5">
        <v>102.7</v>
      </c>
      <c r="F24532" s="5">
        <v>204.2</v>
      </c>
      <c r="G24532" s="5">
        <v>101.5</v>
      </c>
      <c r="H24532" s="5">
        <v>101.1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102.6</v>
      </c>
      <c r="D24533" s="5">
        <v>0.1</v>
      </c>
      <c r="E24533" s="5">
        <v>102.7</v>
      </c>
      <c r="F24533" s="5">
        <v>204.2</v>
      </c>
      <c r="G24533" s="5">
        <v>101.5</v>
      </c>
      <c r="H24533" s="5">
        <v>101.1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102.6</v>
      </c>
      <c r="D24534" s="5">
        <v>0.1</v>
      </c>
      <c r="E24534" s="5">
        <v>93.8</v>
      </c>
      <c r="F24534" s="5">
        <v>192.7</v>
      </c>
      <c r="G24534" s="5">
        <v>95.4</v>
      </c>
      <c r="H24534" s="5">
        <v>94.4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93.7</v>
      </c>
      <c r="D24535" s="5">
        <v>0.1</v>
      </c>
      <c r="E24535" s="5">
        <v>93.8</v>
      </c>
      <c r="F24535" s="5">
        <v>192.7</v>
      </c>
      <c r="G24535" s="5">
        <v>95.4</v>
      </c>
      <c r="H24535" s="5">
        <v>94.4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93.7</v>
      </c>
      <c r="D24536" s="5">
        <v>0.1</v>
      </c>
      <c r="E24536" s="5">
        <v>93.8</v>
      </c>
      <c r="F24536" s="5">
        <v>192.7</v>
      </c>
      <c r="G24536" s="5">
        <v>95.4</v>
      </c>
      <c r="H24536" s="5">
        <v>94.4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93.7</v>
      </c>
      <c r="D24537" s="5">
        <v>0.1</v>
      </c>
      <c r="E24537" s="5">
        <v>93.8</v>
      </c>
      <c r="F24537" s="5">
        <v>192.7</v>
      </c>
      <c r="G24537" s="5">
        <v>95.4</v>
      </c>
      <c r="H24537" s="5">
        <v>94.4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97.3</v>
      </c>
      <c r="D24538" s="5">
        <v>0.1</v>
      </c>
      <c r="E24538" s="5">
        <v>97.4</v>
      </c>
      <c r="F24538" s="5">
        <v>192.2</v>
      </c>
      <c r="G24538" s="5">
        <v>96</v>
      </c>
      <c r="H24538" s="5">
        <v>96.2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97.3</v>
      </c>
      <c r="D24539" s="5">
        <v>0.1</v>
      </c>
      <c r="E24539" s="5">
        <v>97.4</v>
      </c>
      <c r="F24539" s="5">
        <v>192.2</v>
      </c>
      <c r="G24539" s="5">
        <v>96</v>
      </c>
      <c r="H24539" s="5">
        <v>96.2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100.8</v>
      </c>
      <c r="D24540" s="5">
        <v>0.1</v>
      </c>
      <c r="E24540" s="5">
        <v>101</v>
      </c>
      <c r="F24540" s="5">
        <v>186.7</v>
      </c>
      <c r="G24540" s="5">
        <v>93.5</v>
      </c>
      <c r="H24540" s="5">
        <v>94.1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100.8</v>
      </c>
      <c r="D24541" s="5">
        <v>0.1</v>
      </c>
      <c r="E24541" s="5">
        <v>101</v>
      </c>
      <c r="F24541" s="5">
        <v>186.7</v>
      </c>
      <c r="G24541" s="5">
        <v>93.5</v>
      </c>
      <c r="H24541" s="5">
        <v>94.1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101.2</v>
      </c>
      <c r="D24542" s="5">
        <v>0.1</v>
      </c>
      <c r="E24542" s="5">
        <v>101.4</v>
      </c>
      <c r="F24542" s="5">
        <v>201.7</v>
      </c>
      <c r="G24542" s="5">
        <v>100.7</v>
      </c>
      <c r="H24542" s="5">
        <v>100.5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101.2</v>
      </c>
      <c r="D24543" s="5">
        <v>0.1</v>
      </c>
      <c r="E24543" s="5">
        <v>101.4</v>
      </c>
      <c r="F24543" s="5">
        <v>201.7</v>
      </c>
      <c r="G24543" s="5">
        <v>100.7</v>
      </c>
      <c r="H24543" s="5">
        <v>100.5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100.2</v>
      </c>
      <c r="D24544" s="5">
        <v>0.1</v>
      </c>
      <c r="E24544" s="5">
        <v>100.4</v>
      </c>
      <c r="F24544" s="5">
        <v>200.4</v>
      </c>
      <c r="G24544" s="5">
        <v>100</v>
      </c>
      <c r="H24544" s="5">
        <v>99.8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100.2</v>
      </c>
      <c r="D24545" s="5">
        <v>0.1</v>
      </c>
      <c r="E24545" s="5">
        <v>100.4</v>
      </c>
      <c r="F24545" s="5">
        <v>200.4</v>
      </c>
      <c r="G24545" s="5">
        <v>100</v>
      </c>
      <c r="H24545" s="5">
        <v>99.8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98.7</v>
      </c>
      <c r="D24546" s="5">
        <v>0.1</v>
      </c>
      <c r="E24546" s="5">
        <v>98.9</v>
      </c>
      <c r="F24546" s="5">
        <v>198.2</v>
      </c>
      <c r="G24546" s="5">
        <v>98.9</v>
      </c>
      <c r="H24546" s="5">
        <v>98.7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98.7</v>
      </c>
      <c r="D24547" s="5">
        <v>0.1</v>
      </c>
      <c r="E24547" s="5">
        <v>98.9</v>
      </c>
      <c r="F24547" s="5">
        <v>198.2</v>
      </c>
      <c r="G24547" s="5">
        <v>98.9</v>
      </c>
      <c r="H24547" s="5">
        <v>98.7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100.6</v>
      </c>
      <c r="D24548" s="5">
        <v>0.1</v>
      </c>
      <c r="E24548" s="5">
        <v>100.8</v>
      </c>
      <c r="F24548" s="5">
        <v>200.6</v>
      </c>
      <c r="G24548" s="5">
        <v>100.1</v>
      </c>
      <c r="H24548" s="5">
        <v>100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100.6</v>
      </c>
      <c r="D24549" s="5">
        <v>0.1</v>
      </c>
      <c r="E24549" s="5">
        <v>100.8</v>
      </c>
      <c r="F24549" s="5">
        <v>200.6</v>
      </c>
      <c r="G24549" s="5">
        <v>100.1</v>
      </c>
      <c r="H24549" s="5">
        <v>100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100.3</v>
      </c>
      <c r="D24550" s="5">
        <v>0.1</v>
      </c>
      <c r="E24550" s="5">
        <v>100.4</v>
      </c>
      <c r="F24550" s="5">
        <v>200.8</v>
      </c>
      <c r="G24550" s="5">
        <v>100.2</v>
      </c>
      <c r="H24550" s="5">
        <v>100.1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100.3</v>
      </c>
      <c r="D24551" s="5">
        <v>0.1</v>
      </c>
      <c r="E24551" s="5">
        <v>100.4</v>
      </c>
      <c r="F24551" s="5">
        <v>200.8</v>
      </c>
      <c r="G24551" s="5">
        <v>100.2</v>
      </c>
      <c r="H24551" s="5">
        <v>100.1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100.3</v>
      </c>
      <c r="D24552" s="5">
        <v>0.1</v>
      </c>
      <c r="E24552" s="5">
        <v>100.4</v>
      </c>
      <c r="F24552" s="5">
        <v>200.8</v>
      </c>
      <c r="G24552" s="5">
        <v>100.2</v>
      </c>
      <c r="H24552" s="5">
        <v>100.1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100.3</v>
      </c>
      <c r="D24553" s="5">
        <v>0.1</v>
      </c>
      <c r="E24553" s="5">
        <v>100.4</v>
      </c>
      <c r="F24553" s="5">
        <v>200.8</v>
      </c>
      <c r="G24553" s="5">
        <v>100.2</v>
      </c>
      <c r="H24553" s="5">
        <v>100.1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101.7</v>
      </c>
      <c r="D24554" s="5">
        <v>0.1</v>
      </c>
      <c r="E24554" s="5">
        <v>101.8</v>
      </c>
      <c r="F24554" s="5">
        <v>202</v>
      </c>
      <c r="G24554" s="5">
        <v>100.8</v>
      </c>
      <c r="H24554" s="5">
        <v>100.6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101.7</v>
      </c>
      <c r="D24555" s="5">
        <v>0.1</v>
      </c>
      <c r="E24555" s="5">
        <v>101.8</v>
      </c>
      <c r="F24555" s="5">
        <v>202</v>
      </c>
      <c r="G24555" s="5">
        <v>100.8</v>
      </c>
      <c r="H24555" s="5">
        <v>100.6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100.7</v>
      </c>
      <c r="D24556" s="5">
        <v>0.1</v>
      </c>
      <c r="E24556" s="5">
        <v>100.8</v>
      </c>
      <c r="F24556" s="5">
        <v>202</v>
      </c>
      <c r="G24556" s="5">
        <v>100.7</v>
      </c>
      <c r="H24556" s="5">
        <v>100.6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100.7</v>
      </c>
      <c r="D24557" s="5">
        <v>0.1</v>
      </c>
      <c r="E24557" s="5">
        <v>100.8</v>
      </c>
      <c r="F24557" s="5">
        <v>202</v>
      </c>
      <c r="G24557" s="5">
        <v>100.7</v>
      </c>
      <c r="H24557" s="5">
        <v>100.6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101.8</v>
      </c>
      <c r="D24558" s="5">
        <v>0.1</v>
      </c>
      <c r="E24558" s="5">
        <v>101.9</v>
      </c>
      <c r="F24558" s="5">
        <v>201.7</v>
      </c>
      <c r="G24558" s="5">
        <v>100.7</v>
      </c>
      <c r="H24558" s="5">
        <v>100.5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101.8</v>
      </c>
      <c r="D24559" s="5">
        <v>0.1</v>
      </c>
      <c r="E24559" s="5">
        <v>101.9</v>
      </c>
      <c r="F24559" s="5">
        <v>201.7</v>
      </c>
      <c r="G24559" s="5">
        <v>100.7</v>
      </c>
      <c r="H24559" s="5">
        <v>100.5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101.5</v>
      </c>
      <c r="D24560" s="5">
        <v>0.1</v>
      </c>
      <c r="E24560" s="5">
        <v>101.7</v>
      </c>
      <c r="F24560" s="5">
        <v>202.5</v>
      </c>
      <c r="G24560" s="5">
        <v>101</v>
      </c>
      <c r="H24560" s="5">
        <v>100.9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101.5</v>
      </c>
      <c r="D24561" s="5">
        <v>0.1</v>
      </c>
      <c r="E24561" s="5">
        <v>101.7</v>
      </c>
      <c r="F24561" s="5">
        <v>202.5</v>
      </c>
      <c r="G24561" s="5">
        <v>101</v>
      </c>
      <c r="H24561" s="5">
        <v>100.9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101.5</v>
      </c>
      <c r="D24562" s="5">
        <v>0.1</v>
      </c>
      <c r="E24562" s="5">
        <v>101.7</v>
      </c>
      <c r="F24562" s="5">
        <v>202.5</v>
      </c>
      <c r="G24562" s="5">
        <v>101</v>
      </c>
      <c r="H24562" s="5">
        <v>100.9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101.5</v>
      </c>
      <c r="D24563" s="5">
        <v>0.1</v>
      </c>
      <c r="E24563" s="5">
        <v>101.7</v>
      </c>
      <c r="F24563" s="5">
        <v>202.5</v>
      </c>
      <c r="G24563" s="5">
        <v>101</v>
      </c>
      <c r="H24563" s="5">
        <v>100.9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101.5</v>
      </c>
      <c r="D24564" s="5">
        <v>0.1</v>
      </c>
      <c r="E24564" s="5">
        <v>101.7</v>
      </c>
      <c r="F24564" s="5">
        <v>202.5</v>
      </c>
      <c r="G24564" s="5">
        <v>101</v>
      </c>
      <c r="H24564" s="5">
        <v>100.9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101.5</v>
      </c>
      <c r="D24565" s="5">
        <v>0.1</v>
      </c>
      <c r="E24565" s="5">
        <v>101.7</v>
      </c>
      <c r="F24565" s="5">
        <v>202.5</v>
      </c>
      <c r="G24565" s="5">
        <v>101</v>
      </c>
      <c r="H24565" s="5">
        <v>100.9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101.5</v>
      </c>
      <c r="D24566" s="5">
        <v>0.1</v>
      </c>
      <c r="E24566" s="5">
        <v>101.6</v>
      </c>
      <c r="F24566" s="5">
        <v>202.5</v>
      </c>
      <c r="G24566" s="5">
        <v>101.1</v>
      </c>
      <c r="H24566" s="5">
        <v>100.9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101.5</v>
      </c>
      <c r="D24567" s="5">
        <v>0.1</v>
      </c>
      <c r="E24567" s="5">
        <v>101.6</v>
      </c>
      <c r="F24567" s="5">
        <v>202.5</v>
      </c>
      <c r="G24567" s="5">
        <v>101.1</v>
      </c>
      <c r="H24567" s="5">
        <v>100.9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101.7</v>
      </c>
      <c r="D24568" s="5">
        <v>0.1</v>
      </c>
      <c r="E24568" s="5">
        <v>101.8</v>
      </c>
      <c r="F24568" s="5">
        <v>202.2</v>
      </c>
      <c r="G24568" s="5">
        <v>100.9</v>
      </c>
      <c r="H24568" s="5">
        <v>100.8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101.7</v>
      </c>
      <c r="D24569" s="5">
        <v>0.1</v>
      </c>
      <c r="E24569" s="5">
        <v>101.8</v>
      </c>
      <c r="F24569" s="5">
        <v>202.2</v>
      </c>
      <c r="G24569" s="5">
        <v>100.9</v>
      </c>
      <c r="H24569" s="5">
        <v>100.8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101.5</v>
      </c>
      <c r="D24570" s="5">
        <v>0.1</v>
      </c>
      <c r="E24570" s="5">
        <v>101.6</v>
      </c>
      <c r="F24570" s="5">
        <v>202.3</v>
      </c>
      <c r="G24570" s="5">
        <v>100.9</v>
      </c>
      <c r="H24570" s="5">
        <v>100.8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101.5</v>
      </c>
      <c r="D24571" s="5">
        <v>0.1</v>
      </c>
      <c r="E24571" s="5">
        <v>101.6</v>
      </c>
      <c r="F24571" s="5">
        <v>202.3</v>
      </c>
      <c r="G24571" s="5">
        <v>100.9</v>
      </c>
      <c r="H24571" s="5">
        <v>100.8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101.5</v>
      </c>
      <c r="D24572" s="5">
        <v>0.1</v>
      </c>
      <c r="E24572" s="5">
        <v>101.6</v>
      </c>
      <c r="F24572" s="5">
        <v>202.3</v>
      </c>
      <c r="G24572" s="5">
        <v>100.9</v>
      </c>
      <c r="H24572" s="5">
        <v>100.8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101.5</v>
      </c>
      <c r="D24573" s="5">
        <v>0.1</v>
      </c>
      <c r="E24573" s="5">
        <v>101.6</v>
      </c>
      <c r="F24573" s="5">
        <v>202.3</v>
      </c>
      <c r="G24573" s="5">
        <v>100.9</v>
      </c>
      <c r="H24573" s="5">
        <v>100.8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101.6</v>
      </c>
      <c r="D24574" s="5">
        <v>0.1</v>
      </c>
      <c r="E24574" s="5">
        <v>101.8</v>
      </c>
      <c r="F24574" s="5">
        <v>202.9</v>
      </c>
      <c r="G24574" s="5">
        <v>101.2</v>
      </c>
      <c r="H24574" s="5">
        <v>101.1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101.6</v>
      </c>
      <c r="D24575" s="5">
        <v>0.1</v>
      </c>
      <c r="E24575" s="5">
        <v>101.8</v>
      </c>
      <c r="F24575" s="5">
        <v>202.9</v>
      </c>
      <c r="G24575" s="5">
        <v>101.2</v>
      </c>
      <c r="H24575" s="5">
        <v>101.1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101.4</v>
      </c>
      <c r="D24576" s="5">
        <v>0.1</v>
      </c>
      <c r="E24576" s="5">
        <v>101.5</v>
      </c>
      <c r="F24576" s="5">
        <v>201.9</v>
      </c>
      <c r="G24576" s="5">
        <v>100.8</v>
      </c>
      <c r="H24576" s="5">
        <v>100.6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101.4</v>
      </c>
      <c r="D24577" s="5">
        <v>0.1</v>
      </c>
      <c r="E24577" s="5">
        <v>101.5</v>
      </c>
      <c r="F24577" s="5">
        <v>201.9</v>
      </c>
      <c r="G24577" s="5">
        <v>100.8</v>
      </c>
      <c r="H24577" s="5">
        <v>100.6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102.1</v>
      </c>
      <c r="D24578" s="5">
        <v>0.1</v>
      </c>
      <c r="E24578" s="5">
        <v>102.2</v>
      </c>
      <c r="F24578" s="5">
        <v>203.2</v>
      </c>
      <c r="G24578" s="5">
        <v>101.4</v>
      </c>
      <c r="H24578" s="5">
        <v>101.3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102.1</v>
      </c>
      <c r="D24579" s="5">
        <v>0.1</v>
      </c>
      <c r="E24579" s="5">
        <v>102.2</v>
      </c>
      <c r="F24579" s="5">
        <v>203.2</v>
      </c>
      <c r="G24579" s="5">
        <v>101.4</v>
      </c>
      <c r="H24579" s="5">
        <v>101.3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102.3</v>
      </c>
      <c r="D24580" s="5">
        <v>0.1</v>
      </c>
      <c r="E24580" s="5">
        <v>102.4</v>
      </c>
      <c r="F24580" s="5">
        <v>201.2</v>
      </c>
      <c r="G24580" s="5">
        <v>100.4</v>
      </c>
      <c r="H24580" s="5">
        <v>100.2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102.3</v>
      </c>
      <c r="D24581" s="5">
        <v>0.1</v>
      </c>
      <c r="E24581" s="5">
        <v>102.4</v>
      </c>
      <c r="F24581" s="5">
        <v>201.2</v>
      </c>
      <c r="G24581" s="5">
        <v>100.4</v>
      </c>
      <c r="H24581" s="5">
        <v>100.2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102.3</v>
      </c>
      <c r="D24582" s="5">
        <v>0.1</v>
      </c>
      <c r="E24582" s="5">
        <v>102.4</v>
      </c>
      <c r="F24582" s="5">
        <v>201.2</v>
      </c>
      <c r="G24582" s="5">
        <v>100.4</v>
      </c>
      <c r="H24582" s="5">
        <v>100.2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102.3</v>
      </c>
      <c r="D24583" s="5">
        <v>0.1</v>
      </c>
      <c r="E24583" s="5">
        <v>102.4</v>
      </c>
      <c r="F24583" s="5">
        <v>201.2</v>
      </c>
      <c r="G24583" s="5">
        <v>100.4</v>
      </c>
      <c r="H24583" s="5">
        <v>100.2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100.5</v>
      </c>
      <c r="D24584" s="5">
        <v>0.1</v>
      </c>
      <c r="E24584" s="5">
        <v>100.6</v>
      </c>
      <c r="F24584" s="5">
        <v>201.4</v>
      </c>
      <c r="G24584" s="5">
        <v>100.5</v>
      </c>
      <c r="H24584" s="5">
        <v>100.4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100.5</v>
      </c>
      <c r="D24585" s="5">
        <v>0.1</v>
      </c>
      <c r="E24585" s="5">
        <v>100.6</v>
      </c>
      <c r="F24585" s="5">
        <v>201.4</v>
      </c>
      <c r="G24585" s="5">
        <v>100.5</v>
      </c>
      <c r="H24585" s="5">
        <v>100.4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101.4</v>
      </c>
      <c r="D24586" s="5">
        <v>0.1</v>
      </c>
      <c r="E24586" s="5">
        <v>101.5</v>
      </c>
      <c r="F24586" s="5">
        <v>202.7</v>
      </c>
      <c r="G24586" s="5">
        <v>101.2</v>
      </c>
      <c r="H24586" s="5">
        <v>101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101.4</v>
      </c>
      <c r="D24587" s="5">
        <v>0.1</v>
      </c>
      <c r="E24587" s="5">
        <v>101.5</v>
      </c>
      <c r="F24587" s="5">
        <v>202.7</v>
      </c>
      <c r="G24587" s="5">
        <v>101.2</v>
      </c>
      <c r="H24587" s="5">
        <v>101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101.1</v>
      </c>
      <c r="D24588" s="5">
        <v>0.1</v>
      </c>
      <c r="E24588" s="5">
        <v>101.3</v>
      </c>
      <c r="F24588" s="5">
        <v>202</v>
      </c>
      <c r="G24588" s="5">
        <v>100.8</v>
      </c>
      <c r="H24588" s="5">
        <v>100.6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101.1</v>
      </c>
      <c r="D24589" s="5">
        <v>0.1</v>
      </c>
      <c r="E24589" s="5">
        <v>101.3</v>
      </c>
      <c r="F24589" s="5">
        <v>202</v>
      </c>
      <c r="G24589" s="5">
        <v>100.8</v>
      </c>
      <c r="H24589" s="5">
        <v>100.6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101.4</v>
      </c>
      <c r="D24590" s="5">
        <v>0.1</v>
      </c>
      <c r="E24590" s="5">
        <v>101.5</v>
      </c>
      <c r="F24590" s="5">
        <v>202.5</v>
      </c>
      <c r="G24590" s="5">
        <v>101.1</v>
      </c>
      <c r="H24590" s="5">
        <v>100.9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101.4</v>
      </c>
      <c r="D24591" s="5">
        <v>0.1</v>
      </c>
      <c r="E24591" s="5">
        <v>101.5</v>
      </c>
      <c r="F24591" s="5">
        <v>202.5</v>
      </c>
      <c r="G24591" s="5">
        <v>101.1</v>
      </c>
      <c r="H24591" s="5">
        <v>100.9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101.4</v>
      </c>
      <c r="D24592" s="5">
        <v>0.1</v>
      </c>
      <c r="E24592" s="5">
        <v>101.5</v>
      </c>
      <c r="F24592" s="5">
        <v>202.5</v>
      </c>
      <c r="G24592" s="5">
        <v>101.1</v>
      </c>
      <c r="H24592" s="5">
        <v>100.9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100.6</v>
      </c>
      <c r="D24593" s="5">
        <v>0.1</v>
      </c>
      <c r="E24593" s="5">
        <v>100.8</v>
      </c>
      <c r="F24593" s="5">
        <v>202.3</v>
      </c>
      <c r="G24593" s="5">
        <v>100.9</v>
      </c>
      <c r="H24593" s="5">
        <v>100.7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100.6</v>
      </c>
      <c r="D24594" s="5">
        <v>0.1</v>
      </c>
      <c r="E24594" s="5">
        <v>100.8</v>
      </c>
      <c r="F24594" s="5">
        <v>202.3</v>
      </c>
      <c r="G24594" s="5">
        <v>100.9</v>
      </c>
      <c r="H24594" s="5">
        <v>100.7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100.8</v>
      </c>
      <c r="D24595" s="5">
        <v>0.1</v>
      </c>
      <c r="E24595" s="5">
        <v>100.9</v>
      </c>
      <c r="F24595" s="5">
        <v>201.6</v>
      </c>
      <c r="G24595" s="5">
        <v>100.6</v>
      </c>
      <c r="H24595" s="5">
        <v>100.4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100.8</v>
      </c>
      <c r="D24596" s="5">
        <v>0.1</v>
      </c>
      <c r="E24596" s="5">
        <v>100.9</v>
      </c>
      <c r="F24596" s="5">
        <v>201.6</v>
      </c>
      <c r="G24596" s="5">
        <v>100.6</v>
      </c>
      <c r="H24596" s="5">
        <v>100.4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100.8</v>
      </c>
      <c r="D24597" s="5">
        <v>0.1</v>
      </c>
      <c r="E24597" s="5">
        <v>100.9</v>
      </c>
      <c r="F24597" s="5">
        <v>200.3</v>
      </c>
      <c r="G24597" s="5">
        <v>99.9</v>
      </c>
      <c r="H24597" s="5">
        <v>99.8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100.8</v>
      </c>
      <c r="D24598" s="5">
        <v>0.1</v>
      </c>
      <c r="E24598" s="5">
        <v>100.9</v>
      </c>
      <c r="F24598" s="5">
        <v>200.3</v>
      </c>
      <c r="G24598" s="5">
        <v>99.9</v>
      </c>
      <c r="H24598" s="5">
        <v>99.8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100.7</v>
      </c>
      <c r="D24599" s="5">
        <v>0.1</v>
      </c>
      <c r="E24599" s="5">
        <v>100.8</v>
      </c>
      <c r="F24599" s="5">
        <v>201.9</v>
      </c>
      <c r="G24599" s="5">
        <v>100.7</v>
      </c>
      <c r="H24599" s="5">
        <v>99.8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100.7</v>
      </c>
      <c r="D24600" s="5">
        <v>0.1</v>
      </c>
      <c r="E24600" s="5">
        <v>100.8</v>
      </c>
      <c r="F24600" s="5">
        <v>201.9</v>
      </c>
      <c r="G24600" s="5">
        <v>100.7</v>
      </c>
      <c r="H24600" s="5">
        <v>100.5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100.7</v>
      </c>
      <c r="D24601" s="5">
        <v>0.1</v>
      </c>
      <c r="E24601" s="5">
        <v>100.8</v>
      </c>
      <c r="F24601" s="5">
        <v>201.9</v>
      </c>
      <c r="G24601" s="5">
        <v>100.7</v>
      </c>
      <c r="H24601" s="5">
        <v>100.5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100.7</v>
      </c>
      <c r="D24602" s="5">
        <v>0.1</v>
      </c>
      <c r="E24602" s="5">
        <v>100.8</v>
      </c>
      <c r="F24602" s="5">
        <v>201.9</v>
      </c>
      <c r="G24602" s="5">
        <v>100.7</v>
      </c>
      <c r="H24602" s="5">
        <v>100.5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101.4</v>
      </c>
      <c r="D24603" s="5">
        <v>0.1</v>
      </c>
      <c r="E24603" s="5">
        <v>100.8</v>
      </c>
      <c r="F24603" s="5">
        <v>201.9</v>
      </c>
      <c r="G24603" s="5">
        <v>100.7</v>
      </c>
      <c r="H24603" s="5">
        <v>100.5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101.4</v>
      </c>
      <c r="D24604" s="5">
        <v>0.1</v>
      </c>
      <c r="E24604" s="5">
        <v>101.5</v>
      </c>
      <c r="F24604" s="5">
        <v>202.5</v>
      </c>
      <c r="G24604" s="5">
        <v>101</v>
      </c>
      <c r="H24604" s="5">
        <v>100.9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101.5</v>
      </c>
      <c r="D24605" s="5">
        <v>0.1</v>
      </c>
      <c r="E24605" s="5">
        <v>101.5</v>
      </c>
      <c r="F24605" s="5">
        <v>202.5</v>
      </c>
      <c r="G24605" s="5">
        <v>101</v>
      </c>
      <c r="H24605" s="5">
        <v>100.9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101.5</v>
      </c>
      <c r="D24606" s="5">
        <v>0.1</v>
      </c>
      <c r="E24606" s="5">
        <v>101.6</v>
      </c>
      <c r="F24606" s="5">
        <v>202.8</v>
      </c>
      <c r="G24606" s="5">
        <v>101.2</v>
      </c>
      <c r="H24606" s="5">
        <v>101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101.5</v>
      </c>
      <c r="D24607" s="5">
        <v>0.1</v>
      </c>
      <c r="E24607" s="5">
        <v>101.6</v>
      </c>
      <c r="F24607" s="5">
        <v>202.8</v>
      </c>
      <c r="G24607" s="5">
        <v>101.2</v>
      </c>
      <c r="H24607" s="5">
        <v>101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101.5</v>
      </c>
      <c r="D24608" s="5">
        <v>0.1</v>
      </c>
      <c r="E24608" s="5">
        <v>101.6</v>
      </c>
      <c r="F24608" s="5">
        <v>202.6</v>
      </c>
      <c r="G24608" s="5">
        <v>101.1</v>
      </c>
      <c r="H24608" s="5">
        <v>100.9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101.5</v>
      </c>
      <c r="D24609" s="5">
        <v>0.1</v>
      </c>
      <c r="E24609" s="5">
        <v>101.6</v>
      </c>
      <c r="F24609" s="5">
        <v>202.6</v>
      </c>
      <c r="G24609" s="5">
        <v>101.1</v>
      </c>
      <c r="H24609" s="5">
        <v>100.9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101</v>
      </c>
      <c r="D24610" s="5">
        <v>0.1</v>
      </c>
      <c r="E24610" s="5">
        <v>101.1</v>
      </c>
      <c r="F24610" s="5">
        <v>202</v>
      </c>
      <c r="G24610" s="5">
        <v>100.8</v>
      </c>
      <c r="H24610" s="5">
        <v>100.6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101</v>
      </c>
      <c r="D24611" s="5">
        <v>0.1</v>
      </c>
      <c r="E24611" s="5">
        <v>101.1</v>
      </c>
      <c r="F24611" s="5">
        <v>202</v>
      </c>
      <c r="G24611" s="5">
        <v>100.8</v>
      </c>
      <c r="H24611" s="5">
        <v>100.6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101</v>
      </c>
      <c r="D24612" s="5">
        <v>0.1</v>
      </c>
      <c r="E24612" s="5">
        <v>101.1</v>
      </c>
      <c r="F24612" s="5">
        <v>202</v>
      </c>
      <c r="G24612" s="5">
        <v>100.8</v>
      </c>
      <c r="H24612" s="5">
        <v>100.6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101</v>
      </c>
      <c r="D24613" s="5">
        <v>0.1</v>
      </c>
      <c r="E24613" s="5">
        <v>101.1</v>
      </c>
      <c r="F24613" s="5">
        <v>202</v>
      </c>
      <c r="G24613" s="5">
        <v>100.8</v>
      </c>
      <c r="H24613" s="5">
        <v>100.6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101.4</v>
      </c>
      <c r="D24614" s="5">
        <v>0.1</v>
      </c>
      <c r="E24614" s="5">
        <v>101.5</v>
      </c>
      <c r="F24614" s="5">
        <v>203.4</v>
      </c>
      <c r="G24614" s="5">
        <v>101.6</v>
      </c>
      <c r="H24614" s="5">
        <v>101.4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101.4</v>
      </c>
      <c r="D24615" s="5">
        <v>0.1</v>
      </c>
      <c r="E24615" s="5">
        <v>101.5</v>
      </c>
      <c r="F24615" s="5">
        <v>203.4</v>
      </c>
      <c r="G24615" s="5">
        <v>101.6</v>
      </c>
      <c r="H24615" s="5">
        <v>101.4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102</v>
      </c>
      <c r="D24616" s="5">
        <v>0.1</v>
      </c>
      <c r="E24616" s="5">
        <v>102.1</v>
      </c>
      <c r="F24616" s="5">
        <v>203.1</v>
      </c>
      <c r="G24616" s="5">
        <v>101.3</v>
      </c>
      <c r="H24616" s="5">
        <v>101.3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102</v>
      </c>
      <c r="D24617" s="5">
        <v>0.1</v>
      </c>
      <c r="E24617" s="5">
        <v>102.1</v>
      </c>
      <c r="F24617" s="5">
        <v>203.1</v>
      </c>
      <c r="G24617" s="5">
        <v>101.3</v>
      </c>
      <c r="H24617" s="5">
        <v>101.3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101.8</v>
      </c>
      <c r="D24618" s="5">
        <v>0.1</v>
      </c>
      <c r="E24618" s="5">
        <v>101.9</v>
      </c>
      <c r="F24618" s="5">
        <v>202.3</v>
      </c>
      <c r="G24618" s="5">
        <v>100.9</v>
      </c>
      <c r="H24618" s="5">
        <v>100.8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101.8</v>
      </c>
      <c r="D24619" s="5">
        <v>0.1</v>
      </c>
      <c r="E24619" s="5">
        <v>101.9</v>
      </c>
      <c r="F24619" s="5">
        <v>202.3</v>
      </c>
      <c r="G24619" s="5">
        <v>100.9</v>
      </c>
      <c r="H24619" s="5">
        <v>101.3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101.7</v>
      </c>
      <c r="D24620" s="5">
        <v>0.1</v>
      </c>
      <c r="E24620" s="5">
        <v>101.8</v>
      </c>
      <c r="F24620" s="5">
        <v>203.3</v>
      </c>
      <c r="G24620" s="5">
        <v>101.4</v>
      </c>
      <c r="H24620" s="5">
        <v>101.3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101.7</v>
      </c>
      <c r="D24621" s="5">
        <v>0.1</v>
      </c>
      <c r="E24621" s="5">
        <v>101.8</v>
      </c>
      <c r="F24621" s="5">
        <v>203.3</v>
      </c>
      <c r="G24621" s="5">
        <v>101.4</v>
      </c>
      <c r="H24621" s="5">
        <v>101.3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101.7</v>
      </c>
      <c r="D24622" s="5">
        <v>0.1</v>
      </c>
      <c r="E24622" s="5">
        <v>101.8</v>
      </c>
      <c r="F24622" s="5">
        <v>203.3</v>
      </c>
      <c r="G24622" s="5">
        <v>101.4</v>
      </c>
      <c r="H24622" s="5">
        <v>101.3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101</v>
      </c>
      <c r="D24623" s="5">
        <v>0.1</v>
      </c>
      <c r="E24623" s="5">
        <v>101.1</v>
      </c>
      <c r="F24623" s="5">
        <v>201.9</v>
      </c>
      <c r="G24623" s="5">
        <v>100.8</v>
      </c>
      <c r="H24623" s="5">
        <v>100.6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101</v>
      </c>
      <c r="D24624" s="5">
        <v>0.1</v>
      </c>
      <c r="E24624" s="5">
        <v>101.1</v>
      </c>
      <c r="F24624" s="5">
        <v>201.9</v>
      </c>
      <c r="G24624" s="5">
        <v>100.8</v>
      </c>
      <c r="H24624" s="5">
        <v>100.6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101.5</v>
      </c>
      <c r="D24625" s="5">
        <v>0.1</v>
      </c>
      <c r="E24625" s="5">
        <v>101.6</v>
      </c>
      <c r="F24625" s="5">
        <v>202.5</v>
      </c>
      <c r="G24625" s="5">
        <v>101.1</v>
      </c>
      <c r="H24625" s="5">
        <v>100.9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101.5</v>
      </c>
      <c r="D24626" s="5">
        <v>0.1</v>
      </c>
      <c r="E24626" s="5">
        <v>101.6</v>
      </c>
      <c r="F24626" s="5">
        <v>202.5</v>
      </c>
      <c r="G24626" s="5">
        <v>101.1</v>
      </c>
      <c r="H24626" s="5">
        <v>100.9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101.8</v>
      </c>
      <c r="D24627" s="5">
        <v>0.1</v>
      </c>
      <c r="E24627" s="5">
        <v>102</v>
      </c>
      <c r="F24627" s="5">
        <v>203.3</v>
      </c>
      <c r="G24627" s="5">
        <v>101.4</v>
      </c>
      <c r="H24627" s="5">
        <v>101.3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101.8</v>
      </c>
      <c r="D24628" s="5">
        <v>0.1</v>
      </c>
      <c r="E24628" s="5">
        <v>102</v>
      </c>
      <c r="F24628" s="5">
        <v>203.3</v>
      </c>
      <c r="G24628" s="5">
        <v>101.4</v>
      </c>
      <c r="H24628" s="5">
        <v>101.3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102.4</v>
      </c>
      <c r="D24629" s="5">
        <v>0.1</v>
      </c>
      <c r="E24629" s="5">
        <v>102.6</v>
      </c>
      <c r="F24629" s="5">
        <v>205</v>
      </c>
      <c r="G24629" s="5">
        <v>102.3</v>
      </c>
      <c r="H24629" s="5">
        <v>102.1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102.4</v>
      </c>
      <c r="D24630" s="5">
        <v>0.1</v>
      </c>
      <c r="E24630" s="5">
        <v>102.6</v>
      </c>
      <c r="F24630" s="5">
        <v>205</v>
      </c>
      <c r="G24630" s="5">
        <v>102.3</v>
      </c>
      <c r="H24630" s="5">
        <v>102.1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102.4</v>
      </c>
      <c r="D24631" s="5">
        <v>0.1</v>
      </c>
      <c r="E24631" s="5">
        <v>102.6</v>
      </c>
      <c r="F24631" s="5">
        <v>205</v>
      </c>
      <c r="G24631" s="5">
        <v>102.3</v>
      </c>
      <c r="H24631" s="5">
        <v>102.1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102.4</v>
      </c>
      <c r="D24632" s="5">
        <v>0.1</v>
      </c>
      <c r="E24632" s="5">
        <v>102.6</v>
      </c>
      <c r="F24632" s="5">
        <v>205</v>
      </c>
      <c r="G24632" s="5">
        <v>102.3</v>
      </c>
      <c r="H24632" s="5">
        <v>102.1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102.3</v>
      </c>
      <c r="D24633" s="5">
        <v>0.1</v>
      </c>
      <c r="E24633" s="5">
        <v>102.4</v>
      </c>
      <c r="F24633" s="5">
        <v>204.4</v>
      </c>
      <c r="G24633" s="5">
        <v>102</v>
      </c>
      <c r="H24633" s="5">
        <v>101.8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102.3</v>
      </c>
      <c r="D24634" s="5">
        <v>0.1</v>
      </c>
      <c r="E24634" s="5">
        <v>102.4</v>
      </c>
      <c r="F24634" s="5">
        <v>204.4</v>
      </c>
      <c r="G24634" s="5">
        <v>102</v>
      </c>
      <c r="H24634" s="5">
        <v>101.8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102.1</v>
      </c>
      <c r="D24635" s="5">
        <v>0.1</v>
      </c>
      <c r="E24635" s="5">
        <v>102.3</v>
      </c>
      <c r="F24635" s="5">
        <v>204.8</v>
      </c>
      <c r="G24635" s="5">
        <v>102.2</v>
      </c>
      <c r="H24635" s="5">
        <v>102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102.1</v>
      </c>
      <c r="D24636" s="5">
        <v>0.1</v>
      </c>
      <c r="E24636" s="5">
        <v>102.3</v>
      </c>
      <c r="F24636" s="5">
        <v>204.8</v>
      </c>
      <c r="G24636" s="5">
        <v>102.2</v>
      </c>
      <c r="H24636" s="5">
        <v>102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102.4</v>
      </c>
      <c r="D24637" s="5">
        <v>0.1</v>
      </c>
      <c r="E24637" s="5">
        <v>102.6</v>
      </c>
      <c r="F24637" s="5">
        <v>204.2</v>
      </c>
      <c r="G24637" s="5">
        <v>101.9</v>
      </c>
      <c r="H24637" s="5">
        <v>102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102.4</v>
      </c>
      <c r="D24638" s="5">
        <v>0.1</v>
      </c>
      <c r="E24638" s="5">
        <v>102.6</v>
      </c>
      <c r="F24638" s="5">
        <v>204.2</v>
      </c>
      <c r="G24638" s="5">
        <v>101.9</v>
      </c>
      <c r="H24638" s="5">
        <v>101.8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102.5</v>
      </c>
      <c r="D24639" s="5">
        <v>0.1</v>
      </c>
      <c r="E24639" s="5">
        <v>102.7</v>
      </c>
      <c r="F24639" s="5">
        <v>204.3</v>
      </c>
      <c r="G24639" s="5">
        <v>101.9</v>
      </c>
      <c r="H24639" s="5">
        <v>101.8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102.5</v>
      </c>
      <c r="D24640" s="5">
        <v>0.1</v>
      </c>
      <c r="E24640" s="5">
        <v>102.7</v>
      </c>
      <c r="F24640" s="5">
        <v>204.3</v>
      </c>
      <c r="G24640" s="5">
        <v>102</v>
      </c>
      <c r="H24640" s="5">
        <v>101.9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102.5</v>
      </c>
      <c r="D24641" s="5">
        <v>0.1</v>
      </c>
      <c r="E24641" s="5">
        <v>102.7</v>
      </c>
      <c r="F24641" s="5">
        <v>204.3</v>
      </c>
      <c r="G24641" s="5">
        <v>102</v>
      </c>
      <c r="H24641" s="5">
        <v>101.9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102.5</v>
      </c>
      <c r="D24642" s="5">
        <v>0.1</v>
      </c>
      <c r="E24642" s="5">
        <v>102.7</v>
      </c>
      <c r="F24642" s="5">
        <v>204.3</v>
      </c>
      <c r="G24642" s="5">
        <v>102</v>
      </c>
      <c r="H24642" s="5">
        <v>101.9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102</v>
      </c>
      <c r="D24643" s="5">
        <v>0.1</v>
      </c>
      <c r="E24643" s="5">
        <v>102.1</v>
      </c>
      <c r="F24643" s="5">
        <v>203.8</v>
      </c>
      <c r="G24643" s="5">
        <v>101.7</v>
      </c>
      <c r="H24643" s="5">
        <v>101.6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102</v>
      </c>
      <c r="D24644" s="5">
        <v>0.1</v>
      </c>
      <c r="E24644" s="5">
        <v>102.1</v>
      </c>
      <c r="F24644" s="5">
        <v>203.8</v>
      </c>
      <c r="G24644" s="5">
        <v>101.7</v>
      </c>
      <c r="H24644" s="5">
        <v>101.6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101.9</v>
      </c>
      <c r="D24645" s="5">
        <v>0.1</v>
      </c>
      <c r="E24645" s="5">
        <v>102.1</v>
      </c>
      <c r="F24645" s="5">
        <v>204.3</v>
      </c>
      <c r="G24645" s="5">
        <v>101.9</v>
      </c>
      <c r="H24645" s="5">
        <v>101.7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101.9</v>
      </c>
      <c r="D24646" s="5">
        <v>0.1</v>
      </c>
      <c r="E24646" s="5">
        <v>102.1</v>
      </c>
      <c r="F24646" s="5">
        <v>204.3</v>
      </c>
      <c r="G24646" s="5">
        <v>101.9</v>
      </c>
      <c r="H24646" s="5">
        <v>101.7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102.4</v>
      </c>
      <c r="D24647" s="5">
        <v>0.1</v>
      </c>
      <c r="E24647" s="5">
        <v>102.6</v>
      </c>
      <c r="F24647" s="5">
        <v>204.2</v>
      </c>
      <c r="G24647" s="5">
        <v>101.9</v>
      </c>
      <c r="H24647" s="5">
        <v>101.8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102.4</v>
      </c>
      <c r="D24648" s="5">
        <v>0.1</v>
      </c>
      <c r="E24648" s="5">
        <v>102.6</v>
      </c>
      <c r="F24648" s="5">
        <v>204.2</v>
      </c>
      <c r="G24648" s="5">
        <v>101.9</v>
      </c>
      <c r="H24648" s="5">
        <v>101.8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102.2</v>
      </c>
      <c r="D24649" s="5">
        <v>0.1</v>
      </c>
      <c r="E24649" s="5">
        <v>102.4</v>
      </c>
      <c r="F24649" s="5">
        <v>204</v>
      </c>
      <c r="G24649" s="5">
        <v>101.8</v>
      </c>
      <c r="H24649" s="5">
        <v>101.6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102.2</v>
      </c>
      <c r="D24650" s="5">
        <v>0.1</v>
      </c>
      <c r="E24650" s="5">
        <v>102.4</v>
      </c>
      <c r="F24650" s="5">
        <v>204</v>
      </c>
      <c r="G24650" s="5">
        <v>101.8</v>
      </c>
      <c r="H24650" s="5">
        <v>101.6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102.2</v>
      </c>
      <c r="D24651" s="5">
        <v>0.1</v>
      </c>
      <c r="E24651" s="5">
        <v>102.4</v>
      </c>
      <c r="F24651" s="5">
        <v>204</v>
      </c>
      <c r="G24651" s="5">
        <v>101.8</v>
      </c>
      <c r="H24651" s="5">
        <v>101.6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102.2</v>
      </c>
      <c r="D24652" s="5">
        <v>0.1</v>
      </c>
      <c r="E24652" s="5">
        <v>102.4</v>
      </c>
      <c r="F24652" s="5">
        <v>204</v>
      </c>
      <c r="G24652" s="5">
        <v>101.8</v>
      </c>
      <c r="H24652" s="5">
        <v>101.6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101.1</v>
      </c>
      <c r="D24653" s="5">
        <v>0.1</v>
      </c>
      <c r="E24653" s="5">
        <v>101.3</v>
      </c>
      <c r="F24653" s="5">
        <v>202.3</v>
      </c>
      <c r="G24653" s="5">
        <v>100.9</v>
      </c>
      <c r="H24653" s="5">
        <v>100.8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101.1</v>
      </c>
      <c r="D24654" s="5">
        <v>0.1</v>
      </c>
      <c r="E24654" s="5">
        <v>101.3</v>
      </c>
      <c r="F24654" s="5">
        <v>202.3</v>
      </c>
      <c r="G24654" s="5">
        <v>100.9</v>
      </c>
      <c r="H24654" s="5">
        <v>100.8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101.5</v>
      </c>
      <c r="D24655" s="5">
        <v>0.1</v>
      </c>
      <c r="E24655" s="5">
        <v>101.7</v>
      </c>
      <c r="F24655" s="5">
        <v>202.2</v>
      </c>
      <c r="G24655" s="5">
        <v>100.9</v>
      </c>
      <c r="H24655" s="5">
        <v>100.8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101.5</v>
      </c>
      <c r="D24656" s="5">
        <v>0.1</v>
      </c>
      <c r="E24656" s="5">
        <v>101.7</v>
      </c>
      <c r="F24656" s="5">
        <v>202.2</v>
      </c>
      <c r="G24656" s="5">
        <v>100.9</v>
      </c>
      <c r="H24656" s="5">
        <v>100.8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101.8</v>
      </c>
      <c r="D24657" s="5">
        <v>0.1</v>
      </c>
      <c r="E24657" s="5">
        <v>102</v>
      </c>
      <c r="F24657" s="5">
        <v>203.1</v>
      </c>
      <c r="G24657" s="5">
        <v>101.4</v>
      </c>
      <c r="H24657" s="5">
        <v>101.3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101.8</v>
      </c>
      <c r="D24658" s="5">
        <v>0.1</v>
      </c>
      <c r="E24658" s="5">
        <v>102</v>
      </c>
      <c r="F24658" s="5">
        <v>203.1</v>
      </c>
      <c r="G24658" s="5">
        <v>101.4</v>
      </c>
      <c r="H24658" s="5">
        <v>101.3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101.5</v>
      </c>
      <c r="D24659" s="5">
        <v>0.1</v>
      </c>
      <c r="E24659" s="5">
        <v>101.7</v>
      </c>
      <c r="F24659" s="5">
        <v>203</v>
      </c>
      <c r="G24659" s="5">
        <v>101.3</v>
      </c>
      <c r="H24659" s="5">
        <v>101.2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101.5</v>
      </c>
      <c r="D24660" s="5">
        <v>0.1</v>
      </c>
      <c r="E24660" s="5">
        <v>101.7</v>
      </c>
      <c r="F24660" s="5">
        <v>203</v>
      </c>
      <c r="G24660" s="5">
        <v>101.3</v>
      </c>
      <c r="H24660" s="5">
        <v>101.2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101.5</v>
      </c>
      <c r="D24661" s="5">
        <v>0.1</v>
      </c>
      <c r="E24661" s="5">
        <v>101.7</v>
      </c>
      <c r="F24661" s="5">
        <v>203</v>
      </c>
      <c r="G24661" s="5">
        <v>101.3</v>
      </c>
      <c r="H24661" s="5">
        <v>101.2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101.5</v>
      </c>
      <c r="D24662" s="5">
        <v>0.1</v>
      </c>
      <c r="E24662" s="5">
        <v>101.7</v>
      </c>
      <c r="F24662" s="5">
        <v>203</v>
      </c>
      <c r="G24662" s="5">
        <v>101.3</v>
      </c>
      <c r="H24662" s="5">
        <v>101.2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101.5</v>
      </c>
      <c r="D24663" s="5">
        <v>0.1</v>
      </c>
      <c r="E24663" s="5">
        <v>101.7</v>
      </c>
      <c r="F24663" s="5">
        <v>202.9</v>
      </c>
      <c r="G24663" s="5">
        <v>101.2</v>
      </c>
      <c r="H24663" s="5">
        <v>101.1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101.5</v>
      </c>
      <c r="D24664" s="5">
        <v>0.1</v>
      </c>
      <c r="E24664" s="5">
        <v>101.7</v>
      </c>
      <c r="F24664" s="5">
        <v>202.9</v>
      </c>
      <c r="G24664" s="5">
        <v>101.2</v>
      </c>
      <c r="H24664" s="5">
        <v>101.1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102.1</v>
      </c>
      <c r="D24665" s="5">
        <v>0.1</v>
      </c>
      <c r="E24665" s="5">
        <v>102.2</v>
      </c>
      <c r="F24665" s="5">
        <v>203.8</v>
      </c>
      <c r="G24665" s="5">
        <v>101.7</v>
      </c>
      <c r="H24665" s="5">
        <v>101.6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102.1</v>
      </c>
      <c r="D24666" s="5">
        <v>0.1</v>
      </c>
      <c r="E24666" s="5">
        <v>102.2</v>
      </c>
      <c r="F24666" s="5">
        <v>203.8</v>
      </c>
      <c r="G24666" s="5">
        <v>101.7</v>
      </c>
      <c r="H24666" s="5">
        <v>101.6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101.8</v>
      </c>
      <c r="D24667" s="5">
        <v>0.1</v>
      </c>
      <c r="E24667" s="5">
        <v>102</v>
      </c>
      <c r="F24667" s="5">
        <v>203.5</v>
      </c>
      <c r="G24667" s="5">
        <v>101.6</v>
      </c>
      <c r="H24667" s="5">
        <v>101.4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101.8</v>
      </c>
      <c r="D24668" s="5">
        <v>0.1</v>
      </c>
      <c r="E24668" s="5">
        <v>102</v>
      </c>
      <c r="F24668" s="5">
        <v>203.5</v>
      </c>
      <c r="G24668" s="5">
        <v>101.6</v>
      </c>
      <c r="H24668" s="5">
        <v>101.4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101.1</v>
      </c>
      <c r="D24669" s="5">
        <v>0.1</v>
      </c>
      <c r="E24669" s="5">
        <v>101.3</v>
      </c>
      <c r="F24669" s="5">
        <v>202.8</v>
      </c>
      <c r="G24669" s="5">
        <v>101.2</v>
      </c>
      <c r="H24669" s="5">
        <v>101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101.1</v>
      </c>
      <c r="D24670" s="5">
        <v>0.1</v>
      </c>
      <c r="E24670" s="5">
        <v>101.3</v>
      </c>
      <c r="F24670" s="5">
        <v>202.8</v>
      </c>
      <c r="G24670" s="5">
        <v>101.2</v>
      </c>
      <c r="H24670" s="5">
        <v>101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101.1</v>
      </c>
      <c r="D24671" s="5">
        <v>0.1</v>
      </c>
      <c r="E24671" s="5">
        <v>101.3</v>
      </c>
      <c r="F24671" s="5">
        <v>202.8</v>
      </c>
      <c r="G24671" s="5">
        <v>101.2</v>
      </c>
      <c r="H24671" s="5">
        <v>101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101.1</v>
      </c>
      <c r="D24672" s="5">
        <v>0.1</v>
      </c>
      <c r="E24672" s="5">
        <v>101.3</v>
      </c>
      <c r="F24672" s="5">
        <v>202.8</v>
      </c>
      <c r="G24672" s="5">
        <v>101.2</v>
      </c>
      <c r="H24672" s="5">
        <v>101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101.7</v>
      </c>
      <c r="D24673" s="5">
        <v>0.1</v>
      </c>
      <c r="E24673" s="5">
        <v>101.8</v>
      </c>
      <c r="F24673" s="5">
        <v>203.3</v>
      </c>
      <c r="G24673" s="5">
        <v>101.4</v>
      </c>
      <c r="H24673" s="5">
        <v>101.3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101.7</v>
      </c>
      <c r="D24674" s="5">
        <v>0.1</v>
      </c>
      <c r="E24674" s="5">
        <v>101.8</v>
      </c>
      <c r="F24674" s="5">
        <v>203.3</v>
      </c>
      <c r="G24674" s="5">
        <v>101.4</v>
      </c>
      <c r="H24674" s="5">
        <v>101.3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101.8</v>
      </c>
      <c r="D24675" s="5">
        <v>0.1</v>
      </c>
      <c r="E24675" s="5">
        <v>102</v>
      </c>
      <c r="F24675" s="5">
        <v>203.7</v>
      </c>
      <c r="G24675" s="5">
        <v>101.6</v>
      </c>
      <c r="H24675" s="5">
        <v>101.5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101.8</v>
      </c>
      <c r="D24676" s="5">
        <v>0.1</v>
      </c>
      <c r="E24676" s="5">
        <v>102</v>
      </c>
      <c r="F24676" s="5">
        <v>203.7</v>
      </c>
      <c r="G24676" s="5">
        <v>101.6</v>
      </c>
      <c r="H24676" s="5">
        <v>101.5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101.8</v>
      </c>
      <c r="D24677" s="5">
        <v>0.1</v>
      </c>
      <c r="E24677" s="5">
        <v>102</v>
      </c>
      <c r="F24677" s="5">
        <v>204</v>
      </c>
      <c r="G24677" s="5">
        <v>101.8</v>
      </c>
      <c r="H24677" s="5">
        <v>101.6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101.8</v>
      </c>
      <c r="D24678" s="5">
        <v>0.1</v>
      </c>
      <c r="E24678" s="5">
        <v>102</v>
      </c>
      <c r="F24678" s="5">
        <v>204</v>
      </c>
      <c r="G24678" s="5">
        <v>101.8</v>
      </c>
      <c r="H24678" s="5">
        <v>101.6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102.2</v>
      </c>
      <c r="D24679" s="5">
        <v>0.1</v>
      </c>
      <c r="E24679" s="5">
        <v>102.4</v>
      </c>
      <c r="F24679" s="5">
        <v>204.4</v>
      </c>
      <c r="G24679" s="5">
        <v>102</v>
      </c>
      <c r="H24679" s="5">
        <v>101.8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102.2</v>
      </c>
      <c r="D24680" s="5">
        <v>0.1</v>
      </c>
      <c r="E24680" s="5">
        <v>102.4</v>
      </c>
      <c r="F24680" s="5">
        <v>204.4</v>
      </c>
      <c r="G24680" s="5">
        <v>102</v>
      </c>
      <c r="H24680" s="5">
        <v>101.8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102.2</v>
      </c>
      <c r="D24681" s="5">
        <v>0.1</v>
      </c>
      <c r="E24681" s="5">
        <v>102.4</v>
      </c>
      <c r="F24681" s="5">
        <v>204.4</v>
      </c>
      <c r="G24681" s="5">
        <v>102</v>
      </c>
      <c r="H24681" s="5">
        <v>101.8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102.2</v>
      </c>
      <c r="D24682" s="5">
        <v>0.1</v>
      </c>
      <c r="E24682" s="5">
        <v>102.4</v>
      </c>
      <c r="F24682" s="5">
        <v>204.4</v>
      </c>
      <c r="G24682" s="5">
        <v>102</v>
      </c>
      <c r="H24682" s="5">
        <v>101.8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101.8</v>
      </c>
      <c r="D24683" s="5">
        <v>0.1</v>
      </c>
      <c r="E24683" s="5">
        <v>101.8</v>
      </c>
      <c r="F24683" s="5">
        <v>203.4</v>
      </c>
      <c r="G24683" s="5">
        <v>101.5</v>
      </c>
      <c r="H24683" s="5">
        <v>101.3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101.8</v>
      </c>
      <c r="D24684" s="5">
        <v>0.1</v>
      </c>
      <c r="E24684" s="5">
        <v>101.8</v>
      </c>
      <c r="F24684" s="5">
        <v>203.4</v>
      </c>
      <c r="G24684" s="5">
        <v>101.5</v>
      </c>
      <c r="H24684" s="5">
        <v>101.3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101.8</v>
      </c>
      <c r="D24685" s="5">
        <v>0.1</v>
      </c>
      <c r="E24685" s="5">
        <v>101.9</v>
      </c>
      <c r="F24685" s="5">
        <v>202.9</v>
      </c>
      <c r="G24685" s="5">
        <v>101.3</v>
      </c>
      <c r="H24685" s="5">
        <v>101.1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101.8</v>
      </c>
      <c r="D24686" s="5">
        <v>0.1</v>
      </c>
      <c r="E24686" s="5">
        <v>101.9</v>
      </c>
      <c r="F24686" s="5">
        <v>202.9</v>
      </c>
      <c r="G24686" s="5">
        <v>101.3</v>
      </c>
      <c r="H24686" s="5">
        <v>101.1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101.5</v>
      </c>
      <c r="D24687" s="5">
        <v>0.1</v>
      </c>
      <c r="E24687" s="5">
        <v>101.6</v>
      </c>
      <c r="F24687" s="5">
        <v>202.6</v>
      </c>
      <c r="G24687" s="5">
        <v>101.1</v>
      </c>
      <c r="H24687" s="5">
        <v>100.9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101.5</v>
      </c>
      <c r="D24688" s="5">
        <v>0.1</v>
      </c>
      <c r="E24688" s="5">
        <v>101.6</v>
      </c>
      <c r="F24688" s="5">
        <v>202.6</v>
      </c>
      <c r="G24688" s="5">
        <v>101.1</v>
      </c>
      <c r="H24688" s="5">
        <v>100.9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102.2</v>
      </c>
      <c r="D24689" s="5">
        <v>0.1</v>
      </c>
      <c r="E24689" s="5">
        <v>102.4</v>
      </c>
      <c r="F24689" s="5">
        <v>203.2</v>
      </c>
      <c r="G24689" s="5">
        <v>101.4</v>
      </c>
      <c r="H24689" s="5">
        <v>101.2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102.2</v>
      </c>
      <c r="D24690" s="5">
        <v>0.1</v>
      </c>
      <c r="E24690" s="5">
        <v>102.4</v>
      </c>
      <c r="F24690" s="5">
        <v>203.2</v>
      </c>
      <c r="G24690" s="5">
        <v>101.4</v>
      </c>
      <c r="H24690" s="5">
        <v>101.2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102.2</v>
      </c>
      <c r="D24691" s="5">
        <v>0.1</v>
      </c>
      <c r="E24691" s="5">
        <v>102.4</v>
      </c>
      <c r="F24691" s="5">
        <v>203.2</v>
      </c>
      <c r="G24691" s="5">
        <v>101.4</v>
      </c>
      <c r="H24691" s="5">
        <v>101.2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102.2</v>
      </c>
      <c r="D24692" s="5">
        <v>0.1</v>
      </c>
      <c r="E24692" s="5">
        <v>102.4</v>
      </c>
      <c r="F24692" s="5">
        <v>203.2</v>
      </c>
      <c r="G24692" s="5">
        <v>101.4</v>
      </c>
      <c r="H24692" s="5">
        <v>101.2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101</v>
      </c>
      <c r="D24693" s="5">
        <v>0.1</v>
      </c>
      <c r="E24693" s="5">
        <v>101.1</v>
      </c>
      <c r="F24693" s="5">
        <v>201.6</v>
      </c>
      <c r="G24693" s="5">
        <v>100.6</v>
      </c>
      <c r="H24693" s="5">
        <v>100.4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101</v>
      </c>
      <c r="D24694" s="5">
        <v>0.1</v>
      </c>
      <c r="E24694" s="5">
        <v>101.1</v>
      </c>
      <c r="F24694" s="5">
        <v>201.6</v>
      </c>
      <c r="G24694" s="5">
        <v>100.6</v>
      </c>
      <c r="H24694" s="5">
        <v>100.4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101.7</v>
      </c>
      <c r="D24695" s="5">
        <v>0.1</v>
      </c>
      <c r="E24695" s="5">
        <v>101.8</v>
      </c>
      <c r="F24695" s="5">
        <v>203.6</v>
      </c>
      <c r="G24695" s="5">
        <v>101.6</v>
      </c>
      <c r="H24695" s="5">
        <v>101.4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101.7</v>
      </c>
      <c r="D24696" s="5">
        <v>0.1</v>
      </c>
      <c r="E24696" s="5">
        <v>101.8</v>
      </c>
      <c r="F24696" s="5">
        <v>203.6</v>
      </c>
      <c r="G24696" s="5">
        <v>101.6</v>
      </c>
      <c r="H24696" s="5">
        <v>101.4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102.2</v>
      </c>
      <c r="D24697" s="5">
        <v>0.1</v>
      </c>
      <c r="E24697" s="5">
        <v>102.4</v>
      </c>
      <c r="F24697" s="5">
        <v>203.4</v>
      </c>
      <c r="G24697" s="5">
        <v>101.5</v>
      </c>
      <c r="H24697" s="5">
        <v>101.4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102.2</v>
      </c>
      <c r="D24698" s="5">
        <v>0.1</v>
      </c>
      <c r="E24698" s="5">
        <v>102.4</v>
      </c>
      <c r="F24698" s="5">
        <v>203.4</v>
      </c>
      <c r="G24698" s="5">
        <v>101.5</v>
      </c>
      <c r="H24698" s="5">
        <v>101.4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102.4</v>
      </c>
      <c r="D24699" s="5">
        <v>0.1</v>
      </c>
      <c r="E24699" s="5">
        <v>102.6</v>
      </c>
      <c r="F24699" s="5">
        <v>205</v>
      </c>
      <c r="G24699" s="5">
        <v>102.2</v>
      </c>
      <c r="H24699" s="5">
        <v>102.1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102.4</v>
      </c>
      <c r="D24700" s="5">
        <v>0.1</v>
      </c>
      <c r="E24700" s="5">
        <v>102.6</v>
      </c>
      <c r="F24700" s="5">
        <v>205</v>
      </c>
      <c r="G24700" s="5">
        <v>102.2</v>
      </c>
      <c r="H24700" s="5">
        <v>102.1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102.4</v>
      </c>
      <c r="D24701" s="5">
        <v>0.1</v>
      </c>
      <c r="E24701" s="5">
        <v>102.6</v>
      </c>
      <c r="F24701" s="5">
        <v>205</v>
      </c>
      <c r="G24701" s="5">
        <v>102.2</v>
      </c>
      <c r="H24701" s="5">
        <v>102.1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102.4</v>
      </c>
      <c r="D24702" s="5">
        <v>0.1</v>
      </c>
      <c r="E24702" s="5">
        <v>102.6</v>
      </c>
      <c r="F24702" s="5">
        <v>205</v>
      </c>
      <c r="G24702" s="5">
        <v>102.2</v>
      </c>
      <c r="H24702" s="5">
        <v>102.1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102.4</v>
      </c>
      <c r="D24703" s="5">
        <v>0.1</v>
      </c>
      <c r="E24703" s="5">
        <v>102.6</v>
      </c>
      <c r="F24703" s="5">
        <v>203.8</v>
      </c>
      <c r="G24703" s="5">
        <v>101.8</v>
      </c>
      <c r="H24703" s="5">
        <v>101.7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102.4</v>
      </c>
      <c r="D24704" s="5">
        <v>0.1</v>
      </c>
      <c r="E24704" s="5">
        <v>102.6</v>
      </c>
      <c r="F24704" s="5">
        <v>203.8</v>
      </c>
      <c r="G24704" s="5">
        <v>101.8</v>
      </c>
      <c r="H24704" s="5">
        <v>101.7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102</v>
      </c>
      <c r="D24705" s="5">
        <v>0.1</v>
      </c>
      <c r="E24705" s="5">
        <v>102.1</v>
      </c>
      <c r="F24705" s="5">
        <v>203.4</v>
      </c>
      <c r="G24705" s="5">
        <v>101.4</v>
      </c>
      <c r="H24705" s="5">
        <v>101.3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102</v>
      </c>
      <c r="D24706" s="5">
        <v>0.1</v>
      </c>
      <c r="E24706" s="5">
        <v>102.1</v>
      </c>
      <c r="F24706" s="5">
        <v>203.4</v>
      </c>
      <c r="G24706" s="5">
        <v>101.4</v>
      </c>
      <c r="H24706" s="5">
        <v>101.3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101.6</v>
      </c>
      <c r="D24707" s="5">
        <v>0.1</v>
      </c>
      <c r="E24707" s="5">
        <v>101.8</v>
      </c>
      <c r="F24707" s="5">
        <v>202.1</v>
      </c>
      <c r="G24707" s="5">
        <v>100.8</v>
      </c>
      <c r="H24707" s="5">
        <v>100.6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101.6</v>
      </c>
      <c r="D24708" s="5">
        <v>0.1</v>
      </c>
      <c r="E24708" s="5">
        <v>101.8</v>
      </c>
      <c r="F24708" s="5">
        <v>202.1</v>
      </c>
      <c r="G24708" s="5">
        <v>100.8</v>
      </c>
      <c r="H24708" s="5">
        <v>100.6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101.2</v>
      </c>
      <c r="D24709" s="5">
        <v>0.1</v>
      </c>
      <c r="E24709" s="5">
        <v>101.4</v>
      </c>
      <c r="F24709" s="5">
        <v>203.7</v>
      </c>
      <c r="G24709" s="5">
        <v>101.6</v>
      </c>
      <c r="H24709" s="5">
        <v>101.4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101.2</v>
      </c>
      <c r="D24710" s="5">
        <v>0.1</v>
      </c>
      <c r="E24710" s="5">
        <v>101.4</v>
      </c>
      <c r="F24710" s="5">
        <v>203.7</v>
      </c>
      <c r="G24710" s="5">
        <v>101.6</v>
      </c>
      <c r="H24710" s="5">
        <v>101.4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101.2</v>
      </c>
      <c r="D24711" s="5">
        <v>0.1</v>
      </c>
      <c r="E24711" s="5">
        <v>101.4</v>
      </c>
      <c r="F24711" s="5">
        <v>203.7</v>
      </c>
      <c r="G24711" s="5">
        <v>101.6</v>
      </c>
      <c r="H24711" s="5">
        <v>101.4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102.4</v>
      </c>
      <c r="D24712" s="5">
        <v>0.1</v>
      </c>
      <c r="E24712" s="5">
        <v>102.6</v>
      </c>
      <c r="F24712" s="5">
        <v>204.7</v>
      </c>
      <c r="G24712" s="5">
        <v>102.2</v>
      </c>
      <c r="H24712" s="5">
        <v>102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102.4</v>
      </c>
      <c r="D24713" s="5">
        <v>0.1</v>
      </c>
      <c r="E24713" s="5">
        <v>102.6</v>
      </c>
      <c r="F24713" s="5">
        <v>204.7</v>
      </c>
      <c r="G24713" s="5">
        <v>102.2</v>
      </c>
      <c r="H24713" s="5">
        <v>102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101.8</v>
      </c>
      <c r="D24714" s="5">
        <v>0.1</v>
      </c>
      <c r="E24714" s="5">
        <v>102</v>
      </c>
      <c r="F24714" s="5">
        <v>203.8</v>
      </c>
      <c r="G24714" s="5">
        <v>101.7</v>
      </c>
      <c r="H24714" s="5">
        <v>101.5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101.8</v>
      </c>
      <c r="D24715" s="5">
        <v>0.1</v>
      </c>
      <c r="E24715" s="5">
        <v>102</v>
      </c>
      <c r="F24715" s="5">
        <v>203.8</v>
      </c>
      <c r="G24715" s="5">
        <v>101.7</v>
      </c>
      <c r="H24715" s="5">
        <v>101.5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101.8</v>
      </c>
      <c r="D24716" s="5">
        <v>0.1</v>
      </c>
      <c r="E24716" s="5">
        <v>102.4</v>
      </c>
      <c r="F24716" s="5">
        <v>204.2</v>
      </c>
      <c r="G24716" s="5">
        <v>101.9</v>
      </c>
      <c r="H24716" s="5">
        <v>101.8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102.2</v>
      </c>
      <c r="D24717" s="5">
        <v>0.1</v>
      </c>
      <c r="E24717" s="5">
        <v>102.4</v>
      </c>
      <c r="F24717" s="5">
        <v>204.2</v>
      </c>
      <c r="G24717" s="5">
        <v>101.9</v>
      </c>
      <c r="H24717" s="5">
        <v>101.8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102.2</v>
      </c>
      <c r="D24718" s="5">
        <v>0.1</v>
      </c>
      <c r="E24718" s="5">
        <v>101.9</v>
      </c>
      <c r="F24718" s="5">
        <v>204.2</v>
      </c>
      <c r="G24718" s="5">
        <v>101.9</v>
      </c>
      <c r="H24718" s="5">
        <v>101.7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101.8</v>
      </c>
      <c r="D24719" s="5">
        <v>0.1</v>
      </c>
      <c r="E24719" s="5">
        <v>101.9</v>
      </c>
      <c r="F24719" s="5">
        <v>204.2</v>
      </c>
      <c r="G24719" s="5">
        <v>101.9</v>
      </c>
      <c r="H24719" s="5">
        <v>101.7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101.8</v>
      </c>
      <c r="D24720" s="5">
        <v>0.1</v>
      </c>
      <c r="E24720" s="5">
        <v>101.9</v>
      </c>
      <c r="F24720" s="5">
        <v>204.2</v>
      </c>
      <c r="G24720" s="5">
        <v>101.9</v>
      </c>
      <c r="H24720" s="5">
        <v>101.7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101.8</v>
      </c>
      <c r="D24721" s="5">
        <v>0.1</v>
      </c>
      <c r="E24721" s="5">
        <v>101.9</v>
      </c>
      <c r="F24721" s="5">
        <v>204.2</v>
      </c>
      <c r="G24721" s="5">
        <v>101.9</v>
      </c>
      <c r="H24721" s="5">
        <v>101.7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102.1</v>
      </c>
      <c r="D24722" s="5">
        <v>0.1</v>
      </c>
      <c r="E24722" s="5">
        <v>102.1</v>
      </c>
      <c r="F24722" s="5">
        <v>203.7</v>
      </c>
      <c r="G24722" s="5">
        <v>101.9</v>
      </c>
      <c r="H24722" s="5">
        <v>101.7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102.1</v>
      </c>
      <c r="D24723" s="5">
        <v>0.1</v>
      </c>
      <c r="E24723" s="5">
        <v>102.1</v>
      </c>
      <c r="F24723" s="5">
        <v>203.7</v>
      </c>
      <c r="G24723" s="5">
        <v>101.6</v>
      </c>
      <c r="H24723" s="5">
        <v>101.5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102.8</v>
      </c>
      <c r="D24724" s="5">
        <v>0.1</v>
      </c>
      <c r="E24724" s="5">
        <v>103</v>
      </c>
      <c r="F24724" s="5">
        <v>203.7</v>
      </c>
      <c r="G24724" s="5">
        <v>101.6</v>
      </c>
      <c r="H24724" s="5">
        <v>101.5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102.8</v>
      </c>
      <c r="D24725" s="5">
        <v>0.1</v>
      </c>
      <c r="E24725" s="5">
        <v>103</v>
      </c>
      <c r="F24725" s="5">
        <v>204.4</v>
      </c>
      <c r="G24725" s="5">
        <v>101.9</v>
      </c>
      <c r="H24725" s="5">
        <v>101.8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102.8</v>
      </c>
      <c r="D24726" s="5">
        <v>0.1</v>
      </c>
      <c r="E24726" s="5">
        <v>103</v>
      </c>
      <c r="F24726" s="5">
        <v>204.4</v>
      </c>
      <c r="G24726" s="5">
        <v>101.9</v>
      </c>
      <c r="H24726" s="5">
        <v>101.8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101.5</v>
      </c>
      <c r="D24727" s="5">
        <v>0.1</v>
      </c>
      <c r="E24727" s="5">
        <v>101.7</v>
      </c>
      <c r="F24727" s="5">
        <v>204.4</v>
      </c>
      <c r="G24727" s="5">
        <v>102</v>
      </c>
      <c r="H24727" s="5">
        <v>101.8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101.5</v>
      </c>
      <c r="D24728" s="5">
        <v>0.1</v>
      </c>
      <c r="E24728" s="5">
        <v>101.7</v>
      </c>
      <c r="F24728" s="5">
        <v>204.4</v>
      </c>
      <c r="G24728" s="5">
        <v>102</v>
      </c>
      <c r="H24728" s="5">
        <v>101.8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102.3</v>
      </c>
      <c r="D24729" s="5">
        <v>0.1</v>
      </c>
      <c r="E24729" s="5">
        <v>102.4</v>
      </c>
      <c r="F24729" s="5">
        <v>203.8</v>
      </c>
      <c r="G24729" s="5">
        <v>101.8</v>
      </c>
      <c r="H24729" s="5">
        <v>101.6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102.3</v>
      </c>
      <c r="D24730" s="5">
        <v>0.1</v>
      </c>
      <c r="E24730" s="5">
        <v>102.4</v>
      </c>
      <c r="F24730" s="5">
        <v>203.8</v>
      </c>
      <c r="G24730" s="5">
        <v>101.8</v>
      </c>
      <c r="H24730" s="5">
        <v>101.6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102.3</v>
      </c>
      <c r="D24731" s="5">
        <v>0.1</v>
      </c>
      <c r="E24731" s="5">
        <v>102.4</v>
      </c>
      <c r="F24731" s="5">
        <v>203.8</v>
      </c>
      <c r="G24731" s="5">
        <v>101.8</v>
      </c>
      <c r="H24731" s="5">
        <v>101.6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102.3</v>
      </c>
      <c r="D24732" s="5">
        <v>0.1</v>
      </c>
      <c r="E24732" s="5">
        <v>102.4</v>
      </c>
      <c r="F24732" s="5">
        <v>203.8</v>
      </c>
      <c r="G24732" s="5">
        <v>101.8</v>
      </c>
      <c r="H24732" s="5">
        <v>101.6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102.6</v>
      </c>
      <c r="D24733" s="5">
        <v>0.1</v>
      </c>
      <c r="E24733" s="5">
        <v>102.7</v>
      </c>
      <c r="F24733" s="5">
        <v>204.6</v>
      </c>
      <c r="G24733" s="5">
        <v>102.1</v>
      </c>
      <c r="H24733" s="5">
        <v>102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102.6</v>
      </c>
      <c r="D24734" s="5">
        <v>0.1</v>
      </c>
      <c r="E24734" s="5">
        <v>102.7</v>
      </c>
      <c r="F24734" s="5">
        <v>204.6</v>
      </c>
      <c r="G24734" s="5">
        <v>102.1</v>
      </c>
      <c r="H24734" s="5">
        <v>102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102.4</v>
      </c>
      <c r="D24735" s="5">
        <v>0.1</v>
      </c>
      <c r="E24735" s="5">
        <v>102.6</v>
      </c>
      <c r="F24735" s="5">
        <v>204.8</v>
      </c>
      <c r="G24735" s="5">
        <v>102.2</v>
      </c>
      <c r="H24735" s="5">
        <v>102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102.4</v>
      </c>
      <c r="D24736" s="5">
        <v>0.1</v>
      </c>
      <c r="E24736" s="5">
        <v>102.6</v>
      </c>
      <c r="F24736" s="5">
        <v>204.8</v>
      </c>
      <c r="G24736" s="5">
        <v>102.2</v>
      </c>
      <c r="H24736" s="5">
        <v>102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101.9</v>
      </c>
      <c r="D24737" s="5">
        <v>0.1</v>
      </c>
      <c r="E24737" s="5">
        <v>102.1</v>
      </c>
      <c r="F24737" s="5">
        <v>203.7</v>
      </c>
      <c r="G24737" s="5">
        <v>101.6</v>
      </c>
      <c r="H24737" s="5">
        <v>101.5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101.9</v>
      </c>
      <c r="D24738" s="5">
        <v>0.1</v>
      </c>
      <c r="E24738" s="5">
        <v>102.1</v>
      </c>
      <c r="F24738" s="5">
        <v>203.7</v>
      </c>
      <c r="G24738" s="5">
        <v>101.6</v>
      </c>
      <c r="H24738" s="5">
        <v>101.5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101.8</v>
      </c>
      <c r="D24739" s="5">
        <v>0.1</v>
      </c>
      <c r="E24739" s="5">
        <v>101.9</v>
      </c>
      <c r="F24739" s="5">
        <v>203.3</v>
      </c>
      <c r="G24739" s="5">
        <v>101.4</v>
      </c>
      <c r="H24739" s="5">
        <v>101.3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101.8</v>
      </c>
      <c r="D24740" s="5">
        <v>0.1</v>
      </c>
      <c r="E24740" s="5">
        <v>101.9</v>
      </c>
      <c r="F24740" s="5">
        <v>203.3</v>
      </c>
      <c r="G24740" s="5">
        <v>101.4</v>
      </c>
      <c r="H24740" s="5">
        <v>101.3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101.8</v>
      </c>
      <c r="D24741" s="5">
        <v>0.1</v>
      </c>
      <c r="E24741" s="5">
        <v>101.9</v>
      </c>
      <c r="F24741" s="5">
        <v>203.3</v>
      </c>
      <c r="G24741" s="5">
        <v>101.4</v>
      </c>
      <c r="H24741" s="5">
        <v>101.3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101.6</v>
      </c>
      <c r="D24742" s="5">
        <v>0.1</v>
      </c>
      <c r="E24742" s="5">
        <v>101.8</v>
      </c>
      <c r="F24742" s="5">
        <v>202.4</v>
      </c>
      <c r="G24742" s="5">
        <v>101</v>
      </c>
      <c r="H24742" s="5">
        <v>100.8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101.6</v>
      </c>
      <c r="D24743" s="5">
        <v>0.1</v>
      </c>
      <c r="E24743" s="5">
        <v>101.8</v>
      </c>
      <c r="F24743" s="5">
        <v>202.4</v>
      </c>
      <c r="G24743" s="5">
        <v>101</v>
      </c>
      <c r="H24743" s="5">
        <v>100.8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101.8</v>
      </c>
      <c r="D24744" s="5">
        <v>0.1</v>
      </c>
      <c r="E24744" s="5">
        <v>101.9</v>
      </c>
      <c r="F24744" s="5">
        <v>202.9</v>
      </c>
      <c r="G24744" s="5">
        <v>101.2</v>
      </c>
      <c r="H24744" s="5">
        <v>101.1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101.8</v>
      </c>
      <c r="D24745" s="5">
        <v>0.1</v>
      </c>
      <c r="E24745" s="5">
        <v>101.9</v>
      </c>
      <c r="F24745" s="5">
        <v>202.9</v>
      </c>
      <c r="G24745" s="5">
        <v>101.2</v>
      </c>
      <c r="H24745" s="5">
        <v>101.1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102.1</v>
      </c>
      <c r="D24746" s="5">
        <v>0.1</v>
      </c>
      <c r="E24746" s="5">
        <v>102.1</v>
      </c>
      <c r="F24746" s="5">
        <v>203.7</v>
      </c>
      <c r="G24746" s="5">
        <v>101.6</v>
      </c>
      <c r="H24746" s="5">
        <v>101.2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102.1</v>
      </c>
      <c r="D24747" s="5">
        <v>0.1</v>
      </c>
      <c r="E24747" s="5">
        <v>102.1</v>
      </c>
      <c r="F24747" s="5">
        <v>203.7</v>
      </c>
      <c r="G24747" s="5">
        <v>101.6</v>
      </c>
      <c r="H24747" s="5">
        <v>101.2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101.5</v>
      </c>
      <c r="D24748" s="5">
        <v>0.1</v>
      </c>
      <c r="E24748" s="5">
        <v>101.6</v>
      </c>
      <c r="F24748" s="5">
        <v>202</v>
      </c>
      <c r="G24748" s="5">
        <v>100.8</v>
      </c>
      <c r="H24748" s="5">
        <v>100.7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101.5</v>
      </c>
      <c r="D24749" s="5">
        <v>0.1</v>
      </c>
      <c r="E24749" s="5">
        <v>101.6</v>
      </c>
      <c r="F24749" s="5">
        <v>202</v>
      </c>
      <c r="G24749" s="5">
        <v>100.8</v>
      </c>
      <c r="H24749" s="5">
        <v>100.7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101.5</v>
      </c>
      <c r="D24750" s="5">
        <v>0.1</v>
      </c>
      <c r="E24750" s="5">
        <v>101.6</v>
      </c>
      <c r="F24750" s="5">
        <v>202</v>
      </c>
      <c r="G24750" s="5">
        <v>100.8</v>
      </c>
      <c r="H24750" s="5">
        <v>100.7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101.5</v>
      </c>
      <c r="D24751" s="5">
        <v>0.1</v>
      </c>
      <c r="E24751" s="5">
        <v>101.6</v>
      </c>
      <c r="F24751" s="5">
        <v>202</v>
      </c>
      <c r="G24751" s="5">
        <v>100.8</v>
      </c>
      <c r="H24751" s="5">
        <v>100.7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101.9</v>
      </c>
      <c r="D24752" s="5">
        <v>0.1</v>
      </c>
      <c r="E24752" s="5">
        <v>102</v>
      </c>
      <c r="F24752" s="5">
        <v>203.7</v>
      </c>
      <c r="G24752" s="5">
        <v>101.6</v>
      </c>
      <c r="H24752" s="5">
        <v>101.5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101.4</v>
      </c>
      <c r="D24753" s="5">
        <v>0.1</v>
      </c>
      <c r="E24753" s="5">
        <v>101.5</v>
      </c>
      <c r="F24753" s="5">
        <v>202.2</v>
      </c>
      <c r="G24753" s="5">
        <v>100.9</v>
      </c>
      <c r="H24753" s="5">
        <v>100.7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101.4</v>
      </c>
      <c r="D24754" s="5">
        <v>0.1</v>
      </c>
      <c r="E24754" s="5">
        <v>101.5</v>
      </c>
      <c r="F24754" s="5">
        <v>202.2</v>
      </c>
      <c r="G24754" s="5">
        <v>100.9</v>
      </c>
      <c r="H24754" s="5">
        <v>100.7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102.1</v>
      </c>
      <c r="D24755" s="5">
        <v>0.1</v>
      </c>
      <c r="E24755" s="5">
        <v>102.2</v>
      </c>
      <c r="F24755" s="5">
        <v>203.6</v>
      </c>
      <c r="G24755" s="5">
        <v>101.6</v>
      </c>
      <c r="H24755" s="5">
        <v>101.4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102.1</v>
      </c>
      <c r="D24756" s="5">
        <v>0.1</v>
      </c>
      <c r="E24756" s="5">
        <v>102.2</v>
      </c>
      <c r="F24756" s="5">
        <v>203.6</v>
      </c>
      <c r="G24756" s="5">
        <v>101.6</v>
      </c>
      <c r="H24756" s="5">
        <v>101.4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102.1</v>
      </c>
      <c r="D24757" s="5">
        <v>0.1</v>
      </c>
      <c r="E24757" s="5">
        <v>102.2</v>
      </c>
      <c r="F24757" s="5">
        <v>203.6</v>
      </c>
      <c r="G24757" s="5">
        <v>101.6</v>
      </c>
      <c r="H24757" s="5">
        <v>101.4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102.1</v>
      </c>
      <c r="D24758" s="5">
        <v>0.1</v>
      </c>
      <c r="E24758" s="5">
        <v>102.2</v>
      </c>
      <c r="F24758" s="5">
        <v>203.6</v>
      </c>
      <c r="G24758" s="5">
        <v>101.6</v>
      </c>
      <c r="H24758" s="5">
        <v>101.4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102.2</v>
      </c>
      <c r="D24759" s="5">
        <v>0.1</v>
      </c>
      <c r="E24759" s="5">
        <v>102.4</v>
      </c>
      <c r="F24759" s="5">
        <v>204.5</v>
      </c>
      <c r="G24759" s="5">
        <v>102</v>
      </c>
      <c r="H24759" s="5">
        <v>101.9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102.2</v>
      </c>
      <c r="D24760" s="5">
        <v>0.1</v>
      </c>
      <c r="E24760" s="5">
        <v>102.4</v>
      </c>
      <c r="F24760" s="5">
        <v>204.5</v>
      </c>
      <c r="G24760" s="5">
        <v>102</v>
      </c>
      <c r="H24760" s="5">
        <v>101.9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102.4</v>
      </c>
      <c r="D24761" s="5">
        <v>0.1</v>
      </c>
      <c r="E24761" s="5">
        <v>102.5</v>
      </c>
      <c r="F24761" s="5">
        <v>204.9</v>
      </c>
      <c r="G24761" s="5">
        <v>102.2</v>
      </c>
      <c r="H24761" s="5">
        <v>102.1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102.4</v>
      </c>
      <c r="D24762" s="5">
        <v>0.1</v>
      </c>
      <c r="E24762" s="5">
        <v>102.5</v>
      </c>
      <c r="F24762" s="5">
        <v>204.9</v>
      </c>
      <c r="G24762" s="5">
        <v>102.2</v>
      </c>
      <c r="H24762" s="5">
        <v>102.1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102.4</v>
      </c>
      <c r="D24763" s="5">
        <v>0.1</v>
      </c>
      <c r="E24763" s="5">
        <v>102.5</v>
      </c>
      <c r="F24763" s="5">
        <v>204.7</v>
      </c>
      <c r="G24763" s="5">
        <v>102.2</v>
      </c>
      <c r="H24763" s="5">
        <v>102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102.4</v>
      </c>
      <c r="D24764" s="5">
        <v>0.1</v>
      </c>
      <c r="E24764" s="5">
        <v>102.5</v>
      </c>
      <c r="F24764" s="5">
        <v>204.7</v>
      </c>
      <c r="G24764" s="5">
        <v>102.2</v>
      </c>
      <c r="H24764" s="5">
        <v>102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101.9</v>
      </c>
      <c r="D24765" s="5">
        <v>0.1</v>
      </c>
      <c r="E24765" s="5">
        <v>102.1</v>
      </c>
      <c r="F24765" s="5">
        <v>204.3</v>
      </c>
      <c r="G24765" s="5">
        <v>101.9</v>
      </c>
      <c r="H24765" s="5">
        <v>101.8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101.9</v>
      </c>
      <c r="D24766" s="5">
        <v>0.1</v>
      </c>
      <c r="E24766" s="5">
        <v>102.1</v>
      </c>
      <c r="F24766" s="5">
        <v>204.3</v>
      </c>
      <c r="G24766" s="5">
        <v>101.9</v>
      </c>
      <c r="H24766" s="5">
        <v>101.8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101.9</v>
      </c>
      <c r="D24767" s="5">
        <v>0.1</v>
      </c>
      <c r="E24767" s="5">
        <v>102.1</v>
      </c>
      <c r="F24767" s="5">
        <v>204.3</v>
      </c>
      <c r="G24767" s="5">
        <v>101.9</v>
      </c>
      <c r="H24767" s="5">
        <v>101.8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101.9</v>
      </c>
      <c r="D24768" s="5">
        <v>0.1</v>
      </c>
      <c r="E24768" s="5">
        <v>102.1</v>
      </c>
      <c r="F24768" s="5">
        <v>204.3</v>
      </c>
      <c r="G24768" s="5">
        <v>101.9</v>
      </c>
      <c r="H24768" s="5">
        <v>101.8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103.4</v>
      </c>
      <c r="D24769" s="5">
        <v>0.1</v>
      </c>
      <c r="E24769" s="5">
        <v>103.5</v>
      </c>
      <c r="F24769" s="5">
        <v>205.4</v>
      </c>
      <c r="G24769" s="5">
        <v>102.5</v>
      </c>
      <c r="H24769" s="5">
        <v>102.3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103.4</v>
      </c>
      <c r="D24770" s="5">
        <v>0.1</v>
      </c>
      <c r="E24770" s="5">
        <v>103.5</v>
      </c>
      <c r="F24770" s="5">
        <v>205.4</v>
      </c>
      <c r="G24770" s="5">
        <v>102.5</v>
      </c>
      <c r="H24770" s="5">
        <v>102.3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103.7</v>
      </c>
      <c r="D24771" s="5">
        <v>0.1</v>
      </c>
      <c r="E24771" s="5">
        <v>103.9</v>
      </c>
      <c r="F24771" s="5">
        <v>205.9</v>
      </c>
      <c r="G24771" s="5">
        <v>102.7</v>
      </c>
      <c r="H24771" s="5">
        <v>102.7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103.7</v>
      </c>
      <c r="D24772" s="5">
        <v>0.1</v>
      </c>
      <c r="E24772" s="5">
        <v>103.9</v>
      </c>
      <c r="F24772" s="5">
        <v>205.9</v>
      </c>
      <c r="G24772" s="5">
        <v>102.7</v>
      </c>
      <c r="H24772" s="5">
        <v>102.7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102</v>
      </c>
      <c r="D24773" s="5">
        <v>0.1</v>
      </c>
      <c r="E24773" s="5">
        <v>102.1</v>
      </c>
      <c r="F24773" s="5">
        <v>203.6</v>
      </c>
      <c r="G24773" s="5">
        <v>101.6</v>
      </c>
      <c r="H24773" s="5">
        <v>101.5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102</v>
      </c>
      <c r="D24774" s="5">
        <v>0.1</v>
      </c>
      <c r="E24774" s="5">
        <v>102.1</v>
      </c>
      <c r="F24774" s="5">
        <v>203.6</v>
      </c>
      <c r="G24774" s="5">
        <v>101.6</v>
      </c>
      <c r="H24774" s="5">
        <v>101.5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101.8</v>
      </c>
      <c r="D24775" s="5">
        <v>0.1</v>
      </c>
      <c r="E24775" s="5">
        <v>101.9</v>
      </c>
      <c r="F24775" s="5">
        <v>204.2</v>
      </c>
      <c r="G24775" s="5">
        <v>101.9</v>
      </c>
      <c r="H24775" s="5">
        <v>101.8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101.8</v>
      </c>
      <c r="D24776" s="5">
        <v>0.1</v>
      </c>
      <c r="E24776" s="5">
        <v>101.9</v>
      </c>
      <c r="F24776" s="5">
        <v>204.2</v>
      </c>
      <c r="G24776" s="5">
        <v>101.9</v>
      </c>
      <c r="H24776" s="5">
        <v>101.8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101.8</v>
      </c>
      <c r="D24777" s="5">
        <v>0.1</v>
      </c>
      <c r="E24777" s="5">
        <v>101.9</v>
      </c>
      <c r="F24777" s="5">
        <v>204.2</v>
      </c>
      <c r="G24777" s="5">
        <v>101.9</v>
      </c>
      <c r="H24777" s="5">
        <v>101.8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102.6</v>
      </c>
      <c r="D24778" s="5">
        <v>0.1</v>
      </c>
      <c r="E24778" s="5">
        <v>102.7</v>
      </c>
      <c r="F24778" s="5">
        <v>204.8</v>
      </c>
      <c r="G24778" s="5">
        <v>102.2</v>
      </c>
      <c r="H24778" s="5">
        <v>102.1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102.6</v>
      </c>
      <c r="D24779" s="5">
        <v>0.1</v>
      </c>
      <c r="E24779" s="5">
        <v>102.7</v>
      </c>
      <c r="F24779" s="5">
        <v>204.8</v>
      </c>
      <c r="G24779" s="5">
        <v>102.2</v>
      </c>
      <c r="H24779" s="5">
        <v>102.1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103.8</v>
      </c>
      <c r="D24780" s="5">
        <v>0.1</v>
      </c>
      <c r="E24780" s="5">
        <v>104</v>
      </c>
      <c r="F24780" s="5">
        <v>206.8</v>
      </c>
      <c r="G24780" s="5">
        <v>103.2</v>
      </c>
      <c r="H24780" s="5">
        <v>103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103.8</v>
      </c>
      <c r="D24781" s="5">
        <v>0.1</v>
      </c>
      <c r="E24781" s="5">
        <v>104</v>
      </c>
      <c r="F24781" s="5">
        <v>206.8</v>
      </c>
      <c r="G24781" s="5">
        <v>103.2</v>
      </c>
      <c r="H24781" s="5">
        <v>103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103.4</v>
      </c>
      <c r="D24782" s="5">
        <v>0.1</v>
      </c>
      <c r="E24782" s="5">
        <v>103.4</v>
      </c>
      <c r="F24782" s="5">
        <v>205.3</v>
      </c>
      <c r="G24782" s="5">
        <v>102.4</v>
      </c>
      <c r="H24782" s="5">
        <v>102.3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103.4</v>
      </c>
      <c r="D24783" s="5">
        <v>0.1</v>
      </c>
      <c r="E24783" s="5">
        <v>103.4</v>
      </c>
      <c r="F24783" s="5">
        <v>205.3</v>
      </c>
      <c r="G24783" s="5">
        <v>102.4</v>
      </c>
      <c r="H24783" s="5">
        <v>102.3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103.4</v>
      </c>
      <c r="D24784" s="5">
        <v>0.1</v>
      </c>
      <c r="E24784" s="5">
        <v>103.6</v>
      </c>
      <c r="F24784" s="5">
        <v>206.1</v>
      </c>
      <c r="G24784" s="5">
        <v>102.8</v>
      </c>
      <c r="H24784" s="5">
        <v>102.6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103.4</v>
      </c>
      <c r="D24785" s="5">
        <v>0.1</v>
      </c>
      <c r="E24785" s="5">
        <v>103.6</v>
      </c>
      <c r="F24785" s="5">
        <v>206.1</v>
      </c>
      <c r="G24785" s="5">
        <v>102.8</v>
      </c>
      <c r="H24785" s="5">
        <v>102.6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102.3</v>
      </c>
      <c r="D24786" s="5">
        <v>0.1</v>
      </c>
      <c r="E24786" s="5">
        <v>102.4</v>
      </c>
      <c r="F24786" s="5">
        <v>205.1</v>
      </c>
      <c r="G24786" s="5">
        <v>102.3</v>
      </c>
      <c r="H24786" s="5">
        <v>102.1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102.3</v>
      </c>
      <c r="D24787" s="5">
        <v>0.1</v>
      </c>
      <c r="E24787" s="5">
        <v>102.4</v>
      </c>
      <c r="F24787" s="5">
        <v>205.1</v>
      </c>
      <c r="G24787" s="5">
        <v>102.3</v>
      </c>
      <c r="H24787" s="5">
        <v>102.1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100.4</v>
      </c>
      <c r="D24788" s="5">
        <v>0.1</v>
      </c>
      <c r="E24788" s="5">
        <v>100.5</v>
      </c>
      <c r="F24788" s="5">
        <v>199.8</v>
      </c>
      <c r="G24788" s="5">
        <v>99.7</v>
      </c>
      <c r="H24788" s="5">
        <v>99.5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100.4</v>
      </c>
      <c r="D24789" s="5">
        <v>0.1</v>
      </c>
      <c r="E24789" s="5">
        <v>100.5</v>
      </c>
      <c r="F24789" s="5">
        <v>199.8</v>
      </c>
      <c r="G24789" s="5">
        <v>99.7</v>
      </c>
      <c r="H24789" s="5">
        <v>99.5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100.4</v>
      </c>
      <c r="D24790" s="5">
        <v>0.1</v>
      </c>
      <c r="E24790" s="5">
        <v>100.5</v>
      </c>
      <c r="F24790" s="5">
        <v>199.8</v>
      </c>
      <c r="G24790" s="5">
        <v>99.7</v>
      </c>
      <c r="H24790" s="5">
        <v>99.5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100.4</v>
      </c>
      <c r="D24791" s="5">
        <v>0.1</v>
      </c>
      <c r="E24791" s="5">
        <v>100.5</v>
      </c>
      <c r="F24791" s="5">
        <v>199.8</v>
      </c>
      <c r="G24791" s="5">
        <v>99.7</v>
      </c>
      <c r="H24791" s="5">
        <v>99.5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101.8</v>
      </c>
      <c r="D24792" s="5">
        <v>0.1</v>
      </c>
      <c r="E24792" s="5">
        <v>101.9</v>
      </c>
      <c r="F24792" s="5">
        <v>203.6</v>
      </c>
      <c r="G24792" s="5">
        <v>101.5</v>
      </c>
      <c r="H24792" s="5">
        <v>101.3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101.8</v>
      </c>
      <c r="D24793" s="5">
        <v>0.1</v>
      </c>
      <c r="E24793" s="5">
        <v>101.9</v>
      </c>
      <c r="F24793" s="5">
        <v>203.6</v>
      </c>
      <c r="G24793" s="5">
        <v>101.5</v>
      </c>
      <c r="H24793" s="5">
        <v>101.3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101.2</v>
      </c>
      <c r="D24794" s="5">
        <v>0.1</v>
      </c>
      <c r="E24794" s="5">
        <v>101.4</v>
      </c>
      <c r="F24794" s="5">
        <v>201.6</v>
      </c>
      <c r="G24794" s="5">
        <v>100.6</v>
      </c>
      <c r="H24794" s="5">
        <v>100.5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101.2</v>
      </c>
      <c r="D24795" s="5">
        <v>0.1</v>
      </c>
      <c r="E24795" s="5">
        <v>101.4</v>
      </c>
      <c r="F24795" s="5">
        <v>201.6</v>
      </c>
      <c r="G24795" s="5">
        <v>100.6</v>
      </c>
      <c r="H24795" s="5">
        <v>100.5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102.1</v>
      </c>
      <c r="D24796" s="5">
        <v>0.1</v>
      </c>
      <c r="E24796" s="5">
        <v>102.2</v>
      </c>
      <c r="F24796" s="5">
        <v>203.7</v>
      </c>
      <c r="G24796" s="5">
        <v>101.7</v>
      </c>
      <c r="H24796" s="5">
        <v>101.5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102.1</v>
      </c>
      <c r="D24797" s="5">
        <v>0.1</v>
      </c>
      <c r="E24797" s="5">
        <v>102.2</v>
      </c>
      <c r="F24797" s="5">
        <v>203.7</v>
      </c>
      <c r="G24797" s="5">
        <v>101.7</v>
      </c>
      <c r="H24797" s="5">
        <v>101.5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103.2</v>
      </c>
      <c r="D24798" s="5">
        <v>0.1</v>
      </c>
      <c r="E24798" s="5">
        <v>103.4</v>
      </c>
      <c r="F24798" s="5">
        <v>205.8</v>
      </c>
      <c r="G24798" s="5">
        <v>102.7</v>
      </c>
      <c r="H24798" s="5">
        <v>102.6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103.2</v>
      </c>
      <c r="D24799" s="5">
        <v>0.1</v>
      </c>
      <c r="E24799" s="5">
        <v>103.4</v>
      </c>
      <c r="F24799" s="5">
        <v>205.8</v>
      </c>
      <c r="G24799" s="5">
        <v>102.7</v>
      </c>
      <c r="H24799" s="5">
        <v>102.6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103.2</v>
      </c>
      <c r="D24800" s="5">
        <v>0.1</v>
      </c>
      <c r="E24800" s="5">
        <v>103.4</v>
      </c>
      <c r="F24800" s="5">
        <v>205.8</v>
      </c>
      <c r="G24800" s="5">
        <v>102.7</v>
      </c>
      <c r="H24800" s="5">
        <v>102.6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103.2</v>
      </c>
      <c r="D24801" s="5">
        <v>0.1</v>
      </c>
      <c r="E24801" s="5">
        <v>103.4</v>
      </c>
      <c r="F24801" s="5">
        <v>205.8</v>
      </c>
      <c r="G24801" s="5">
        <v>102.7</v>
      </c>
      <c r="H24801" s="5">
        <v>102.6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102.5</v>
      </c>
      <c r="D24802" s="5">
        <v>0.1</v>
      </c>
      <c r="E24802" s="5">
        <v>102.6</v>
      </c>
      <c r="F24802" s="5">
        <v>206.2</v>
      </c>
      <c r="G24802" s="5">
        <v>102.8</v>
      </c>
      <c r="H24802" s="5">
        <v>102.6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102.5</v>
      </c>
      <c r="D24803" s="5">
        <v>0.1</v>
      </c>
      <c r="E24803" s="5">
        <v>102.6</v>
      </c>
      <c r="F24803" s="5">
        <v>206.2</v>
      </c>
      <c r="G24803" s="5">
        <v>102.8</v>
      </c>
      <c r="H24803" s="5">
        <v>102.6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102.9</v>
      </c>
      <c r="D24804" s="5">
        <v>0.1</v>
      </c>
      <c r="E24804" s="5">
        <v>103.1</v>
      </c>
      <c r="F24804" s="5">
        <v>205.2</v>
      </c>
      <c r="G24804" s="5">
        <v>102.4</v>
      </c>
      <c r="H24804" s="5">
        <v>102.3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102.9</v>
      </c>
      <c r="D24805" s="5">
        <v>0.1</v>
      </c>
      <c r="E24805" s="5">
        <v>103.1</v>
      </c>
      <c r="F24805" s="5">
        <v>205.2</v>
      </c>
      <c r="G24805" s="5">
        <v>102.4</v>
      </c>
      <c r="H24805" s="5">
        <v>102.3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103</v>
      </c>
      <c r="D24806" s="5">
        <v>0.1</v>
      </c>
      <c r="E24806" s="5">
        <v>103.1</v>
      </c>
      <c r="F24806" s="5">
        <v>205.9</v>
      </c>
      <c r="G24806" s="5">
        <v>102.6</v>
      </c>
      <c r="H24806" s="5">
        <v>102.4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103</v>
      </c>
      <c r="D24807" s="5">
        <v>0.1</v>
      </c>
      <c r="E24807" s="5">
        <v>103.1</v>
      </c>
      <c r="F24807" s="5">
        <v>205.9</v>
      </c>
      <c r="G24807" s="5">
        <v>102.6</v>
      </c>
      <c r="H24807" s="5">
        <v>102.4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102.3</v>
      </c>
      <c r="D24808" s="5">
        <v>0.1</v>
      </c>
      <c r="E24808" s="5">
        <v>102.4</v>
      </c>
      <c r="F24808" s="5">
        <v>205</v>
      </c>
      <c r="G24808" s="5">
        <v>102.2</v>
      </c>
      <c r="H24808" s="5">
        <v>102.1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102.3</v>
      </c>
      <c r="D24809" s="5">
        <v>0.1</v>
      </c>
      <c r="E24809" s="5">
        <v>102.4</v>
      </c>
      <c r="F24809" s="5">
        <v>205</v>
      </c>
      <c r="G24809" s="5">
        <v>102.2</v>
      </c>
      <c r="H24809" s="5">
        <v>102.1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102.3</v>
      </c>
      <c r="D24810" s="5">
        <v>0.1</v>
      </c>
      <c r="E24810" s="5">
        <v>102.4</v>
      </c>
      <c r="F24810" s="5">
        <v>205</v>
      </c>
      <c r="G24810" s="5">
        <v>102.2</v>
      </c>
      <c r="H24810" s="5">
        <v>102.1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102.3</v>
      </c>
      <c r="D24811" s="5">
        <v>0.1</v>
      </c>
      <c r="E24811" s="5">
        <v>102.4</v>
      </c>
      <c r="F24811" s="5">
        <v>205</v>
      </c>
      <c r="G24811" s="5">
        <v>102.2</v>
      </c>
      <c r="H24811" s="5">
        <v>102.1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102.9</v>
      </c>
      <c r="D24812" s="5">
        <v>0.1</v>
      </c>
      <c r="E24812" s="5">
        <v>103.1</v>
      </c>
      <c r="F24812" s="5">
        <v>206.4</v>
      </c>
      <c r="G24812" s="5">
        <v>102.9</v>
      </c>
      <c r="H24812" s="5">
        <v>102.7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102.9</v>
      </c>
      <c r="D24813" s="5">
        <v>0.1</v>
      </c>
      <c r="E24813" s="5">
        <v>103.1</v>
      </c>
      <c r="F24813" s="5">
        <v>206.4</v>
      </c>
      <c r="G24813" s="5">
        <v>102.9</v>
      </c>
      <c r="H24813" s="5">
        <v>102.7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102.4</v>
      </c>
      <c r="D24814" s="5">
        <v>0.1</v>
      </c>
      <c r="E24814" s="5">
        <v>102.4</v>
      </c>
      <c r="F24814" s="5">
        <v>204.4</v>
      </c>
      <c r="G24814" s="5">
        <v>102</v>
      </c>
      <c r="H24814" s="5">
        <v>101.9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102.4</v>
      </c>
      <c r="D24815" s="5">
        <v>0.1</v>
      </c>
      <c r="E24815" s="5">
        <v>102.4</v>
      </c>
      <c r="F24815" s="5">
        <v>204.4</v>
      </c>
      <c r="G24815" s="5">
        <v>102</v>
      </c>
      <c r="H24815" s="5">
        <v>101.9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102.7</v>
      </c>
      <c r="D24816" s="5">
        <v>0.1</v>
      </c>
      <c r="E24816" s="5">
        <v>102.9</v>
      </c>
      <c r="F24816" s="5">
        <v>205.2</v>
      </c>
      <c r="G24816" s="5">
        <v>102.4</v>
      </c>
      <c r="H24816" s="5">
        <v>102.2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102.7</v>
      </c>
      <c r="D24817" s="5">
        <v>0.1</v>
      </c>
      <c r="E24817" s="5">
        <v>102.9</v>
      </c>
      <c r="F24817" s="5">
        <v>205.2</v>
      </c>
      <c r="G24817" s="5">
        <v>102.4</v>
      </c>
      <c r="H24817" s="5">
        <v>102.2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102.6</v>
      </c>
      <c r="D24818" s="5">
        <v>0.1</v>
      </c>
      <c r="E24818" s="5">
        <v>102.7</v>
      </c>
      <c r="F24818" s="5">
        <v>204.5</v>
      </c>
      <c r="G24818" s="5">
        <v>102.1</v>
      </c>
      <c r="H24818" s="5">
        <v>102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102.6</v>
      </c>
      <c r="D24819" s="5">
        <v>0.1</v>
      </c>
      <c r="E24819" s="5">
        <v>102.7</v>
      </c>
      <c r="F24819" s="5">
        <v>204.5</v>
      </c>
      <c r="G24819" s="5">
        <v>102.1</v>
      </c>
      <c r="H24819" s="5">
        <v>102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102.6</v>
      </c>
      <c r="D24820" s="5">
        <v>0.1</v>
      </c>
      <c r="E24820" s="5">
        <v>102.7</v>
      </c>
      <c r="F24820" s="5">
        <v>204.5</v>
      </c>
      <c r="G24820" s="5">
        <v>102.1</v>
      </c>
      <c r="H24820" s="5">
        <v>102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102.6</v>
      </c>
      <c r="D24821" s="5">
        <v>0.1</v>
      </c>
      <c r="E24821" s="5">
        <v>102.7</v>
      </c>
      <c r="F24821" s="5">
        <v>204.5</v>
      </c>
      <c r="G24821" s="5">
        <v>102.1</v>
      </c>
      <c r="H24821" s="5">
        <v>102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103.1</v>
      </c>
      <c r="D24822" s="5">
        <v>0.1</v>
      </c>
      <c r="E24822" s="5">
        <v>103.2</v>
      </c>
      <c r="F24822" s="5">
        <v>206</v>
      </c>
      <c r="G24822" s="5">
        <v>102.8</v>
      </c>
      <c r="H24822" s="5">
        <v>102.7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103.1</v>
      </c>
      <c r="D24823" s="5">
        <v>0.1</v>
      </c>
      <c r="E24823" s="5">
        <v>103.2</v>
      </c>
      <c r="F24823" s="5">
        <v>206</v>
      </c>
      <c r="G24823" s="5">
        <v>102.8</v>
      </c>
      <c r="H24823" s="5">
        <v>102.7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103.5</v>
      </c>
      <c r="D24824" s="5">
        <v>0.1</v>
      </c>
      <c r="E24824" s="5">
        <v>103.7</v>
      </c>
      <c r="F24824" s="5">
        <v>206.3</v>
      </c>
      <c r="G24824" s="5">
        <v>103</v>
      </c>
      <c r="H24824" s="5">
        <v>102.9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103.5</v>
      </c>
      <c r="D24825" s="5">
        <v>0.1</v>
      </c>
      <c r="E24825" s="5">
        <v>103.7</v>
      </c>
      <c r="F24825" s="5">
        <v>206.3</v>
      </c>
      <c r="G24825" s="5">
        <v>103</v>
      </c>
      <c r="H24825" s="5">
        <v>102.9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103.1</v>
      </c>
      <c r="D24826" s="5">
        <v>0.1</v>
      </c>
      <c r="E24826" s="5">
        <v>103.2</v>
      </c>
      <c r="F24826" s="5">
        <v>205.9</v>
      </c>
      <c r="G24826" s="5">
        <v>102.9</v>
      </c>
      <c r="H24826" s="5">
        <v>102.8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103.1</v>
      </c>
      <c r="D24827" s="5">
        <v>0.1</v>
      </c>
      <c r="E24827" s="5">
        <v>103.2</v>
      </c>
      <c r="F24827" s="5">
        <v>205.9</v>
      </c>
      <c r="G24827" s="5">
        <v>102.9</v>
      </c>
      <c r="H24827" s="5">
        <v>102.8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103.6</v>
      </c>
      <c r="D24828" s="5">
        <v>0.1</v>
      </c>
      <c r="E24828" s="5">
        <v>103.7</v>
      </c>
      <c r="F24828" s="5">
        <v>206.7</v>
      </c>
      <c r="G24828" s="5">
        <v>103.1</v>
      </c>
      <c r="H24828" s="5">
        <v>103.2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103.6</v>
      </c>
      <c r="D24829" s="5">
        <v>0.1</v>
      </c>
      <c r="E24829" s="5">
        <v>103.7</v>
      </c>
      <c r="F24829" s="5">
        <v>206.7</v>
      </c>
      <c r="G24829" s="5">
        <v>103.1</v>
      </c>
      <c r="H24829" s="5">
        <v>103.2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103.6</v>
      </c>
      <c r="D24830" s="5">
        <v>0.1</v>
      </c>
      <c r="E24830" s="5">
        <v>103.7</v>
      </c>
      <c r="F24830" s="5">
        <v>206.7</v>
      </c>
      <c r="G24830" s="5">
        <v>103.1</v>
      </c>
      <c r="H24830" s="5">
        <v>103.2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103.6</v>
      </c>
      <c r="D24831" s="5">
        <v>0.1</v>
      </c>
      <c r="E24831" s="5">
        <v>103.7</v>
      </c>
      <c r="F24831" s="5">
        <v>206.7</v>
      </c>
      <c r="G24831" s="5">
        <v>103.1</v>
      </c>
      <c r="H24831" s="5">
        <v>103.2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102.8</v>
      </c>
      <c r="D24832" s="5">
        <v>0.1</v>
      </c>
      <c r="E24832" s="5">
        <v>103</v>
      </c>
      <c r="F24832" s="5">
        <v>205.5</v>
      </c>
      <c r="G24832" s="5">
        <v>102.5</v>
      </c>
      <c r="H24832" s="5">
        <v>102.3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102.8</v>
      </c>
      <c r="D24833" s="5">
        <v>0.1</v>
      </c>
      <c r="E24833" s="5">
        <v>103</v>
      </c>
      <c r="F24833" s="5">
        <v>205.5</v>
      </c>
      <c r="G24833" s="5">
        <v>102.5</v>
      </c>
      <c r="H24833" s="5">
        <v>102.3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103.2</v>
      </c>
      <c r="D24834" s="5">
        <v>0.1</v>
      </c>
      <c r="E24834" s="5">
        <v>103.4</v>
      </c>
      <c r="F24834" s="5">
        <v>206.2</v>
      </c>
      <c r="G24834" s="5">
        <v>102.9</v>
      </c>
      <c r="H24834" s="5">
        <v>102.7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103.2</v>
      </c>
      <c r="D24835" s="5">
        <v>0.1</v>
      </c>
      <c r="E24835" s="5">
        <v>103.4</v>
      </c>
      <c r="F24835" s="5">
        <v>206.2</v>
      </c>
      <c r="G24835" s="5">
        <v>102.9</v>
      </c>
      <c r="H24835" s="5">
        <v>102.7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102.8</v>
      </c>
      <c r="D24836" s="5">
        <v>0.1</v>
      </c>
      <c r="E24836" s="5">
        <v>103</v>
      </c>
      <c r="F24836" s="5">
        <v>205.7</v>
      </c>
      <c r="G24836" s="5">
        <v>102.6</v>
      </c>
      <c r="H24836" s="5">
        <v>102.5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102.8</v>
      </c>
      <c r="D24837" s="5">
        <v>0.1</v>
      </c>
      <c r="E24837" s="5">
        <v>103</v>
      </c>
      <c r="F24837" s="5">
        <v>205.7</v>
      </c>
      <c r="G24837" s="5">
        <v>102.6</v>
      </c>
      <c r="H24837" s="5">
        <v>102.5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103.4</v>
      </c>
      <c r="D24838" s="5">
        <v>0.1</v>
      </c>
      <c r="E24838" s="5">
        <v>103.6</v>
      </c>
      <c r="F24838" s="5">
        <v>205.8</v>
      </c>
      <c r="G24838" s="5">
        <v>102.7</v>
      </c>
      <c r="H24838" s="5">
        <v>102.6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103.4</v>
      </c>
      <c r="D24839" s="5">
        <v>0.1</v>
      </c>
      <c r="E24839" s="5">
        <v>103.6</v>
      </c>
      <c r="F24839" s="5">
        <v>205.8</v>
      </c>
      <c r="G24839" s="5">
        <v>102.7</v>
      </c>
      <c r="H24839" s="5">
        <v>102.6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103.4</v>
      </c>
      <c r="D24840" s="5">
        <v>0.1</v>
      </c>
      <c r="E24840" s="5">
        <v>103.6</v>
      </c>
      <c r="F24840" s="5">
        <v>205.8</v>
      </c>
      <c r="G24840" s="5">
        <v>102.7</v>
      </c>
      <c r="H24840" s="5">
        <v>102.6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102.6</v>
      </c>
      <c r="D24841" s="5">
        <v>0.1</v>
      </c>
      <c r="E24841" s="5">
        <v>102.7</v>
      </c>
      <c r="F24841" s="5">
        <v>205.3</v>
      </c>
      <c r="G24841" s="5">
        <v>102.5</v>
      </c>
      <c r="H24841" s="5">
        <v>102.5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102.6</v>
      </c>
      <c r="D24842" s="5">
        <v>0.1</v>
      </c>
      <c r="E24842" s="5">
        <v>102.7</v>
      </c>
      <c r="F24842" s="5">
        <v>205.3</v>
      </c>
      <c r="G24842" s="5">
        <v>102.5</v>
      </c>
      <c r="H24842" s="5">
        <v>102.5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102.6</v>
      </c>
      <c r="D24843" s="5">
        <v>0.1</v>
      </c>
      <c r="E24843" s="5">
        <v>103.4</v>
      </c>
      <c r="F24843" s="5">
        <v>205.9</v>
      </c>
      <c r="G24843" s="5">
        <v>102.7</v>
      </c>
      <c r="H24843" s="5">
        <v>102.6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103.3</v>
      </c>
      <c r="D24844" s="5">
        <v>0.1</v>
      </c>
      <c r="E24844" s="5">
        <v>103.4</v>
      </c>
      <c r="F24844" s="5">
        <v>205.9</v>
      </c>
      <c r="G24844" s="5">
        <v>102.7</v>
      </c>
      <c r="H24844" s="5">
        <v>102.6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103.3</v>
      </c>
      <c r="D24845" s="5">
        <v>0.1</v>
      </c>
      <c r="E24845" s="5">
        <v>102.8</v>
      </c>
      <c r="F24845" s="5">
        <v>205.7</v>
      </c>
      <c r="G24845" s="5">
        <v>102.6</v>
      </c>
      <c r="H24845" s="5">
        <v>102.5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102.7</v>
      </c>
      <c r="D24846" s="5">
        <v>0.1</v>
      </c>
      <c r="E24846" s="5">
        <v>102.8</v>
      </c>
      <c r="F24846" s="5">
        <v>205.7</v>
      </c>
      <c r="G24846" s="5">
        <v>102.6</v>
      </c>
      <c r="H24846" s="5">
        <v>102.5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102.7</v>
      </c>
      <c r="D24847" s="5">
        <v>0.1</v>
      </c>
      <c r="E24847" s="5">
        <v>103.2</v>
      </c>
      <c r="F24847" s="5">
        <v>205.4</v>
      </c>
      <c r="G24847" s="5">
        <v>102.5</v>
      </c>
      <c r="H24847" s="5">
        <v>102.4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103.1</v>
      </c>
      <c r="D24848" s="5">
        <v>0.1</v>
      </c>
      <c r="E24848" s="5">
        <v>103.2</v>
      </c>
      <c r="F24848" s="5">
        <v>205.4</v>
      </c>
      <c r="G24848" s="5">
        <v>102.5</v>
      </c>
      <c r="H24848" s="5">
        <v>102.4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103.1</v>
      </c>
      <c r="D24849" s="5">
        <v>0.1</v>
      </c>
      <c r="E24849" s="5">
        <v>103.2</v>
      </c>
      <c r="F24849" s="5">
        <v>205.4</v>
      </c>
      <c r="G24849" s="5">
        <v>102.5</v>
      </c>
      <c r="H24849" s="5">
        <v>102.4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103.1</v>
      </c>
      <c r="D24850" s="5">
        <v>0.1</v>
      </c>
      <c r="E24850" s="5">
        <v>103.2</v>
      </c>
      <c r="F24850" s="5">
        <v>205.4</v>
      </c>
      <c r="G24850" s="5">
        <v>102.5</v>
      </c>
      <c r="H24850" s="5">
        <v>102.4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101.5</v>
      </c>
      <c r="D24851" s="5">
        <v>0.1</v>
      </c>
      <c r="E24851" s="5">
        <v>101.6</v>
      </c>
      <c r="F24851" s="5">
        <v>203.2</v>
      </c>
      <c r="G24851" s="5">
        <v>101.3</v>
      </c>
      <c r="H24851" s="5">
        <v>101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101.5</v>
      </c>
      <c r="D24852" s="5">
        <v>0.1</v>
      </c>
      <c r="E24852" s="5">
        <v>101.6</v>
      </c>
      <c r="F24852" s="5">
        <v>203.2</v>
      </c>
      <c r="G24852" s="5">
        <v>101.3</v>
      </c>
      <c r="H24852" s="5">
        <v>101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102.7</v>
      </c>
      <c r="D24853" s="5">
        <v>0.1</v>
      </c>
      <c r="E24853" s="5">
        <v>102.9</v>
      </c>
      <c r="F24853" s="5">
        <v>205.3</v>
      </c>
      <c r="G24853" s="5">
        <v>101.3</v>
      </c>
      <c r="H24853" s="5">
        <v>101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102.7</v>
      </c>
      <c r="D24854" s="5">
        <v>0.1</v>
      </c>
      <c r="E24854" s="5">
        <v>102.9</v>
      </c>
      <c r="F24854" s="5">
        <v>205.3</v>
      </c>
      <c r="G24854" s="5">
        <v>102.4</v>
      </c>
      <c r="H24854" s="5">
        <v>102.3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100.5</v>
      </c>
      <c r="D24855" s="5">
        <v>0.1</v>
      </c>
      <c r="E24855" s="5">
        <v>100.6</v>
      </c>
      <c r="F24855" s="5">
        <v>203.6</v>
      </c>
      <c r="G24855" s="5">
        <v>102.4</v>
      </c>
      <c r="H24855" s="5">
        <v>102.3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100.5</v>
      </c>
      <c r="D24856" s="5">
        <v>0.1</v>
      </c>
      <c r="E24856" s="5">
        <v>100.6</v>
      </c>
      <c r="F24856" s="5">
        <v>203.6</v>
      </c>
      <c r="G24856" s="5">
        <v>101.7</v>
      </c>
      <c r="H24856" s="5">
        <v>101.5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102.3</v>
      </c>
      <c r="D24857" s="5">
        <v>0.1</v>
      </c>
      <c r="E24857" s="5">
        <v>100.6</v>
      </c>
      <c r="F24857" s="5">
        <v>203.6</v>
      </c>
      <c r="G24857" s="5">
        <v>101.7</v>
      </c>
      <c r="H24857" s="5">
        <v>101.5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102.3</v>
      </c>
      <c r="D24858" s="5">
        <v>0.1</v>
      </c>
      <c r="E24858" s="5">
        <v>102.4</v>
      </c>
      <c r="F24858" s="5">
        <v>202.9</v>
      </c>
      <c r="G24858" s="5">
        <v>101.2</v>
      </c>
      <c r="H24858" s="5">
        <v>101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102.3</v>
      </c>
      <c r="D24859" s="5">
        <v>0.1</v>
      </c>
      <c r="E24859" s="5">
        <v>102.4</v>
      </c>
      <c r="F24859" s="5">
        <v>202.9</v>
      </c>
      <c r="G24859" s="5">
        <v>101.2</v>
      </c>
      <c r="H24859" s="5">
        <v>101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102.3</v>
      </c>
      <c r="D24860" s="5">
        <v>0.1</v>
      </c>
      <c r="E24860" s="5">
        <v>102.4</v>
      </c>
      <c r="F24860" s="5">
        <v>202.9</v>
      </c>
      <c r="G24860" s="5">
        <v>101.2</v>
      </c>
      <c r="H24860" s="5">
        <v>101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102.3</v>
      </c>
      <c r="D24861" s="5">
        <v>0.1</v>
      </c>
      <c r="E24861" s="5">
        <v>102.4</v>
      </c>
      <c r="F24861" s="5">
        <v>202.9</v>
      </c>
      <c r="G24861" s="5">
        <v>101.2</v>
      </c>
      <c r="H24861" s="5">
        <v>101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101.8</v>
      </c>
      <c r="D24862" s="5">
        <v>0.1</v>
      </c>
      <c r="E24862" s="5">
        <v>101.9</v>
      </c>
      <c r="F24862" s="5">
        <v>202.7</v>
      </c>
      <c r="G24862" s="5">
        <v>101.2</v>
      </c>
      <c r="H24862" s="5">
        <v>101.1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101.8</v>
      </c>
      <c r="D24863" s="5">
        <v>0.1</v>
      </c>
      <c r="E24863" s="5">
        <v>101.9</v>
      </c>
      <c r="F24863" s="5">
        <v>202.7</v>
      </c>
      <c r="G24863" s="5">
        <v>101.2</v>
      </c>
      <c r="H24863" s="5">
        <v>101.1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101.4</v>
      </c>
      <c r="D24864" s="5">
        <v>0.1</v>
      </c>
      <c r="E24864" s="5">
        <v>101.5</v>
      </c>
      <c r="F24864" s="5">
        <v>202.8</v>
      </c>
      <c r="G24864" s="5">
        <v>101.2</v>
      </c>
      <c r="H24864" s="5">
        <v>101.1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101.4</v>
      </c>
      <c r="D24865" s="5">
        <v>0.1</v>
      </c>
      <c r="E24865" s="5">
        <v>101.5</v>
      </c>
      <c r="F24865" s="5">
        <v>202.8</v>
      </c>
      <c r="G24865" s="5">
        <v>101.2</v>
      </c>
      <c r="H24865" s="5">
        <v>101.1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102.3</v>
      </c>
      <c r="D24866" s="5">
        <v>0.1</v>
      </c>
      <c r="E24866" s="5">
        <v>102.4</v>
      </c>
      <c r="F24866" s="5">
        <v>203.9</v>
      </c>
      <c r="G24866" s="5">
        <v>101.7</v>
      </c>
      <c r="H24866" s="5">
        <v>101.6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102.3</v>
      </c>
      <c r="D24867" s="5">
        <v>0.1</v>
      </c>
      <c r="E24867" s="5">
        <v>102.4</v>
      </c>
      <c r="F24867" s="5">
        <v>203.9</v>
      </c>
      <c r="G24867" s="5">
        <v>101.7</v>
      </c>
      <c r="H24867" s="5">
        <v>101.6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102.7</v>
      </c>
      <c r="D24868" s="5">
        <v>0.1</v>
      </c>
      <c r="E24868" s="5">
        <v>102.9</v>
      </c>
      <c r="F24868" s="5">
        <v>205</v>
      </c>
      <c r="G24868" s="5">
        <v>102.3</v>
      </c>
      <c r="H24868" s="5">
        <v>102.2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102.7</v>
      </c>
      <c r="D24869" s="5">
        <v>0.1</v>
      </c>
      <c r="E24869" s="5">
        <v>102.9</v>
      </c>
      <c r="F24869" s="5">
        <v>205</v>
      </c>
      <c r="G24869" s="5">
        <v>102.3</v>
      </c>
      <c r="H24869" s="5">
        <v>102.2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102.7</v>
      </c>
      <c r="D24870" s="5">
        <v>0.1</v>
      </c>
      <c r="E24870" s="5">
        <v>102.9</v>
      </c>
      <c r="F24870" s="5">
        <v>205</v>
      </c>
      <c r="G24870" s="5">
        <v>102.3</v>
      </c>
      <c r="H24870" s="5">
        <v>102.2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102.7</v>
      </c>
      <c r="D24871" s="5">
        <v>0.1</v>
      </c>
      <c r="E24871" s="5">
        <v>102.9</v>
      </c>
      <c r="F24871" s="5">
        <v>204.7</v>
      </c>
      <c r="G24871" s="5">
        <v>102.1</v>
      </c>
      <c r="H24871" s="5">
        <v>102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103</v>
      </c>
      <c r="D24872" s="5">
        <v>0.1</v>
      </c>
      <c r="E24872" s="5">
        <v>103.1</v>
      </c>
      <c r="F24872" s="5">
        <v>204.7</v>
      </c>
      <c r="G24872" s="5">
        <v>102.1</v>
      </c>
      <c r="H24872" s="5">
        <v>102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103</v>
      </c>
      <c r="D24873" s="5">
        <v>0.1</v>
      </c>
      <c r="E24873" s="5">
        <v>103.1</v>
      </c>
      <c r="F24873" s="5">
        <v>204.7</v>
      </c>
      <c r="G24873" s="5">
        <v>102.1</v>
      </c>
      <c r="H24873" s="5">
        <v>101.8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102.2</v>
      </c>
      <c r="D24874" s="5">
        <v>0.1</v>
      </c>
      <c r="E24874" s="5">
        <v>102.4</v>
      </c>
      <c r="F24874" s="5">
        <v>204.5</v>
      </c>
      <c r="G24874" s="5">
        <v>102</v>
      </c>
      <c r="H24874" s="5">
        <v>101.8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102.2</v>
      </c>
      <c r="D24875" s="5">
        <v>0.1</v>
      </c>
      <c r="E24875" s="5">
        <v>102.4</v>
      </c>
      <c r="F24875" s="5">
        <v>204.5</v>
      </c>
      <c r="G24875" s="5">
        <v>102</v>
      </c>
      <c r="H24875" s="5">
        <v>102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102.7</v>
      </c>
      <c r="D24876" s="5">
        <v>0.1</v>
      </c>
      <c r="E24876" s="5">
        <v>102.8</v>
      </c>
      <c r="F24876" s="5">
        <v>204.5</v>
      </c>
      <c r="G24876" s="5">
        <v>102.1</v>
      </c>
      <c r="H24876" s="5">
        <v>102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102.7</v>
      </c>
      <c r="D24877" s="5">
        <v>0.1</v>
      </c>
      <c r="E24877" s="5">
        <v>102.8</v>
      </c>
      <c r="F24877" s="5">
        <v>204.5</v>
      </c>
      <c r="G24877" s="5">
        <v>102.1</v>
      </c>
      <c r="H24877" s="5">
        <v>101.6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102</v>
      </c>
      <c r="D24878" s="5">
        <v>0.1</v>
      </c>
      <c r="E24878" s="5">
        <v>102.1</v>
      </c>
      <c r="F24878" s="5">
        <v>203.9</v>
      </c>
      <c r="G24878" s="5">
        <v>101.8</v>
      </c>
      <c r="H24878" s="5">
        <v>101.6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102</v>
      </c>
      <c r="D24879" s="5">
        <v>0.1</v>
      </c>
      <c r="E24879" s="5">
        <v>102.1</v>
      </c>
      <c r="F24879" s="5">
        <v>203.9</v>
      </c>
      <c r="G24879" s="5">
        <v>101.8</v>
      </c>
      <c r="H24879" s="5">
        <v>101.6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102</v>
      </c>
      <c r="D24880" s="5">
        <v>0.1</v>
      </c>
      <c r="E24880" s="5">
        <v>102.1</v>
      </c>
      <c r="F24880" s="5">
        <v>203.9</v>
      </c>
      <c r="G24880" s="5">
        <v>101.8</v>
      </c>
      <c r="H24880" s="5">
        <v>101.6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101.6</v>
      </c>
      <c r="D24881" s="5">
        <v>0.1</v>
      </c>
      <c r="E24881" s="5">
        <v>101.7</v>
      </c>
      <c r="F24881" s="5">
        <v>203.2</v>
      </c>
      <c r="G24881" s="5">
        <v>101.4</v>
      </c>
      <c r="H24881" s="5">
        <v>101.2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101.6</v>
      </c>
      <c r="D24882" s="5">
        <v>0.1</v>
      </c>
      <c r="E24882" s="5">
        <v>101.7</v>
      </c>
      <c r="F24882" s="5">
        <v>203.2</v>
      </c>
      <c r="G24882" s="5">
        <v>101.4</v>
      </c>
      <c r="H24882" s="5">
        <v>101.2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101.8</v>
      </c>
      <c r="D24883" s="5">
        <v>0.1</v>
      </c>
      <c r="E24883" s="5">
        <v>101.8</v>
      </c>
      <c r="F24883" s="5">
        <v>203.6</v>
      </c>
      <c r="G24883" s="5">
        <v>101.6</v>
      </c>
      <c r="H24883" s="5">
        <v>101.4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101.8</v>
      </c>
      <c r="D24884" s="5">
        <v>0.1</v>
      </c>
      <c r="E24884" s="5">
        <v>101.8</v>
      </c>
      <c r="F24884" s="5">
        <v>203.6</v>
      </c>
      <c r="G24884" s="5">
        <v>101.6</v>
      </c>
      <c r="H24884" s="5">
        <v>101.4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102</v>
      </c>
      <c r="D24885" s="5">
        <v>0.1</v>
      </c>
      <c r="E24885" s="5">
        <v>102.1</v>
      </c>
      <c r="F24885" s="5">
        <v>203.7</v>
      </c>
      <c r="G24885" s="5">
        <v>101.6</v>
      </c>
      <c r="H24885" s="5">
        <v>101.5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102</v>
      </c>
      <c r="D24886" s="5">
        <v>0.1</v>
      </c>
      <c r="E24886" s="5">
        <v>102.1</v>
      </c>
      <c r="F24886" s="5">
        <v>203.7</v>
      </c>
      <c r="G24886" s="5">
        <v>101.6</v>
      </c>
      <c r="H24886" s="5">
        <v>101.5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102.1</v>
      </c>
      <c r="D24887" s="5">
        <v>0.1</v>
      </c>
      <c r="E24887" s="5">
        <v>102.2</v>
      </c>
      <c r="F24887" s="5">
        <v>203.8</v>
      </c>
      <c r="G24887" s="5">
        <v>101.7</v>
      </c>
      <c r="H24887" s="5">
        <v>101.5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102.1</v>
      </c>
      <c r="D24888" s="5">
        <v>0.1</v>
      </c>
      <c r="E24888" s="5">
        <v>102.2</v>
      </c>
      <c r="F24888" s="5">
        <v>203.8</v>
      </c>
      <c r="G24888" s="5">
        <v>101.7</v>
      </c>
      <c r="H24888" s="5">
        <v>101.5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102.1</v>
      </c>
      <c r="D24889" s="5">
        <v>0.1</v>
      </c>
      <c r="E24889" s="5">
        <v>102.2</v>
      </c>
      <c r="F24889" s="5">
        <v>203.8</v>
      </c>
      <c r="G24889" s="5">
        <v>101.7</v>
      </c>
      <c r="H24889" s="5">
        <v>101.5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102.1</v>
      </c>
      <c r="D24890" s="5">
        <v>0.1</v>
      </c>
      <c r="E24890" s="5">
        <v>102.2</v>
      </c>
      <c r="F24890" s="5">
        <v>203.8</v>
      </c>
      <c r="G24890" s="5">
        <v>101.7</v>
      </c>
      <c r="H24890" s="5">
        <v>101.5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102.4</v>
      </c>
      <c r="D24891" s="5">
        <v>0.1</v>
      </c>
      <c r="E24891" s="5">
        <v>102.6</v>
      </c>
      <c r="F24891" s="5">
        <v>205.1</v>
      </c>
      <c r="G24891" s="5">
        <v>102.3</v>
      </c>
      <c r="H24891" s="5">
        <v>102.2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102.4</v>
      </c>
      <c r="D24892" s="5">
        <v>0.1</v>
      </c>
      <c r="E24892" s="5">
        <v>102.6</v>
      </c>
      <c r="F24892" s="5">
        <v>205.1</v>
      </c>
      <c r="G24892" s="5">
        <v>102.3</v>
      </c>
      <c r="H24892" s="5">
        <v>102.2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101.9</v>
      </c>
      <c r="D24893" s="5">
        <v>0.1</v>
      </c>
      <c r="E24893" s="5">
        <v>102.1</v>
      </c>
      <c r="F24893" s="5">
        <v>204.3</v>
      </c>
      <c r="G24893" s="5">
        <v>102</v>
      </c>
      <c r="H24893" s="5">
        <v>101.8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101.9</v>
      </c>
      <c r="D24894" s="5">
        <v>0.1</v>
      </c>
      <c r="E24894" s="5">
        <v>102.1</v>
      </c>
      <c r="F24894" s="5">
        <v>204.3</v>
      </c>
      <c r="G24894" s="5">
        <v>102</v>
      </c>
      <c r="H24894" s="5">
        <v>101.8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102.5</v>
      </c>
      <c r="D24895" s="5">
        <v>0.1</v>
      </c>
      <c r="E24895" s="5">
        <v>102.7</v>
      </c>
      <c r="F24895" s="5">
        <v>204.1</v>
      </c>
      <c r="G24895" s="5">
        <v>101.9</v>
      </c>
      <c r="H24895" s="5">
        <v>101.7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102.5</v>
      </c>
      <c r="D24896" s="5">
        <v>0.1</v>
      </c>
      <c r="E24896" s="5">
        <v>102.7</v>
      </c>
      <c r="F24896" s="5">
        <v>204.1</v>
      </c>
      <c r="G24896" s="5">
        <v>101.9</v>
      </c>
      <c r="H24896" s="5">
        <v>101.7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103</v>
      </c>
      <c r="D24897" s="5">
        <v>0.1</v>
      </c>
      <c r="E24897" s="5">
        <v>103.1</v>
      </c>
      <c r="F24897" s="5">
        <v>205.3</v>
      </c>
      <c r="G24897" s="5">
        <v>102.5</v>
      </c>
      <c r="H24897" s="5">
        <v>102.3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103</v>
      </c>
      <c r="D24898" s="5">
        <v>0.1</v>
      </c>
      <c r="E24898" s="5">
        <v>103.1</v>
      </c>
      <c r="F24898" s="5">
        <v>205.3</v>
      </c>
      <c r="G24898" s="5">
        <v>102.5</v>
      </c>
      <c r="H24898" s="5">
        <v>102.3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103</v>
      </c>
      <c r="D24899" s="5">
        <v>0.1</v>
      </c>
      <c r="E24899" s="5">
        <v>103.1</v>
      </c>
      <c r="F24899" s="5">
        <v>205.3</v>
      </c>
      <c r="G24899" s="5">
        <v>102.5</v>
      </c>
      <c r="H24899" s="5">
        <v>102.3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103</v>
      </c>
      <c r="D24900" s="5">
        <v>0.1</v>
      </c>
      <c r="E24900" s="5">
        <v>103.1</v>
      </c>
      <c r="F24900" s="5">
        <v>205.3</v>
      </c>
      <c r="G24900" s="5">
        <v>102.5</v>
      </c>
      <c r="H24900" s="5">
        <v>102.3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101.7</v>
      </c>
      <c r="D24901" s="5">
        <v>0.1</v>
      </c>
      <c r="E24901" s="5">
        <v>101.8</v>
      </c>
      <c r="F24901" s="5">
        <v>203.5</v>
      </c>
      <c r="G24901" s="5">
        <v>101.5</v>
      </c>
      <c r="H24901" s="5">
        <v>101.4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101.7</v>
      </c>
      <c r="D24902" s="5">
        <v>0.1</v>
      </c>
      <c r="E24902" s="5">
        <v>101.8</v>
      </c>
      <c r="F24902" s="5">
        <v>203.5</v>
      </c>
      <c r="G24902" s="5">
        <v>101.5</v>
      </c>
      <c r="H24902" s="5">
        <v>101.4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104.2</v>
      </c>
      <c r="D24903" s="5">
        <v>0.1</v>
      </c>
      <c r="E24903" s="5">
        <v>104.3</v>
      </c>
      <c r="F24903" s="5">
        <v>207.7</v>
      </c>
      <c r="G24903" s="5">
        <v>103.6</v>
      </c>
      <c r="H24903" s="5">
        <v>103.5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104.2</v>
      </c>
      <c r="D24904" s="5">
        <v>0.1</v>
      </c>
      <c r="E24904" s="5">
        <v>104.3</v>
      </c>
      <c r="F24904" s="5">
        <v>207.7</v>
      </c>
      <c r="G24904" s="5">
        <v>103.6</v>
      </c>
      <c r="H24904" s="5">
        <v>103.5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104</v>
      </c>
      <c r="D24905" s="5">
        <v>0.1</v>
      </c>
      <c r="E24905" s="5">
        <v>104.3</v>
      </c>
      <c r="F24905" s="5">
        <v>207.7</v>
      </c>
      <c r="G24905" s="5">
        <v>103.6</v>
      </c>
      <c r="H24905" s="5">
        <v>103.5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104</v>
      </c>
      <c r="D24906" s="5">
        <v>0.1</v>
      </c>
      <c r="E24906" s="5">
        <v>104.1</v>
      </c>
      <c r="F24906" s="5">
        <v>207.7</v>
      </c>
      <c r="G24906" s="5">
        <v>103.6</v>
      </c>
      <c r="H24906" s="5">
        <v>103.5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104.8</v>
      </c>
      <c r="D24907" s="5">
        <v>0.1</v>
      </c>
      <c r="E24907" s="5">
        <v>105</v>
      </c>
      <c r="F24907" s="5">
        <v>207.7</v>
      </c>
      <c r="G24907" s="5">
        <v>103.6</v>
      </c>
      <c r="H24907" s="5">
        <v>103.5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104.8</v>
      </c>
      <c r="D24908" s="5">
        <v>0.1</v>
      </c>
      <c r="E24908" s="5">
        <v>105</v>
      </c>
      <c r="F24908" s="5">
        <v>209.5</v>
      </c>
      <c r="G24908" s="5">
        <v>104.5</v>
      </c>
      <c r="H24908" s="5">
        <v>104.3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104.8</v>
      </c>
      <c r="D24909" s="5">
        <v>0.1</v>
      </c>
      <c r="E24909" s="5">
        <v>105</v>
      </c>
      <c r="F24909" s="5">
        <v>209.5</v>
      </c>
      <c r="G24909" s="5">
        <v>104.5</v>
      </c>
      <c r="H24909" s="5">
        <v>104.3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104.8</v>
      </c>
      <c r="D24910" s="5">
        <v>0.1</v>
      </c>
      <c r="E24910" s="5">
        <v>105</v>
      </c>
      <c r="F24910" s="5">
        <v>209.5</v>
      </c>
      <c r="G24910" s="5">
        <v>104.5</v>
      </c>
      <c r="H24910" s="5">
        <v>104.3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103.6</v>
      </c>
      <c r="D24911" s="5">
        <v>0.1</v>
      </c>
      <c r="E24911" s="5">
        <v>103.7</v>
      </c>
      <c r="F24911" s="5">
        <v>207.6</v>
      </c>
      <c r="G24911" s="5">
        <v>103.5</v>
      </c>
      <c r="H24911" s="5">
        <v>103.3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103.6</v>
      </c>
      <c r="D24912" s="5">
        <v>0.1</v>
      </c>
      <c r="E24912" s="5">
        <v>103.7</v>
      </c>
      <c r="F24912" s="5">
        <v>207.6</v>
      </c>
      <c r="G24912" s="5">
        <v>103.5</v>
      </c>
      <c r="H24912" s="5">
        <v>103.3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103.7</v>
      </c>
      <c r="D24913" s="5">
        <v>0.1</v>
      </c>
      <c r="E24913" s="5">
        <v>103.8</v>
      </c>
      <c r="F24913" s="5">
        <v>207.4</v>
      </c>
      <c r="G24913" s="5">
        <v>103.5</v>
      </c>
      <c r="H24913" s="5">
        <v>103.3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103.7</v>
      </c>
      <c r="D24914" s="5">
        <v>0.1</v>
      </c>
      <c r="E24914" s="5">
        <v>103.8</v>
      </c>
      <c r="F24914" s="5">
        <v>207.4</v>
      </c>
      <c r="G24914" s="5">
        <v>103.5</v>
      </c>
      <c r="H24914" s="5">
        <v>103.3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104.3</v>
      </c>
      <c r="D24915" s="5">
        <v>0.1</v>
      </c>
      <c r="E24915" s="5">
        <v>104.5</v>
      </c>
      <c r="F24915" s="5">
        <v>207.4</v>
      </c>
      <c r="G24915" s="5">
        <v>103.5</v>
      </c>
      <c r="H24915" s="5">
        <v>103.4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104.3</v>
      </c>
      <c r="D24916" s="5">
        <v>0.1</v>
      </c>
      <c r="E24916" s="5">
        <v>104.5</v>
      </c>
      <c r="F24916" s="5">
        <v>207.4</v>
      </c>
      <c r="G24916" s="5">
        <v>103.5</v>
      </c>
      <c r="H24916" s="5">
        <v>103.4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103.8</v>
      </c>
      <c r="D24917" s="5">
        <v>0.1</v>
      </c>
      <c r="E24917" s="5">
        <v>104</v>
      </c>
      <c r="F24917" s="5">
        <v>207.8</v>
      </c>
      <c r="G24917" s="5">
        <v>103.7</v>
      </c>
      <c r="H24917" s="5">
        <v>103.5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103.8</v>
      </c>
      <c r="D24918" s="5">
        <v>0.1</v>
      </c>
      <c r="E24918" s="5">
        <v>104</v>
      </c>
      <c r="F24918" s="5">
        <v>207.8</v>
      </c>
      <c r="G24918" s="5">
        <v>103.7</v>
      </c>
      <c r="H24918" s="5">
        <v>103.5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103.8</v>
      </c>
      <c r="D24919" s="5">
        <v>0.1</v>
      </c>
      <c r="E24919" s="5">
        <v>104</v>
      </c>
      <c r="F24919" s="5">
        <v>207.8</v>
      </c>
      <c r="G24919" s="5">
        <v>103.7</v>
      </c>
      <c r="H24919" s="5">
        <v>103.5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103.8</v>
      </c>
      <c r="D24920" s="5">
        <v>0.1</v>
      </c>
      <c r="E24920" s="5">
        <v>104</v>
      </c>
      <c r="F24920" s="5">
        <v>207.8</v>
      </c>
      <c r="G24920" s="5">
        <v>103.7</v>
      </c>
      <c r="H24920" s="5">
        <v>103.5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104.2</v>
      </c>
      <c r="D24921" s="5">
        <v>0.1</v>
      </c>
      <c r="E24921" s="5">
        <v>104.3</v>
      </c>
      <c r="F24921" s="5">
        <v>208.4</v>
      </c>
      <c r="G24921" s="5">
        <v>103.9</v>
      </c>
      <c r="H24921" s="5">
        <v>103.8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104.2</v>
      </c>
      <c r="D24922" s="5">
        <v>0.1</v>
      </c>
      <c r="E24922" s="5">
        <v>104.3</v>
      </c>
      <c r="F24922" s="5">
        <v>208.4</v>
      </c>
      <c r="G24922" s="5">
        <v>103.9</v>
      </c>
      <c r="H24922" s="5">
        <v>103.8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104.3</v>
      </c>
      <c r="D24923" s="5">
        <v>0.1</v>
      </c>
      <c r="E24923" s="5">
        <v>104.5</v>
      </c>
      <c r="F24923" s="5">
        <v>208.3</v>
      </c>
      <c r="G24923" s="5">
        <v>103.9</v>
      </c>
      <c r="H24923" s="5">
        <v>103.8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104.3</v>
      </c>
      <c r="D24924" s="5">
        <v>0.1</v>
      </c>
      <c r="E24924" s="5">
        <v>104.5</v>
      </c>
      <c r="F24924" s="5">
        <v>208.3</v>
      </c>
      <c r="G24924" s="5">
        <v>103.9</v>
      </c>
      <c r="H24924" s="5">
        <v>103.8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104</v>
      </c>
      <c r="D24925" s="5">
        <v>0.1</v>
      </c>
      <c r="E24925" s="5">
        <v>104.1</v>
      </c>
      <c r="F24925" s="5">
        <v>208.1</v>
      </c>
      <c r="G24925" s="5">
        <v>103.8</v>
      </c>
      <c r="H24925" s="5">
        <v>103.6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104</v>
      </c>
      <c r="D24926" s="5">
        <v>0.1</v>
      </c>
      <c r="E24926" s="5">
        <v>104.1</v>
      </c>
      <c r="F24926" s="5">
        <v>208.1</v>
      </c>
      <c r="G24926" s="5">
        <v>103.8</v>
      </c>
      <c r="H24926" s="5">
        <v>103.6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103.8</v>
      </c>
      <c r="D24927" s="5">
        <v>0.1</v>
      </c>
      <c r="E24927" s="5">
        <v>104</v>
      </c>
      <c r="F24927" s="5">
        <v>207.3</v>
      </c>
      <c r="G24927" s="5">
        <v>103.4</v>
      </c>
      <c r="H24927" s="5">
        <v>103.3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103.8</v>
      </c>
      <c r="D24928" s="5">
        <v>0.1</v>
      </c>
      <c r="E24928" s="5">
        <v>104</v>
      </c>
      <c r="F24928" s="5">
        <v>207.3</v>
      </c>
      <c r="G24928" s="5">
        <v>103.4</v>
      </c>
      <c r="H24928" s="5">
        <v>103.3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103.8</v>
      </c>
      <c r="D24929" s="5">
        <v>0.1</v>
      </c>
      <c r="E24929" s="5">
        <v>104</v>
      </c>
      <c r="F24929" s="5">
        <v>207.3</v>
      </c>
      <c r="G24929" s="5">
        <v>103.4</v>
      </c>
      <c r="H24929" s="5">
        <v>103.3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103.8</v>
      </c>
      <c r="D24930" s="5">
        <v>0.1</v>
      </c>
      <c r="E24930" s="5">
        <v>104</v>
      </c>
      <c r="F24930" s="5">
        <v>207.3</v>
      </c>
      <c r="G24930" s="5">
        <v>103.4</v>
      </c>
      <c r="H24930" s="5">
        <v>103.3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103.9</v>
      </c>
      <c r="D24931" s="5">
        <v>0.1</v>
      </c>
      <c r="E24931" s="5">
        <v>104</v>
      </c>
      <c r="F24931" s="5">
        <v>207.7</v>
      </c>
      <c r="G24931" s="5">
        <v>103.6</v>
      </c>
      <c r="H24931" s="5">
        <v>103.4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103.9</v>
      </c>
      <c r="D24932" s="5">
        <v>0.1</v>
      </c>
      <c r="E24932" s="5">
        <v>104</v>
      </c>
      <c r="F24932" s="5">
        <v>207.7</v>
      </c>
      <c r="G24932" s="5">
        <v>103.6</v>
      </c>
      <c r="H24932" s="5">
        <v>103.4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104.4</v>
      </c>
      <c r="D24933" s="5">
        <v>0.1</v>
      </c>
      <c r="E24933" s="5">
        <v>104.6</v>
      </c>
      <c r="F24933" s="5">
        <v>207.8</v>
      </c>
      <c r="G24933" s="5">
        <v>103.7</v>
      </c>
      <c r="H24933" s="5">
        <v>103.6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104.4</v>
      </c>
      <c r="D24934" s="5">
        <v>0.1</v>
      </c>
      <c r="E24934" s="5">
        <v>104.6</v>
      </c>
      <c r="F24934" s="5">
        <v>207.8</v>
      </c>
      <c r="G24934" s="5">
        <v>103.7</v>
      </c>
      <c r="H24934" s="5">
        <v>103.6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104.2</v>
      </c>
      <c r="D24935" s="5">
        <v>0.1</v>
      </c>
      <c r="E24935" s="5">
        <v>104.3</v>
      </c>
      <c r="F24935" s="5">
        <v>208.1</v>
      </c>
      <c r="G24935" s="5">
        <v>103.8</v>
      </c>
      <c r="H24935" s="5">
        <v>103.6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104.2</v>
      </c>
      <c r="D24936" s="5">
        <v>0.1</v>
      </c>
      <c r="E24936" s="5">
        <v>104.3</v>
      </c>
      <c r="F24936" s="5">
        <v>208.1</v>
      </c>
      <c r="G24936" s="5">
        <v>103.8</v>
      </c>
      <c r="H24936" s="5">
        <v>103.6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104.6</v>
      </c>
      <c r="D24937" s="5">
        <v>0.1</v>
      </c>
      <c r="E24937" s="5">
        <v>104.8</v>
      </c>
      <c r="F24937" s="5">
        <v>208.3</v>
      </c>
      <c r="G24937" s="5">
        <v>104</v>
      </c>
      <c r="H24937" s="5">
        <v>103.9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104.6</v>
      </c>
      <c r="D24938" s="5">
        <v>0.1</v>
      </c>
      <c r="E24938" s="5">
        <v>104.8</v>
      </c>
      <c r="F24938" s="5">
        <v>208.3</v>
      </c>
      <c r="G24938" s="5">
        <v>104</v>
      </c>
      <c r="H24938" s="5">
        <v>103.9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104.6</v>
      </c>
      <c r="D24939" s="5">
        <v>0.1</v>
      </c>
      <c r="E24939" s="5">
        <v>104.8</v>
      </c>
      <c r="F24939" s="5">
        <v>208.3</v>
      </c>
      <c r="G24939" s="5">
        <v>104</v>
      </c>
      <c r="H24939" s="5">
        <v>103.9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104.6</v>
      </c>
      <c r="D24940" s="5">
        <v>0.1</v>
      </c>
      <c r="E24940" s="5">
        <v>104.8</v>
      </c>
      <c r="F24940" s="5">
        <v>208.3</v>
      </c>
      <c r="G24940" s="5">
        <v>104</v>
      </c>
      <c r="H24940" s="5">
        <v>103.9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105</v>
      </c>
      <c r="D24941" s="5">
        <v>0.1</v>
      </c>
      <c r="E24941" s="5">
        <v>105.1</v>
      </c>
      <c r="F24941" s="5">
        <v>209.6</v>
      </c>
      <c r="G24941" s="5">
        <v>104.6</v>
      </c>
      <c r="H24941" s="5">
        <v>104.4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105</v>
      </c>
      <c r="D24942" s="5">
        <v>0.1</v>
      </c>
      <c r="E24942" s="5">
        <v>105.1</v>
      </c>
      <c r="F24942" s="5">
        <v>209.6</v>
      </c>
      <c r="G24942" s="5">
        <v>104.6</v>
      </c>
      <c r="H24942" s="5">
        <v>104.4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104.6</v>
      </c>
      <c r="D24943" s="5">
        <v>0.1</v>
      </c>
      <c r="E24943" s="5">
        <v>104.8</v>
      </c>
      <c r="F24943" s="5">
        <v>209</v>
      </c>
      <c r="G24943" s="5">
        <v>104.3</v>
      </c>
      <c r="H24943" s="5">
        <v>104.1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104.6</v>
      </c>
      <c r="D24944" s="5">
        <v>0.1</v>
      </c>
      <c r="E24944" s="5">
        <v>104.8</v>
      </c>
      <c r="F24944" s="5">
        <v>209</v>
      </c>
      <c r="G24944" s="5">
        <v>104.3</v>
      </c>
      <c r="H24944" s="5">
        <v>104.1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104.2</v>
      </c>
      <c r="D24945" s="5">
        <v>0.1</v>
      </c>
      <c r="E24945" s="5">
        <v>104.3</v>
      </c>
      <c r="F24945" s="5">
        <v>207.9</v>
      </c>
      <c r="G24945" s="5">
        <v>103.7</v>
      </c>
      <c r="H24945" s="5">
        <v>103.6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104.2</v>
      </c>
      <c r="D24946" s="5">
        <v>0.1</v>
      </c>
      <c r="E24946" s="5">
        <v>104.3</v>
      </c>
      <c r="F24946" s="5">
        <v>207.9</v>
      </c>
      <c r="G24946" s="5">
        <v>103.7</v>
      </c>
      <c r="H24946" s="5">
        <v>103.6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104.4</v>
      </c>
      <c r="D24947" s="5">
        <v>0.1</v>
      </c>
      <c r="E24947" s="5">
        <v>104.6</v>
      </c>
      <c r="F24947" s="5">
        <v>208.5</v>
      </c>
      <c r="G24947" s="5">
        <v>104</v>
      </c>
      <c r="H24947" s="5">
        <v>103.9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104.4</v>
      </c>
      <c r="D24948" s="5">
        <v>0.1</v>
      </c>
      <c r="E24948" s="5">
        <v>104.6</v>
      </c>
      <c r="F24948" s="5">
        <v>208.5</v>
      </c>
      <c r="G24948" s="5">
        <v>104</v>
      </c>
      <c r="H24948" s="5">
        <v>103.9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104.4</v>
      </c>
      <c r="D24949" s="5">
        <v>0.1</v>
      </c>
      <c r="E24949" s="5">
        <v>104.6</v>
      </c>
      <c r="F24949" s="5">
        <v>208.5</v>
      </c>
      <c r="G24949" s="5">
        <v>104</v>
      </c>
      <c r="H24949" s="5">
        <v>103.9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104.4</v>
      </c>
      <c r="D24950" s="5">
        <v>0.1</v>
      </c>
      <c r="E24950" s="5">
        <v>104.6</v>
      </c>
      <c r="F24950" s="5">
        <v>208.5</v>
      </c>
      <c r="G24950" s="5">
        <v>104</v>
      </c>
      <c r="H24950" s="5">
        <v>103.9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104.7</v>
      </c>
      <c r="D24951" s="5">
        <v>0.1</v>
      </c>
      <c r="E24951" s="5">
        <v>104.8</v>
      </c>
      <c r="F24951" s="5">
        <v>208.6</v>
      </c>
      <c r="G24951" s="5">
        <v>104.1</v>
      </c>
      <c r="H24951" s="5">
        <v>104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104.7</v>
      </c>
      <c r="D24952" s="5">
        <v>0.1</v>
      </c>
      <c r="E24952" s="5">
        <v>104.8</v>
      </c>
      <c r="F24952" s="5">
        <v>208.6</v>
      </c>
      <c r="G24952" s="5">
        <v>104.1</v>
      </c>
      <c r="H24952" s="5">
        <v>104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104.7</v>
      </c>
      <c r="D24953" s="5">
        <v>0.1</v>
      </c>
      <c r="E24953" s="5">
        <v>104.8</v>
      </c>
      <c r="F24953" s="5">
        <v>209.3</v>
      </c>
      <c r="G24953" s="5">
        <v>104.4</v>
      </c>
      <c r="H24953" s="5">
        <v>104.3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104.7</v>
      </c>
      <c r="D24954" s="5">
        <v>0.1</v>
      </c>
      <c r="E24954" s="5">
        <v>104.8</v>
      </c>
      <c r="F24954" s="5">
        <v>209.3</v>
      </c>
      <c r="G24954" s="5">
        <v>104.4</v>
      </c>
      <c r="H24954" s="5">
        <v>104.3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103.9</v>
      </c>
      <c r="D24955" s="5">
        <v>0.1</v>
      </c>
      <c r="E24955" s="5">
        <v>104</v>
      </c>
      <c r="F24955" s="5">
        <v>209.1</v>
      </c>
      <c r="G24955" s="5">
        <v>104.2</v>
      </c>
      <c r="H24955" s="5">
        <v>104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103.9</v>
      </c>
      <c r="D24956" s="5">
        <v>0.1</v>
      </c>
      <c r="E24956" s="5">
        <v>104</v>
      </c>
      <c r="F24956" s="5">
        <v>209.1</v>
      </c>
      <c r="G24956" s="5">
        <v>104.2</v>
      </c>
      <c r="H24956" s="5">
        <v>104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103.8</v>
      </c>
      <c r="D24957" s="5">
        <v>0.1</v>
      </c>
      <c r="E24957" s="5">
        <v>104</v>
      </c>
      <c r="F24957" s="5">
        <v>208.4</v>
      </c>
      <c r="G24957" s="5">
        <v>104</v>
      </c>
      <c r="H24957" s="5">
        <v>103.9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103.8</v>
      </c>
      <c r="D24958" s="5">
        <v>0.1</v>
      </c>
      <c r="E24958" s="5">
        <v>104</v>
      </c>
      <c r="F24958" s="5">
        <v>208.4</v>
      </c>
      <c r="G24958" s="5">
        <v>104</v>
      </c>
      <c r="H24958" s="5">
        <v>103.9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103.8</v>
      </c>
      <c r="D24959" s="5">
        <v>0.1</v>
      </c>
      <c r="E24959" s="5">
        <v>104</v>
      </c>
      <c r="F24959" s="5">
        <v>208.4</v>
      </c>
      <c r="G24959" s="5">
        <v>104</v>
      </c>
      <c r="H24959" s="5">
        <v>103.9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103.8</v>
      </c>
      <c r="D24960" s="5">
        <v>0.1</v>
      </c>
      <c r="E24960" s="5">
        <v>104</v>
      </c>
      <c r="F24960" s="5">
        <v>208.4</v>
      </c>
      <c r="G24960" s="5">
        <v>104</v>
      </c>
      <c r="H24960" s="5">
        <v>103.9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104.3</v>
      </c>
      <c r="D24961" s="5">
        <v>0.1</v>
      </c>
      <c r="E24961" s="5">
        <v>104.5</v>
      </c>
      <c r="F24961" s="5">
        <v>209.1</v>
      </c>
      <c r="G24961" s="5">
        <v>104.3</v>
      </c>
      <c r="H24961" s="5">
        <v>104.1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104.3</v>
      </c>
      <c r="D24962" s="5">
        <v>0.1</v>
      </c>
      <c r="E24962" s="5">
        <v>104.5</v>
      </c>
      <c r="F24962" s="5">
        <v>209.1</v>
      </c>
      <c r="G24962" s="5">
        <v>104.3</v>
      </c>
      <c r="H24962" s="5">
        <v>104.1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104.7</v>
      </c>
      <c r="D24963" s="5">
        <v>0.1</v>
      </c>
      <c r="E24963" s="5">
        <v>104.9</v>
      </c>
      <c r="F24963" s="5">
        <v>209.2</v>
      </c>
      <c r="G24963" s="5">
        <v>104.4</v>
      </c>
      <c r="H24963" s="5">
        <v>104.2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104.7</v>
      </c>
      <c r="D24964" s="5">
        <v>0.1</v>
      </c>
      <c r="E24964" s="5">
        <v>104.9</v>
      </c>
      <c r="F24964" s="5">
        <v>209.2</v>
      </c>
      <c r="G24964" s="5">
        <v>104.4</v>
      </c>
      <c r="H24964" s="5">
        <v>104.2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104.9</v>
      </c>
      <c r="D24965" s="5">
        <v>0.1</v>
      </c>
      <c r="E24965" s="5">
        <v>105</v>
      </c>
      <c r="F24965" s="5">
        <v>209.2</v>
      </c>
      <c r="G24965" s="5">
        <v>104.4</v>
      </c>
      <c r="H24965" s="5">
        <v>104.3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104.9</v>
      </c>
      <c r="D24966" s="5">
        <v>0.1</v>
      </c>
      <c r="E24966" s="5">
        <v>105</v>
      </c>
      <c r="F24966" s="5">
        <v>209.2</v>
      </c>
      <c r="G24966" s="5">
        <v>104.4</v>
      </c>
      <c r="H24966" s="5">
        <v>104.3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105.2</v>
      </c>
      <c r="D24967" s="5">
        <v>0.1</v>
      </c>
      <c r="E24967" s="5">
        <v>105.3</v>
      </c>
      <c r="F24967" s="5">
        <v>210.1</v>
      </c>
      <c r="G24967" s="5">
        <v>104.8</v>
      </c>
      <c r="H24967" s="5">
        <v>104.6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105.2</v>
      </c>
      <c r="D24968" s="5">
        <v>0.1</v>
      </c>
      <c r="E24968" s="5">
        <v>105.3</v>
      </c>
      <c r="F24968" s="5">
        <v>210.1</v>
      </c>
      <c r="G24968" s="5">
        <v>104.8</v>
      </c>
      <c r="H24968" s="5">
        <v>104.6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105.2</v>
      </c>
      <c r="D24969" s="5">
        <v>0.1</v>
      </c>
      <c r="E24969" s="5">
        <v>105.3</v>
      </c>
      <c r="F24969" s="5">
        <v>210.1</v>
      </c>
      <c r="G24969" s="5">
        <v>104.8</v>
      </c>
      <c r="H24969" s="5">
        <v>104.6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105.2</v>
      </c>
      <c r="D24970" s="5">
        <v>0.1</v>
      </c>
      <c r="E24970" s="5">
        <v>105.3</v>
      </c>
      <c r="F24970" s="5">
        <v>210.1</v>
      </c>
      <c r="G24970" s="5">
        <v>104.8</v>
      </c>
      <c r="H24970" s="5">
        <v>104.6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105.5</v>
      </c>
      <c r="D24971" s="5">
        <v>0.1</v>
      </c>
      <c r="E24971" s="5">
        <v>105.6</v>
      </c>
      <c r="F24971" s="5">
        <v>210.3</v>
      </c>
      <c r="G24971" s="5">
        <v>104.9</v>
      </c>
      <c r="H24971" s="5">
        <v>104.9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105.5</v>
      </c>
      <c r="D24972" s="5">
        <v>0.1</v>
      </c>
      <c r="E24972" s="5">
        <v>105.6</v>
      </c>
      <c r="F24972" s="5">
        <v>210.3</v>
      </c>
      <c r="G24972" s="5">
        <v>104.9</v>
      </c>
      <c r="H24972" s="5">
        <v>104.9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105</v>
      </c>
      <c r="D24973" s="5">
        <v>0.1</v>
      </c>
      <c r="E24973" s="5">
        <v>105</v>
      </c>
      <c r="F24973" s="5">
        <v>209.3</v>
      </c>
      <c r="G24973" s="5">
        <v>104.4</v>
      </c>
      <c r="H24973" s="5">
        <v>104.3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105</v>
      </c>
      <c r="D24974" s="5">
        <v>0.1</v>
      </c>
      <c r="E24974" s="5">
        <v>105</v>
      </c>
      <c r="F24974" s="5">
        <v>209.3</v>
      </c>
      <c r="G24974" s="5">
        <v>104.4</v>
      </c>
      <c r="H24974" s="5">
        <v>104.3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104.7</v>
      </c>
      <c r="D24975" s="5">
        <v>0.1</v>
      </c>
      <c r="E24975" s="5">
        <v>104.9</v>
      </c>
      <c r="F24975" s="5">
        <v>208.8</v>
      </c>
      <c r="G24975" s="5">
        <v>104.6</v>
      </c>
      <c r="H24975" s="5">
        <v>104.6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104.7</v>
      </c>
      <c r="D24976" s="5">
        <v>0.1</v>
      </c>
      <c r="E24976" s="5">
        <v>104.9</v>
      </c>
      <c r="F24976" s="5">
        <v>208.8</v>
      </c>
      <c r="G24976" s="5">
        <v>104.6</v>
      </c>
      <c r="H24976" s="5">
        <v>104.6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105</v>
      </c>
      <c r="D24977" s="5">
        <v>0.1</v>
      </c>
      <c r="E24977" s="5">
        <v>105.1</v>
      </c>
      <c r="F24977" s="5">
        <v>209.4</v>
      </c>
      <c r="G24977" s="5">
        <v>104.5</v>
      </c>
      <c r="H24977" s="5">
        <v>104.3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105</v>
      </c>
      <c r="D24978" s="5">
        <v>0.1</v>
      </c>
      <c r="E24978" s="5">
        <v>105.1</v>
      </c>
      <c r="F24978" s="5">
        <v>209.4</v>
      </c>
      <c r="G24978" s="5">
        <v>104.5</v>
      </c>
      <c r="H24978" s="5">
        <v>104.3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105</v>
      </c>
      <c r="D24979" s="5">
        <v>0.1</v>
      </c>
      <c r="E24979" s="5">
        <v>105.1</v>
      </c>
      <c r="F24979" s="5">
        <v>209.4</v>
      </c>
      <c r="G24979" s="5">
        <v>104.5</v>
      </c>
      <c r="H24979" s="5">
        <v>104.3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105</v>
      </c>
      <c r="D24980" s="5">
        <v>0.1</v>
      </c>
      <c r="E24980" s="5">
        <v>105.1</v>
      </c>
      <c r="F24980" s="5">
        <v>209.4</v>
      </c>
      <c r="G24980" s="5">
        <v>104.5</v>
      </c>
      <c r="H24980" s="5">
        <v>104.3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105</v>
      </c>
      <c r="D24981" s="5">
        <v>0.1</v>
      </c>
      <c r="E24981" s="5">
        <v>105.1</v>
      </c>
      <c r="F24981" s="5">
        <v>209.6</v>
      </c>
      <c r="G24981" s="5">
        <v>104.5</v>
      </c>
      <c r="H24981" s="5">
        <v>104.4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105</v>
      </c>
      <c r="D24982" s="5">
        <v>0.1</v>
      </c>
      <c r="E24982" s="5">
        <v>105.1</v>
      </c>
      <c r="F24982" s="5">
        <v>209.6</v>
      </c>
      <c r="G24982" s="5">
        <v>104.5</v>
      </c>
      <c r="H24982" s="5">
        <v>104.4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104.9</v>
      </c>
      <c r="D24983" s="5">
        <v>0.1</v>
      </c>
      <c r="E24983" s="5">
        <v>105</v>
      </c>
      <c r="F24983" s="5">
        <v>209.2</v>
      </c>
      <c r="G24983" s="5">
        <v>104.4</v>
      </c>
      <c r="H24983" s="5">
        <v>104.2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104.9</v>
      </c>
      <c r="D24984" s="5">
        <v>0.1</v>
      </c>
      <c r="E24984" s="5">
        <v>105</v>
      </c>
      <c r="F24984" s="5">
        <v>209.2</v>
      </c>
      <c r="G24984" s="5">
        <v>104.4</v>
      </c>
      <c r="H24984" s="5">
        <v>104.2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104</v>
      </c>
      <c r="D24985" s="5">
        <v>0.1</v>
      </c>
      <c r="E24985" s="5">
        <v>104.1</v>
      </c>
      <c r="F24985" s="5">
        <v>208.6</v>
      </c>
      <c r="G24985" s="5">
        <v>104</v>
      </c>
      <c r="H24985" s="5">
        <v>103.8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104</v>
      </c>
      <c r="D24986" s="5">
        <v>0.1</v>
      </c>
      <c r="E24986" s="5">
        <v>104.1</v>
      </c>
      <c r="F24986" s="5">
        <v>208.6</v>
      </c>
      <c r="G24986" s="5">
        <v>104</v>
      </c>
      <c r="H24986" s="5">
        <v>103.8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104.8</v>
      </c>
      <c r="D24987" s="5">
        <v>0.1</v>
      </c>
      <c r="E24987" s="5">
        <v>105</v>
      </c>
      <c r="F24987" s="5">
        <v>210.3</v>
      </c>
      <c r="G24987" s="5">
        <v>104.9</v>
      </c>
      <c r="H24987" s="5">
        <v>104.7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104.8</v>
      </c>
      <c r="D24988" s="5">
        <v>0.1</v>
      </c>
      <c r="E24988" s="5">
        <v>105</v>
      </c>
      <c r="F24988" s="5">
        <v>210.3</v>
      </c>
      <c r="G24988" s="5">
        <v>104.9</v>
      </c>
      <c r="H24988" s="5">
        <v>104.7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104.8</v>
      </c>
      <c r="D24989" s="5">
        <v>0.1</v>
      </c>
      <c r="E24989" s="5">
        <v>105</v>
      </c>
      <c r="F24989" s="5">
        <v>210.3</v>
      </c>
      <c r="G24989" s="5">
        <v>104.9</v>
      </c>
      <c r="H24989" s="5">
        <v>104.7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104.8</v>
      </c>
      <c r="D24990" s="5">
        <v>0.1</v>
      </c>
      <c r="E24990" s="5">
        <v>105</v>
      </c>
      <c r="F24990" s="5">
        <v>210.3</v>
      </c>
      <c r="G24990" s="5">
        <v>104.9</v>
      </c>
      <c r="H24990" s="5">
        <v>104.7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105.2</v>
      </c>
      <c r="D24991" s="5">
        <v>0.1</v>
      </c>
      <c r="E24991" s="5">
        <v>105.3</v>
      </c>
      <c r="F24991" s="5">
        <v>210.5</v>
      </c>
      <c r="G24991" s="5">
        <v>105</v>
      </c>
      <c r="H24991" s="5">
        <v>104.8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105.2</v>
      </c>
      <c r="D24992" s="5">
        <v>0.1</v>
      </c>
      <c r="E24992" s="5">
        <v>105.3</v>
      </c>
      <c r="F24992" s="5">
        <v>210.5</v>
      </c>
      <c r="G24992" s="5">
        <v>105</v>
      </c>
      <c r="H24992" s="5">
        <v>104.8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104.9</v>
      </c>
      <c r="D24993" s="5">
        <v>0.1</v>
      </c>
      <c r="E24993" s="5">
        <v>105</v>
      </c>
      <c r="F24993" s="5">
        <v>210.6</v>
      </c>
      <c r="G24993" s="5">
        <v>105</v>
      </c>
      <c r="H24993" s="5">
        <v>104.8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104.9</v>
      </c>
      <c r="D24994" s="5">
        <v>0.1</v>
      </c>
      <c r="E24994" s="5">
        <v>105</v>
      </c>
      <c r="F24994" s="5">
        <v>210.6</v>
      </c>
      <c r="G24994" s="5">
        <v>105</v>
      </c>
      <c r="H24994" s="5">
        <v>104.8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105.6</v>
      </c>
      <c r="D24995" s="5">
        <v>0.1</v>
      </c>
      <c r="E24995" s="5">
        <v>105.7</v>
      </c>
      <c r="F24995" s="5">
        <v>211.1</v>
      </c>
      <c r="G24995" s="5">
        <v>105.3</v>
      </c>
      <c r="H24995" s="5">
        <v>105.2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105.6</v>
      </c>
      <c r="D24996" s="5">
        <v>0.1</v>
      </c>
      <c r="E24996" s="5">
        <v>105.7</v>
      </c>
      <c r="F24996" s="5">
        <v>211.1</v>
      </c>
      <c r="G24996" s="5">
        <v>105.3</v>
      </c>
      <c r="H24996" s="5">
        <v>105.2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106.1</v>
      </c>
      <c r="D24997" s="5">
        <v>0.1</v>
      </c>
      <c r="E24997" s="5">
        <v>106.2</v>
      </c>
      <c r="F24997" s="5">
        <v>211.4</v>
      </c>
      <c r="G24997" s="5">
        <v>105.5</v>
      </c>
      <c r="H24997" s="5">
        <v>105.3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106.1</v>
      </c>
      <c r="D24998" s="5">
        <v>0.1</v>
      </c>
      <c r="E24998" s="5">
        <v>106.2</v>
      </c>
      <c r="F24998" s="5">
        <v>211.4</v>
      </c>
      <c r="G24998" s="5">
        <v>105.5</v>
      </c>
      <c r="H24998" s="5">
        <v>105.3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106.1</v>
      </c>
      <c r="D24999" s="5">
        <v>0.1</v>
      </c>
      <c r="E24999" s="5">
        <v>106.2</v>
      </c>
      <c r="F24999" s="5">
        <v>211.4</v>
      </c>
      <c r="G24999" s="5">
        <v>105.5</v>
      </c>
      <c r="H24999" s="5">
        <v>105.3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105.4</v>
      </c>
      <c r="D25000" s="5">
        <v>0.1</v>
      </c>
      <c r="E25000" s="5">
        <v>105.5</v>
      </c>
      <c r="F25000" s="5">
        <v>210.6</v>
      </c>
      <c r="G25000" s="5">
        <v>105.1</v>
      </c>
      <c r="H25000" s="5">
        <v>105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105.4</v>
      </c>
      <c r="D25001" s="5">
        <v>0.1</v>
      </c>
      <c r="E25001" s="5">
        <v>105.5</v>
      </c>
      <c r="F25001" s="5">
        <v>210.6</v>
      </c>
      <c r="G25001" s="5">
        <v>105.1</v>
      </c>
      <c r="H25001" s="5">
        <v>105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105.4</v>
      </c>
      <c r="D25002" s="5">
        <v>0.1</v>
      </c>
      <c r="E25002" s="5">
        <v>105.5</v>
      </c>
      <c r="F25002" s="5">
        <v>210.6</v>
      </c>
      <c r="G25002" s="5">
        <v>105.1</v>
      </c>
      <c r="H25002" s="5">
        <v>105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105.4</v>
      </c>
      <c r="D25003" s="5">
        <v>0.1</v>
      </c>
      <c r="E25003" s="5">
        <v>105.5</v>
      </c>
      <c r="F25003" s="5">
        <v>210.6</v>
      </c>
      <c r="G25003" s="5">
        <v>105.1</v>
      </c>
      <c r="H25003" s="5">
        <v>105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105.5</v>
      </c>
      <c r="D25004" s="5">
        <v>0.1</v>
      </c>
      <c r="E25004" s="5">
        <v>105.7</v>
      </c>
      <c r="F25004" s="5">
        <v>210.6</v>
      </c>
      <c r="G25004" s="5">
        <v>105.1</v>
      </c>
      <c r="H25004" s="5">
        <v>105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105.5</v>
      </c>
      <c r="D25005" s="5">
        <v>0.1</v>
      </c>
      <c r="E25005" s="5">
        <v>105.7</v>
      </c>
      <c r="F25005" s="5">
        <v>210.9</v>
      </c>
      <c r="G25005" s="5">
        <v>105.2</v>
      </c>
      <c r="H25005" s="5">
        <v>105.1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104.3</v>
      </c>
      <c r="D25006" s="5">
        <v>0.1</v>
      </c>
      <c r="E25006" s="5">
        <v>105.7</v>
      </c>
      <c r="F25006" s="5">
        <v>210.9</v>
      </c>
      <c r="G25006" s="5">
        <v>105.2</v>
      </c>
      <c r="H25006" s="5">
        <v>105.1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104.3</v>
      </c>
      <c r="D25007" s="5">
        <v>0.1</v>
      </c>
      <c r="E25007" s="5">
        <v>104.5</v>
      </c>
      <c r="F25007" s="5">
        <v>209.4</v>
      </c>
      <c r="G25007" s="5">
        <v>104.5</v>
      </c>
      <c r="H25007" s="5">
        <v>104.3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104.3</v>
      </c>
      <c r="D25008" s="5">
        <v>0.1</v>
      </c>
      <c r="E25008" s="5">
        <v>104.5</v>
      </c>
      <c r="F25008" s="5">
        <v>209.4</v>
      </c>
      <c r="G25008" s="5">
        <v>104.5</v>
      </c>
      <c r="H25008" s="5">
        <v>104.3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104.3</v>
      </c>
      <c r="D25009" s="5">
        <v>0.1</v>
      </c>
      <c r="E25009" s="5">
        <v>104.5</v>
      </c>
      <c r="F25009" s="5">
        <v>209.4</v>
      </c>
      <c r="G25009" s="5">
        <v>104.5</v>
      </c>
      <c r="H25009" s="5">
        <v>104.3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104.3</v>
      </c>
      <c r="D25010" s="5">
        <v>0.1</v>
      </c>
      <c r="E25010" s="5">
        <v>104.5</v>
      </c>
      <c r="F25010" s="5">
        <v>209.4</v>
      </c>
      <c r="G25010" s="5">
        <v>104.5</v>
      </c>
      <c r="H25010" s="5">
        <v>104.3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105</v>
      </c>
      <c r="D25011" s="5">
        <v>0.1</v>
      </c>
      <c r="E25011" s="5">
        <v>105.2</v>
      </c>
      <c r="F25011" s="5">
        <v>210.4</v>
      </c>
      <c r="G25011" s="5">
        <v>104.9</v>
      </c>
      <c r="H25011" s="5">
        <v>104.8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105</v>
      </c>
      <c r="D25012" s="5">
        <v>0.1</v>
      </c>
      <c r="E25012" s="5">
        <v>105.2</v>
      </c>
      <c r="F25012" s="5">
        <v>210.4</v>
      </c>
      <c r="G25012" s="5">
        <v>104.9</v>
      </c>
      <c r="H25012" s="5">
        <v>104.8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105.3</v>
      </c>
      <c r="D25013" s="5">
        <v>0.1</v>
      </c>
      <c r="E25013" s="5">
        <v>105.4</v>
      </c>
      <c r="F25013" s="5">
        <v>210.7</v>
      </c>
      <c r="G25013" s="5">
        <v>105.1</v>
      </c>
      <c r="H25013" s="5">
        <v>104.9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105.3</v>
      </c>
      <c r="D25014" s="5">
        <v>0.1</v>
      </c>
      <c r="E25014" s="5">
        <v>105.4</v>
      </c>
      <c r="F25014" s="5">
        <v>210.7</v>
      </c>
      <c r="G25014" s="5">
        <v>105.1</v>
      </c>
      <c r="H25014" s="5">
        <v>104.9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105.7</v>
      </c>
      <c r="D25015" s="5">
        <v>0.1</v>
      </c>
      <c r="E25015" s="5">
        <v>105.9</v>
      </c>
      <c r="F25015" s="5">
        <v>210.6</v>
      </c>
      <c r="G25015" s="5">
        <v>105.1</v>
      </c>
      <c r="H25015" s="5">
        <v>104.9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105.7</v>
      </c>
      <c r="D25016" s="5">
        <v>0.1</v>
      </c>
      <c r="E25016" s="5">
        <v>105.9</v>
      </c>
      <c r="F25016" s="5">
        <v>210.6</v>
      </c>
      <c r="G25016" s="5">
        <v>105.1</v>
      </c>
      <c r="H25016" s="5">
        <v>104.9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104.9</v>
      </c>
      <c r="D25017" s="5">
        <v>0.1</v>
      </c>
      <c r="E25017" s="5">
        <v>105</v>
      </c>
      <c r="F25017" s="5">
        <v>209.7</v>
      </c>
      <c r="G25017" s="5">
        <v>104.6</v>
      </c>
      <c r="H25017" s="5">
        <v>104.4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104.9</v>
      </c>
      <c r="D25018" s="5">
        <v>0.1</v>
      </c>
      <c r="E25018" s="5">
        <v>105</v>
      </c>
      <c r="F25018" s="5">
        <v>209.7</v>
      </c>
      <c r="G25018" s="5">
        <v>104.6</v>
      </c>
      <c r="H25018" s="5">
        <v>104.4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104.9</v>
      </c>
      <c r="D25019" s="5">
        <v>0.1</v>
      </c>
      <c r="E25019" s="5">
        <v>105</v>
      </c>
      <c r="F25019" s="5">
        <v>209.7</v>
      </c>
      <c r="G25019" s="5">
        <v>104.6</v>
      </c>
      <c r="H25019" s="5">
        <v>104.4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104.9</v>
      </c>
      <c r="D25020" s="5">
        <v>0.1</v>
      </c>
      <c r="E25020" s="5">
        <v>105</v>
      </c>
      <c r="F25020" s="5">
        <v>209.7</v>
      </c>
      <c r="G25020" s="5">
        <v>104.6</v>
      </c>
      <c r="H25020" s="5">
        <v>104.4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105.2</v>
      </c>
      <c r="D25021" s="5">
        <v>0.1</v>
      </c>
      <c r="E25021" s="5">
        <v>105.3</v>
      </c>
      <c r="F25021" s="5">
        <v>209.6</v>
      </c>
      <c r="G25021" s="5">
        <v>104.6</v>
      </c>
      <c r="H25021" s="5">
        <v>104.5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105.2</v>
      </c>
      <c r="D25022" s="5">
        <v>0.1</v>
      </c>
      <c r="E25022" s="5">
        <v>105.3</v>
      </c>
      <c r="F25022" s="5">
        <v>209.6</v>
      </c>
      <c r="G25022" s="5">
        <v>104.6</v>
      </c>
      <c r="H25022" s="5">
        <v>104.5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105.2</v>
      </c>
      <c r="D25023" s="5">
        <v>0.1</v>
      </c>
      <c r="E25023" s="5">
        <v>105.3</v>
      </c>
      <c r="F25023" s="5">
        <v>209.9</v>
      </c>
      <c r="G25023" s="5">
        <v>104.8</v>
      </c>
      <c r="H25023" s="5">
        <v>104.8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105.2</v>
      </c>
      <c r="D25024" s="5">
        <v>0.1</v>
      </c>
      <c r="E25024" s="5">
        <v>105.3</v>
      </c>
      <c r="F25024" s="5">
        <v>209.9</v>
      </c>
      <c r="G25024" s="5">
        <v>104.8</v>
      </c>
      <c r="H25024" s="5">
        <v>104.8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104.7</v>
      </c>
      <c r="D25025" s="5">
        <v>0.1</v>
      </c>
      <c r="E25025" s="5">
        <v>104.9</v>
      </c>
      <c r="F25025" s="5">
        <v>210.8</v>
      </c>
      <c r="G25025" s="5">
        <v>105.2</v>
      </c>
      <c r="H25025" s="5">
        <v>105.1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104.7</v>
      </c>
      <c r="D25026" s="5">
        <v>0.1</v>
      </c>
      <c r="E25026" s="5">
        <v>104.9</v>
      </c>
      <c r="F25026" s="5">
        <v>210.8</v>
      </c>
      <c r="G25026" s="5">
        <v>105.2</v>
      </c>
      <c r="H25026" s="5">
        <v>105.1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103.7</v>
      </c>
      <c r="D25027" s="5">
        <v>0.1</v>
      </c>
      <c r="E25027" s="5">
        <v>103.8</v>
      </c>
      <c r="F25027" s="5">
        <v>210.6</v>
      </c>
      <c r="G25027" s="5">
        <v>105.1</v>
      </c>
      <c r="H25027" s="5">
        <v>104.8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103.7</v>
      </c>
      <c r="D25028" s="5">
        <v>0.1</v>
      </c>
      <c r="E25028" s="5">
        <v>103.8</v>
      </c>
      <c r="F25028" s="5">
        <v>210.6</v>
      </c>
      <c r="G25028" s="5">
        <v>105.1</v>
      </c>
      <c r="H25028" s="5">
        <v>104.8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103.7</v>
      </c>
      <c r="D25029" s="5">
        <v>0.1</v>
      </c>
      <c r="E25029" s="5">
        <v>103.8</v>
      </c>
      <c r="F25029" s="5">
        <v>210.6</v>
      </c>
      <c r="G25029" s="5">
        <v>105.1</v>
      </c>
      <c r="H25029" s="5">
        <v>104.8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105.8</v>
      </c>
      <c r="D25030" s="5">
        <v>0.1</v>
      </c>
      <c r="E25030" s="5">
        <v>105.9</v>
      </c>
      <c r="F25030" s="5">
        <v>211.1</v>
      </c>
      <c r="G25030" s="5">
        <v>105.4</v>
      </c>
      <c r="H25030" s="5">
        <v>105.2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105.8</v>
      </c>
      <c r="D25031" s="5">
        <v>0.1</v>
      </c>
      <c r="E25031" s="5">
        <v>105.9</v>
      </c>
      <c r="F25031" s="5">
        <v>211.1</v>
      </c>
      <c r="G25031" s="5">
        <v>105.4</v>
      </c>
      <c r="H25031" s="5">
        <v>105.2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105.4</v>
      </c>
      <c r="D25032" s="5">
        <v>0.1</v>
      </c>
      <c r="E25032" s="5">
        <v>105.6</v>
      </c>
      <c r="F25032" s="5">
        <v>210.2</v>
      </c>
      <c r="G25032" s="5">
        <v>104.9</v>
      </c>
      <c r="H25032" s="5">
        <v>104.8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105.4</v>
      </c>
      <c r="D25033" s="5">
        <v>0.1</v>
      </c>
      <c r="E25033" s="5">
        <v>105.6</v>
      </c>
      <c r="F25033" s="5">
        <v>210.2</v>
      </c>
      <c r="G25033" s="5">
        <v>104.9</v>
      </c>
      <c r="H25033" s="5">
        <v>104.8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105</v>
      </c>
      <c r="D25034" s="5">
        <v>0.1</v>
      </c>
      <c r="E25034" s="5">
        <v>105.1</v>
      </c>
      <c r="F25034" s="5">
        <v>210</v>
      </c>
      <c r="G25034" s="5">
        <v>104.8</v>
      </c>
      <c r="H25034" s="5">
        <v>104.6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105</v>
      </c>
      <c r="D25035" s="5">
        <v>0.1</v>
      </c>
      <c r="E25035" s="5">
        <v>105.1</v>
      </c>
      <c r="F25035" s="5">
        <v>210</v>
      </c>
      <c r="G25035" s="5">
        <v>104.8</v>
      </c>
      <c r="H25035" s="5">
        <v>104.6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105</v>
      </c>
      <c r="D25036" s="5">
        <v>0.1</v>
      </c>
      <c r="E25036" s="5">
        <v>105.1</v>
      </c>
      <c r="F25036" s="5">
        <v>210</v>
      </c>
      <c r="G25036" s="5">
        <v>104.8</v>
      </c>
      <c r="H25036" s="5">
        <v>104.6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104.3</v>
      </c>
      <c r="D25037" s="5">
        <v>0.1</v>
      </c>
      <c r="E25037" s="5">
        <v>104.5</v>
      </c>
      <c r="F25037" s="5">
        <v>207.6</v>
      </c>
      <c r="G25037" s="5">
        <v>103.6</v>
      </c>
      <c r="H25037" s="5">
        <v>103.4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104.3</v>
      </c>
      <c r="D25038" s="5">
        <v>0.1</v>
      </c>
      <c r="E25038" s="5">
        <v>104.5</v>
      </c>
      <c r="F25038" s="5">
        <v>207.6</v>
      </c>
      <c r="G25038" s="5">
        <v>103.6</v>
      </c>
      <c r="H25038" s="5">
        <v>103.4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104.9</v>
      </c>
      <c r="D25039" s="5">
        <v>0.1</v>
      </c>
      <c r="E25039" s="5">
        <v>105</v>
      </c>
      <c r="F25039" s="5">
        <v>209</v>
      </c>
      <c r="G25039" s="5">
        <v>104.3</v>
      </c>
      <c r="H25039" s="5">
        <v>104.2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104.9</v>
      </c>
      <c r="D25040" s="5">
        <v>0.1</v>
      </c>
      <c r="E25040" s="5">
        <v>105</v>
      </c>
      <c r="F25040" s="5">
        <v>209</v>
      </c>
      <c r="G25040" s="5">
        <v>104.3</v>
      </c>
      <c r="H25040" s="5">
        <v>104.2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105</v>
      </c>
      <c r="D25041" s="5">
        <v>0.1</v>
      </c>
      <c r="E25041" s="5">
        <v>105.1</v>
      </c>
      <c r="F25041" s="5">
        <v>208.9</v>
      </c>
      <c r="G25041" s="5">
        <v>104.2</v>
      </c>
      <c r="H25041" s="5">
        <v>104.1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105</v>
      </c>
      <c r="D25042" s="5">
        <v>0.1</v>
      </c>
      <c r="E25042" s="5">
        <v>105.1</v>
      </c>
      <c r="F25042" s="5">
        <v>208.9</v>
      </c>
      <c r="G25042" s="5">
        <v>104.2</v>
      </c>
      <c r="H25042" s="5">
        <v>104.1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104.8</v>
      </c>
      <c r="D25043" s="5">
        <v>0.1</v>
      </c>
      <c r="E25043" s="5">
        <v>105</v>
      </c>
      <c r="F25043" s="5">
        <v>207.2</v>
      </c>
      <c r="G25043" s="5">
        <v>103.4</v>
      </c>
      <c r="H25043" s="5">
        <v>103.4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104.8</v>
      </c>
      <c r="D25044" s="5">
        <v>0.1</v>
      </c>
      <c r="E25044" s="5">
        <v>105</v>
      </c>
      <c r="F25044" s="5">
        <v>207.2</v>
      </c>
      <c r="G25044" s="5">
        <v>103.4</v>
      </c>
      <c r="H25044" s="5">
        <v>103.4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104.8</v>
      </c>
      <c r="D25045" s="5">
        <v>0.1</v>
      </c>
      <c r="E25045" s="5">
        <v>105</v>
      </c>
      <c r="F25045" s="5">
        <v>207.2</v>
      </c>
      <c r="G25045" s="5">
        <v>103.4</v>
      </c>
      <c r="H25045" s="5">
        <v>103.4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104.8</v>
      </c>
      <c r="D25046" s="5">
        <v>0.1</v>
      </c>
      <c r="E25046" s="5">
        <v>105</v>
      </c>
      <c r="F25046" s="5">
        <v>207.2</v>
      </c>
      <c r="G25046" s="5">
        <v>103.4</v>
      </c>
      <c r="H25046" s="5">
        <v>103.4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103.4</v>
      </c>
      <c r="D25047" s="5">
        <v>0.1</v>
      </c>
      <c r="E25047" s="5">
        <v>103.5</v>
      </c>
      <c r="F25047" s="5">
        <v>207.5</v>
      </c>
      <c r="G25047" s="5">
        <v>103.5</v>
      </c>
      <c r="H25047" s="5">
        <v>103.3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103.4</v>
      </c>
      <c r="D25048" s="5">
        <v>0.1</v>
      </c>
      <c r="E25048" s="5">
        <v>103.5</v>
      </c>
      <c r="F25048" s="5">
        <v>207.5</v>
      </c>
      <c r="G25048" s="5">
        <v>103.5</v>
      </c>
      <c r="H25048" s="5">
        <v>103.3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104.3</v>
      </c>
      <c r="D25049" s="5">
        <v>0.1</v>
      </c>
      <c r="E25049" s="5">
        <v>104.3</v>
      </c>
      <c r="F25049" s="5">
        <v>208.3</v>
      </c>
      <c r="G25049" s="5">
        <v>103.9</v>
      </c>
      <c r="H25049" s="5">
        <v>103.8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104.3</v>
      </c>
      <c r="D25050" s="5">
        <v>0.1</v>
      </c>
      <c r="E25050" s="5">
        <v>104.3</v>
      </c>
      <c r="F25050" s="5">
        <v>208.3</v>
      </c>
      <c r="G25050" s="5">
        <v>103.9</v>
      </c>
      <c r="H25050" s="5">
        <v>103.8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104.5</v>
      </c>
      <c r="D25051" s="5">
        <v>0.1</v>
      </c>
      <c r="E25051" s="5">
        <v>104.6</v>
      </c>
      <c r="F25051" s="5">
        <v>208.8</v>
      </c>
      <c r="G25051" s="5">
        <v>104.2</v>
      </c>
      <c r="H25051" s="5">
        <v>104.1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104.5</v>
      </c>
      <c r="D25052" s="5">
        <v>0.1</v>
      </c>
      <c r="E25052" s="5">
        <v>104.6</v>
      </c>
      <c r="F25052" s="5">
        <v>208.8</v>
      </c>
      <c r="G25052" s="5">
        <v>104.2</v>
      </c>
      <c r="H25052" s="5">
        <v>104.1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104.4</v>
      </c>
      <c r="D25053" s="5">
        <v>0.1</v>
      </c>
      <c r="E25053" s="5">
        <v>104.6</v>
      </c>
      <c r="F25053" s="5">
        <v>208.9</v>
      </c>
      <c r="G25053" s="5">
        <v>104.2</v>
      </c>
      <c r="H25053" s="5">
        <v>104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104.4</v>
      </c>
      <c r="D25054" s="5">
        <v>0.1</v>
      </c>
      <c r="E25054" s="5">
        <v>104.6</v>
      </c>
      <c r="F25054" s="5">
        <v>208.9</v>
      </c>
      <c r="G25054" s="5">
        <v>104.2</v>
      </c>
      <c r="H25054" s="5">
        <v>104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104.4</v>
      </c>
      <c r="D25055" s="5">
        <v>0.1</v>
      </c>
      <c r="E25055" s="5">
        <v>104.6</v>
      </c>
      <c r="F25055" s="5">
        <v>208.9</v>
      </c>
      <c r="G25055" s="5">
        <v>104.2</v>
      </c>
      <c r="H25055" s="5">
        <v>104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104.3</v>
      </c>
      <c r="D25056" s="5">
        <v>0.1</v>
      </c>
      <c r="E25056" s="5">
        <v>104.4</v>
      </c>
      <c r="F25056" s="5">
        <v>209</v>
      </c>
      <c r="G25056" s="5">
        <v>104.2</v>
      </c>
      <c r="H25056" s="5">
        <v>104.1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104.3</v>
      </c>
      <c r="D25057" s="5">
        <v>0.1</v>
      </c>
      <c r="E25057" s="5">
        <v>104.4</v>
      </c>
      <c r="F25057" s="5">
        <v>209</v>
      </c>
      <c r="G25057" s="5">
        <v>104.2</v>
      </c>
      <c r="H25057" s="5">
        <v>104.1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104.3</v>
      </c>
      <c r="D25058" s="5">
        <v>0.1</v>
      </c>
      <c r="E25058" s="5">
        <v>105</v>
      </c>
      <c r="F25058" s="5">
        <v>207.2</v>
      </c>
      <c r="G25058" s="5">
        <v>103.4</v>
      </c>
      <c r="H25058" s="5">
        <v>103.4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104.8</v>
      </c>
      <c r="D25059" s="5">
        <v>0.1</v>
      </c>
      <c r="E25059" s="5">
        <v>105</v>
      </c>
      <c r="F25059" s="5">
        <v>207.2</v>
      </c>
      <c r="G25059" s="5">
        <v>103.4</v>
      </c>
      <c r="H25059" s="5">
        <v>103.4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104.8</v>
      </c>
      <c r="D25060" s="5">
        <v>0.1</v>
      </c>
      <c r="E25060" s="5">
        <v>104.4</v>
      </c>
      <c r="F25060" s="5">
        <v>208.1</v>
      </c>
      <c r="G25060" s="5">
        <v>103.8</v>
      </c>
      <c r="H25060" s="5">
        <v>103.7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104.3</v>
      </c>
      <c r="D25061" s="5">
        <v>0.1</v>
      </c>
      <c r="E25061" s="5">
        <v>104.4</v>
      </c>
      <c r="F25061" s="5">
        <v>208.1</v>
      </c>
      <c r="G25061" s="5">
        <v>103.8</v>
      </c>
      <c r="H25061" s="5">
        <v>103.7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104.3</v>
      </c>
      <c r="D25062" s="5">
        <v>0.1</v>
      </c>
      <c r="E25062" s="5">
        <v>104.6</v>
      </c>
      <c r="F25062" s="5">
        <v>208.8</v>
      </c>
      <c r="G25062" s="5">
        <v>104.2</v>
      </c>
      <c r="H25062" s="5">
        <v>104.1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104.5</v>
      </c>
      <c r="D25063" s="5">
        <v>0.1</v>
      </c>
      <c r="E25063" s="5">
        <v>104.6</v>
      </c>
      <c r="F25063" s="5">
        <v>208.8</v>
      </c>
      <c r="G25063" s="5">
        <v>104.2</v>
      </c>
      <c r="H25063" s="5">
        <v>104.1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104.5</v>
      </c>
      <c r="D25064" s="5">
        <v>0.1</v>
      </c>
      <c r="E25064" s="5">
        <v>104.6</v>
      </c>
      <c r="F25064" s="5">
        <v>208.8</v>
      </c>
      <c r="G25064" s="5">
        <v>104.2</v>
      </c>
      <c r="H25064" s="5">
        <v>104.1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104.5</v>
      </c>
      <c r="D25065" s="5">
        <v>0.1</v>
      </c>
      <c r="E25065" s="5">
        <v>104.6</v>
      </c>
      <c r="F25065" s="5">
        <v>208.8</v>
      </c>
      <c r="G25065" s="5">
        <v>104.2</v>
      </c>
      <c r="H25065" s="5">
        <v>104.1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103.8</v>
      </c>
      <c r="D25066" s="5">
        <v>0.1</v>
      </c>
      <c r="E25066" s="5">
        <v>104</v>
      </c>
      <c r="F25066" s="5">
        <v>207.5</v>
      </c>
      <c r="G25066" s="5">
        <v>104.2</v>
      </c>
      <c r="H25066" s="5">
        <v>104.1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103.8</v>
      </c>
      <c r="D25067" s="5">
        <v>0.1</v>
      </c>
      <c r="E25067" s="5">
        <v>104</v>
      </c>
      <c r="F25067" s="5">
        <v>207.5</v>
      </c>
      <c r="G25067" s="5">
        <v>103.5</v>
      </c>
      <c r="H25067" s="5">
        <v>103.4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104.1</v>
      </c>
      <c r="D25068" s="5">
        <v>0.1</v>
      </c>
      <c r="E25068" s="5">
        <v>104</v>
      </c>
      <c r="F25068" s="5">
        <v>207.5</v>
      </c>
      <c r="G25068" s="5">
        <v>103.5</v>
      </c>
      <c r="H25068" s="5">
        <v>103.4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104.1</v>
      </c>
      <c r="D25069" s="5">
        <v>0.1</v>
      </c>
      <c r="E25069" s="5">
        <v>104.3</v>
      </c>
      <c r="F25069" s="5">
        <v>208</v>
      </c>
      <c r="G25069" s="5">
        <v>103.8</v>
      </c>
      <c r="H25069" s="5">
        <v>103.7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104.2</v>
      </c>
      <c r="D25070" s="5">
        <v>0.1</v>
      </c>
      <c r="E25070" s="5">
        <v>104.3</v>
      </c>
      <c r="F25070" s="5">
        <v>208</v>
      </c>
      <c r="G25070" s="5">
        <v>103.8</v>
      </c>
      <c r="H25070" s="5">
        <v>103.7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104.2</v>
      </c>
      <c r="D25071" s="5">
        <v>0.1</v>
      </c>
      <c r="E25071" s="5">
        <v>104.3</v>
      </c>
      <c r="F25071" s="5">
        <v>208.3</v>
      </c>
      <c r="G25071" s="5">
        <v>103.9</v>
      </c>
      <c r="H25071" s="5">
        <v>103.8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104.2</v>
      </c>
      <c r="D25072" s="5">
        <v>0.1</v>
      </c>
      <c r="E25072" s="5">
        <v>104.3</v>
      </c>
      <c r="F25072" s="5">
        <v>208.3</v>
      </c>
      <c r="G25072" s="5">
        <v>103.9</v>
      </c>
      <c r="H25072" s="5">
        <v>103.8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104.6</v>
      </c>
      <c r="D25073" s="5">
        <v>0.1</v>
      </c>
      <c r="E25073" s="5">
        <v>104.7</v>
      </c>
      <c r="F25073" s="5">
        <v>208.5</v>
      </c>
      <c r="G25073" s="5">
        <v>104.1</v>
      </c>
      <c r="H25073" s="5">
        <v>103.9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104.6</v>
      </c>
      <c r="D25074" s="5">
        <v>0.1</v>
      </c>
      <c r="E25074" s="5">
        <v>104.7</v>
      </c>
      <c r="F25074" s="5">
        <v>208.5</v>
      </c>
      <c r="G25074" s="5">
        <v>104.1</v>
      </c>
      <c r="H25074" s="5">
        <v>103.9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104.6</v>
      </c>
      <c r="D25075" s="5">
        <v>0.1</v>
      </c>
      <c r="E25075" s="5">
        <v>104.7</v>
      </c>
      <c r="F25075" s="5">
        <v>208.5</v>
      </c>
      <c r="G25075" s="5">
        <v>104.1</v>
      </c>
      <c r="H25075" s="5">
        <v>103.9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104.6</v>
      </c>
      <c r="D25076" s="5">
        <v>0.1</v>
      </c>
      <c r="E25076" s="5">
        <v>104.7</v>
      </c>
      <c r="F25076" s="5">
        <v>208.5</v>
      </c>
      <c r="G25076" s="5">
        <v>104.1</v>
      </c>
      <c r="H25076" s="5">
        <v>103.9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103.2</v>
      </c>
      <c r="D25077" s="5">
        <v>0.1</v>
      </c>
      <c r="E25077" s="5">
        <v>103.4</v>
      </c>
      <c r="F25077" s="5">
        <v>206.1</v>
      </c>
      <c r="G25077" s="5">
        <v>102.9</v>
      </c>
      <c r="H25077" s="5">
        <v>102.7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103.2</v>
      </c>
      <c r="D25078" s="5">
        <v>0.1</v>
      </c>
      <c r="E25078" s="5">
        <v>103.4</v>
      </c>
      <c r="F25078" s="5">
        <v>206.1</v>
      </c>
      <c r="G25078" s="5">
        <v>102.9</v>
      </c>
      <c r="H25078" s="5">
        <v>102.7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101.6</v>
      </c>
      <c r="D25079" s="5">
        <v>0.1</v>
      </c>
      <c r="E25079" s="5">
        <v>101.8</v>
      </c>
      <c r="F25079" s="5">
        <v>206.9</v>
      </c>
      <c r="G25079" s="5">
        <v>103.2</v>
      </c>
      <c r="H25079" s="5">
        <v>102.9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101.6</v>
      </c>
      <c r="D25080" s="5">
        <v>0.1</v>
      </c>
      <c r="E25080" s="5">
        <v>101.8</v>
      </c>
      <c r="F25080" s="5">
        <v>206.9</v>
      </c>
      <c r="G25080" s="5">
        <v>103.2</v>
      </c>
      <c r="H25080" s="5">
        <v>102.9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103.6</v>
      </c>
      <c r="D25081" s="5">
        <v>0.1</v>
      </c>
      <c r="E25081" s="5">
        <v>103.7</v>
      </c>
      <c r="F25081" s="5">
        <v>205.6</v>
      </c>
      <c r="G25081" s="5">
        <v>102.7</v>
      </c>
      <c r="H25081" s="5">
        <v>102.6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103.6</v>
      </c>
      <c r="D25082" s="5">
        <v>0.1</v>
      </c>
      <c r="E25082" s="5">
        <v>103.7</v>
      </c>
      <c r="F25082" s="5">
        <v>205.6</v>
      </c>
      <c r="G25082" s="5">
        <v>102.7</v>
      </c>
      <c r="H25082" s="5">
        <v>102.6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102.3</v>
      </c>
      <c r="D25083" s="5">
        <v>0.1</v>
      </c>
      <c r="E25083" s="5">
        <v>102.4</v>
      </c>
      <c r="F25083" s="5">
        <v>205.5</v>
      </c>
      <c r="G25083" s="5">
        <v>101.4</v>
      </c>
      <c r="H25083" s="5">
        <v>100.9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102.3</v>
      </c>
      <c r="D25084" s="5">
        <v>0.1</v>
      </c>
      <c r="E25084" s="5">
        <v>102.4</v>
      </c>
      <c r="F25084" s="5">
        <v>205.5</v>
      </c>
      <c r="G25084" s="5">
        <v>101.4</v>
      </c>
      <c r="H25084" s="5">
        <v>100.9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102.3</v>
      </c>
      <c r="D25085" s="5">
        <v>0.1</v>
      </c>
      <c r="E25085" s="5">
        <v>102.4</v>
      </c>
      <c r="F25085" s="5">
        <v>205.5</v>
      </c>
      <c r="G25085" s="5">
        <v>101.4</v>
      </c>
      <c r="H25085" s="5">
        <v>100.9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102.3</v>
      </c>
      <c r="D25086" s="5">
        <v>0.1</v>
      </c>
      <c r="E25086" s="5">
        <v>102.4</v>
      </c>
      <c r="F25086" s="5">
        <v>205.5</v>
      </c>
      <c r="G25086" s="5">
        <v>103.4</v>
      </c>
      <c r="H25086" s="5">
        <v>103.2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103.8</v>
      </c>
      <c r="D25087" s="5">
        <v>0.1</v>
      </c>
      <c r="E25087" s="5">
        <v>104</v>
      </c>
      <c r="F25087" s="5">
        <v>207.2</v>
      </c>
      <c r="G25087" s="5">
        <v>103.4</v>
      </c>
      <c r="H25087" s="5">
        <v>103.2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103.8</v>
      </c>
      <c r="D25088" s="5">
        <v>0.1</v>
      </c>
      <c r="E25088" s="5">
        <v>104</v>
      </c>
      <c r="F25088" s="5">
        <v>205.3</v>
      </c>
      <c r="G25088" s="5">
        <v>102.5</v>
      </c>
      <c r="H25088" s="5">
        <v>102.4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102.7</v>
      </c>
      <c r="D25089" s="5">
        <v>0.1</v>
      </c>
      <c r="E25089" s="5">
        <v>102.9</v>
      </c>
      <c r="F25089" s="5">
        <v>205.3</v>
      </c>
      <c r="G25089" s="5">
        <v>102.5</v>
      </c>
      <c r="H25089" s="5">
        <v>102.4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102.7</v>
      </c>
      <c r="D25090" s="5">
        <v>0.1</v>
      </c>
      <c r="E25090" s="5">
        <v>102.9</v>
      </c>
      <c r="F25090" s="5">
        <v>205.3</v>
      </c>
      <c r="G25090" s="5">
        <v>102.4</v>
      </c>
      <c r="H25090" s="5">
        <v>102.2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102.7</v>
      </c>
      <c r="D25091" s="5">
        <v>0.1</v>
      </c>
      <c r="E25091" s="5">
        <v>102.8</v>
      </c>
      <c r="F25091" s="5">
        <v>205.2</v>
      </c>
      <c r="G25091" s="5">
        <v>102.4</v>
      </c>
      <c r="H25091" s="5">
        <v>102.2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102.7</v>
      </c>
      <c r="D25092" s="5">
        <v>0.1</v>
      </c>
      <c r="E25092" s="5">
        <v>102.8</v>
      </c>
      <c r="F25092" s="5">
        <v>205.2</v>
      </c>
      <c r="G25092" s="5">
        <v>102.4</v>
      </c>
      <c r="H25092" s="5">
        <v>103.1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103.6</v>
      </c>
      <c r="D25093" s="5">
        <v>0.1</v>
      </c>
      <c r="E25093" s="5">
        <v>103.7</v>
      </c>
      <c r="F25093" s="5">
        <v>206.9</v>
      </c>
      <c r="G25093" s="5">
        <v>103.2</v>
      </c>
      <c r="H25093" s="5">
        <v>103.1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103.6</v>
      </c>
      <c r="D25094" s="5">
        <v>0.1</v>
      </c>
      <c r="E25094" s="5">
        <v>103.7</v>
      </c>
      <c r="F25094" s="5">
        <v>206.9</v>
      </c>
      <c r="G25094" s="5">
        <v>103.2</v>
      </c>
      <c r="H25094" s="5">
        <v>103.1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103.6</v>
      </c>
      <c r="D25095" s="5">
        <v>0.1</v>
      </c>
      <c r="E25095" s="5">
        <v>103.7</v>
      </c>
      <c r="F25095" s="5">
        <v>206.9</v>
      </c>
      <c r="G25095" s="5">
        <v>103.2</v>
      </c>
      <c r="H25095" s="5">
        <v>103.1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103.3</v>
      </c>
      <c r="D25096" s="5">
        <v>0.1</v>
      </c>
      <c r="E25096" s="5">
        <v>103.4</v>
      </c>
      <c r="F25096" s="5">
        <v>206.3</v>
      </c>
      <c r="G25096" s="5">
        <v>102.8</v>
      </c>
      <c r="H25096" s="5">
        <v>102.4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103.3</v>
      </c>
      <c r="D25097" s="5">
        <v>0.1</v>
      </c>
      <c r="E25097" s="5">
        <v>103.4</v>
      </c>
      <c r="F25097" s="5">
        <v>206.3</v>
      </c>
      <c r="G25097" s="5">
        <v>102.8</v>
      </c>
      <c r="H25097" s="5">
        <v>102.4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103.4</v>
      </c>
      <c r="D25098" s="5">
        <v>0.1</v>
      </c>
      <c r="E25098" s="5">
        <v>103.5</v>
      </c>
      <c r="F25098" s="5">
        <v>207.2</v>
      </c>
      <c r="G25098" s="5">
        <v>103.5</v>
      </c>
      <c r="H25098" s="5">
        <v>103.7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103.4</v>
      </c>
      <c r="D25099" s="5">
        <v>0.1</v>
      </c>
      <c r="E25099" s="5">
        <v>103.5</v>
      </c>
      <c r="F25099" s="5">
        <v>207.2</v>
      </c>
      <c r="G25099" s="5">
        <v>103.5</v>
      </c>
      <c r="H25099" s="5">
        <v>103.7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103.4</v>
      </c>
      <c r="D25100" s="5">
        <v>0.1</v>
      </c>
      <c r="E25100" s="5">
        <v>103.5</v>
      </c>
      <c r="F25100" s="5">
        <v>206.3</v>
      </c>
      <c r="G25100" s="5">
        <v>102.9</v>
      </c>
      <c r="H25100" s="5">
        <v>102.5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103.1</v>
      </c>
      <c r="D25101" s="5">
        <v>0.1</v>
      </c>
      <c r="E25101" s="5">
        <v>103.2</v>
      </c>
      <c r="F25101" s="5">
        <v>206.3</v>
      </c>
      <c r="G25101" s="5">
        <v>102.9</v>
      </c>
      <c r="H25101" s="5">
        <v>102.5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103.1</v>
      </c>
      <c r="D25102" s="5">
        <v>0.1</v>
      </c>
      <c r="E25102" s="5">
        <v>103.2</v>
      </c>
      <c r="F25102" s="5">
        <v>206.3</v>
      </c>
      <c r="G25102" s="5">
        <v>102.9</v>
      </c>
      <c r="H25102" s="5">
        <v>102.5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102.8</v>
      </c>
      <c r="D25103" s="5">
        <v>0.1</v>
      </c>
      <c r="E25103" s="5">
        <v>102.9</v>
      </c>
      <c r="F25103" s="5">
        <v>205.2</v>
      </c>
      <c r="G25103" s="5">
        <v>102.4</v>
      </c>
      <c r="H25103" s="5">
        <v>102.6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102.8</v>
      </c>
      <c r="D25104" s="5">
        <v>0.1</v>
      </c>
      <c r="E25104" s="5">
        <v>102.9</v>
      </c>
      <c r="F25104" s="5">
        <v>205.2</v>
      </c>
      <c r="G25104" s="5">
        <v>102.4</v>
      </c>
      <c r="H25104" s="5">
        <v>102.6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102.8</v>
      </c>
      <c r="D25105" s="5">
        <v>0.1</v>
      </c>
      <c r="E25105" s="5">
        <v>102.9</v>
      </c>
      <c r="F25105" s="5">
        <v>205.2</v>
      </c>
      <c r="G25105" s="5">
        <v>102.4</v>
      </c>
      <c r="H25105" s="5">
        <v>102.6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103.9</v>
      </c>
      <c r="D25106" s="5">
        <v>0.1</v>
      </c>
      <c r="E25106" s="5">
        <v>104</v>
      </c>
      <c r="F25106" s="5">
        <v>205.4</v>
      </c>
      <c r="G25106" s="5">
        <v>102.6</v>
      </c>
      <c r="H25106" s="5">
        <v>102.5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103.9</v>
      </c>
      <c r="D25107" s="5">
        <v>0.1</v>
      </c>
      <c r="E25107" s="5">
        <v>104</v>
      </c>
      <c r="F25107" s="5">
        <v>205.4</v>
      </c>
      <c r="G25107" s="5">
        <v>102.6</v>
      </c>
      <c r="H25107" s="5">
        <v>102.5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103.8</v>
      </c>
      <c r="D25108" s="5">
        <v>0.1</v>
      </c>
      <c r="E25108" s="5">
        <v>104</v>
      </c>
      <c r="F25108" s="5">
        <v>207.1</v>
      </c>
      <c r="G25108" s="5">
        <v>103.3</v>
      </c>
      <c r="H25108" s="5">
        <v>103.1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103.8</v>
      </c>
      <c r="D25109" s="5">
        <v>0.1</v>
      </c>
      <c r="E25109" s="5">
        <v>104</v>
      </c>
      <c r="F25109" s="5">
        <v>207.1</v>
      </c>
      <c r="G25109" s="5">
        <v>103.3</v>
      </c>
      <c r="H25109" s="5">
        <v>103.1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104.3</v>
      </c>
      <c r="D25110" s="5">
        <v>0.1</v>
      </c>
      <c r="E25110" s="5">
        <v>104.4</v>
      </c>
      <c r="F25110" s="5">
        <v>205.2</v>
      </c>
      <c r="G25110" s="5">
        <v>102.4</v>
      </c>
      <c r="H25110" s="5">
        <v>102.2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104.3</v>
      </c>
      <c r="D25111" s="5">
        <v>0.1</v>
      </c>
      <c r="E25111" s="5">
        <v>104.4</v>
      </c>
      <c r="F25111" s="5">
        <v>205.2</v>
      </c>
      <c r="G25111" s="5">
        <v>102.4</v>
      </c>
      <c r="H25111" s="5">
        <v>102.2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103.2</v>
      </c>
      <c r="D25112" s="5">
        <v>0.1</v>
      </c>
      <c r="E25112" s="5">
        <v>103.4</v>
      </c>
      <c r="F25112" s="5">
        <v>204.5</v>
      </c>
      <c r="G25112" s="5">
        <v>102</v>
      </c>
      <c r="H25112" s="5">
        <v>101.8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103.2</v>
      </c>
      <c r="D25113" s="5">
        <v>0.1</v>
      </c>
      <c r="E25113" s="5">
        <v>103.4</v>
      </c>
      <c r="F25113" s="5">
        <v>204.5</v>
      </c>
      <c r="G25113" s="5">
        <v>102</v>
      </c>
      <c r="H25113" s="5">
        <v>101.8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103.2</v>
      </c>
      <c r="D25114" s="5">
        <v>0.1</v>
      </c>
      <c r="E25114" s="5">
        <v>103.4</v>
      </c>
      <c r="F25114" s="5">
        <v>204.5</v>
      </c>
      <c r="G25114" s="5">
        <v>102</v>
      </c>
      <c r="H25114" s="5">
        <v>101.8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103.2</v>
      </c>
      <c r="D25115" s="5">
        <v>0.1</v>
      </c>
      <c r="E25115" s="5">
        <v>103.4</v>
      </c>
      <c r="F25115" s="5">
        <v>204.5</v>
      </c>
      <c r="G25115" s="5">
        <v>102</v>
      </c>
      <c r="H25115" s="5">
        <v>101.8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102.6</v>
      </c>
      <c r="D25116" s="5">
        <v>0.1</v>
      </c>
      <c r="E25116" s="5">
        <v>102.7</v>
      </c>
      <c r="F25116" s="5">
        <v>205.3</v>
      </c>
      <c r="G25116" s="5">
        <v>102.4</v>
      </c>
      <c r="H25116" s="5">
        <v>102.3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102.6</v>
      </c>
      <c r="D25117" s="5">
        <v>0.1</v>
      </c>
      <c r="E25117" s="5">
        <v>102.7</v>
      </c>
      <c r="F25117" s="5">
        <v>205.3</v>
      </c>
      <c r="G25117" s="5">
        <v>102.4</v>
      </c>
      <c r="H25117" s="5">
        <v>102.3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104.2</v>
      </c>
      <c r="D25118" s="5">
        <v>0.1</v>
      </c>
      <c r="E25118" s="5">
        <v>104.3</v>
      </c>
      <c r="F25118" s="5">
        <v>207.7</v>
      </c>
      <c r="G25118" s="5">
        <v>103.7</v>
      </c>
      <c r="H25118" s="5">
        <v>103.5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104.2</v>
      </c>
      <c r="D25119" s="5">
        <v>0.1</v>
      </c>
      <c r="E25119" s="5">
        <v>104.3</v>
      </c>
      <c r="F25119" s="5">
        <v>207.7</v>
      </c>
      <c r="G25119" s="5">
        <v>103.7</v>
      </c>
      <c r="H25119" s="5">
        <v>103.5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103.9</v>
      </c>
      <c r="D25120" s="5">
        <v>0.1</v>
      </c>
      <c r="E25120" s="5">
        <v>104</v>
      </c>
      <c r="F25120" s="5">
        <v>208.1</v>
      </c>
      <c r="G25120" s="5">
        <v>103.8</v>
      </c>
      <c r="H25120" s="5">
        <v>103.6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103.9</v>
      </c>
      <c r="D25121" s="5">
        <v>0.1</v>
      </c>
      <c r="E25121" s="5">
        <v>104</v>
      </c>
      <c r="F25121" s="5">
        <v>208.1</v>
      </c>
      <c r="G25121" s="5">
        <v>103.8</v>
      </c>
      <c r="H25121" s="5">
        <v>103.6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102.9</v>
      </c>
      <c r="D25122" s="5">
        <v>0.1</v>
      </c>
      <c r="E25122" s="5">
        <v>103.1</v>
      </c>
      <c r="F25122" s="5">
        <v>205.9</v>
      </c>
      <c r="G25122" s="5">
        <v>102.8</v>
      </c>
      <c r="H25122" s="5">
        <v>102.6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102.9</v>
      </c>
      <c r="D25123" s="5">
        <v>0.1</v>
      </c>
      <c r="E25123" s="5">
        <v>103.1</v>
      </c>
      <c r="F25123" s="5">
        <v>205.9</v>
      </c>
      <c r="G25123" s="5">
        <v>102.8</v>
      </c>
      <c r="H25123" s="5">
        <v>102.6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102.9</v>
      </c>
      <c r="D25124" s="5">
        <v>0.1</v>
      </c>
      <c r="E25124" s="5">
        <v>103.1</v>
      </c>
      <c r="F25124" s="5">
        <v>205.9</v>
      </c>
      <c r="G25124" s="5">
        <v>102.8</v>
      </c>
      <c r="H25124" s="5">
        <v>102.6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102.9</v>
      </c>
      <c r="D25125" s="5">
        <v>0.1</v>
      </c>
      <c r="E25125" s="5">
        <v>103.1</v>
      </c>
      <c r="F25125" s="5">
        <v>205.9</v>
      </c>
      <c r="G25125" s="5">
        <v>102.8</v>
      </c>
      <c r="H25125" s="5">
        <v>102.6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102.9</v>
      </c>
      <c r="D25126" s="5">
        <v>0.1</v>
      </c>
      <c r="E25126" s="5">
        <v>103.1</v>
      </c>
      <c r="F25126" s="5">
        <v>205.9</v>
      </c>
      <c r="G25126" s="5">
        <v>102.8</v>
      </c>
      <c r="H25126" s="5">
        <v>102.6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102.9</v>
      </c>
      <c r="D25127" s="5">
        <v>0.1</v>
      </c>
      <c r="E25127" s="5">
        <v>103.1</v>
      </c>
      <c r="F25127" s="5">
        <v>205.9</v>
      </c>
      <c r="G25127" s="5">
        <v>102.8</v>
      </c>
      <c r="H25127" s="5">
        <v>102.6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103.3</v>
      </c>
      <c r="D25128" s="5">
        <v>0.1</v>
      </c>
      <c r="E25128" s="5">
        <v>103.4</v>
      </c>
      <c r="F25128" s="5">
        <v>206.9</v>
      </c>
      <c r="G25128" s="5">
        <v>103.3</v>
      </c>
      <c r="H25128" s="5">
        <v>103.1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103.3</v>
      </c>
      <c r="D25129" s="5">
        <v>0.1</v>
      </c>
      <c r="E25129" s="5">
        <v>103.4</v>
      </c>
      <c r="F25129" s="5">
        <v>206.9</v>
      </c>
      <c r="G25129" s="5">
        <v>103.3</v>
      </c>
      <c r="H25129" s="5">
        <v>103.1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103.1</v>
      </c>
      <c r="D25130" s="5">
        <v>0.1</v>
      </c>
      <c r="E25130" s="5">
        <v>103.2</v>
      </c>
      <c r="F25130" s="5">
        <v>207.3</v>
      </c>
      <c r="G25130" s="5">
        <v>103.4</v>
      </c>
      <c r="H25130" s="5">
        <v>103.1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103.1</v>
      </c>
      <c r="D25131" s="5">
        <v>0.1</v>
      </c>
      <c r="E25131" s="5">
        <v>103.2</v>
      </c>
      <c r="F25131" s="5">
        <v>207.3</v>
      </c>
      <c r="G25131" s="5">
        <v>103.4</v>
      </c>
      <c r="H25131" s="5">
        <v>103.1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103.2</v>
      </c>
      <c r="D25132" s="5">
        <v>0.1</v>
      </c>
      <c r="E25132" s="5">
        <v>103.4</v>
      </c>
      <c r="F25132" s="5">
        <v>206.5</v>
      </c>
      <c r="G25132" s="5">
        <v>103.1</v>
      </c>
      <c r="H25132" s="5">
        <v>103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103.2</v>
      </c>
      <c r="D25133" s="5">
        <v>0.1</v>
      </c>
      <c r="E25133" s="5">
        <v>103.4</v>
      </c>
      <c r="F25133" s="5">
        <v>206.5</v>
      </c>
      <c r="G25133" s="5">
        <v>103.1</v>
      </c>
      <c r="H25133" s="5">
        <v>103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103.2</v>
      </c>
      <c r="D25134" s="5">
        <v>0.1</v>
      </c>
      <c r="E25134" s="5">
        <v>103.4</v>
      </c>
      <c r="F25134" s="5">
        <v>206.5</v>
      </c>
      <c r="G25134" s="5">
        <v>103.1</v>
      </c>
      <c r="H25134" s="5">
        <v>103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103.2</v>
      </c>
      <c r="D25135" s="5">
        <v>0.1</v>
      </c>
      <c r="E25135" s="5">
        <v>103.4</v>
      </c>
      <c r="F25135" s="5">
        <v>206.5</v>
      </c>
      <c r="G25135" s="5">
        <v>103.1</v>
      </c>
      <c r="H25135" s="5">
        <v>103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104.2</v>
      </c>
      <c r="D25136" s="5">
        <v>0.1</v>
      </c>
      <c r="E25136" s="5">
        <v>104.3</v>
      </c>
      <c r="F25136" s="5">
        <v>209.4</v>
      </c>
      <c r="G25136" s="5">
        <v>104.4</v>
      </c>
      <c r="H25136" s="5">
        <v>104.3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104.2</v>
      </c>
      <c r="D25137" s="5">
        <v>0.1</v>
      </c>
      <c r="E25137" s="5">
        <v>104.3</v>
      </c>
      <c r="F25137" s="5">
        <v>209.4</v>
      </c>
      <c r="G25137" s="5">
        <v>104.4</v>
      </c>
      <c r="H25137" s="5">
        <v>104.3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104</v>
      </c>
      <c r="D25138" s="5">
        <v>0.1</v>
      </c>
      <c r="E25138" s="5">
        <v>104.1</v>
      </c>
      <c r="F25138" s="5">
        <v>207.6</v>
      </c>
      <c r="G25138" s="5">
        <v>103.6</v>
      </c>
      <c r="H25138" s="5">
        <v>103.5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104</v>
      </c>
      <c r="D25139" s="5">
        <v>0.1</v>
      </c>
      <c r="E25139" s="5">
        <v>104.1</v>
      </c>
      <c r="F25139" s="5">
        <v>207.6</v>
      </c>
      <c r="G25139" s="5">
        <v>103.6</v>
      </c>
      <c r="H25139" s="5">
        <v>103.5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104.3</v>
      </c>
      <c r="D25140" s="5">
        <v>0.1</v>
      </c>
      <c r="E25140" s="5">
        <v>104.5</v>
      </c>
      <c r="F25140" s="5">
        <v>208.9</v>
      </c>
      <c r="G25140" s="5">
        <v>104.2</v>
      </c>
      <c r="H25140" s="5">
        <v>104.1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104.3</v>
      </c>
      <c r="D25141" s="5">
        <v>0.1</v>
      </c>
      <c r="E25141" s="5">
        <v>104.5</v>
      </c>
      <c r="F25141" s="5">
        <v>208.9</v>
      </c>
      <c r="G25141" s="5">
        <v>104.2</v>
      </c>
      <c r="H25141" s="5">
        <v>104.1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105.1</v>
      </c>
      <c r="D25142" s="5">
        <v>0.1</v>
      </c>
      <c r="E25142" s="5">
        <v>105.3</v>
      </c>
      <c r="F25142" s="5">
        <v>210.6</v>
      </c>
      <c r="G25142" s="5">
        <v>105.1</v>
      </c>
      <c r="H25142" s="5">
        <v>104.8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105.1</v>
      </c>
      <c r="D25143" s="5">
        <v>0.1</v>
      </c>
      <c r="E25143" s="5">
        <v>105.3</v>
      </c>
      <c r="F25143" s="5">
        <v>210.6</v>
      </c>
      <c r="G25143" s="5">
        <v>105.1</v>
      </c>
      <c r="H25143" s="5">
        <v>104.8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105.1</v>
      </c>
      <c r="D25144" s="5">
        <v>0.1</v>
      </c>
      <c r="E25144" s="5">
        <v>105.3</v>
      </c>
      <c r="F25144" s="5">
        <v>210.6</v>
      </c>
      <c r="G25144" s="5">
        <v>105.1</v>
      </c>
      <c r="H25144" s="5">
        <v>104.8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105.1</v>
      </c>
      <c r="D25145" s="5">
        <v>0.1</v>
      </c>
      <c r="E25145" s="5">
        <v>105.3</v>
      </c>
      <c r="F25145" s="5">
        <v>210.6</v>
      </c>
      <c r="G25145" s="5">
        <v>105.1</v>
      </c>
      <c r="H25145" s="5">
        <v>104.8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103.2</v>
      </c>
      <c r="D25146" s="5">
        <v>0.1</v>
      </c>
      <c r="E25146" s="5">
        <v>103.4</v>
      </c>
      <c r="F25146" s="5">
        <v>205.4</v>
      </c>
      <c r="G25146" s="5">
        <v>102.5</v>
      </c>
      <c r="H25146" s="5">
        <v>102.3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104.7</v>
      </c>
      <c r="D25147" s="5">
        <v>0.1</v>
      </c>
      <c r="E25147" s="5">
        <v>104.9</v>
      </c>
      <c r="F25147" s="5">
        <v>209.2</v>
      </c>
      <c r="G25147" s="5">
        <v>104.3</v>
      </c>
      <c r="H25147" s="5">
        <v>104.1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102.5</v>
      </c>
      <c r="D25148" s="5">
        <v>0.1</v>
      </c>
      <c r="E25148" s="5">
        <v>102.6</v>
      </c>
      <c r="F25148" s="5">
        <v>207.4</v>
      </c>
      <c r="G25148" s="5">
        <v>103.4</v>
      </c>
      <c r="H25148" s="5">
        <v>103.2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102.5</v>
      </c>
      <c r="D25149" s="5">
        <v>0.1</v>
      </c>
      <c r="E25149" s="5">
        <v>102.6</v>
      </c>
      <c r="F25149" s="5">
        <v>207.4</v>
      </c>
      <c r="G25149" s="5">
        <v>103.4</v>
      </c>
      <c r="H25149" s="5">
        <v>103.2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103.9</v>
      </c>
      <c r="D25150" s="5">
        <v>0.1</v>
      </c>
      <c r="E25150" s="5">
        <v>104</v>
      </c>
      <c r="F25150" s="5">
        <v>208.5</v>
      </c>
      <c r="G25150" s="5">
        <v>104</v>
      </c>
      <c r="H25150" s="5">
        <v>103.7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103.9</v>
      </c>
      <c r="D25151" s="5">
        <v>0.1</v>
      </c>
      <c r="E25151" s="5">
        <v>104</v>
      </c>
      <c r="F25151" s="5">
        <v>208.5</v>
      </c>
      <c r="G25151" s="5">
        <v>104</v>
      </c>
      <c r="H25151" s="5">
        <v>103.7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103.9</v>
      </c>
      <c r="D25152" s="5">
        <v>0.1</v>
      </c>
      <c r="E25152" s="5">
        <v>104</v>
      </c>
      <c r="F25152" s="5">
        <v>208.5</v>
      </c>
      <c r="G25152" s="5">
        <v>104</v>
      </c>
      <c r="H25152" s="5">
        <v>103.7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103.9</v>
      </c>
      <c r="D25153" s="5">
        <v>0.1</v>
      </c>
      <c r="E25153" s="5">
        <v>104</v>
      </c>
      <c r="F25153" s="5">
        <v>208.5</v>
      </c>
      <c r="G25153" s="5">
        <v>104</v>
      </c>
      <c r="H25153" s="5">
        <v>103.7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104.5</v>
      </c>
      <c r="D25154" s="5">
        <v>0.1</v>
      </c>
      <c r="E25154" s="5">
        <v>104.6</v>
      </c>
      <c r="F25154" s="5">
        <v>209.1</v>
      </c>
      <c r="G25154" s="5">
        <v>104.3</v>
      </c>
      <c r="H25154" s="5">
        <v>104.2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104.5</v>
      </c>
      <c r="D25155" s="5">
        <v>0.1</v>
      </c>
      <c r="E25155" s="5">
        <v>104.6</v>
      </c>
      <c r="F25155" s="5">
        <v>209.1</v>
      </c>
      <c r="G25155" s="5">
        <v>104.3</v>
      </c>
      <c r="H25155" s="5">
        <v>104.2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101.6</v>
      </c>
      <c r="D25156" s="5">
        <v>0.1</v>
      </c>
      <c r="E25156" s="5">
        <v>101.8</v>
      </c>
      <c r="F25156" s="5">
        <v>205.9</v>
      </c>
      <c r="G25156" s="5">
        <v>102.6</v>
      </c>
      <c r="H25156" s="5">
        <v>102.4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101.6</v>
      </c>
      <c r="D25157" s="5">
        <v>0.1</v>
      </c>
      <c r="E25157" s="5">
        <v>101.8</v>
      </c>
      <c r="F25157" s="5">
        <v>205.9</v>
      </c>
      <c r="G25157" s="5">
        <v>102.6</v>
      </c>
      <c r="H25157" s="5">
        <v>102.4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104.5</v>
      </c>
      <c r="D25158" s="5">
        <v>0.1</v>
      </c>
      <c r="E25158" s="5">
        <v>104.6</v>
      </c>
      <c r="F25158" s="5">
        <v>208.1</v>
      </c>
      <c r="G25158" s="5">
        <v>103.9</v>
      </c>
      <c r="H25158" s="5">
        <v>103.7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104.5</v>
      </c>
      <c r="D25159" s="5">
        <v>0.1</v>
      </c>
      <c r="E25159" s="5">
        <v>104.6</v>
      </c>
      <c r="F25159" s="5">
        <v>208.1</v>
      </c>
      <c r="G25159" s="5">
        <v>103.9</v>
      </c>
      <c r="H25159" s="5">
        <v>103.7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103.2</v>
      </c>
      <c r="D25160" s="5">
        <v>0.1</v>
      </c>
      <c r="E25160" s="5">
        <v>103.4</v>
      </c>
      <c r="F25160" s="5">
        <v>206.1</v>
      </c>
      <c r="G25160" s="5">
        <v>102.8</v>
      </c>
      <c r="H25160" s="5">
        <v>102.7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103.2</v>
      </c>
      <c r="D25161" s="5">
        <v>0.1</v>
      </c>
      <c r="E25161" s="5">
        <v>103.4</v>
      </c>
      <c r="F25161" s="5">
        <v>206.1</v>
      </c>
      <c r="G25161" s="5">
        <v>102.8</v>
      </c>
      <c r="H25161" s="5">
        <v>102.7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103.2</v>
      </c>
      <c r="D25162" s="5">
        <v>0.1</v>
      </c>
      <c r="E25162" s="5">
        <v>103.4</v>
      </c>
      <c r="F25162" s="5">
        <v>206.1</v>
      </c>
      <c r="G25162" s="5">
        <v>102.8</v>
      </c>
      <c r="H25162" s="5">
        <v>102.7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103.2</v>
      </c>
      <c r="D25163" s="5">
        <v>0.1</v>
      </c>
      <c r="E25163" s="5">
        <v>103.4</v>
      </c>
      <c r="F25163" s="5">
        <v>206.1</v>
      </c>
      <c r="G25163" s="5">
        <v>102.8</v>
      </c>
      <c r="H25163" s="5">
        <v>102.7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102.7</v>
      </c>
      <c r="D25164" s="5">
        <v>0.1</v>
      </c>
      <c r="E25164" s="5">
        <v>102.9</v>
      </c>
      <c r="F25164" s="5">
        <v>205.9</v>
      </c>
      <c r="G25164" s="5">
        <v>102.7</v>
      </c>
      <c r="H25164" s="5">
        <v>102.6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102.7</v>
      </c>
      <c r="D25165" s="5">
        <v>0.1</v>
      </c>
      <c r="E25165" s="5">
        <v>102.9</v>
      </c>
      <c r="F25165" s="5">
        <v>205.9</v>
      </c>
      <c r="G25165" s="5">
        <v>102.7</v>
      </c>
      <c r="H25165" s="5">
        <v>102.6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102.7</v>
      </c>
      <c r="D25166" s="5">
        <v>0.1</v>
      </c>
      <c r="E25166" s="5">
        <v>102.8</v>
      </c>
      <c r="F25166" s="5">
        <v>204.3</v>
      </c>
      <c r="G25166" s="5">
        <v>102</v>
      </c>
      <c r="H25166" s="5">
        <v>101.8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102.7</v>
      </c>
      <c r="D25167" s="5">
        <v>0.1</v>
      </c>
      <c r="E25167" s="5">
        <v>102.8</v>
      </c>
      <c r="F25167" s="5">
        <v>204.3</v>
      </c>
      <c r="G25167" s="5">
        <v>102</v>
      </c>
      <c r="H25167" s="5">
        <v>101.8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104</v>
      </c>
      <c r="D25168" s="5">
        <v>0.1</v>
      </c>
      <c r="E25168" s="5">
        <v>104.1</v>
      </c>
      <c r="F25168" s="5">
        <v>206.3</v>
      </c>
      <c r="G25168" s="5">
        <v>103</v>
      </c>
      <c r="H25168" s="5">
        <v>103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104</v>
      </c>
      <c r="D25169" s="5">
        <v>0.1</v>
      </c>
      <c r="E25169" s="5">
        <v>104.1</v>
      </c>
      <c r="F25169" s="5">
        <v>206.3</v>
      </c>
      <c r="G25169" s="5">
        <v>103</v>
      </c>
      <c r="H25169" s="5">
        <v>103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102.1</v>
      </c>
      <c r="D25170" s="5">
        <v>0.1</v>
      </c>
      <c r="E25170" s="5">
        <v>102.3</v>
      </c>
      <c r="F25170" s="5">
        <v>203.5</v>
      </c>
      <c r="G25170" s="5">
        <v>101.6</v>
      </c>
      <c r="H25170" s="5">
        <v>101.5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102.1</v>
      </c>
      <c r="D25171" s="5">
        <v>0.1</v>
      </c>
      <c r="E25171" s="5">
        <v>102.3</v>
      </c>
      <c r="F25171" s="5">
        <v>203.5</v>
      </c>
      <c r="G25171" s="5">
        <v>101.6</v>
      </c>
      <c r="H25171" s="5">
        <v>101.5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102.1</v>
      </c>
      <c r="D25172" s="5">
        <v>0.1</v>
      </c>
      <c r="E25172" s="5">
        <v>102.3</v>
      </c>
      <c r="F25172" s="5">
        <v>203.5</v>
      </c>
      <c r="G25172" s="5">
        <v>101.6</v>
      </c>
      <c r="H25172" s="5">
        <v>101.5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102.1</v>
      </c>
      <c r="D25173" s="5">
        <v>0.1</v>
      </c>
      <c r="E25173" s="5">
        <v>102.3</v>
      </c>
      <c r="F25173" s="5">
        <v>203.5</v>
      </c>
      <c r="G25173" s="5">
        <v>101.6</v>
      </c>
      <c r="H25173" s="5">
        <v>101.5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103.4</v>
      </c>
      <c r="D25174" s="5">
        <v>0.1</v>
      </c>
      <c r="E25174" s="5">
        <v>103.6</v>
      </c>
      <c r="F25174" s="5">
        <v>207.1</v>
      </c>
      <c r="G25174" s="5">
        <v>103.4</v>
      </c>
      <c r="H25174" s="5">
        <v>103.2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103.4</v>
      </c>
      <c r="D25175" s="5">
        <v>0.1</v>
      </c>
      <c r="E25175" s="5">
        <v>103.6</v>
      </c>
      <c r="F25175" s="5">
        <v>207.1</v>
      </c>
      <c r="G25175" s="5">
        <v>103.4</v>
      </c>
      <c r="H25175" s="5">
        <v>103.2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103.7</v>
      </c>
      <c r="D25176" s="5">
        <v>0.1</v>
      </c>
      <c r="E25176" s="5">
        <v>103.8</v>
      </c>
      <c r="F25176" s="5">
        <v>207.4</v>
      </c>
      <c r="G25176" s="5">
        <v>103.5</v>
      </c>
      <c r="H25176" s="5">
        <v>103.3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103.7</v>
      </c>
      <c r="D25177" s="5">
        <v>0.1</v>
      </c>
      <c r="E25177" s="5">
        <v>103.8</v>
      </c>
      <c r="F25177" s="5">
        <v>207.4</v>
      </c>
      <c r="G25177" s="5">
        <v>103.5</v>
      </c>
      <c r="H25177" s="5">
        <v>103.3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103.4</v>
      </c>
      <c r="D25178" s="5">
        <v>0.1</v>
      </c>
      <c r="E25178" s="5">
        <v>103.4</v>
      </c>
      <c r="F25178" s="5">
        <v>206.6</v>
      </c>
      <c r="G25178" s="5">
        <v>103.1</v>
      </c>
      <c r="H25178" s="5">
        <v>102.9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103.4</v>
      </c>
      <c r="D25179" s="5">
        <v>0.1</v>
      </c>
      <c r="E25179" s="5">
        <v>103.4</v>
      </c>
      <c r="F25179" s="5">
        <v>206.6</v>
      </c>
      <c r="G25179" s="5">
        <v>103.1</v>
      </c>
      <c r="H25179" s="5">
        <v>102.9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103.3</v>
      </c>
      <c r="D25180" s="5">
        <v>0.1</v>
      </c>
      <c r="E25180" s="5">
        <v>103.4</v>
      </c>
      <c r="F25180" s="5">
        <v>205.5</v>
      </c>
      <c r="G25180" s="5">
        <v>102.6</v>
      </c>
      <c r="H25180" s="5">
        <v>102.4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103.3</v>
      </c>
      <c r="D25181" s="5">
        <v>0.1</v>
      </c>
      <c r="E25181" s="5">
        <v>103.4</v>
      </c>
      <c r="F25181" s="5">
        <v>205.5</v>
      </c>
      <c r="G25181" s="5">
        <v>102.6</v>
      </c>
      <c r="H25181" s="5">
        <v>102.4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103.3</v>
      </c>
      <c r="D25182" s="5">
        <v>0.1</v>
      </c>
      <c r="E25182" s="5">
        <v>103.4</v>
      </c>
      <c r="F25182" s="5">
        <v>205.5</v>
      </c>
      <c r="G25182" s="5">
        <v>102.6</v>
      </c>
      <c r="H25182" s="5">
        <v>102.4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103.3</v>
      </c>
      <c r="D25183" s="5">
        <v>0.1</v>
      </c>
      <c r="E25183" s="5">
        <v>103.4</v>
      </c>
      <c r="F25183" s="5">
        <v>205.5</v>
      </c>
      <c r="G25183" s="5">
        <v>102.6</v>
      </c>
      <c r="H25183" s="5">
        <v>102.4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97.3</v>
      </c>
      <c r="D25184" s="5">
        <v>0.1</v>
      </c>
      <c r="E25184" s="5">
        <v>97.3</v>
      </c>
      <c r="F25184" s="5">
        <v>208</v>
      </c>
      <c r="G25184" s="5">
        <v>103.8</v>
      </c>
      <c r="H25184" s="5">
        <v>103.6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97.3</v>
      </c>
      <c r="D25185" s="5">
        <v>0.1</v>
      </c>
      <c r="E25185" s="5">
        <v>97.3</v>
      </c>
      <c r="F25185" s="5">
        <v>208</v>
      </c>
      <c r="G25185" s="5">
        <v>103.8</v>
      </c>
      <c r="H25185" s="5">
        <v>103.6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97.3</v>
      </c>
      <c r="D25186" s="5">
        <v>0.1</v>
      </c>
      <c r="E25186" s="5">
        <v>97.5</v>
      </c>
      <c r="F25186" s="5">
        <v>199.3</v>
      </c>
      <c r="G25186" s="5">
        <v>98.9</v>
      </c>
      <c r="H25186" s="5">
        <v>98.2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97.3</v>
      </c>
      <c r="D25187" s="5">
        <v>0.1</v>
      </c>
      <c r="E25187" s="5">
        <v>97.5</v>
      </c>
      <c r="F25187" s="5">
        <v>199.3</v>
      </c>
      <c r="G25187" s="5">
        <v>98.9</v>
      </c>
      <c r="H25187" s="5">
        <v>98.2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104.7</v>
      </c>
      <c r="D25188" s="5">
        <v>0.1</v>
      </c>
      <c r="E25188" s="5">
        <v>104.9</v>
      </c>
      <c r="F25188" s="5">
        <v>208.2</v>
      </c>
      <c r="G25188" s="5">
        <v>103.8</v>
      </c>
      <c r="H25188" s="5">
        <v>103.7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104.7</v>
      </c>
      <c r="D25189" s="5">
        <v>0.1</v>
      </c>
      <c r="E25189" s="5">
        <v>104.9</v>
      </c>
      <c r="F25189" s="5">
        <v>208.2</v>
      </c>
      <c r="G25189" s="5">
        <v>103.8</v>
      </c>
      <c r="H25189" s="5">
        <v>103.7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104.4</v>
      </c>
      <c r="D25190" s="5">
        <v>0.1</v>
      </c>
      <c r="E25190" s="5">
        <v>104.6</v>
      </c>
      <c r="F25190" s="5">
        <v>208</v>
      </c>
      <c r="G25190" s="5">
        <v>103.8</v>
      </c>
      <c r="H25190" s="5">
        <v>103.6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104.4</v>
      </c>
      <c r="D25191" s="5">
        <v>0.1</v>
      </c>
      <c r="E25191" s="5">
        <v>104.6</v>
      </c>
      <c r="F25191" s="5">
        <v>208</v>
      </c>
      <c r="G25191" s="5">
        <v>103.8</v>
      </c>
      <c r="H25191" s="5">
        <v>103.6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104.4</v>
      </c>
      <c r="D25192" s="5">
        <v>0.1</v>
      </c>
      <c r="E25192" s="5">
        <v>104.6</v>
      </c>
      <c r="F25192" s="5">
        <v>208</v>
      </c>
      <c r="G25192" s="5">
        <v>103.8</v>
      </c>
      <c r="H25192" s="5">
        <v>103.6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104.4</v>
      </c>
      <c r="D25193" s="5">
        <v>0.1</v>
      </c>
      <c r="E25193" s="5">
        <v>104.6</v>
      </c>
      <c r="F25193" s="5">
        <v>208</v>
      </c>
      <c r="G25193" s="5">
        <v>103.8</v>
      </c>
      <c r="H25193" s="5">
        <v>103.6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101.8</v>
      </c>
      <c r="D25194" s="5">
        <v>0.1</v>
      </c>
      <c r="E25194" s="5">
        <v>102</v>
      </c>
      <c r="F25194" s="5">
        <v>203.9</v>
      </c>
      <c r="G25194" s="5">
        <v>101.8</v>
      </c>
      <c r="H25194" s="5">
        <v>101.7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101.8</v>
      </c>
      <c r="D25195" s="5">
        <v>0.1</v>
      </c>
      <c r="E25195" s="5">
        <v>102</v>
      </c>
      <c r="F25195" s="5">
        <v>203.9</v>
      </c>
      <c r="G25195" s="5">
        <v>101.8</v>
      </c>
      <c r="H25195" s="5">
        <v>101.7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103.7</v>
      </c>
      <c r="D25196" s="5">
        <v>0.1</v>
      </c>
      <c r="E25196" s="5">
        <v>103.8</v>
      </c>
      <c r="F25196" s="5">
        <v>206.8</v>
      </c>
      <c r="G25196" s="5">
        <v>103.2</v>
      </c>
      <c r="H25196" s="5">
        <v>103.1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103.7</v>
      </c>
      <c r="D25197" s="5">
        <v>0.1</v>
      </c>
      <c r="E25197" s="5">
        <v>103.8</v>
      </c>
      <c r="F25197" s="5">
        <v>206.8</v>
      </c>
      <c r="G25197" s="5">
        <v>103.2</v>
      </c>
      <c r="H25197" s="5">
        <v>103.1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103.6</v>
      </c>
      <c r="D25198" s="5">
        <v>0.1</v>
      </c>
      <c r="E25198" s="5">
        <v>103.7</v>
      </c>
      <c r="F25198" s="5">
        <v>206.5</v>
      </c>
      <c r="G25198" s="5">
        <v>103</v>
      </c>
      <c r="H25198" s="5">
        <v>102.9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103.6</v>
      </c>
      <c r="D25199" s="5">
        <v>0.1</v>
      </c>
      <c r="E25199" s="5">
        <v>103.7</v>
      </c>
      <c r="F25199" s="5">
        <v>206.5</v>
      </c>
      <c r="G25199" s="5">
        <v>103</v>
      </c>
      <c r="H25199" s="5">
        <v>102.9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103.1</v>
      </c>
      <c r="D25200" s="5">
        <v>0.1</v>
      </c>
      <c r="E25200" s="5">
        <v>103.3</v>
      </c>
      <c r="F25200" s="5">
        <v>207.2</v>
      </c>
      <c r="G25200" s="5">
        <v>103.4</v>
      </c>
      <c r="H25200" s="5">
        <v>103.3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103.1</v>
      </c>
      <c r="D25201" s="5">
        <v>0.1</v>
      </c>
      <c r="E25201" s="5">
        <v>103.3</v>
      </c>
      <c r="F25201" s="5">
        <v>207.2</v>
      </c>
      <c r="G25201" s="5">
        <v>103.4</v>
      </c>
      <c r="H25201" s="5">
        <v>103.3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103.1</v>
      </c>
      <c r="D25202" s="5">
        <v>0.1</v>
      </c>
      <c r="E25202" s="5">
        <v>103.3</v>
      </c>
      <c r="F25202" s="5">
        <v>207.2</v>
      </c>
      <c r="G25202" s="5">
        <v>103.4</v>
      </c>
      <c r="H25202" s="5">
        <v>103.3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103.1</v>
      </c>
      <c r="D25203" s="5">
        <v>0.1</v>
      </c>
      <c r="E25203" s="5">
        <v>103.3</v>
      </c>
      <c r="F25203" s="5">
        <v>207.2</v>
      </c>
      <c r="G25203" s="5">
        <v>103.4</v>
      </c>
      <c r="H25203" s="5">
        <v>103.3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104.3</v>
      </c>
      <c r="D25204" s="5">
        <v>0.1</v>
      </c>
      <c r="E25204" s="5">
        <v>104.5</v>
      </c>
      <c r="F25204" s="5">
        <v>208.6</v>
      </c>
      <c r="G25204" s="5">
        <v>104.1</v>
      </c>
      <c r="H25204" s="5">
        <v>103.9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104.3</v>
      </c>
      <c r="D25205" s="5">
        <v>0.1</v>
      </c>
      <c r="E25205" s="5">
        <v>104.5</v>
      </c>
      <c r="F25205" s="5">
        <v>208.6</v>
      </c>
      <c r="G25205" s="5">
        <v>104.1</v>
      </c>
      <c r="H25205" s="5">
        <v>103.9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104</v>
      </c>
      <c r="D25206" s="5">
        <v>0.1</v>
      </c>
      <c r="E25206" s="5">
        <v>104.2</v>
      </c>
      <c r="F25206" s="5">
        <v>206.5</v>
      </c>
      <c r="G25206" s="5">
        <v>103.2</v>
      </c>
      <c r="H25206" s="5">
        <v>103.2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104</v>
      </c>
      <c r="D25207" s="5">
        <v>0.1</v>
      </c>
      <c r="E25207" s="5">
        <v>104.2</v>
      </c>
      <c r="F25207" s="5">
        <v>206.5</v>
      </c>
      <c r="G25207" s="5">
        <v>103.2</v>
      </c>
      <c r="H25207" s="5">
        <v>103.2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97.9</v>
      </c>
      <c r="D25208" s="5">
        <v>0.1</v>
      </c>
      <c r="E25208" s="5">
        <v>98</v>
      </c>
      <c r="F25208" s="5">
        <v>194.5</v>
      </c>
      <c r="G25208" s="5">
        <v>97</v>
      </c>
      <c r="H25208" s="5">
        <v>96.9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97.9</v>
      </c>
      <c r="D25209" s="5">
        <v>0.1</v>
      </c>
      <c r="E25209" s="5">
        <v>98</v>
      </c>
      <c r="F25209" s="5">
        <v>194.5</v>
      </c>
      <c r="G25209" s="5">
        <v>97</v>
      </c>
      <c r="H25209" s="5">
        <v>96.9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103.5</v>
      </c>
      <c r="D25210" s="5">
        <v>0.1</v>
      </c>
      <c r="E25210" s="5">
        <v>103.7</v>
      </c>
      <c r="F25210" s="5">
        <v>206.4</v>
      </c>
      <c r="G25210" s="5">
        <v>103</v>
      </c>
      <c r="H25210" s="5">
        <v>102.9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103.5</v>
      </c>
      <c r="D25211" s="5">
        <v>0.1</v>
      </c>
      <c r="E25211" s="5">
        <v>103.7</v>
      </c>
      <c r="F25211" s="5">
        <v>206.4</v>
      </c>
      <c r="G25211" s="5">
        <v>103</v>
      </c>
      <c r="H25211" s="5">
        <v>102.9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103.5</v>
      </c>
      <c r="D25212" s="5">
        <v>0.1</v>
      </c>
      <c r="E25212" s="5">
        <v>103.7</v>
      </c>
      <c r="F25212" s="5">
        <v>206.4</v>
      </c>
      <c r="G25212" s="5">
        <v>103</v>
      </c>
      <c r="H25212" s="5">
        <v>102.9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103.5</v>
      </c>
      <c r="D25213" s="5">
        <v>0.1</v>
      </c>
      <c r="E25213" s="5">
        <v>103.7</v>
      </c>
      <c r="F25213" s="5">
        <v>206.4</v>
      </c>
      <c r="G25213" s="5">
        <v>103</v>
      </c>
      <c r="H25213" s="5">
        <v>102.9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104.8</v>
      </c>
      <c r="D25214" s="5">
        <v>0.1</v>
      </c>
      <c r="E25214" s="5">
        <v>105</v>
      </c>
      <c r="F25214" s="5">
        <v>208.1</v>
      </c>
      <c r="G25214" s="5">
        <v>103.9</v>
      </c>
      <c r="H25214" s="5">
        <v>103.7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104.8</v>
      </c>
      <c r="D25215" s="5">
        <v>0.1</v>
      </c>
      <c r="E25215" s="5">
        <v>105</v>
      </c>
      <c r="F25215" s="5">
        <v>208.1</v>
      </c>
      <c r="G25215" s="5">
        <v>103.9</v>
      </c>
      <c r="H25215" s="5">
        <v>103.7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104.8</v>
      </c>
      <c r="D25216" s="5">
        <v>0.1</v>
      </c>
      <c r="E25216" s="5">
        <v>105</v>
      </c>
      <c r="F25216" s="5">
        <v>208.1</v>
      </c>
      <c r="G25216" s="5">
        <v>103.9</v>
      </c>
      <c r="H25216" s="5">
        <v>103.7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104.8</v>
      </c>
      <c r="D25217" s="5">
        <v>0.1</v>
      </c>
      <c r="E25217" s="5">
        <v>105</v>
      </c>
      <c r="F25217" s="5">
        <v>208.1</v>
      </c>
      <c r="G25217" s="5">
        <v>103.9</v>
      </c>
      <c r="H25217" s="5">
        <v>103.7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104.7</v>
      </c>
      <c r="D25218" s="5">
        <v>0.1</v>
      </c>
      <c r="E25218" s="5">
        <v>104.9</v>
      </c>
      <c r="F25218" s="5">
        <v>208.7</v>
      </c>
      <c r="G25218" s="5">
        <v>104.2</v>
      </c>
      <c r="H25218" s="5">
        <v>104.1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104.7</v>
      </c>
      <c r="D25219" s="5">
        <v>0.1</v>
      </c>
      <c r="E25219" s="5">
        <v>104.9</v>
      </c>
      <c r="F25219" s="5">
        <v>208.7</v>
      </c>
      <c r="G25219" s="5">
        <v>104.2</v>
      </c>
      <c r="H25219" s="5">
        <v>104.1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104.7</v>
      </c>
      <c r="D25220" s="5">
        <v>0.1</v>
      </c>
      <c r="E25220" s="5">
        <v>104.9</v>
      </c>
      <c r="F25220" s="5">
        <v>208.7</v>
      </c>
      <c r="G25220" s="5">
        <v>104.2</v>
      </c>
      <c r="H25220" s="5">
        <v>104.1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104.7</v>
      </c>
      <c r="D25221" s="5">
        <v>0.1</v>
      </c>
      <c r="E25221" s="5">
        <v>104.9</v>
      </c>
      <c r="F25221" s="5">
        <v>208.7</v>
      </c>
      <c r="G25221" s="5">
        <v>104.2</v>
      </c>
      <c r="H25221" s="5">
        <v>104.1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104.7</v>
      </c>
      <c r="D25222" s="5">
        <v>0.1</v>
      </c>
      <c r="E25222" s="5">
        <v>104.9</v>
      </c>
      <c r="F25222" s="5">
        <v>208.7</v>
      </c>
      <c r="G25222" s="5">
        <v>104.2</v>
      </c>
      <c r="H25222" s="5">
        <v>104.1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104.7</v>
      </c>
      <c r="D25223" s="5">
        <v>0.1</v>
      </c>
      <c r="E25223" s="5">
        <v>104.9</v>
      </c>
      <c r="F25223" s="5">
        <v>208.7</v>
      </c>
      <c r="G25223" s="5">
        <v>104.2</v>
      </c>
      <c r="H25223" s="5">
        <v>104.1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104.3</v>
      </c>
      <c r="D25224" s="5">
        <v>0.1</v>
      </c>
      <c r="E25224" s="5">
        <v>104.4</v>
      </c>
      <c r="F25224" s="5">
        <v>208.5</v>
      </c>
      <c r="G25224" s="5">
        <v>104</v>
      </c>
      <c r="H25224" s="5">
        <v>103.7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104.3</v>
      </c>
      <c r="D25225" s="5">
        <v>0.1</v>
      </c>
      <c r="E25225" s="5">
        <v>104.4</v>
      </c>
      <c r="F25225" s="5">
        <v>208.5</v>
      </c>
      <c r="G25225" s="5">
        <v>104</v>
      </c>
      <c r="H25225" s="5">
        <v>103.7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98.8</v>
      </c>
      <c r="D25226" s="5">
        <v>0.1</v>
      </c>
      <c r="E25226" s="5">
        <v>98.9</v>
      </c>
      <c r="F25226" s="5">
        <v>203.3</v>
      </c>
      <c r="G25226" s="5">
        <v>101.1</v>
      </c>
      <c r="H25226" s="5">
        <v>102.3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98.8</v>
      </c>
      <c r="D25227" s="5">
        <v>0.1</v>
      </c>
      <c r="E25227" s="5">
        <v>98.9</v>
      </c>
      <c r="F25227" s="5">
        <v>203.3</v>
      </c>
      <c r="G25227" s="5">
        <v>101.1</v>
      </c>
      <c r="H25227" s="5">
        <v>102.3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103.6</v>
      </c>
      <c r="D25228" s="5">
        <v>0.1</v>
      </c>
      <c r="E25228" s="5">
        <v>103.7</v>
      </c>
      <c r="F25228" s="5">
        <v>206.1</v>
      </c>
      <c r="G25228" s="5">
        <v>102.9</v>
      </c>
      <c r="H25228" s="5">
        <v>99.4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103.6</v>
      </c>
      <c r="D25229" s="5">
        <v>0.1</v>
      </c>
      <c r="E25229" s="5">
        <v>103.7</v>
      </c>
      <c r="F25229" s="5">
        <v>206.1</v>
      </c>
      <c r="G25229" s="5">
        <v>102.9</v>
      </c>
      <c r="H25229" s="5">
        <v>99.4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96.2</v>
      </c>
      <c r="D25230" s="5">
        <v>0.1</v>
      </c>
      <c r="E25230" s="5">
        <v>96.3</v>
      </c>
      <c r="F25230" s="5">
        <v>193.2</v>
      </c>
      <c r="G25230" s="5">
        <v>96.5</v>
      </c>
      <c r="H25230" s="5">
        <v>96.4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96.2</v>
      </c>
      <c r="D25231" s="5">
        <v>0.1</v>
      </c>
      <c r="E25231" s="5">
        <v>96.3</v>
      </c>
      <c r="F25231" s="5">
        <v>193.2</v>
      </c>
      <c r="G25231" s="5">
        <v>96.5</v>
      </c>
      <c r="H25231" s="5">
        <v>96.4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96.2</v>
      </c>
      <c r="D25232" s="5">
        <v>0.1</v>
      </c>
      <c r="E25232" s="5">
        <v>96.3</v>
      </c>
      <c r="F25232" s="5">
        <v>193.2</v>
      </c>
      <c r="G25232" s="5">
        <v>96.5</v>
      </c>
      <c r="H25232" s="5">
        <v>96.4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97</v>
      </c>
      <c r="D25233" s="5">
        <v>0.1</v>
      </c>
      <c r="E25233" s="5">
        <v>97.2</v>
      </c>
      <c r="F25233" s="5">
        <v>197.9</v>
      </c>
      <c r="G25233" s="5">
        <v>98.4</v>
      </c>
      <c r="H25233" s="5">
        <v>97.9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97</v>
      </c>
      <c r="D25234" s="5">
        <v>0.1</v>
      </c>
      <c r="E25234" s="5">
        <v>97.2</v>
      </c>
      <c r="F25234" s="5">
        <v>197.9</v>
      </c>
      <c r="G25234" s="5">
        <v>98.4</v>
      </c>
      <c r="H25234" s="5">
        <v>97.9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103.4</v>
      </c>
      <c r="D25235" s="5">
        <v>0.1</v>
      </c>
      <c r="E25235" s="5">
        <v>103.5</v>
      </c>
      <c r="F25235" s="5">
        <v>206.5</v>
      </c>
      <c r="G25235" s="5">
        <v>103.1</v>
      </c>
      <c r="H25235" s="5">
        <v>103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103.4</v>
      </c>
      <c r="D25236" s="5">
        <v>0.1</v>
      </c>
      <c r="E25236" s="5">
        <v>103.5</v>
      </c>
      <c r="F25236" s="5">
        <v>206.5</v>
      </c>
      <c r="G25236" s="5">
        <v>103.1</v>
      </c>
      <c r="H25236" s="5">
        <v>103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104.6</v>
      </c>
      <c r="D25237" s="5">
        <v>0.1</v>
      </c>
      <c r="E25237" s="5">
        <v>104.8</v>
      </c>
      <c r="F25237" s="5">
        <v>208.1</v>
      </c>
      <c r="G25237" s="5">
        <v>103.8</v>
      </c>
      <c r="H25237" s="5">
        <v>103.7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104.6</v>
      </c>
      <c r="D25238" s="5">
        <v>0.1</v>
      </c>
      <c r="E25238" s="5">
        <v>104.8</v>
      </c>
      <c r="F25238" s="5">
        <v>208.1</v>
      </c>
      <c r="G25238" s="5">
        <v>103.8</v>
      </c>
      <c r="H25238" s="5">
        <v>103.7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103.1</v>
      </c>
      <c r="D25239" s="5">
        <v>0.1</v>
      </c>
      <c r="E25239" s="5">
        <v>103.2</v>
      </c>
      <c r="F25239" s="5">
        <v>206</v>
      </c>
      <c r="G25239" s="5">
        <v>102.7</v>
      </c>
      <c r="H25239" s="5">
        <v>102.5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103.1</v>
      </c>
      <c r="D25240" s="5">
        <v>0.1</v>
      </c>
      <c r="E25240" s="5">
        <v>103.2</v>
      </c>
      <c r="F25240" s="5">
        <v>206</v>
      </c>
      <c r="G25240" s="5">
        <v>102.7</v>
      </c>
      <c r="H25240" s="5">
        <v>102.5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103.1</v>
      </c>
      <c r="D25241" s="5">
        <v>0.1</v>
      </c>
      <c r="E25241" s="5">
        <v>103.2</v>
      </c>
      <c r="F25241" s="5">
        <v>206</v>
      </c>
      <c r="G25241" s="5">
        <v>102.7</v>
      </c>
      <c r="H25241" s="5">
        <v>102.5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103.1</v>
      </c>
      <c r="D25242" s="5">
        <v>0.1</v>
      </c>
      <c r="E25242" s="5">
        <v>103.2</v>
      </c>
      <c r="F25242" s="5">
        <v>206</v>
      </c>
      <c r="G25242" s="5">
        <v>102.7</v>
      </c>
      <c r="H25242" s="5">
        <v>102.5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103.7</v>
      </c>
      <c r="D25243" s="5">
        <v>0.1</v>
      </c>
      <c r="E25243" s="5">
        <v>103.8</v>
      </c>
      <c r="F25243" s="5">
        <v>207.4</v>
      </c>
      <c r="G25243" s="5">
        <v>103.5</v>
      </c>
      <c r="H25243" s="5">
        <v>103.4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103.7</v>
      </c>
      <c r="D25244" s="5">
        <v>0.1</v>
      </c>
      <c r="E25244" s="5">
        <v>103.8</v>
      </c>
      <c r="F25244" s="5">
        <v>207.4</v>
      </c>
      <c r="G25244" s="5">
        <v>103.5</v>
      </c>
      <c r="H25244" s="5">
        <v>103.4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103.2</v>
      </c>
      <c r="D25245" s="5">
        <v>0.1</v>
      </c>
      <c r="E25245" s="5">
        <v>103.4</v>
      </c>
      <c r="F25245" s="5">
        <v>206.9</v>
      </c>
      <c r="G25245" s="5">
        <v>103.2</v>
      </c>
      <c r="H25245" s="5">
        <v>103.1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103.2</v>
      </c>
      <c r="D25246" s="5">
        <v>0.1</v>
      </c>
      <c r="E25246" s="5">
        <v>103.4</v>
      </c>
      <c r="F25246" s="5">
        <v>206.9</v>
      </c>
      <c r="G25246" s="5">
        <v>103.2</v>
      </c>
      <c r="H25246" s="5">
        <v>103.1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103.9</v>
      </c>
      <c r="D25247" s="5">
        <v>0.1</v>
      </c>
      <c r="E25247" s="5">
        <v>104</v>
      </c>
      <c r="F25247" s="5">
        <v>207.9</v>
      </c>
      <c r="G25247" s="5">
        <v>103.8</v>
      </c>
      <c r="H25247" s="5">
        <v>103.6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103.9</v>
      </c>
      <c r="D25248" s="5">
        <v>0.1</v>
      </c>
      <c r="E25248" s="5">
        <v>104</v>
      </c>
      <c r="F25248" s="5">
        <v>207.9</v>
      </c>
      <c r="G25248" s="5">
        <v>103.8</v>
      </c>
      <c r="H25248" s="5">
        <v>103.6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104.1</v>
      </c>
      <c r="D25249" s="5">
        <v>0.1</v>
      </c>
      <c r="E25249" s="5">
        <v>104.3</v>
      </c>
      <c r="F25249" s="5">
        <v>208.3</v>
      </c>
      <c r="G25249" s="5">
        <v>103.9</v>
      </c>
      <c r="H25249" s="5">
        <v>103.8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104.1</v>
      </c>
      <c r="D25250" s="5">
        <v>0.1</v>
      </c>
      <c r="E25250" s="5">
        <v>104.3</v>
      </c>
      <c r="F25250" s="5">
        <v>208.3</v>
      </c>
      <c r="G25250" s="5">
        <v>103.9</v>
      </c>
      <c r="H25250" s="5">
        <v>103.8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104.1</v>
      </c>
      <c r="D25251" s="5">
        <v>0.1</v>
      </c>
      <c r="E25251" s="5">
        <v>104.3</v>
      </c>
      <c r="F25251" s="5">
        <v>208.3</v>
      </c>
      <c r="G25251" s="5">
        <v>103.9</v>
      </c>
      <c r="H25251" s="5">
        <v>103.8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104.1</v>
      </c>
      <c r="D25252" s="5">
        <v>0.1</v>
      </c>
      <c r="E25252" s="5">
        <v>104.3</v>
      </c>
      <c r="F25252" s="5">
        <v>208.3</v>
      </c>
      <c r="G25252" s="5">
        <v>103.9</v>
      </c>
      <c r="H25252" s="5">
        <v>103.8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104.2</v>
      </c>
      <c r="D25253" s="5">
        <v>0.1</v>
      </c>
      <c r="E25253" s="5">
        <v>104.3</v>
      </c>
      <c r="F25253" s="5">
        <v>207.7</v>
      </c>
      <c r="G25253" s="5">
        <v>103.6</v>
      </c>
      <c r="H25253" s="5">
        <v>103.5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104.2</v>
      </c>
      <c r="D25254" s="5">
        <v>0.1</v>
      </c>
      <c r="E25254" s="5">
        <v>104.3</v>
      </c>
      <c r="F25254" s="5">
        <v>207.7</v>
      </c>
      <c r="G25254" s="5">
        <v>103.6</v>
      </c>
      <c r="H25254" s="5">
        <v>103.5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103.8</v>
      </c>
      <c r="D25255" s="5">
        <v>0.1</v>
      </c>
      <c r="E25255" s="5">
        <v>104</v>
      </c>
      <c r="F25255" s="5">
        <v>207.3</v>
      </c>
      <c r="G25255" s="5">
        <v>103.6</v>
      </c>
      <c r="H25255" s="5">
        <v>103.5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103.8</v>
      </c>
      <c r="D25256" s="5">
        <v>0.1</v>
      </c>
      <c r="E25256" s="5">
        <v>104</v>
      </c>
      <c r="F25256" s="5">
        <v>207.3</v>
      </c>
      <c r="G25256" s="5">
        <v>103.4</v>
      </c>
      <c r="H25256" s="5">
        <v>103.2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103.2</v>
      </c>
      <c r="D25257" s="5">
        <v>0.1</v>
      </c>
      <c r="E25257" s="5">
        <v>104</v>
      </c>
      <c r="F25257" s="5">
        <v>207.3</v>
      </c>
      <c r="G25257" s="5">
        <v>103.4</v>
      </c>
      <c r="H25257" s="5">
        <v>103.2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103.2</v>
      </c>
      <c r="D25258" s="5">
        <v>0.1</v>
      </c>
      <c r="E25258" s="5">
        <v>103.4</v>
      </c>
      <c r="F25258" s="5">
        <v>205.7</v>
      </c>
      <c r="G25258" s="5">
        <v>102.7</v>
      </c>
      <c r="H25258" s="5">
        <v>102.5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103.2</v>
      </c>
      <c r="D25259" s="5">
        <v>0.1</v>
      </c>
      <c r="E25259" s="5">
        <v>103.4</v>
      </c>
      <c r="F25259" s="5">
        <v>205.7</v>
      </c>
      <c r="G25259" s="5">
        <v>102.7</v>
      </c>
      <c r="H25259" s="5">
        <v>102.5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104.4</v>
      </c>
      <c r="D25260" s="5">
        <v>0.1</v>
      </c>
      <c r="E25260" s="5">
        <v>104.6</v>
      </c>
      <c r="F25260" s="5">
        <v>208.2</v>
      </c>
      <c r="G25260" s="5">
        <v>103.8</v>
      </c>
      <c r="H25260" s="5">
        <v>103.6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104.4</v>
      </c>
      <c r="D25261" s="5">
        <v>0.1</v>
      </c>
      <c r="E25261" s="5">
        <v>104.6</v>
      </c>
      <c r="F25261" s="5">
        <v>208.2</v>
      </c>
      <c r="G25261" s="5">
        <v>103.8</v>
      </c>
      <c r="H25261" s="5">
        <v>103.6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104.4</v>
      </c>
      <c r="D25262" s="5">
        <v>0.1</v>
      </c>
      <c r="E25262" s="5">
        <v>104.6</v>
      </c>
      <c r="F25262" s="5">
        <v>208.2</v>
      </c>
      <c r="G25262" s="5">
        <v>103.8</v>
      </c>
      <c r="H25262" s="5">
        <v>103.6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104.2</v>
      </c>
      <c r="D25263" s="5">
        <v>0.1</v>
      </c>
      <c r="E25263" s="5">
        <v>104.3</v>
      </c>
      <c r="F25263" s="5">
        <v>208.3</v>
      </c>
      <c r="G25263" s="5">
        <v>104</v>
      </c>
      <c r="H25263" s="5">
        <v>103.9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104.2</v>
      </c>
      <c r="D25264" s="5">
        <v>0.1</v>
      </c>
      <c r="E25264" s="5">
        <v>104.3</v>
      </c>
      <c r="F25264" s="5">
        <v>208.3</v>
      </c>
      <c r="G25264" s="5">
        <v>104</v>
      </c>
      <c r="H25264" s="5">
        <v>103.9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103.5</v>
      </c>
      <c r="D25265" s="5">
        <v>0.1</v>
      </c>
      <c r="E25265" s="5">
        <v>103.7</v>
      </c>
      <c r="F25265" s="5">
        <v>207.2</v>
      </c>
      <c r="G25265" s="5">
        <v>103.4</v>
      </c>
      <c r="H25265" s="5">
        <v>103.2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103.5</v>
      </c>
      <c r="D25266" s="5">
        <v>0.1</v>
      </c>
      <c r="E25266" s="5">
        <v>103.7</v>
      </c>
      <c r="F25266" s="5">
        <v>207.2</v>
      </c>
      <c r="G25266" s="5">
        <v>103.4</v>
      </c>
      <c r="H25266" s="5">
        <v>103.2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104</v>
      </c>
      <c r="D25267" s="5">
        <v>0.1</v>
      </c>
      <c r="E25267" s="5">
        <v>104.2</v>
      </c>
      <c r="F25267" s="5">
        <v>208.1</v>
      </c>
      <c r="G25267" s="5">
        <v>103.8</v>
      </c>
      <c r="H25267" s="5">
        <v>103.7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104</v>
      </c>
      <c r="D25268" s="5">
        <v>0.1</v>
      </c>
      <c r="E25268" s="5">
        <v>104.2</v>
      </c>
      <c r="F25268" s="5">
        <v>208.1</v>
      </c>
      <c r="G25268" s="5">
        <v>103.8</v>
      </c>
      <c r="H25268" s="5">
        <v>103.7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104</v>
      </c>
      <c r="D25269" s="5">
        <v>0.1</v>
      </c>
      <c r="E25269" s="5">
        <v>104.2</v>
      </c>
      <c r="F25269" s="5">
        <v>207.4</v>
      </c>
      <c r="G25269" s="5">
        <v>103.5</v>
      </c>
      <c r="H25269" s="5">
        <v>103.4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104</v>
      </c>
      <c r="D25270" s="5">
        <v>0.1</v>
      </c>
      <c r="E25270" s="5">
        <v>104.2</v>
      </c>
      <c r="F25270" s="5">
        <v>207.4</v>
      </c>
      <c r="G25270" s="5">
        <v>103.5</v>
      </c>
      <c r="H25270" s="5">
        <v>103.4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104</v>
      </c>
      <c r="D25271" s="5">
        <v>0.1</v>
      </c>
      <c r="E25271" s="5">
        <v>104.2</v>
      </c>
      <c r="F25271" s="5">
        <v>207.4</v>
      </c>
      <c r="G25271" s="5">
        <v>103.5</v>
      </c>
      <c r="H25271" s="5">
        <v>103.4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104</v>
      </c>
      <c r="D25272" s="5">
        <v>0.1</v>
      </c>
      <c r="E25272" s="5">
        <v>104.2</v>
      </c>
      <c r="F25272" s="5">
        <v>207.4</v>
      </c>
      <c r="G25272" s="5">
        <v>103.5</v>
      </c>
      <c r="H25272" s="5">
        <v>103.4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104.3</v>
      </c>
      <c r="D25273" s="5">
        <v>0.1</v>
      </c>
      <c r="E25273" s="5">
        <v>104.4</v>
      </c>
      <c r="F25273" s="5">
        <v>208.5</v>
      </c>
      <c r="G25273" s="5">
        <v>104</v>
      </c>
      <c r="H25273" s="5">
        <v>103.8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104.3</v>
      </c>
      <c r="D25274" s="5">
        <v>0.1</v>
      </c>
      <c r="E25274" s="5">
        <v>104.4</v>
      </c>
      <c r="F25274" s="5">
        <v>208.5</v>
      </c>
      <c r="G25274" s="5">
        <v>104</v>
      </c>
      <c r="H25274" s="5">
        <v>103.8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104.3</v>
      </c>
      <c r="D25275" s="5">
        <v>0.1</v>
      </c>
      <c r="E25275" s="5">
        <v>104.5</v>
      </c>
      <c r="F25275" s="5">
        <v>208</v>
      </c>
      <c r="G25275" s="5">
        <v>103.8</v>
      </c>
      <c r="H25275" s="5">
        <v>103.7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104.3</v>
      </c>
      <c r="D25276" s="5">
        <v>0.1</v>
      </c>
      <c r="E25276" s="5">
        <v>104.5</v>
      </c>
      <c r="F25276" s="5">
        <v>208</v>
      </c>
      <c r="G25276" s="5">
        <v>103.8</v>
      </c>
      <c r="H25276" s="5">
        <v>103.7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104.3</v>
      </c>
      <c r="D25277" s="5">
        <v>0.1</v>
      </c>
      <c r="E25277" s="5">
        <v>104.5</v>
      </c>
      <c r="F25277" s="5">
        <v>208.6</v>
      </c>
      <c r="G25277" s="5">
        <v>104</v>
      </c>
      <c r="H25277" s="5">
        <v>103.9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104.3</v>
      </c>
      <c r="D25278" s="5">
        <v>0.1</v>
      </c>
      <c r="E25278" s="5">
        <v>104.5</v>
      </c>
      <c r="F25278" s="5">
        <v>208.6</v>
      </c>
      <c r="G25278" s="5">
        <v>104</v>
      </c>
      <c r="H25278" s="5">
        <v>103.9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103.8</v>
      </c>
      <c r="D25279" s="5">
        <v>0.1</v>
      </c>
      <c r="E25279" s="5">
        <v>104</v>
      </c>
      <c r="F25279" s="5">
        <v>207.5</v>
      </c>
      <c r="G25279" s="5">
        <v>103.6</v>
      </c>
      <c r="H25279" s="5">
        <v>103.4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103.8</v>
      </c>
      <c r="D25280" s="5">
        <v>0.1</v>
      </c>
      <c r="E25280" s="5">
        <v>104</v>
      </c>
      <c r="F25280" s="5">
        <v>207.5</v>
      </c>
      <c r="G25280" s="5">
        <v>103.6</v>
      </c>
      <c r="H25280" s="5">
        <v>103.4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103.8</v>
      </c>
      <c r="D25281" s="5">
        <v>0.1</v>
      </c>
      <c r="E25281" s="5">
        <v>104</v>
      </c>
      <c r="F25281" s="5">
        <v>207.5</v>
      </c>
      <c r="G25281" s="5">
        <v>103.6</v>
      </c>
      <c r="H25281" s="5">
        <v>103.4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103.8</v>
      </c>
      <c r="D25282" s="5">
        <v>0.1</v>
      </c>
      <c r="E25282" s="5">
        <v>104</v>
      </c>
      <c r="F25282" s="5">
        <v>207.5</v>
      </c>
      <c r="G25282" s="5">
        <v>103.6</v>
      </c>
      <c r="H25282" s="5">
        <v>103.4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103.7</v>
      </c>
      <c r="D25283" s="5">
        <v>0.1</v>
      </c>
      <c r="E25283" s="5">
        <v>103.8</v>
      </c>
      <c r="F25283" s="5">
        <v>207.7</v>
      </c>
      <c r="G25283" s="5">
        <v>103.6</v>
      </c>
      <c r="H25283" s="5">
        <v>103.5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103.7</v>
      </c>
      <c r="D25284" s="5">
        <v>0.1</v>
      </c>
      <c r="E25284" s="5">
        <v>103.8</v>
      </c>
      <c r="F25284" s="5">
        <v>207.7</v>
      </c>
      <c r="G25284" s="5">
        <v>103.6</v>
      </c>
      <c r="H25284" s="5">
        <v>103.5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104.4</v>
      </c>
      <c r="D25285" s="5">
        <v>0.1</v>
      </c>
      <c r="E25285" s="5">
        <v>104.6</v>
      </c>
      <c r="F25285" s="5">
        <v>208.5</v>
      </c>
      <c r="G25285" s="5">
        <v>104</v>
      </c>
      <c r="H25285" s="5">
        <v>103.9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104.4</v>
      </c>
      <c r="D25286" s="5">
        <v>0.1</v>
      </c>
      <c r="E25286" s="5">
        <v>104.6</v>
      </c>
      <c r="F25286" s="5">
        <v>208.5</v>
      </c>
      <c r="G25286" s="5">
        <v>104</v>
      </c>
      <c r="H25286" s="5">
        <v>103.9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105</v>
      </c>
      <c r="D25287" s="5">
        <v>0.1</v>
      </c>
      <c r="E25287" s="5">
        <v>105.2</v>
      </c>
      <c r="F25287" s="5">
        <v>209.4</v>
      </c>
      <c r="G25287" s="5">
        <v>104.5</v>
      </c>
      <c r="H25287" s="5">
        <v>104.4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105</v>
      </c>
      <c r="D25288" s="5">
        <v>0.1</v>
      </c>
      <c r="E25288" s="5">
        <v>105.2</v>
      </c>
      <c r="F25288" s="5">
        <v>209.4</v>
      </c>
      <c r="G25288" s="5">
        <v>104.5</v>
      </c>
      <c r="H25288" s="5">
        <v>104.4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97.9</v>
      </c>
      <c r="D25289" s="5">
        <v>0.1</v>
      </c>
      <c r="E25289" s="5">
        <v>98</v>
      </c>
      <c r="F25289" s="5">
        <v>197.4</v>
      </c>
      <c r="G25289" s="5">
        <v>98.4</v>
      </c>
      <c r="H25289" s="5">
        <v>98.2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97.9</v>
      </c>
      <c r="D25290" s="5">
        <v>0.1</v>
      </c>
      <c r="E25290" s="5">
        <v>98</v>
      </c>
      <c r="F25290" s="5">
        <v>197.4</v>
      </c>
      <c r="G25290" s="5">
        <v>98.4</v>
      </c>
      <c r="H25290" s="5">
        <v>98.2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97.9</v>
      </c>
      <c r="D25291" s="5">
        <v>0.1</v>
      </c>
      <c r="E25291" s="5">
        <v>98</v>
      </c>
      <c r="F25291" s="5">
        <v>197.4</v>
      </c>
      <c r="G25291" s="5">
        <v>98.4</v>
      </c>
      <c r="H25291" s="5">
        <v>98.2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97.9</v>
      </c>
      <c r="D25292" s="5">
        <v>0.1</v>
      </c>
      <c r="E25292" s="5">
        <v>98</v>
      </c>
      <c r="F25292" s="5">
        <v>197.4</v>
      </c>
      <c r="G25292" s="5">
        <v>98.4</v>
      </c>
      <c r="H25292" s="5">
        <v>98.2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103.1</v>
      </c>
      <c r="D25293" s="5">
        <v>0.1</v>
      </c>
      <c r="E25293" s="5">
        <v>103.2</v>
      </c>
      <c r="F25293" s="5">
        <v>194.8</v>
      </c>
      <c r="G25293" s="5">
        <v>97.3</v>
      </c>
      <c r="H25293" s="5">
        <v>97.3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103.1</v>
      </c>
      <c r="D25294" s="5">
        <v>0.1</v>
      </c>
      <c r="E25294" s="5">
        <v>103.2</v>
      </c>
      <c r="F25294" s="5">
        <v>194.8</v>
      </c>
      <c r="G25294" s="5">
        <v>97.3</v>
      </c>
      <c r="H25294" s="5">
        <v>97.3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104.8</v>
      </c>
      <c r="D25295" s="5">
        <v>0.1</v>
      </c>
      <c r="E25295" s="5">
        <v>105</v>
      </c>
      <c r="F25295" s="5">
        <v>207.7</v>
      </c>
      <c r="G25295" s="5">
        <v>103.6</v>
      </c>
      <c r="H25295" s="5">
        <v>103.6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104.8</v>
      </c>
      <c r="D25296" s="5">
        <v>0.1</v>
      </c>
      <c r="E25296" s="5">
        <v>105</v>
      </c>
      <c r="F25296" s="5">
        <v>207.7</v>
      </c>
      <c r="G25296" s="5">
        <v>103.6</v>
      </c>
      <c r="H25296" s="5">
        <v>103.6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99.8</v>
      </c>
      <c r="D25297" s="5">
        <v>0.1</v>
      </c>
      <c r="E25297" s="5">
        <v>99.9</v>
      </c>
      <c r="F25297" s="5">
        <v>195.6</v>
      </c>
      <c r="G25297" s="5">
        <v>97.5</v>
      </c>
      <c r="H25297" s="5">
        <v>97.4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99.8</v>
      </c>
      <c r="D25298" s="5">
        <v>0.1</v>
      </c>
      <c r="E25298" s="5">
        <v>99.9</v>
      </c>
      <c r="F25298" s="5">
        <v>195.6</v>
      </c>
      <c r="G25298" s="5">
        <v>97.5</v>
      </c>
      <c r="H25298" s="5">
        <v>97.4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98.7</v>
      </c>
      <c r="D25299" s="5">
        <v>0.1</v>
      </c>
      <c r="E25299" s="5">
        <v>98.8</v>
      </c>
      <c r="F25299" s="5">
        <v>195.7</v>
      </c>
      <c r="G25299" s="5">
        <v>97.7</v>
      </c>
      <c r="H25299" s="5">
        <v>97.5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98.7</v>
      </c>
      <c r="D25300" s="5">
        <v>0.1</v>
      </c>
      <c r="E25300" s="5">
        <v>98.8</v>
      </c>
      <c r="F25300" s="5">
        <v>195.7</v>
      </c>
      <c r="G25300" s="5">
        <v>97.7</v>
      </c>
      <c r="H25300" s="5">
        <v>97.5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98.7</v>
      </c>
      <c r="D25301" s="5">
        <v>0.1</v>
      </c>
      <c r="E25301" s="5">
        <v>98.8</v>
      </c>
      <c r="F25301" s="5">
        <v>195.7</v>
      </c>
      <c r="G25301" s="5">
        <v>97.7</v>
      </c>
      <c r="H25301" s="5">
        <v>97.5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98.7</v>
      </c>
      <c r="D25302" s="5">
        <v>0.1</v>
      </c>
      <c r="E25302" s="5">
        <v>98.8</v>
      </c>
      <c r="F25302" s="5">
        <v>195.7</v>
      </c>
      <c r="G25302" s="5">
        <v>97.7</v>
      </c>
      <c r="H25302" s="5">
        <v>97.5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97.9</v>
      </c>
      <c r="D25303" s="5">
        <v>0.1</v>
      </c>
      <c r="E25303" s="5">
        <v>98</v>
      </c>
      <c r="F25303" s="5">
        <v>198.4</v>
      </c>
      <c r="G25303" s="5">
        <v>98.8</v>
      </c>
      <c r="H25303" s="5">
        <v>98.4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97.9</v>
      </c>
      <c r="D25304" s="5">
        <v>0.1</v>
      </c>
      <c r="E25304" s="5">
        <v>98</v>
      </c>
      <c r="F25304" s="5">
        <v>198.4</v>
      </c>
      <c r="G25304" s="5">
        <v>98.8</v>
      </c>
      <c r="H25304" s="5">
        <v>98.4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103.4</v>
      </c>
      <c r="D25305" s="5">
        <v>0.1</v>
      </c>
      <c r="E25305" s="5">
        <v>103.5</v>
      </c>
      <c r="F25305" s="5">
        <v>206</v>
      </c>
      <c r="G25305" s="5">
        <v>102.9</v>
      </c>
      <c r="H25305" s="5">
        <v>102.7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103.4</v>
      </c>
      <c r="D25306" s="5">
        <v>0.1</v>
      </c>
      <c r="E25306" s="5">
        <v>103.5</v>
      </c>
      <c r="F25306" s="5">
        <v>206</v>
      </c>
      <c r="G25306" s="5">
        <v>102.9</v>
      </c>
      <c r="H25306" s="5">
        <v>102.7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103.7</v>
      </c>
      <c r="D25307" s="5">
        <v>0.1</v>
      </c>
      <c r="E25307" s="5">
        <v>103.9</v>
      </c>
      <c r="F25307" s="5">
        <v>207.7</v>
      </c>
      <c r="G25307" s="5">
        <v>103.6</v>
      </c>
      <c r="H25307" s="5">
        <v>103.5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103.7</v>
      </c>
      <c r="D25308" s="5">
        <v>0.1</v>
      </c>
      <c r="E25308" s="5">
        <v>103.9</v>
      </c>
      <c r="F25308" s="5">
        <v>207.7</v>
      </c>
      <c r="G25308" s="5">
        <v>103.6</v>
      </c>
      <c r="H25308" s="5">
        <v>103.5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102.6</v>
      </c>
      <c r="D25309" s="5">
        <v>0.1</v>
      </c>
      <c r="E25309" s="5">
        <v>102.7</v>
      </c>
      <c r="F25309" s="5">
        <v>205.5</v>
      </c>
      <c r="G25309" s="5">
        <v>102.5</v>
      </c>
      <c r="H25309" s="5">
        <v>102.4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102.6</v>
      </c>
      <c r="D25310" s="5">
        <v>0.1</v>
      </c>
      <c r="E25310" s="5">
        <v>102.7</v>
      </c>
      <c r="F25310" s="5">
        <v>205.5</v>
      </c>
      <c r="G25310" s="5">
        <v>102.5</v>
      </c>
      <c r="H25310" s="5">
        <v>102.4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102.6</v>
      </c>
      <c r="D25311" s="5">
        <v>0.1</v>
      </c>
      <c r="E25311" s="5">
        <v>102.7</v>
      </c>
      <c r="F25311" s="5">
        <v>205.5</v>
      </c>
      <c r="G25311" s="5">
        <v>102.5</v>
      </c>
      <c r="H25311" s="5">
        <v>102.4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102.6</v>
      </c>
      <c r="D25312" s="5">
        <v>0.1</v>
      </c>
      <c r="E25312" s="5">
        <v>102.7</v>
      </c>
      <c r="F25312" s="5">
        <v>205.5</v>
      </c>
      <c r="G25312" s="5">
        <v>102.5</v>
      </c>
      <c r="H25312" s="5">
        <v>102.4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105.9</v>
      </c>
      <c r="D25313" s="5">
        <v>0.1</v>
      </c>
      <c r="E25313" s="5">
        <v>106.1</v>
      </c>
      <c r="F25313" s="5">
        <v>211</v>
      </c>
      <c r="G25313" s="5">
        <v>105.3</v>
      </c>
      <c r="H25313" s="5">
        <v>105.2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105.9</v>
      </c>
      <c r="D25314" s="5">
        <v>0.1</v>
      </c>
      <c r="E25314" s="5">
        <v>106.1</v>
      </c>
      <c r="F25314" s="5">
        <v>211</v>
      </c>
      <c r="G25314" s="5">
        <v>105.3</v>
      </c>
      <c r="H25314" s="5">
        <v>105.2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105.6</v>
      </c>
      <c r="D25315" s="5">
        <v>0.1</v>
      </c>
      <c r="E25315" s="5">
        <v>105.7</v>
      </c>
      <c r="F25315" s="5">
        <v>210.5</v>
      </c>
      <c r="G25315" s="5">
        <v>105</v>
      </c>
      <c r="H25315" s="5">
        <v>104.9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105.6</v>
      </c>
      <c r="D25316" s="5">
        <v>0.1</v>
      </c>
      <c r="E25316" s="5">
        <v>105.7</v>
      </c>
      <c r="F25316" s="5">
        <v>210.5</v>
      </c>
      <c r="G25316" s="5">
        <v>105</v>
      </c>
      <c r="H25316" s="5">
        <v>104.9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105.9</v>
      </c>
      <c r="D25317" s="5">
        <v>0.1</v>
      </c>
      <c r="E25317" s="5">
        <v>106</v>
      </c>
      <c r="F25317" s="5">
        <v>210.3</v>
      </c>
      <c r="G25317" s="5">
        <v>104.9</v>
      </c>
      <c r="H25317" s="5">
        <v>104.8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105.9</v>
      </c>
      <c r="D25318" s="5">
        <v>0.1</v>
      </c>
      <c r="E25318" s="5">
        <v>106</v>
      </c>
      <c r="F25318" s="5">
        <v>210.3</v>
      </c>
      <c r="G25318" s="5">
        <v>104.9</v>
      </c>
      <c r="H25318" s="5">
        <v>104.8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100.2</v>
      </c>
      <c r="D25319" s="5">
        <v>0.1</v>
      </c>
      <c r="E25319" s="5">
        <v>100.4</v>
      </c>
      <c r="F25319" s="5">
        <v>201.6</v>
      </c>
      <c r="G25319" s="5">
        <v>100.6</v>
      </c>
      <c r="H25319" s="5">
        <v>100.4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100.2</v>
      </c>
      <c r="D25320" s="5">
        <v>0.1</v>
      </c>
      <c r="E25320" s="5">
        <v>100.4</v>
      </c>
      <c r="F25320" s="5">
        <v>201.6</v>
      </c>
      <c r="G25320" s="5">
        <v>100.6</v>
      </c>
      <c r="H25320" s="5">
        <v>100.4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100.2</v>
      </c>
      <c r="D25321" s="5">
        <v>0.1</v>
      </c>
      <c r="E25321" s="5">
        <v>100.4</v>
      </c>
      <c r="F25321" s="5">
        <v>201.6</v>
      </c>
      <c r="G25321" s="5">
        <v>100.6</v>
      </c>
      <c r="H25321" s="5">
        <v>100.4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100.2</v>
      </c>
      <c r="D25322" s="5">
        <v>0.1</v>
      </c>
      <c r="E25322" s="5">
        <v>100.4</v>
      </c>
      <c r="F25322" s="5">
        <v>201.6</v>
      </c>
      <c r="G25322" s="5">
        <v>100.6</v>
      </c>
      <c r="H25322" s="5">
        <v>100.4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104.7</v>
      </c>
      <c r="D25323" s="5">
        <v>0.1</v>
      </c>
      <c r="E25323" s="5">
        <v>104.9</v>
      </c>
      <c r="F25323" s="5">
        <v>205.1</v>
      </c>
      <c r="G25323" s="5">
        <v>101.8</v>
      </c>
      <c r="H25323" s="5">
        <v>101.2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104.7</v>
      </c>
      <c r="D25324" s="5">
        <v>0.1</v>
      </c>
      <c r="E25324" s="5">
        <v>104.9</v>
      </c>
      <c r="F25324" s="5">
        <v>205.1</v>
      </c>
      <c r="G25324" s="5">
        <v>101.8</v>
      </c>
      <c r="H25324" s="5">
        <v>101.2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99.9</v>
      </c>
      <c r="D25325" s="5">
        <v>0.1</v>
      </c>
      <c r="E25325" s="5">
        <v>99.9</v>
      </c>
      <c r="F25325" s="5">
        <v>200.9</v>
      </c>
      <c r="G25325" s="5">
        <v>100.2</v>
      </c>
      <c r="H25325" s="5">
        <v>100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99.9</v>
      </c>
      <c r="D25326" s="5">
        <v>0.1</v>
      </c>
      <c r="E25326" s="5">
        <v>99.9</v>
      </c>
      <c r="F25326" s="5">
        <v>200.9</v>
      </c>
      <c r="G25326" s="5">
        <v>100.2</v>
      </c>
      <c r="H25326" s="5">
        <v>100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104.6</v>
      </c>
      <c r="D25327" s="5">
        <v>0.1</v>
      </c>
      <c r="E25327" s="5">
        <v>104.8</v>
      </c>
      <c r="F25327" s="5">
        <v>208.5</v>
      </c>
      <c r="G25327" s="5">
        <v>104.1</v>
      </c>
      <c r="H25327" s="5">
        <v>104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104.6</v>
      </c>
      <c r="D25328" s="5">
        <v>0.1</v>
      </c>
      <c r="E25328" s="5">
        <v>104.8</v>
      </c>
      <c r="F25328" s="5">
        <v>208.5</v>
      </c>
      <c r="G25328" s="5">
        <v>104.1</v>
      </c>
      <c r="H25328" s="5">
        <v>104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102.8</v>
      </c>
      <c r="D25329" s="5">
        <v>0.1</v>
      </c>
      <c r="E25329" s="5">
        <v>102.9</v>
      </c>
      <c r="F25329" s="5">
        <v>201.2</v>
      </c>
      <c r="G25329" s="5">
        <v>100.7</v>
      </c>
      <c r="H25329" s="5">
        <v>100.9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102.8</v>
      </c>
      <c r="D25330" s="5">
        <v>0.1</v>
      </c>
      <c r="E25330" s="5">
        <v>102.9</v>
      </c>
      <c r="F25330" s="5">
        <v>201.2</v>
      </c>
      <c r="G25330" s="5">
        <v>100.7</v>
      </c>
      <c r="H25330" s="5">
        <v>100.9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102.8</v>
      </c>
      <c r="D25331" s="5">
        <v>0.1</v>
      </c>
      <c r="E25331" s="5">
        <v>102.9</v>
      </c>
      <c r="F25331" s="5">
        <v>201.2</v>
      </c>
      <c r="G25331" s="5">
        <v>100.7</v>
      </c>
      <c r="H25331" s="5">
        <v>100.9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102.8</v>
      </c>
      <c r="D25332" s="5">
        <v>0.1</v>
      </c>
      <c r="E25332" s="5">
        <v>102.9</v>
      </c>
      <c r="F25332" s="5">
        <v>201.9</v>
      </c>
      <c r="G25332" s="5">
        <v>101.2</v>
      </c>
      <c r="H25332" s="5">
        <v>101.4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104.3</v>
      </c>
      <c r="D25333" s="5">
        <v>0.1</v>
      </c>
      <c r="E25333" s="5">
        <v>104.4</v>
      </c>
      <c r="F25333" s="5">
        <v>201.9</v>
      </c>
      <c r="G25333" s="5">
        <v>101.2</v>
      </c>
      <c r="H25333" s="5">
        <v>101.4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104.3</v>
      </c>
      <c r="D25334" s="5">
        <v>0.1</v>
      </c>
      <c r="E25334" s="5">
        <v>104.4</v>
      </c>
      <c r="F25334" s="5">
        <v>201.9</v>
      </c>
      <c r="G25334" s="5">
        <v>98.8</v>
      </c>
      <c r="H25334" s="5">
        <v>98.7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99</v>
      </c>
      <c r="D25335" s="5">
        <v>0.1</v>
      </c>
      <c r="E25335" s="5">
        <v>99.2</v>
      </c>
      <c r="F25335" s="5">
        <v>198.1</v>
      </c>
      <c r="G25335" s="5">
        <v>98.8</v>
      </c>
      <c r="H25335" s="5">
        <v>98.7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99.3</v>
      </c>
      <c r="D25336" s="5">
        <v>0.1</v>
      </c>
      <c r="E25336" s="5">
        <v>99.5</v>
      </c>
      <c r="F25336" s="5">
        <v>198.8</v>
      </c>
      <c r="G25336" s="5">
        <v>99.1</v>
      </c>
      <c r="H25336" s="5">
        <v>99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99.9</v>
      </c>
      <c r="D25337" s="5">
        <v>0.1</v>
      </c>
      <c r="E25337" s="5">
        <v>100</v>
      </c>
      <c r="F25337" s="5">
        <v>199.8</v>
      </c>
      <c r="G25337" s="5">
        <v>99.8</v>
      </c>
      <c r="H25337" s="5">
        <v>99.6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99.9</v>
      </c>
      <c r="D25338" s="5">
        <v>0.1</v>
      </c>
      <c r="E25338" s="5">
        <v>100</v>
      </c>
      <c r="F25338" s="5">
        <v>199.8</v>
      </c>
      <c r="G25338" s="5">
        <v>99.8</v>
      </c>
      <c r="H25338" s="5">
        <v>99.6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99.9</v>
      </c>
      <c r="D25339" s="5">
        <v>0.1</v>
      </c>
      <c r="E25339" s="5">
        <v>100</v>
      </c>
      <c r="F25339" s="5">
        <v>199.8</v>
      </c>
      <c r="G25339" s="5">
        <v>99.8</v>
      </c>
      <c r="H25339" s="5">
        <v>99.6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99.9</v>
      </c>
      <c r="D25340" s="5">
        <v>0.1</v>
      </c>
      <c r="E25340" s="5">
        <v>100</v>
      </c>
      <c r="F25340" s="5">
        <v>199.8</v>
      </c>
      <c r="G25340" s="5">
        <v>99.8</v>
      </c>
      <c r="H25340" s="5">
        <v>99.6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100.5</v>
      </c>
      <c r="D25341" s="5">
        <v>0.1</v>
      </c>
      <c r="E25341" s="5">
        <v>100.6</v>
      </c>
      <c r="F25341" s="5">
        <v>201.2</v>
      </c>
      <c r="G25341" s="5">
        <v>100.7</v>
      </c>
      <c r="H25341" s="5">
        <v>100.8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100.5</v>
      </c>
      <c r="D25342" s="5">
        <v>0.1</v>
      </c>
      <c r="E25342" s="5">
        <v>100.6</v>
      </c>
      <c r="F25342" s="5">
        <v>201.2</v>
      </c>
      <c r="G25342" s="5">
        <v>100.7</v>
      </c>
      <c r="H25342" s="5">
        <v>100.8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100.7</v>
      </c>
      <c r="D25343" s="5">
        <v>0.1</v>
      </c>
      <c r="E25343" s="5">
        <v>100.8</v>
      </c>
      <c r="F25343" s="5">
        <v>200.7</v>
      </c>
      <c r="G25343" s="5">
        <v>100.1</v>
      </c>
      <c r="H25343" s="5">
        <v>100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100.7</v>
      </c>
      <c r="D25344" s="5">
        <v>0.1</v>
      </c>
      <c r="E25344" s="5">
        <v>100.8</v>
      </c>
      <c r="F25344" s="5">
        <v>200.7</v>
      </c>
      <c r="G25344" s="5">
        <v>100.1</v>
      </c>
      <c r="H25344" s="5">
        <v>100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99.7</v>
      </c>
      <c r="D25345" s="5">
        <v>0.1</v>
      </c>
      <c r="E25345" s="5">
        <v>99.9</v>
      </c>
      <c r="F25345" s="5">
        <v>199.2</v>
      </c>
      <c r="G25345" s="5">
        <v>99.4</v>
      </c>
      <c r="H25345" s="5">
        <v>99.3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99.7</v>
      </c>
      <c r="D25346" s="5">
        <v>0.1</v>
      </c>
      <c r="E25346" s="5">
        <v>99.9</v>
      </c>
      <c r="F25346" s="5">
        <v>199.2</v>
      </c>
      <c r="G25346" s="5">
        <v>99.4</v>
      </c>
      <c r="H25346" s="5">
        <v>99.3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104.9</v>
      </c>
      <c r="D25347" s="5">
        <v>0.1</v>
      </c>
      <c r="E25347" s="5">
        <v>105</v>
      </c>
      <c r="F25347" s="5">
        <v>204.6</v>
      </c>
      <c r="G25347" s="5">
        <v>102.2</v>
      </c>
      <c r="H25347" s="5">
        <v>102.1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104.9</v>
      </c>
      <c r="D25348" s="5">
        <v>0.1</v>
      </c>
      <c r="E25348" s="5">
        <v>105</v>
      </c>
      <c r="F25348" s="5">
        <v>204.6</v>
      </c>
      <c r="G25348" s="5">
        <v>102.2</v>
      </c>
      <c r="H25348" s="5">
        <v>102.1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104.9</v>
      </c>
      <c r="D25349" s="5">
        <v>0.1</v>
      </c>
      <c r="E25349" s="5">
        <v>105</v>
      </c>
      <c r="F25349" s="5">
        <v>204.6</v>
      </c>
      <c r="G25349" s="5">
        <v>102.2</v>
      </c>
      <c r="H25349" s="5">
        <v>102.1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104.9</v>
      </c>
      <c r="D25350" s="5">
        <v>0.1</v>
      </c>
      <c r="E25350" s="5">
        <v>105</v>
      </c>
      <c r="F25350" s="5">
        <v>204.6</v>
      </c>
      <c r="G25350" s="5">
        <v>102.2</v>
      </c>
      <c r="H25350" s="5">
        <v>102.1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101.3</v>
      </c>
      <c r="D25351" s="5">
        <v>0.1</v>
      </c>
      <c r="E25351" s="5">
        <v>101.5</v>
      </c>
      <c r="F25351" s="5">
        <v>203.1</v>
      </c>
      <c r="G25351" s="5">
        <v>102.4</v>
      </c>
      <c r="H25351" s="5">
        <v>104.6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101.3</v>
      </c>
      <c r="D25352" s="5">
        <v>0.1</v>
      </c>
      <c r="E25352" s="5">
        <v>101.5</v>
      </c>
      <c r="F25352" s="5">
        <v>203.1</v>
      </c>
      <c r="G25352" s="5">
        <v>102.4</v>
      </c>
      <c r="H25352" s="5">
        <v>104.6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99.5</v>
      </c>
      <c r="D25353" s="5">
        <v>0.1</v>
      </c>
      <c r="E25353" s="5">
        <v>99.6</v>
      </c>
      <c r="F25353" s="5">
        <v>198.8</v>
      </c>
      <c r="G25353" s="5">
        <v>99.1</v>
      </c>
      <c r="H25353" s="5">
        <v>98.9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99.5</v>
      </c>
      <c r="D25354" s="5">
        <v>0.1</v>
      </c>
      <c r="E25354" s="5">
        <v>99.6</v>
      </c>
      <c r="F25354" s="5">
        <v>198.8</v>
      </c>
      <c r="G25354" s="5">
        <v>99.1</v>
      </c>
      <c r="H25354" s="5">
        <v>98.9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100.4</v>
      </c>
      <c r="D25355" s="5">
        <v>0.1</v>
      </c>
      <c r="E25355" s="5">
        <v>100.5</v>
      </c>
      <c r="F25355" s="5">
        <v>199.9</v>
      </c>
      <c r="G25355" s="5">
        <v>99.7</v>
      </c>
      <c r="H25355" s="5">
        <v>99.3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100.4</v>
      </c>
      <c r="D25356" s="5">
        <v>0.1</v>
      </c>
      <c r="E25356" s="5">
        <v>100.5</v>
      </c>
      <c r="F25356" s="5">
        <v>199.9</v>
      </c>
      <c r="G25356" s="5">
        <v>99.7</v>
      </c>
      <c r="H25356" s="5">
        <v>99.3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99.9</v>
      </c>
      <c r="D25357" s="5">
        <v>0.1</v>
      </c>
      <c r="E25357" s="5">
        <v>100</v>
      </c>
      <c r="F25357" s="5">
        <v>199</v>
      </c>
      <c r="G25357" s="5">
        <v>99.3</v>
      </c>
      <c r="H25357" s="5">
        <v>99.1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99.9</v>
      </c>
      <c r="D25358" s="5">
        <v>0.1</v>
      </c>
      <c r="E25358" s="5">
        <v>100</v>
      </c>
      <c r="F25358" s="5">
        <v>199</v>
      </c>
      <c r="G25358" s="5">
        <v>99.3</v>
      </c>
      <c r="H25358" s="5">
        <v>99.1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99.9</v>
      </c>
      <c r="D25359" s="5">
        <v>0.1</v>
      </c>
      <c r="E25359" s="5">
        <v>100</v>
      </c>
      <c r="F25359" s="5">
        <v>199</v>
      </c>
      <c r="G25359" s="5">
        <v>99.3</v>
      </c>
      <c r="H25359" s="5">
        <v>99.1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105</v>
      </c>
      <c r="D25360" s="5">
        <v>0.1</v>
      </c>
      <c r="E25360" s="5">
        <v>105.1</v>
      </c>
      <c r="F25360" s="5">
        <v>204.9</v>
      </c>
      <c r="G25360" s="5">
        <v>102.5</v>
      </c>
      <c r="H25360" s="5">
        <v>102.6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105</v>
      </c>
      <c r="D25361" s="5">
        <v>0.1</v>
      </c>
      <c r="E25361" s="5">
        <v>105.1</v>
      </c>
      <c r="F25361" s="5">
        <v>204.9</v>
      </c>
      <c r="G25361" s="5">
        <v>102.5</v>
      </c>
      <c r="H25361" s="5">
        <v>102.6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103.3</v>
      </c>
      <c r="D25362" s="5">
        <v>0.1</v>
      </c>
      <c r="E25362" s="5">
        <v>103.4</v>
      </c>
      <c r="F25362" s="5">
        <v>205.1</v>
      </c>
      <c r="G25362" s="5">
        <v>102.4</v>
      </c>
      <c r="H25362" s="5">
        <v>102.3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103.3</v>
      </c>
      <c r="D25363" s="5">
        <v>0.1</v>
      </c>
      <c r="E25363" s="5">
        <v>103.4</v>
      </c>
      <c r="F25363" s="5">
        <v>205.1</v>
      </c>
      <c r="G25363" s="5">
        <v>102.4</v>
      </c>
      <c r="H25363" s="5">
        <v>102.3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100.7</v>
      </c>
      <c r="D25364" s="5">
        <v>0.1</v>
      </c>
      <c r="E25364" s="5">
        <v>103.4</v>
      </c>
      <c r="F25364" s="5">
        <v>205.1</v>
      </c>
      <c r="G25364" s="5">
        <v>102.4</v>
      </c>
      <c r="H25364" s="5">
        <v>102.3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100.7</v>
      </c>
      <c r="D25365" s="5">
        <v>0.1</v>
      </c>
      <c r="E25365" s="5">
        <v>100.8</v>
      </c>
      <c r="F25365" s="5">
        <v>199.5</v>
      </c>
      <c r="G25365" s="5">
        <v>99.6</v>
      </c>
      <c r="H25365" s="5">
        <v>99.5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100.7</v>
      </c>
      <c r="D25366" s="5">
        <v>0.1</v>
      </c>
      <c r="E25366" s="5">
        <v>100.8</v>
      </c>
      <c r="F25366" s="5">
        <v>199.5</v>
      </c>
      <c r="G25366" s="5">
        <v>99.6</v>
      </c>
      <c r="H25366" s="5">
        <v>99.5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98.6</v>
      </c>
      <c r="D25367" s="5">
        <v>0.1</v>
      </c>
      <c r="E25367" s="5">
        <v>98.8</v>
      </c>
      <c r="F25367" s="5">
        <v>197.7</v>
      </c>
      <c r="G25367" s="5">
        <v>98.6</v>
      </c>
      <c r="H25367" s="5">
        <v>98.5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98.6</v>
      </c>
      <c r="D25368" s="5">
        <v>0.1</v>
      </c>
      <c r="E25368" s="5">
        <v>98.8</v>
      </c>
      <c r="F25368" s="5">
        <v>197.7</v>
      </c>
      <c r="G25368" s="5">
        <v>98.6</v>
      </c>
      <c r="H25368" s="5">
        <v>98.5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98.6</v>
      </c>
      <c r="D25369" s="5">
        <v>0.1</v>
      </c>
      <c r="E25369" s="5">
        <v>98.8</v>
      </c>
      <c r="F25369" s="5">
        <v>197.7</v>
      </c>
      <c r="G25369" s="5">
        <v>98.6</v>
      </c>
      <c r="H25369" s="5">
        <v>98.5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98.6</v>
      </c>
      <c r="D25370" s="5">
        <v>0.1</v>
      </c>
      <c r="E25370" s="5">
        <v>98.8</v>
      </c>
      <c r="F25370" s="5">
        <v>197.7</v>
      </c>
      <c r="G25370" s="5">
        <v>98.6</v>
      </c>
      <c r="H25370" s="5">
        <v>98.5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98.7</v>
      </c>
      <c r="D25371" s="5">
        <v>0.1</v>
      </c>
      <c r="E25371" s="5">
        <v>98.9</v>
      </c>
      <c r="F25371" s="5">
        <v>197.2</v>
      </c>
      <c r="G25371" s="5">
        <v>98.5</v>
      </c>
      <c r="H25371" s="5">
        <v>98.3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98.7</v>
      </c>
      <c r="D25372" s="5">
        <v>0.1</v>
      </c>
      <c r="E25372" s="5">
        <v>98.9</v>
      </c>
      <c r="F25372" s="5">
        <v>197.2</v>
      </c>
      <c r="G25372" s="5">
        <v>98.5</v>
      </c>
      <c r="H25372" s="5">
        <v>98.3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98.4</v>
      </c>
      <c r="D25373" s="5">
        <v>0.1</v>
      </c>
      <c r="E25373" s="5">
        <v>98.5</v>
      </c>
      <c r="F25373" s="5">
        <v>196</v>
      </c>
      <c r="G25373" s="5">
        <v>97.8</v>
      </c>
      <c r="H25373" s="5">
        <v>97.7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98.4</v>
      </c>
      <c r="D25374" s="5">
        <v>0.1</v>
      </c>
      <c r="E25374" s="5">
        <v>98.5</v>
      </c>
      <c r="F25374" s="5">
        <v>196</v>
      </c>
      <c r="G25374" s="5">
        <v>97.8</v>
      </c>
      <c r="H25374" s="5">
        <v>97.7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100.1</v>
      </c>
      <c r="D25375" s="5">
        <v>0.1</v>
      </c>
      <c r="E25375" s="5">
        <v>100.2</v>
      </c>
      <c r="F25375" s="5">
        <v>201.1</v>
      </c>
      <c r="G25375" s="5">
        <v>100.2</v>
      </c>
      <c r="H25375" s="5">
        <v>100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100.1</v>
      </c>
      <c r="D25376" s="5">
        <v>0.1</v>
      </c>
      <c r="E25376" s="5">
        <v>100.2</v>
      </c>
      <c r="F25376" s="5">
        <v>201.1</v>
      </c>
      <c r="G25376" s="5">
        <v>100.2</v>
      </c>
      <c r="H25376" s="5">
        <v>100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98.9</v>
      </c>
      <c r="D25377" s="5">
        <v>0.1</v>
      </c>
      <c r="E25377" s="5">
        <v>99.1</v>
      </c>
      <c r="F25377" s="5">
        <v>197.8</v>
      </c>
      <c r="G25377" s="5">
        <v>98.7</v>
      </c>
      <c r="H25377" s="5">
        <v>98.6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98.9</v>
      </c>
      <c r="D25378" s="5">
        <v>0.1</v>
      </c>
      <c r="E25378" s="5">
        <v>99.1</v>
      </c>
      <c r="F25378" s="5">
        <v>197.8</v>
      </c>
      <c r="G25378" s="5">
        <v>98.7</v>
      </c>
      <c r="H25378" s="5">
        <v>98.6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98.9</v>
      </c>
      <c r="D25379" s="5">
        <v>0.1</v>
      </c>
      <c r="E25379" s="5">
        <v>99.1</v>
      </c>
      <c r="F25379" s="5">
        <v>197.8</v>
      </c>
      <c r="G25379" s="5">
        <v>98.7</v>
      </c>
      <c r="H25379" s="5">
        <v>98.6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98.4</v>
      </c>
      <c r="D25380" s="5">
        <v>0.1</v>
      </c>
      <c r="E25380" s="5">
        <v>98.6</v>
      </c>
      <c r="F25380" s="5">
        <v>197.8</v>
      </c>
      <c r="G25380" s="5">
        <v>98.7</v>
      </c>
      <c r="H25380" s="5">
        <v>98.5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98.4</v>
      </c>
      <c r="D25381" s="5">
        <v>0.1</v>
      </c>
      <c r="E25381" s="5">
        <v>98.6</v>
      </c>
      <c r="F25381" s="5">
        <v>197.8</v>
      </c>
      <c r="G25381" s="5">
        <v>98.7</v>
      </c>
      <c r="H25381" s="5">
        <v>98.5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99.1</v>
      </c>
      <c r="D25382" s="5">
        <v>0.1</v>
      </c>
      <c r="E25382" s="5">
        <v>99.2</v>
      </c>
      <c r="F25382" s="5">
        <v>198.4</v>
      </c>
      <c r="G25382" s="5">
        <v>99</v>
      </c>
      <c r="H25382" s="5">
        <v>98.8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99.1</v>
      </c>
      <c r="D25383" s="5">
        <v>0.1</v>
      </c>
      <c r="E25383" s="5">
        <v>99.2</v>
      </c>
      <c r="F25383" s="5">
        <v>198.4</v>
      </c>
      <c r="G25383" s="5">
        <v>99</v>
      </c>
      <c r="H25383" s="5">
        <v>98.8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99.8</v>
      </c>
      <c r="D25384" s="5">
        <v>0.1</v>
      </c>
      <c r="E25384" s="5">
        <v>99.9</v>
      </c>
      <c r="F25384" s="5">
        <v>198.2</v>
      </c>
      <c r="G25384" s="5">
        <v>98.9</v>
      </c>
      <c r="H25384" s="5">
        <v>98.8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99.8</v>
      </c>
      <c r="D25385" s="5">
        <v>0.1</v>
      </c>
      <c r="E25385" s="5">
        <v>99.9</v>
      </c>
      <c r="F25385" s="5">
        <v>198.2</v>
      </c>
      <c r="G25385" s="5">
        <v>98.9</v>
      </c>
      <c r="H25385" s="5">
        <v>98.8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98.2</v>
      </c>
      <c r="D25386" s="5">
        <v>0.1</v>
      </c>
      <c r="E25386" s="5">
        <v>98.3</v>
      </c>
      <c r="F25386" s="5">
        <v>198.1</v>
      </c>
      <c r="G25386" s="5">
        <v>98.8</v>
      </c>
      <c r="H25386" s="5">
        <v>98.6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98.2</v>
      </c>
      <c r="D25387" s="5">
        <v>0.1</v>
      </c>
      <c r="E25387" s="5">
        <v>98.3</v>
      </c>
      <c r="F25387" s="5">
        <v>198.1</v>
      </c>
      <c r="G25387" s="5">
        <v>98.8</v>
      </c>
      <c r="H25387" s="5">
        <v>98.6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98.2</v>
      </c>
      <c r="D25388" s="5">
        <v>0.1</v>
      </c>
      <c r="E25388" s="5">
        <v>98.3</v>
      </c>
      <c r="F25388" s="5">
        <v>198.1</v>
      </c>
      <c r="G25388" s="5">
        <v>98.8</v>
      </c>
      <c r="H25388" s="5">
        <v>98.6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98.2</v>
      </c>
      <c r="D25389" s="5">
        <v>0.1</v>
      </c>
      <c r="E25389" s="5">
        <v>98.3</v>
      </c>
      <c r="F25389" s="5">
        <v>198.1</v>
      </c>
      <c r="G25389" s="5">
        <v>98.8</v>
      </c>
      <c r="H25389" s="5">
        <v>98.6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102.5</v>
      </c>
      <c r="D25390" s="5">
        <v>0.1</v>
      </c>
      <c r="E25390" s="5">
        <v>102.6</v>
      </c>
      <c r="F25390" s="5">
        <v>204.7</v>
      </c>
      <c r="G25390" s="5">
        <v>102.1</v>
      </c>
      <c r="H25390" s="5">
        <v>101.9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102.5</v>
      </c>
      <c r="D25391" s="5">
        <v>0.1</v>
      </c>
      <c r="E25391" s="5">
        <v>102.6</v>
      </c>
      <c r="F25391" s="5">
        <v>204.7</v>
      </c>
      <c r="G25391" s="5">
        <v>102.1</v>
      </c>
      <c r="H25391" s="5">
        <v>101.9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103.8</v>
      </c>
      <c r="D25392" s="5">
        <v>0.1</v>
      </c>
      <c r="E25392" s="5">
        <v>104</v>
      </c>
      <c r="F25392" s="5">
        <v>207.5</v>
      </c>
      <c r="G25392" s="5">
        <v>103.6</v>
      </c>
      <c r="H25392" s="5">
        <v>103.4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103.8</v>
      </c>
      <c r="D25393" s="5">
        <v>0.1</v>
      </c>
      <c r="E25393" s="5">
        <v>104</v>
      </c>
      <c r="F25393" s="5">
        <v>207.5</v>
      </c>
      <c r="G25393" s="5">
        <v>103.6</v>
      </c>
      <c r="H25393" s="5">
        <v>103.4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104</v>
      </c>
      <c r="D25394" s="5">
        <v>0.1</v>
      </c>
      <c r="E25394" s="5">
        <v>104.1</v>
      </c>
      <c r="F25394" s="5">
        <v>208.2</v>
      </c>
      <c r="G25394" s="5">
        <v>103.9</v>
      </c>
      <c r="H25394" s="5">
        <v>103.6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104</v>
      </c>
      <c r="D25395" s="5">
        <v>0.1</v>
      </c>
      <c r="E25395" s="5">
        <v>104.1</v>
      </c>
      <c r="F25395" s="5">
        <v>208.2</v>
      </c>
      <c r="G25395" s="5">
        <v>103.9</v>
      </c>
      <c r="H25395" s="5">
        <v>103.6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99.9</v>
      </c>
      <c r="D25396" s="5">
        <v>0.1</v>
      </c>
      <c r="E25396" s="5">
        <v>100.1</v>
      </c>
      <c r="F25396" s="5">
        <v>197.1</v>
      </c>
      <c r="G25396" s="5">
        <v>98.6</v>
      </c>
      <c r="H25396" s="5">
        <v>98.7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99.9</v>
      </c>
      <c r="D25397" s="5">
        <v>0.1</v>
      </c>
      <c r="E25397" s="5">
        <v>100.1</v>
      </c>
      <c r="F25397" s="5">
        <v>197.1</v>
      </c>
      <c r="G25397" s="5">
        <v>98.6</v>
      </c>
      <c r="H25397" s="5">
        <v>98.7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99.9</v>
      </c>
      <c r="D25398" s="5">
        <v>0.1</v>
      </c>
      <c r="E25398" s="5">
        <v>100.1</v>
      </c>
      <c r="F25398" s="5">
        <v>197.1</v>
      </c>
      <c r="G25398" s="5">
        <v>98.6</v>
      </c>
      <c r="H25398" s="5">
        <v>98.7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99.9</v>
      </c>
      <c r="D25399" s="5">
        <v>0.1</v>
      </c>
      <c r="E25399" s="5">
        <v>100.1</v>
      </c>
      <c r="F25399" s="5">
        <v>197.1</v>
      </c>
      <c r="G25399" s="5">
        <v>98.6</v>
      </c>
      <c r="H25399" s="5">
        <v>98.7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98.6</v>
      </c>
      <c r="D25400" s="5">
        <v>0.1</v>
      </c>
      <c r="E25400" s="5">
        <v>98.8</v>
      </c>
      <c r="F25400" s="5">
        <v>197.6</v>
      </c>
      <c r="G25400" s="5">
        <v>98.6</v>
      </c>
      <c r="H25400" s="5">
        <v>98.5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98.6</v>
      </c>
      <c r="D25401" s="5">
        <v>0.1</v>
      </c>
      <c r="E25401" s="5">
        <v>98.8</v>
      </c>
      <c r="F25401" s="5">
        <v>197.6</v>
      </c>
      <c r="G25401" s="5">
        <v>98.6</v>
      </c>
      <c r="H25401" s="5">
        <v>98.5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99.5</v>
      </c>
      <c r="D25402" s="5">
        <v>0.1</v>
      </c>
      <c r="E25402" s="5">
        <v>99.7</v>
      </c>
      <c r="F25402" s="5">
        <v>197.5</v>
      </c>
      <c r="G25402" s="5">
        <v>98.6</v>
      </c>
      <c r="H25402" s="5">
        <v>98.5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99.5</v>
      </c>
      <c r="D25403" s="5">
        <v>0.1</v>
      </c>
      <c r="E25403" s="5">
        <v>99.7</v>
      </c>
      <c r="F25403" s="5">
        <v>197.5</v>
      </c>
      <c r="G25403" s="5">
        <v>98.6</v>
      </c>
      <c r="H25403" s="5">
        <v>98.5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98.3</v>
      </c>
      <c r="D25404" s="5">
        <v>0.1</v>
      </c>
      <c r="E25404" s="5">
        <v>98.4</v>
      </c>
      <c r="F25404" s="5">
        <v>198.8</v>
      </c>
      <c r="G25404" s="5">
        <v>99</v>
      </c>
      <c r="H25404" s="5">
        <v>98.7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98.3</v>
      </c>
      <c r="D25405" s="5">
        <v>0.1</v>
      </c>
      <c r="E25405" s="5">
        <v>98.4</v>
      </c>
      <c r="F25405" s="5">
        <v>198.8</v>
      </c>
      <c r="G25405" s="5">
        <v>99</v>
      </c>
      <c r="H25405" s="5">
        <v>98.7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99.2</v>
      </c>
      <c r="D25406" s="5">
        <v>0.1</v>
      </c>
      <c r="E25406" s="5">
        <v>99.3</v>
      </c>
      <c r="F25406" s="5">
        <v>198</v>
      </c>
      <c r="G25406" s="5">
        <v>98.8</v>
      </c>
      <c r="H25406" s="5">
        <v>98.7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99.2</v>
      </c>
      <c r="D25407" s="5">
        <v>0.1</v>
      </c>
      <c r="E25407" s="5">
        <v>99.3</v>
      </c>
      <c r="F25407" s="5">
        <v>198</v>
      </c>
      <c r="G25407" s="5">
        <v>98.8</v>
      </c>
      <c r="H25407" s="5">
        <v>98.6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99.2</v>
      </c>
      <c r="D25408" s="5">
        <v>0.1</v>
      </c>
      <c r="E25408" s="5">
        <v>99.3</v>
      </c>
      <c r="F25408" s="5">
        <v>198</v>
      </c>
      <c r="G25408" s="5">
        <v>98.8</v>
      </c>
      <c r="H25408" s="5">
        <v>98.6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99.2</v>
      </c>
      <c r="D25409" s="5">
        <v>0.1</v>
      </c>
      <c r="E25409" s="5">
        <v>99.3</v>
      </c>
      <c r="F25409" s="5">
        <v>198</v>
      </c>
      <c r="G25409" s="5">
        <v>98.8</v>
      </c>
      <c r="H25409" s="5">
        <v>98.6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98.9</v>
      </c>
      <c r="D25410" s="5">
        <v>0.1</v>
      </c>
      <c r="E25410" s="5">
        <v>99</v>
      </c>
      <c r="F25410" s="5">
        <v>197.9</v>
      </c>
      <c r="G25410" s="5">
        <v>98.7</v>
      </c>
      <c r="H25410" s="5">
        <v>98.6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98.9</v>
      </c>
      <c r="D25411" s="5">
        <v>0.1</v>
      </c>
      <c r="E25411" s="5">
        <v>99</v>
      </c>
      <c r="F25411" s="5">
        <v>197.9</v>
      </c>
      <c r="G25411" s="5">
        <v>98.7</v>
      </c>
      <c r="H25411" s="5">
        <v>98.6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99.9</v>
      </c>
      <c r="D25412" s="5">
        <v>0.1</v>
      </c>
      <c r="E25412" s="5">
        <v>100</v>
      </c>
      <c r="F25412" s="5">
        <v>200.1</v>
      </c>
      <c r="G25412" s="5">
        <v>100.1</v>
      </c>
      <c r="H25412" s="5">
        <v>100.3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99.9</v>
      </c>
      <c r="D25413" s="5">
        <v>0.1</v>
      </c>
      <c r="E25413" s="5">
        <v>100</v>
      </c>
      <c r="F25413" s="5">
        <v>200.1</v>
      </c>
      <c r="G25413" s="5">
        <v>100.1</v>
      </c>
      <c r="H25413" s="5">
        <v>100.3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104.7</v>
      </c>
      <c r="D25414" s="5">
        <v>0.1</v>
      </c>
      <c r="E25414" s="5">
        <v>104.9</v>
      </c>
      <c r="F25414" s="5">
        <v>208.9</v>
      </c>
      <c r="G25414" s="5">
        <v>104.2</v>
      </c>
      <c r="H25414" s="5">
        <v>104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104.7</v>
      </c>
      <c r="D25415" s="5">
        <v>0.1</v>
      </c>
      <c r="E25415" s="5">
        <v>104.9</v>
      </c>
      <c r="F25415" s="5">
        <v>208.9</v>
      </c>
      <c r="G25415" s="5">
        <v>104.2</v>
      </c>
      <c r="H25415" s="5">
        <v>104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98.7</v>
      </c>
      <c r="D25416" s="5">
        <v>0.1</v>
      </c>
      <c r="E25416" s="5">
        <v>98.8</v>
      </c>
      <c r="F25416" s="5">
        <v>197.1</v>
      </c>
      <c r="G25416" s="5">
        <v>98.4</v>
      </c>
      <c r="H25416" s="5">
        <v>98.3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98.7</v>
      </c>
      <c r="D25417" s="5">
        <v>0.1</v>
      </c>
      <c r="E25417" s="5">
        <v>98.8</v>
      </c>
      <c r="F25417" s="5">
        <v>197.1</v>
      </c>
      <c r="G25417" s="5">
        <v>98.4</v>
      </c>
      <c r="H25417" s="5">
        <v>98.3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98.7</v>
      </c>
      <c r="D25418" s="5">
        <v>0.1</v>
      </c>
      <c r="E25418" s="5">
        <v>98.8</v>
      </c>
      <c r="F25418" s="5">
        <v>197.1</v>
      </c>
      <c r="G25418" s="5">
        <v>98.4</v>
      </c>
      <c r="H25418" s="5">
        <v>98.3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98.7</v>
      </c>
      <c r="D25419" s="5">
        <v>0.1</v>
      </c>
      <c r="E25419" s="5">
        <v>98.8</v>
      </c>
      <c r="F25419" s="5">
        <v>197.1</v>
      </c>
      <c r="G25419" s="5">
        <v>98.4</v>
      </c>
      <c r="H25419" s="5">
        <v>98.3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98.3</v>
      </c>
      <c r="D25420" s="5">
        <v>0.1</v>
      </c>
      <c r="E25420" s="5">
        <v>98.5</v>
      </c>
      <c r="F25420" s="5">
        <v>196.8</v>
      </c>
      <c r="G25420" s="5">
        <v>98.2</v>
      </c>
      <c r="H25420" s="5">
        <v>98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98.3</v>
      </c>
      <c r="D25421" s="5">
        <v>0.1</v>
      </c>
      <c r="E25421" s="5">
        <v>98.5</v>
      </c>
      <c r="F25421" s="5">
        <v>196.8</v>
      </c>
      <c r="G25421" s="5">
        <v>98.2</v>
      </c>
      <c r="H25421" s="5">
        <v>98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99.5</v>
      </c>
      <c r="D25422" s="5">
        <v>0.1</v>
      </c>
      <c r="E25422" s="5">
        <v>99.7</v>
      </c>
      <c r="F25422" s="5">
        <v>198.7</v>
      </c>
      <c r="G25422" s="5">
        <v>99.1</v>
      </c>
      <c r="H25422" s="5">
        <v>99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99.5</v>
      </c>
      <c r="D25423" s="5">
        <v>0.1</v>
      </c>
      <c r="E25423" s="5">
        <v>99.7</v>
      </c>
      <c r="F25423" s="5">
        <v>198.7</v>
      </c>
      <c r="G25423" s="5">
        <v>99.1</v>
      </c>
      <c r="H25423" s="5">
        <v>99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98.2</v>
      </c>
      <c r="D25424" s="5">
        <v>0.1</v>
      </c>
      <c r="E25424" s="5">
        <v>98.3</v>
      </c>
      <c r="F25424" s="5">
        <v>195.4</v>
      </c>
      <c r="G25424" s="5">
        <v>97.5</v>
      </c>
      <c r="H25424" s="5">
        <v>97.5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98.2</v>
      </c>
      <c r="D25425" s="5">
        <v>0.1</v>
      </c>
      <c r="E25425" s="5">
        <v>98.3</v>
      </c>
      <c r="F25425" s="5">
        <v>195.4</v>
      </c>
      <c r="G25425" s="5">
        <v>97.5</v>
      </c>
      <c r="H25425" s="5">
        <v>97.5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98.9</v>
      </c>
      <c r="D25426" s="5">
        <v>0.1</v>
      </c>
      <c r="E25426" s="5">
        <v>99</v>
      </c>
      <c r="F25426" s="5">
        <v>196.7</v>
      </c>
      <c r="G25426" s="5">
        <v>98.2</v>
      </c>
      <c r="H25426" s="5">
        <v>98.1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98.9</v>
      </c>
      <c r="D25427" s="5">
        <v>0.1</v>
      </c>
      <c r="E25427" s="5">
        <v>99</v>
      </c>
      <c r="F25427" s="5">
        <v>196.7</v>
      </c>
      <c r="G25427" s="5">
        <v>98.2</v>
      </c>
      <c r="H25427" s="5">
        <v>98.1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98.9</v>
      </c>
      <c r="D25428" s="5">
        <v>0.1</v>
      </c>
      <c r="E25428" s="5">
        <v>99</v>
      </c>
      <c r="F25428" s="5">
        <v>196.7</v>
      </c>
      <c r="G25428" s="5">
        <v>98.2</v>
      </c>
      <c r="H25428" s="5">
        <v>98.1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98.9</v>
      </c>
      <c r="D25429" s="5">
        <v>0.1</v>
      </c>
      <c r="E25429" s="5">
        <v>99</v>
      </c>
      <c r="F25429" s="5">
        <v>196.7</v>
      </c>
      <c r="G25429" s="5">
        <v>98.2</v>
      </c>
      <c r="H25429" s="5">
        <v>98.1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99.5</v>
      </c>
      <c r="D25430" s="5">
        <v>0.1</v>
      </c>
      <c r="E25430" s="5">
        <v>99.7</v>
      </c>
      <c r="F25430" s="5">
        <v>199</v>
      </c>
      <c r="G25430" s="5">
        <v>99.1</v>
      </c>
      <c r="H25430" s="5">
        <v>98.8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99.5</v>
      </c>
      <c r="D25431" s="5">
        <v>0.1</v>
      </c>
      <c r="E25431" s="5">
        <v>99.7</v>
      </c>
      <c r="F25431" s="5">
        <v>199</v>
      </c>
      <c r="G25431" s="5">
        <v>99.1</v>
      </c>
      <c r="H25431" s="5">
        <v>98.8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98.9</v>
      </c>
      <c r="D25432" s="5">
        <v>0.1</v>
      </c>
      <c r="E25432" s="5">
        <v>99</v>
      </c>
      <c r="F25432" s="5">
        <v>198</v>
      </c>
      <c r="G25432" s="5">
        <v>98.8</v>
      </c>
      <c r="H25432" s="5">
        <v>98.6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98.9</v>
      </c>
      <c r="D25433" s="5">
        <v>0.1</v>
      </c>
      <c r="E25433" s="5">
        <v>99</v>
      </c>
      <c r="F25433" s="5">
        <v>198</v>
      </c>
      <c r="G25433" s="5">
        <v>98.8</v>
      </c>
      <c r="H25433" s="5">
        <v>98.6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97.2</v>
      </c>
      <c r="D25434" s="5">
        <v>0.1</v>
      </c>
      <c r="E25434" s="5">
        <v>97.3</v>
      </c>
      <c r="F25434" s="5">
        <v>195</v>
      </c>
      <c r="G25434" s="5">
        <v>97.3</v>
      </c>
      <c r="H25434" s="5">
        <v>97.2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97.2</v>
      </c>
      <c r="D25435" s="5">
        <v>0.1</v>
      </c>
      <c r="E25435" s="5">
        <v>97.3</v>
      </c>
      <c r="F25435" s="5">
        <v>195</v>
      </c>
      <c r="G25435" s="5">
        <v>97.3</v>
      </c>
      <c r="H25435" s="5">
        <v>97.2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98.7</v>
      </c>
      <c r="D25436" s="5">
        <v>0.1</v>
      </c>
      <c r="E25436" s="5">
        <v>98.9</v>
      </c>
      <c r="F25436" s="5">
        <v>197</v>
      </c>
      <c r="G25436" s="5">
        <v>98.3</v>
      </c>
      <c r="H25436" s="5">
        <v>98.2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98.7</v>
      </c>
      <c r="D25437" s="5">
        <v>0.1</v>
      </c>
      <c r="E25437" s="5">
        <v>98.9</v>
      </c>
      <c r="F25437" s="5">
        <v>197</v>
      </c>
      <c r="G25437" s="5">
        <v>98.3</v>
      </c>
      <c r="H25437" s="5">
        <v>98.2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98.7</v>
      </c>
      <c r="D25438" s="5">
        <v>0.1</v>
      </c>
      <c r="E25438" s="5">
        <v>98.9</v>
      </c>
      <c r="F25438" s="5">
        <v>197</v>
      </c>
      <c r="G25438" s="5">
        <v>98.3</v>
      </c>
      <c r="H25438" s="5">
        <v>98.2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98.7</v>
      </c>
      <c r="D25439" s="5">
        <v>0.1</v>
      </c>
      <c r="E25439" s="5">
        <v>98.9</v>
      </c>
      <c r="F25439" s="5">
        <v>197</v>
      </c>
      <c r="G25439" s="5">
        <v>98.3</v>
      </c>
      <c r="H25439" s="5">
        <v>98.2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99.3</v>
      </c>
      <c r="D25440" s="5">
        <v>0.1</v>
      </c>
      <c r="E25440" s="5">
        <v>99.5</v>
      </c>
      <c r="F25440" s="5">
        <v>198.1</v>
      </c>
      <c r="G25440" s="5">
        <v>98.8</v>
      </c>
      <c r="H25440" s="5">
        <v>98.7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99.3</v>
      </c>
      <c r="D25441" s="5">
        <v>0.1</v>
      </c>
      <c r="E25441" s="5">
        <v>99.5</v>
      </c>
      <c r="F25441" s="5">
        <v>198.1</v>
      </c>
      <c r="G25441" s="5">
        <v>98.8</v>
      </c>
      <c r="H25441" s="5">
        <v>98.7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99.2</v>
      </c>
      <c r="D25442" s="5">
        <v>0.1</v>
      </c>
      <c r="E25442" s="5">
        <v>99.4</v>
      </c>
      <c r="F25442" s="5">
        <v>197.9</v>
      </c>
      <c r="G25442" s="5">
        <v>98.8</v>
      </c>
      <c r="H25442" s="5">
        <v>98.7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99.2</v>
      </c>
      <c r="D25443" s="5">
        <v>0.1</v>
      </c>
      <c r="E25443" s="5">
        <v>99.4</v>
      </c>
      <c r="F25443" s="5">
        <v>197.9</v>
      </c>
      <c r="G25443" s="5">
        <v>98.8</v>
      </c>
      <c r="H25443" s="5">
        <v>98.7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99.2</v>
      </c>
      <c r="D25444" s="5">
        <v>0.1</v>
      </c>
      <c r="E25444" s="5">
        <v>99.3</v>
      </c>
      <c r="F25444" s="5">
        <v>195.9</v>
      </c>
      <c r="G25444" s="5">
        <v>97.8</v>
      </c>
      <c r="H25444" s="5">
        <v>97.7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99.2</v>
      </c>
      <c r="D25445" s="5">
        <v>0.1</v>
      </c>
      <c r="E25445" s="5">
        <v>99.3</v>
      </c>
      <c r="F25445" s="5">
        <v>195.9</v>
      </c>
      <c r="G25445" s="5">
        <v>97.8</v>
      </c>
      <c r="H25445" s="5">
        <v>97.7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99.6</v>
      </c>
      <c r="D25446" s="5">
        <v>0.1</v>
      </c>
      <c r="E25446" s="5">
        <v>99.8</v>
      </c>
      <c r="F25446" s="5">
        <v>199.4</v>
      </c>
      <c r="G25446" s="5">
        <v>99.5</v>
      </c>
      <c r="H25446" s="5">
        <v>99.4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99.6</v>
      </c>
      <c r="D25447" s="5">
        <v>0.1</v>
      </c>
      <c r="E25447" s="5">
        <v>99.8</v>
      </c>
      <c r="F25447" s="5">
        <v>199.4</v>
      </c>
      <c r="G25447" s="5">
        <v>99.5</v>
      </c>
      <c r="H25447" s="5">
        <v>99.4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99.6</v>
      </c>
      <c r="D25448" s="5">
        <v>0.1</v>
      </c>
      <c r="E25448" s="5">
        <v>99.8</v>
      </c>
      <c r="F25448" s="5">
        <v>199.4</v>
      </c>
      <c r="G25448" s="5">
        <v>99.5</v>
      </c>
      <c r="H25448" s="5">
        <v>99.4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99.6</v>
      </c>
      <c r="D25449" s="5">
        <v>0.1</v>
      </c>
      <c r="E25449" s="5">
        <v>99.8</v>
      </c>
      <c r="F25449" s="5">
        <v>199.4</v>
      </c>
      <c r="G25449" s="5">
        <v>99.5</v>
      </c>
      <c r="H25449" s="5">
        <v>99.4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98</v>
      </c>
      <c r="D25450" s="5">
        <v>0.1</v>
      </c>
      <c r="E25450" s="5">
        <v>98.1</v>
      </c>
      <c r="F25450" s="5">
        <v>195.5</v>
      </c>
      <c r="G25450" s="5">
        <v>97.6</v>
      </c>
      <c r="H25450" s="5">
        <v>97.5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98</v>
      </c>
      <c r="D25451" s="5">
        <v>0.1</v>
      </c>
      <c r="E25451" s="5">
        <v>98.1</v>
      </c>
      <c r="F25451" s="5">
        <v>195.5</v>
      </c>
      <c r="G25451" s="5">
        <v>97.6</v>
      </c>
      <c r="H25451" s="5">
        <v>97.5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96</v>
      </c>
      <c r="D25452" s="5">
        <v>0.1</v>
      </c>
      <c r="E25452" s="5">
        <v>96.2</v>
      </c>
      <c r="F25452" s="5">
        <v>194.6</v>
      </c>
      <c r="G25452" s="5">
        <v>97.1</v>
      </c>
      <c r="H25452" s="5">
        <v>97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96</v>
      </c>
      <c r="D25453" s="5">
        <v>0.1</v>
      </c>
      <c r="E25453" s="5">
        <v>96.2</v>
      </c>
      <c r="F25453" s="5">
        <v>194.6</v>
      </c>
      <c r="G25453" s="5">
        <v>97.1</v>
      </c>
      <c r="H25453" s="5">
        <v>97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98.9</v>
      </c>
      <c r="D25454" s="5">
        <v>0.1</v>
      </c>
      <c r="E25454" s="5">
        <v>99</v>
      </c>
      <c r="F25454" s="5">
        <v>197.4</v>
      </c>
      <c r="G25454" s="5">
        <v>98.5</v>
      </c>
      <c r="H25454" s="5">
        <v>98.4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98.9</v>
      </c>
      <c r="D25455" s="5">
        <v>0.1</v>
      </c>
      <c r="E25455" s="5">
        <v>99</v>
      </c>
      <c r="F25455" s="5">
        <v>197.4</v>
      </c>
      <c r="G25455" s="5">
        <v>98.5</v>
      </c>
      <c r="H25455" s="5">
        <v>98.4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103.2</v>
      </c>
      <c r="D25456" s="5">
        <v>0.1</v>
      </c>
      <c r="E25456" s="5">
        <v>103.4</v>
      </c>
      <c r="F25456" s="5">
        <v>204.2</v>
      </c>
      <c r="G25456" s="5">
        <v>102.2</v>
      </c>
      <c r="H25456" s="5">
        <v>102.2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103.2</v>
      </c>
      <c r="D25457" s="5">
        <v>0.1</v>
      </c>
      <c r="E25457" s="5">
        <v>103.4</v>
      </c>
      <c r="F25457" s="5">
        <v>204.2</v>
      </c>
      <c r="G25457" s="5">
        <v>102.2</v>
      </c>
      <c r="H25457" s="5">
        <v>102.2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103.2</v>
      </c>
      <c r="D25458" s="5">
        <v>0.1</v>
      </c>
      <c r="E25458" s="5">
        <v>103.4</v>
      </c>
      <c r="F25458" s="5">
        <v>204.2</v>
      </c>
      <c r="G25458" s="5">
        <v>102.2</v>
      </c>
      <c r="H25458" s="5">
        <v>102.2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103.2</v>
      </c>
      <c r="D25459" s="5">
        <v>0.1</v>
      </c>
      <c r="E25459" s="5">
        <v>103.4</v>
      </c>
      <c r="F25459" s="5">
        <v>204.2</v>
      </c>
      <c r="G25459" s="5">
        <v>102.2</v>
      </c>
      <c r="H25459" s="5">
        <v>102.2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104</v>
      </c>
      <c r="D25460" s="5">
        <v>0.1</v>
      </c>
      <c r="E25460" s="5">
        <v>104.1</v>
      </c>
      <c r="F25460" s="5">
        <v>207.1</v>
      </c>
      <c r="G25460" s="5">
        <v>103.4</v>
      </c>
      <c r="H25460" s="5">
        <v>103.2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104</v>
      </c>
      <c r="D25461" s="5">
        <v>0.1</v>
      </c>
      <c r="E25461" s="5">
        <v>104.1</v>
      </c>
      <c r="F25461" s="5">
        <v>207.1</v>
      </c>
      <c r="G25461" s="5">
        <v>103.4</v>
      </c>
      <c r="H25461" s="5">
        <v>103.2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103.7</v>
      </c>
      <c r="D25462" s="5">
        <v>0.1</v>
      </c>
      <c r="E25462" s="5">
        <v>103.9</v>
      </c>
      <c r="F25462" s="5">
        <v>206.9</v>
      </c>
      <c r="G25462" s="5">
        <v>103.2</v>
      </c>
      <c r="H25462" s="5">
        <v>103.1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103.7</v>
      </c>
      <c r="D25463" s="5">
        <v>0.1</v>
      </c>
      <c r="E25463" s="5">
        <v>103.9</v>
      </c>
      <c r="F25463" s="5">
        <v>206.9</v>
      </c>
      <c r="G25463" s="5">
        <v>103.2</v>
      </c>
      <c r="H25463" s="5">
        <v>103.1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104.7</v>
      </c>
      <c r="D25464" s="5">
        <v>0.1</v>
      </c>
      <c r="E25464" s="5">
        <v>104.9</v>
      </c>
      <c r="F25464" s="5">
        <v>208.9</v>
      </c>
      <c r="G25464" s="5">
        <v>104.4</v>
      </c>
      <c r="H25464" s="5">
        <v>104.2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104.7</v>
      </c>
      <c r="D25465" s="5">
        <v>0.1</v>
      </c>
      <c r="E25465" s="5">
        <v>104.9</v>
      </c>
      <c r="F25465" s="5">
        <v>208.9</v>
      </c>
      <c r="G25465" s="5">
        <v>104.4</v>
      </c>
      <c r="H25465" s="5">
        <v>104.2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104.6</v>
      </c>
      <c r="D25466" s="5">
        <v>0.1</v>
      </c>
      <c r="E25466" s="5">
        <v>104.7</v>
      </c>
      <c r="F25466" s="5">
        <v>208.8</v>
      </c>
      <c r="G25466" s="5">
        <v>104.1</v>
      </c>
      <c r="H25466" s="5">
        <v>103.9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104.6</v>
      </c>
      <c r="D25467" s="5">
        <v>0.1</v>
      </c>
      <c r="E25467" s="5">
        <v>104.7</v>
      </c>
      <c r="F25467" s="5">
        <v>208.8</v>
      </c>
      <c r="G25467" s="5">
        <v>104.1</v>
      </c>
      <c r="H25467" s="5">
        <v>103.9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104.6</v>
      </c>
      <c r="D25468" s="5">
        <v>0.1</v>
      </c>
      <c r="E25468" s="5">
        <v>104.7</v>
      </c>
      <c r="F25468" s="5">
        <v>208.8</v>
      </c>
      <c r="G25468" s="5">
        <v>104.1</v>
      </c>
      <c r="H25468" s="5">
        <v>103.9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104.6</v>
      </c>
      <c r="D25469" s="5">
        <v>0.1</v>
      </c>
      <c r="E25469" s="5">
        <v>104.7</v>
      </c>
      <c r="F25469" s="5">
        <v>208.8</v>
      </c>
      <c r="G25469" s="5">
        <v>104.1</v>
      </c>
      <c r="H25469" s="5">
        <v>103.9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104.6</v>
      </c>
      <c r="D25470" s="5">
        <v>0.1</v>
      </c>
      <c r="E25470" s="5">
        <v>104.7</v>
      </c>
      <c r="F25470" s="5">
        <v>209.1</v>
      </c>
      <c r="G25470" s="5">
        <v>104.3</v>
      </c>
      <c r="H25470" s="5">
        <v>104.2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104.6</v>
      </c>
      <c r="D25471" s="5">
        <v>0.1</v>
      </c>
      <c r="E25471" s="5">
        <v>104.7</v>
      </c>
      <c r="F25471" s="5">
        <v>209.1</v>
      </c>
      <c r="G25471" s="5">
        <v>104.3</v>
      </c>
      <c r="H25471" s="5">
        <v>104.2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104.2</v>
      </c>
      <c r="D25472" s="5">
        <v>0.1</v>
      </c>
      <c r="E25472" s="5">
        <v>104.3</v>
      </c>
      <c r="F25472" s="5">
        <v>207.7</v>
      </c>
      <c r="G25472" s="5">
        <v>103.6</v>
      </c>
      <c r="H25472" s="5">
        <v>103.4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104.2</v>
      </c>
      <c r="D25473" s="5">
        <v>0.1</v>
      </c>
      <c r="E25473" s="5">
        <v>104.3</v>
      </c>
      <c r="F25473" s="5">
        <v>207.7</v>
      </c>
      <c r="G25473" s="5">
        <v>103.6</v>
      </c>
      <c r="H25473" s="5">
        <v>103.4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103.8</v>
      </c>
      <c r="D25474" s="5">
        <v>0.1</v>
      </c>
      <c r="E25474" s="5">
        <v>104</v>
      </c>
      <c r="F25474" s="5">
        <v>207.4</v>
      </c>
      <c r="G25474" s="5">
        <v>103.5</v>
      </c>
      <c r="H25474" s="5">
        <v>103.3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103.8</v>
      </c>
      <c r="D25475" s="5">
        <v>0.1</v>
      </c>
      <c r="E25475" s="5">
        <v>104</v>
      </c>
      <c r="F25475" s="5">
        <v>207.4</v>
      </c>
      <c r="G25475" s="5">
        <v>103.5</v>
      </c>
      <c r="H25475" s="5">
        <v>103.3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104.6</v>
      </c>
      <c r="D25476" s="5">
        <v>0.1</v>
      </c>
      <c r="E25476" s="5">
        <v>104.7</v>
      </c>
      <c r="F25476" s="5">
        <v>208.7</v>
      </c>
      <c r="G25476" s="5">
        <v>104.2</v>
      </c>
      <c r="H25476" s="5">
        <v>104.1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104.6</v>
      </c>
      <c r="D25477" s="5">
        <v>0.1</v>
      </c>
      <c r="E25477" s="5">
        <v>104.7</v>
      </c>
      <c r="F25477" s="5">
        <v>208.7</v>
      </c>
      <c r="G25477" s="5">
        <v>104.2</v>
      </c>
      <c r="H25477" s="5">
        <v>104.1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104.6</v>
      </c>
      <c r="D25478" s="5">
        <v>0.1</v>
      </c>
      <c r="E25478" s="5">
        <v>104.7</v>
      </c>
      <c r="F25478" s="5">
        <v>208.7</v>
      </c>
      <c r="G25478" s="5">
        <v>104.2</v>
      </c>
      <c r="H25478" s="5">
        <v>104.1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104.6</v>
      </c>
      <c r="D25479" s="5">
        <v>0.1</v>
      </c>
      <c r="E25479" s="5">
        <v>104.7</v>
      </c>
      <c r="F25479" s="5">
        <v>208.7</v>
      </c>
      <c r="G25479" s="5">
        <v>104.2</v>
      </c>
      <c r="H25479" s="5">
        <v>104.1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103.8</v>
      </c>
      <c r="D25480" s="5">
        <v>0.1</v>
      </c>
      <c r="E25480" s="5">
        <v>104</v>
      </c>
      <c r="F25480" s="5">
        <v>207.9</v>
      </c>
      <c r="G25480" s="5">
        <v>103.7</v>
      </c>
      <c r="H25480" s="5">
        <v>103.6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103.8</v>
      </c>
      <c r="D25481" s="5">
        <v>0.1</v>
      </c>
      <c r="E25481" s="5">
        <v>104</v>
      </c>
      <c r="F25481" s="5">
        <v>207.9</v>
      </c>
      <c r="G25481" s="5">
        <v>103.7</v>
      </c>
      <c r="H25481" s="5">
        <v>103.6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103.9</v>
      </c>
      <c r="D25482" s="5">
        <v>0.1</v>
      </c>
      <c r="E25482" s="5">
        <v>104</v>
      </c>
      <c r="F25482" s="5">
        <v>207.9</v>
      </c>
      <c r="G25482" s="5">
        <v>103.8</v>
      </c>
      <c r="H25482" s="5">
        <v>103.6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103.9</v>
      </c>
      <c r="D25483" s="5">
        <v>0.1</v>
      </c>
      <c r="E25483" s="5">
        <v>104</v>
      </c>
      <c r="F25483" s="5">
        <v>207.9</v>
      </c>
      <c r="G25483" s="5">
        <v>103.8</v>
      </c>
      <c r="H25483" s="5">
        <v>103.6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104.3</v>
      </c>
      <c r="D25484" s="5">
        <v>0.1</v>
      </c>
      <c r="E25484" s="5">
        <v>104.4</v>
      </c>
      <c r="F25484" s="5">
        <v>208.1</v>
      </c>
      <c r="G25484" s="5">
        <v>103.8</v>
      </c>
      <c r="H25484" s="5">
        <v>103.7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104.3</v>
      </c>
      <c r="D25485" s="5">
        <v>0.1</v>
      </c>
      <c r="E25485" s="5">
        <v>104.4</v>
      </c>
      <c r="F25485" s="5">
        <v>208.1</v>
      </c>
      <c r="G25485" s="5">
        <v>103.8</v>
      </c>
      <c r="H25485" s="5">
        <v>103.7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104</v>
      </c>
      <c r="D25486" s="5">
        <v>0.1</v>
      </c>
      <c r="E25486" s="5">
        <v>104.1</v>
      </c>
      <c r="F25486" s="5">
        <v>207.9</v>
      </c>
      <c r="G25486" s="5">
        <v>103.7</v>
      </c>
      <c r="H25486" s="5">
        <v>103.6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104</v>
      </c>
      <c r="D25487" s="5">
        <v>0.1</v>
      </c>
      <c r="E25487" s="5">
        <v>104.1</v>
      </c>
      <c r="F25487" s="5">
        <v>207.9</v>
      </c>
      <c r="G25487" s="5">
        <v>103.7</v>
      </c>
      <c r="H25487" s="5">
        <v>103.6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104</v>
      </c>
      <c r="D25488" s="5">
        <v>0.1</v>
      </c>
      <c r="E25488" s="5">
        <v>104.1</v>
      </c>
      <c r="F25488" s="5">
        <v>207.9</v>
      </c>
      <c r="G25488" s="5">
        <v>103.7</v>
      </c>
      <c r="H25488" s="5">
        <v>103.6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104</v>
      </c>
      <c r="D25489" s="5">
        <v>0.1</v>
      </c>
      <c r="E25489" s="5">
        <v>104.1</v>
      </c>
      <c r="F25489" s="5">
        <v>207.9</v>
      </c>
      <c r="G25489" s="5">
        <v>103.7</v>
      </c>
      <c r="H25489" s="5">
        <v>103.6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104.6</v>
      </c>
      <c r="D25490" s="5">
        <v>0.1</v>
      </c>
      <c r="E25490" s="5">
        <v>104.7</v>
      </c>
      <c r="F25490" s="5">
        <v>208</v>
      </c>
      <c r="G25490" s="5">
        <v>103.7</v>
      </c>
      <c r="H25490" s="5">
        <v>103.6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104.6</v>
      </c>
      <c r="D25491" s="5">
        <v>0.1</v>
      </c>
      <c r="E25491" s="5">
        <v>104.7</v>
      </c>
      <c r="F25491" s="5">
        <v>208</v>
      </c>
      <c r="G25491" s="5">
        <v>103.7</v>
      </c>
      <c r="H25491" s="5">
        <v>103.6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104.5</v>
      </c>
      <c r="D25492" s="5">
        <v>0.1</v>
      </c>
      <c r="E25492" s="5">
        <v>104.6</v>
      </c>
      <c r="F25492" s="5">
        <v>207.1</v>
      </c>
      <c r="G25492" s="5">
        <v>103.4</v>
      </c>
      <c r="H25492" s="5">
        <v>103.3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104.5</v>
      </c>
      <c r="D25493" s="5">
        <v>0.1</v>
      </c>
      <c r="E25493" s="5">
        <v>104.6</v>
      </c>
      <c r="F25493" s="5">
        <v>207.1</v>
      </c>
      <c r="G25493" s="5">
        <v>103.4</v>
      </c>
      <c r="H25493" s="5">
        <v>103.3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103.6</v>
      </c>
      <c r="D25494" s="5">
        <v>0.1</v>
      </c>
      <c r="E25494" s="5">
        <v>103.7</v>
      </c>
      <c r="F25494" s="5">
        <v>205.1</v>
      </c>
      <c r="G25494" s="5">
        <v>102.5</v>
      </c>
      <c r="H25494" s="5">
        <v>102.4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103.6</v>
      </c>
      <c r="D25495" s="5">
        <v>0.1</v>
      </c>
      <c r="E25495" s="5">
        <v>103.7</v>
      </c>
      <c r="F25495" s="5">
        <v>205.1</v>
      </c>
      <c r="G25495" s="5">
        <v>102.5</v>
      </c>
      <c r="H25495" s="5">
        <v>102.4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98.6</v>
      </c>
      <c r="D25496" s="5">
        <v>0.1</v>
      </c>
      <c r="E25496" s="5">
        <v>98.8</v>
      </c>
      <c r="F25496" s="5">
        <v>204.2</v>
      </c>
      <c r="G25496" s="5">
        <v>101.5</v>
      </c>
      <c r="H25496" s="5">
        <v>100.8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98.6</v>
      </c>
      <c r="D25497" s="5">
        <v>0.1</v>
      </c>
      <c r="E25497" s="5">
        <v>98.8</v>
      </c>
      <c r="F25497" s="5">
        <v>204.2</v>
      </c>
      <c r="G25497" s="5">
        <v>101.5</v>
      </c>
      <c r="H25497" s="5">
        <v>100.8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98.6</v>
      </c>
      <c r="D25498" s="5">
        <v>0.1</v>
      </c>
      <c r="E25498" s="5">
        <v>98.8</v>
      </c>
      <c r="F25498" s="5">
        <v>204.2</v>
      </c>
      <c r="G25498" s="5">
        <v>101.5</v>
      </c>
      <c r="H25498" s="5">
        <v>100.8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98.6</v>
      </c>
      <c r="D25499" s="5">
        <v>0.1</v>
      </c>
      <c r="E25499" s="5">
        <v>98.8</v>
      </c>
      <c r="F25499" s="5">
        <v>204.2</v>
      </c>
      <c r="G25499" s="5">
        <v>101.5</v>
      </c>
      <c r="H25499" s="5">
        <v>100.8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97.9</v>
      </c>
      <c r="D25500" s="5">
        <v>0</v>
      </c>
      <c r="E25500" s="5">
        <v>98</v>
      </c>
      <c r="F25500" s="5">
        <v>196.3</v>
      </c>
      <c r="G25500" s="5">
        <v>97.9</v>
      </c>
      <c r="H25500" s="5">
        <v>98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97.9</v>
      </c>
      <c r="D25501" s="5">
        <v>0</v>
      </c>
      <c r="E25501" s="5">
        <v>98</v>
      </c>
      <c r="F25501" s="5">
        <v>196.3</v>
      </c>
      <c r="G25501" s="5">
        <v>97.9</v>
      </c>
      <c r="H25501" s="5">
        <v>98.9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99.2</v>
      </c>
      <c r="D25502" s="5">
        <v>0.1</v>
      </c>
      <c r="E25502" s="5">
        <v>99.3</v>
      </c>
      <c r="F25502" s="5">
        <v>197.6</v>
      </c>
      <c r="G25502" s="5">
        <v>98.8</v>
      </c>
      <c r="H25502" s="5">
        <v>98.9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99.2</v>
      </c>
      <c r="D25503" s="5">
        <v>0.1</v>
      </c>
      <c r="E25503" s="5">
        <v>99.3</v>
      </c>
      <c r="F25503" s="5">
        <v>197.6</v>
      </c>
      <c r="G25503" s="5">
        <v>98.8</v>
      </c>
      <c r="H25503" s="5">
        <v>98.9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103.7</v>
      </c>
      <c r="D25504" s="5">
        <v>0.1</v>
      </c>
      <c r="E25504" s="5">
        <v>103.9</v>
      </c>
      <c r="F25504" s="5">
        <v>204.6</v>
      </c>
      <c r="G25504" s="5">
        <v>102.2</v>
      </c>
      <c r="H25504" s="5">
        <v>102.3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103.7</v>
      </c>
      <c r="D25505" s="5">
        <v>0.1</v>
      </c>
      <c r="E25505" s="5">
        <v>103.9</v>
      </c>
      <c r="F25505" s="5">
        <v>204.6</v>
      </c>
      <c r="G25505" s="5">
        <v>102.2</v>
      </c>
      <c r="H25505" s="5">
        <v>102.3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98.8</v>
      </c>
      <c r="D25506" s="5">
        <v>0.1</v>
      </c>
      <c r="E25506" s="5">
        <v>98.9</v>
      </c>
      <c r="F25506" s="5">
        <v>198.8</v>
      </c>
      <c r="G25506" s="5">
        <v>99.1</v>
      </c>
      <c r="H25506" s="5">
        <v>98.9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98.8</v>
      </c>
      <c r="D25507" s="5">
        <v>0.1</v>
      </c>
      <c r="E25507" s="5">
        <v>98.9</v>
      </c>
      <c r="F25507" s="5">
        <v>198.8</v>
      </c>
      <c r="G25507" s="5">
        <v>99.1</v>
      </c>
      <c r="H25507" s="5">
        <v>98.9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98.8</v>
      </c>
      <c r="D25508" s="5">
        <v>0.1</v>
      </c>
      <c r="E25508" s="5">
        <v>98.9</v>
      </c>
      <c r="F25508" s="5">
        <v>198.8</v>
      </c>
      <c r="G25508" s="5">
        <v>99.1</v>
      </c>
      <c r="H25508" s="5">
        <v>98.9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98.6</v>
      </c>
      <c r="D25509" s="5">
        <v>0.1</v>
      </c>
      <c r="E25509" s="5">
        <v>98.7</v>
      </c>
      <c r="F25509" s="5">
        <v>196.1</v>
      </c>
      <c r="G25509" s="5">
        <v>97.9</v>
      </c>
      <c r="H25509" s="5">
        <v>97.8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98.6</v>
      </c>
      <c r="D25510" s="5">
        <v>0.1</v>
      </c>
      <c r="E25510" s="5">
        <v>98.7</v>
      </c>
      <c r="F25510" s="5">
        <v>196.1</v>
      </c>
      <c r="G25510" s="5">
        <v>97.9</v>
      </c>
      <c r="H25510" s="5">
        <v>97.8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101.3</v>
      </c>
      <c r="D25511" s="5">
        <v>0.1</v>
      </c>
      <c r="E25511" s="5">
        <v>101.5</v>
      </c>
      <c r="F25511" s="5">
        <v>198.2</v>
      </c>
      <c r="G25511" s="5">
        <v>99.4</v>
      </c>
      <c r="H25511" s="5">
        <v>99.7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101.3</v>
      </c>
      <c r="D25512" s="5">
        <v>0.1</v>
      </c>
      <c r="E25512" s="5">
        <v>101.5</v>
      </c>
      <c r="F25512" s="5">
        <v>198.2</v>
      </c>
      <c r="G25512" s="5">
        <v>99.4</v>
      </c>
      <c r="H25512" s="5">
        <v>99.7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97.5</v>
      </c>
      <c r="D25513" s="5">
        <v>0.1</v>
      </c>
      <c r="E25513" s="5">
        <v>97.6</v>
      </c>
      <c r="F25513" s="5">
        <v>195.7</v>
      </c>
      <c r="G25513" s="5">
        <v>97.6</v>
      </c>
      <c r="H25513" s="5">
        <v>97.3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97.5</v>
      </c>
      <c r="D25514" s="5">
        <v>0.1</v>
      </c>
      <c r="E25514" s="5">
        <v>97.6</v>
      </c>
      <c r="F25514" s="5">
        <v>195.7</v>
      </c>
      <c r="G25514" s="5">
        <v>97.6</v>
      </c>
      <c r="H25514" s="5">
        <v>97.3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97.5</v>
      </c>
      <c r="D25515" s="5">
        <v>0</v>
      </c>
      <c r="E25515" s="5">
        <v>98.9</v>
      </c>
      <c r="F25515" s="5">
        <v>198.5</v>
      </c>
      <c r="G25515" s="5">
        <v>99</v>
      </c>
      <c r="H25515" s="5">
        <v>98.9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98.9</v>
      </c>
      <c r="D25516" s="5">
        <v>0</v>
      </c>
      <c r="E25516" s="5">
        <v>98.9</v>
      </c>
      <c r="F25516" s="5">
        <v>198.5</v>
      </c>
      <c r="G25516" s="5">
        <v>99</v>
      </c>
      <c r="H25516" s="5">
        <v>98.9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98.9</v>
      </c>
      <c r="D25517" s="5">
        <v>0</v>
      </c>
      <c r="E25517" s="5">
        <v>98.9</v>
      </c>
      <c r="F25517" s="5">
        <v>198.5</v>
      </c>
      <c r="G25517" s="5">
        <v>99</v>
      </c>
      <c r="H25517" s="5">
        <v>98.9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98.9</v>
      </c>
      <c r="D25518" s="5">
        <v>0</v>
      </c>
      <c r="E25518" s="5">
        <v>98.9</v>
      </c>
      <c r="F25518" s="5">
        <v>198.5</v>
      </c>
      <c r="G25518" s="5">
        <v>99</v>
      </c>
      <c r="H25518" s="5">
        <v>98.9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98.9</v>
      </c>
      <c r="D25519" s="5">
        <v>0.1</v>
      </c>
      <c r="E25519" s="5">
        <v>99.1</v>
      </c>
      <c r="F25519" s="5">
        <v>196.7</v>
      </c>
      <c r="G25519" s="5">
        <v>98.5</v>
      </c>
      <c r="H25519" s="5">
        <v>98.8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98.9</v>
      </c>
      <c r="D25520" s="5">
        <v>0.1</v>
      </c>
      <c r="E25520" s="5">
        <v>99.1</v>
      </c>
      <c r="F25520" s="5">
        <v>196.7</v>
      </c>
      <c r="G25520" s="5">
        <v>98.5</v>
      </c>
      <c r="H25520" s="5">
        <v>98.8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96.7</v>
      </c>
      <c r="D25521" s="5">
        <v>0.1</v>
      </c>
      <c r="E25521" s="5">
        <v>96.9</v>
      </c>
      <c r="F25521" s="5">
        <v>192.6</v>
      </c>
      <c r="G25521" s="5">
        <v>96.2</v>
      </c>
      <c r="H25521" s="5">
        <v>96.3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96.7</v>
      </c>
      <c r="D25522" s="5">
        <v>0.1</v>
      </c>
      <c r="E25522" s="5">
        <v>96.9</v>
      </c>
      <c r="F25522" s="5">
        <v>192.6</v>
      </c>
      <c r="G25522" s="5">
        <v>96.2</v>
      </c>
      <c r="H25522" s="5">
        <v>96.3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97.1</v>
      </c>
      <c r="D25523" s="5">
        <v>0.1</v>
      </c>
      <c r="E25523" s="5">
        <v>97.3</v>
      </c>
      <c r="F25523" s="5">
        <v>192.8</v>
      </c>
      <c r="G25523" s="5">
        <v>96.5</v>
      </c>
      <c r="H25523" s="5">
        <v>96.6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97.1</v>
      </c>
      <c r="D25524" s="5">
        <v>0.1</v>
      </c>
      <c r="E25524" s="5">
        <v>97.3</v>
      </c>
      <c r="F25524" s="5">
        <v>192.8</v>
      </c>
      <c r="G25524" s="5">
        <v>96.5</v>
      </c>
      <c r="H25524" s="5">
        <v>96.6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95.8</v>
      </c>
      <c r="D25525" s="5">
        <v>0.1</v>
      </c>
      <c r="E25525" s="5">
        <v>96</v>
      </c>
      <c r="F25525" s="5">
        <v>191.3</v>
      </c>
      <c r="G25525" s="5">
        <v>95.5</v>
      </c>
      <c r="H25525" s="5">
        <v>95.4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95.8</v>
      </c>
      <c r="D25526" s="5">
        <v>0.1</v>
      </c>
      <c r="E25526" s="5">
        <v>96</v>
      </c>
      <c r="F25526" s="5">
        <v>191.3</v>
      </c>
      <c r="G25526" s="5">
        <v>95.5</v>
      </c>
      <c r="H25526" s="5">
        <v>95.4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95.8</v>
      </c>
      <c r="D25527" s="5">
        <v>0.1</v>
      </c>
      <c r="E25527" s="5">
        <v>96</v>
      </c>
      <c r="F25527" s="5">
        <v>191.3</v>
      </c>
      <c r="G25527" s="5">
        <v>95.5</v>
      </c>
      <c r="H25527" s="5">
        <v>95.4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95.8</v>
      </c>
      <c r="D25528" s="5">
        <v>0.1</v>
      </c>
      <c r="E25528" s="5">
        <v>96</v>
      </c>
      <c r="F25528" s="5">
        <v>191.3</v>
      </c>
      <c r="G25528" s="5">
        <v>95.5</v>
      </c>
      <c r="H25528" s="5">
        <v>95.4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96.7</v>
      </c>
      <c r="D25529" s="5">
        <v>0.1</v>
      </c>
      <c r="E25529" s="5">
        <v>96.9</v>
      </c>
      <c r="F25529" s="5">
        <v>191.3</v>
      </c>
      <c r="G25529" s="5">
        <v>95.5</v>
      </c>
      <c r="H25529" s="5">
        <v>95.4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96.7</v>
      </c>
      <c r="D25530" s="5">
        <v>0.1</v>
      </c>
      <c r="E25530" s="5">
        <v>96.9</v>
      </c>
      <c r="F25530" s="5">
        <v>193.4</v>
      </c>
      <c r="G25530" s="5">
        <v>96.5</v>
      </c>
      <c r="H25530" s="5">
        <v>96.4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96.7</v>
      </c>
      <c r="D25531" s="5">
        <v>0.1</v>
      </c>
      <c r="E25531" s="5">
        <v>96.9</v>
      </c>
      <c r="F25531" s="5">
        <v>193.4</v>
      </c>
      <c r="G25531" s="5">
        <v>96.5</v>
      </c>
      <c r="H25531" s="5">
        <v>96.4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96.6</v>
      </c>
      <c r="D25532" s="5">
        <v>0.1</v>
      </c>
      <c r="E25532" s="5">
        <v>96.7</v>
      </c>
      <c r="F25532" s="5">
        <v>195.2</v>
      </c>
      <c r="G25532" s="5">
        <v>97.3</v>
      </c>
      <c r="H25532" s="5">
        <v>97.1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96.6</v>
      </c>
      <c r="D25533" s="5">
        <v>0.1</v>
      </c>
      <c r="E25533" s="5">
        <v>96.7</v>
      </c>
      <c r="F25533" s="5">
        <v>195.2</v>
      </c>
      <c r="G25533" s="5">
        <v>97.3</v>
      </c>
      <c r="H25533" s="5">
        <v>97.1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96.8</v>
      </c>
      <c r="D25534" s="5">
        <v>0.1</v>
      </c>
      <c r="E25534" s="5">
        <v>97</v>
      </c>
      <c r="F25534" s="5">
        <v>195</v>
      </c>
      <c r="G25534" s="5">
        <v>97.2</v>
      </c>
      <c r="H25534" s="5">
        <v>97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96.8</v>
      </c>
      <c r="D25535" s="5">
        <v>0.1</v>
      </c>
      <c r="E25535" s="5">
        <v>97</v>
      </c>
      <c r="F25535" s="5">
        <v>195</v>
      </c>
      <c r="G25535" s="5">
        <v>97.2</v>
      </c>
      <c r="H25535" s="5">
        <v>97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97.6</v>
      </c>
      <c r="D25536" s="5">
        <v>0.1</v>
      </c>
      <c r="E25536" s="5">
        <v>97.7</v>
      </c>
      <c r="F25536" s="5">
        <v>194.1</v>
      </c>
      <c r="G25536" s="5">
        <v>96.9</v>
      </c>
      <c r="H25536" s="5">
        <v>96.8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97.6</v>
      </c>
      <c r="D25537" s="5">
        <v>0.1</v>
      </c>
      <c r="E25537" s="5">
        <v>97.7</v>
      </c>
      <c r="F25537" s="5">
        <v>194.1</v>
      </c>
      <c r="G25537" s="5">
        <v>96.9</v>
      </c>
      <c r="H25537" s="5">
        <v>96.8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97.6</v>
      </c>
      <c r="D25538" s="5">
        <v>0.1</v>
      </c>
      <c r="E25538" s="5">
        <v>97.7</v>
      </c>
      <c r="F25538" s="5">
        <v>194.1</v>
      </c>
      <c r="G25538" s="5">
        <v>96.9</v>
      </c>
      <c r="H25538" s="5">
        <v>96.8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96.6</v>
      </c>
      <c r="D25539" s="5">
        <v>0.1</v>
      </c>
      <c r="E25539" s="5">
        <v>96.7</v>
      </c>
      <c r="F25539" s="5">
        <v>192.8</v>
      </c>
      <c r="G25539" s="5">
        <v>96.3</v>
      </c>
      <c r="H25539" s="5">
        <v>96.2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96.6</v>
      </c>
      <c r="D25540" s="5">
        <v>0.1</v>
      </c>
      <c r="E25540" s="5">
        <v>96.7</v>
      </c>
      <c r="F25540" s="5">
        <v>192.8</v>
      </c>
      <c r="G25540" s="5">
        <v>96.3</v>
      </c>
      <c r="H25540" s="5">
        <v>96.2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96.4</v>
      </c>
      <c r="D25541" s="5">
        <v>0.1</v>
      </c>
      <c r="E25541" s="5">
        <v>96.5</v>
      </c>
      <c r="F25541" s="5">
        <v>192.7</v>
      </c>
      <c r="G25541" s="5">
        <v>96.1</v>
      </c>
      <c r="H25541" s="5">
        <v>96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96.4</v>
      </c>
      <c r="D25542" s="5">
        <v>0.1</v>
      </c>
      <c r="E25542" s="5">
        <v>96.5</v>
      </c>
      <c r="F25542" s="5">
        <v>192.7</v>
      </c>
      <c r="G25542" s="5">
        <v>96.1</v>
      </c>
      <c r="H25542" s="5">
        <v>96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97.6</v>
      </c>
      <c r="D25543" s="5">
        <v>0.1</v>
      </c>
      <c r="E25543" s="5">
        <v>97.7</v>
      </c>
      <c r="F25543" s="5">
        <v>195.3</v>
      </c>
      <c r="G25543" s="5">
        <v>97.4</v>
      </c>
      <c r="H25543" s="5">
        <v>97.3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97.6</v>
      </c>
      <c r="D25544" s="5">
        <v>0.1</v>
      </c>
      <c r="E25544" s="5">
        <v>97.7</v>
      </c>
      <c r="F25544" s="5">
        <v>195.3</v>
      </c>
      <c r="G25544" s="5">
        <v>97.4</v>
      </c>
      <c r="H25544" s="5">
        <v>97.3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97.8</v>
      </c>
      <c r="D25545" s="5">
        <v>0.1</v>
      </c>
      <c r="E25545" s="5">
        <v>97.9</v>
      </c>
      <c r="F25545" s="5">
        <v>195.2</v>
      </c>
      <c r="G25545" s="5">
        <v>97.4</v>
      </c>
      <c r="H25545" s="5">
        <v>97.3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97.8</v>
      </c>
      <c r="D25546" s="5">
        <v>0.1</v>
      </c>
      <c r="E25546" s="5">
        <v>97.9</v>
      </c>
      <c r="F25546" s="5">
        <v>195.2</v>
      </c>
      <c r="G25546" s="5">
        <v>97.4</v>
      </c>
      <c r="H25546" s="5">
        <v>97.3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97.8</v>
      </c>
      <c r="D25547" s="5">
        <v>0.1</v>
      </c>
      <c r="E25547" s="5">
        <v>97.9</v>
      </c>
      <c r="F25547" s="5">
        <v>195.2</v>
      </c>
      <c r="G25547" s="5">
        <v>97.4</v>
      </c>
      <c r="H25547" s="5">
        <v>97.3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97.8</v>
      </c>
      <c r="D25548" s="5">
        <v>0.1</v>
      </c>
      <c r="E25548" s="5">
        <v>97.9</v>
      </c>
      <c r="F25548" s="5">
        <v>195.2</v>
      </c>
      <c r="G25548" s="5">
        <v>97.4</v>
      </c>
      <c r="H25548" s="5">
        <v>97.3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98</v>
      </c>
      <c r="D25549" s="5">
        <v>0.1</v>
      </c>
      <c r="E25549" s="5">
        <v>98.1</v>
      </c>
      <c r="F25549" s="5">
        <v>195.6</v>
      </c>
      <c r="G25549" s="5">
        <v>97.6</v>
      </c>
      <c r="H25549" s="5">
        <v>97.5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98</v>
      </c>
      <c r="D25550" s="5">
        <v>0.1</v>
      </c>
      <c r="E25550" s="5">
        <v>98.1</v>
      </c>
      <c r="F25550" s="5">
        <v>195.6</v>
      </c>
      <c r="G25550" s="5">
        <v>97.6</v>
      </c>
      <c r="H25550" s="5">
        <v>97.5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98.3</v>
      </c>
      <c r="D25551" s="5">
        <v>0.1</v>
      </c>
      <c r="E25551" s="5">
        <v>98.4</v>
      </c>
      <c r="F25551" s="5">
        <v>194.8</v>
      </c>
      <c r="G25551" s="5">
        <v>97.3</v>
      </c>
      <c r="H25551" s="5">
        <v>97.3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98.3</v>
      </c>
      <c r="D25552" s="5">
        <v>0.1</v>
      </c>
      <c r="E25552" s="5">
        <v>98.4</v>
      </c>
      <c r="F25552" s="5">
        <v>194.8</v>
      </c>
      <c r="G25552" s="5">
        <v>97.3</v>
      </c>
      <c r="H25552" s="5">
        <v>97.3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97.3</v>
      </c>
      <c r="D25553" s="5">
        <v>0.1</v>
      </c>
      <c r="E25553" s="5">
        <v>97.4</v>
      </c>
      <c r="F25553" s="5">
        <v>193.6</v>
      </c>
      <c r="G25553" s="5">
        <v>96.6</v>
      </c>
      <c r="H25553" s="5">
        <v>97.3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97.3</v>
      </c>
      <c r="D25554" s="5">
        <v>0.1</v>
      </c>
      <c r="E25554" s="5">
        <v>97.4</v>
      </c>
      <c r="F25554" s="5">
        <v>193.6</v>
      </c>
      <c r="G25554" s="5">
        <v>96.6</v>
      </c>
      <c r="H25554" s="5">
        <v>96.5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98</v>
      </c>
      <c r="D25555" s="5">
        <v>0.1</v>
      </c>
      <c r="E25555" s="5">
        <v>98.1</v>
      </c>
      <c r="F25555" s="5">
        <v>193.6</v>
      </c>
      <c r="G25555" s="5">
        <v>96.6</v>
      </c>
      <c r="H25555" s="5">
        <v>96.5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98</v>
      </c>
      <c r="D25556" s="5">
        <v>0.1</v>
      </c>
      <c r="E25556" s="5">
        <v>98.1</v>
      </c>
      <c r="F25556" s="5">
        <v>194.6</v>
      </c>
      <c r="G25556" s="5">
        <v>97.2</v>
      </c>
      <c r="H25556" s="5">
        <v>97.1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98</v>
      </c>
      <c r="D25557" s="5">
        <v>0.1</v>
      </c>
      <c r="E25557" s="5">
        <v>98.1</v>
      </c>
      <c r="F25557" s="5">
        <v>194.6</v>
      </c>
      <c r="G25557" s="5">
        <v>97.2</v>
      </c>
      <c r="H25557" s="5">
        <v>97.1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98</v>
      </c>
      <c r="D25558" s="5">
        <v>0.1</v>
      </c>
      <c r="E25558" s="5">
        <v>98.1</v>
      </c>
      <c r="F25558" s="5">
        <v>194.6</v>
      </c>
      <c r="G25558" s="5">
        <v>97.2</v>
      </c>
      <c r="H25558" s="5">
        <v>97.1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98</v>
      </c>
      <c r="D25559" s="5">
        <v>0.1</v>
      </c>
      <c r="E25559" s="5">
        <v>98.2</v>
      </c>
      <c r="F25559" s="5">
        <v>195.3</v>
      </c>
      <c r="G25559" s="5">
        <v>97.4</v>
      </c>
      <c r="H25559" s="5">
        <v>97.2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98</v>
      </c>
      <c r="D25560" s="5">
        <v>0.1</v>
      </c>
      <c r="E25560" s="5">
        <v>98.2</v>
      </c>
      <c r="F25560" s="5">
        <v>195.3</v>
      </c>
      <c r="G25560" s="5">
        <v>97.4</v>
      </c>
      <c r="H25560" s="5">
        <v>97.2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97.6</v>
      </c>
      <c r="D25561" s="5">
        <v>0.1</v>
      </c>
      <c r="E25561" s="5">
        <v>97.7</v>
      </c>
      <c r="F25561" s="5">
        <v>195.8</v>
      </c>
      <c r="G25561" s="5">
        <v>97.9</v>
      </c>
      <c r="H25561" s="5">
        <v>97.9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97.6</v>
      </c>
      <c r="D25562" s="5">
        <v>0.1</v>
      </c>
      <c r="E25562" s="5">
        <v>97.7</v>
      </c>
      <c r="F25562" s="5">
        <v>195.8</v>
      </c>
      <c r="G25562" s="5">
        <v>97.9</v>
      </c>
      <c r="H25562" s="5">
        <v>97.9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97.6</v>
      </c>
      <c r="D25563" s="5">
        <v>0.1</v>
      </c>
      <c r="E25563" s="5">
        <v>97.7</v>
      </c>
      <c r="F25563" s="5">
        <v>195.4</v>
      </c>
      <c r="G25563" s="5">
        <v>97.5</v>
      </c>
      <c r="H25563" s="5">
        <v>97.3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97.6</v>
      </c>
      <c r="D25564" s="5">
        <v>0.1</v>
      </c>
      <c r="E25564" s="5">
        <v>97.7</v>
      </c>
      <c r="F25564" s="5">
        <v>195.4</v>
      </c>
      <c r="G25564" s="5">
        <v>97.5</v>
      </c>
      <c r="H25564" s="5">
        <v>97.3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97.6</v>
      </c>
      <c r="D25565" s="5">
        <v>0.1</v>
      </c>
      <c r="E25565" s="5">
        <v>97.7</v>
      </c>
      <c r="F25565" s="5">
        <v>195.4</v>
      </c>
      <c r="G25565" s="5">
        <v>96.7</v>
      </c>
      <c r="H25565" s="5">
        <v>96.5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96.6</v>
      </c>
      <c r="D25566" s="5">
        <v>0.1</v>
      </c>
      <c r="E25566" s="5">
        <v>96.7</v>
      </c>
      <c r="F25566" s="5">
        <v>193.8</v>
      </c>
      <c r="G25566" s="5">
        <v>96.7</v>
      </c>
      <c r="H25566" s="5">
        <v>96.5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96.6</v>
      </c>
      <c r="D25567" s="5">
        <v>0.1</v>
      </c>
      <c r="E25567" s="5">
        <v>96.7</v>
      </c>
      <c r="F25567" s="5">
        <v>193.8</v>
      </c>
      <c r="G25567" s="5">
        <v>96.7</v>
      </c>
      <c r="H25567" s="5">
        <v>96.5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96.6</v>
      </c>
      <c r="D25568" s="5">
        <v>0.1</v>
      </c>
      <c r="E25568" s="5">
        <v>96.7</v>
      </c>
      <c r="F25568" s="5">
        <v>193.8</v>
      </c>
      <c r="G25568" s="5">
        <v>96.7</v>
      </c>
      <c r="H25568" s="5">
        <v>96.5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103.4</v>
      </c>
      <c r="D25569" s="5">
        <v>0.1</v>
      </c>
      <c r="E25569" s="5">
        <v>103.5</v>
      </c>
      <c r="F25569" s="5">
        <v>204.8</v>
      </c>
      <c r="G25569" s="5">
        <v>102.4</v>
      </c>
      <c r="H25569" s="5">
        <v>102.5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103.4</v>
      </c>
      <c r="D25570" s="5">
        <v>0.1</v>
      </c>
      <c r="E25570" s="5">
        <v>103.5</v>
      </c>
      <c r="F25570" s="5">
        <v>204.8</v>
      </c>
      <c r="G25570" s="5">
        <v>102.4</v>
      </c>
      <c r="H25570" s="5">
        <v>102.5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103.9</v>
      </c>
      <c r="D25571" s="5">
        <v>0.1</v>
      </c>
      <c r="E25571" s="5">
        <v>104</v>
      </c>
      <c r="F25571" s="5">
        <v>207.1</v>
      </c>
      <c r="G25571" s="5">
        <v>103.4</v>
      </c>
      <c r="H25571" s="5">
        <v>103.3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103.9</v>
      </c>
      <c r="D25572" s="5">
        <v>0.1</v>
      </c>
      <c r="E25572" s="5">
        <v>104</v>
      </c>
      <c r="F25572" s="5">
        <v>207.1</v>
      </c>
      <c r="G25572" s="5">
        <v>103.4</v>
      </c>
      <c r="H25572" s="5">
        <v>103.3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104.2</v>
      </c>
      <c r="D25573" s="5">
        <v>0.1</v>
      </c>
      <c r="E25573" s="5">
        <v>104.3</v>
      </c>
      <c r="F25573" s="5">
        <v>207.6</v>
      </c>
      <c r="G25573" s="5">
        <v>103.6</v>
      </c>
      <c r="H25573" s="5">
        <v>103.5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104.2</v>
      </c>
      <c r="D25574" s="5">
        <v>0.1</v>
      </c>
      <c r="E25574" s="5">
        <v>104.3</v>
      </c>
      <c r="F25574" s="5">
        <v>207.6</v>
      </c>
      <c r="G25574" s="5">
        <v>103.6</v>
      </c>
      <c r="H25574" s="5">
        <v>103.5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103.7</v>
      </c>
      <c r="D25575" s="5">
        <v>0.1</v>
      </c>
      <c r="E25575" s="5">
        <v>103.8</v>
      </c>
      <c r="F25575" s="5">
        <v>203.9</v>
      </c>
      <c r="G25575" s="5">
        <v>102</v>
      </c>
      <c r="H25575" s="5">
        <v>102.1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103.7</v>
      </c>
      <c r="D25576" s="5">
        <v>0.1</v>
      </c>
      <c r="E25576" s="5">
        <v>103.8</v>
      </c>
      <c r="F25576" s="5">
        <v>203.9</v>
      </c>
      <c r="G25576" s="5">
        <v>102</v>
      </c>
      <c r="H25576" s="5">
        <v>102.1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103.7</v>
      </c>
      <c r="D25577" s="5">
        <v>0.1</v>
      </c>
      <c r="E25577" s="5">
        <v>103.8</v>
      </c>
      <c r="F25577" s="5">
        <v>203.9</v>
      </c>
      <c r="G25577" s="5">
        <v>102</v>
      </c>
      <c r="H25577" s="5">
        <v>102.1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103.7</v>
      </c>
      <c r="D25578" s="5">
        <v>0.1</v>
      </c>
      <c r="E25578" s="5">
        <v>103.8</v>
      </c>
      <c r="F25578" s="5">
        <v>203.9</v>
      </c>
      <c r="G25578" s="5">
        <v>102</v>
      </c>
      <c r="H25578" s="5">
        <v>102.1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98</v>
      </c>
      <c r="D25579" s="5">
        <v>0.1</v>
      </c>
      <c r="E25579" s="5">
        <v>98.1</v>
      </c>
      <c r="F25579" s="5">
        <v>197.3</v>
      </c>
      <c r="G25579" s="5">
        <v>98.4</v>
      </c>
      <c r="H25579" s="5">
        <v>98.2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98</v>
      </c>
      <c r="D25580" s="5">
        <v>0.1</v>
      </c>
      <c r="E25580" s="5">
        <v>98.1</v>
      </c>
      <c r="F25580" s="5">
        <v>197.3</v>
      </c>
      <c r="G25580" s="5">
        <v>98.4</v>
      </c>
      <c r="H25580" s="5">
        <v>98.2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97.3</v>
      </c>
      <c r="D25581" s="5">
        <v>0.1</v>
      </c>
      <c r="E25581" s="5">
        <v>97.4</v>
      </c>
      <c r="F25581" s="5">
        <v>195</v>
      </c>
      <c r="G25581" s="5">
        <v>97.3</v>
      </c>
      <c r="H25581" s="5">
        <v>97.1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97.3</v>
      </c>
      <c r="D25582" s="5">
        <v>0.1</v>
      </c>
      <c r="E25582" s="5">
        <v>97.4</v>
      </c>
      <c r="F25582" s="5">
        <v>195</v>
      </c>
      <c r="G25582" s="5">
        <v>97.3</v>
      </c>
      <c r="H25582" s="5">
        <v>97.1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98.6</v>
      </c>
      <c r="D25583" s="5">
        <v>0.1</v>
      </c>
      <c r="E25583" s="5">
        <v>98.7</v>
      </c>
      <c r="F25583" s="5">
        <v>199.4</v>
      </c>
      <c r="G25583" s="5">
        <v>99.8</v>
      </c>
      <c r="H25583" s="5">
        <v>99.7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98.6</v>
      </c>
      <c r="D25584" s="5">
        <v>0.1</v>
      </c>
      <c r="E25584" s="5">
        <v>98.7</v>
      </c>
      <c r="F25584" s="5">
        <v>199.4</v>
      </c>
      <c r="G25584" s="5">
        <v>99.8</v>
      </c>
      <c r="H25584" s="5">
        <v>99.7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98.8</v>
      </c>
      <c r="D25585" s="5">
        <v>0.1</v>
      </c>
      <c r="E25585" s="5">
        <v>98.9</v>
      </c>
      <c r="F25585" s="5">
        <v>199.2</v>
      </c>
      <c r="G25585" s="5">
        <v>99.3</v>
      </c>
      <c r="H25585" s="5">
        <v>98.9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98.8</v>
      </c>
      <c r="D25586" s="5">
        <v>0.1</v>
      </c>
      <c r="E25586" s="5">
        <v>98.9</v>
      </c>
      <c r="F25586" s="5">
        <v>199.2</v>
      </c>
      <c r="G25586" s="5">
        <v>99.3</v>
      </c>
      <c r="H25586" s="5">
        <v>98.9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98.8</v>
      </c>
      <c r="D25587" s="5">
        <v>0.1</v>
      </c>
      <c r="E25587" s="5">
        <v>98.9</v>
      </c>
      <c r="F25587" s="5">
        <v>199.2</v>
      </c>
      <c r="G25587" s="5">
        <v>99.3</v>
      </c>
      <c r="H25587" s="5">
        <v>98.9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98.8</v>
      </c>
      <c r="D25588" s="5">
        <v>0.1</v>
      </c>
      <c r="E25588" s="5">
        <v>98.9</v>
      </c>
      <c r="F25588" s="5">
        <v>199.2</v>
      </c>
      <c r="G25588" s="5">
        <v>99.3</v>
      </c>
      <c r="H25588" s="5">
        <v>98.9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97.8</v>
      </c>
      <c r="D25589" s="5">
        <v>0.1</v>
      </c>
      <c r="E25589" s="5">
        <v>98</v>
      </c>
      <c r="F25589" s="5">
        <v>195.8</v>
      </c>
      <c r="G25589" s="5">
        <v>97.5</v>
      </c>
      <c r="H25589" s="5">
        <v>97.4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97.8</v>
      </c>
      <c r="D25590" s="5">
        <v>0.1</v>
      </c>
      <c r="E25590" s="5">
        <v>98</v>
      </c>
      <c r="F25590" s="5">
        <v>195.8</v>
      </c>
      <c r="G25590" s="5">
        <v>97.5</v>
      </c>
      <c r="H25590" s="5">
        <v>97.4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100.9</v>
      </c>
      <c r="D25591" s="5">
        <v>0.1</v>
      </c>
      <c r="E25591" s="5">
        <v>101.1</v>
      </c>
      <c r="F25591" s="5">
        <v>196.2</v>
      </c>
      <c r="G25591" s="5">
        <v>98.7</v>
      </c>
      <c r="H25591" s="5">
        <v>98.6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100.9</v>
      </c>
      <c r="D25592" s="5">
        <v>0.1</v>
      </c>
      <c r="E25592" s="5">
        <v>101.1</v>
      </c>
      <c r="F25592" s="5">
        <v>196.2</v>
      </c>
      <c r="G25592" s="5">
        <v>98.7</v>
      </c>
      <c r="H25592" s="5">
        <v>98.6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98</v>
      </c>
      <c r="D25593" s="5">
        <v>0.1</v>
      </c>
      <c r="E25593" s="5">
        <v>98.2</v>
      </c>
      <c r="F25593" s="5">
        <v>196.5</v>
      </c>
      <c r="G25593" s="5">
        <v>98.9</v>
      </c>
      <c r="H25593" s="5">
        <v>98.6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98</v>
      </c>
      <c r="D25594" s="5">
        <v>0.1</v>
      </c>
      <c r="E25594" s="5">
        <v>98.2</v>
      </c>
      <c r="F25594" s="5">
        <v>196.5</v>
      </c>
      <c r="G25594" s="5">
        <v>98.9</v>
      </c>
      <c r="H25594" s="5">
        <v>98.6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103.2</v>
      </c>
      <c r="D25595" s="5">
        <v>0.1</v>
      </c>
      <c r="E25595" s="5">
        <v>103.3</v>
      </c>
      <c r="F25595" s="5">
        <v>206.3</v>
      </c>
      <c r="G25595" s="5">
        <v>103.2</v>
      </c>
      <c r="H25595" s="5">
        <v>103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103.2</v>
      </c>
      <c r="D25596" s="5">
        <v>0.1</v>
      </c>
      <c r="E25596" s="5">
        <v>103.3</v>
      </c>
      <c r="F25596" s="5">
        <v>206.3</v>
      </c>
      <c r="G25596" s="5">
        <v>103.2</v>
      </c>
      <c r="H25596" s="5">
        <v>103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103.6</v>
      </c>
      <c r="D25597" s="5">
        <v>0.1</v>
      </c>
      <c r="E25597" s="5">
        <v>103.7</v>
      </c>
      <c r="F25597" s="5">
        <v>206.6</v>
      </c>
      <c r="G25597" s="5">
        <v>103.1</v>
      </c>
      <c r="H25597" s="5">
        <v>102.9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103.3</v>
      </c>
      <c r="D25598" s="5">
        <v>0.1</v>
      </c>
      <c r="E25598" s="5">
        <v>103.4</v>
      </c>
      <c r="F25598" s="5">
        <v>205.4</v>
      </c>
      <c r="G25598" s="5">
        <v>102.5</v>
      </c>
      <c r="H25598" s="5">
        <v>102.3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103.3</v>
      </c>
      <c r="D25599" s="5">
        <v>0.1</v>
      </c>
      <c r="E25599" s="5">
        <v>103.4</v>
      </c>
      <c r="F25599" s="5">
        <v>205.4</v>
      </c>
      <c r="G25599" s="5">
        <v>102.5</v>
      </c>
      <c r="H25599" s="5">
        <v>102.3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103</v>
      </c>
      <c r="D25600" s="5">
        <v>0.1</v>
      </c>
      <c r="E25600" s="5">
        <v>103.1</v>
      </c>
      <c r="F25600" s="5">
        <v>206</v>
      </c>
      <c r="G25600" s="5">
        <v>102.8</v>
      </c>
      <c r="H25600" s="5">
        <v>102.6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103</v>
      </c>
      <c r="D25601" s="5">
        <v>0.1</v>
      </c>
      <c r="E25601" s="5">
        <v>103.1</v>
      </c>
      <c r="F25601" s="5">
        <v>206</v>
      </c>
      <c r="G25601" s="5">
        <v>102.8</v>
      </c>
      <c r="H25601" s="5">
        <v>102.6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103.7</v>
      </c>
      <c r="D25602" s="5">
        <v>0.1</v>
      </c>
      <c r="E25602" s="5">
        <v>103.9</v>
      </c>
      <c r="F25602" s="5">
        <v>207.2</v>
      </c>
      <c r="G25602" s="5">
        <v>103.3</v>
      </c>
      <c r="H25602" s="5">
        <v>103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103.7</v>
      </c>
      <c r="D25603" s="5">
        <v>0.1</v>
      </c>
      <c r="E25603" s="5">
        <v>103.9</v>
      </c>
      <c r="F25603" s="5">
        <v>207.2</v>
      </c>
      <c r="G25603" s="5">
        <v>103.3</v>
      </c>
      <c r="H25603" s="5">
        <v>103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103.7</v>
      </c>
      <c r="D25604" s="5">
        <v>0.1</v>
      </c>
      <c r="E25604" s="5">
        <v>103.9</v>
      </c>
      <c r="F25604" s="5">
        <v>207.2</v>
      </c>
      <c r="G25604" s="5">
        <v>103.3</v>
      </c>
      <c r="H25604" s="5">
        <v>103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103.7</v>
      </c>
      <c r="D25605" s="5">
        <v>0.1</v>
      </c>
      <c r="E25605" s="5">
        <v>103.9</v>
      </c>
      <c r="F25605" s="5">
        <v>207.2</v>
      </c>
      <c r="G25605" s="5">
        <v>103.3</v>
      </c>
      <c r="H25605" s="5">
        <v>103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103.1</v>
      </c>
      <c r="D25606" s="5">
        <v>0.1</v>
      </c>
      <c r="E25606" s="5">
        <v>103.3</v>
      </c>
      <c r="F25606" s="5">
        <v>206.2</v>
      </c>
      <c r="G25606" s="5">
        <v>102.9</v>
      </c>
      <c r="H25606" s="5">
        <v>102.7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103.1</v>
      </c>
      <c r="D25607" s="5">
        <v>0.1</v>
      </c>
      <c r="E25607" s="5">
        <v>103.3</v>
      </c>
      <c r="F25607" s="5">
        <v>206.2</v>
      </c>
      <c r="G25607" s="5">
        <v>102.9</v>
      </c>
      <c r="H25607" s="5">
        <v>102.7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102.8</v>
      </c>
      <c r="D25608" s="5">
        <v>0.1</v>
      </c>
      <c r="E25608" s="5">
        <v>103</v>
      </c>
      <c r="F25608" s="5">
        <v>205.4</v>
      </c>
      <c r="G25608" s="5">
        <v>102.5</v>
      </c>
      <c r="H25608" s="5">
        <v>102.4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102.8</v>
      </c>
      <c r="D25609" s="5">
        <v>0.1</v>
      </c>
      <c r="E25609" s="5">
        <v>103</v>
      </c>
      <c r="F25609" s="5">
        <v>205.4</v>
      </c>
      <c r="G25609" s="5">
        <v>102.5</v>
      </c>
      <c r="H25609" s="5">
        <v>102.4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102.9</v>
      </c>
      <c r="D25610" s="5">
        <v>0.1</v>
      </c>
      <c r="E25610" s="5">
        <v>103.1</v>
      </c>
      <c r="F25610" s="5">
        <v>206.2</v>
      </c>
      <c r="G25610" s="5">
        <v>102.9</v>
      </c>
      <c r="H25610" s="5">
        <v>102.7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102.9</v>
      </c>
      <c r="D25611" s="5">
        <v>0.1</v>
      </c>
      <c r="E25611" s="5">
        <v>103.1</v>
      </c>
      <c r="F25611" s="5">
        <v>206.2</v>
      </c>
      <c r="G25611" s="5">
        <v>102.9</v>
      </c>
      <c r="H25611" s="5">
        <v>102.7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101.5</v>
      </c>
      <c r="D25612" s="5">
        <v>0.1</v>
      </c>
      <c r="E25612" s="5">
        <v>101.6</v>
      </c>
      <c r="F25612" s="5">
        <v>205</v>
      </c>
      <c r="G25612" s="5">
        <v>102.2</v>
      </c>
      <c r="H25612" s="5">
        <v>101.9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101.5</v>
      </c>
      <c r="D25613" s="5">
        <v>0.1</v>
      </c>
      <c r="E25613" s="5">
        <v>101.6</v>
      </c>
      <c r="F25613" s="5">
        <v>205</v>
      </c>
      <c r="G25613" s="5">
        <v>102.2</v>
      </c>
      <c r="H25613" s="5">
        <v>101.9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101.5</v>
      </c>
      <c r="D25614" s="5">
        <v>0.1</v>
      </c>
      <c r="E25614" s="5">
        <v>101.6</v>
      </c>
      <c r="F25614" s="5">
        <v>205</v>
      </c>
      <c r="G25614" s="5">
        <v>102.2</v>
      </c>
      <c r="H25614" s="5">
        <v>101.9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101.5</v>
      </c>
      <c r="D25615" s="5">
        <v>0.1</v>
      </c>
      <c r="E25615" s="5">
        <v>101.6</v>
      </c>
      <c r="F25615" s="5">
        <v>205</v>
      </c>
      <c r="G25615" s="5">
        <v>102.2</v>
      </c>
      <c r="H25615" s="5">
        <v>101.9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103.4</v>
      </c>
      <c r="D25616" s="5">
        <v>0.1</v>
      </c>
      <c r="E25616" s="5">
        <v>103.6</v>
      </c>
      <c r="F25616" s="5">
        <v>205.7</v>
      </c>
      <c r="G25616" s="5">
        <v>102.7</v>
      </c>
      <c r="H25616" s="5">
        <v>102.6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103.4</v>
      </c>
      <c r="D25617" s="5">
        <v>0.1</v>
      </c>
      <c r="E25617" s="5">
        <v>103.6</v>
      </c>
      <c r="F25617" s="5">
        <v>205.7</v>
      </c>
      <c r="G25617" s="5">
        <v>102.7</v>
      </c>
      <c r="H25617" s="5">
        <v>102.6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102.1</v>
      </c>
      <c r="D25618" s="5">
        <v>0.1</v>
      </c>
      <c r="E25618" s="5">
        <v>102.4</v>
      </c>
      <c r="F25618" s="5">
        <v>204.6</v>
      </c>
      <c r="G25618" s="5">
        <v>102.1</v>
      </c>
      <c r="H25618" s="5">
        <v>101.9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102.1</v>
      </c>
      <c r="D25619" s="5">
        <v>0.1</v>
      </c>
      <c r="E25619" s="5">
        <v>102.4</v>
      </c>
      <c r="F25619" s="5">
        <v>204.6</v>
      </c>
      <c r="G25619" s="5">
        <v>102.1</v>
      </c>
      <c r="H25619" s="5">
        <v>101.9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103.4</v>
      </c>
      <c r="D25620" s="5">
        <v>0.1</v>
      </c>
      <c r="E25620" s="5">
        <v>103.6</v>
      </c>
      <c r="F25620" s="5">
        <v>206.3</v>
      </c>
      <c r="G25620" s="5">
        <v>102.9</v>
      </c>
      <c r="H25620" s="5">
        <v>102.8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103.4</v>
      </c>
      <c r="D25621" s="5">
        <v>0.1</v>
      </c>
      <c r="E25621" s="5">
        <v>103.6</v>
      </c>
      <c r="F25621" s="5">
        <v>206.3</v>
      </c>
      <c r="G25621" s="5">
        <v>102.9</v>
      </c>
      <c r="H25621" s="5">
        <v>102.8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102.3</v>
      </c>
      <c r="D25622" s="5">
        <v>0.1</v>
      </c>
      <c r="E25622" s="5">
        <v>102.4</v>
      </c>
      <c r="F25622" s="5">
        <v>205.2</v>
      </c>
      <c r="G25622" s="5">
        <v>102.3</v>
      </c>
      <c r="H25622" s="5">
        <v>102.1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102.3</v>
      </c>
      <c r="D25623" s="5">
        <v>0.1</v>
      </c>
      <c r="E25623" s="5">
        <v>102.4</v>
      </c>
      <c r="F25623" s="5">
        <v>205.2</v>
      </c>
      <c r="G25623" s="5">
        <v>102.3</v>
      </c>
      <c r="H25623" s="5">
        <v>102.1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102.3</v>
      </c>
      <c r="D25624" s="5">
        <v>0.1</v>
      </c>
      <c r="E25624" s="5">
        <v>102.4</v>
      </c>
      <c r="F25624" s="5">
        <v>205.2</v>
      </c>
      <c r="G25624" s="5">
        <v>102.3</v>
      </c>
      <c r="H25624" s="5">
        <v>102.1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102.3</v>
      </c>
      <c r="D25625" s="5">
        <v>0.1</v>
      </c>
      <c r="E25625" s="5">
        <v>102.4</v>
      </c>
      <c r="F25625" s="5">
        <v>205.2</v>
      </c>
      <c r="G25625" s="5">
        <v>102.3</v>
      </c>
      <c r="H25625" s="5">
        <v>102.1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101</v>
      </c>
      <c r="D25626" s="5">
        <v>0.1</v>
      </c>
      <c r="E25626" s="5">
        <v>101.1</v>
      </c>
      <c r="F25626" s="5">
        <v>204.3</v>
      </c>
      <c r="G25626" s="5">
        <v>101.9</v>
      </c>
      <c r="H25626" s="5">
        <v>101.7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101</v>
      </c>
      <c r="D25627" s="5">
        <v>0.1</v>
      </c>
      <c r="E25627" s="5">
        <v>101.1</v>
      </c>
      <c r="F25627" s="5">
        <v>204.3</v>
      </c>
      <c r="G25627" s="5">
        <v>101.9</v>
      </c>
      <c r="H25627" s="5">
        <v>101.7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102.4</v>
      </c>
      <c r="D25628" s="5">
        <v>0.1</v>
      </c>
      <c r="E25628" s="5">
        <v>102.7</v>
      </c>
      <c r="F25628" s="5">
        <v>204.5</v>
      </c>
      <c r="G25628" s="5">
        <v>102.1</v>
      </c>
      <c r="H25628" s="5">
        <v>101.9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102.4</v>
      </c>
      <c r="D25629" s="5">
        <v>0.1</v>
      </c>
      <c r="E25629" s="5">
        <v>102.7</v>
      </c>
      <c r="F25629" s="5">
        <v>204.5</v>
      </c>
      <c r="G25629" s="5">
        <v>102.1</v>
      </c>
      <c r="H25629" s="5">
        <v>101.9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102.6</v>
      </c>
      <c r="D25630" s="5">
        <v>0.1</v>
      </c>
      <c r="E25630" s="5">
        <v>102.7</v>
      </c>
      <c r="F25630" s="5">
        <v>205.1</v>
      </c>
      <c r="G25630" s="5">
        <v>102.3</v>
      </c>
      <c r="H25630" s="5">
        <v>102.2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102.6</v>
      </c>
      <c r="D25631" s="5">
        <v>0.1</v>
      </c>
      <c r="E25631" s="5">
        <v>102.7</v>
      </c>
      <c r="F25631" s="5">
        <v>205.1</v>
      </c>
      <c r="G25631" s="5">
        <v>102.3</v>
      </c>
      <c r="H25631" s="5">
        <v>102.2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103</v>
      </c>
      <c r="D25632" s="5">
        <v>0.1</v>
      </c>
      <c r="E25632" s="5">
        <v>103.1</v>
      </c>
      <c r="F25632" s="5">
        <v>205.6</v>
      </c>
      <c r="G25632" s="5">
        <v>102.6</v>
      </c>
      <c r="H25632" s="5">
        <v>102.4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103</v>
      </c>
      <c r="D25633" s="5">
        <v>0.1</v>
      </c>
      <c r="E25633" s="5">
        <v>103.1</v>
      </c>
      <c r="F25633" s="5">
        <v>205.6</v>
      </c>
      <c r="G25633" s="5">
        <v>102.6</v>
      </c>
      <c r="H25633" s="5">
        <v>102.4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103</v>
      </c>
      <c r="D25634" s="5">
        <v>0.1</v>
      </c>
      <c r="E25634" s="5">
        <v>103.1</v>
      </c>
      <c r="F25634" s="5">
        <v>205.6</v>
      </c>
      <c r="G25634" s="5">
        <v>102.6</v>
      </c>
      <c r="H25634" s="5">
        <v>102.4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103</v>
      </c>
      <c r="D25635" s="5">
        <v>0.1</v>
      </c>
      <c r="E25635" s="5">
        <v>103.1</v>
      </c>
      <c r="F25635" s="5">
        <v>205.6</v>
      </c>
      <c r="G25635" s="5">
        <v>102.6</v>
      </c>
      <c r="H25635" s="5">
        <v>102.4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103.1</v>
      </c>
      <c r="D25636" s="5">
        <v>0.1</v>
      </c>
      <c r="E25636" s="5">
        <v>103.2</v>
      </c>
      <c r="F25636" s="5">
        <v>206.2</v>
      </c>
      <c r="G25636" s="5">
        <v>102.8</v>
      </c>
      <c r="H25636" s="5">
        <v>102.7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103.1</v>
      </c>
      <c r="D25637" s="5">
        <v>0.1</v>
      </c>
      <c r="E25637" s="5">
        <v>103.2</v>
      </c>
      <c r="F25637" s="5">
        <v>206.2</v>
      </c>
      <c r="G25637" s="5">
        <v>102.8</v>
      </c>
      <c r="H25637" s="5">
        <v>102.7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103.3</v>
      </c>
      <c r="D25638" s="5">
        <v>0.1</v>
      </c>
      <c r="E25638" s="5">
        <v>103.4</v>
      </c>
      <c r="F25638" s="5">
        <v>206.5</v>
      </c>
      <c r="G25638" s="5">
        <v>103</v>
      </c>
      <c r="H25638" s="5">
        <v>102.9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103.3</v>
      </c>
      <c r="D25639" s="5">
        <v>0.1</v>
      </c>
      <c r="E25639" s="5">
        <v>103.4</v>
      </c>
      <c r="F25639" s="5">
        <v>206.5</v>
      </c>
      <c r="G25639" s="5">
        <v>103</v>
      </c>
      <c r="H25639" s="5">
        <v>102.9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103.7</v>
      </c>
      <c r="D25640" s="5">
        <v>0.1</v>
      </c>
      <c r="E25640" s="5">
        <v>103.7</v>
      </c>
      <c r="F25640" s="5">
        <v>205.9</v>
      </c>
      <c r="G25640" s="5">
        <v>102.8</v>
      </c>
      <c r="H25640" s="5">
        <v>102.7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103.7</v>
      </c>
      <c r="D25641" s="5">
        <v>0.1</v>
      </c>
      <c r="E25641" s="5">
        <v>103.7</v>
      </c>
      <c r="F25641" s="5">
        <v>205.9</v>
      </c>
      <c r="G25641" s="5">
        <v>102.8</v>
      </c>
      <c r="H25641" s="5">
        <v>102.7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103.5</v>
      </c>
      <c r="D25642" s="5">
        <v>0.1</v>
      </c>
      <c r="E25642" s="5">
        <v>103.7</v>
      </c>
      <c r="F25642" s="5">
        <v>206.8</v>
      </c>
      <c r="G25642" s="5">
        <v>103.2</v>
      </c>
      <c r="H25642" s="5">
        <v>103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103.5</v>
      </c>
      <c r="D25643" s="5">
        <v>0.1</v>
      </c>
      <c r="E25643" s="5">
        <v>103.7</v>
      </c>
      <c r="F25643" s="5">
        <v>206.8</v>
      </c>
      <c r="G25643" s="5">
        <v>103.2</v>
      </c>
      <c r="H25643" s="5">
        <v>103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103.5</v>
      </c>
      <c r="D25644" s="5">
        <v>0.1</v>
      </c>
      <c r="E25644" s="5">
        <v>103.7</v>
      </c>
      <c r="F25644" s="5">
        <v>206.8</v>
      </c>
      <c r="G25644" s="5">
        <v>103.2</v>
      </c>
      <c r="H25644" s="5">
        <v>103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103.5</v>
      </c>
      <c r="D25645" s="5">
        <v>0.1</v>
      </c>
      <c r="E25645" s="5">
        <v>103.7</v>
      </c>
      <c r="F25645" s="5">
        <v>206.8</v>
      </c>
      <c r="G25645" s="5">
        <v>103.2</v>
      </c>
      <c r="H25645" s="5">
        <v>103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103.1</v>
      </c>
      <c r="D25646" s="5">
        <v>0.1</v>
      </c>
      <c r="E25646" s="5">
        <v>103.2</v>
      </c>
      <c r="F25646" s="5">
        <v>205.3</v>
      </c>
      <c r="G25646" s="5">
        <v>102.5</v>
      </c>
      <c r="H25646" s="5">
        <v>102.3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103.1</v>
      </c>
      <c r="D25647" s="5">
        <v>0.1</v>
      </c>
      <c r="E25647" s="5">
        <v>103.2</v>
      </c>
      <c r="F25647" s="5">
        <v>205.3</v>
      </c>
      <c r="G25647" s="5">
        <v>102.5</v>
      </c>
      <c r="H25647" s="5">
        <v>102.3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103.1</v>
      </c>
      <c r="D25648" s="5">
        <v>0.1</v>
      </c>
      <c r="E25648" s="5">
        <v>103.2</v>
      </c>
      <c r="F25648" s="5">
        <v>206.1</v>
      </c>
      <c r="G25648" s="5">
        <v>102.8</v>
      </c>
      <c r="H25648" s="5">
        <v>102.7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103.1</v>
      </c>
      <c r="D25649" s="5">
        <v>0.1</v>
      </c>
      <c r="E25649" s="5">
        <v>103.2</v>
      </c>
      <c r="F25649" s="5">
        <v>206.1</v>
      </c>
      <c r="G25649" s="5">
        <v>102.8</v>
      </c>
      <c r="H25649" s="5">
        <v>102.7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103</v>
      </c>
      <c r="D25650" s="5">
        <v>0.1</v>
      </c>
      <c r="E25650" s="5">
        <v>103.1</v>
      </c>
      <c r="F25650" s="5">
        <v>205.5</v>
      </c>
      <c r="G25650" s="5">
        <v>102.5</v>
      </c>
      <c r="H25650" s="5">
        <v>102.3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103</v>
      </c>
      <c r="D25651" s="5">
        <v>0.1</v>
      </c>
      <c r="E25651" s="5">
        <v>103.1</v>
      </c>
      <c r="F25651" s="5">
        <v>205.5</v>
      </c>
      <c r="G25651" s="5">
        <v>102.5</v>
      </c>
      <c r="H25651" s="5">
        <v>102.3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102.1</v>
      </c>
      <c r="D25652" s="5">
        <v>0.1</v>
      </c>
      <c r="E25652" s="5">
        <v>102.3</v>
      </c>
      <c r="F25652" s="5">
        <v>204.3</v>
      </c>
      <c r="G25652" s="5">
        <v>101.9</v>
      </c>
      <c r="H25652" s="5">
        <v>101.8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102.1</v>
      </c>
      <c r="D25653" s="5">
        <v>0.1</v>
      </c>
      <c r="E25653" s="5">
        <v>102.3</v>
      </c>
      <c r="F25653" s="5">
        <v>204.3</v>
      </c>
      <c r="G25653" s="5">
        <v>101.9</v>
      </c>
      <c r="H25653" s="5">
        <v>101.8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102.1</v>
      </c>
      <c r="D25654" s="5">
        <v>0.1</v>
      </c>
      <c r="E25654" s="5">
        <v>102.3</v>
      </c>
      <c r="F25654" s="5">
        <v>204.3</v>
      </c>
      <c r="G25654" s="5">
        <v>101.9</v>
      </c>
      <c r="H25654" s="5">
        <v>101.8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102.1</v>
      </c>
      <c r="D25655" s="5">
        <v>0.1</v>
      </c>
      <c r="E25655" s="5">
        <v>102.3</v>
      </c>
      <c r="F25655" s="5">
        <v>204.3</v>
      </c>
      <c r="G25655" s="5">
        <v>101.9</v>
      </c>
      <c r="H25655" s="5">
        <v>101.8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103.2</v>
      </c>
      <c r="D25656" s="5">
        <v>0.1</v>
      </c>
      <c r="E25656" s="5">
        <v>103.3</v>
      </c>
      <c r="F25656" s="5">
        <v>205.5</v>
      </c>
      <c r="G25656" s="5">
        <v>102.6</v>
      </c>
      <c r="H25656" s="5">
        <v>102.5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103.2</v>
      </c>
      <c r="D25657" s="5">
        <v>0.1</v>
      </c>
      <c r="E25657" s="5">
        <v>103.3</v>
      </c>
      <c r="F25657" s="5">
        <v>205.5</v>
      </c>
      <c r="G25657" s="5">
        <v>102.6</v>
      </c>
      <c r="H25657" s="5">
        <v>102.5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102</v>
      </c>
      <c r="D25658" s="5">
        <v>0.1</v>
      </c>
      <c r="E25658" s="5">
        <v>102.1</v>
      </c>
      <c r="F25658" s="5">
        <v>205</v>
      </c>
      <c r="G25658" s="5">
        <v>102.2</v>
      </c>
      <c r="H25658" s="5">
        <v>101.9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102</v>
      </c>
      <c r="D25659" s="5">
        <v>0.1</v>
      </c>
      <c r="E25659" s="5">
        <v>102.1</v>
      </c>
      <c r="F25659" s="5">
        <v>205</v>
      </c>
      <c r="G25659" s="5">
        <v>102.2</v>
      </c>
      <c r="H25659" s="5">
        <v>101.9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103.4</v>
      </c>
      <c r="D25660" s="5">
        <v>0.1</v>
      </c>
      <c r="E25660" s="5">
        <v>103.5</v>
      </c>
      <c r="F25660" s="5">
        <v>205.8</v>
      </c>
      <c r="G25660" s="5">
        <v>102.7</v>
      </c>
      <c r="H25660" s="5">
        <v>102.6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103.4</v>
      </c>
      <c r="D25661" s="5">
        <v>0.1</v>
      </c>
      <c r="E25661" s="5">
        <v>103.5</v>
      </c>
      <c r="F25661" s="5">
        <v>205.8</v>
      </c>
      <c r="G25661" s="5">
        <v>102.7</v>
      </c>
      <c r="H25661" s="5">
        <v>102.6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102.7</v>
      </c>
      <c r="D25662" s="5">
        <v>0.1</v>
      </c>
      <c r="E25662" s="5">
        <v>102.8</v>
      </c>
      <c r="F25662" s="5">
        <v>204.4</v>
      </c>
      <c r="G25662" s="5">
        <v>102</v>
      </c>
      <c r="H25662" s="5">
        <v>101.8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102.7</v>
      </c>
      <c r="D25663" s="5">
        <v>0.1</v>
      </c>
      <c r="E25663" s="5">
        <v>102.8</v>
      </c>
      <c r="F25663" s="5">
        <v>204.4</v>
      </c>
      <c r="G25663" s="5">
        <v>102</v>
      </c>
      <c r="H25663" s="5">
        <v>101.8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102.7</v>
      </c>
      <c r="D25664" s="5">
        <v>0.1</v>
      </c>
      <c r="E25664" s="5">
        <v>102.8</v>
      </c>
      <c r="F25664" s="5">
        <v>204.4</v>
      </c>
      <c r="G25664" s="5">
        <v>102</v>
      </c>
      <c r="H25664" s="5">
        <v>101.8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102.7</v>
      </c>
      <c r="D25665" s="5">
        <v>0.1</v>
      </c>
      <c r="E25665" s="5">
        <v>102.8</v>
      </c>
      <c r="F25665" s="5">
        <v>204.4</v>
      </c>
      <c r="G25665" s="5">
        <v>102</v>
      </c>
      <c r="H25665" s="5">
        <v>101.8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103</v>
      </c>
      <c r="D25666" s="5">
        <v>0.1</v>
      </c>
      <c r="E25666" s="5">
        <v>103.1</v>
      </c>
      <c r="F25666" s="5">
        <v>205.7</v>
      </c>
      <c r="G25666" s="5">
        <v>102.7</v>
      </c>
      <c r="H25666" s="5">
        <v>102.6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103</v>
      </c>
      <c r="D25667" s="5">
        <v>0.1</v>
      </c>
      <c r="E25667" s="5">
        <v>103.1</v>
      </c>
      <c r="F25667" s="5">
        <v>205.7</v>
      </c>
      <c r="G25667" s="5">
        <v>102.7</v>
      </c>
      <c r="H25667" s="5">
        <v>102.6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103.3</v>
      </c>
      <c r="D25668" s="5">
        <v>0.1</v>
      </c>
      <c r="E25668" s="5">
        <v>103.4</v>
      </c>
      <c r="F25668" s="5">
        <v>206</v>
      </c>
      <c r="G25668" s="5">
        <v>102.9</v>
      </c>
      <c r="H25668" s="5">
        <v>102.8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103.3</v>
      </c>
      <c r="D25669" s="5">
        <v>0.1</v>
      </c>
      <c r="E25669" s="5">
        <v>103.4</v>
      </c>
      <c r="F25669" s="5">
        <v>206</v>
      </c>
      <c r="G25669" s="5">
        <v>102.9</v>
      </c>
      <c r="H25669" s="5">
        <v>102.8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102.7</v>
      </c>
      <c r="D25670" s="5">
        <v>0.1</v>
      </c>
      <c r="E25670" s="5">
        <v>102.8</v>
      </c>
      <c r="F25670" s="5">
        <v>205.3</v>
      </c>
      <c r="G25670" s="5">
        <v>102.5</v>
      </c>
      <c r="H25670" s="5">
        <v>102.3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102.7</v>
      </c>
      <c r="D25671" s="5">
        <v>0.1</v>
      </c>
      <c r="E25671" s="5">
        <v>102.8</v>
      </c>
      <c r="F25671" s="5">
        <v>205.3</v>
      </c>
      <c r="G25671" s="5">
        <v>102.5</v>
      </c>
      <c r="H25671" s="5">
        <v>102.3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102.9</v>
      </c>
      <c r="D25672" s="5">
        <v>0.1</v>
      </c>
      <c r="E25672" s="5">
        <v>103.1</v>
      </c>
      <c r="F25672" s="5">
        <v>205.6</v>
      </c>
      <c r="G25672" s="5">
        <v>102.6</v>
      </c>
      <c r="H25672" s="5">
        <v>102.5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102.9</v>
      </c>
      <c r="D25673" s="5">
        <v>0.1</v>
      </c>
      <c r="E25673" s="5">
        <v>103.1</v>
      </c>
      <c r="F25673" s="5">
        <v>205.6</v>
      </c>
      <c r="G25673" s="5">
        <v>102.6</v>
      </c>
      <c r="H25673" s="5">
        <v>102.5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102.9</v>
      </c>
      <c r="D25674" s="5">
        <v>0.1</v>
      </c>
      <c r="E25674" s="5">
        <v>103.1</v>
      </c>
      <c r="F25674" s="5">
        <v>205.6</v>
      </c>
      <c r="G25674" s="5">
        <v>102.6</v>
      </c>
      <c r="H25674" s="5">
        <v>102.5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102.9</v>
      </c>
      <c r="D25675" s="5">
        <v>0.1</v>
      </c>
      <c r="E25675" s="5">
        <v>103.1</v>
      </c>
      <c r="F25675" s="5">
        <v>205.6</v>
      </c>
      <c r="G25675" s="5">
        <v>102.6</v>
      </c>
      <c r="H25675" s="5">
        <v>102.5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102.8</v>
      </c>
      <c r="D25676" s="5">
        <v>0.1</v>
      </c>
      <c r="E25676" s="5">
        <v>103</v>
      </c>
      <c r="F25676" s="5">
        <v>205.4</v>
      </c>
      <c r="G25676" s="5">
        <v>102.5</v>
      </c>
      <c r="H25676" s="5">
        <v>102.4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102.8</v>
      </c>
      <c r="D25677" s="5">
        <v>0.1</v>
      </c>
      <c r="E25677" s="5">
        <v>103</v>
      </c>
      <c r="F25677" s="5">
        <v>205.4</v>
      </c>
      <c r="G25677" s="5">
        <v>102.5</v>
      </c>
      <c r="H25677" s="5">
        <v>102.4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103.7</v>
      </c>
      <c r="D25678" s="5">
        <v>0.1</v>
      </c>
      <c r="E25678" s="5">
        <v>103.8</v>
      </c>
      <c r="F25678" s="5">
        <v>205.8</v>
      </c>
      <c r="G25678" s="5">
        <v>102.8</v>
      </c>
      <c r="H25678" s="5">
        <v>102.7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103.7</v>
      </c>
      <c r="D25679" s="5">
        <v>0.1</v>
      </c>
      <c r="E25679" s="5">
        <v>103.8</v>
      </c>
      <c r="F25679" s="5">
        <v>205.8</v>
      </c>
      <c r="G25679" s="5">
        <v>102.8</v>
      </c>
      <c r="H25679" s="5">
        <v>102.7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102.3</v>
      </c>
      <c r="D25680" s="5">
        <v>0.1</v>
      </c>
      <c r="E25680" s="5">
        <v>102.4</v>
      </c>
      <c r="F25680" s="5">
        <v>204.4</v>
      </c>
      <c r="G25680" s="5">
        <v>102</v>
      </c>
      <c r="H25680" s="5">
        <v>101.9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102.3</v>
      </c>
      <c r="D25681" s="5">
        <v>0.1</v>
      </c>
      <c r="E25681" s="5">
        <v>102.4</v>
      </c>
      <c r="F25681" s="5">
        <v>204.4</v>
      </c>
      <c r="G25681" s="5">
        <v>102</v>
      </c>
      <c r="H25681" s="5">
        <v>101.9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102.4</v>
      </c>
      <c r="D25682" s="5">
        <v>0.1</v>
      </c>
      <c r="E25682" s="5">
        <v>102.5</v>
      </c>
      <c r="F25682" s="5">
        <v>204.7</v>
      </c>
      <c r="G25682" s="5">
        <v>102.1</v>
      </c>
      <c r="H25682" s="5">
        <v>101.9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102.4</v>
      </c>
      <c r="D25683" s="5">
        <v>0.1</v>
      </c>
      <c r="E25683" s="5">
        <v>102.5</v>
      </c>
      <c r="F25683" s="5">
        <v>204.7</v>
      </c>
      <c r="G25683" s="5">
        <v>102.1</v>
      </c>
      <c r="H25683" s="5">
        <v>101.9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102.4</v>
      </c>
      <c r="D25684" s="5">
        <v>0.1</v>
      </c>
      <c r="E25684" s="5">
        <v>102.5</v>
      </c>
      <c r="F25684" s="5">
        <v>204.7</v>
      </c>
      <c r="G25684" s="5">
        <v>102.1</v>
      </c>
      <c r="H25684" s="5">
        <v>101.9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102.4</v>
      </c>
      <c r="D25685" s="5">
        <v>0.1</v>
      </c>
      <c r="E25685" s="5">
        <v>103.3</v>
      </c>
      <c r="F25685" s="5">
        <v>206</v>
      </c>
      <c r="G25685" s="5">
        <v>102.8</v>
      </c>
      <c r="H25685" s="5">
        <v>102.7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103.1</v>
      </c>
      <c r="D25686" s="5">
        <v>0.1</v>
      </c>
      <c r="E25686" s="5">
        <v>103.3</v>
      </c>
      <c r="F25686" s="5">
        <v>206</v>
      </c>
      <c r="G25686" s="5">
        <v>102.8</v>
      </c>
      <c r="H25686" s="5">
        <v>102.7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103.1</v>
      </c>
      <c r="D25687" s="5">
        <v>0.1</v>
      </c>
      <c r="E25687" s="5">
        <v>102.5</v>
      </c>
      <c r="F25687" s="5">
        <v>204.4</v>
      </c>
      <c r="G25687" s="5">
        <v>101.8</v>
      </c>
      <c r="H25687" s="5">
        <v>101.5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102.4</v>
      </c>
      <c r="D25688" s="5">
        <v>0.1</v>
      </c>
      <c r="E25688" s="5">
        <v>102.5</v>
      </c>
      <c r="F25688" s="5">
        <v>204.4</v>
      </c>
      <c r="G25688" s="5">
        <v>101.8</v>
      </c>
      <c r="H25688" s="5">
        <v>101.5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102.4</v>
      </c>
      <c r="D25689" s="5">
        <v>0.1</v>
      </c>
      <c r="E25689" s="5">
        <v>103.2</v>
      </c>
      <c r="F25689" s="5">
        <v>205.6</v>
      </c>
      <c r="G25689" s="5">
        <v>102.5</v>
      </c>
      <c r="H25689" s="5">
        <v>102.3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103.1</v>
      </c>
      <c r="D25690" s="5">
        <v>0.1</v>
      </c>
      <c r="E25690" s="5">
        <v>103.2</v>
      </c>
      <c r="F25690" s="5">
        <v>205.6</v>
      </c>
      <c r="G25690" s="5">
        <v>102.5</v>
      </c>
      <c r="H25690" s="5">
        <v>102.3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103.1</v>
      </c>
      <c r="D25691" s="5">
        <v>0.1</v>
      </c>
      <c r="E25691" s="5">
        <v>103.2</v>
      </c>
      <c r="F25691" s="5">
        <v>206.1</v>
      </c>
      <c r="G25691" s="5">
        <v>102.8</v>
      </c>
      <c r="H25691" s="5">
        <v>102.6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103.2</v>
      </c>
      <c r="D25692" s="5">
        <v>0.1</v>
      </c>
      <c r="E25692" s="5">
        <v>103.4</v>
      </c>
      <c r="F25692" s="5">
        <v>206.1</v>
      </c>
      <c r="G25692" s="5">
        <v>102.8</v>
      </c>
      <c r="H25692" s="5">
        <v>102.6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103.2</v>
      </c>
      <c r="D25693" s="5">
        <v>0.1</v>
      </c>
      <c r="E25693" s="5">
        <v>103.4</v>
      </c>
      <c r="F25693" s="5">
        <v>206.1</v>
      </c>
      <c r="G25693" s="5">
        <v>102.8</v>
      </c>
      <c r="H25693" s="5">
        <v>102.6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103.2</v>
      </c>
      <c r="D25694" s="5">
        <v>0.1</v>
      </c>
      <c r="E25694" s="5">
        <v>103.4</v>
      </c>
      <c r="F25694" s="5">
        <v>206.1</v>
      </c>
      <c r="G25694" s="5">
        <v>102.8</v>
      </c>
      <c r="H25694" s="5">
        <v>102.6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103.4</v>
      </c>
      <c r="D25695" s="5">
        <v>0.1</v>
      </c>
      <c r="E25695" s="5">
        <v>103.6</v>
      </c>
      <c r="F25695" s="5">
        <v>207</v>
      </c>
      <c r="G25695" s="5">
        <v>103.3</v>
      </c>
      <c r="H25695" s="5">
        <v>103.2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103.4</v>
      </c>
      <c r="D25696" s="5">
        <v>0.1</v>
      </c>
      <c r="E25696" s="5">
        <v>103.6</v>
      </c>
      <c r="F25696" s="5">
        <v>207</v>
      </c>
      <c r="G25696" s="5">
        <v>103.3</v>
      </c>
      <c r="H25696" s="5">
        <v>103.2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103.1</v>
      </c>
      <c r="D25697" s="5">
        <v>0.1</v>
      </c>
      <c r="E25697" s="5">
        <v>103.3</v>
      </c>
      <c r="F25697" s="5">
        <v>206.4</v>
      </c>
      <c r="G25697" s="5">
        <v>103</v>
      </c>
      <c r="H25697" s="5">
        <v>102.8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103.1</v>
      </c>
      <c r="D25698" s="5">
        <v>0.1</v>
      </c>
      <c r="E25698" s="5">
        <v>103.3</v>
      </c>
      <c r="F25698" s="5">
        <v>206.4</v>
      </c>
      <c r="G25698" s="5">
        <v>103</v>
      </c>
      <c r="H25698" s="5">
        <v>102.8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103.4</v>
      </c>
      <c r="D25699" s="5">
        <v>0.1</v>
      </c>
      <c r="E25699" s="5">
        <v>103.5</v>
      </c>
      <c r="F25699" s="5">
        <v>206.6</v>
      </c>
      <c r="G25699" s="5">
        <v>103.1</v>
      </c>
      <c r="H25699" s="5">
        <v>103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103.4</v>
      </c>
      <c r="D25700" s="5">
        <v>0.1</v>
      </c>
      <c r="E25700" s="5">
        <v>103.5</v>
      </c>
      <c r="F25700" s="5">
        <v>206.6</v>
      </c>
      <c r="G25700" s="5">
        <v>103.1</v>
      </c>
      <c r="H25700" s="5">
        <v>103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103.4</v>
      </c>
      <c r="D25701" s="5">
        <v>0.1</v>
      </c>
      <c r="E25701" s="5">
        <v>103.6</v>
      </c>
      <c r="F25701" s="5">
        <v>206.4</v>
      </c>
      <c r="G25701" s="5">
        <v>103</v>
      </c>
      <c r="H25701" s="5">
        <v>102.9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103.4</v>
      </c>
      <c r="D25702" s="5">
        <v>0.1</v>
      </c>
      <c r="E25702" s="5">
        <v>103.6</v>
      </c>
      <c r="F25702" s="5">
        <v>206.4</v>
      </c>
      <c r="G25702" s="5">
        <v>103</v>
      </c>
      <c r="H25702" s="5">
        <v>102.9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103.4</v>
      </c>
      <c r="D25703" s="5">
        <v>0.1</v>
      </c>
      <c r="E25703" s="5">
        <v>103.6</v>
      </c>
      <c r="F25703" s="5">
        <v>206.4</v>
      </c>
      <c r="G25703" s="5">
        <v>103</v>
      </c>
      <c r="H25703" s="5">
        <v>102.9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103.4</v>
      </c>
      <c r="D25704" s="5">
        <v>0.1</v>
      </c>
      <c r="E25704" s="5">
        <v>103.6</v>
      </c>
      <c r="F25704" s="5">
        <v>206.4</v>
      </c>
      <c r="G25704" s="5">
        <v>103</v>
      </c>
      <c r="H25704" s="5">
        <v>102.9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103.7</v>
      </c>
      <c r="D25705" s="5">
        <v>0.1</v>
      </c>
      <c r="E25705" s="5">
        <v>103.9</v>
      </c>
      <c r="F25705" s="5">
        <v>206.6</v>
      </c>
      <c r="G25705" s="5">
        <v>103.1</v>
      </c>
      <c r="H25705" s="5">
        <v>102.9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103.7</v>
      </c>
      <c r="D25706" s="5">
        <v>0.1</v>
      </c>
      <c r="E25706" s="5">
        <v>103.9</v>
      </c>
      <c r="F25706" s="5">
        <v>206.6</v>
      </c>
      <c r="G25706" s="5">
        <v>103.1</v>
      </c>
      <c r="H25706" s="5">
        <v>103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101.3</v>
      </c>
      <c r="D25707" s="5">
        <v>0.1</v>
      </c>
      <c r="E25707" s="5">
        <v>101.5</v>
      </c>
      <c r="F25707" s="5">
        <v>206.6</v>
      </c>
      <c r="G25707" s="5">
        <v>103.1</v>
      </c>
      <c r="H25707" s="5">
        <v>103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101.3</v>
      </c>
      <c r="D25708" s="5">
        <v>0.1</v>
      </c>
      <c r="E25708" s="5">
        <v>101.5</v>
      </c>
      <c r="F25708" s="5">
        <v>204.8</v>
      </c>
      <c r="G25708" s="5">
        <v>102.2</v>
      </c>
      <c r="H25708" s="5">
        <v>102.1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103.3</v>
      </c>
      <c r="D25709" s="5">
        <v>0.1</v>
      </c>
      <c r="E25709" s="5">
        <v>103.4</v>
      </c>
      <c r="F25709" s="5">
        <v>204.8</v>
      </c>
      <c r="G25709" s="5">
        <v>102.2</v>
      </c>
      <c r="H25709" s="5">
        <v>102.1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103.3</v>
      </c>
      <c r="D25710" s="5">
        <v>0.1</v>
      </c>
      <c r="E25710" s="5">
        <v>103.4</v>
      </c>
      <c r="F25710" s="5">
        <v>206</v>
      </c>
      <c r="G25710" s="5">
        <v>102.7</v>
      </c>
      <c r="H25710" s="5">
        <v>102.5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103.3</v>
      </c>
      <c r="D25711" s="5">
        <v>0.1</v>
      </c>
      <c r="E25711" s="5">
        <v>103.4</v>
      </c>
      <c r="F25711" s="5">
        <v>206</v>
      </c>
      <c r="G25711" s="5">
        <v>102.7</v>
      </c>
      <c r="H25711" s="5">
        <v>102.5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103.1</v>
      </c>
      <c r="D25712" s="5">
        <v>0.1</v>
      </c>
      <c r="E25712" s="5">
        <v>103.3</v>
      </c>
      <c r="F25712" s="5">
        <v>206.3</v>
      </c>
      <c r="G25712" s="5">
        <v>102.9</v>
      </c>
      <c r="H25712" s="5">
        <v>102.8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103.1</v>
      </c>
      <c r="D25713" s="5">
        <v>0.1</v>
      </c>
      <c r="E25713" s="5">
        <v>103.3</v>
      </c>
      <c r="F25713" s="5">
        <v>206.3</v>
      </c>
      <c r="G25713" s="5">
        <v>102.9</v>
      </c>
      <c r="H25713" s="5">
        <v>102.8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103.1</v>
      </c>
      <c r="D25714" s="5">
        <v>0.1</v>
      </c>
      <c r="E25714" s="5">
        <v>103.3</v>
      </c>
      <c r="F25714" s="5">
        <v>206.3</v>
      </c>
      <c r="G25714" s="5">
        <v>102.9</v>
      </c>
      <c r="H25714" s="5">
        <v>102.8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104.8</v>
      </c>
      <c r="D25715" s="5">
        <v>0.1</v>
      </c>
      <c r="E25715" s="5">
        <v>105</v>
      </c>
      <c r="F25715" s="5">
        <v>209.5</v>
      </c>
      <c r="G25715" s="5">
        <v>104.3</v>
      </c>
      <c r="H25715" s="5">
        <v>104.2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104.8</v>
      </c>
      <c r="D25716" s="5">
        <v>0.1</v>
      </c>
      <c r="E25716" s="5">
        <v>105</v>
      </c>
      <c r="F25716" s="5">
        <v>209.5</v>
      </c>
      <c r="G25716" s="5">
        <v>104.3</v>
      </c>
      <c r="H25716" s="5">
        <v>104.2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104.8</v>
      </c>
      <c r="D25717" s="5">
        <v>0.1</v>
      </c>
      <c r="E25717" s="5">
        <v>104.3</v>
      </c>
      <c r="F25717" s="5">
        <v>207.9</v>
      </c>
      <c r="G25717" s="5">
        <v>103.7</v>
      </c>
      <c r="H25717" s="5">
        <v>103.6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104.2</v>
      </c>
      <c r="D25718" s="5">
        <v>0.1</v>
      </c>
      <c r="E25718" s="5">
        <v>104.3</v>
      </c>
      <c r="F25718" s="5">
        <v>207.9</v>
      </c>
      <c r="G25718" s="5">
        <v>103.7</v>
      </c>
      <c r="H25718" s="5">
        <v>103.6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104.2</v>
      </c>
      <c r="D25719" s="5">
        <v>0.1</v>
      </c>
      <c r="E25719" s="5">
        <v>104.3</v>
      </c>
      <c r="F25719" s="5">
        <v>207.9</v>
      </c>
      <c r="G25719" s="5">
        <v>103.9</v>
      </c>
      <c r="H25719" s="5">
        <v>103.8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104.3</v>
      </c>
      <c r="D25720" s="5">
        <v>0.1</v>
      </c>
      <c r="E25720" s="5">
        <v>104.3</v>
      </c>
      <c r="F25720" s="5">
        <v>208.2</v>
      </c>
      <c r="G25720" s="5">
        <v>103.9</v>
      </c>
      <c r="H25720" s="5">
        <v>103.8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104.3</v>
      </c>
      <c r="D25721" s="5">
        <v>0.1</v>
      </c>
      <c r="E25721" s="5">
        <v>104.3</v>
      </c>
      <c r="F25721" s="5">
        <v>208.2</v>
      </c>
      <c r="G25721" s="5">
        <v>103.9</v>
      </c>
      <c r="H25721" s="5">
        <v>103.7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104.2</v>
      </c>
      <c r="D25722" s="5">
        <v>0.1</v>
      </c>
      <c r="E25722" s="5">
        <v>104.3</v>
      </c>
      <c r="F25722" s="5">
        <v>208</v>
      </c>
      <c r="G25722" s="5">
        <v>103.9</v>
      </c>
      <c r="H25722" s="5">
        <v>103.7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104.2</v>
      </c>
      <c r="D25723" s="5">
        <v>0.1</v>
      </c>
      <c r="E25723" s="5">
        <v>104.3</v>
      </c>
      <c r="F25723" s="5">
        <v>208</v>
      </c>
      <c r="G25723" s="5">
        <v>103.9</v>
      </c>
      <c r="H25723" s="5">
        <v>103.7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104.2</v>
      </c>
      <c r="D25724" s="5">
        <v>0.1</v>
      </c>
      <c r="E25724" s="5">
        <v>104.3</v>
      </c>
      <c r="F25724" s="5">
        <v>208</v>
      </c>
      <c r="G25724" s="5">
        <v>103.9</v>
      </c>
      <c r="H25724" s="5">
        <v>103.7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104.3</v>
      </c>
      <c r="D25725" s="5">
        <v>0.1</v>
      </c>
      <c r="E25725" s="5">
        <v>104.4</v>
      </c>
      <c r="F25725" s="5">
        <v>208.3</v>
      </c>
      <c r="G25725" s="5">
        <v>104</v>
      </c>
      <c r="H25725" s="5">
        <v>103.8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104.3</v>
      </c>
      <c r="D25726" s="5">
        <v>0.1</v>
      </c>
      <c r="E25726" s="5">
        <v>104.4</v>
      </c>
      <c r="F25726" s="5">
        <v>208.3</v>
      </c>
      <c r="G25726" s="5">
        <v>104</v>
      </c>
      <c r="H25726" s="5">
        <v>103.8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103.4</v>
      </c>
      <c r="D25727" s="5">
        <v>0.1</v>
      </c>
      <c r="E25727" s="5">
        <v>104.2</v>
      </c>
      <c r="F25727" s="5">
        <v>207.4</v>
      </c>
      <c r="G25727" s="5">
        <v>103.5</v>
      </c>
      <c r="H25727" s="5">
        <v>103.4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103.4</v>
      </c>
      <c r="D25728" s="5">
        <v>0.1</v>
      </c>
      <c r="E25728" s="5">
        <v>104.2</v>
      </c>
      <c r="F25728" s="5">
        <v>207.4</v>
      </c>
      <c r="G25728" s="5">
        <v>103.5</v>
      </c>
      <c r="H25728" s="5">
        <v>103.4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104.3</v>
      </c>
      <c r="D25729" s="5">
        <v>0.1</v>
      </c>
      <c r="E25729" s="5">
        <v>104.4</v>
      </c>
      <c r="F25729" s="5">
        <v>207.8</v>
      </c>
      <c r="G25729" s="5">
        <v>103.7</v>
      </c>
      <c r="H25729" s="5">
        <v>103.6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104.3</v>
      </c>
      <c r="D25730" s="5">
        <v>0.1</v>
      </c>
      <c r="E25730" s="5">
        <v>104.4</v>
      </c>
      <c r="F25730" s="5">
        <v>207.8</v>
      </c>
      <c r="G25730" s="5">
        <v>103.7</v>
      </c>
      <c r="H25730" s="5">
        <v>103.6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102.9</v>
      </c>
      <c r="D25731" s="5">
        <v>0.1</v>
      </c>
      <c r="E25731" s="5">
        <v>103.5</v>
      </c>
      <c r="F25731" s="5">
        <v>206.3</v>
      </c>
      <c r="G25731" s="5">
        <v>102.9</v>
      </c>
      <c r="H25731" s="5">
        <v>102.7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102.9</v>
      </c>
      <c r="D25732" s="5">
        <v>0.1</v>
      </c>
      <c r="E25732" s="5">
        <v>103.5</v>
      </c>
      <c r="F25732" s="5">
        <v>206.3</v>
      </c>
      <c r="G25732" s="5">
        <v>102.9</v>
      </c>
      <c r="H25732" s="5">
        <v>102.7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102.9</v>
      </c>
      <c r="D25733" s="5">
        <v>0.1</v>
      </c>
      <c r="E25733" s="5">
        <v>103.5</v>
      </c>
      <c r="F25733" s="5">
        <v>206.3</v>
      </c>
      <c r="G25733" s="5">
        <v>102.9</v>
      </c>
      <c r="H25733" s="5">
        <v>102.7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102.9</v>
      </c>
      <c r="D25734" s="5">
        <v>0.1</v>
      </c>
      <c r="E25734" s="5">
        <v>103.5</v>
      </c>
      <c r="F25734" s="5">
        <v>206.3</v>
      </c>
      <c r="G25734" s="5">
        <v>102.9</v>
      </c>
      <c r="H25734" s="5">
        <v>102.7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103.7</v>
      </c>
      <c r="D25735" s="5">
        <v>0.1</v>
      </c>
      <c r="E25735" s="5">
        <v>103.8</v>
      </c>
      <c r="F25735" s="5">
        <v>207.2</v>
      </c>
      <c r="G25735" s="5">
        <v>103.3</v>
      </c>
      <c r="H25735" s="5">
        <v>103.1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103.7</v>
      </c>
      <c r="D25736" s="5">
        <v>0.1</v>
      </c>
      <c r="E25736" s="5">
        <v>103.8</v>
      </c>
      <c r="F25736" s="5">
        <v>207.2</v>
      </c>
      <c r="G25736" s="5">
        <v>103.3</v>
      </c>
      <c r="H25736" s="5">
        <v>103.1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103.1</v>
      </c>
      <c r="D25737" s="5">
        <v>0.1</v>
      </c>
      <c r="E25737" s="5">
        <v>103.3</v>
      </c>
      <c r="F25737" s="5">
        <v>206.9</v>
      </c>
      <c r="G25737" s="5">
        <v>103.2</v>
      </c>
      <c r="H25737" s="5">
        <v>103.1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103.1</v>
      </c>
      <c r="D25738" s="5">
        <v>0.1</v>
      </c>
      <c r="E25738" s="5">
        <v>103.3</v>
      </c>
      <c r="F25738" s="5">
        <v>206.9</v>
      </c>
      <c r="G25738" s="5">
        <v>103.2</v>
      </c>
      <c r="H25738" s="5">
        <v>103.1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103.7</v>
      </c>
      <c r="D25739" s="5">
        <v>0.1</v>
      </c>
      <c r="E25739" s="5">
        <v>103.9</v>
      </c>
      <c r="F25739" s="5">
        <v>207.1</v>
      </c>
      <c r="G25739" s="5">
        <v>103.3</v>
      </c>
      <c r="H25739" s="5">
        <v>103.1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103.7</v>
      </c>
      <c r="D25740" s="5">
        <v>0.1</v>
      </c>
      <c r="E25740" s="5">
        <v>103.9</v>
      </c>
      <c r="F25740" s="5">
        <v>207.1</v>
      </c>
      <c r="G25740" s="5">
        <v>103.3</v>
      </c>
      <c r="H25740" s="5">
        <v>103.1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103.6</v>
      </c>
      <c r="D25741" s="5">
        <v>0.1</v>
      </c>
      <c r="E25741" s="5">
        <v>103.7</v>
      </c>
      <c r="F25741" s="5">
        <v>207</v>
      </c>
      <c r="G25741" s="5">
        <v>103.3</v>
      </c>
      <c r="H25741" s="5">
        <v>103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103.6</v>
      </c>
      <c r="D25742" s="5">
        <v>0.1</v>
      </c>
      <c r="E25742" s="5">
        <v>103.7</v>
      </c>
      <c r="F25742" s="5">
        <v>207</v>
      </c>
      <c r="G25742" s="5">
        <v>103.3</v>
      </c>
      <c r="H25742" s="5">
        <v>103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103.6</v>
      </c>
      <c r="D25743" s="5">
        <v>0.1</v>
      </c>
      <c r="E25743" s="5">
        <v>103.7</v>
      </c>
      <c r="F25743" s="5">
        <v>207</v>
      </c>
      <c r="G25743" s="5">
        <v>103.3</v>
      </c>
      <c r="H25743" s="5">
        <v>103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103.6</v>
      </c>
      <c r="D25744" s="5">
        <v>0.1</v>
      </c>
      <c r="E25744" s="5">
        <v>103.7</v>
      </c>
      <c r="F25744" s="5">
        <v>207</v>
      </c>
      <c r="G25744" s="5">
        <v>103.3</v>
      </c>
      <c r="H25744" s="5">
        <v>103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103.9</v>
      </c>
      <c r="D25745" s="5">
        <v>0.1</v>
      </c>
      <c r="E25745" s="5">
        <v>104</v>
      </c>
      <c r="F25745" s="5">
        <v>207.3</v>
      </c>
      <c r="G25745" s="5">
        <v>103.5</v>
      </c>
      <c r="H25745" s="5">
        <v>103.3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103.9</v>
      </c>
      <c r="D25746" s="5">
        <v>0.1</v>
      </c>
      <c r="E25746" s="5">
        <v>104</v>
      </c>
      <c r="F25746" s="5">
        <v>207.3</v>
      </c>
      <c r="G25746" s="5">
        <v>103.5</v>
      </c>
      <c r="H25746" s="5">
        <v>103.3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104</v>
      </c>
      <c r="D25747" s="5">
        <v>0.1</v>
      </c>
      <c r="E25747" s="5">
        <v>104.1</v>
      </c>
      <c r="F25747" s="5">
        <v>207.5</v>
      </c>
      <c r="G25747" s="5">
        <v>103.6</v>
      </c>
      <c r="H25747" s="5">
        <v>103.4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104</v>
      </c>
      <c r="D25748" s="5">
        <v>0.1</v>
      </c>
      <c r="E25748" s="5">
        <v>104.1</v>
      </c>
      <c r="F25748" s="5">
        <v>207.5</v>
      </c>
      <c r="G25748" s="5">
        <v>103.6</v>
      </c>
      <c r="H25748" s="5">
        <v>103.4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103.8</v>
      </c>
      <c r="D25749" s="5">
        <v>0.1</v>
      </c>
      <c r="E25749" s="5">
        <v>104</v>
      </c>
      <c r="F25749" s="5">
        <v>207.9</v>
      </c>
      <c r="G25749" s="5">
        <v>103.7</v>
      </c>
      <c r="H25749" s="5">
        <v>103.6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103.8</v>
      </c>
      <c r="D25750" s="5">
        <v>0.1</v>
      </c>
      <c r="E25750" s="5">
        <v>104</v>
      </c>
      <c r="F25750" s="5">
        <v>207.9</v>
      </c>
      <c r="G25750" s="5">
        <v>103.7</v>
      </c>
      <c r="H25750" s="5">
        <v>103.6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103.4</v>
      </c>
      <c r="D25751" s="5">
        <v>0.1</v>
      </c>
      <c r="E25751" s="5">
        <v>103.6</v>
      </c>
      <c r="F25751" s="5">
        <v>207.1</v>
      </c>
      <c r="G25751" s="5">
        <v>103.3</v>
      </c>
      <c r="H25751" s="5">
        <v>103.1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103.4</v>
      </c>
      <c r="D25752" s="5">
        <v>0.1</v>
      </c>
      <c r="E25752" s="5">
        <v>103.6</v>
      </c>
      <c r="F25752" s="5">
        <v>207.1</v>
      </c>
      <c r="G25752" s="5">
        <v>103.3</v>
      </c>
      <c r="H25752" s="5">
        <v>103.1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103.4</v>
      </c>
      <c r="D25753" s="5">
        <v>0.1</v>
      </c>
      <c r="E25753" s="5">
        <v>103.6</v>
      </c>
      <c r="F25753" s="5">
        <v>207.1</v>
      </c>
      <c r="G25753" s="5">
        <v>103.3</v>
      </c>
      <c r="H25753" s="5">
        <v>103.1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103.4</v>
      </c>
      <c r="D25754" s="5">
        <v>0.1</v>
      </c>
      <c r="E25754" s="5">
        <v>103.6</v>
      </c>
      <c r="F25754" s="5">
        <v>207.1</v>
      </c>
      <c r="G25754" s="5">
        <v>103.3</v>
      </c>
      <c r="H25754" s="5">
        <v>103.1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103.4</v>
      </c>
      <c r="D25755" s="5">
        <v>0.1</v>
      </c>
      <c r="E25755" s="5">
        <v>103.5</v>
      </c>
      <c r="F25755" s="5">
        <v>206.4</v>
      </c>
      <c r="G25755" s="5">
        <v>103.1</v>
      </c>
      <c r="H25755" s="5">
        <v>103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103.4</v>
      </c>
      <c r="D25756" s="5">
        <v>0.1</v>
      </c>
      <c r="E25756" s="5">
        <v>103.5</v>
      </c>
      <c r="F25756" s="5">
        <v>206.4</v>
      </c>
      <c r="G25756" s="5">
        <v>103.1</v>
      </c>
      <c r="H25756" s="5">
        <v>103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103.7</v>
      </c>
      <c r="D25757" s="5">
        <v>0.1</v>
      </c>
      <c r="E25757" s="5">
        <v>103.7</v>
      </c>
      <c r="F25757" s="5">
        <v>206.1</v>
      </c>
      <c r="G25757" s="5">
        <v>102.9</v>
      </c>
      <c r="H25757" s="5">
        <v>102.8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103.7</v>
      </c>
      <c r="D25758" s="5">
        <v>0.1</v>
      </c>
      <c r="E25758" s="5">
        <v>103.7</v>
      </c>
      <c r="F25758" s="5">
        <v>206.1</v>
      </c>
      <c r="G25758" s="5">
        <v>102.9</v>
      </c>
      <c r="H25758" s="5">
        <v>102.8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103.7</v>
      </c>
      <c r="D25759" s="5">
        <v>0.1</v>
      </c>
      <c r="E25759" s="5">
        <v>103.7</v>
      </c>
      <c r="F25759" s="5">
        <v>206.1</v>
      </c>
      <c r="G25759" s="5">
        <v>102.9</v>
      </c>
      <c r="H25759" s="5">
        <v>102.8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103.7</v>
      </c>
      <c r="D25760" s="5">
        <v>0.1</v>
      </c>
      <c r="E25760" s="5">
        <v>103.7</v>
      </c>
      <c r="F25760" s="5">
        <v>206.1</v>
      </c>
      <c r="G25760" s="5">
        <v>102.9</v>
      </c>
      <c r="H25760" s="5">
        <v>102.8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103.7</v>
      </c>
      <c r="D25761" s="5">
        <v>0.1</v>
      </c>
      <c r="E25761" s="5">
        <v>103.7</v>
      </c>
      <c r="F25761" s="5">
        <v>206.1</v>
      </c>
      <c r="G25761" s="5">
        <v>102.9</v>
      </c>
      <c r="H25761" s="5">
        <v>102.8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103.7</v>
      </c>
      <c r="D25762" s="5">
        <v>0.1</v>
      </c>
      <c r="E25762" s="5">
        <v>103.7</v>
      </c>
      <c r="F25762" s="5">
        <v>206.1</v>
      </c>
      <c r="G25762" s="5">
        <v>102.9</v>
      </c>
      <c r="H25762" s="5">
        <v>102.8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103.7</v>
      </c>
      <c r="D25763" s="5">
        <v>0.1</v>
      </c>
      <c r="E25763" s="5">
        <v>103.7</v>
      </c>
      <c r="F25763" s="5">
        <v>206.1</v>
      </c>
      <c r="G25763" s="5">
        <v>102.9</v>
      </c>
      <c r="H25763" s="5">
        <v>102.8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103.7</v>
      </c>
      <c r="D25764" s="5">
        <v>0.1</v>
      </c>
      <c r="E25764" s="5">
        <v>103.7</v>
      </c>
      <c r="F25764" s="5">
        <v>206.1</v>
      </c>
      <c r="G25764" s="5">
        <v>102.9</v>
      </c>
      <c r="H25764" s="5">
        <v>102.8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103.4</v>
      </c>
      <c r="D25765" s="5">
        <v>0.1</v>
      </c>
      <c r="E25765" s="5">
        <v>103.6</v>
      </c>
      <c r="F25765" s="5">
        <v>206.6</v>
      </c>
      <c r="G25765" s="5">
        <v>103.1</v>
      </c>
      <c r="H25765" s="5">
        <v>103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103.4</v>
      </c>
      <c r="D25766" s="5">
        <v>0.1</v>
      </c>
      <c r="E25766" s="5">
        <v>103.6</v>
      </c>
      <c r="F25766" s="5">
        <v>206.6</v>
      </c>
      <c r="G25766" s="5">
        <v>103.1</v>
      </c>
      <c r="H25766" s="5">
        <v>103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101.4</v>
      </c>
      <c r="D25767" s="5">
        <v>0.1</v>
      </c>
      <c r="E25767" s="5">
        <v>101.5</v>
      </c>
      <c r="F25767" s="5">
        <v>202.6</v>
      </c>
      <c r="G25767" s="5">
        <v>101.1</v>
      </c>
      <c r="H25767" s="5">
        <v>101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101.4</v>
      </c>
      <c r="D25768" s="5">
        <v>0.1</v>
      </c>
      <c r="E25768" s="5">
        <v>101.5</v>
      </c>
      <c r="F25768" s="5">
        <v>202.6</v>
      </c>
      <c r="G25768" s="5">
        <v>101.1</v>
      </c>
      <c r="H25768" s="5">
        <v>101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102.7</v>
      </c>
      <c r="D25769" s="5">
        <v>0.1</v>
      </c>
      <c r="E25769" s="5">
        <v>102.8</v>
      </c>
      <c r="F25769" s="5">
        <v>205.6</v>
      </c>
      <c r="G25769" s="5">
        <v>102.6</v>
      </c>
      <c r="H25769" s="5">
        <v>102.4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102.7</v>
      </c>
      <c r="D25770" s="5">
        <v>0.1</v>
      </c>
      <c r="E25770" s="5">
        <v>102.8</v>
      </c>
      <c r="F25770" s="5">
        <v>205.6</v>
      </c>
      <c r="G25770" s="5">
        <v>102.6</v>
      </c>
      <c r="H25770" s="5">
        <v>102.4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102.4</v>
      </c>
      <c r="D25771" s="5">
        <v>0.1</v>
      </c>
      <c r="E25771" s="5">
        <v>102.5</v>
      </c>
      <c r="F25771" s="5">
        <v>204.7</v>
      </c>
      <c r="G25771" s="5">
        <v>102.2</v>
      </c>
      <c r="H25771" s="5">
        <v>102.1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102.4</v>
      </c>
      <c r="D25772" s="5">
        <v>0.1</v>
      </c>
      <c r="E25772" s="5">
        <v>102.5</v>
      </c>
      <c r="F25772" s="5">
        <v>204.7</v>
      </c>
      <c r="G25772" s="5">
        <v>102.2</v>
      </c>
      <c r="H25772" s="5">
        <v>102.1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102.4</v>
      </c>
      <c r="D25773" s="5">
        <v>0.1</v>
      </c>
      <c r="E25773" s="5">
        <v>102.5</v>
      </c>
      <c r="F25773" s="5">
        <v>204.7</v>
      </c>
      <c r="G25773" s="5">
        <v>102.2</v>
      </c>
      <c r="H25773" s="5">
        <v>102.1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102.4</v>
      </c>
      <c r="D25774" s="5">
        <v>0.1</v>
      </c>
      <c r="E25774" s="5">
        <v>102.5</v>
      </c>
      <c r="F25774" s="5">
        <v>204.7</v>
      </c>
      <c r="G25774" s="5">
        <v>102.2</v>
      </c>
      <c r="H25774" s="5">
        <v>102.1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102.6</v>
      </c>
      <c r="D25775" s="5">
        <v>0.1</v>
      </c>
      <c r="E25775" s="5">
        <v>102.7</v>
      </c>
      <c r="F25775" s="5">
        <v>205</v>
      </c>
      <c r="G25775" s="5">
        <v>102.2</v>
      </c>
      <c r="H25775" s="5">
        <v>102.1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102.6</v>
      </c>
      <c r="D25776" s="5">
        <v>0.1</v>
      </c>
      <c r="E25776" s="5">
        <v>102.7</v>
      </c>
      <c r="F25776" s="5">
        <v>205</v>
      </c>
      <c r="G25776" s="5">
        <v>102.2</v>
      </c>
      <c r="H25776" s="5">
        <v>102.1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102.9</v>
      </c>
      <c r="D25777" s="5">
        <v>0.1</v>
      </c>
      <c r="E25777" s="5">
        <v>103</v>
      </c>
      <c r="F25777" s="5">
        <v>205.7</v>
      </c>
      <c r="G25777" s="5">
        <v>102.7</v>
      </c>
      <c r="H25777" s="5">
        <v>102.4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102.9</v>
      </c>
      <c r="D25778" s="5">
        <v>0.1</v>
      </c>
      <c r="E25778" s="5">
        <v>103</v>
      </c>
      <c r="F25778" s="5">
        <v>205.7</v>
      </c>
      <c r="G25778" s="5">
        <v>102.7</v>
      </c>
      <c r="H25778" s="5">
        <v>102.4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102.7</v>
      </c>
      <c r="D25779" s="5">
        <v>0.1</v>
      </c>
      <c r="E25779" s="5">
        <v>102.9</v>
      </c>
      <c r="F25779" s="5">
        <v>205.6</v>
      </c>
      <c r="G25779" s="5">
        <v>102.6</v>
      </c>
      <c r="H25779" s="5">
        <v>102.5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102.7</v>
      </c>
      <c r="D25780" s="5">
        <v>0.1</v>
      </c>
      <c r="E25780" s="5">
        <v>102.9</v>
      </c>
      <c r="F25780" s="5">
        <v>205.6</v>
      </c>
      <c r="G25780" s="5">
        <v>102.6</v>
      </c>
      <c r="H25780" s="5">
        <v>102.5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102.7</v>
      </c>
      <c r="D25781" s="5">
        <v>0.1</v>
      </c>
      <c r="E25781" s="5">
        <v>102.9</v>
      </c>
      <c r="F25781" s="5">
        <v>206.2</v>
      </c>
      <c r="G25781" s="5">
        <v>102.8</v>
      </c>
      <c r="H25781" s="5">
        <v>102.7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102.7</v>
      </c>
      <c r="D25782" s="5">
        <v>0.1</v>
      </c>
      <c r="E25782" s="5">
        <v>102.9</v>
      </c>
      <c r="F25782" s="5">
        <v>206.2</v>
      </c>
      <c r="G25782" s="5">
        <v>102.8</v>
      </c>
      <c r="H25782" s="5">
        <v>102.7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102.7</v>
      </c>
      <c r="D25783" s="5">
        <v>0.1</v>
      </c>
      <c r="E25783" s="5">
        <v>102.9</v>
      </c>
      <c r="F25783" s="5">
        <v>206.2</v>
      </c>
      <c r="G25783" s="5">
        <v>102.8</v>
      </c>
      <c r="H25783" s="5">
        <v>102.7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102.7</v>
      </c>
      <c r="D25784" s="5">
        <v>0.1</v>
      </c>
      <c r="E25784" s="5">
        <v>102.9</v>
      </c>
      <c r="F25784" s="5">
        <v>206.2</v>
      </c>
      <c r="G25784" s="5">
        <v>102.8</v>
      </c>
      <c r="H25784" s="5">
        <v>102.7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102.3</v>
      </c>
      <c r="D25785" s="5">
        <v>0.1</v>
      </c>
      <c r="E25785" s="5">
        <v>102.4</v>
      </c>
      <c r="F25785" s="5">
        <v>204.3</v>
      </c>
      <c r="G25785" s="5">
        <v>101.9</v>
      </c>
      <c r="H25785" s="5">
        <v>101.8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102.3</v>
      </c>
      <c r="D25786" s="5">
        <v>0.1</v>
      </c>
      <c r="E25786" s="5">
        <v>102.4</v>
      </c>
      <c r="F25786" s="5">
        <v>204.3</v>
      </c>
      <c r="G25786" s="5">
        <v>101.9</v>
      </c>
      <c r="H25786" s="5">
        <v>101.8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102.1</v>
      </c>
      <c r="D25787" s="5">
        <v>0.1</v>
      </c>
      <c r="E25787" s="5">
        <v>102.3</v>
      </c>
      <c r="F25787" s="5">
        <v>204.4</v>
      </c>
      <c r="G25787" s="5">
        <v>102</v>
      </c>
      <c r="H25787" s="5">
        <v>101.9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102.1</v>
      </c>
      <c r="D25788" s="5">
        <v>0.1</v>
      </c>
      <c r="E25788" s="5">
        <v>102.3</v>
      </c>
      <c r="F25788" s="5">
        <v>204.4</v>
      </c>
      <c r="G25788" s="5">
        <v>102</v>
      </c>
      <c r="H25788" s="5">
        <v>101.9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102.4</v>
      </c>
      <c r="D25789" s="5">
        <v>0.1</v>
      </c>
      <c r="E25789" s="5">
        <v>102.5</v>
      </c>
      <c r="F25789" s="5">
        <v>204.9</v>
      </c>
      <c r="G25789" s="5">
        <v>102.2</v>
      </c>
      <c r="H25789" s="5">
        <v>102.1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102.4</v>
      </c>
      <c r="D25790" s="5">
        <v>0.1</v>
      </c>
      <c r="E25790" s="5">
        <v>102.5</v>
      </c>
      <c r="F25790" s="5">
        <v>204.9</v>
      </c>
      <c r="G25790" s="5">
        <v>102.2</v>
      </c>
      <c r="H25790" s="5">
        <v>102.1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103</v>
      </c>
      <c r="D25791" s="5">
        <v>0.1</v>
      </c>
      <c r="E25791" s="5">
        <v>103.1</v>
      </c>
      <c r="F25791" s="5">
        <v>206.3</v>
      </c>
      <c r="G25791" s="5">
        <v>102.9</v>
      </c>
      <c r="H25791" s="5">
        <v>102.7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103</v>
      </c>
      <c r="D25792" s="5">
        <v>0.1</v>
      </c>
      <c r="E25792" s="5">
        <v>103.1</v>
      </c>
      <c r="F25792" s="5">
        <v>206.3</v>
      </c>
      <c r="G25792" s="5">
        <v>102.9</v>
      </c>
      <c r="H25792" s="5">
        <v>102.7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103</v>
      </c>
      <c r="D25793" s="5">
        <v>0.1</v>
      </c>
      <c r="E25793" s="5">
        <v>103.1</v>
      </c>
      <c r="F25793" s="5">
        <v>206.3</v>
      </c>
      <c r="G25793" s="5">
        <v>102.9</v>
      </c>
      <c r="H25793" s="5">
        <v>102.7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103</v>
      </c>
      <c r="D25794" s="5">
        <v>0.1</v>
      </c>
      <c r="E25794" s="5">
        <v>103.1</v>
      </c>
      <c r="F25794" s="5">
        <v>206.3</v>
      </c>
      <c r="G25794" s="5">
        <v>102.9</v>
      </c>
      <c r="H25794" s="5">
        <v>102.7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103.8</v>
      </c>
      <c r="D25795" s="5">
        <v>0.1</v>
      </c>
      <c r="E25795" s="5">
        <v>104</v>
      </c>
      <c r="F25795" s="5">
        <v>207</v>
      </c>
      <c r="G25795" s="5">
        <v>103.3</v>
      </c>
      <c r="H25795" s="5">
        <v>103.1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103.8</v>
      </c>
      <c r="D25796" s="5">
        <v>0.1</v>
      </c>
      <c r="E25796" s="5">
        <v>104</v>
      </c>
      <c r="F25796" s="5">
        <v>207</v>
      </c>
      <c r="G25796" s="5">
        <v>103.3</v>
      </c>
      <c r="H25796" s="5">
        <v>103.1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103.4</v>
      </c>
      <c r="D25797" s="5">
        <v>0.1</v>
      </c>
      <c r="E25797" s="5">
        <v>103.5</v>
      </c>
      <c r="F25797" s="5">
        <v>206.2</v>
      </c>
      <c r="G25797" s="5">
        <v>102.9</v>
      </c>
      <c r="H25797" s="5">
        <v>102.7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103.4</v>
      </c>
      <c r="D25798" s="5">
        <v>0.1</v>
      </c>
      <c r="E25798" s="5">
        <v>103.5</v>
      </c>
      <c r="F25798" s="5">
        <v>206.2</v>
      </c>
      <c r="G25798" s="5">
        <v>102.9</v>
      </c>
      <c r="H25798" s="5">
        <v>102.7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102.5</v>
      </c>
      <c r="D25799" s="5">
        <v>0.1</v>
      </c>
      <c r="E25799" s="5">
        <v>102.7</v>
      </c>
      <c r="F25799" s="5">
        <v>204.2</v>
      </c>
      <c r="G25799" s="5">
        <v>101.9</v>
      </c>
      <c r="H25799" s="5">
        <v>101.7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102.5</v>
      </c>
      <c r="D25800" s="5">
        <v>0.1</v>
      </c>
      <c r="E25800" s="5">
        <v>102.7</v>
      </c>
      <c r="F25800" s="5">
        <v>204.2</v>
      </c>
      <c r="G25800" s="5">
        <v>101.9</v>
      </c>
      <c r="H25800" s="5">
        <v>101.7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101.6</v>
      </c>
      <c r="D25801" s="5">
        <v>0.1</v>
      </c>
      <c r="E25801" s="5">
        <v>101.8</v>
      </c>
      <c r="F25801" s="5">
        <v>202.7</v>
      </c>
      <c r="G25801" s="5">
        <v>101.1</v>
      </c>
      <c r="H25801" s="5">
        <v>100.9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101.6</v>
      </c>
      <c r="D25802" s="5">
        <v>0.1</v>
      </c>
      <c r="E25802" s="5">
        <v>101.8</v>
      </c>
      <c r="F25802" s="5">
        <v>202.7</v>
      </c>
      <c r="G25802" s="5">
        <v>101.1</v>
      </c>
      <c r="H25802" s="5">
        <v>100.9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101.6</v>
      </c>
      <c r="D25803" s="5">
        <v>0.1</v>
      </c>
      <c r="E25803" s="5">
        <v>101.8</v>
      </c>
      <c r="F25803" s="5">
        <v>202.7</v>
      </c>
      <c r="G25803" s="5">
        <v>101.1</v>
      </c>
      <c r="H25803" s="5">
        <v>100.9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101.6</v>
      </c>
      <c r="D25804" s="5">
        <v>0.1</v>
      </c>
      <c r="E25804" s="5">
        <v>101.8</v>
      </c>
      <c r="F25804" s="5">
        <v>202.7</v>
      </c>
      <c r="G25804" s="5">
        <v>101.1</v>
      </c>
      <c r="H25804" s="5">
        <v>100.9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101.5</v>
      </c>
      <c r="D25805" s="5">
        <v>0.1</v>
      </c>
      <c r="E25805" s="5">
        <v>101.7</v>
      </c>
      <c r="F25805" s="5">
        <v>202.3</v>
      </c>
      <c r="G25805" s="5">
        <v>100.9</v>
      </c>
      <c r="H25805" s="5">
        <v>100.7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101.5</v>
      </c>
      <c r="D25806" s="5">
        <v>0.1</v>
      </c>
      <c r="E25806" s="5">
        <v>101.7</v>
      </c>
      <c r="F25806" s="5">
        <v>202.3</v>
      </c>
      <c r="G25806" s="5">
        <v>100.9</v>
      </c>
      <c r="H25806" s="5">
        <v>100.7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101.7</v>
      </c>
      <c r="D25807" s="5">
        <v>0.1</v>
      </c>
      <c r="E25807" s="5">
        <v>101.8</v>
      </c>
      <c r="F25807" s="5">
        <v>202.9</v>
      </c>
      <c r="G25807" s="5">
        <v>101.2</v>
      </c>
      <c r="H25807" s="5">
        <v>101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101.7</v>
      </c>
      <c r="D25808" s="5">
        <v>0.1</v>
      </c>
      <c r="E25808" s="5">
        <v>101.8</v>
      </c>
      <c r="F25808" s="5">
        <v>202.9</v>
      </c>
      <c r="G25808" s="5">
        <v>101.2</v>
      </c>
      <c r="H25808" s="5">
        <v>101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101.5</v>
      </c>
      <c r="D25809" s="5">
        <v>0.1</v>
      </c>
      <c r="E25809" s="5">
        <v>101.5</v>
      </c>
      <c r="F25809" s="5">
        <v>202.4</v>
      </c>
      <c r="G25809" s="5">
        <v>101</v>
      </c>
      <c r="H25809" s="5">
        <v>100.9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101.5</v>
      </c>
      <c r="D25810" s="5">
        <v>0.1</v>
      </c>
      <c r="E25810" s="5">
        <v>101.5</v>
      </c>
      <c r="F25810" s="5">
        <v>202.4</v>
      </c>
      <c r="G25810" s="5">
        <v>101</v>
      </c>
      <c r="H25810" s="5">
        <v>100.9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99.5</v>
      </c>
      <c r="D25811" s="5">
        <v>0.1</v>
      </c>
      <c r="E25811" s="5">
        <v>99.7</v>
      </c>
      <c r="F25811" s="5">
        <v>201.2</v>
      </c>
      <c r="G25811" s="5">
        <v>100.2</v>
      </c>
      <c r="H25811" s="5">
        <v>99.9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99.5</v>
      </c>
      <c r="D25812" s="5">
        <v>0.1</v>
      </c>
      <c r="E25812" s="5">
        <v>99.7</v>
      </c>
      <c r="F25812" s="5">
        <v>201.2</v>
      </c>
      <c r="G25812" s="5">
        <v>100.2</v>
      </c>
      <c r="H25812" s="5">
        <v>99.9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99.5</v>
      </c>
      <c r="D25813" s="5">
        <v>0.1</v>
      </c>
      <c r="E25813" s="5">
        <v>99.7</v>
      </c>
      <c r="F25813" s="5">
        <v>201.2</v>
      </c>
      <c r="G25813" s="5">
        <v>100.2</v>
      </c>
      <c r="H25813" s="5">
        <v>99.9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99.5</v>
      </c>
      <c r="D25814" s="5">
        <v>0.1</v>
      </c>
      <c r="E25814" s="5">
        <v>99.7</v>
      </c>
      <c r="F25814" s="5">
        <v>201.2</v>
      </c>
      <c r="G25814" s="5">
        <v>100.2</v>
      </c>
      <c r="H25814" s="5">
        <v>99.9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100.8</v>
      </c>
      <c r="D25815" s="5">
        <v>0.1</v>
      </c>
      <c r="E25815" s="5">
        <v>101</v>
      </c>
      <c r="F25815" s="5">
        <v>202</v>
      </c>
      <c r="G25815" s="5">
        <v>100.8</v>
      </c>
      <c r="H25815" s="5">
        <v>100.6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100.8</v>
      </c>
      <c r="D25816" s="5">
        <v>0.1</v>
      </c>
      <c r="E25816" s="5">
        <v>101</v>
      </c>
      <c r="F25816" s="5">
        <v>202</v>
      </c>
      <c r="G25816" s="5">
        <v>100.8</v>
      </c>
      <c r="H25816" s="5">
        <v>100.6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99.7</v>
      </c>
      <c r="D25817" s="5">
        <v>0.1</v>
      </c>
      <c r="E25817" s="5">
        <v>99.9</v>
      </c>
      <c r="F25817" s="5">
        <v>199.3</v>
      </c>
      <c r="G25817" s="5">
        <v>99.5</v>
      </c>
      <c r="H25817" s="5">
        <v>99.4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99.7</v>
      </c>
      <c r="D25818" s="5">
        <v>0.1</v>
      </c>
      <c r="E25818" s="5">
        <v>99.9</v>
      </c>
      <c r="F25818" s="5">
        <v>199.3</v>
      </c>
      <c r="G25818" s="5">
        <v>99.5</v>
      </c>
      <c r="H25818" s="5">
        <v>99.4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100.2</v>
      </c>
      <c r="D25819" s="5">
        <v>0.1</v>
      </c>
      <c r="E25819" s="5">
        <v>100.2</v>
      </c>
      <c r="F25819" s="5">
        <v>200.1</v>
      </c>
      <c r="G25819" s="5">
        <v>99.8</v>
      </c>
      <c r="H25819" s="5">
        <v>99.7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100.2</v>
      </c>
      <c r="D25820" s="5">
        <v>0.1</v>
      </c>
      <c r="E25820" s="5">
        <v>100.2</v>
      </c>
      <c r="F25820" s="5">
        <v>200.1</v>
      </c>
      <c r="G25820" s="5">
        <v>99.8</v>
      </c>
      <c r="H25820" s="5">
        <v>99.7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100.2</v>
      </c>
      <c r="D25821" s="5">
        <v>0.1</v>
      </c>
      <c r="E25821" s="5">
        <v>100.3</v>
      </c>
      <c r="F25821" s="5">
        <v>200</v>
      </c>
      <c r="G25821" s="5">
        <v>99.8</v>
      </c>
      <c r="H25821" s="5">
        <v>99.7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100.2</v>
      </c>
      <c r="D25822" s="5">
        <v>0.1</v>
      </c>
      <c r="E25822" s="5">
        <v>100.3</v>
      </c>
      <c r="F25822" s="5">
        <v>200</v>
      </c>
      <c r="G25822" s="5">
        <v>99.8</v>
      </c>
      <c r="H25822" s="5">
        <v>99.7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100.2</v>
      </c>
      <c r="D25823" s="5">
        <v>0.1</v>
      </c>
      <c r="E25823" s="5">
        <v>100.3</v>
      </c>
      <c r="F25823" s="5">
        <v>200</v>
      </c>
      <c r="G25823" s="5">
        <v>99.8</v>
      </c>
      <c r="H25823" s="5">
        <v>99.7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100.2</v>
      </c>
      <c r="D25824" s="5">
        <v>0.1</v>
      </c>
      <c r="E25824" s="5">
        <v>102.9</v>
      </c>
      <c r="F25824" s="5">
        <v>204.3</v>
      </c>
      <c r="G25824" s="5">
        <v>101.9</v>
      </c>
      <c r="H25824" s="5">
        <v>101.9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103.3</v>
      </c>
      <c r="D25825" s="5">
        <v>0.1</v>
      </c>
      <c r="E25825" s="5">
        <v>103.4</v>
      </c>
      <c r="F25825" s="5">
        <v>205.5</v>
      </c>
      <c r="G25825" s="5">
        <v>102.5</v>
      </c>
      <c r="H25825" s="5">
        <v>102.4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103.3</v>
      </c>
      <c r="D25826" s="5">
        <v>0.1</v>
      </c>
      <c r="E25826" s="5">
        <v>103.4</v>
      </c>
      <c r="F25826" s="5">
        <v>205.5</v>
      </c>
      <c r="G25826" s="5">
        <v>102.5</v>
      </c>
      <c r="H25826" s="5">
        <v>102.4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102.6</v>
      </c>
      <c r="D25827" s="5">
        <v>0.1</v>
      </c>
      <c r="E25827" s="5">
        <v>102.7</v>
      </c>
      <c r="F25827" s="5">
        <v>204.7</v>
      </c>
      <c r="G25827" s="5">
        <v>102.1</v>
      </c>
      <c r="H25827" s="5">
        <v>102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102.6</v>
      </c>
      <c r="D25828" s="5">
        <v>0.1</v>
      </c>
      <c r="E25828" s="5">
        <v>102.7</v>
      </c>
      <c r="F25828" s="5">
        <v>204.7</v>
      </c>
      <c r="G25828" s="5">
        <v>102.1</v>
      </c>
      <c r="H25828" s="5">
        <v>102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102.4</v>
      </c>
      <c r="D25829" s="5">
        <v>0.1</v>
      </c>
      <c r="E25829" s="5">
        <v>102.6</v>
      </c>
      <c r="F25829" s="5">
        <v>205.5</v>
      </c>
      <c r="G25829" s="5">
        <v>102.4</v>
      </c>
      <c r="H25829" s="5">
        <v>102.2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102.4</v>
      </c>
      <c r="D25830" s="5">
        <v>0.1</v>
      </c>
      <c r="E25830" s="5">
        <v>102.6</v>
      </c>
      <c r="F25830" s="5">
        <v>205.5</v>
      </c>
      <c r="G25830" s="5">
        <v>102.4</v>
      </c>
      <c r="H25830" s="5">
        <v>102.2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102.4</v>
      </c>
      <c r="D25831" s="5">
        <v>0.1</v>
      </c>
      <c r="E25831" s="5">
        <v>102.6</v>
      </c>
      <c r="F25831" s="5">
        <v>205.5</v>
      </c>
      <c r="G25831" s="5">
        <v>102.4</v>
      </c>
      <c r="H25831" s="5">
        <v>102.2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102.4</v>
      </c>
      <c r="D25832" s="5">
        <v>0.1</v>
      </c>
      <c r="E25832" s="5">
        <v>102.6</v>
      </c>
      <c r="F25832" s="5">
        <v>205.5</v>
      </c>
      <c r="G25832" s="5">
        <v>102.4</v>
      </c>
      <c r="H25832" s="5">
        <v>102.2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104.6</v>
      </c>
      <c r="D25833" s="5">
        <v>0.1</v>
      </c>
      <c r="E25833" s="5">
        <v>104.8</v>
      </c>
      <c r="F25833" s="5">
        <v>207.1</v>
      </c>
      <c r="G25833" s="5">
        <v>103.7</v>
      </c>
      <c r="H25833" s="5">
        <v>103.6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104.6</v>
      </c>
      <c r="D25834" s="5">
        <v>0.1</v>
      </c>
      <c r="E25834" s="5">
        <v>104.8</v>
      </c>
      <c r="F25834" s="5">
        <v>207.1</v>
      </c>
      <c r="G25834" s="5">
        <v>103.7</v>
      </c>
      <c r="H25834" s="5">
        <v>103.6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103.7</v>
      </c>
      <c r="D25835" s="5">
        <v>0.1</v>
      </c>
      <c r="E25835" s="5">
        <v>103.8</v>
      </c>
      <c r="F25835" s="5">
        <v>206.8</v>
      </c>
      <c r="G25835" s="5">
        <v>103.2</v>
      </c>
      <c r="H25835" s="5">
        <v>103.1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103.7</v>
      </c>
      <c r="D25836" s="5">
        <v>0.1</v>
      </c>
      <c r="E25836" s="5">
        <v>103.8</v>
      </c>
      <c r="F25836" s="5">
        <v>206.8</v>
      </c>
      <c r="G25836" s="5">
        <v>103.2</v>
      </c>
      <c r="H25836" s="5">
        <v>103.1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103.8</v>
      </c>
      <c r="D25837" s="5">
        <v>0.1</v>
      </c>
      <c r="E25837" s="5">
        <v>104</v>
      </c>
      <c r="F25837" s="5">
        <v>207.8</v>
      </c>
      <c r="G25837" s="5">
        <v>103.7</v>
      </c>
      <c r="H25837" s="5">
        <v>103.6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103.8</v>
      </c>
      <c r="D25838" s="5">
        <v>0.1</v>
      </c>
      <c r="E25838" s="5">
        <v>104</v>
      </c>
      <c r="F25838" s="5">
        <v>207.8</v>
      </c>
      <c r="G25838" s="5">
        <v>103.7</v>
      </c>
      <c r="H25838" s="5">
        <v>103.6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103.5</v>
      </c>
      <c r="D25839" s="5">
        <v>0.1</v>
      </c>
      <c r="E25839" s="5">
        <v>103.7</v>
      </c>
      <c r="F25839" s="5">
        <v>207.2</v>
      </c>
      <c r="G25839" s="5">
        <v>103.4</v>
      </c>
      <c r="H25839" s="5">
        <v>103.2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103.5</v>
      </c>
      <c r="D25840" s="5">
        <v>0.1</v>
      </c>
      <c r="E25840" s="5">
        <v>103.7</v>
      </c>
      <c r="F25840" s="5">
        <v>207.2</v>
      </c>
      <c r="G25840" s="5">
        <v>103.4</v>
      </c>
      <c r="H25840" s="5">
        <v>103.2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103.5</v>
      </c>
      <c r="D25841" s="5">
        <v>0.1</v>
      </c>
      <c r="E25841" s="5">
        <v>103.7</v>
      </c>
      <c r="F25841" s="5">
        <v>207.2</v>
      </c>
      <c r="G25841" s="5">
        <v>103.4</v>
      </c>
      <c r="H25841" s="5">
        <v>103.2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103.5</v>
      </c>
      <c r="D25842" s="5">
        <v>0.1</v>
      </c>
      <c r="E25842" s="5">
        <v>103.7</v>
      </c>
      <c r="F25842" s="5">
        <v>207.2</v>
      </c>
      <c r="G25842" s="5">
        <v>103.4</v>
      </c>
      <c r="H25842" s="5">
        <v>103.2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102.4</v>
      </c>
      <c r="D25843" s="5">
        <v>0.1</v>
      </c>
      <c r="E25843" s="5">
        <v>102.5</v>
      </c>
      <c r="F25843" s="5">
        <v>202.9</v>
      </c>
      <c r="G25843" s="5">
        <v>101.2</v>
      </c>
      <c r="H25843" s="5">
        <v>101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102.4</v>
      </c>
      <c r="D25844" s="5">
        <v>0.1</v>
      </c>
      <c r="E25844" s="5">
        <v>102.5</v>
      </c>
      <c r="F25844" s="5">
        <v>202.9</v>
      </c>
      <c r="G25844" s="5">
        <v>101.2</v>
      </c>
      <c r="H25844" s="5">
        <v>101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101.7</v>
      </c>
      <c r="D25845" s="5">
        <v>0.1</v>
      </c>
      <c r="E25845" s="5">
        <v>101.8</v>
      </c>
      <c r="F25845" s="5">
        <v>203.4</v>
      </c>
      <c r="G25845" s="5">
        <v>101.5</v>
      </c>
      <c r="H25845" s="5">
        <v>101.3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101.7</v>
      </c>
      <c r="D25846" s="5">
        <v>0.1</v>
      </c>
      <c r="E25846" s="5">
        <v>101.8</v>
      </c>
      <c r="F25846" s="5">
        <v>203.4</v>
      </c>
      <c r="G25846" s="5">
        <v>101.5</v>
      </c>
      <c r="H25846" s="5">
        <v>101.3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101.8</v>
      </c>
      <c r="D25847" s="5">
        <v>0.1</v>
      </c>
      <c r="E25847" s="5">
        <v>102</v>
      </c>
      <c r="F25847" s="5">
        <v>202.9</v>
      </c>
      <c r="G25847" s="5">
        <v>101.2</v>
      </c>
      <c r="H25847" s="5">
        <v>101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101.8</v>
      </c>
      <c r="D25848" s="5">
        <v>0.1</v>
      </c>
      <c r="E25848" s="5">
        <v>102</v>
      </c>
      <c r="F25848" s="5">
        <v>202.9</v>
      </c>
      <c r="G25848" s="5">
        <v>101.2</v>
      </c>
      <c r="H25848" s="5">
        <v>101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102.2</v>
      </c>
      <c r="D25849" s="5">
        <v>0.1</v>
      </c>
      <c r="E25849" s="5">
        <v>102.4</v>
      </c>
      <c r="F25849" s="5">
        <v>204</v>
      </c>
      <c r="G25849" s="5">
        <v>101.8</v>
      </c>
      <c r="H25849" s="5">
        <v>101.6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102.2</v>
      </c>
      <c r="D25850" s="5">
        <v>0.1</v>
      </c>
      <c r="E25850" s="5">
        <v>102.4</v>
      </c>
      <c r="F25850" s="5">
        <v>204</v>
      </c>
      <c r="G25850" s="5">
        <v>101.8</v>
      </c>
      <c r="H25850" s="5">
        <v>101.6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102.2</v>
      </c>
      <c r="D25851" s="5">
        <v>0.1</v>
      </c>
      <c r="E25851" s="5">
        <v>102.4</v>
      </c>
      <c r="F25851" s="5">
        <v>204</v>
      </c>
      <c r="G25851" s="5">
        <v>101.8</v>
      </c>
      <c r="H25851" s="5">
        <v>101.6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102.2</v>
      </c>
      <c r="D25852" s="5">
        <v>0.1</v>
      </c>
      <c r="E25852" s="5">
        <v>102.4</v>
      </c>
      <c r="F25852" s="5">
        <v>204</v>
      </c>
      <c r="G25852" s="5">
        <v>101.9</v>
      </c>
      <c r="H25852" s="5">
        <v>101.5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102.4</v>
      </c>
      <c r="D25853" s="5">
        <v>0.1</v>
      </c>
      <c r="E25853" s="5">
        <v>102.6</v>
      </c>
      <c r="F25853" s="5">
        <v>204.4</v>
      </c>
      <c r="G25853" s="5">
        <v>101.9</v>
      </c>
      <c r="H25853" s="5">
        <v>101.5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102.4</v>
      </c>
      <c r="D25854" s="5">
        <v>0.1</v>
      </c>
      <c r="E25854" s="5">
        <v>102.6</v>
      </c>
      <c r="F25854" s="5">
        <v>204.4</v>
      </c>
      <c r="G25854" s="5">
        <v>101.9</v>
      </c>
      <c r="H25854" s="5">
        <v>101.5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101.6</v>
      </c>
      <c r="D25855" s="5">
        <v>0.1</v>
      </c>
      <c r="E25855" s="5">
        <v>101.8</v>
      </c>
      <c r="F25855" s="5">
        <v>202.2</v>
      </c>
      <c r="G25855" s="5">
        <v>100.9</v>
      </c>
      <c r="H25855" s="5">
        <v>101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101.6</v>
      </c>
      <c r="D25856" s="5">
        <v>0.1</v>
      </c>
      <c r="E25856" s="5">
        <v>101.8</v>
      </c>
      <c r="F25856" s="5">
        <v>202.2</v>
      </c>
      <c r="G25856" s="5">
        <v>100.9</v>
      </c>
      <c r="H25856" s="5">
        <v>101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101.5</v>
      </c>
      <c r="D25857" s="5">
        <v>0.1</v>
      </c>
      <c r="E25857" s="5">
        <v>100.8</v>
      </c>
      <c r="F25857" s="5">
        <v>202.5</v>
      </c>
      <c r="G25857" s="5">
        <v>101.1</v>
      </c>
      <c r="H25857" s="5">
        <v>101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101.5</v>
      </c>
      <c r="D25858" s="5">
        <v>0.1</v>
      </c>
      <c r="E25858" s="5">
        <v>100.8</v>
      </c>
      <c r="F25858" s="5">
        <v>202.5</v>
      </c>
      <c r="G25858" s="5">
        <v>101.1</v>
      </c>
      <c r="H25858" s="5">
        <v>101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102.8</v>
      </c>
      <c r="D25859" s="5">
        <v>0.1</v>
      </c>
      <c r="E25859" s="5">
        <v>103</v>
      </c>
      <c r="F25859" s="5">
        <v>204.8</v>
      </c>
      <c r="G25859" s="5">
        <v>102.2</v>
      </c>
      <c r="H25859" s="5">
        <v>102.1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102.8</v>
      </c>
      <c r="D25860" s="5">
        <v>0.1</v>
      </c>
      <c r="E25860" s="5">
        <v>103</v>
      </c>
      <c r="F25860" s="5">
        <v>204.8</v>
      </c>
      <c r="G25860" s="5">
        <v>102.2</v>
      </c>
      <c r="H25860" s="5">
        <v>102.1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102.8</v>
      </c>
      <c r="D25861" s="5">
        <v>0.1</v>
      </c>
      <c r="E25861" s="5">
        <v>103</v>
      </c>
      <c r="F25861" s="5">
        <v>204.8</v>
      </c>
      <c r="G25861" s="5">
        <v>102.2</v>
      </c>
      <c r="H25861" s="5">
        <v>102.1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102.8</v>
      </c>
      <c r="D25862" s="5">
        <v>0.1</v>
      </c>
      <c r="E25862" s="5">
        <v>103.1</v>
      </c>
      <c r="F25862" s="5">
        <v>205.6</v>
      </c>
      <c r="G25862" s="5">
        <v>102.6</v>
      </c>
      <c r="H25862" s="5">
        <v>102.4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103</v>
      </c>
      <c r="D25863" s="5">
        <v>0.1</v>
      </c>
      <c r="E25863" s="5">
        <v>103.1</v>
      </c>
      <c r="F25863" s="5">
        <v>205.6</v>
      </c>
      <c r="G25863" s="5">
        <v>102.6</v>
      </c>
      <c r="H25863" s="5">
        <v>102.4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103</v>
      </c>
      <c r="D25864" s="5">
        <v>0.1</v>
      </c>
      <c r="E25864" s="5">
        <v>103.1</v>
      </c>
      <c r="F25864" s="5">
        <v>205.6</v>
      </c>
      <c r="G25864" s="5">
        <v>102.6</v>
      </c>
      <c r="H25864" s="5">
        <v>101.7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102.4</v>
      </c>
      <c r="D25865" s="5">
        <v>0.1</v>
      </c>
      <c r="E25865" s="5">
        <v>102.6</v>
      </c>
      <c r="F25865" s="5">
        <v>203.8</v>
      </c>
      <c r="G25865" s="5">
        <v>101.8</v>
      </c>
      <c r="H25865" s="5">
        <v>101.7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102.4</v>
      </c>
      <c r="D25866" s="5">
        <v>0.1</v>
      </c>
      <c r="E25866" s="5">
        <v>102.6</v>
      </c>
      <c r="F25866" s="5">
        <v>203.8</v>
      </c>
      <c r="G25866" s="5">
        <v>101.8</v>
      </c>
      <c r="H25866" s="5">
        <v>101.7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101.5</v>
      </c>
      <c r="D25867" s="5">
        <v>0.1</v>
      </c>
      <c r="E25867" s="5">
        <v>101.7</v>
      </c>
      <c r="F25867" s="5">
        <v>202.9</v>
      </c>
      <c r="G25867" s="5">
        <v>101.2</v>
      </c>
      <c r="H25867" s="5">
        <v>101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101.5</v>
      </c>
      <c r="D25868" s="5">
        <v>0.1</v>
      </c>
      <c r="E25868" s="5">
        <v>101.7</v>
      </c>
      <c r="F25868" s="5">
        <v>202.9</v>
      </c>
      <c r="G25868" s="5">
        <v>101.2</v>
      </c>
      <c r="H25868" s="5">
        <v>101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102</v>
      </c>
      <c r="D25869" s="5">
        <v>0.1</v>
      </c>
      <c r="E25869" s="5">
        <v>102.1</v>
      </c>
      <c r="F25869" s="5">
        <v>203.2</v>
      </c>
      <c r="G25869" s="5">
        <v>101.3</v>
      </c>
      <c r="H25869" s="5">
        <v>101.2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102</v>
      </c>
      <c r="D25870" s="5">
        <v>0.1</v>
      </c>
      <c r="E25870" s="5">
        <v>102.1</v>
      </c>
      <c r="F25870" s="5">
        <v>203.2</v>
      </c>
      <c r="G25870" s="5">
        <v>101.3</v>
      </c>
      <c r="H25870" s="5">
        <v>101.2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102</v>
      </c>
      <c r="D25871" s="5">
        <v>0.1</v>
      </c>
      <c r="E25871" s="5">
        <v>102.1</v>
      </c>
      <c r="F25871" s="5">
        <v>203.2</v>
      </c>
      <c r="G25871" s="5">
        <v>101.3</v>
      </c>
      <c r="H25871" s="5">
        <v>101.2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102</v>
      </c>
      <c r="D25872" s="5">
        <v>0.1</v>
      </c>
      <c r="E25872" s="5">
        <v>103.8</v>
      </c>
      <c r="F25872" s="5">
        <v>206.5</v>
      </c>
      <c r="G25872" s="5">
        <v>103.1</v>
      </c>
      <c r="H25872" s="5">
        <v>103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103.7</v>
      </c>
      <c r="D25873" s="5">
        <v>0.1</v>
      </c>
      <c r="E25873" s="5">
        <v>103.8</v>
      </c>
      <c r="F25873" s="5">
        <v>206.5</v>
      </c>
      <c r="G25873" s="5">
        <v>103.1</v>
      </c>
      <c r="H25873" s="5">
        <v>103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103.7</v>
      </c>
      <c r="D25874" s="5">
        <v>0.1</v>
      </c>
      <c r="E25874" s="5">
        <v>103.8</v>
      </c>
      <c r="F25874" s="5">
        <v>205.3</v>
      </c>
      <c r="G25874" s="5">
        <v>102.5</v>
      </c>
      <c r="H25874" s="5">
        <v>102.4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103</v>
      </c>
      <c r="D25875" s="5">
        <v>0.1</v>
      </c>
      <c r="E25875" s="5">
        <v>103.1</v>
      </c>
      <c r="F25875" s="5">
        <v>205.3</v>
      </c>
      <c r="G25875" s="5">
        <v>102.5</v>
      </c>
      <c r="H25875" s="5">
        <v>102.4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103</v>
      </c>
      <c r="D25876" s="5">
        <v>0.1</v>
      </c>
      <c r="E25876" s="5">
        <v>103.1</v>
      </c>
      <c r="F25876" s="5">
        <v>205.3</v>
      </c>
      <c r="G25876" s="5">
        <v>102.5</v>
      </c>
      <c r="H25876" s="5">
        <v>102.4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102.2</v>
      </c>
      <c r="D25877" s="5">
        <v>0.1</v>
      </c>
      <c r="E25877" s="5">
        <v>102.4</v>
      </c>
      <c r="F25877" s="5">
        <v>204.3</v>
      </c>
      <c r="G25877" s="5">
        <v>101.9</v>
      </c>
      <c r="H25877" s="5">
        <v>101.8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102.2</v>
      </c>
      <c r="D25878" s="5">
        <v>0.1</v>
      </c>
      <c r="E25878" s="5">
        <v>102.4</v>
      </c>
      <c r="F25878" s="5">
        <v>204.3</v>
      </c>
      <c r="G25878" s="5">
        <v>101.9</v>
      </c>
      <c r="H25878" s="5">
        <v>101.8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102.5</v>
      </c>
      <c r="D25879" s="5">
        <v>0.1</v>
      </c>
      <c r="E25879" s="5">
        <v>102.7</v>
      </c>
      <c r="F25879" s="5">
        <v>205.4</v>
      </c>
      <c r="G25879" s="5">
        <v>102.4</v>
      </c>
      <c r="H25879" s="5">
        <v>102.2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102.5</v>
      </c>
      <c r="D25880" s="5">
        <v>0.1</v>
      </c>
      <c r="E25880" s="5">
        <v>102.7</v>
      </c>
      <c r="F25880" s="5">
        <v>205.4</v>
      </c>
      <c r="G25880" s="5">
        <v>102.4</v>
      </c>
      <c r="H25880" s="5">
        <v>102.2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102.5</v>
      </c>
      <c r="D25881" s="5">
        <v>0.1</v>
      </c>
      <c r="E25881" s="5">
        <v>102.7</v>
      </c>
      <c r="F25881" s="5">
        <v>205.4</v>
      </c>
      <c r="G25881" s="5">
        <v>102.4</v>
      </c>
      <c r="H25881" s="5">
        <v>102.2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102.5</v>
      </c>
      <c r="D25882" s="5">
        <v>0.1</v>
      </c>
      <c r="E25882" s="5">
        <v>101.8</v>
      </c>
      <c r="F25882" s="5">
        <v>202.6</v>
      </c>
      <c r="G25882" s="5">
        <v>101.1</v>
      </c>
      <c r="H25882" s="5">
        <v>100.9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101.6</v>
      </c>
      <c r="D25883" s="5">
        <v>0.1</v>
      </c>
      <c r="E25883" s="5">
        <v>101.8</v>
      </c>
      <c r="F25883" s="5">
        <v>202.6</v>
      </c>
      <c r="G25883" s="5">
        <v>101.1</v>
      </c>
      <c r="H25883" s="5">
        <v>100.9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101.6</v>
      </c>
      <c r="D25884" s="5">
        <v>0.1</v>
      </c>
      <c r="E25884" s="5">
        <v>101.8</v>
      </c>
      <c r="F25884" s="5">
        <v>202.6</v>
      </c>
      <c r="G25884" s="5">
        <v>100.4</v>
      </c>
      <c r="H25884" s="5">
        <v>100.2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101.4</v>
      </c>
      <c r="D25885" s="5">
        <v>0.1</v>
      </c>
      <c r="E25885" s="5">
        <v>101.5</v>
      </c>
      <c r="F25885" s="5">
        <v>201.2</v>
      </c>
      <c r="G25885" s="5">
        <v>100.4</v>
      </c>
      <c r="H25885" s="5">
        <v>100.2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101.4</v>
      </c>
      <c r="D25886" s="5">
        <v>0.1</v>
      </c>
      <c r="E25886" s="5">
        <v>101.5</v>
      </c>
      <c r="F25886" s="5">
        <v>201.2</v>
      </c>
      <c r="G25886" s="5">
        <v>100.4</v>
      </c>
      <c r="H25886" s="5">
        <v>100.2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101.4</v>
      </c>
      <c r="D25887" s="5">
        <v>0.1</v>
      </c>
      <c r="E25887" s="5">
        <v>101.5</v>
      </c>
      <c r="F25887" s="5">
        <v>201.2</v>
      </c>
      <c r="G25887" s="5">
        <v>100.4</v>
      </c>
      <c r="H25887" s="5">
        <v>100.2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101.4</v>
      </c>
      <c r="D25888" s="5">
        <v>0.1</v>
      </c>
      <c r="E25888" s="5">
        <v>101.5</v>
      </c>
      <c r="F25888" s="5">
        <v>201.2</v>
      </c>
      <c r="G25888" s="5">
        <v>100.4</v>
      </c>
      <c r="H25888" s="5">
        <v>100.2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101.4</v>
      </c>
      <c r="D25889" s="5">
        <v>0.1</v>
      </c>
      <c r="E25889" s="5">
        <v>101.5</v>
      </c>
      <c r="F25889" s="5">
        <v>201.2</v>
      </c>
      <c r="G25889" s="5">
        <v>100.4</v>
      </c>
      <c r="H25889" s="5">
        <v>100.2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101.4</v>
      </c>
      <c r="D25890" s="5">
        <v>0.1</v>
      </c>
      <c r="E25890" s="5">
        <v>101.5</v>
      </c>
      <c r="F25890" s="5">
        <v>201.2</v>
      </c>
      <c r="G25890" s="5">
        <v>100.4</v>
      </c>
      <c r="H25890" s="5">
        <v>100.2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101.4</v>
      </c>
      <c r="D25891" s="5">
        <v>0.1</v>
      </c>
      <c r="E25891" s="5">
        <v>101.5</v>
      </c>
      <c r="F25891" s="5">
        <v>201.2</v>
      </c>
      <c r="G25891" s="5">
        <v>100.4</v>
      </c>
      <c r="H25891" s="5">
        <v>100.2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102</v>
      </c>
      <c r="D25892" s="5">
        <v>0.1</v>
      </c>
      <c r="E25892" s="5">
        <v>102.1</v>
      </c>
      <c r="F25892" s="5">
        <v>204.3</v>
      </c>
      <c r="G25892" s="5">
        <v>101.9</v>
      </c>
      <c r="H25892" s="5">
        <v>101.7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102</v>
      </c>
      <c r="D25893" s="5">
        <v>0.1</v>
      </c>
      <c r="E25893" s="5">
        <v>102.1</v>
      </c>
      <c r="F25893" s="5">
        <v>204.3</v>
      </c>
      <c r="G25893" s="5">
        <v>101.9</v>
      </c>
      <c r="H25893" s="5">
        <v>101.7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102.4</v>
      </c>
      <c r="D25894" s="5">
        <v>0.1</v>
      </c>
      <c r="E25894" s="5">
        <v>102.5</v>
      </c>
      <c r="F25894" s="5">
        <v>205</v>
      </c>
      <c r="G25894" s="5">
        <v>102.3</v>
      </c>
      <c r="H25894" s="5">
        <v>102.1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102.4</v>
      </c>
      <c r="D25895" s="5">
        <v>0.1</v>
      </c>
      <c r="E25895" s="5">
        <v>102.5</v>
      </c>
      <c r="F25895" s="5">
        <v>205</v>
      </c>
      <c r="G25895" s="5">
        <v>102.3</v>
      </c>
      <c r="H25895" s="5">
        <v>102.1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102.4</v>
      </c>
      <c r="D25896" s="5">
        <v>0.1</v>
      </c>
      <c r="E25896" s="5">
        <v>102.1</v>
      </c>
      <c r="F25896" s="5">
        <v>202.5</v>
      </c>
      <c r="G25896" s="5">
        <v>101.1</v>
      </c>
      <c r="H25896" s="5">
        <v>101.1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102</v>
      </c>
      <c r="D25897" s="5">
        <v>0.1</v>
      </c>
      <c r="E25897" s="5">
        <v>102.1</v>
      </c>
      <c r="F25897" s="5">
        <v>202.5</v>
      </c>
      <c r="G25897" s="5">
        <v>101.1</v>
      </c>
      <c r="H25897" s="5">
        <v>101.1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102</v>
      </c>
      <c r="D25898" s="5">
        <v>0.1</v>
      </c>
      <c r="E25898" s="5">
        <v>102.1</v>
      </c>
      <c r="F25898" s="5">
        <v>203.2</v>
      </c>
      <c r="G25898" s="5">
        <v>101.2</v>
      </c>
      <c r="H25898" s="5">
        <v>101.1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101.1</v>
      </c>
      <c r="D25899" s="5">
        <v>0.1</v>
      </c>
      <c r="E25899" s="5">
        <v>101.2</v>
      </c>
      <c r="F25899" s="5">
        <v>203.2</v>
      </c>
      <c r="G25899" s="5">
        <v>101.2</v>
      </c>
      <c r="H25899" s="5">
        <v>101.1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101.1</v>
      </c>
      <c r="D25900" s="5">
        <v>0.1</v>
      </c>
      <c r="E25900" s="5">
        <v>101.2</v>
      </c>
      <c r="F25900" s="5">
        <v>203.2</v>
      </c>
      <c r="G25900" s="5">
        <v>101.2</v>
      </c>
      <c r="H25900" s="5">
        <v>101.1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101.1</v>
      </c>
      <c r="D25901" s="5">
        <v>0.1</v>
      </c>
      <c r="E25901" s="5">
        <v>101.2</v>
      </c>
      <c r="F25901" s="5">
        <v>203.2</v>
      </c>
      <c r="G25901" s="5">
        <v>101.2</v>
      </c>
      <c r="H25901" s="5">
        <v>101.1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101.9</v>
      </c>
      <c r="D25902" s="5">
        <v>0.1</v>
      </c>
      <c r="E25902" s="5">
        <v>102.1</v>
      </c>
      <c r="F25902" s="5">
        <v>204</v>
      </c>
      <c r="G25902" s="5">
        <v>101.8</v>
      </c>
      <c r="H25902" s="5">
        <v>101.6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101.9</v>
      </c>
      <c r="D25903" s="5">
        <v>0.1</v>
      </c>
      <c r="E25903" s="5">
        <v>102.1</v>
      </c>
      <c r="F25903" s="5">
        <v>204</v>
      </c>
      <c r="G25903" s="5">
        <v>101.8</v>
      </c>
      <c r="H25903" s="5">
        <v>101.6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102.1</v>
      </c>
      <c r="D25904" s="5">
        <v>0.1</v>
      </c>
      <c r="E25904" s="5">
        <v>102.3</v>
      </c>
      <c r="F25904" s="5">
        <v>204.7</v>
      </c>
      <c r="G25904" s="5">
        <v>102.1</v>
      </c>
      <c r="H25904" s="5">
        <v>102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102.1</v>
      </c>
      <c r="D25905" s="5">
        <v>0.1</v>
      </c>
      <c r="E25905" s="5">
        <v>102.3</v>
      </c>
      <c r="F25905" s="5">
        <v>204.7</v>
      </c>
      <c r="G25905" s="5">
        <v>102.1</v>
      </c>
      <c r="H25905" s="5">
        <v>102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103.4</v>
      </c>
      <c r="D25906" s="5">
        <v>0.1</v>
      </c>
      <c r="E25906" s="5">
        <v>103.5</v>
      </c>
      <c r="F25906" s="5">
        <v>206.5</v>
      </c>
      <c r="G25906" s="5">
        <v>103</v>
      </c>
      <c r="H25906" s="5">
        <v>102.9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103.4</v>
      </c>
      <c r="D25907" s="5">
        <v>0.1</v>
      </c>
      <c r="E25907" s="5">
        <v>103.5</v>
      </c>
      <c r="F25907" s="5">
        <v>206.5</v>
      </c>
      <c r="G25907" s="5">
        <v>103</v>
      </c>
      <c r="H25907" s="5">
        <v>102.9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103.1</v>
      </c>
      <c r="D25908" s="5">
        <v>0.1</v>
      </c>
      <c r="E25908" s="5">
        <v>103.2</v>
      </c>
      <c r="F25908" s="5">
        <v>205.6</v>
      </c>
      <c r="G25908" s="5">
        <v>102.6</v>
      </c>
      <c r="H25908" s="5">
        <v>102.4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103.1</v>
      </c>
      <c r="D25909" s="5">
        <v>0.1</v>
      </c>
      <c r="E25909" s="5">
        <v>103.2</v>
      </c>
      <c r="F25909" s="5">
        <v>205.6</v>
      </c>
      <c r="G25909" s="5">
        <v>102.6</v>
      </c>
      <c r="H25909" s="5">
        <v>102.4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103.1</v>
      </c>
      <c r="D25910" s="5">
        <v>0.1</v>
      </c>
      <c r="E25910" s="5">
        <v>103.2</v>
      </c>
      <c r="F25910" s="5">
        <v>205.6</v>
      </c>
      <c r="G25910" s="5">
        <v>102.6</v>
      </c>
      <c r="H25910" s="5">
        <v>102.4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103.1</v>
      </c>
      <c r="D25911" s="5">
        <v>0.1</v>
      </c>
      <c r="E25911" s="5">
        <v>103.2</v>
      </c>
      <c r="F25911" s="5">
        <v>205.6</v>
      </c>
      <c r="G25911" s="5">
        <v>102.6</v>
      </c>
      <c r="H25911" s="5">
        <v>102.4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102.1</v>
      </c>
      <c r="D25912" s="5">
        <v>0.1</v>
      </c>
      <c r="E25912" s="5">
        <v>102.3</v>
      </c>
      <c r="F25912" s="5">
        <v>203.6</v>
      </c>
      <c r="G25912" s="5">
        <v>101.6</v>
      </c>
      <c r="H25912" s="5">
        <v>101.4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102.1</v>
      </c>
      <c r="D25913" s="5">
        <v>0.1</v>
      </c>
      <c r="E25913" s="5">
        <v>102.3</v>
      </c>
      <c r="F25913" s="5">
        <v>203.6</v>
      </c>
      <c r="G25913" s="5">
        <v>101.6</v>
      </c>
      <c r="H25913" s="5">
        <v>101.4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101.9</v>
      </c>
      <c r="D25914" s="5">
        <v>0.1</v>
      </c>
      <c r="E25914" s="5">
        <v>102.1</v>
      </c>
      <c r="F25914" s="5">
        <v>202.5</v>
      </c>
      <c r="G25914" s="5">
        <v>101.1</v>
      </c>
      <c r="H25914" s="5">
        <v>101.1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101.9</v>
      </c>
      <c r="D25915" s="5">
        <v>0.1</v>
      </c>
      <c r="E25915" s="5">
        <v>102.1</v>
      </c>
      <c r="F25915" s="5">
        <v>202.5</v>
      </c>
      <c r="G25915" s="5">
        <v>101.1</v>
      </c>
      <c r="H25915" s="5">
        <v>101.1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102.4</v>
      </c>
      <c r="D25916" s="5">
        <v>0.1</v>
      </c>
      <c r="E25916" s="5">
        <v>102.5</v>
      </c>
      <c r="F25916" s="5">
        <v>202.9</v>
      </c>
      <c r="G25916" s="5">
        <v>101.4</v>
      </c>
      <c r="H25916" s="5">
        <v>101.3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102.4</v>
      </c>
      <c r="D25917" s="5">
        <v>0.1</v>
      </c>
      <c r="E25917" s="5">
        <v>102.5</v>
      </c>
      <c r="F25917" s="5">
        <v>202.9</v>
      </c>
      <c r="G25917" s="5">
        <v>101.4</v>
      </c>
      <c r="H25917" s="5">
        <v>101.3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101.1</v>
      </c>
      <c r="D25918" s="5">
        <v>0.1</v>
      </c>
      <c r="E25918" s="5">
        <v>101.3</v>
      </c>
      <c r="F25918" s="5">
        <v>201.3</v>
      </c>
      <c r="G25918" s="5">
        <v>100.5</v>
      </c>
      <c r="H25918" s="5">
        <v>100.4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101.1</v>
      </c>
      <c r="D25919" s="5">
        <v>0.1</v>
      </c>
      <c r="E25919" s="5">
        <v>101.3</v>
      </c>
      <c r="F25919" s="5">
        <v>201.3</v>
      </c>
      <c r="G25919" s="5">
        <v>100.5</v>
      </c>
      <c r="H25919" s="5">
        <v>100.4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101.1</v>
      </c>
      <c r="D25920" s="5">
        <v>0.1</v>
      </c>
      <c r="E25920" s="5">
        <v>101.3</v>
      </c>
      <c r="F25920" s="5">
        <v>201.3</v>
      </c>
      <c r="G25920" s="5">
        <v>100.5</v>
      </c>
      <c r="H25920" s="5">
        <v>100.4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101.1</v>
      </c>
      <c r="D25921" s="5">
        <v>0.1</v>
      </c>
      <c r="E25921" s="5">
        <v>101.3</v>
      </c>
      <c r="F25921" s="5">
        <v>201.3</v>
      </c>
      <c r="G25921" s="5">
        <v>100.5</v>
      </c>
      <c r="H25921" s="5">
        <v>100.4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103.1</v>
      </c>
      <c r="D25922" s="5">
        <v>0.1</v>
      </c>
      <c r="E25922" s="5">
        <v>103.3</v>
      </c>
      <c r="F25922" s="5">
        <v>205.4</v>
      </c>
      <c r="G25922" s="5">
        <v>103.2</v>
      </c>
      <c r="H25922" s="5">
        <v>103.1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103.1</v>
      </c>
      <c r="D25923" s="5">
        <v>0.1</v>
      </c>
      <c r="E25923" s="5">
        <v>103.3</v>
      </c>
      <c r="F25923" s="5">
        <v>205.4</v>
      </c>
      <c r="G25923" s="5">
        <v>103.2</v>
      </c>
      <c r="H25923" s="5">
        <v>103.1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103</v>
      </c>
      <c r="D25924" s="5">
        <v>0.1</v>
      </c>
      <c r="E25924" s="5">
        <v>103.1</v>
      </c>
      <c r="F25924" s="5">
        <v>204.9</v>
      </c>
      <c r="G25924" s="5">
        <v>102.3</v>
      </c>
      <c r="H25924" s="5">
        <v>102.6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103</v>
      </c>
      <c r="D25925" s="5">
        <v>0.1</v>
      </c>
      <c r="E25925" s="5">
        <v>103.1</v>
      </c>
      <c r="F25925" s="5">
        <v>204.9</v>
      </c>
      <c r="G25925" s="5">
        <v>102.3</v>
      </c>
      <c r="H25925" s="5">
        <v>102.6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102.6</v>
      </c>
      <c r="F25926" s="5">
        <v>204.4</v>
      </c>
      <c r="G25926" s="5">
        <v>102</v>
      </c>
      <c r="H25926" s="5">
        <v>101.8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102.5</v>
      </c>
      <c r="D25927" s="5">
        <v>0.1</v>
      </c>
      <c r="E25927" s="5">
        <v>102.6</v>
      </c>
      <c r="F25927" s="5">
        <v>204.4</v>
      </c>
      <c r="G25927" s="5">
        <v>102</v>
      </c>
      <c r="H25927" s="5">
        <v>101.8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102.8</v>
      </c>
      <c r="D25928" s="5">
        <v>0.1</v>
      </c>
      <c r="E25928" s="5">
        <v>102.9</v>
      </c>
      <c r="F25928" s="5">
        <v>205.5</v>
      </c>
      <c r="G25928" s="5">
        <v>102.5</v>
      </c>
      <c r="H25928" s="5">
        <v>102.3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102.8</v>
      </c>
      <c r="D25929" s="5">
        <v>0.1</v>
      </c>
      <c r="E25929" s="5">
        <v>102.9</v>
      </c>
      <c r="F25929" s="5">
        <v>205.5</v>
      </c>
      <c r="G25929" s="5">
        <v>102.5</v>
      </c>
      <c r="H25929" s="5">
        <v>102.3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102.8</v>
      </c>
      <c r="D25930" s="5">
        <v>0.1</v>
      </c>
      <c r="E25930" s="5">
        <v>102.9</v>
      </c>
      <c r="F25930" s="5">
        <v>205.5</v>
      </c>
      <c r="G25930" s="5">
        <v>102.5</v>
      </c>
      <c r="H25930" s="5">
        <v>102.3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102.8</v>
      </c>
      <c r="D25931" s="5">
        <v>0.1</v>
      </c>
      <c r="E25931" s="5">
        <v>102.9</v>
      </c>
      <c r="F25931" s="5">
        <v>205.5</v>
      </c>
      <c r="G25931" s="5">
        <v>102.5</v>
      </c>
      <c r="H25931" s="5">
        <v>102.3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103.2</v>
      </c>
      <c r="D25932" s="5">
        <v>0.1</v>
      </c>
      <c r="E25932" s="5">
        <v>103.3</v>
      </c>
      <c r="F25932" s="5">
        <v>205.7</v>
      </c>
      <c r="G25932" s="5">
        <v>102.6</v>
      </c>
      <c r="H25932" s="5">
        <v>102.4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103.2</v>
      </c>
      <c r="D25933" s="5">
        <v>0.1</v>
      </c>
      <c r="E25933" s="5">
        <v>103.3</v>
      </c>
      <c r="F25933" s="5">
        <v>205.7</v>
      </c>
      <c r="G25933" s="5">
        <v>102.6</v>
      </c>
      <c r="H25933" s="5">
        <v>102.4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103.4</v>
      </c>
      <c r="D25934" s="5">
        <v>0.1</v>
      </c>
      <c r="E25934" s="5">
        <v>103.5</v>
      </c>
      <c r="F25934" s="5">
        <v>206.4</v>
      </c>
      <c r="G25934" s="5">
        <v>103</v>
      </c>
      <c r="H25934" s="5">
        <v>102.9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103.4</v>
      </c>
      <c r="D25935" s="5">
        <v>0.1</v>
      </c>
      <c r="E25935" s="5">
        <v>103.5</v>
      </c>
      <c r="F25935" s="5">
        <v>206.4</v>
      </c>
      <c r="G25935" s="5">
        <v>103</v>
      </c>
      <c r="H25935" s="5">
        <v>102.9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104</v>
      </c>
      <c r="D25936" s="5">
        <v>0.1</v>
      </c>
      <c r="E25936" s="5">
        <v>104.2</v>
      </c>
      <c r="F25936" s="5">
        <v>207.9</v>
      </c>
      <c r="G25936" s="5">
        <v>103.7</v>
      </c>
      <c r="H25936" s="5">
        <v>103.6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104</v>
      </c>
      <c r="D25937" s="5">
        <v>0.1</v>
      </c>
      <c r="E25937" s="5">
        <v>104.2</v>
      </c>
      <c r="F25937" s="5">
        <v>207.9</v>
      </c>
      <c r="G25937" s="5">
        <v>103.7</v>
      </c>
      <c r="H25937" s="5">
        <v>103.6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103.7</v>
      </c>
      <c r="D25938" s="5">
        <v>0.1</v>
      </c>
      <c r="E25938" s="5">
        <v>104</v>
      </c>
      <c r="F25938" s="5">
        <v>207.8</v>
      </c>
      <c r="G25938" s="5">
        <v>103.6</v>
      </c>
      <c r="H25938" s="5">
        <v>103.4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103.7</v>
      </c>
      <c r="D25939" s="5">
        <v>0.1</v>
      </c>
      <c r="E25939" s="5">
        <v>104</v>
      </c>
      <c r="F25939" s="5">
        <v>207.8</v>
      </c>
      <c r="G25939" s="5">
        <v>103.6</v>
      </c>
      <c r="H25939" s="5">
        <v>103.4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103.7</v>
      </c>
      <c r="D25940" s="5">
        <v>0.1</v>
      </c>
      <c r="E25940" s="5">
        <v>104</v>
      </c>
      <c r="F25940" s="5">
        <v>207.8</v>
      </c>
      <c r="G25940" s="5">
        <v>103.6</v>
      </c>
      <c r="H25940" s="5">
        <v>103.4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103.7</v>
      </c>
      <c r="D25941" s="5">
        <v>0.1</v>
      </c>
      <c r="E25941" s="5">
        <v>104</v>
      </c>
      <c r="F25941" s="5">
        <v>207.8</v>
      </c>
      <c r="G25941" s="5">
        <v>103.6</v>
      </c>
      <c r="H25941" s="5">
        <v>103.4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103.8</v>
      </c>
      <c r="D25942" s="5">
        <v>0.1</v>
      </c>
      <c r="E25942" s="5">
        <v>104</v>
      </c>
      <c r="F25942" s="5">
        <v>207.2</v>
      </c>
      <c r="G25942" s="5">
        <v>103.5</v>
      </c>
      <c r="H25942" s="5">
        <v>103.3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103.8</v>
      </c>
      <c r="D25943" s="5">
        <v>0.1</v>
      </c>
      <c r="E25943" s="5">
        <v>104</v>
      </c>
      <c r="F25943" s="5">
        <v>207.2</v>
      </c>
      <c r="G25943" s="5">
        <v>103.5</v>
      </c>
      <c r="H25943" s="5">
        <v>103.3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103.7</v>
      </c>
      <c r="D25944" s="5">
        <v>0.1</v>
      </c>
      <c r="E25944" s="5">
        <v>103.8</v>
      </c>
      <c r="F25944" s="5">
        <v>207</v>
      </c>
      <c r="G25944" s="5">
        <v>103.2</v>
      </c>
      <c r="H25944" s="5">
        <v>103.2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103.7</v>
      </c>
      <c r="D25945" s="5">
        <v>0.1</v>
      </c>
      <c r="E25945" s="5">
        <v>103.8</v>
      </c>
      <c r="F25945" s="5">
        <v>207</v>
      </c>
      <c r="G25945" s="5">
        <v>103.2</v>
      </c>
      <c r="H25945" s="5">
        <v>103.2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102.7</v>
      </c>
      <c r="D25946" s="5">
        <v>0.1</v>
      </c>
      <c r="E25946" s="5">
        <v>102.9</v>
      </c>
      <c r="F25946" s="5">
        <v>205.7</v>
      </c>
      <c r="G25946" s="5">
        <v>102.6</v>
      </c>
      <c r="H25946" s="5">
        <v>102.4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102.7</v>
      </c>
      <c r="D25947" s="5">
        <v>0.1</v>
      </c>
      <c r="E25947" s="5">
        <v>102.9</v>
      </c>
      <c r="F25947" s="5">
        <v>205.7</v>
      </c>
      <c r="G25947" s="5">
        <v>102.6</v>
      </c>
      <c r="H25947" s="5">
        <v>102.4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102.8</v>
      </c>
      <c r="D25948" s="5">
        <v>0.1</v>
      </c>
      <c r="E25948" s="5">
        <v>102.9</v>
      </c>
      <c r="F25948" s="5">
        <v>205.4</v>
      </c>
      <c r="G25948" s="5">
        <v>102.4</v>
      </c>
      <c r="H25948" s="5">
        <v>102.4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102.8</v>
      </c>
      <c r="D25949" s="5">
        <v>0.1</v>
      </c>
      <c r="E25949" s="5">
        <v>102.9</v>
      </c>
      <c r="F25949" s="5">
        <v>205.4</v>
      </c>
      <c r="G25949" s="5">
        <v>102.4</v>
      </c>
      <c r="H25949" s="5">
        <v>102.4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102.8</v>
      </c>
      <c r="D25950" s="5">
        <v>0.1</v>
      </c>
      <c r="E25950" s="5">
        <v>102.9</v>
      </c>
      <c r="F25950" s="5">
        <v>205.4</v>
      </c>
      <c r="G25950" s="5">
        <v>102.4</v>
      </c>
      <c r="H25950" s="5">
        <v>102.4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102.8</v>
      </c>
      <c r="D25951" s="5">
        <v>0.1</v>
      </c>
      <c r="E25951" s="5">
        <v>102.9</v>
      </c>
      <c r="F25951" s="5">
        <v>205.4</v>
      </c>
      <c r="G25951" s="5">
        <v>102.4</v>
      </c>
      <c r="H25951" s="5">
        <v>102.4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101.5</v>
      </c>
      <c r="D25952" s="5">
        <v>0.1</v>
      </c>
      <c r="E25952" s="5">
        <v>101.5</v>
      </c>
      <c r="F25952" s="5">
        <v>202.9</v>
      </c>
      <c r="G25952" s="5">
        <v>101.3</v>
      </c>
      <c r="H25952" s="5">
        <v>101.1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101.5</v>
      </c>
      <c r="D25953" s="5">
        <v>0.1</v>
      </c>
      <c r="E25953" s="5">
        <v>101.5</v>
      </c>
      <c r="F25953" s="5">
        <v>202.9</v>
      </c>
      <c r="G25953" s="5">
        <v>101.3</v>
      </c>
      <c r="H25953" s="5">
        <v>101.1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102.8</v>
      </c>
      <c r="D25954" s="5">
        <v>0.1</v>
      </c>
      <c r="E25954" s="5">
        <v>103</v>
      </c>
      <c r="F25954" s="5">
        <v>205.4</v>
      </c>
      <c r="G25954" s="5">
        <v>102.5</v>
      </c>
      <c r="H25954" s="5">
        <v>102.3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102.8</v>
      </c>
      <c r="D25955" s="5">
        <v>0.1</v>
      </c>
      <c r="E25955" s="5">
        <v>103</v>
      </c>
      <c r="F25955" s="5">
        <v>205.4</v>
      </c>
      <c r="G25955" s="5">
        <v>102.5</v>
      </c>
      <c r="H25955" s="5">
        <v>102.3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104.9</v>
      </c>
      <c r="D25956" s="5">
        <v>0.1</v>
      </c>
      <c r="E25956" s="5">
        <v>105</v>
      </c>
      <c r="F25956" s="5">
        <v>209.5</v>
      </c>
      <c r="G25956" s="5">
        <v>104.6</v>
      </c>
      <c r="H25956" s="5">
        <v>104.5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104.9</v>
      </c>
      <c r="D25957" s="5">
        <v>0.1</v>
      </c>
      <c r="E25957" s="5">
        <v>105</v>
      </c>
      <c r="F25957" s="5">
        <v>209.5</v>
      </c>
      <c r="G25957" s="5">
        <v>104.6</v>
      </c>
      <c r="H25957" s="5">
        <v>104.5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104.9</v>
      </c>
      <c r="D25958" s="5">
        <v>0.1</v>
      </c>
      <c r="E25958" s="5">
        <v>105</v>
      </c>
      <c r="F25958" s="5">
        <v>209.3</v>
      </c>
      <c r="G25958" s="5">
        <v>104.4</v>
      </c>
      <c r="H25958" s="5">
        <v>104.3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104.9</v>
      </c>
      <c r="D25959" s="5">
        <v>0.1</v>
      </c>
      <c r="E25959" s="5">
        <v>105</v>
      </c>
      <c r="F25959" s="5">
        <v>209.3</v>
      </c>
      <c r="G25959" s="5">
        <v>104.4</v>
      </c>
      <c r="H25959" s="5">
        <v>104.3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104.9</v>
      </c>
      <c r="D25960" s="5">
        <v>0.1</v>
      </c>
      <c r="E25960" s="5">
        <v>105</v>
      </c>
      <c r="F25960" s="5">
        <v>209.3</v>
      </c>
      <c r="G25960" s="5">
        <v>104.4</v>
      </c>
      <c r="H25960" s="5">
        <v>104.3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104.9</v>
      </c>
      <c r="D25961" s="5">
        <v>0.1</v>
      </c>
      <c r="E25961" s="5">
        <v>105</v>
      </c>
      <c r="F25961" s="5">
        <v>209.3</v>
      </c>
      <c r="G25961" s="5">
        <v>104.4</v>
      </c>
      <c r="H25961" s="5">
        <v>104.3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104.6</v>
      </c>
      <c r="D25962" s="5">
        <v>0.1</v>
      </c>
      <c r="E25962" s="5">
        <v>104.7</v>
      </c>
      <c r="F25962" s="5">
        <v>209.4</v>
      </c>
      <c r="G25962" s="5">
        <v>104.7</v>
      </c>
      <c r="H25962" s="5">
        <v>104.5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104.6</v>
      </c>
      <c r="D25963" s="5">
        <v>0.1</v>
      </c>
      <c r="E25963" s="5">
        <v>104.7</v>
      </c>
      <c r="F25963" s="5">
        <v>209.4</v>
      </c>
      <c r="G25963" s="5">
        <v>104.7</v>
      </c>
      <c r="H25963" s="5">
        <v>104.5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104</v>
      </c>
      <c r="D25964" s="5">
        <v>0.1</v>
      </c>
      <c r="E25964" s="5">
        <v>104.1</v>
      </c>
      <c r="F25964" s="5">
        <v>207.4</v>
      </c>
      <c r="G25964" s="5">
        <v>103.5</v>
      </c>
      <c r="H25964" s="5">
        <v>103.4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104</v>
      </c>
      <c r="D25965" s="5">
        <v>0.1</v>
      </c>
      <c r="E25965" s="5">
        <v>104.1</v>
      </c>
      <c r="F25965" s="5">
        <v>207.4</v>
      </c>
      <c r="G25965" s="5">
        <v>103.5</v>
      </c>
      <c r="H25965" s="5">
        <v>103.4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104.3</v>
      </c>
      <c r="D25966" s="5">
        <v>0.1</v>
      </c>
      <c r="E25966" s="5">
        <v>104.5</v>
      </c>
      <c r="F25966" s="5">
        <v>208.3</v>
      </c>
      <c r="G25966" s="5">
        <v>104</v>
      </c>
      <c r="H25966" s="5">
        <v>103.8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104.3</v>
      </c>
      <c r="D25967" s="5">
        <v>0.1</v>
      </c>
      <c r="E25967" s="5">
        <v>104.5</v>
      </c>
      <c r="F25967" s="5">
        <v>208.3</v>
      </c>
      <c r="G25967" s="5">
        <v>104</v>
      </c>
      <c r="H25967" s="5">
        <v>103.8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103.7</v>
      </c>
      <c r="D25968" s="5">
        <v>0.1</v>
      </c>
      <c r="E25968" s="5">
        <v>103.9</v>
      </c>
      <c r="F25968" s="5">
        <v>207</v>
      </c>
      <c r="G25968" s="5">
        <v>103.3</v>
      </c>
      <c r="H25968" s="5">
        <v>103.1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103.7</v>
      </c>
      <c r="D25969" s="5">
        <v>0.1</v>
      </c>
      <c r="E25969" s="5">
        <v>103.9</v>
      </c>
      <c r="F25969" s="5">
        <v>207</v>
      </c>
      <c r="G25969" s="5">
        <v>103.3</v>
      </c>
      <c r="H25969" s="5">
        <v>103.1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103.7</v>
      </c>
      <c r="D25970" s="5">
        <v>0.1</v>
      </c>
      <c r="E25970" s="5">
        <v>103.9</v>
      </c>
      <c r="F25970" s="5">
        <v>207</v>
      </c>
      <c r="G25970" s="5">
        <v>103.3</v>
      </c>
      <c r="H25970" s="5">
        <v>103.1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103.7</v>
      </c>
      <c r="D25971" s="5">
        <v>0.1</v>
      </c>
      <c r="E25971" s="5">
        <v>103.9</v>
      </c>
      <c r="F25971" s="5">
        <v>207</v>
      </c>
      <c r="G25971" s="5">
        <v>103.3</v>
      </c>
      <c r="H25971" s="5">
        <v>103.1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104.3</v>
      </c>
      <c r="D25972" s="5">
        <v>0.1</v>
      </c>
      <c r="E25972" s="5">
        <v>104.4</v>
      </c>
      <c r="F25972" s="5">
        <v>208.1</v>
      </c>
      <c r="G25972" s="5">
        <v>103.9</v>
      </c>
      <c r="H25972" s="5">
        <v>103.7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104.3</v>
      </c>
      <c r="D25973" s="5">
        <v>0.1</v>
      </c>
      <c r="E25973" s="5">
        <v>104.4</v>
      </c>
      <c r="F25973" s="5">
        <v>208.1</v>
      </c>
      <c r="G25973" s="5">
        <v>103.9</v>
      </c>
      <c r="H25973" s="5">
        <v>103.7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103.9</v>
      </c>
      <c r="D25974" s="5">
        <v>0.1</v>
      </c>
      <c r="E25974" s="5">
        <v>104</v>
      </c>
      <c r="F25974" s="5">
        <v>207.2</v>
      </c>
      <c r="G25974" s="5">
        <v>103.4</v>
      </c>
      <c r="H25974" s="5">
        <v>103.2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103.9</v>
      </c>
      <c r="D25975" s="5">
        <v>0.1</v>
      </c>
      <c r="E25975" s="5">
        <v>104</v>
      </c>
      <c r="F25975" s="5">
        <v>207.2</v>
      </c>
      <c r="G25975" s="5">
        <v>103.4</v>
      </c>
      <c r="H25975" s="5">
        <v>103.2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103.3</v>
      </c>
      <c r="D25976" s="5">
        <v>0.1</v>
      </c>
      <c r="E25976" s="5">
        <v>103.4</v>
      </c>
      <c r="F25976" s="5">
        <v>205.2</v>
      </c>
      <c r="G25976" s="5">
        <v>102.4</v>
      </c>
      <c r="H25976" s="5">
        <v>102.2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103.3</v>
      </c>
      <c r="D25977" s="5">
        <v>0.1</v>
      </c>
      <c r="E25977" s="5">
        <v>103.4</v>
      </c>
      <c r="F25977" s="5">
        <v>205.2</v>
      </c>
      <c r="G25977" s="5">
        <v>102.4</v>
      </c>
      <c r="H25977" s="5">
        <v>102.2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103.2</v>
      </c>
      <c r="D25978" s="5">
        <v>0.1</v>
      </c>
      <c r="E25978" s="5">
        <v>103.4</v>
      </c>
      <c r="F25978" s="5">
        <v>206.1</v>
      </c>
      <c r="G25978" s="5">
        <v>102.8</v>
      </c>
      <c r="H25978" s="5">
        <v>102.7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103.2</v>
      </c>
      <c r="D25979" s="5">
        <v>0.1</v>
      </c>
      <c r="E25979" s="5">
        <v>103.4</v>
      </c>
      <c r="F25979" s="5">
        <v>206.1</v>
      </c>
      <c r="G25979" s="5">
        <v>102.8</v>
      </c>
      <c r="H25979" s="5">
        <v>102.7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103.2</v>
      </c>
      <c r="D25980" s="5">
        <v>0.1</v>
      </c>
      <c r="E25980" s="5">
        <v>103.4</v>
      </c>
      <c r="F25980" s="5">
        <v>206.1</v>
      </c>
      <c r="G25980" s="5">
        <v>102.8</v>
      </c>
      <c r="H25980" s="5">
        <v>102.7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103.2</v>
      </c>
      <c r="D25981" s="5">
        <v>0.1</v>
      </c>
      <c r="E25981" s="5">
        <v>102.7</v>
      </c>
      <c r="F25981" s="5">
        <v>204.3</v>
      </c>
      <c r="G25981" s="5">
        <v>102</v>
      </c>
      <c r="H25981" s="5">
        <v>102.5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102.5</v>
      </c>
      <c r="D25982" s="5">
        <v>0.1</v>
      </c>
      <c r="E25982" s="5">
        <v>102.7</v>
      </c>
      <c r="F25982" s="5">
        <v>204.3</v>
      </c>
      <c r="G25982" s="5">
        <v>102</v>
      </c>
      <c r="H25982" s="5">
        <v>102.5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102.5</v>
      </c>
      <c r="D25983" s="5">
        <v>0.1</v>
      </c>
      <c r="E25983" s="5">
        <v>103.2</v>
      </c>
      <c r="F25983" s="5">
        <v>204.6</v>
      </c>
      <c r="G25983" s="5">
        <v>102.2</v>
      </c>
      <c r="H25983" s="5">
        <v>102.1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103.1</v>
      </c>
      <c r="D25984" s="5">
        <v>0.1</v>
      </c>
      <c r="E25984" s="5">
        <v>103.2</v>
      </c>
      <c r="F25984" s="5">
        <v>204.6</v>
      </c>
      <c r="G25984" s="5">
        <v>102.2</v>
      </c>
      <c r="H25984" s="5">
        <v>102.1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103.1</v>
      </c>
      <c r="D25985" s="5">
        <v>0.1</v>
      </c>
      <c r="E25985" s="5">
        <v>103.5</v>
      </c>
      <c r="F25985" s="5">
        <v>205.8</v>
      </c>
      <c r="G25985" s="5">
        <v>102.7</v>
      </c>
      <c r="H25985" s="5">
        <v>102.6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103.4</v>
      </c>
      <c r="D25986" s="5">
        <v>0.1</v>
      </c>
      <c r="E25986" s="5">
        <v>103.5</v>
      </c>
      <c r="F25986" s="5">
        <v>205.8</v>
      </c>
      <c r="G25986" s="5">
        <v>102.7</v>
      </c>
      <c r="H25986" s="5">
        <v>102.6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103.4</v>
      </c>
      <c r="D25987" s="5">
        <v>0.1</v>
      </c>
      <c r="E25987" s="5">
        <v>102.8</v>
      </c>
      <c r="F25987" s="5">
        <v>204.2</v>
      </c>
      <c r="G25987" s="5">
        <v>101.9</v>
      </c>
      <c r="H25987" s="5">
        <v>101.7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102.7</v>
      </c>
      <c r="D25988" s="5">
        <v>0.1</v>
      </c>
      <c r="E25988" s="5">
        <v>102.8</v>
      </c>
      <c r="F25988" s="5">
        <v>204.2</v>
      </c>
      <c r="G25988" s="5">
        <v>101.9</v>
      </c>
      <c r="H25988" s="5">
        <v>101.7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102.7</v>
      </c>
      <c r="D25989" s="5">
        <v>0.1</v>
      </c>
      <c r="E25989" s="5">
        <v>102.8</v>
      </c>
      <c r="F25989" s="5">
        <v>204.2</v>
      </c>
      <c r="G25989" s="5">
        <v>101.9</v>
      </c>
      <c r="H25989" s="5">
        <v>101.7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102.7</v>
      </c>
      <c r="D25990" s="5">
        <v>0.1</v>
      </c>
      <c r="E25990" s="5">
        <v>102.8</v>
      </c>
      <c r="F25990" s="5">
        <v>204.2</v>
      </c>
      <c r="G25990" s="5">
        <v>101.9</v>
      </c>
      <c r="H25990" s="5">
        <v>101.7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103.7</v>
      </c>
      <c r="D25991" s="5">
        <v>0.1</v>
      </c>
      <c r="E25991" s="5">
        <v>103.8</v>
      </c>
      <c r="F25991" s="5">
        <v>207.6</v>
      </c>
      <c r="G25991" s="5">
        <v>103.6</v>
      </c>
      <c r="H25991" s="5">
        <v>103.4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103.7</v>
      </c>
      <c r="D25992" s="5">
        <v>0.1</v>
      </c>
      <c r="E25992" s="5">
        <v>103.8</v>
      </c>
      <c r="F25992" s="5">
        <v>207.6</v>
      </c>
      <c r="G25992" s="5">
        <v>103.6</v>
      </c>
      <c r="H25992" s="5">
        <v>103.4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104.7</v>
      </c>
      <c r="D25993" s="5">
        <v>0.1</v>
      </c>
      <c r="E25993" s="5">
        <v>104.9</v>
      </c>
      <c r="F25993" s="5">
        <v>209.1</v>
      </c>
      <c r="G25993" s="5">
        <v>104.3</v>
      </c>
      <c r="H25993" s="5">
        <v>104.2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104.7</v>
      </c>
      <c r="D25994" s="5">
        <v>0.1</v>
      </c>
      <c r="E25994" s="5">
        <v>104.9</v>
      </c>
      <c r="F25994" s="5">
        <v>209.1</v>
      </c>
      <c r="G25994" s="5">
        <v>104.3</v>
      </c>
      <c r="H25994" s="5">
        <v>104.2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104.6</v>
      </c>
      <c r="D25995" s="5">
        <v>0.1</v>
      </c>
      <c r="E25995" s="5">
        <v>104.8</v>
      </c>
      <c r="F25995" s="5">
        <v>209</v>
      </c>
      <c r="G25995" s="5">
        <v>104.3</v>
      </c>
      <c r="H25995" s="5">
        <v>104.1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104.6</v>
      </c>
      <c r="D25996" s="5">
        <v>0.1</v>
      </c>
      <c r="E25996" s="5">
        <v>104.8</v>
      </c>
      <c r="F25996" s="5">
        <v>209</v>
      </c>
      <c r="G25996" s="5">
        <v>104.3</v>
      </c>
      <c r="H25996" s="5">
        <v>104.1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105.3</v>
      </c>
      <c r="D25997" s="5">
        <v>0.1</v>
      </c>
      <c r="E25997" s="5">
        <v>105.4</v>
      </c>
      <c r="F25997" s="5">
        <v>209.2</v>
      </c>
      <c r="G25997" s="5">
        <v>104.3</v>
      </c>
      <c r="H25997" s="5">
        <v>104.1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105.3</v>
      </c>
      <c r="D25998" s="5">
        <v>0.1</v>
      </c>
      <c r="E25998" s="5">
        <v>105.4</v>
      </c>
      <c r="F25998" s="5">
        <v>209.2</v>
      </c>
      <c r="G25998" s="5">
        <v>104.3</v>
      </c>
      <c r="H25998" s="5">
        <v>104.2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105.3</v>
      </c>
      <c r="D25999" s="5">
        <v>0.1</v>
      </c>
      <c r="E25999" s="5">
        <v>105.4</v>
      </c>
      <c r="F25999" s="5">
        <v>209.2</v>
      </c>
      <c r="G25999" s="5">
        <v>104.3</v>
      </c>
      <c r="H25999" s="5">
        <v>104.2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105.3</v>
      </c>
      <c r="D26000" s="5">
        <v>0.1</v>
      </c>
      <c r="E26000" s="5">
        <v>105.4</v>
      </c>
      <c r="F26000" s="5">
        <v>209.2</v>
      </c>
      <c r="G26000" s="5">
        <v>104.3</v>
      </c>
      <c r="H26000" s="5">
        <v>104.2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105</v>
      </c>
      <c r="D26001" s="5">
        <v>0.1</v>
      </c>
      <c r="E26001" s="5">
        <v>105.4</v>
      </c>
      <c r="F26001" s="5">
        <v>209.2</v>
      </c>
      <c r="G26001" s="5">
        <v>104.3</v>
      </c>
      <c r="H26001" s="5">
        <v>104.2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105</v>
      </c>
      <c r="D26002" s="5">
        <v>0.1</v>
      </c>
      <c r="E26002" s="5">
        <v>105.1</v>
      </c>
      <c r="F26002" s="5">
        <v>209.3</v>
      </c>
      <c r="G26002" s="5">
        <v>104.4</v>
      </c>
      <c r="H26002" s="5">
        <v>104.2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105</v>
      </c>
      <c r="D26003" s="5">
        <v>0.1</v>
      </c>
      <c r="E26003" s="5">
        <v>105.1</v>
      </c>
      <c r="F26003" s="5">
        <v>209.3</v>
      </c>
      <c r="G26003" s="5">
        <v>104.4</v>
      </c>
      <c r="H26003" s="5">
        <v>104.2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104.7</v>
      </c>
      <c r="D26004" s="5">
        <v>0.1</v>
      </c>
      <c r="E26004" s="5">
        <v>104.9</v>
      </c>
      <c r="F26004" s="5">
        <v>208.6</v>
      </c>
      <c r="G26004" s="5">
        <v>104.1</v>
      </c>
      <c r="H26004" s="5">
        <v>104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104.7</v>
      </c>
      <c r="D26005" s="5">
        <v>0.1</v>
      </c>
      <c r="E26005" s="5">
        <v>104.9</v>
      </c>
      <c r="F26005" s="5">
        <v>208.6</v>
      </c>
      <c r="G26005" s="5">
        <v>104.1</v>
      </c>
      <c r="H26005" s="5">
        <v>104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104.6</v>
      </c>
      <c r="D26006" s="5">
        <v>0.1</v>
      </c>
      <c r="E26006" s="5">
        <v>104.7</v>
      </c>
      <c r="F26006" s="5">
        <v>208.9</v>
      </c>
      <c r="G26006" s="5">
        <v>104.2</v>
      </c>
      <c r="H26006" s="5">
        <v>104.1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104.6</v>
      </c>
      <c r="D26007" s="5">
        <v>0.1</v>
      </c>
      <c r="E26007" s="5">
        <v>104.7</v>
      </c>
      <c r="F26007" s="5">
        <v>208.9</v>
      </c>
      <c r="G26007" s="5">
        <v>104.2</v>
      </c>
      <c r="H26007" s="5">
        <v>104.1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104.6</v>
      </c>
      <c r="D26008" s="5">
        <v>0.1</v>
      </c>
      <c r="E26008" s="5">
        <v>104.7</v>
      </c>
      <c r="F26008" s="5">
        <v>208.8</v>
      </c>
      <c r="G26008" s="5">
        <v>104.1</v>
      </c>
      <c r="H26008" s="5">
        <v>104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104.6</v>
      </c>
      <c r="D26009" s="5">
        <v>0.1</v>
      </c>
      <c r="E26009" s="5">
        <v>104.7</v>
      </c>
      <c r="F26009" s="5">
        <v>208.8</v>
      </c>
      <c r="G26009" s="5">
        <v>104.1</v>
      </c>
      <c r="H26009" s="5">
        <v>104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104.6</v>
      </c>
      <c r="D26010" s="5">
        <v>0.1</v>
      </c>
      <c r="E26010" s="5">
        <v>104.7</v>
      </c>
      <c r="F26010" s="5">
        <v>208.8</v>
      </c>
      <c r="G26010" s="5">
        <v>104.1</v>
      </c>
      <c r="H26010" s="5">
        <v>104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104.6</v>
      </c>
      <c r="D26011" s="5">
        <v>0.1</v>
      </c>
      <c r="E26011" s="5">
        <v>104.8</v>
      </c>
      <c r="F26011" s="5">
        <v>209.4</v>
      </c>
      <c r="G26011" s="5">
        <v>104.4</v>
      </c>
      <c r="H26011" s="5">
        <v>104.3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104.6</v>
      </c>
      <c r="D26012" s="5">
        <v>0.1</v>
      </c>
      <c r="E26012" s="5">
        <v>104.8</v>
      </c>
      <c r="F26012" s="5">
        <v>209.4</v>
      </c>
      <c r="G26012" s="5">
        <v>104.4</v>
      </c>
      <c r="H26012" s="5">
        <v>104.3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105.3</v>
      </c>
      <c r="D26013" s="5">
        <v>0.1</v>
      </c>
      <c r="E26013" s="5">
        <v>105.4</v>
      </c>
      <c r="F26013" s="5">
        <v>209.8</v>
      </c>
      <c r="G26013" s="5">
        <v>104.7</v>
      </c>
      <c r="H26013" s="5">
        <v>104.5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105.3</v>
      </c>
      <c r="D26014" s="5">
        <v>0.1</v>
      </c>
      <c r="E26014" s="5">
        <v>105.4</v>
      </c>
      <c r="F26014" s="5">
        <v>209.8</v>
      </c>
      <c r="G26014" s="5">
        <v>104.7</v>
      </c>
      <c r="H26014" s="5">
        <v>104.5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105.3</v>
      </c>
      <c r="D26015" s="5">
        <v>0.1</v>
      </c>
      <c r="E26015" s="5">
        <v>105.4</v>
      </c>
      <c r="F26015" s="5">
        <v>209.1</v>
      </c>
      <c r="G26015" s="5">
        <v>104.4</v>
      </c>
      <c r="H26015" s="5">
        <v>104.2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105.3</v>
      </c>
      <c r="D26016" s="5">
        <v>0.1</v>
      </c>
      <c r="E26016" s="5">
        <v>105.4</v>
      </c>
      <c r="F26016" s="5">
        <v>209.1</v>
      </c>
      <c r="G26016" s="5">
        <v>104.4</v>
      </c>
      <c r="H26016" s="5">
        <v>104.2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104.2</v>
      </c>
      <c r="D26017" s="5">
        <v>0.1</v>
      </c>
      <c r="E26017" s="5">
        <v>104.3</v>
      </c>
      <c r="F26017" s="5">
        <v>208.5</v>
      </c>
      <c r="G26017" s="5">
        <v>104</v>
      </c>
      <c r="H26017" s="5">
        <v>103.8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104.2</v>
      </c>
      <c r="D26018" s="5">
        <v>0.1</v>
      </c>
      <c r="E26018" s="5">
        <v>104.3</v>
      </c>
      <c r="F26018" s="5">
        <v>208.5</v>
      </c>
      <c r="G26018" s="5">
        <v>104</v>
      </c>
      <c r="H26018" s="5">
        <v>103.8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104.2</v>
      </c>
      <c r="D26019" s="5">
        <v>0.1</v>
      </c>
      <c r="E26019" s="5">
        <v>104.3</v>
      </c>
      <c r="F26019" s="5">
        <v>208.5</v>
      </c>
      <c r="G26019" s="5">
        <v>104</v>
      </c>
      <c r="H26019" s="5">
        <v>103.8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104.2</v>
      </c>
      <c r="D26020" s="5">
        <v>0.1</v>
      </c>
      <c r="E26020" s="5">
        <v>104.3</v>
      </c>
      <c r="F26020" s="5">
        <v>208.5</v>
      </c>
      <c r="G26020" s="5">
        <v>104</v>
      </c>
      <c r="H26020" s="5">
        <v>103.8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104.3</v>
      </c>
      <c r="D26021" s="5">
        <v>0.1</v>
      </c>
      <c r="E26021" s="5">
        <v>104.4</v>
      </c>
      <c r="F26021" s="5">
        <v>208.4</v>
      </c>
      <c r="G26021" s="5">
        <v>104.1</v>
      </c>
      <c r="H26021" s="5">
        <v>104.7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104.3</v>
      </c>
      <c r="D26022" s="5">
        <v>0.1</v>
      </c>
      <c r="E26022" s="5">
        <v>104.4</v>
      </c>
      <c r="F26022" s="5">
        <v>208.4</v>
      </c>
      <c r="G26022" s="5">
        <v>104.1</v>
      </c>
      <c r="H26022" s="5">
        <v>104.7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105.8</v>
      </c>
      <c r="D26023" s="5">
        <v>0.1</v>
      </c>
      <c r="E26023" s="5">
        <v>105.9</v>
      </c>
      <c r="F26023" s="5">
        <v>210.5</v>
      </c>
      <c r="G26023" s="5">
        <v>105</v>
      </c>
      <c r="H26023" s="5">
        <v>104.7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105.8</v>
      </c>
      <c r="D26024" s="5">
        <v>0.1</v>
      </c>
      <c r="E26024" s="5">
        <v>105.9</v>
      </c>
      <c r="F26024" s="5">
        <v>210.5</v>
      </c>
      <c r="G26024" s="5">
        <v>105</v>
      </c>
      <c r="H26024" s="5">
        <v>104.7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104.6</v>
      </c>
      <c r="D26025" s="5">
        <v>0.1</v>
      </c>
      <c r="E26025" s="5">
        <v>104.7</v>
      </c>
      <c r="F26025" s="5">
        <v>208.8</v>
      </c>
      <c r="G26025" s="5">
        <v>104.2</v>
      </c>
      <c r="H26025" s="5">
        <v>104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104.6</v>
      </c>
      <c r="D26026" s="5">
        <v>0.1</v>
      </c>
      <c r="E26026" s="5">
        <v>104.7</v>
      </c>
      <c r="F26026" s="5">
        <v>208.8</v>
      </c>
      <c r="G26026" s="5">
        <v>104.2</v>
      </c>
      <c r="H26026" s="5">
        <v>104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104.7</v>
      </c>
      <c r="D26027" s="5">
        <v>0.1</v>
      </c>
      <c r="E26027" s="5">
        <v>104.9</v>
      </c>
      <c r="F26027" s="5">
        <v>209.1</v>
      </c>
      <c r="G26027" s="5">
        <v>104.3</v>
      </c>
      <c r="H26027" s="5">
        <v>104.2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104.7</v>
      </c>
      <c r="D26028" s="5">
        <v>0.1</v>
      </c>
      <c r="E26028" s="5">
        <v>104.9</v>
      </c>
      <c r="F26028" s="5">
        <v>209.1</v>
      </c>
      <c r="G26028" s="5">
        <v>104.3</v>
      </c>
      <c r="H26028" s="5">
        <v>104.2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104.7</v>
      </c>
      <c r="D26029" s="5">
        <v>0.1</v>
      </c>
      <c r="E26029" s="5">
        <v>104.9</v>
      </c>
      <c r="F26029" s="5">
        <v>209.1</v>
      </c>
      <c r="G26029" s="5">
        <v>104.3</v>
      </c>
      <c r="H26029" s="5">
        <v>104.2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104.7</v>
      </c>
      <c r="D26030" s="5">
        <v>0.1</v>
      </c>
      <c r="E26030" s="5">
        <v>104.9</v>
      </c>
      <c r="F26030" s="5">
        <v>209.1</v>
      </c>
      <c r="G26030" s="5">
        <v>104.3</v>
      </c>
      <c r="H26030" s="5">
        <v>104.2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105.2</v>
      </c>
      <c r="D26031" s="5">
        <v>0.1</v>
      </c>
      <c r="E26031" s="5">
        <v>105.3</v>
      </c>
      <c r="F26031" s="5">
        <v>210.5</v>
      </c>
      <c r="G26031" s="5">
        <v>105</v>
      </c>
      <c r="H26031" s="5">
        <v>104.9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105.2</v>
      </c>
      <c r="D26032" s="5">
        <v>0.1</v>
      </c>
      <c r="E26032" s="5">
        <v>105.3</v>
      </c>
      <c r="F26032" s="5">
        <v>210.5</v>
      </c>
      <c r="G26032" s="5">
        <v>105</v>
      </c>
      <c r="H26032" s="5">
        <v>104.9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105.3</v>
      </c>
      <c r="D26033" s="5">
        <v>0.1</v>
      </c>
      <c r="E26033" s="5">
        <v>105.5</v>
      </c>
      <c r="F26033" s="5">
        <v>209.9</v>
      </c>
      <c r="G26033" s="5">
        <v>104.8</v>
      </c>
      <c r="H26033" s="5">
        <v>104.6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105.3</v>
      </c>
      <c r="D26034" s="5">
        <v>0.1</v>
      </c>
      <c r="E26034" s="5">
        <v>105.5</v>
      </c>
      <c r="F26034" s="5">
        <v>209.9</v>
      </c>
      <c r="G26034" s="5">
        <v>104.8</v>
      </c>
      <c r="H26034" s="5">
        <v>104.6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104.8</v>
      </c>
      <c r="D26035" s="5">
        <v>0.1</v>
      </c>
      <c r="E26035" s="5">
        <v>105</v>
      </c>
      <c r="F26035" s="5">
        <v>208.8</v>
      </c>
      <c r="G26035" s="5">
        <v>104.2</v>
      </c>
      <c r="H26035" s="5">
        <v>104.1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104.8</v>
      </c>
      <c r="D26036" s="5">
        <v>0.1</v>
      </c>
      <c r="E26036" s="5">
        <v>105</v>
      </c>
      <c r="F26036" s="5">
        <v>208.8</v>
      </c>
      <c r="G26036" s="5">
        <v>104.2</v>
      </c>
      <c r="H26036" s="5">
        <v>104.1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105</v>
      </c>
      <c r="D26037" s="5">
        <v>0.1</v>
      </c>
      <c r="E26037" s="5">
        <v>105.2</v>
      </c>
      <c r="F26037" s="5">
        <v>208.7</v>
      </c>
      <c r="G26037" s="5">
        <v>104</v>
      </c>
      <c r="H26037" s="5">
        <v>103.9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105</v>
      </c>
      <c r="D26038" s="5">
        <v>0.1</v>
      </c>
      <c r="E26038" s="5">
        <v>105.2</v>
      </c>
      <c r="F26038" s="5">
        <v>208.7</v>
      </c>
      <c r="G26038" s="5">
        <v>104</v>
      </c>
      <c r="H26038" s="5">
        <v>103.9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105</v>
      </c>
      <c r="D26039" s="5">
        <v>0.1</v>
      </c>
      <c r="E26039" s="5">
        <v>105.2</v>
      </c>
      <c r="F26039" s="5">
        <v>208.7</v>
      </c>
      <c r="G26039" s="5">
        <v>104</v>
      </c>
      <c r="H26039" s="5">
        <v>103.9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105</v>
      </c>
      <c r="D26040" s="5">
        <v>0.1</v>
      </c>
      <c r="E26040" s="5">
        <v>105.2</v>
      </c>
      <c r="F26040" s="5">
        <v>208.7</v>
      </c>
      <c r="G26040" s="5">
        <v>104</v>
      </c>
      <c r="H26040" s="5">
        <v>103.9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104.4</v>
      </c>
      <c r="D26041" s="5">
        <v>0.1</v>
      </c>
      <c r="E26041" s="5">
        <v>104.6</v>
      </c>
      <c r="F26041" s="5">
        <v>208.8</v>
      </c>
      <c r="G26041" s="5">
        <v>104.1</v>
      </c>
      <c r="H26041" s="5">
        <v>104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104.4</v>
      </c>
      <c r="D26042" s="5">
        <v>0.1</v>
      </c>
      <c r="E26042" s="5">
        <v>104.6</v>
      </c>
      <c r="F26042" s="5">
        <v>208.8</v>
      </c>
      <c r="G26042" s="5">
        <v>104.1</v>
      </c>
      <c r="H26042" s="5">
        <v>104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100.5</v>
      </c>
      <c r="D26043" s="5">
        <v>0.1</v>
      </c>
      <c r="E26043" s="5">
        <v>100.5</v>
      </c>
      <c r="F26043" s="5">
        <v>203.2</v>
      </c>
      <c r="G26043" s="5">
        <v>101.3</v>
      </c>
      <c r="H26043" s="5">
        <v>101.2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100.5</v>
      </c>
      <c r="D26044" s="5">
        <v>0.1</v>
      </c>
      <c r="E26044" s="5">
        <v>100.5</v>
      </c>
      <c r="F26044" s="5">
        <v>203.2</v>
      </c>
      <c r="G26044" s="5">
        <v>101.3</v>
      </c>
      <c r="H26044" s="5">
        <v>101.2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103.5</v>
      </c>
      <c r="D26045" s="5">
        <v>0.1</v>
      </c>
      <c r="E26045" s="5">
        <v>103.7</v>
      </c>
      <c r="F26045" s="5">
        <v>207.3</v>
      </c>
      <c r="G26045" s="5">
        <v>103.4</v>
      </c>
      <c r="H26045" s="5">
        <v>103.2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103.5</v>
      </c>
      <c r="D26046" s="5">
        <v>0.1</v>
      </c>
      <c r="E26046" s="5">
        <v>103.7</v>
      </c>
      <c r="F26046" s="5">
        <v>207.3</v>
      </c>
      <c r="G26046" s="5">
        <v>103.4</v>
      </c>
      <c r="H26046" s="5">
        <v>103.2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104.6</v>
      </c>
      <c r="D26047" s="5">
        <v>0.1</v>
      </c>
      <c r="E26047" s="5">
        <v>104.7</v>
      </c>
      <c r="F26047" s="5">
        <v>208.1</v>
      </c>
      <c r="G26047" s="5">
        <v>103.9</v>
      </c>
      <c r="H26047" s="5">
        <v>103.8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104.6</v>
      </c>
      <c r="D26048" s="5">
        <v>0.1</v>
      </c>
      <c r="E26048" s="5">
        <v>104.7</v>
      </c>
      <c r="F26048" s="5">
        <v>208.1</v>
      </c>
      <c r="G26048" s="5">
        <v>103.9</v>
      </c>
      <c r="H26048" s="5">
        <v>103.8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104.6</v>
      </c>
      <c r="D26049" s="5">
        <v>0.1</v>
      </c>
      <c r="E26049" s="5">
        <v>104.7</v>
      </c>
      <c r="F26049" s="5">
        <v>208.1</v>
      </c>
      <c r="G26049" s="5">
        <v>103.9</v>
      </c>
      <c r="H26049" s="5">
        <v>103.8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104.6</v>
      </c>
      <c r="D26050" s="5">
        <v>0.1</v>
      </c>
      <c r="E26050" s="5">
        <v>104.7</v>
      </c>
      <c r="F26050" s="5">
        <v>208.1</v>
      </c>
      <c r="G26050" s="5">
        <v>103.9</v>
      </c>
      <c r="H26050" s="5">
        <v>103.8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103.9</v>
      </c>
      <c r="D26051" s="5">
        <v>0.1</v>
      </c>
      <c r="E26051" s="5">
        <v>104</v>
      </c>
      <c r="F26051" s="5">
        <v>208</v>
      </c>
      <c r="G26051" s="5">
        <v>103.8</v>
      </c>
      <c r="H26051" s="5">
        <v>103.6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103.9</v>
      </c>
      <c r="D26052" s="5">
        <v>0.1</v>
      </c>
      <c r="E26052" s="5">
        <v>104</v>
      </c>
      <c r="F26052" s="5">
        <v>208</v>
      </c>
      <c r="G26052" s="5">
        <v>103.8</v>
      </c>
      <c r="H26052" s="5">
        <v>103.6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104.3</v>
      </c>
      <c r="D26053" s="5">
        <v>0.1</v>
      </c>
      <c r="E26053" s="5">
        <v>104.5</v>
      </c>
      <c r="F26053" s="5">
        <v>208.4</v>
      </c>
      <c r="G26053" s="5">
        <v>104</v>
      </c>
      <c r="H26053" s="5">
        <v>103.9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104.3</v>
      </c>
      <c r="D26054" s="5">
        <v>0.1</v>
      </c>
      <c r="E26054" s="5">
        <v>104.5</v>
      </c>
      <c r="F26054" s="5">
        <v>208.4</v>
      </c>
      <c r="G26054" s="5">
        <v>104</v>
      </c>
      <c r="H26054" s="5">
        <v>103.9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104.1</v>
      </c>
      <c r="D26055" s="5">
        <v>0.1</v>
      </c>
      <c r="E26055" s="5">
        <v>104.3</v>
      </c>
      <c r="F26055" s="5">
        <v>208</v>
      </c>
      <c r="G26055" s="5">
        <v>103.6</v>
      </c>
      <c r="H26055" s="5">
        <v>103.5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104.1</v>
      </c>
      <c r="D26056" s="5">
        <v>0.1</v>
      </c>
      <c r="E26056" s="5">
        <v>104.3</v>
      </c>
      <c r="F26056" s="5">
        <v>208</v>
      </c>
      <c r="G26056" s="5">
        <v>103.6</v>
      </c>
      <c r="H26056" s="5">
        <v>103.5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104.3</v>
      </c>
      <c r="D26057" s="5">
        <v>0.1</v>
      </c>
      <c r="E26057" s="5">
        <v>104.5</v>
      </c>
      <c r="F26057" s="5">
        <v>208.2</v>
      </c>
      <c r="G26057" s="5">
        <v>103.9</v>
      </c>
      <c r="H26057" s="5">
        <v>103.8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104.3</v>
      </c>
      <c r="D26058" s="5">
        <v>0.1</v>
      </c>
      <c r="E26058" s="5">
        <v>104.5</v>
      </c>
      <c r="F26058" s="5">
        <v>208.2</v>
      </c>
      <c r="G26058" s="5">
        <v>103.9</v>
      </c>
      <c r="H26058" s="5">
        <v>103.8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104.3</v>
      </c>
      <c r="D26059" s="5">
        <v>0.1</v>
      </c>
      <c r="E26059" s="5">
        <v>104.5</v>
      </c>
      <c r="F26059" s="5">
        <v>208.2</v>
      </c>
      <c r="G26059" s="5">
        <v>103.9</v>
      </c>
      <c r="H26059" s="5">
        <v>103.8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104.3</v>
      </c>
      <c r="D26060" s="5">
        <v>0.1</v>
      </c>
      <c r="E26060" s="5">
        <v>104.5</v>
      </c>
      <c r="F26060" s="5">
        <v>208.2</v>
      </c>
      <c r="G26060" s="5">
        <v>103.9</v>
      </c>
      <c r="H26060" s="5">
        <v>103.8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104.3</v>
      </c>
      <c r="D26061" s="5">
        <v>0.1</v>
      </c>
      <c r="E26061" s="5">
        <v>104.5</v>
      </c>
      <c r="F26061" s="5">
        <v>208.1</v>
      </c>
      <c r="G26061" s="5">
        <v>103.9</v>
      </c>
      <c r="H26061" s="5">
        <v>103.8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104.3</v>
      </c>
      <c r="D26062" s="5">
        <v>0.1</v>
      </c>
      <c r="E26062" s="5">
        <v>104.5</v>
      </c>
      <c r="F26062" s="5">
        <v>208.1</v>
      </c>
      <c r="G26062" s="5">
        <v>103.9</v>
      </c>
      <c r="H26062" s="5">
        <v>103.8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103.7</v>
      </c>
      <c r="D26063" s="5">
        <v>0.1</v>
      </c>
      <c r="E26063" s="5">
        <v>103.8</v>
      </c>
      <c r="F26063" s="5">
        <v>207.2</v>
      </c>
      <c r="G26063" s="5">
        <v>103.3</v>
      </c>
      <c r="H26063" s="5">
        <v>103.2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103.7</v>
      </c>
      <c r="D26064" s="5">
        <v>0.1</v>
      </c>
      <c r="E26064" s="5">
        <v>103.8</v>
      </c>
      <c r="F26064" s="5">
        <v>207.2</v>
      </c>
      <c r="G26064" s="5">
        <v>103.3</v>
      </c>
      <c r="H26064" s="5">
        <v>103.2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104</v>
      </c>
      <c r="D26065" s="5">
        <v>0.1</v>
      </c>
      <c r="E26065" s="5">
        <v>104.2</v>
      </c>
      <c r="F26065" s="5">
        <v>207.7</v>
      </c>
      <c r="G26065" s="5">
        <v>103.7</v>
      </c>
      <c r="H26065" s="5">
        <v>103.5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104</v>
      </c>
      <c r="D26066" s="5">
        <v>0.1</v>
      </c>
      <c r="E26066" s="5">
        <v>104.2</v>
      </c>
      <c r="F26066" s="5">
        <v>207.7</v>
      </c>
      <c r="G26066" s="5">
        <v>103.7</v>
      </c>
      <c r="H26066" s="5">
        <v>103.5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104</v>
      </c>
      <c r="D26067" s="5">
        <v>0.1</v>
      </c>
      <c r="E26067" s="5">
        <v>104</v>
      </c>
      <c r="F26067" s="5">
        <v>207.3</v>
      </c>
      <c r="G26067" s="5">
        <v>103.4</v>
      </c>
      <c r="H26067" s="5">
        <v>103.2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104</v>
      </c>
      <c r="D26068" s="5">
        <v>0.1</v>
      </c>
      <c r="E26068" s="5">
        <v>104</v>
      </c>
      <c r="F26068" s="5">
        <v>207.3</v>
      </c>
      <c r="G26068" s="5">
        <v>103.4</v>
      </c>
      <c r="H26068" s="5">
        <v>103.2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104</v>
      </c>
      <c r="D26069" s="5">
        <v>0.1</v>
      </c>
      <c r="E26069" s="5">
        <v>104</v>
      </c>
      <c r="F26069" s="5">
        <v>207.3</v>
      </c>
      <c r="G26069" s="5">
        <v>103.4</v>
      </c>
      <c r="H26069" s="5">
        <v>103.2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104</v>
      </c>
      <c r="D26070" s="5">
        <v>0.1</v>
      </c>
      <c r="E26070" s="5">
        <v>104</v>
      </c>
      <c r="F26070" s="5">
        <v>207.3</v>
      </c>
      <c r="G26070" s="5">
        <v>103.4</v>
      </c>
      <c r="H26070" s="5">
        <v>103.2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104</v>
      </c>
      <c r="D26071" s="5">
        <v>0.1</v>
      </c>
      <c r="E26071" s="5">
        <v>104.2</v>
      </c>
      <c r="F26071" s="5">
        <v>207.4</v>
      </c>
      <c r="G26071" s="5">
        <v>103.5</v>
      </c>
      <c r="H26071" s="5">
        <v>103.4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104</v>
      </c>
      <c r="D26072" s="5">
        <v>0.1</v>
      </c>
      <c r="E26072" s="5">
        <v>104.2</v>
      </c>
      <c r="F26072" s="5">
        <v>207.4</v>
      </c>
      <c r="G26072" s="5">
        <v>103.5</v>
      </c>
      <c r="H26072" s="5">
        <v>103.4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103.5</v>
      </c>
      <c r="D26073" s="5">
        <v>0.1</v>
      </c>
      <c r="E26073" s="5">
        <v>103.7</v>
      </c>
      <c r="F26073" s="5">
        <v>207</v>
      </c>
      <c r="G26073" s="5">
        <v>103.3</v>
      </c>
      <c r="H26073" s="5">
        <v>103.2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103.5</v>
      </c>
      <c r="D26074" s="5">
        <v>0.1</v>
      </c>
      <c r="E26074" s="5">
        <v>103.7</v>
      </c>
      <c r="F26074" s="5">
        <v>207</v>
      </c>
      <c r="G26074" s="5">
        <v>103.3</v>
      </c>
      <c r="H26074" s="5">
        <v>103.2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104</v>
      </c>
      <c r="D26075" s="5">
        <v>0.1</v>
      </c>
      <c r="E26075" s="5">
        <v>104.2</v>
      </c>
      <c r="F26075" s="5">
        <v>207.5</v>
      </c>
      <c r="G26075" s="5">
        <v>103.5</v>
      </c>
      <c r="H26075" s="5">
        <v>103.5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104</v>
      </c>
      <c r="D26076" s="5">
        <v>0.1</v>
      </c>
      <c r="E26076" s="5">
        <v>104.2</v>
      </c>
      <c r="F26076" s="5">
        <v>207.5</v>
      </c>
      <c r="G26076" s="5">
        <v>103.5</v>
      </c>
      <c r="H26076" s="5">
        <v>103.5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103.6</v>
      </c>
      <c r="D26077" s="5">
        <v>0.1</v>
      </c>
      <c r="E26077" s="5">
        <v>103.7</v>
      </c>
      <c r="F26077" s="5">
        <v>206.7</v>
      </c>
      <c r="G26077" s="5">
        <v>103.1</v>
      </c>
      <c r="H26077" s="5">
        <v>102.9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103.6</v>
      </c>
      <c r="D26078" s="5">
        <v>0.1</v>
      </c>
      <c r="E26078" s="5">
        <v>103.7</v>
      </c>
      <c r="F26078" s="5">
        <v>206.7</v>
      </c>
      <c r="G26078" s="5">
        <v>103.1</v>
      </c>
      <c r="H26078" s="5">
        <v>102.9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103.6</v>
      </c>
      <c r="D26079" s="5">
        <v>0.1</v>
      </c>
      <c r="E26079" s="5">
        <v>103.7</v>
      </c>
      <c r="F26079" s="5">
        <v>206.7</v>
      </c>
      <c r="G26079" s="5">
        <v>103.1</v>
      </c>
      <c r="H26079" s="5">
        <v>102.9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103.6</v>
      </c>
      <c r="D26080" s="5">
        <v>0.1</v>
      </c>
      <c r="E26080" s="5">
        <v>103.7</v>
      </c>
      <c r="F26080" s="5">
        <v>206.7</v>
      </c>
      <c r="G26080" s="5">
        <v>103.1</v>
      </c>
      <c r="H26080" s="5">
        <v>102.9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104.3</v>
      </c>
      <c r="D26081" s="5">
        <v>0.1</v>
      </c>
      <c r="E26081" s="5">
        <v>104.5</v>
      </c>
      <c r="F26081" s="5">
        <v>208.4</v>
      </c>
      <c r="G26081" s="5">
        <v>104</v>
      </c>
      <c r="H26081" s="5">
        <v>103.9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104.3</v>
      </c>
      <c r="D26082" s="5">
        <v>0.1</v>
      </c>
      <c r="E26082" s="5">
        <v>104.5</v>
      </c>
      <c r="F26082" s="5">
        <v>208.4</v>
      </c>
      <c r="G26082" s="5">
        <v>104</v>
      </c>
      <c r="H26082" s="5">
        <v>103.9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103.9</v>
      </c>
      <c r="D26083" s="5">
        <v>0.1</v>
      </c>
      <c r="E26083" s="5">
        <v>104</v>
      </c>
      <c r="F26083" s="5">
        <v>207.5</v>
      </c>
      <c r="G26083" s="5">
        <v>103.5</v>
      </c>
      <c r="H26083" s="5">
        <v>103.4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103.9</v>
      </c>
      <c r="D26084" s="5">
        <v>0.1</v>
      </c>
      <c r="E26084" s="5">
        <v>104</v>
      </c>
      <c r="F26084" s="5">
        <v>207.5</v>
      </c>
      <c r="G26084" s="5">
        <v>103.5</v>
      </c>
      <c r="H26084" s="5">
        <v>103.4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104.6</v>
      </c>
      <c r="D26085" s="5">
        <v>0.1</v>
      </c>
      <c r="E26085" s="5">
        <v>104.7</v>
      </c>
      <c r="F26085" s="5">
        <v>208.8</v>
      </c>
      <c r="G26085" s="5">
        <v>104.2</v>
      </c>
      <c r="H26085" s="5">
        <v>104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104.6</v>
      </c>
      <c r="D26086" s="5">
        <v>0.1</v>
      </c>
      <c r="E26086" s="5">
        <v>104.7</v>
      </c>
      <c r="F26086" s="5">
        <v>208.8</v>
      </c>
      <c r="G26086" s="5">
        <v>104.2</v>
      </c>
      <c r="H26086" s="5">
        <v>104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104.9</v>
      </c>
      <c r="D26087" s="5">
        <v>0.1</v>
      </c>
      <c r="E26087" s="5">
        <v>105</v>
      </c>
      <c r="F26087" s="5">
        <v>209.6</v>
      </c>
      <c r="G26087" s="5">
        <v>104.6</v>
      </c>
      <c r="H26087" s="5">
        <v>104.4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104.9</v>
      </c>
      <c r="D26088" s="5">
        <v>0.1</v>
      </c>
      <c r="E26088" s="5">
        <v>105</v>
      </c>
      <c r="F26088" s="5">
        <v>209.6</v>
      </c>
      <c r="G26088" s="5">
        <v>104.6</v>
      </c>
      <c r="H26088" s="5">
        <v>104.4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104.9</v>
      </c>
      <c r="D26089" s="5">
        <v>0.1</v>
      </c>
      <c r="E26089" s="5">
        <v>105</v>
      </c>
      <c r="F26089" s="5">
        <v>209.6</v>
      </c>
      <c r="G26089" s="5">
        <v>104.6</v>
      </c>
      <c r="H26089" s="5">
        <v>104.4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104.7</v>
      </c>
      <c r="D26090" s="5">
        <v>0.1</v>
      </c>
      <c r="E26090" s="5">
        <v>105</v>
      </c>
      <c r="F26090" s="5">
        <v>209.6</v>
      </c>
      <c r="G26090" s="5">
        <v>104.6</v>
      </c>
      <c r="H26090" s="5">
        <v>104.4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104.7</v>
      </c>
      <c r="D26091" s="5">
        <v>0.1</v>
      </c>
      <c r="E26091" s="5">
        <v>104.9</v>
      </c>
      <c r="F26091" s="5">
        <v>208.4</v>
      </c>
      <c r="G26091" s="5">
        <v>104</v>
      </c>
      <c r="H26091" s="5">
        <v>103.9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104.7</v>
      </c>
      <c r="D26092" s="5">
        <v>0.1</v>
      </c>
      <c r="E26092" s="5">
        <v>104.9</v>
      </c>
      <c r="F26092" s="5">
        <v>208.4</v>
      </c>
      <c r="G26092" s="5">
        <v>104</v>
      </c>
      <c r="H26092" s="5">
        <v>103.9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104.1</v>
      </c>
      <c r="D26093" s="5">
        <v>0.1</v>
      </c>
      <c r="E26093" s="5">
        <v>104.3</v>
      </c>
      <c r="F26093" s="5">
        <v>207.8</v>
      </c>
      <c r="G26093" s="5">
        <v>103.8</v>
      </c>
      <c r="H26093" s="5">
        <v>103.7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104.1</v>
      </c>
      <c r="D26094" s="5">
        <v>0.1</v>
      </c>
      <c r="E26094" s="5">
        <v>104.3</v>
      </c>
      <c r="F26094" s="5">
        <v>207.8</v>
      </c>
      <c r="G26094" s="5">
        <v>103.8</v>
      </c>
      <c r="H26094" s="5">
        <v>103.7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105</v>
      </c>
      <c r="D26095" s="5">
        <v>0.1</v>
      </c>
      <c r="E26095" s="5">
        <v>105.1</v>
      </c>
      <c r="F26095" s="5">
        <v>209.5</v>
      </c>
      <c r="G26095" s="5">
        <v>104.5</v>
      </c>
      <c r="H26095" s="5">
        <v>104.4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105</v>
      </c>
      <c r="D26096" s="5">
        <v>0.1</v>
      </c>
      <c r="E26096" s="5">
        <v>105.1</v>
      </c>
      <c r="F26096" s="5">
        <v>209.5</v>
      </c>
      <c r="G26096" s="5">
        <v>104.5</v>
      </c>
      <c r="H26096" s="5">
        <v>104.4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104.3</v>
      </c>
      <c r="D26097" s="5">
        <v>0.1</v>
      </c>
      <c r="E26097" s="5">
        <v>104.5</v>
      </c>
      <c r="F26097" s="5">
        <v>208.7</v>
      </c>
      <c r="G26097" s="5">
        <v>104.1</v>
      </c>
      <c r="H26097" s="5">
        <v>104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104.3</v>
      </c>
      <c r="D26098" s="5">
        <v>0.1</v>
      </c>
      <c r="E26098" s="5">
        <v>104.5</v>
      </c>
      <c r="F26098" s="5">
        <v>208.7</v>
      </c>
      <c r="G26098" s="5">
        <v>104.1</v>
      </c>
      <c r="H26098" s="5">
        <v>104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104.3</v>
      </c>
      <c r="D26099" s="5">
        <v>0.1</v>
      </c>
      <c r="E26099" s="5">
        <v>104.5</v>
      </c>
      <c r="F26099" s="5">
        <v>208.7</v>
      </c>
      <c r="G26099" s="5">
        <v>104.1</v>
      </c>
      <c r="H26099" s="5">
        <v>104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104.3</v>
      </c>
      <c r="D26100" s="5">
        <v>0.1</v>
      </c>
      <c r="E26100" s="5">
        <v>104.5</v>
      </c>
      <c r="F26100" s="5">
        <v>208.7</v>
      </c>
      <c r="G26100" s="5">
        <v>104.1</v>
      </c>
      <c r="H26100" s="5">
        <v>104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104.1</v>
      </c>
      <c r="D26101" s="5">
        <v>0.1</v>
      </c>
      <c r="E26101" s="5">
        <v>104.3</v>
      </c>
      <c r="F26101" s="5">
        <v>207.7</v>
      </c>
      <c r="G26101" s="5">
        <v>103.6</v>
      </c>
      <c r="H26101" s="5">
        <v>103.5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104.1</v>
      </c>
      <c r="D26102" s="5">
        <v>0.1</v>
      </c>
      <c r="E26102" s="5">
        <v>104.3</v>
      </c>
      <c r="F26102" s="5">
        <v>207.7</v>
      </c>
      <c r="G26102" s="5">
        <v>103.6</v>
      </c>
      <c r="H26102" s="5">
        <v>103.5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104.4</v>
      </c>
      <c r="D26103" s="5">
        <v>0.1</v>
      </c>
      <c r="E26103" s="5">
        <v>104.6</v>
      </c>
      <c r="F26103" s="5">
        <v>208</v>
      </c>
      <c r="G26103" s="5">
        <v>103.8</v>
      </c>
      <c r="H26103" s="5">
        <v>103.7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104.4</v>
      </c>
      <c r="D26104" s="5">
        <v>0.1</v>
      </c>
      <c r="E26104" s="5">
        <v>104.6</v>
      </c>
      <c r="F26104" s="5">
        <v>208</v>
      </c>
      <c r="G26104" s="5">
        <v>103.8</v>
      </c>
      <c r="H26104" s="5">
        <v>103.7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103.8</v>
      </c>
      <c r="D26105" s="5">
        <v>0.1</v>
      </c>
      <c r="E26105" s="5">
        <v>104</v>
      </c>
      <c r="F26105" s="5">
        <v>207.8</v>
      </c>
      <c r="G26105" s="5">
        <v>103.7</v>
      </c>
      <c r="H26105" s="5">
        <v>103.5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103.8</v>
      </c>
      <c r="D26106" s="5">
        <v>0.1</v>
      </c>
      <c r="E26106" s="5">
        <v>104</v>
      </c>
      <c r="F26106" s="5">
        <v>207.8</v>
      </c>
      <c r="G26106" s="5">
        <v>103.7</v>
      </c>
      <c r="H26106" s="5">
        <v>103.5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104.1</v>
      </c>
      <c r="D26107" s="5">
        <v>0.1</v>
      </c>
      <c r="E26107" s="5">
        <v>104.3</v>
      </c>
      <c r="F26107" s="5">
        <v>208.4</v>
      </c>
      <c r="G26107" s="5">
        <v>103.9</v>
      </c>
      <c r="H26107" s="5">
        <v>103.8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104.1</v>
      </c>
      <c r="D26108" s="5">
        <v>0.1</v>
      </c>
      <c r="E26108" s="5">
        <v>104.3</v>
      </c>
      <c r="F26108" s="5">
        <v>208.4</v>
      </c>
      <c r="G26108" s="5">
        <v>103.9</v>
      </c>
      <c r="H26108" s="5">
        <v>103.8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104.1</v>
      </c>
      <c r="D26109" s="5">
        <v>0.1</v>
      </c>
      <c r="E26109" s="5">
        <v>104.3</v>
      </c>
      <c r="F26109" s="5">
        <v>208.4</v>
      </c>
      <c r="G26109" s="5">
        <v>103.9</v>
      </c>
      <c r="H26109" s="5">
        <v>103.8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105</v>
      </c>
      <c r="D26110" s="5">
        <v>0.1</v>
      </c>
      <c r="E26110" s="5">
        <v>105.1</v>
      </c>
      <c r="F26110" s="5">
        <v>210.2</v>
      </c>
      <c r="G26110" s="5">
        <v>104.9</v>
      </c>
      <c r="H26110" s="5">
        <v>104.7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105</v>
      </c>
      <c r="D26111" s="5">
        <v>0.1</v>
      </c>
      <c r="E26111" s="5">
        <v>105.1</v>
      </c>
      <c r="F26111" s="5">
        <v>210.2</v>
      </c>
      <c r="G26111" s="5">
        <v>104.9</v>
      </c>
      <c r="H26111" s="5">
        <v>104.7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104.6</v>
      </c>
      <c r="D26112" s="5">
        <v>0.1</v>
      </c>
      <c r="E26112" s="5">
        <v>104.8</v>
      </c>
      <c r="F26112" s="5">
        <v>208.5</v>
      </c>
      <c r="G26112" s="5">
        <v>104.1</v>
      </c>
      <c r="H26112" s="5">
        <v>104.1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104.6</v>
      </c>
      <c r="D26113" s="5">
        <v>0.1</v>
      </c>
      <c r="E26113" s="5">
        <v>104.8</v>
      </c>
      <c r="F26113" s="5">
        <v>208.5</v>
      </c>
      <c r="G26113" s="5">
        <v>104.1</v>
      </c>
      <c r="H26113" s="5">
        <v>104.1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104.6</v>
      </c>
      <c r="D26114" s="5">
        <v>0.1</v>
      </c>
      <c r="E26114" s="5">
        <v>104.5</v>
      </c>
      <c r="F26114" s="5">
        <v>208.9</v>
      </c>
      <c r="G26114" s="5">
        <v>104.2</v>
      </c>
      <c r="H26114" s="5">
        <v>104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104.3</v>
      </c>
      <c r="D26115" s="5">
        <v>0.1</v>
      </c>
      <c r="E26115" s="5">
        <v>104.5</v>
      </c>
      <c r="F26115" s="5">
        <v>208.9</v>
      </c>
      <c r="G26115" s="5">
        <v>104.2</v>
      </c>
      <c r="H26115" s="5">
        <v>104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104.3</v>
      </c>
      <c r="D26116" s="5">
        <v>0.1</v>
      </c>
      <c r="E26116" s="5">
        <v>105</v>
      </c>
      <c r="F26116" s="5">
        <v>210.2</v>
      </c>
      <c r="G26116" s="5">
        <v>104.8</v>
      </c>
      <c r="H26116" s="5">
        <v>104.7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104.9</v>
      </c>
      <c r="D26117" s="5">
        <v>0.1</v>
      </c>
      <c r="E26117" s="5">
        <v>105</v>
      </c>
      <c r="F26117" s="5">
        <v>210.2</v>
      </c>
      <c r="G26117" s="5">
        <v>104.8</v>
      </c>
      <c r="H26117" s="5">
        <v>104.7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104.9</v>
      </c>
      <c r="D26118" s="5">
        <v>0.1</v>
      </c>
      <c r="E26118" s="5">
        <v>105</v>
      </c>
      <c r="F26118" s="5">
        <v>210.2</v>
      </c>
      <c r="G26118" s="5">
        <v>104.8</v>
      </c>
      <c r="H26118" s="5">
        <v>104.7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104.9</v>
      </c>
      <c r="D26119" s="5">
        <v>0.1</v>
      </c>
      <c r="E26119" s="5">
        <v>105</v>
      </c>
      <c r="F26119" s="5">
        <v>210.2</v>
      </c>
      <c r="G26119" s="5">
        <v>104.8</v>
      </c>
      <c r="H26119" s="5">
        <v>104.7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105.3</v>
      </c>
      <c r="D26120" s="5">
        <v>0.1</v>
      </c>
      <c r="E26120" s="5">
        <v>105.4</v>
      </c>
      <c r="F26120" s="5">
        <v>210.4</v>
      </c>
      <c r="G26120" s="5">
        <v>105</v>
      </c>
      <c r="H26120" s="5">
        <v>104.9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105.3</v>
      </c>
      <c r="D26121" s="5">
        <v>0.1</v>
      </c>
      <c r="E26121" s="5">
        <v>105.4</v>
      </c>
      <c r="F26121" s="5">
        <v>210.4</v>
      </c>
      <c r="G26121" s="5">
        <v>105</v>
      </c>
      <c r="H26121" s="5">
        <v>104.9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101.8</v>
      </c>
      <c r="D26122" s="5">
        <v>0.1</v>
      </c>
      <c r="E26122" s="5">
        <v>102</v>
      </c>
      <c r="F26122" s="5">
        <v>207.9</v>
      </c>
      <c r="G26122" s="5">
        <v>103.6</v>
      </c>
      <c r="H26122" s="5">
        <v>103.4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101.8</v>
      </c>
      <c r="D26123" s="5">
        <v>0.1</v>
      </c>
      <c r="E26123" s="5">
        <v>102</v>
      </c>
      <c r="F26123" s="5">
        <v>207.9</v>
      </c>
      <c r="G26123" s="5">
        <v>103.6</v>
      </c>
      <c r="H26123" s="5">
        <v>103.4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104.6</v>
      </c>
      <c r="D26124" s="5">
        <v>0.1</v>
      </c>
      <c r="E26124" s="5">
        <v>104.6</v>
      </c>
      <c r="F26124" s="5">
        <v>208.8</v>
      </c>
      <c r="G26124" s="5">
        <v>104.2</v>
      </c>
      <c r="H26124" s="5">
        <v>104.1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104.6</v>
      </c>
      <c r="D26125" s="5">
        <v>0.1</v>
      </c>
      <c r="E26125" s="5">
        <v>104.6</v>
      </c>
      <c r="F26125" s="5">
        <v>208.8</v>
      </c>
      <c r="G26125" s="5">
        <v>104.2</v>
      </c>
      <c r="H26125" s="5">
        <v>104.1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104.6</v>
      </c>
      <c r="D26126" s="5">
        <v>0.1</v>
      </c>
      <c r="E26126" s="5">
        <v>104.8</v>
      </c>
      <c r="F26126" s="5">
        <v>209.4</v>
      </c>
      <c r="G26126" s="5">
        <v>104.5</v>
      </c>
      <c r="H26126" s="5">
        <v>104.3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104.6</v>
      </c>
      <c r="D26127" s="5">
        <v>0.1</v>
      </c>
      <c r="E26127" s="5">
        <v>104.8</v>
      </c>
      <c r="F26127" s="5">
        <v>209.4</v>
      </c>
      <c r="G26127" s="5">
        <v>104.5</v>
      </c>
      <c r="H26127" s="5">
        <v>104.3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104.6</v>
      </c>
      <c r="D26128" s="5">
        <v>0.1</v>
      </c>
      <c r="E26128" s="5">
        <v>104.8</v>
      </c>
      <c r="F26128" s="5">
        <v>209.4</v>
      </c>
      <c r="G26128" s="5">
        <v>104.5</v>
      </c>
      <c r="H26128" s="5">
        <v>104.3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104.6</v>
      </c>
      <c r="D26129" s="5">
        <v>0.1</v>
      </c>
      <c r="E26129" s="5">
        <v>104.8</v>
      </c>
      <c r="F26129" s="5">
        <v>209.4</v>
      </c>
      <c r="G26129" s="5">
        <v>104.5</v>
      </c>
      <c r="H26129" s="5">
        <v>104.3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105.2</v>
      </c>
      <c r="D26130" s="5">
        <v>0.1</v>
      </c>
      <c r="E26130" s="5">
        <v>105.3</v>
      </c>
      <c r="F26130" s="5">
        <v>208.6</v>
      </c>
      <c r="G26130" s="5">
        <v>104.1</v>
      </c>
      <c r="H26130" s="5">
        <v>103.9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105.2</v>
      </c>
      <c r="D26131" s="5">
        <v>0.1</v>
      </c>
      <c r="E26131" s="5">
        <v>105.3</v>
      </c>
      <c r="F26131" s="5">
        <v>208.6</v>
      </c>
      <c r="G26131" s="5">
        <v>104.1</v>
      </c>
      <c r="H26131" s="5">
        <v>103.9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104.5</v>
      </c>
      <c r="D26132" s="5">
        <v>0.1</v>
      </c>
      <c r="E26132" s="5">
        <v>104.6</v>
      </c>
      <c r="F26132" s="5">
        <v>208.2</v>
      </c>
      <c r="G26132" s="5">
        <v>104</v>
      </c>
      <c r="H26132" s="5">
        <v>103.9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104.5</v>
      </c>
      <c r="D26133" s="5">
        <v>0.1</v>
      </c>
      <c r="E26133" s="5">
        <v>104.6</v>
      </c>
      <c r="F26133" s="5">
        <v>208.2</v>
      </c>
      <c r="G26133" s="5">
        <v>104</v>
      </c>
      <c r="H26133" s="5">
        <v>103.9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98.8</v>
      </c>
      <c r="D26134" s="5">
        <v>0.1</v>
      </c>
      <c r="E26134" s="5">
        <v>98.9</v>
      </c>
      <c r="F26134" s="5">
        <v>197.4</v>
      </c>
      <c r="G26134" s="5">
        <v>98.5</v>
      </c>
      <c r="H26134" s="5">
        <v>98.3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98.8</v>
      </c>
      <c r="D26135" s="5">
        <v>0.1</v>
      </c>
      <c r="E26135" s="5">
        <v>98.9</v>
      </c>
      <c r="F26135" s="5">
        <v>197.4</v>
      </c>
      <c r="G26135" s="5">
        <v>98.5</v>
      </c>
      <c r="H26135" s="5">
        <v>98.3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103.7</v>
      </c>
      <c r="D26136" s="5">
        <v>0.1</v>
      </c>
      <c r="E26136" s="5">
        <v>103.8</v>
      </c>
      <c r="F26136" s="5">
        <v>206.9</v>
      </c>
      <c r="G26136" s="5">
        <v>103.3</v>
      </c>
      <c r="H26136" s="5">
        <v>103.2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103.7</v>
      </c>
      <c r="D26137" s="5">
        <v>0.1</v>
      </c>
      <c r="E26137" s="5">
        <v>103.8</v>
      </c>
      <c r="F26137" s="5">
        <v>206.9</v>
      </c>
      <c r="G26137" s="5">
        <v>103.3</v>
      </c>
      <c r="H26137" s="5">
        <v>103.2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103.7</v>
      </c>
      <c r="D26138" s="5">
        <v>0.1</v>
      </c>
      <c r="E26138" s="5">
        <v>103.8</v>
      </c>
      <c r="F26138" s="5">
        <v>206.9</v>
      </c>
      <c r="G26138" s="5">
        <v>103.3</v>
      </c>
      <c r="H26138" s="5">
        <v>103.2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103.7</v>
      </c>
      <c r="D26139" s="5">
        <v>0.1</v>
      </c>
      <c r="E26139" s="5">
        <v>103.8</v>
      </c>
      <c r="F26139" s="5">
        <v>206.9</v>
      </c>
      <c r="G26139" s="5">
        <v>103.3</v>
      </c>
      <c r="H26139" s="5">
        <v>103.2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99.8</v>
      </c>
      <c r="D26140" s="5">
        <v>0.1</v>
      </c>
      <c r="E26140" s="5">
        <v>99.9</v>
      </c>
      <c r="F26140" s="5">
        <v>198.3</v>
      </c>
      <c r="G26140" s="5">
        <v>99</v>
      </c>
      <c r="H26140" s="5">
        <v>98.9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99.8</v>
      </c>
      <c r="D26141" s="5">
        <v>0.1</v>
      </c>
      <c r="E26141" s="5">
        <v>99.9</v>
      </c>
      <c r="F26141" s="5">
        <v>198.3</v>
      </c>
      <c r="G26141" s="5">
        <v>99</v>
      </c>
      <c r="H26141" s="5">
        <v>98.9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99.2</v>
      </c>
      <c r="D26142" s="5">
        <v>0.1</v>
      </c>
      <c r="E26142" s="5">
        <v>99.3</v>
      </c>
      <c r="F26142" s="5">
        <v>197.7</v>
      </c>
      <c r="G26142" s="5">
        <v>98.6</v>
      </c>
      <c r="H26142" s="5">
        <v>98.5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99.2</v>
      </c>
      <c r="D26143" s="5">
        <v>0.1</v>
      </c>
      <c r="E26143" s="5">
        <v>99.3</v>
      </c>
      <c r="F26143" s="5">
        <v>197.7</v>
      </c>
      <c r="G26143" s="5">
        <v>98.6</v>
      </c>
      <c r="H26143" s="5">
        <v>98.5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99.2</v>
      </c>
      <c r="D26144" s="5">
        <v>0.1</v>
      </c>
      <c r="E26144" s="5">
        <v>99.3</v>
      </c>
      <c r="F26144" s="5">
        <v>197.7</v>
      </c>
      <c r="G26144" s="5">
        <v>98.6</v>
      </c>
      <c r="H26144" s="5">
        <v>98.5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99.2</v>
      </c>
      <c r="D26145" s="5">
        <v>0.1</v>
      </c>
      <c r="E26145" s="5">
        <v>99.3</v>
      </c>
      <c r="F26145" s="5">
        <v>197.7</v>
      </c>
      <c r="G26145" s="5">
        <v>98.6</v>
      </c>
      <c r="H26145" s="5">
        <v>99.1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98.8</v>
      </c>
      <c r="D26146" s="5">
        <v>0.1</v>
      </c>
      <c r="E26146" s="5">
        <v>98.9</v>
      </c>
      <c r="F26146" s="5">
        <v>199</v>
      </c>
      <c r="G26146" s="5">
        <v>99.3</v>
      </c>
      <c r="H26146" s="5">
        <v>99.1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98.8</v>
      </c>
      <c r="D26147" s="5">
        <v>0.1</v>
      </c>
      <c r="E26147" s="5">
        <v>98.9</v>
      </c>
      <c r="F26147" s="5">
        <v>199</v>
      </c>
      <c r="G26147" s="5">
        <v>99.3</v>
      </c>
      <c r="H26147" s="5">
        <v>99.1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104.6</v>
      </c>
      <c r="D26148" s="5">
        <v>0.1</v>
      </c>
      <c r="E26148" s="5">
        <v>104.7</v>
      </c>
      <c r="F26148" s="5">
        <v>208.9</v>
      </c>
      <c r="G26148" s="5">
        <v>104</v>
      </c>
      <c r="H26148" s="5">
        <v>103.4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104.6</v>
      </c>
      <c r="D26149" s="5">
        <v>0.1</v>
      </c>
      <c r="E26149" s="5">
        <v>104.7</v>
      </c>
      <c r="F26149" s="5">
        <v>208.9</v>
      </c>
      <c r="G26149" s="5">
        <v>104</v>
      </c>
      <c r="H26149" s="5">
        <v>103.4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99.1</v>
      </c>
      <c r="D26150" s="5">
        <v>0.1</v>
      </c>
      <c r="E26150" s="5">
        <v>99.2</v>
      </c>
      <c r="F26150" s="5">
        <v>197.4</v>
      </c>
      <c r="G26150" s="5">
        <v>98.4</v>
      </c>
      <c r="H26150" s="5">
        <v>98.2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99.1</v>
      </c>
      <c r="D26151" s="5">
        <v>0.1</v>
      </c>
      <c r="E26151" s="5">
        <v>99.2</v>
      </c>
      <c r="F26151" s="5">
        <v>197.4</v>
      </c>
      <c r="G26151" s="5">
        <v>98.4</v>
      </c>
      <c r="H26151" s="5">
        <v>98.2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100</v>
      </c>
      <c r="D26152" s="5">
        <v>0.1</v>
      </c>
      <c r="E26152" s="5">
        <v>100.2</v>
      </c>
      <c r="F26152" s="5">
        <v>198.2</v>
      </c>
      <c r="G26152" s="5">
        <v>99</v>
      </c>
      <c r="H26152" s="5">
        <v>98.8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100</v>
      </c>
      <c r="D26153" s="5">
        <v>0.1</v>
      </c>
      <c r="E26153" s="5">
        <v>100.2</v>
      </c>
      <c r="F26153" s="5">
        <v>198.2</v>
      </c>
      <c r="G26153" s="5">
        <v>99</v>
      </c>
      <c r="H26153" s="5">
        <v>98.8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100</v>
      </c>
      <c r="D26154" s="5">
        <v>0.1</v>
      </c>
      <c r="E26154" s="5">
        <v>100.2</v>
      </c>
      <c r="F26154" s="5">
        <v>198.2</v>
      </c>
      <c r="G26154" s="5">
        <v>99</v>
      </c>
      <c r="H26154" s="5">
        <v>98.8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98.9</v>
      </c>
      <c r="D26155" s="5">
        <v>0.1</v>
      </c>
      <c r="E26155" s="5">
        <v>99</v>
      </c>
      <c r="F26155" s="5">
        <v>197.1</v>
      </c>
      <c r="G26155" s="5">
        <v>98.3</v>
      </c>
      <c r="H26155" s="5">
        <v>98.2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98.9</v>
      </c>
      <c r="D26156" s="5">
        <v>0.1</v>
      </c>
      <c r="E26156" s="5">
        <v>99</v>
      </c>
      <c r="F26156" s="5">
        <v>197.1</v>
      </c>
      <c r="G26156" s="5">
        <v>98.3</v>
      </c>
      <c r="H26156" s="5">
        <v>98.2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99.4</v>
      </c>
      <c r="D26157" s="5">
        <v>0.1</v>
      </c>
      <c r="E26157" s="5">
        <v>99.5</v>
      </c>
      <c r="F26157" s="5">
        <v>196.7</v>
      </c>
      <c r="G26157" s="5">
        <v>98.2</v>
      </c>
      <c r="H26157" s="5">
        <v>98.1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99.4</v>
      </c>
      <c r="D26158" s="5">
        <v>0.1</v>
      </c>
      <c r="E26158" s="5">
        <v>99.5</v>
      </c>
      <c r="F26158" s="5">
        <v>196.7</v>
      </c>
      <c r="G26158" s="5">
        <v>98.2</v>
      </c>
      <c r="H26158" s="5">
        <v>98.1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99.4</v>
      </c>
      <c r="D26159" s="5">
        <v>0.1</v>
      </c>
      <c r="E26159" s="5">
        <v>98.5</v>
      </c>
      <c r="F26159" s="5">
        <v>196.1</v>
      </c>
      <c r="G26159" s="5">
        <v>97.8</v>
      </c>
      <c r="H26159" s="5">
        <v>97.7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98.3</v>
      </c>
      <c r="D26160" s="5">
        <v>0.1</v>
      </c>
      <c r="E26160" s="5">
        <v>98.5</v>
      </c>
      <c r="F26160" s="5">
        <v>196.1</v>
      </c>
      <c r="G26160" s="5">
        <v>97.8</v>
      </c>
      <c r="H26160" s="5">
        <v>97.7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98.3</v>
      </c>
      <c r="D26161" s="5">
        <v>0.1</v>
      </c>
      <c r="E26161" s="5">
        <v>99.2</v>
      </c>
      <c r="F26161" s="5">
        <v>197.9</v>
      </c>
      <c r="G26161" s="5">
        <v>98.7</v>
      </c>
      <c r="H26161" s="5">
        <v>98.6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99.1</v>
      </c>
      <c r="D26162" s="5">
        <v>0.1</v>
      </c>
      <c r="E26162" s="5">
        <v>99.2</v>
      </c>
      <c r="F26162" s="5">
        <v>197.9</v>
      </c>
      <c r="G26162" s="5">
        <v>98.7</v>
      </c>
      <c r="H26162" s="5">
        <v>98.6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99.1</v>
      </c>
      <c r="D26163" s="5">
        <v>0.1</v>
      </c>
      <c r="E26163" s="5">
        <v>99.2</v>
      </c>
      <c r="F26163" s="5">
        <v>197.9</v>
      </c>
      <c r="G26163" s="5">
        <v>98.7</v>
      </c>
      <c r="H26163" s="5">
        <v>98.6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99.1</v>
      </c>
      <c r="D26164" s="5">
        <v>0.1</v>
      </c>
      <c r="E26164" s="5">
        <v>99.2</v>
      </c>
      <c r="F26164" s="5">
        <v>197.9</v>
      </c>
      <c r="G26164" s="5">
        <v>98.7</v>
      </c>
      <c r="H26164" s="5">
        <v>98.6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104.5</v>
      </c>
      <c r="D26165" s="5">
        <v>0.1</v>
      </c>
      <c r="E26165" s="5">
        <v>104.6</v>
      </c>
      <c r="F26165" s="5">
        <v>208.1</v>
      </c>
      <c r="G26165" s="5">
        <v>103.9</v>
      </c>
      <c r="H26165" s="5">
        <v>103.7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104.5</v>
      </c>
      <c r="D26166" s="5">
        <v>0.1</v>
      </c>
      <c r="E26166" s="5">
        <v>104.6</v>
      </c>
      <c r="F26166" s="5">
        <v>208.1</v>
      </c>
      <c r="G26166" s="5">
        <v>103.9</v>
      </c>
      <c r="H26166" s="5">
        <v>103.7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104.8</v>
      </c>
      <c r="D26167" s="5">
        <v>0.1</v>
      </c>
      <c r="E26167" s="5">
        <v>105</v>
      </c>
      <c r="F26167" s="5">
        <v>209.1</v>
      </c>
      <c r="G26167" s="5">
        <v>104.6</v>
      </c>
      <c r="H26167" s="5">
        <v>104.6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104.8</v>
      </c>
      <c r="D26168" s="5">
        <v>0.1</v>
      </c>
      <c r="E26168" s="5">
        <v>105</v>
      </c>
      <c r="F26168" s="5">
        <v>209.1</v>
      </c>
      <c r="G26168" s="5">
        <v>104.6</v>
      </c>
      <c r="H26168" s="5">
        <v>104.6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99.5</v>
      </c>
      <c r="D26169" s="5">
        <v>0.1</v>
      </c>
      <c r="E26169" s="5">
        <v>99.7</v>
      </c>
      <c r="F26169" s="5">
        <v>199</v>
      </c>
      <c r="G26169" s="5">
        <v>99.3</v>
      </c>
      <c r="H26169" s="5">
        <v>99.2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99.5</v>
      </c>
      <c r="D26170" s="5">
        <v>0.1</v>
      </c>
      <c r="E26170" s="5">
        <v>99.7</v>
      </c>
      <c r="F26170" s="5">
        <v>199</v>
      </c>
      <c r="G26170" s="5">
        <v>99.3</v>
      </c>
      <c r="H26170" s="5">
        <v>99.2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99.2</v>
      </c>
      <c r="D26171" s="5">
        <v>0.1</v>
      </c>
      <c r="E26171" s="5">
        <v>99.4</v>
      </c>
      <c r="F26171" s="5">
        <v>198.1</v>
      </c>
      <c r="G26171" s="5">
        <v>98.8</v>
      </c>
      <c r="H26171" s="5">
        <v>98.7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99.2</v>
      </c>
      <c r="D26172" s="5">
        <v>0.1</v>
      </c>
      <c r="E26172" s="5">
        <v>99.4</v>
      </c>
      <c r="F26172" s="5">
        <v>198.1</v>
      </c>
      <c r="G26172" s="5">
        <v>98.8</v>
      </c>
      <c r="H26172" s="5">
        <v>98.7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99.2</v>
      </c>
      <c r="D26173" s="5">
        <v>0.1</v>
      </c>
      <c r="E26173" s="5">
        <v>99.4</v>
      </c>
      <c r="F26173" s="5">
        <v>198.1</v>
      </c>
      <c r="G26173" s="5">
        <v>98.8</v>
      </c>
      <c r="H26173" s="5">
        <v>98.7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99.2</v>
      </c>
      <c r="D26174" s="5">
        <v>0.1</v>
      </c>
      <c r="E26174" s="5">
        <v>99.4</v>
      </c>
      <c r="F26174" s="5">
        <v>198.1</v>
      </c>
      <c r="G26174" s="5">
        <v>98.8</v>
      </c>
      <c r="H26174" s="5">
        <v>98.7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97.9</v>
      </c>
      <c r="D26175" s="5">
        <v>0.1</v>
      </c>
      <c r="E26175" s="5">
        <v>98</v>
      </c>
      <c r="F26175" s="5">
        <v>196.5</v>
      </c>
      <c r="G26175" s="5">
        <v>98</v>
      </c>
      <c r="H26175" s="5">
        <v>97.8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97.9</v>
      </c>
      <c r="D26176" s="5">
        <v>0.1</v>
      </c>
      <c r="E26176" s="5">
        <v>98</v>
      </c>
      <c r="F26176" s="5">
        <v>196.5</v>
      </c>
      <c r="G26176" s="5">
        <v>98</v>
      </c>
      <c r="H26176" s="5">
        <v>97.8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99.3</v>
      </c>
      <c r="D26177" s="5">
        <v>0.1</v>
      </c>
      <c r="E26177" s="5">
        <v>99.5</v>
      </c>
      <c r="F26177" s="5">
        <v>198.6</v>
      </c>
      <c r="G26177" s="5">
        <v>99.1</v>
      </c>
      <c r="H26177" s="5">
        <v>99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99.3</v>
      </c>
      <c r="D26178" s="5">
        <v>0.1</v>
      </c>
      <c r="E26178" s="5">
        <v>99.5</v>
      </c>
      <c r="F26178" s="5">
        <v>198.6</v>
      </c>
      <c r="G26178" s="5">
        <v>99.1</v>
      </c>
      <c r="H26178" s="5">
        <v>99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99.4</v>
      </c>
      <c r="D26179" s="5">
        <v>0.1</v>
      </c>
      <c r="E26179" s="5">
        <v>99.5</v>
      </c>
      <c r="F26179" s="5">
        <v>199.5</v>
      </c>
      <c r="G26179" s="5">
        <v>99.5</v>
      </c>
      <c r="H26179" s="5">
        <v>99.4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99.4</v>
      </c>
      <c r="D26180" s="5">
        <v>0.1</v>
      </c>
      <c r="E26180" s="5">
        <v>99.5</v>
      </c>
      <c r="F26180" s="5">
        <v>199.5</v>
      </c>
      <c r="G26180" s="5">
        <v>99.5</v>
      </c>
      <c r="H26180" s="5">
        <v>99.4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103.3</v>
      </c>
      <c r="D26181" s="5">
        <v>0.1</v>
      </c>
      <c r="E26181" s="5">
        <v>103.4</v>
      </c>
      <c r="F26181" s="5">
        <v>206.3</v>
      </c>
      <c r="G26181" s="5">
        <v>101.4</v>
      </c>
      <c r="H26181" s="5">
        <v>100.3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103.3</v>
      </c>
      <c r="D26182" s="5">
        <v>0.1</v>
      </c>
      <c r="E26182" s="5">
        <v>103.4</v>
      </c>
      <c r="F26182" s="5">
        <v>206.3</v>
      </c>
      <c r="G26182" s="5">
        <v>101.4</v>
      </c>
      <c r="H26182" s="5">
        <v>100.3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103.3</v>
      </c>
      <c r="D26183" s="5">
        <v>0.1</v>
      </c>
      <c r="E26183" s="5">
        <v>103.4</v>
      </c>
      <c r="F26183" s="5">
        <v>206.3</v>
      </c>
      <c r="G26183" s="5">
        <v>101.4</v>
      </c>
      <c r="H26183" s="5">
        <v>100.3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103.3</v>
      </c>
      <c r="D26184" s="5">
        <v>0.1</v>
      </c>
      <c r="E26184" s="5">
        <v>103.4</v>
      </c>
      <c r="F26184" s="5">
        <v>206.3</v>
      </c>
      <c r="G26184" s="5">
        <v>101.4</v>
      </c>
      <c r="H26184" s="5">
        <v>100.3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99.3</v>
      </c>
      <c r="D26185" s="5">
        <v>0.1</v>
      </c>
      <c r="E26185" s="5">
        <v>99.5</v>
      </c>
      <c r="F26185" s="5">
        <v>198.5</v>
      </c>
      <c r="G26185" s="5">
        <v>98.5</v>
      </c>
      <c r="H26185" s="5">
        <v>98.3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99.3</v>
      </c>
      <c r="D26186" s="5">
        <v>0.1</v>
      </c>
      <c r="E26186" s="5">
        <v>99.5</v>
      </c>
      <c r="F26186" s="5">
        <v>198.5</v>
      </c>
      <c r="G26186" s="5">
        <v>98.5</v>
      </c>
      <c r="H26186" s="5">
        <v>98.3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99.3</v>
      </c>
      <c r="D26187" s="5">
        <v>0.1</v>
      </c>
      <c r="E26187" s="5">
        <v>99.4</v>
      </c>
      <c r="F26187" s="5">
        <v>198.8</v>
      </c>
      <c r="G26187" s="5">
        <v>99.5</v>
      </c>
      <c r="H26187" s="5">
        <v>99.8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99.3</v>
      </c>
      <c r="D26188" s="5">
        <v>0.1</v>
      </c>
      <c r="E26188" s="5">
        <v>99.4</v>
      </c>
      <c r="F26188" s="5">
        <v>198.8</v>
      </c>
      <c r="G26188" s="5">
        <v>99.5</v>
      </c>
      <c r="H26188" s="5">
        <v>99.8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100.2</v>
      </c>
      <c r="D26189" s="5">
        <v>0.1</v>
      </c>
      <c r="E26189" s="5">
        <v>100.4</v>
      </c>
      <c r="F26189" s="5">
        <v>199.4</v>
      </c>
      <c r="G26189" s="5">
        <v>99.5</v>
      </c>
      <c r="H26189" s="5">
        <v>99.3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100.2</v>
      </c>
      <c r="D26190" s="5">
        <v>0.1</v>
      </c>
      <c r="E26190" s="5">
        <v>100.4</v>
      </c>
      <c r="F26190" s="5">
        <v>199.4</v>
      </c>
      <c r="G26190" s="5">
        <v>99.5</v>
      </c>
      <c r="H26190" s="5">
        <v>99.3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99.3</v>
      </c>
      <c r="D26191" s="5">
        <v>0.1</v>
      </c>
      <c r="E26191" s="5">
        <v>99.5</v>
      </c>
      <c r="F26191" s="5">
        <v>198.2</v>
      </c>
      <c r="G26191" s="5">
        <v>98.9</v>
      </c>
      <c r="H26191" s="5">
        <v>98.8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99.3</v>
      </c>
      <c r="D26192" s="5">
        <v>0.1</v>
      </c>
      <c r="E26192" s="5">
        <v>99.5</v>
      </c>
      <c r="F26192" s="5">
        <v>198.2</v>
      </c>
      <c r="G26192" s="5">
        <v>98.9</v>
      </c>
      <c r="H26192" s="5">
        <v>98.8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99.3</v>
      </c>
      <c r="D26193" s="5">
        <v>0.1</v>
      </c>
      <c r="E26193" s="5">
        <v>99.5</v>
      </c>
      <c r="F26193" s="5">
        <v>198.2</v>
      </c>
      <c r="G26193" s="5">
        <v>98.9</v>
      </c>
      <c r="H26193" s="5">
        <v>98.8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99.3</v>
      </c>
      <c r="D26194" s="5">
        <v>0.1</v>
      </c>
      <c r="E26194" s="5">
        <v>99.5</v>
      </c>
      <c r="F26194" s="5">
        <v>198.2</v>
      </c>
      <c r="G26194" s="5">
        <v>98.9</v>
      </c>
      <c r="H26194" s="5">
        <v>98.8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104.3</v>
      </c>
      <c r="D26195" s="5">
        <v>0.1</v>
      </c>
      <c r="E26195" s="5">
        <v>104.5</v>
      </c>
      <c r="F26195" s="5">
        <v>208.1</v>
      </c>
      <c r="G26195" s="5">
        <v>103.8</v>
      </c>
      <c r="H26195" s="5">
        <v>103.7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104.3</v>
      </c>
      <c r="D26196" s="5">
        <v>0.1</v>
      </c>
      <c r="E26196" s="5">
        <v>104.5</v>
      </c>
      <c r="F26196" s="5">
        <v>208.1</v>
      </c>
      <c r="G26196" s="5">
        <v>103.8</v>
      </c>
      <c r="H26196" s="5">
        <v>103.7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104.7</v>
      </c>
      <c r="D26197" s="5">
        <v>0.1</v>
      </c>
      <c r="E26197" s="5">
        <v>104.9</v>
      </c>
      <c r="F26197" s="5">
        <v>208.4</v>
      </c>
      <c r="G26197" s="5">
        <v>104</v>
      </c>
      <c r="H26197" s="5">
        <v>103.9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104.7</v>
      </c>
      <c r="D26198" s="5">
        <v>0.1</v>
      </c>
      <c r="E26198" s="5">
        <v>104.9</v>
      </c>
      <c r="F26198" s="5">
        <v>208.4</v>
      </c>
      <c r="G26198" s="5">
        <v>104</v>
      </c>
      <c r="H26198" s="5">
        <v>103.9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103.5</v>
      </c>
      <c r="D26199" s="5">
        <v>0.1</v>
      </c>
      <c r="E26199" s="5">
        <v>103.7</v>
      </c>
      <c r="F26199" s="5">
        <v>207.6</v>
      </c>
      <c r="G26199" s="5">
        <v>103.7</v>
      </c>
      <c r="H26199" s="5">
        <v>103.5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103.5</v>
      </c>
      <c r="D26200" s="5">
        <v>0.1</v>
      </c>
      <c r="E26200" s="5">
        <v>103.7</v>
      </c>
      <c r="F26200" s="5">
        <v>207.6</v>
      </c>
      <c r="G26200" s="5">
        <v>103.7</v>
      </c>
      <c r="H26200" s="5">
        <v>103.5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103.1</v>
      </c>
      <c r="D26201" s="5">
        <v>0.1</v>
      </c>
      <c r="E26201" s="5">
        <v>103.2</v>
      </c>
      <c r="F26201" s="5">
        <v>206.4</v>
      </c>
      <c r="G26201" s="5">
        <v>102.9</v>
      </c>
      <c r="H26201" s="5">
        <v>102.7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103.1</v>
      </c>
      <c r="D26202" s="5">
        <v>0.1</v>
      </c>
      <c r="E26202" s="5">
        <v>103.2</v>
      </c>
      <c r="F26202" s="5">
        <v>206.4</v>
      </c>
      <c r="G26202" s="5">
        <v>102.9</v>
      </c>
      <c r="H26202" s="5">
        <v>102.7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103.1</v>
      </c>
      <c r="D26203" s="5">
        <v>0.1</v>
      </c>
      <c r="E26203" s="5">
        <v>103.2</v>
      </c>
      <c r="F26203" s="5">
        <v>206.4</v>
      </c>
      <c r="G26203" s="5">
        <v>102.9</v>
      </c>
      <c r="H26203" s="5">
        <v>102.7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103.1</v>
      </c>
      <c r="D26204" s="5">
        <v>0.1</v>
      </c>
      <c r="E26204" s="5">
        <v>103.2</v>
      </c>
      <c r="F26204" s="5">
        <v>206.4</v>
      </c>
      <c r="G26204" s="5">
        <v>102.9</v>
      </c>
      <c r="H26204" s="5">
        <v>102.7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100.8</v>
      </c>
      <c r="D26205" s="5">
        <v>0.1</v>
      </c>
      <c r="E26205" s="5">
        <v>100.9</v>
      </c>
      <c r="F26205" s="5">
        <v>201.4</v>
      </c>
      <c r="G26205" s="5">
        <v>100.5</v>
      </c>
      <c r="H26205" s="5">
        <v>100.4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100.8</v>
      </c>
      <c r="D26206" s="5">
        <v>0.1</v>
      </c>
      <c r="E26206" s="5">
        <v>100.9</v>
      </c>
      <c r="F26206" s="5">
        <v>201.4</v>
      </c>
      <c r="G26206" s="5">
        <v>100.5</v>
      </c>
      <c r="H26206" s="5">
        <v>100.4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101.5</v>
      </c>
      <c r="D26207" s="5">
        <v>0.1</v>
      </c>
      <c r="E26207" s="5">
        <v>101.7</v>
      </c>
      <c r="F26207" s="5">
        <v>203.5</v>
      </c>
      <c r="G26207" s="5">
        <v>101.6</v>
      </c>
      <c r="H26207" s="5">
        <v>101.5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101.5</v>
      </c>
      <c r="D26208" s="5">
        <v>0.1</v>
      </c>
      <c r="E26208" s="5">
        <v>101.7</v>
      </c>
      <c r="F26208" s="5">
        <v>203.5</v>
      </c>
      <c r="G26208" s="5">
        <v>101.6</v>
      </c>
      <c r="H26208" s="5">
        <v>101.5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101.5</v>
      </c>
      <c r="D26209" s="5">
        <v>0.1</v>
      </c>
      <c r="E26209" s="5">
        <v>101.6</v>
      </c>
      <c r="F26209" s="5">
        <v>203.3</v>
      </c>
      <c r="G26209" s="5">
        <v>101.5</v>
      </c>
      <c r="H26209" s="5">
        <v>101.3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101.5</v>
      </c>
      <c r="D26210" s="5">
        <v>0.1</v>
      </c>
      <c r="E26210" s="5">
        <v>101.6</v>
      </c>
      <c r="F26210" s="5">
        <v>203.3</v>
      </c>
      <c r="G26210" s="5">
        <v>101.5</v>
      </c>
      <c r="H26210" s="5">
        <v>101.3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100.7</v>
      </c>
      <c r="D26211" s="5">
        <v>0.1</v>
      </c>
      <c r="E26211" s="5">
        <v>100.8</v>
      </c>
      <c r="F26211" s="5">
        <v>201.4</v>
      </c>
      <c r="G26211" s="5">
        <v>100.5</v>
      </c>
      <c r="H26211" s="5">
        <v>100.5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100.7</v>
      </c>
      <c r="D26212" s="5">
        <v>0.1</v>
      </c>
      <c r="E26212" s="5">
        <v>100.8</v>
      </c>
      <c r="F26212" s="5">
        <v>201.4</v>
      </c>
      <c r="G26212" s="5">
        <v>100.5</v>
      </c>
      <c r="H26212" s="5">
        <v>100.5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100.7</v>
      </c>
      <c r="D26213" s="5">
        <v>0.1</v>
      </c>
      <c r="E26213" s="5">
        <v>100.8</v>
      </c>
      <c r="F26213" s="5">
        <v>201.4</v>
      </c>
      <c r="G26213" s="5">
        <v>100.5</v>
      </c>
      <c r="H26213" s="5">
        <v>100.5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100.7</v>
      </c>
      <c r="D26214" s="5">
        <v>0.1</v>
      </c>
      <c r="E26214" s="5">
        <v>100.8</v>
      </c>
      <c r="F26214" s="5">
        <v>201.4</v>
      </c>
      <c r="G26214" s="5">
        <v>100.5</v>
      </c>
      <c r="H26214" s="5">
        <v>100.5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102.7</v>
      </c>
      <c r="D26215" s="5">
        <v>0.1</v>
      </c>
      <c r="E26215" s="5">
        <v>102.8</v>
      </c>
      <c r="F26215" s="5">
        <v>205</v>
      </c>
      <c r="G26215" s="5">
        <v>102.3</v>
      </c>
      <c r="H26215" s="5">
        <v>102.2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102.7</v>
      </c>
      <c r="D26216" s="5">
        <v>0.1</v>
      </c>
      <c r="E26216" s="5">
        <v>102.8</v>
      </c>
      <c r="F26216" s="5">
        <v>205</v>
      </c>
      <c r="G26216" s="5">
        <v>102.3</v>
      </c>
      <c r="H26216" s="5">
        <v>102.2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103.5</v>
      </c>
      <c r="D26217" s="5">
        <v>0.1</v>
      </c>
      <c r="E26217" s="5">
        <v>103.7</v>
      </c>
      <c r="F26217" s="5">
        <v>206.1</v>
      </c>
      <c r="G26217" s="5">
        <v>102.9</v>
      </c>
      <c r="H26217" s="5">
        <v>102.8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103.5</v>
      </c>
      <c r="D26218" s="5">
        <v>0.1</v>
      </c>
      <c r="E26218" s="5">
        <v>103.7</v>
      </c>
      <c r="F26218" s="5">
        <v>206.1</v>
      </c>
      <c r="G26218" s="5">
        <v>102.9</v>
      </c>
      <c r="H26218" s="5">
        <v>102.8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103.4</v>
      </c>
      <c r="D26219" s="5">
        <v>0.1</v>
      </c>
      <c r="E26219" s="5">
        <v>103.6</v>
      </c>
      <c r="F26219" s="5">
        <v>206.1</v>
      </c>
      <c r="G26219" s="5">
        <v>102.8</v>
      </c>
      <c r="H26219" s="5">
        <v>102.8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103.4</v>
      </c>
      <c r="D26220" s="5">
        <v>0.1</v>
      </c>
      <c r="E26220" s="5">
        <v>103.6</v>
      </c>
      <c r="F26220" s="5">
        <v>206.1</v>
      </c>
      <c r="G26220" s="5">
        <v>102.8</v>
      </c>
      <c r="H26220" s="5">
        <v>102.8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103.1</v>
      </c>
      <c r="D26221" s="5">
        <v>0.1</v>
      </c>
      <c r="E26221" s="5">
        <v>103.3</v>
      </c>
      <c r="F26221" s="5">
        <v>206.7</v>
      </c>
      <c r="G26221" s="5">
        <v>103.1</v>
      </c>
      <c r="H26221" s="5">
        <v>102.7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103.1</v>
      </c>
      <c r="D26222" s="5">
        <v>0.1</v>
      </c>
      <c r="E26222" s="5">
        <v>103.3</v>
      </c>
      <c r="F26222" s="5">
        <v>206.7</v>
      </c>
      <c r="G26222" s="5">
        <v>103.1</v>
      </c>
      <c r="H26222" s="5">
        <v>102.7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103.1</v>
      </c>
      <c r="D26223" s="5">
        <v>0.1</v>
      </c>
      <c r="E26223" s="5">
        <v>103.3</v>
      </c>
      <c r="F26223" s="5">
        <v>206.7</v>
      </c>
      <c r="G26223" s="5">
        <v>103.1</v>
      </c>
      <c r="H26223" s="5">
        <v>102.7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103.1</v>
      </c>
      <c r="D26224" s="5">
        <v>0.1</v>
      </c>
      <c r="E26224" s="5">
        <v>103.3</v>
      </c>
      <c r="F26224" s="5">
        <v>206.7</v>
      </c>
      <c r="G26224" s="5">
        <v>103.1</v>
      </c>
      <c r="H26224" s="5">
        <v>102.7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103</v>
      </c>
      <c r="D26225" s="5">
        <v>0.1</v>
      </c>
      <c r="E26225" s="5">
        <v>103.1</v>
      </c>
      <c r="F26225" s="5">
        <v>206.4</v>
      </c>
      <c r="G26225" s="5">
        <v>103</v>
      </c>
      <c r="H26225" s="5">
        <v>102.8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103</v>
      </c>
      <c r="D26226" s="5">
        <v>0.1</v>
      </c>
      <c r="E26226" s="5">
        <v>103.1</v>
      </c>
      <c r="F26226" s="5">
        <v>206.4</v>
      </c>
      <c r="G26226" s="5">
        <v>103</v>
      </c>
      <c r="H26226" s="5">
        <v>102.8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102.8</v>
      </c>
      <c r="D26227" s="5">
        <v>0.1</v>
      </c>
      <c r="E26227" s="5">
        <v>103</v>
      </c>
      <c r="F26227" s="5">
        <v>206.7</v>
      </c>
      <c r="G26227" s="5">
        <v>103.1</v>
      </c>
      <c r="H26227" s="5">
        <v>103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102.8</v>
      </c>
      <c r="D26228" s="5">
        <v>0.1</v>
      </c>
      <c r="E26228" s="5">
        <v>103</v>
      </c>
      <c r="F26228" s="5">
        <v>206.7</v>
      </c>
      <c r="G26228" s="5">
        <v>103.1</v>
      </c>
      <c r="H26228" s="5">
        <v>103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103.4</v>
      </c>
      <c r="D26229" s="5">
        <v>0.1</v>
      </c>
      <c r="E26229" s="5">
        <v>103.5</v>
      </c>
      <c r="F26229" s="5">
        <v>205.7</v>
      </c>
      <c r="G26229" s="5">
        <v>102.6</v>
      </c>
      <c r="H26229" s="5">
        <v>102.5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103.4</v>
      </c>
      <c r="D26230" s="5">
        <v>0.1</v>
      </c>
      <c r="E26230" s="5">
        <v>103.5</v>
      </c>
      <c r="F26230" s="5">
        <v>205.7</v>
      </c>
      <c r="G26230" s="5">
        <v>102.6</v>
      </c>
      <c r="H26230" s="5">
        <v>102.5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102.6</v>
      </c>
      <c r="D26231" s="5">
        <v>0.1</v>
      </c>
      <c r="E26231" s="5">
        <v>102.7</v>
      </c>
      <c r="F26231" s="5">
        <v>205.8</v>
      </c>
      <c r="G26231" s="5">
        <v>102.6</v>
      </c>
      <c r="H26231" s="5">
        <v>102.5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102.6</v>
      </c>
      <c r="D26232" s="5">
        <v>0.1</v>
      </c>
      <c r="E26232" s="5">
        <v>102.7</v>
      </c>
      <c r="F26232" s="5">
        <v>205.8</v>
      </c>
      <c r="G26232" s="5">
        <v>102.6</v>
      </c>
      <c r="H26232" s="5">
        <v>102.5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102.6</v>
      </c>
      <c r="D26233" s="5">
        <v>0.1</v>
      </c>
      <c r="E26233" s="5">
        <v>102.7</v>
      </c>
      <c r="F26233" s="5">
        <v>205.8</v>
      </c>
      <c r="G26233" s="5">
        <v>102.6</v>
      </c>
      <c r="H26233" s="5">
        <v>102.5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102.6</v>
      </c>
      <c r="D26234" s="5">
        <v>0.1</v>
      </c>
      <c r="E26234" s="5">
        <v>102.7</v>
      </c>
      <c r="F26234" s="5">
        <v>205.8</v>
      </c>
      <c r="G26234" s="5">
        <v>102.6</v>
      </c>
      <c r="H26234" s="5">
        <v>102.5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102.4</v>
      </c>
      <c r="D26235" s="5">
        <v>0.1</v>
      </c>
      <c r="E26235" s="5">
        <v>102.5</v>
      </c>
      <c r="F26235" s="5">
        <v>206.3</v>
      </c>
      <c r="G26235" s="5">
        <v>102.9</v>
      </c>
      <c r="H26235" s="5">
        <v>102.7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102.4</v>
      </c>
      <c r="D26236" s="5">
        <v>0.1</v>
      </c>
      <c r="E26236" s="5">
        <v>102.5</v>
      </c>
      <c r="F26236" s="5">
        <v>206.3</v>
      </c>
      <c r="G26236" s="5">
        <v>102.9</v>
      </c>
      <c r="H26236" s="5">
        <v>102.7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102.6</v>
      </c>
      <c r="D26237" s="5">
        <v>0.1</v>
      </c>
      <c r="E26237" s="5">
        <v>102.7</v>
      </c>
      <c r="F26237" s="5">
        <v>204.5</v>
      </c>
      <c r="G26237" s="5">
        <v>102</v>
      </c>
      <c r="H26237" s="5">
        <v>101.9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102.6</v>
      </c>
      <c r="D26238" s="5">
        <v>0.1</v>
      </c>
      <c r="E26238" s="5">
        <v>102.7</v>
      </c>
      <c r="F26238" s="5">
        <v>204.5</v>
      </c>
      <c r="G26238" s="5">
        <v>102</v>
      </c>
      <c r="H26238" s="5">
        <v>101.9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102.3</v>
      </c>
      <c r="D26239" s="5">
        <v>0.1</v>
      </c>
      <c r="E26239" s="5">
        <v>102.4</v>
      </c>
      <c r="F26239" s="5">
        <v>204.7</v>
      </c>
      <c r="G26239" s="5">
        <v>102.1</v>
      </c>
      <c r="H26239" s="5">
        <v>102.1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102.3</v>
      </c>
      <c r="D26240" s="5">
        <v>0.1</v>
      </c>
      <c r="E26240" s="5">
        <v>102.4</v>
      </c>
      <c r="F26240" s="5">
        <v>204.7</v>
      </c>
      <c r="G26240" s="5">
        <v>102.1</v>
      </c>
      <c r="H26240" s="5">
        <v>102.1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98.4</v>
      </c>
      <c r="D26241" s="5">
        <v>0.1</v>
      </c>
      <c r="E26241" s="5">
        <v>98.6</v>
      </c>
      <c r="F26241" s="5">
        <v>203</v>
      </c>
      <c r="G26241" s="5">
        <v>100.8</v>
      </c>
      <c r="H26241" s="5">
        <v>100.2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98.4</v>
      </c>
      <c r="D26242" s="5">
        <v>0.1</v>
      </c>
      <c r="E26242" s="5">
        <v>98.6</v>
      </c>
      <c r="F26242" s="5">
        <v>203</v>
      </c>
      <c r="G26242" s="5">
        <v>100.8</v>
      </c>
      <c r="H26242" s="5">
        <v>100.2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98.4</v>
      </c>
      <c r="D26243" s="5">
        <v>0.1</v>
      </c>
      <c r="E26243" s="5">
        <v>98.6</v>
      </c>
      <c r="F26243" s="5">
        <v>203</v>
      </c>
      <c r="G26243" s="5">
        <v>100.8</v>
      </c>
      <c r="H26243" s="5">
        <v>100.2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98.4</v>
      </c>
      <c r="D26244" s="5">
        <v>0.1</v>
      </c>
      <c r="E26244" s="5">
        <v>98.6</v>
      </c>
      <c r="F26244" s="5">
        <v>203</v>
      </c>
      <c r="G26244" s="5">
        <v>100.8</v>
      </c>
      <c r="H26244" s="5">
        <v>100.2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103.3</v>
      </c>
      <c r="D26245" s="5">
        <v>0.1</v>
      </c>
      <c r="E26245" s="5">
        <v>103.4</v>
      </c>
      <c r="F26245" s="5">
        <v>206.2</v>
      </c>
      <c r="G26245" s="5">
        <v>102.9</v>
      </c>
      <c r="H26245" s="5">
        <v>102.8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103.3</v>
      </c>
      <c r="D26246" s="5">
        <v>0.1</v>
      </c>
      <c r="E26246" s="5">
        <v>103.4</v>
      </c>
      <c r="F26246" s="5">
        <v>206.2</v>
      </c>
      <c r="G26246" s="5">
        <v>102.9</v>
      </c>
      <c r="H26246" s="5">
        <v>102.8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102.7</v>
      </c>
      <c r="D26247" s="5">
        <v>0.1</v>
      </c>
      <c r="E26247" s="5">
        <v>102.9</v>
      </c>
      <c r="F26247" s="5">
        <v>205.4</v>
      </c>
      <c r="G26247" s="5">
        <v>102.5</v>
      </c>
      <c r="H26247" s="5">
        <v>102.3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102.7</v>
      </c>
      <c r="D26248" s="5">
        <v>0.1</v>
      </c>
      <c r="E26248" s="5">
        <v>102.9</v>
      </c>
      <c r="F26248" s="5">
        <v>205.4</v>
      </c>
      <c r="G26248" s="5">
        <v>102.5</v>
      </c>
      <c r="H26248" s="5">
        <v>102.3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102.3</v>
      </c>
      <c r="D26249" s="5">
        <v>0.1</v>
      </c>
      <c r="E26249" s="5">
        <v>102.4</v>
      </c>
      <c r="F26249" s="5">
        <v>204.9</v>
      </c>
      <c r="G26249" s="5">
        <v>102.2</v>
      </c>
      <c r="H26249" s="5">
        <v>102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102.3</v>
      </c>
      <c r="D26250" s="5">
        <v>0.1</v>
      </c>
      <c r="E26250" s="5">
        <v>102.4</v>
      </c>
      <c r="F26250" s="5">
        <v>204.9</v>
      </c>
      <c r="G26250" s="5">
        <v>102.2</v>
      </c>
      <c r="H26250" s="5">
        <v>102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103.1</v>
      </c>
      <c r="D26251" s="5">
        <v>0.1</v>
      </c>
      <c r="E26251" s="5">
        <v>103.2</v>
      </c>
      <c r="F26251" s="5">
        <v>204.8</v>
      </c>
      <c r="G26251" s="5">
        <v>102.2</v>
      </c>
      <c r="H26251" s="5">
        <v>102.1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103.1</v>
      </c>
      <c r="D26252" s="5">
        <v>0.1</v>
      </c>
      <c r="E26252" s="5">
        <v>103.2</v>
      </c>
      <c r="F26252" s="5">
        <v>204.8</v>
      </c>
      <c r="G26252" s="5">
        <v>102.2</v>
      </c>
      <c r="H26252" s="5">
        <v>102.1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103.1</v>
      </c>
      <c r="D26253" s="5">
        <v>0.1</v>
      </c>
      <c r="E26253" s="5">
        <v>103.2</v>
      </c>
      <c r="F26253" s="5">
        <v>204.8</v>
      </c>
      <c r="G26253" s="5">
        <v>102.2</v>
      </c>
      <c r="H26253" s="5">
        <v>102.1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103.1</v>
      </c>
      <c r="D26254" s="5">
        <v>0.1</v>
      </c>
      <c r="E26254" s="5">
        <v>103.2</v>
      </c>
      <c r="F26254" s="5">
        <v>204.8</v>
      </c>
      <c r="G26254" s="5">
        <v>102.2</v>
      </c>
      <c r="H26254" s="5">
        <v>102.5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101.5</v>
      </c>
      <c r="D26255" s="5">
        <v>0.1</v>
      </c>
      <c r="E26255" s="5">
        <v>101.7</v>
      </c>
      <c r="F26255" s="5">
        <v>205.8</v>
      </c>
      <c r="G26255" s="5">
        <v>102.7</v>
      </c>
      <c r="H26255" s="5">
        <v>102.5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101.5</v>
      </c>
      <c r="D26256" s="5">
        <v>0.1</v>
      </c>
      <c r="E26256" s="5">
        <v>101.7</v>
      </c>
      <c r="F26256" s="5">
        <v>205.8</v>
      </c>
      <c r="G26256" s="5">
        <v>102.7</v>
      </c>
      <c r="H26256" s="5">
        <v>102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102.3</v>
      </c>
      <c r="D26257" s="5">
        <v>0.1</v>
      </c>
      <c r="E26257" s="5">
        <v>102.4</v>
      </c>
      <c r="F26257" s="5">
        <v>204.7</v>
      </c>
      <c r="G26257" s="5">
        <v>102.2</v>
      </c>
      <c r="H26257" s="5">
        <v>102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102.3</v>
      </c>
      <c r="D26258" s="5">
        <v>0.1</v>
      </c>
      <c r="E26258" s="5">
        <v>102.4</v>
      </c>
      <c r="F26258" s="5">
        <v>204.7</v>
      </c>
      <c r="G26258" s="5">
        <v>102.2</v>
      </c>
      <c r="H26258" s="5">
        <v>102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102.7</v>
      </c>
      <c r="D26259" s="5">
        <v>0.1</v>
      </c>
      <c r="E26259" s="5">
        <v>102.8</v>
      </c>
      <c r="F26259" s="5">
        <v>205.2</v>
      </c>
      <c r="G26259" s="5">
        <v>102.5</v>
      </c>
      <c r="H26259" s="5">
        <v>102.6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102.7</v>
      </c>
      <c r="D26260" s="5">
        <v>0.1</v>
      </c>
      <c r="E26260" s="5">
        <v>102.8</v>
      </c>
      <c r="F26260" s="5">
        <v>205.2</v>
      </c>
      <c r="G26260" s="5">
        <v>102.5</v>
      </c>
      <c r="H26260" s="5">
        <v>102.6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101.9</v>
      </c>
      <c r="D26261" s="5">
        <v>0.1</v>
      </c>
      <c r="E26261" s="5">
        <v>102.1</v>
      </c>
      <c r="F26261" s="5">
        <v>203.5</v>
      </c>
      <c r="G26261" s="5">
        <v>101.5</v>
      </c>
      <c r="H26261" s="5">
        <v>101.4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101.9</v>
      </c>
      <c r="D26262" s="5">
        <v>0.1</v>
      </c>
      <c r="E26262" s="5">
        <v>102.1</v>
      </c>
      <c r="F26262" s="5">
        <v>203.5</v>
      </c>
      <c r="G26262" s="5">
        <v>101.5</v>
      </c>
      <c r="H26262" s="5">
        <v>101.4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101.9</v>
      </c>
      <c r="D26263" s="5">
        <v>0.1</v>
      </c>
      <c r="E26263" s="5">
        <v>102.1</v>
      </c>
      <c r="F26263" s="5">
        <v>203.5</v>
      </c>
      <c r="G26263" s="5">
        <v>101.5</v>
      </c>
      <c r="H26263" s="5">
        <v>101.4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101.5</v>
      </c>
      <c r="D26264" s="5">
        <v>0.1</v>
      </c>
      <c r="E26264" s="5">
        <v>101.6</v>
      </c>
      <c r="F26264" s="5">
        <v>203.7</v>
      </c>
      <c r="G26264" s="5">
        <v>101.6</v>
      </c>
      <c r="H26264" s="5">
        <v>101.4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101.5</v>
      </c>
      <c r="D26265" s="5">
        <v>0.1</v>
      </c>
      <c r="E26265" s="5">
        <v>101.6</v>
      </c>
      <c r="F26265" s="5">
        <v>203.7</v>
      </c>
      <c r="G26265" s="5">
        <v>101.6</v>
      </c>
      <c r="H26265" s="5">
        <v>101.4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101.9</v>
      </c>
      <c r="D26266" s="5">
        <v>0.1</v>
      </c>
      <c r="E26266" s="5">
        <v>102.1</v>
      </c>
      <c r="F26266" s="5">
        <v>204.4</v>
      </c>
      <c r="G26266" s="5">
        <v>101.9</v>
      </c>
      <c r="H26266" s="5">
        <v>101.8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101.9</v>
      </c>
      <c r="D26267" s="5">
        <v>0.1</v>
      </c>
      <c r="E26267" s="5">
        <v>102.1</v>
      </c>
      <c r="F26267" s="5">
        <v>204.4</v>
      </c>
      <c r="G26267" s="5">
        <v>101.9</v>
      </c>
      <c r="H26267" s="5">
        <v>101.8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102.7</v>
      </c>
      <c r="D26268" s="5">
        <v>0.1</v>
      </c>
      <c r="E26268" s="5">
        <v>102.9</v>
      </c>
      <c r="F26268" s="5">
        <v>206.2</v>
      </c>
      <c r="G26268" s="5">
        <v>102.9</v>
      </c>
      <c r="H26268" s="5">
        <v>102.7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102.7</v>
      </c>
      <c r="D26269" s="5">
        <v>0.1</v>
      </c>
      <c r="E26269" s="5">
        <v>102.9</v>
      </c>
      <c r="F26269" s="5">
        <v>206.2</v>
      </c>
      <c r="G26269" s="5">
        <v>102.9</v>
      </c>
      <c r="H26269" s="5">
        <v>102.7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102.5</v>
      </c>
      <c r="D26270" s="5">
        <v>0.1</v>
      </c>
      <c r="E26270" s="5">
        <v>102.7</v>
      </c>
      <c r="F26270" s="5">
        <v>204.8</v>
      </c>
      <c r="G26270" s="5">
        <v>102.2</v>
      </c>
      <c r="H26270" s="5">
        <v>102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102.5</v>
      </c>
      <c r="D26271" s="5">
        <v>0.1</v>
      </c>
      <c r="E26271" s="5">
        <v>102.7</v>
      </c>
      <c r="F26271" s="5">
        <v>204.8</v>
      </c>
      <c r="G26271" s="5">
        <v>102.2</v>
      </c>
      <c r="H26271" s="5">
        <v>102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102.5</v>
      </c>
      <c r="D26272" s="5">
        <v>0.1</v>
      </c>
      <c r="E26272" s="5">
        <v>102.7</v>
      </c>
      <c r="F26272" s="5">
        <v>204.8</v>
      </c>
      <c r="G26272" s="5">
        <v>102.2</v>
      </c>
      <c r="H26272" s="5">
        <v>102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102.5</v>
      </c>
      <c r="D26273" s="5">
        <v>0.1</v>
      </c>
      <c r="E26273" s="5">
        <v>102.7</v>
      </c>
      <c r="F26273" s="5">
        <v>204.8</v>
      </c>
      <c r="G26273" s="5">
        <v>102.2</v>
      </c>
      <c r="H26273" s="5">
        <v>102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98.8</v>
      </c>
      <c r="D26274" s="5">
        <v>0.1</v>
      </c>
      <c r="E26274" s="5">
        <v>98.9</v>
      </c>
      <c r="F26274" s="5">
        <v>203.7</v>
      </c>
      <c r="G26274" s="5">
        <v>101.7</v>
      </c>
      <c r="H26274" s="5">
        <v>101.5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98.8</v>
      </c>
      <c r="D26275" s="5">
        <v>0.1</v>
      </c>
      <c r="E26275" s="5">
        <v>98.9</v>
      </c>
      <c r="F26275" s="5">
        <v>203.7</v>
      </c>
      <c r="G26275" s="5">
        <v>101.7</v>
      </c>
      <c r="H26275" s="5">
        <v>101.5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102.7</v>
      </c>
      <c r="D26276" s="5">
        <v>0.1</v>
      </c>
      <c r="E26276" s="5">
        <v>102.8</v>
      </c>
      <c r="F26276" s="5">
        <v>200</v>
      </c>
      <c r="G26276" s="5">
        <v>99.9</v>
      </c>
      <c r="H26276" s="5">
        <v>100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102.7</v>
      </c>
      <c r="D26277" s="5">
        <v>0.1</v>
      </c>
      <c r="E26277" s="5">
        <v>102.8</v>
      </c>
      <c r="F26277" s="5">
        <v>200</v>
      </c>
      <c r="G26277" s="5">
        <v>99.9</v>
      </c>
      <c r="H26277" s="5">
        <v>100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97.3</v>
      </c>
      <c r="D26278" s="5">
        <v>0.1</v>
      </c>
      <c r="E26278" s="5">
        <v>97.4</v>
      </c>
      <c r="F26278" s="5">
        <v>196.6</v>
      </c>
      <c r="G26278" s="5">
        <v>98.5</v>
      </c>
      <c r="H26278" s="5">
        <v>100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97.3</v>
      </c>
      <c r="D26279" s="5">
        <v>0.1</v>
      </c>
      <c r="E26279" s="5">
        <v>97.4</v>
      </c>
      <c r="F26279" s="5">
        <v>196.6</v>
      </c>
      <c r="G26279" s="5">
        <v>98.5</v>
      </c>
      <c r="H26279" s="5">
        <v>100.8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103.2</v>
      </c>
      <c r="D26280" s="5">
        <v>0.1</v>
      </c>
      <c r="E26280" s="5">
        <v>103.4</v>
      </c>
      <c r="F26280" s="5">
        <v>205.7</v>
      </c>
      <c r="G26280" s="5">
        <v>98.5</v>
      </c>
      <c r="H26280" s="5">
        <v>100.8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103.2</v>
      </c>
      <c r="D26281" s="5">
        <v>0.1</v>
      </c>
      <c r="E26281" s="5">
        <v>103.4</v>
      </c>
      <c r="F26281" s="5">
        <v>205.7</v>
      </c>
      <c r="G26281" s="5">
        <v>102.6</v>
      </c>
      <c r="H26281" s="5">
        <v>102.4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103.2</v>
      </c>
      <c r="D26282" s="5">
        <v>0.1</v>
      </c>
      <c r="E26282" s="5">
        <v>103.4</v>
      </c>
      <c r="F26282" s="5">
        <v>205.7</v>
      </c>
      <c r="G26282" s="5">
        <v>102.6</v>
      </c>
      <c r="H26282" s="5">
        <v>102.4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103.2</v>
      </c>
      <c r="D26283" s="5">
        <v>0.1</v>
      </c>
      <c r="E26283" s="5">
        <v>103.4</v>
      </c>
      <c r="F26283" s="5">
        <v>205.7</v>
      </c>
      <c r="G26283" s="5">
        <v>102.6</v>
      </c>
      <c r="H26283" s="5">
        <v>102.4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102.3</v>
      </c>
      <c r="D26284" s="5">
        <v>0.1</v>
      </c>
      <c r="E26284" s="5">
        <v>102.4</v>
      </c>
      <c r="F26284" s="5">
        <v>204.3</v>
      </c>
      <c r="G26284" s="5">
        <v>102.6</v>
      </c>
      <c r="H26284" s="5">
        <v>102.4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102.3</v>
      </c>
      <c r="D26285" s="5">
        <v>0.1</v>
      </c>
      <c r="E26285" s="5">
        <v>102.4</v>
      </c>
      <c r="F26285" s="5">
        <v>204.3</v>
      </c>
      <c r="G26285" s="5">
        <v>101.9</v>
      </c>
      <c r="H26285" s="5">
        <v>101.8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100.5</v>
      </c>
      <c r="D26286" s="5">
        <v>0.1</v>
      </c>
      <c r="E26286" s="5">
        <v>102.4</v>
      </c>
      <c r="F26286" s="5">
        <v>204.3</v>
      </c>
      <c r="G26286" s="5">
        <v>101.9</v>
      </c>
      <c r="H26286" s="5">
        <v>101.8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100.5</v>
      </c>
      <c r="D26287" s="5">
        <v>0.1</v>
      </c>
      <c r="E26287" s="5">
        <v>100.7</v>
      </c>
      <c r="F26287" s="5">
        <v>195.1</v>
      </c>
      <c r="G26287" s="5">
        <v>97.5</v>
      </c>
      <c r="H26287" s="5">
        <v>97.5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100.5</v>
      </c>
      <c r="D26288" s="5">
        <v>0.1</v>
      </c>
      <c r="E26288" s="5">
        <v>100.7</v>
      </c>
      <c r="F26288" s="5">
        <v>195.1</v>
      </c>
      <c r="G26288" s="5">
        <v>97.5</v>
      </c>
      <c r="H26288" s="5">
        <v>97.5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102.4</v>
      </c>
      <c r="D26289" s="5">
        <v>0.1</v>
      </c>
      <c r="E26289" s="5">
        <v>102.5</v>
      </c>
      <c r="F26289" s="5">
        <v>204.3</v>
      </c>
      <c r="G26289" s="5">
        <v>102</v>
      </c>
      <c r="H26289" s="5">
        <v>101.9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102.4</v>
      </c>
      <c r="D26290" s="5">
        <v>0.1</v>
      </c>
      <c r="E26290" s="5">
        <v>102.5</v>
      </c>
      <c r="F26290" s="5">
        <v>204.3</v>
      </c>
      <c r="G26290" s="5">
        <v>102</v>
      </c>
      <c r="H26290" s="5">
        <v>101.9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96</v>
      </c>
      <c r="D26291" s="5">
        <v>0.1</v>
      </c>
      <c r="E26291" s="5">
        <v>96.2</v>
      </c>
      <c r="F26291" s="5">
        <v>192</v>
      </c>
      <c r="G26291" s="5">
        <v>95.8</v>
      </c>
      <c r="H26291" s="5">
        <v>95.7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96</v>
      </c>
      <c r="D26292" s="5">
        <v>0.1</v>
      </c>
      <c r="E26292" s="5">
        <v>96.2</v>
      </c>
      <c r="F26292" s="5">
        <v>192</v>
      </c>
      <c r="G26292" s="5">
        <v>95.8</v>
      </c>
      <c r="H26292" s="5">
        <v>95.7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96</v>
      </c>
      <c r="D26293" s="5">
        <v>0.1</v>
      </c>
      <c r="E26293" s="5">
        <v>96.2</v>
      </c>
      <c r="F26293" s="5">
        <v>192</v>
      </c>
      <c r="G26293" s="5">
        <v>95.8</v>
      </c>
      <c r="H26293" s="5">
        <v>95.7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96</v>
      </c>
      <c r="D26294" s="5">
        <v>0.1</v>
      </c>
      <c r="E26294" s="5">
        <v>96.2</v>
      </c>
      <c r="F26294" s="5">
        <v>192</v>
      </c>
      <c r="G26294" s="5">
        <v>99.7</v>
      </c>
      <c r="H26294" s="5">
        <v>99.5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99.9</v>
      </c>
      <c r="D26295" s="5">
        <v>0.1</v>
      </c>
      <c r="E26295" s="5">
        <v>100</v>
      </c>
      <c r="F26295" s="5">
        <v>199.9</v>
      </c>
      <c r="G26295" s="5">
        <v>99.7</v>
      </c>
      <c r="H26295" s="5">
        <v>99.5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99.9</v>
      </c>
      <c r="D26296" s="5">
        <v>0.1</v>
      </c>
      <c r="E26296" s="5">
        <v>100</v>
      </c>
      <c r="F26296" s="5">
        <v>199.9</v>
      </c>
      <c r="G26296" s="5">
        <v>99.7</v>
      </c>
      <c r="H26296" s="5">
        <v>99.5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101.6</v>
      </c>
      <c r="D26297" s="5">
        <v>0.1</v>
      </c>
      <c r="E26297" s="5">
        <v>101.8</v>
      </c>
      <c r="F26297" s="5">
        <v>200.9</v>
      </c>
      <c r="G26297" s="5">
        <v>100.2</v>
      </c>
      <c r="H26297" s="5">
        <v>100.1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101.6</v>
      </c>
      <c r="D26298" s="5">
        <v>0.1</v>
      </c>
      <c r="E26298" s="5">
        <v>101.8</v>
      </c>
      <c r="F26298" s="5">
        <v>200.9</v>
      </c>
      <c r="G26298" s="5">
        <v>100.2</v>
      </c>
      <c r="H26298" s="5">
        <v>100.1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100.8</v>
      </c>
      <c r="D26299" s="5">
        <v>0.1</v>
      </c>
      <c r="E26299" s="5">
        <v>101</v>
      </c>
      <c r="F26299" s="5">
        <v>201.9</v>
      </c>
      <c r="G26299" s="5">
        <v>100.6</v>
      </c>
      <c r="H26299" s="5">
        <v>100.2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100.8</v>
      </c>
      <c r="D26300" s="5">
        <v>0.1</v>
      </c>
      <c r="E26300" s="5">
        <v>101</v>
      </c>
      <c r="F26300" s="5">
        <v>201.9</v>
      </c>
      <c r="G26300" s="5">
        <v>100.6</v>
      </c>
      <c r="H26300" s="5">
        <v>100.2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101.4</v>
      </c>
      <c r="D26301" s="5">
        <v>0.1</v>
      </c>
      <c r="E26301" s="5">
        <v>101.5</v>
      </c>
      <c r="F26301" s="5">
        <v>202.9</v>
      </c>
      <c r="G26301" s="5">
        <v>101.2</v>
      </c>
      <c r="H26301" s="5">
        <v>101.1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101.4</v>
      </c>
      <c r="D26302" s="5">
        <v>0.1</v>
      </c>
      <c r="E26302" s="5">
        <v>101.5</v>
      </c>
      <c r="F26302" s="5">
        <v>202.9</v>
      </c>
      <c r="G26302" s="5">
        <v>101.2</v>
      </c>
      <c r="H26302" s="5">
        <v>101.1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101.4</v>
      </c>
      <c r="D26303" s="5">
        <v>0.1</v>
      </c>
      <c r="E26303" s="5">
        <v>101.5</v>
      </c>
      <c r="F26303" s="5">
        <v>202.9</v>
      </c>
      <c r="G26303" s="5">
        <v>101.2</v>
      </c>
      <c r="H26303" s="5">
        <v>101.1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102.2</v>
      </c>
      <c r="D26304" s="5">
        <v>0.1</v>
      </c>
      <c r="E26304" s="5">
        <v>102.4</v>
      </c>
      <c r="F26304" s="5">
        <v>204</v>
      </c>
      <c r="G26304" s="5">
        <v>101.8</v>
      </c>
      <c r="H26304" s="5">
        <v>101.6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102.2</v>
      </c>
      <c r="D26305" s="5">
        <v>0.1</v>
      </c>
      <c r="E26305" s="5">
        <v>102.4</v>
      </c>
      <c r="F26305" s="5">
        <v>204</v>
      </c>
      <c r="G26305" s="5">
        <v>101.8</v>
      </c>
      <c r="H26305" s="5">
        <v>101.6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102.9</v>
      </c>
      <c r="D26306" s="5">
        <v>0.1</v>
      </c>
      <c r="E26306" s="5">
        <v>103.1</v>
      </c>
      <c r="F26306" s="5">
        <v>204.5</v>
      </c>
      <c r="G26306" s="5">
        <v>102.1</v>
      </c>
      <c r="H26306" s="5">
        <v>102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102.9</v>
      </c>
      <c r="D26307" s="5">
        <v>0.1</v>
      </c>
      <c r="E26307" s="5">
        <v>103.1</v>
      </c>
      <c r="F26307" s="5">
        <v>204.5</v>
      </c>
      <c r="G26307" s="5">
        <v>102.1</v>
      </c>
      <c r="H26307" s="5">
        <v>102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102.7</v>
      </c>
      <c r="D26308" s="5">
        <v>0.1</v>
      </c>
      <c r="E26308" s="5">
        <v>102.8</v>
      </c>
      <c r="F26308" s="5">
        <v>205.5</v>
      </c>
      <c r="G26308" s="5">
        <v>102.6</v>
      </c>
      <c r="H26308" s="5">
        <v>102.4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102.7</v>
      </c>
      <c r="D26309" s="5">
        <v>0.1</v>
      </c>
      <c r="E26309" s="5">
        <v>102.8</v>
      </c>
      <c r="F26309" s="5">
        <v>205.5</v>
      </c>
      <c r="G26309" s="5">
        <v>102.6</v>
      </c>
      <c r="H26309" s="5">
        <v>102.4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100.9</v>
      </c>
      <c r="D26310" s="5">
        <v>0.1</v>
      </c>
      <c r="E26310" s="5">
        <v>101.1</v>
      </c>
      <c r="F26310" s="5">
        <v>202.2</v>
      </c>
      <c r="G26310" s="5">
        <v>100.9</v>
      </c>
      <c r="H26310" s="5">
        <v>100.7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101.7</v>
      </c>
      <c r="D26311" s="5">
        <v>0.1</v>
      </c>
      <c r="E26311" s="5">
        <v>101.8</v>
      </c>
      <c r="F26311" s="5">
        <v>202.3</v>
      </c>
      <c r="G26311" s="5">
        <v>100.9</v>
      </c>
      <c r="H26311" s="5">
        <v>100.8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101.7</v>
      </c>
      <c r="D26312" s="5">
        <v>0.1</v>
      </c>
      <c r="E26312" s="5">
        <v>101.8</v>
      </c>
      <c r="F26312" s="5">
        <v>202.3</v>
      </c>
      <c r="G26312" s="5">
        <v>101</v>
      </c>
      <c r="H26312" s="5">
        <v>100.8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101.5</v>
      </c>
      <c r="D26313" s="5">
        <v>0.1</v>
      </c>
      <c r="E26313" s="5">
        <v>101.7</v>
      </c>
      <c r="F26313" s="5">
        <v>202.9</v>
      </c>
      <c r="G26313" s="5">
        <v>101</v>
      </c>
      <c r="H26313" s="5">
        <v>100.8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101.8</v>
      </c>
      <c r="D26314" s="5">
        <v>0.1</v>
      </c>
      <c r="E26314" s="5">
        <v>102</v>
      </c>
      <c r="F26314" s="5">
        <v>204.2</v>
      </c>
      <c r="G26314" s="5">
        <v>102</v>
      </c>
      <c r="H26314" s="5">
        <v>101.9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101.8</v>
      </c>
      <c r="D26315" s="5">
        <v>0.1</v>
      </c>
      <c r="E26315" s="5">
        <v>102</v>
      </c>
      <c r="F26315" s="5">
        <v>204.2</v>
      </c>
      <c r="G26315" s="5">
        <v>102</v>
      </c>
      <c r="H26315" s="5">
        <v>101.9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102.2</v>
      </c>
      <c r="D26316" s="5">
        <v>0.1</v>
      </c>
      <c r="E26316" s="5">
        <v>102.4</v>
      </c>
      <c r="F26316" s="5">
        <v>204.1</v>
      </c>
      <c r="G26316" s="5">
        <v>101.8</v>
      </c>
      <c r="H26316" s="5">
        <v>101.7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102.2</v>
      </c>
      <c r="D26317" s="5">
        <v>0.1</v>
      </c>
      <c r="E26317" s="5">
        <v>102.4</v>
      </c>
      <c r="F26317" s="5">
        <v>204.1</v>
      </c>
      <c r="G26317" s="5">
        <v>101.8</v>
      </c>
      <c r="H26317" s="5">
        <v>101.7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102.2</v>
      </c>
      <c r="D26318" s="5">
        <v>0.1</v>
      </c>
      <c r="E26318" s="5">
        <v>102.4</v>
      </c>
      <c r="F26318" s="5">
        <v>204.1</v>
      </c>
      <c r="G26318" s="5">
        <v>101.8</v>
      </c>
      <c r="H26318" s="5">
        <v>101.7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102.2</v>
      </c>
      <c r="D26319" s="5">
        <v>0.1</v>
      </c>
      <c r="E26319" s="5">
        <v>102.4</v>
      </c>
      <c r="F26319" s="5">
        <v>204.1</v>
      </c>
      <c r="G26319" s="5">
        <v>101.8</v>
      </c>
      <c r="H26319" s="5">
        <v>101.7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103.1</v>
      </c>
      <c r="D26320" s="5">
        <v>0.1</v>
      </c>
      <c r="E26320" s="5">
        <v>103.3</v>
      </c>
      <c r="F26320" s="5">
        <v>205.1</v>
      </c>
      <c r="G26320" s="5">
        <v>102.4</v>
      </c>
      <c r="H26320" s="5">
        <v>102.3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103.1</v>
      </c>
      <c r="D26321" s="5">
        <v>0.1</v>
      </c>
      <c r="E26321" s="5">
        <v>103.3</v>
      </c>
      <c r="F26321" s="5">
        <v>205.1</v>
      </c>
      <c r="G26321" s="5">
        <v>102.4</v>
      </c>
      <c r="H26321" s="5">
        <v>102.3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101.7</v>
      </c>
      <c r="D26322" s="5">
        <v>0.1</v>
      </c>
      <c r="E26322" s="5">
        <v>101.8</v>
      </c>
      <c r="F26322" s="5">
        <v>204.2</v>
      </c>
      <c r="G26322" s="5">
        <v>101.8</v>
      </c>
      <c r="H26322" s="5">
        <v>101.6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101.7</v>
      </c>
      <c r="D26323" s="5">
        <v>0.1</v>
      </c>
      <c r="E26323" s="5">
        <v>101.8</v>
      </c>
      <c r="F26323" s="5">
        <v>204.2</v>
      </c>
      <c r="G26323" s="5">
        <v>101.8</v>
      </c>
      <c r="H26323" s="5">
        <v>101.6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102.2</v>
      </c>
      <c r="D26324" s="5">
        <v>0.1</v>
      </c>
      <c r="E26324" s="5">
        <v>102.4</v>
      </c>
      <c r="F26324" s="5">
        <v>204.3</v>
      </c>
      <c r="G26324" s="5">
        <v>102.2</v>
      </c>
      <c r="H26324" s="5">
        <v>101.6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102.2</v>
      </c>
      <c r="D26325" s="5">
        <v>0.1</v>
      </c>
      <c r="E26325" s="5">
        <v>102.4</v>
      </c>
      <c r="F26325" s="5">
        <v>204.3</v>
      </c>
      <c r="G26325" s="5">
        <v>102.2</v>
      </c>
      <c r="H26325" s="5">
        <v>102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102.5</v>
      </c>
      <c r="D26326" s="5">
        <v>0.1</v>
      </c>
      <c r="E26326" s="5">
        <v>102.7</v>
      </c>
      <c r="F26326" s="5">
        <v>205.2</v>
      </c>
      <c r="G26326" s="5">
        <v>102.2</v>
      </c>
      <c r="H26326" s="5">
        <v>102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102.5</v>
      </c>
      <c r="D26327" s="5">
        <v>0.1</v>
      </c>
      <c r="E26327" s="5">
        <v>102.7</v>
      </c>
      <c r="F26327" s="5">
        <v>205.2</v>
      </c>
      <c r="G26327" s="5">
        <v>102.4</v>
      </c>
      <c r="H26327" s="5">
        <v>102.2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102.5</v>
      </c>
      <c r="D26328" s="5">
        <v>0.1</v>
      </c>
      <c r="E26328" s="5">
        <v>102.7</v>
      </c>
      <c r="F26328" s="5">
        <v>205.2</v>
      </c>
      <c r="G26328" s="5">
        <v>102.4</v>
      </c>
      <c r="H26328" s="5">
        <v>102.2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102.5</v>
      </c>
      <c r="D26329" s="5">
        <v>0.1</v>
      </c>
      <c r="E26329" s="5">
        <v>102.7</v>
      </c>
      <c r="F26329" s="5">
        <v>205.2</v>
      </c>
      <c r="G26329" s="5">
        <v>102.4</v>
      </c>
      <c r="H26329" s="5">
        <v>102.2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101.5</v>
      </c>
      <c r="D26330" s="5">
        <v>0.1</v>
      </c>
      <c r="E26330" s="5">
        <v>101.6</v>
      </c>
      <c r="F26330" s="5">
        <v>203.3</v>
      </c>
      <c r="G26330" s="5">
        <v>101.5</v>
      </c>
      <c r="H26330" s="5">
        <v>102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101.5</v>
      </c>
      <c r="D26331" s="5">
        <v>0.1</v>
      </c>
      <c r="E26331" s="5">
        <v>101.6</v>
      </c>
      <c r="F26331" s="5">
        <v>203.3</v>
      </c>
      <c r="G26331" s="5">
        <v>101.5</v>
      </c>
      <c r="H26331" s="5">
        <v>102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103.1</v>
      </c>
      <c r="D26332" s="5">
        <v>0.1</v>
      </c>
      <c r="E26332" s="5">
        <v>103.3</v>
      </c>
      <c r="F26332" s="5">
        <v>204.9</v>
      </c>
      <c r="G26332" s="5">
        <v>102.2</v>
      </c>
      <c r="H26332" s="5">
        <v>101.7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103.1</v>
      </c>
      <c r="D26333" s="5">
        <v>0.1</v>
      </c>
      <c r="E26333" s="5">
        <v>103.3</v>
      </c>
      <c r="F26333" s="5">
        <v>204.9</v>
      </c>
      <c r="G26333" s="5">
        <v>102.2</v>
      </c>
      <c r="H26333" s="5">
        <v>101.7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103.1</v>
      </c>
      <c r="D26334" s="5">
        <v>0.1</v>
      </c>
      <c r="E26334" s="5">
        <v>103.2</v>
      </c>
      <c r="F26334" s="5">
        <v>205.4</v>
      </c>
      <c r="G26334" s="5">
        <v>102.5</v>
      </c>
      <c r="H26334" s="5">
        <v>102.3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103.1</v>
      </c>
      <c r="D26335" s="5">
        <v>0.1</v>
      </c>
      <c r="E26335" s="5">
        <v>103.2</v>
      </c>
      <c r="F26335" s="5">
        <v>205.4</v>
      </c>
      <c r="G26335" s="5">
        <v>102.5</v>
      </c>
      <c r="H26335" s="5">
        <v>102.3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103.1</v>
      </c>
      <c r="D26336" s="5">
        <v>0.1</v>
      </c>
      <c r="E26336" s="5">
        <v>103.2</v>
      </c>
      <c r="F26336" s="5">
        <v>205.4</v>
      </c>
      <c r="G26336" s="5">
        <v>101.2</v>
      </c>
      <c r="H26336" s="5">
        <v>101.1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101.7</v>
      </c>
      <c r="D26337" s="5">
        <v>0.1</v>
      </c>
      <c r="E26337" s="5">
        <v>101.8</v>
      </c>
      <c r="F26337" s="5">
        <v>202.8</v>
      </c>
      <c r="G26337" s="5">
        <v>101.2</v>
      </c>
      <c r="H26337" s="5">
        <v>101.1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101.7</v>
      </c>
      <c r="D26338" s="5">
        <v>0.1</v>
      </c>
      <c r="E26338" s="5">
        <v>101.8</v>
      </c>
      <c r="F26338" s="5">
        <v>202.8</v>
      </c>
      <c r="G26338" s="5">
        <v>101.2</v>
      </c>
      <c r="H26338" s="5">
        <v>101.1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101.7</v>
      </c>
      <c r="D26339" s="5">
        <v>0.1</v>
      </c>
      <c r="E26339" s="5">
        <v>101.8</v>
      </c>
      <c r="F26339" s="5">
        <v>202.8</v>
      </c>
      <c r="G26339" s="5">
        <v>101.2</v>
      </c>
      <c r="H26339" s="5">
        <v>101.1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101.2</v>
      </c>
      <c r="D26340" s="5">
        <v>0.1</v>
      </c>
      <c r="E26340" s="5">
        <v>101.4</v>
      </c>
      <c r="F26340" s="5">
        <v>203.7</v>
      </c>
      <c r="G26340" s="5">
        <v>101.6</v>
      </c>
      <c r="H26340" s="5">
        <v>101.4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101.2</v>
      </c>
      <c r="D26341" s="5">
        <v>0.1</v>
      </c>
      <c r="E26341" s="5">
        <v>101.4</v>
      </c>
      <c r="F26341" s="5">
        <v>203.7</v>
      </c>
      <c r="G26341" s="5">
        <v>101.6</v>
      </c>
      <c r="H26341" s="5">
        <v>101.4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101.6</v>
      </c>
      <c r="D26342" s="5">
        <v>0.1</v>
      </c>
      <c r="E26342" s="5">
        <v>101.8</v>
      </c>
      <c r="F26342" s="5">
        <v>203.5</v>
      </c>
      <c r="G26342" s="5">
        <v>101.5</v>
      </c>
      <c r="H26342" s="5">
        <v>101.4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101.6</v>
      </c>
      <c r="D26343" s="5">
        <v>0.1</v>
      </c>
      <c r="E26343" s="5">
        <v>101.8</v>
      </c>
      <c r="F26343" s="5">
        <v>203.5</v>
      </c>
      <c r="G26343" s="5">
        <v>101.5</v>
      </c>
      <c r="H26343" s="5">
        <v>101.4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102.1</v>
      </c>
      <c r="D26344" s="5">
        <v>0.1</v>
      </c>
      <c r="E26344" s="5">
        <v>102.1</v>
      </c>
      <c r="F26344" s="5">
        <v>203.7</v>
      </c>
      <c r="G26344" s="5">
        <v>101.6</v>
      </c>
      <c r="H26344" s="5">
        <v>101.5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102.1</v>
      </c>
      <c r="D26345" s="5">
        <v>0.1</v>
      </c>
      <c r="E26345" s="5">
        <v>102.1</v>
      </c>
      <c r="F26345" s="5">
        <v>203.7</v>
      </c>
      <c r="G26345" s="5">
        <v>101.6</v>
      </c>
      <c r="H26345" s="5">
        <v>101.5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102</v>
      </c>
      <c r="D26346" s="5">
        <v>0.1</v>
      </c>
      <c r="E26346" s="5">
        <v>102.1</v>
      </c>
      <c r="F26346" s="5">
        <v>203.5</v>
      </c>
      <c r="G26346" s="5">
        <v>101.6</v>
      </c>
      <c r="H26346" s="5">
        <v>101.5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102</v>
      </c>
      <c r="D26347" s="5">
        <v>0.1</v>
      </c>
      <c r="E26347" s="5">
        <v>102.1</v>
      </c>
      <c r="F26347" s="5">
        <v>203.5</v>
      </c>
      <c r="G26347" s="5">
        <v>101.6</v>
      </c>
      <c r="H26347" s="5">
        <v>101.5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102</v>
      </c>
      <c r="D26348" s="5">
        <v>0.1</v>
      </c>
      <c r="E26348" s="5">
        <v>102.1</v>
      </c>
      <c r="F26348" s="5">
        <v>203.5</v>
      </c>
      <c r="G26348" s="5">
        <v>101.6</v>
      </c>
      <c r="H26348" s="5">
        <v>101.5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102</v>
      </c>
      <c r="D26349" s="5">
        <v>0.1</v>
      </c>
      <c r="E26349" s="5">
        <v>102.1</v>
      </c>
      <c r="F26349" s="5">
        <v>203.5</v>
      </c>
      <c r="G26349" s="5">
        <v>101.6</v>
      </c>
      <c r="H26349" s="5">
        <v>101.5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100.8</v>
      </c>
      <c r="D26350" s="5">
        <v>0.1</v>
      </c>
      <c r="E26350" s="5">
        <v>101</v>
      </c>
      <c r="F26350" s="5">
        <v>202.2</v>
      </c>
      <c r="G26350" s="5">
        <v>100.9</v>
      </c>
      <c r="H26350" s="5">
        <v>100.8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100.5</v>
      </c>
      <c r="D26351" s="5">
        <v>0.1</v>
      </c>
      <c r="E26351" s="5">
        <v>100.7</v>
      </c>
      <c r="F26351" s="5">
        <v>197.4</v>
      </c>
      <c r="G26351" s="5">
        <v>98.7</v>
      </c>
      <c r="H26351" s="5">
        <v>98.7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100</v>
      </c>
      <c r="D26352" s="5">
        <v>0.1</v>
      </c>
      <c r="E26352" s="5">
        <v>100.2</v>
      </c>
      <c r="F26352" s="5">
        <v>200.4</v>
      </c>
      <c r="G26352" s="5">
        <v>100</v>
      </c>
      <c r="H26352" s="5">
        <v>99.8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100</v>
      </c>
      <c r="D26353" s="5">
        <v>0.1</v>
      </c>
      <c r="E26353" s="5">
        <v>100.2</v>
      </c>
      <c r="F26353" s="5">
        <v>200.4</v>
      </c>
      <c r="G26353" s="5">
        <v>100</v>
      </c>
      <c r="H26353" s="5">
        <v>99.8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100.5</v>
      </c>
      <c r="D26354" s="5">
        <v>0.1</v>
      </c>
      <c r="E26354" s="5">
        <v>100.6</v>
      </c>
      <c r="F26354" s="5">
        <v>201</v>
      </c>
      <c r="G26354" s="5">
        <v>100.3</v>
      </c>
      <c r="H26354" s="5">
        <v>100.1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100.5</v>
      </c>
      <c r="D26355" s="5">
        <v>0.1</v>
      </c>
      <c r="E26355" s="5">
        <v>100.6</v>
      </c>
      <c r="F26355" s="5">
        <v>201</v>
      </c>
      <c r="G26355" s="5">
        <v>100.3</v>
      </c>
      <c r="H26355" s="5">
        <v>100.1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98.6</v>
      </c>
      <c r="D26356" s="5">
        <v>0.1</v>
      </c>
      <c r="E26356" s="5">
        <v>98.7</v>
      </c>
      <c r="F26356" s="5">
        <v>201.3</v>
      </c>
      <c r="G26356" s="5">
        <v>100.3</v>
      </c>
      <c r="H26356" s="5">
        <v>100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98.6</v>
      </c>
      <c r="D26357" s="5">
        <v>0.1</v>
      </c>
      <c r="E26357" s="5">
        <v>98.7</v>
      </c>
      <c r="F26357" s="5">
        <v>201.3</v>
      </c>
      <c r="G26357" s="5">
        <v>100.3</v>
      </c>
      <c r="H26357" s="5">
        <v>100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98.6</v>
      </c>
      <c r="D26358" s="5">
        <v>0.1</v>
      </c>
      <c r="E26358" s="5">
        <v>98.7</v>
      </c>
      <c r="F26358" s="5">
        <v>201.3</v>
      </c>
      <c r="G26358" s="5">
        <v>100.3</v>
      </c>
      <c r="H26358" s="5">
        <v>100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98.6</v>
      </c>
      <c r="D26359" s="5">
        <v>0.1</v>
      </c>
      <c r="E26359" s="5">
        <v>98.7</v>
      </c>
      <c r="F26359" s="5">
        <v>201.3</v>
      </c>
      <c r="G26359" s="5">
        <v>100.3</v>
      </c>
      <c r="H26359" s="5">
        <v>100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98.9</v>
      </c>
      <c r="D26360" s="5">
        <v>0.1</v>
      </c>
      <c r="E26360" s="5">
        <v>99.1</v>
      </c>
      <c r="F26360" s="5">
        <v>202.9</v>
      </c>
      <c r="G26360" s="5">
        <v>101.3</v>
      </c>
      <c r="H26360" s="5">
        <v>101.1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98.9</v>
      </c>
      <c r="D26361" s="5">
        <v>0.1</v>
      </c>
      <c r="E26361" s="5">
        <v>99.1</v>
      </c>
      <c r="F26361" s="5">
        <v>202.9</v>
      </c>
      <c r="G26361" s="5">
        <v>101.3</v>
      </c>
      <c r="H26361" s="5">
        <v>101.1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100.2</v>
      </c>
      <c r="D26362" s="5">
        <v>0.1</v>
      </c>
      <c r="E26362" s="5">
        <v>100.3</v>
      </c>
      <c r="F26362" s="5">
        <v>193.3</v>
      </c>
      <c r="G26362" s="5">
        <v>96.4</v>
      </c>
      <c r="H26362" s="5">
        <v>96.3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100.2</v>
      </c>
      <c r="D26363" s="5">
        <v>0.1</v>
      </c>
      <c r="E26363" s="5">
        <v>100.3</v>
      </c>
      <c r="F26363" s="5">
        <v>193.3</v>
      </c>
      <c r="G26363" s="5">
        <v>96.4</v>
      </c>
      <c r="H26363" s="5">
        <v>96.3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102.3</v>
      </c>
      <c r="D26364" s="5">
        <v>0.1</v>
      </c>
      <c r="E26364" s="5">
        <v>102.4</v>
      </c>
      <c r="F26364" s="5">
        <v>202.8</v>
      </c>
      <c r="G26364" s="5">
        <v>100.8</v>
      </c>
      <c r="H26364" s="5">
        <v>100.8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102.3</v>
      </c>
      <c r="D26365" s="5">
        <v>0.1</v>
      </c>
      <c r="E26365" s="5">
        <v>102.4</v>
      </c>
      <c r="F26365" s="5">
        <v>202.8</v>
      </c>
      <c r="G26365" s="5">
        <v>100.8</v>
      </c>
      <c r="H26365" s="5">
        <v>100.8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97</v>
      </c>
      <c r="D26366" s="5">
        <v>0.1</v>
      </c>
      <c r="E26366" s="5">
        <v>97.2</v>
      </c>
      <c r="F26366" s="5">
        <v>194</v>
      </c>
      <c r="G26366" s="5">
        <v>96.8</v>
      </c>
      <c r="H26366" s="5">
        <v>96.6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97</v>
      </c>
      <c r="D26367" s="5">
        <v>0.1</v>
      </c>
      <c r="E26367" s="5">
        <v>97.2</v>
      </c>
      <c r="F26367" s="5">
        <v>194</v>
      </c>
      <c r="G26367" s="5">
        <v>96.8</v>
      </c>
      <c r="H26367" s="5">
        <v>96.6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97</v>
      </c>
      <c r="D26368" s="5">
        <v>0.1</v>
      </c>
      <c r="E26368" s="5">
        <v>97.2</v>
      </c>
      <c r="F26368" s="5">
        <v>194</v>
      </c>
      <c r="G26368" s="5">
        <v>96.8</v>
      </c>
      <c r="H26368" s="5">
        <v>96.6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97</v>
      </c>
      <c r="D26369" s="5">
        <v>0.1</v>
      </c>
      <c r="E26369" s="5">
        <v>97.2</v>
      </c>
      <c r="F26369" s="5">
        <v>194</v>
      </c>
      <c r="G26369" s="5">
        <v>96.8</v>
      </c>
      <c r="H26369" s="5">
        <v>102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102.3</v>
      </c>
      <c r="D26370" s="5">
        <v>0.1</v>
      </c>
      <c r="E26370" s="5">
        <v>102.4</v>
      </c>
      <c r="F26370" s="5">
        <v>204.7</v>
      </c>
      <c r="G26370" s="5">
        <v>102.1</v>
      </c>
      <c r="H26370" s="5">
        <v>102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102.3</v>
      </c>
      <c r="D26371" s="5">
        <v>0.1</v>
      </c>
      <c r="E26371" s="5">
        <v>102.4</v>
      </c>
      <c r="F26371" s="5">
        <v>204.7</v>
      </c>
      <c r="G26371" s="5">
        <v>102.1</v>
      </c>
      <c r="H26371" s="5">
        <v>102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101.1</v>
      </c>
      <c r="D26372" s="5">
        <v>0.1</v>
      </c>
      <c r="E26372" s="5">
        <v>101.2</v>
      </c>
      <c r="F26372" s="5">
        <v>202.4</v>
      </c>
      <c r="G26372" s="5">
        <v>101</v>
      </c>
      <c r="H26372" s="5">
        <v>100.8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101.1</v>
      </c>
      <c r="D26373" s="5">
        <v>0.1</v>
      </c>
      <c r="E26373" s="5">
        <v>101.2</v>
      </c>
      <c r="F26373" s="5">
        <v>202.4</v>
      </c>
      <c r="G26373" s="5">
        <v>101</v>
      </c>
      <c r="H26373" s="5">
        <v>100.8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100.7</v>
      </c>
      <c r="D26374" s="5">
        <v>0.1</v>
      </c>
      <c r="E26374" s="5">
        <v>100.8</v>
      </c>
      <c r="F26374" s="5">
        <v>202.3</v>
      </c>
      <c r="G26374" s="5">
        <v>100.9</v>
      </c>
      <c r="H26374" s="5">
        <v>100.8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100.7</v>
      </c>
      <c r="D26375" s="5">
        <v>0.1</v>
      </c>
      <c r="E26375" s="5">
        <v>100.8</v>
      </c>
      <c r="F26375" s="5">
        <v>202.3</v>
      </c>
      <c r="G26375" s="5">
        <v>100.9</v>
      </c>
      <c r="H26375" s="5">
        <v>100.8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100.5</v>
      </c>
      <c r="D26376" s="5">
        <v>0.1</v>
      </c>
      <c r="E26376" s="5">
        <v>100.6</v>
      </c>
      <c r="F26376" s="5">
        <v>201.7</v>
      </c>
      <c r="G26376" s="5">
        <v>100.6</v>
      </c>
      <c r="H26376" s="5">
        <v>100.5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100.5</v>
      </c>
      <c r="D26377" s="5">
        <v>0.1</v>
      </c>
      <c r="E26377" s="5">
        <v>100.6</v>
      </c>
      <c r="F26377" s="5">
        <v>201.7</v>
      </c>
      <c r="G26377" s="5">
        <v>100.6</v>
      </c>
      <c r="H26377" s="5">
        <v>100.5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100.5</v>
      </c>
      <c r="D26378" s="5">
        <v>0.1</v>
      </c>
      <c r="E26378" s="5">
        <v>100.6</v>
      </c>
      <c r="F26378" s="5">
        <v>201.7</v>
      </c>
      <c r="G26378" s="5">
        <v>100.6</v>
      </c>
      <c r="H26378" s="5">
        <v>100.5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100.5</v>
      </c>
      <c r="D26379" s="5">
        <v>0.1</v>
      </c>
      <c r="E26379" s="5">
        <v>100.7</v>
      </c>
      <c r="F26379" s="5">
        <v>201.8</v>
      </c>
      <c r="G26379" s="5">
        <v>100.7</v>
      </c>
      <c r="H26379" s="5">
        <v>100.5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100.5</v>
      </c>
      <c r="D26380" s="5">
        <v>0.1</v>
      </c>
      <c r="E26380" s="5">
        <v>100.7</v>
      </c>
      <c r="F26380" s="5">
        <v>201.8</v>
      </c>
      <c r="G26380" s="5">
        <v>100.7</v>
      </c>
      <c r="H26380" s="5">
        <v>100.5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98.9</v>
      </c>
      <c r="D26381" s="5">
        <v>0.1</v>
      </c>
      <c r="E26381" s="5">
        <v>99.1</v>
      </c>
      <c r="F26381" s="5">
        <v>201</v>
      </c>
      <c r="G26381" s="5">
        <v>100.3</v>
      </c>
      <c r="H26381" s="5">
        <v>100.1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98.9</v>
      </c>
      <c r="D26382" s="5">
        <v>0.1</v>
      </c>
      <c r="E26382" s="5">
        <v>99.1</v>
      </c>
      <c r="F26382" s="5">
        <v>201</v>
      </c>
      <c r="G26382" s="5">
        <v>100.3</v>
      </c>
      <c r="H26382" s="5">
        <v>100.1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101.4</v>
      </c>
      <c r="D26383" s="5">
        <v>0.1</v>
      </c>
      <c r="E26383" s="5">
        <v>101.5</v>
      </c>
      <c r="F26383" s="5">
        <v>201.6</v>
      </c>
      <c r="G26383" s="5">
        <v>100</v>
      </c>
      <c r="H26383" s="5">
        <v>100.1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101.4</v>
      </c>
      <c r="D26384" s="5">
        <v>0.1</v>
      </c>
      <c r="E26384" s="5">
        <v>101.5</v>
      </c>
      <c r="F26384" s="5">
        <v>201.6</v>
      </c>
      <c r="G26384" s="5">
        <v>100</v>
      </c>
      <c r="H26384" s="5">
        <v>99.7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101.4</v>
      </c>
      <c r="D26385" s="5">
        <v>0.1</v>
      </c>
      <c r="E26385" s="5">
        <v>101.5</v>
      </c>
      <c r="F26385" s="5">
        <v>201.6</v>
      </c>
      <c r="G26385" s="5">
        <v>100</v>
      </c>
      <c r="H26385" s="5">
        <v>99.7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101.4</v>
      </c>
      <c r="D26386" s="5">
        <v>0.1</v>
      </c>
      <c r="E26386" s="5">
        <v>101.5</v>
      </c>
      <c r="F26386" s="5">
        <v>201.7</v>
      </c>
      <c r="G26386" s="5">
        <v>100.2</v>
      </c>
      <c r="H26386" s="5">
        <v>98.7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101.4</v>
      </c>
      <c r="D26387" s="5">
        <v>0.1</v>
      </c>
      <c r="E26387" s="5">
        <v>101.5</v>
      </c>
      <c r="F26387" s="5">
        <v>201.7</v>
      </c>
      <c r="G26387" s="5">
        <v>100.2</v>
      </c>
      <c r="H26387" s="5">
        <v>98.7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101.4</v>
      </c>
      <c r="D26388" s="5">
        <v>0.1</v>
      </c>
      <c r="E26388" s="5">
        <v>101.5</v>
      </c>
      <c r="F26388" s="5">
        <v>201.7</v>
      </c>
      <c r="G26388" s="5">
        <v>100.2</v>
      </c>
      <c r="H26388" s="5">
        <v>98.7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101.4</v>
      </c>
      <c r="D26389" s="5">
        <v>0.1</v>
      </c>
      <c r="E26389" s="5">
        <v>101.5</v>
      </c>
      <c r="F26389" s="5">
        <v>201.7</v>
      </c>
      <c r="G26389" s="5">
        <v>100.2</v>
      </c>
      <c r="H26389" s="5">
        <v>98.7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100.2</v>
      </c>
      <c r="D26390" s="5">
        <v>0.1</v>
      </c>
      <c r="E26390" s="5">
        <v>100.3</v>
      </c>
      <c r="F26390" s="5">
        <v>199.5</v>
      </c>
      <c r="G26390" s="5">
        <v>99.5</v>
      </c>
      <c r="H26390" s="5">
        <v>99.4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100.2</v>
      </c>
      <c r="D26391" s="5">
        <v>0.1</v>
      </c>
      <c r="E26391" s="5">
        <v>100.3</v>
      </c>
      <c r="F26391" s="5">
        <v>199.5</v>
      </c>
      <c r="G26391" s="5">
        <v>99.5</v>
      </c>
      <c r="H26391" s="5">
        <v>99.4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100</v>
      </c>
      <c r="D26392" s="5">
        <v>0.1</v>
      </c>
      <c r="E26392" s="5">
        <v>100.1</v>
      </c>
      <c r="F26392" s="5">
        <v>199.6</v>
      </c>
      <c r="G26392" s="5">
        <v>99.6</v>
      </c>
      <c r="H26392" s="5">
        <v>99.4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102</v>
      </c>
      <c r="D26393" s="5">
        <v>0.1</v>
      </c>
      <c r="E26393" s="5">
        <v>102.1</v>
      </c>
      <c r="F26393" s="5">
        <v>203.6</v>
      </c>
      <c r="G26393" s="5">
        <v>101.6</v>
      </c>
      <c r="H26393" s="5">
        <v>101.5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96.8</v>
      </c>
      <c r="D26394" s="5">
        <v>0.1</v>
      </c>
      <c r="E26394" s="5">
        <v>101.2</v>
      </c>
      <c r="F26394" s="5">
        <v>193.6</v>
      </c>
      <c r="G26394" s="5">
        <v>96.4</v>
      </c>
      <c r="H26394" s="5">
        <v>96.1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96.8</v>
      </c>
      <c r="D26395" s="5">
        <v>0.1</v>
      </c>
      <c r="E26395" s="5">
        <v>97</v>
      </c>
      <c r="F26395" s="5">
        <v>194.2</v>
      </c>
      <c r="G26395" s="5">
        <v>97</v>
      </c>
      <c r="H26395" s="5">
        <v>97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96.8</v>
      </c>
      <c r="D26396" s="5">
        <v>0.1</v>
      </c>
      <c r="E26396" s="5">
        <v>97</v>
      </c>
      <c r="F26396" s="5">
        <v>194.2</v>
      </c>
      <c r="G26396" s="5">
        <v>97</v>
      </c>
      <c r="H26396" s="5">
        <v>97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96.8</v>
      </c>
      <c r="D26397" s="5">
        <v>0.1</v>
      </c>
      <c r="E26397" s="5">
        <v>97</v>
      </c>
      <c r="F26397" s="5">
        <v>194.2</v>
      </c>
      <c r="G26397" s="5">
        <v>97</v>
      </c>
      <c r="H26397" s="5">
        <v>97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96.8</v>
      </c>
      <c r="D26398" s="5">
        <v>0.1</v>
      </c>
      <c r="E26398" s="5">
        <v>97</v>
      </c>
      <c r="F26398" s="5">
        <v>194.2</v>
      </c>
      <c r="G26398" s="5">
        <v>97</v>
      </c>
      <c r="H26398" s="5">
        <v>97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92.8</v>
      </c>
      <c r="D26399" s="5">
        <v>0.1</v>
      </c>
      <c r="E26399" s="5">
        <v>92.9</v>
      </c>
      <c r="F26399" s="5">
        <v>197.2</v>
      </c>
      <c r="G26399" s="5">
        <v>98.4</v>
      </c>
      <c r="H26399" s="5">
        <v>98.3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92.8</v>
      </c>
      <c r="D26400" s="5">
        <v>0.1</v>
      </c>
      <c r="E26400" s="5">
        <v>92.9</v>
      </c>
      <c r="F26400" s="5">
        <v>197.2</v>
      </c>
      <c r="G26400" s="5">
        <v>98.4</v>
      </c>
      <c r="H26400" s="5">
        <v>98.3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92.8</v>
      </c>
      <c r="D26401" s="5">
        <v>0.1</v>
      </c>
      <c r="E26401" s="5">
        <v>92.9</v>
      </c>
      <c r="F26401" s="5">
        <v>197.2</v>
      </c>
      <c r="G26401" s="5">
        <v>98.4</v>
      </c>
      <c r="H26401" s="5">
        <v>98.3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92.8</v>
      </c>
      <c r="D26402" s="5">
        <v>0.1</v>
      </c>
      <c r="E26402" s="5">
        <v>92.9</v>
      </c>
      <c r="F26402" s="5">
        <v>197.2</v>
      </c>
      <c r="G26402" s="5">
        <v>98.4</v>
      </c>
      <c r="H26402" s="5">
        <v>97.9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98.3</v>
      </c>
      <c r="D26403" s="5">
        <v>0.1</v>
      </c>
      <c r="E26403" s="5">
        <v>98.5</v>
      </c>
      <c r="F26403" s="5">
        <v>196.3</v>
      </c>
      <c r="G26403" s="5">
        <v>98</v>
      </c>
      <c r="H26403" s="5">
        <v>97.9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98.3</v>
      </c>
      <c r="D26404" s="5">
        <v>0.1</v>
      </c>
      <c r="E26404" s="5">
        <v>98.5</v>
      </c>
      <c r="F26404" s="5">
        <v>196.3</v>
      </c>
      <c r="G26404" s="5">
        <v>98</v>
      </c>
      <c r="H26404" s="5">
        <v>97.9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98.1</v>
      </c>
      <c r="D26405" s="5">
        <v>0.1</v>
      </c>
      <c r="E26405" s="5">
        <v>98.3</v>
      </c>
      <c r="F26405" s="5">
        <v>195.7</v>
      </c>
      <c r="G26405" s="5">
        <v>97.7</v>
      </c>
      <c r="H26405" s="5">
        <v>97.5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98.1</v>
      </c>
      <c r="D26406" s="5">
        <v>0.1</v>
      </c>
      <c r="E26406" s="5">
        <v>98.3</v>
      </c>
      <c r="F26406" s="5">
        <v>195.7</v>
      </c>
      <c r="G26406" s="5">
        <v>97.7</v>
      </c>
      <c r="H26406" s="5">
        <v>97.5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95.1</v>
      </c>
      <c r="D26407" s="5">
        <v>0.1</v>
      </c>
      <c r="E26407" s="5">
        <v>95.3</v>
      </c>
      <c r="F26407" s="5">
        <v>189.1</v>
      </c>
      <c r="G26407" s="5">
        <v>94.4</v>
      </c>
      <c r="H26407" s="5">
        <v>94.3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95.1</v>
      </c>
      <c r="D26408" s="5">
        <v>0.1</v>
      </c>
      <c r="E26408" s="5">
        <v>95.3</v>
      </c>
      <c r="F26408" s="5">
        <v>189.1</v>
      </c>
      <c r="G26408" s="5">
        <v>94.4</v>
      </c>
      <c r="H26408" s="5">
        <v>94.3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94.5</v>
      </c>
      <c r="D26409" s="5">
        <v>0.1</v>
      </c>
      <c r="E26409" s="5">
        <v>94.7</v>
      </c>
      <c r="F26409" s="5">
        <v>188.5</v>
      </c>
      <c r="G26409" s="5">
        <v>94.1</v>
      </c>
      <c r="H26409" s="5">
        <v>93.9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94.5</v>
      </c>
      <c r="D26410" s="5">
        <v>0.1</v>
      </c>
      <c r="E26410" s="5">
        <v>94.7</v>
      </c>
      <c r="F26410" s="5">
        <v>188.5</v>
      </c>
      <c r="G26410" s="5">
        <v>94.1</v>
      </c>
      <c r="H26410" s="5">
        <v>93.9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94.5</v>
      </c>
      <c r="D26411" s="5">
        <v>0.1</v>
      </c>
      <c r="E26411" s="5">
        <v>94.7</v>
      </c>
      <c r="F26411" s="5">
        <v>188.5</v>
      </c>
      <c r="G26411" s="5">
        <v>94.1</v>
      </c>
      <c r="H26411" s="5">
        <v>93.9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94.4</v>
      </c>
      <c r="D26412" s="5">
        <v>0.1</v>
      </c>
      <c r="E26412" s="5">
        <v>94.5</v>
      </c>
      <c r="F26412" s="5">
        <v>192.4</v>
      </c>
      <c r="G26412" s="5">
        <v>95.5</v>
      </c>
      <c r="H26412" s="5">
        <v>94.9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94.4</v>
      </c>
      <c r="D26413" s="5">
        <v>0.1</v>
      </c>
      <c r="E26413" s="5">
        <v>94.5</v>
      </c>
      <c r="F26413" s="5">
        <v>192.4</v>
      </c>
      <c r="G26413" s="5">
        <v>95.5</v>
      </c>
      <c r="H26413" s="5">
        <v>94.9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97.6</v>
      </c>
      <c r="D26414" s="5">
        <v>0.1</v>
      </c>
      <c r="E26414" s="5">
        <v>97.7</v>
      </c>
      <c r="F26414" s="5">
        <v>194.7</v>
      </c>
      <c r="G26414" s="5">
        <v>97.1</v>
      </c>
      <c r="H26414" s="5">
        <v>96.9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97.6</v>
      </c>
      <c r="D26415" s="5">
        <v>0.1</v>
      </c>
      <c r="E26415" s="5">
        <v>97.7</v>
      </c>
      <c r="F26415" s="5">
        <v>194.7</v>
      </c>
      <c r="G26415" s="5">
        <v>97.1</v>
      </c>
      <c r="H26415" s="5">
        <v>96.9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96.8</v>
      </c>
      <c r="D26416" s="5">
        <v>0.1</v>
      </c>
      <c r="E26416" s="5">
        <v>97</v>
      </c>
      <c r="F26416" s="5">
        <v>194.4</v>
      </c>
      <c r="G26416" s="5">
        <v>97</v>
      </c>
      <c r="H26416" s="5">
        <v>96.9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96.8</v>
      </c>
      <c r="D26417" s="5">
        <v>0.1</v>
      </c>
      <c r="E26417" s="5">
        <v>97</v>
      </c>
      <c r="F26417" s="5">
        <v>194.4</v>
      </c>
      <c r="G26417" s="5">
        <v>97</v>
      </c>
      <c r="H26417" s="5">
        <v>96.9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100.4</v>
      </c>
      <c r="D26418" s="5">
        <v>0.1</v>
      </c>
      <c r="E26418" s="5">
        <v>100.5</v>
      </c>
      <c r="F26418" s="5">
        <v>192.2</v>
      </c>
      <c r="G26418" s="5">
        <v>95.8</v>
      </c>
      <c r="H26418" s="5">
        <v>95.6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100.4</v>
      </c>
      <c r="D26419" s="5">
        <v>0.1</v>
      </c>
      <c r="E26419" s="5">
        <v>100.5</v>
      </c>
      <c r="F26419" s="5">
        <v>192.2</v>
      </c>
      <c r="G26419" s="5">
        <v>95.8</v>
      </c>
      <c r="H26419" s="5">
        <v>95.6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100.4</v>
      </c>
      <c r="D26420" s="5">
        <v>0.1</v>
      </c>
      <c r="E26420" s="5">
        <v>100.5</v>
      </c>
      <c r="F26420" s="5">
        <v>192.2</v>
      </c>
      <c r="G26420" s="5">
        <v>95.8</v>
      </c>
      <c r="H26420" s="5">
        <v>95.6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100.4</v>
      </c>
      <c r="D26421" s="5">
        <v>0.1</v>
      </c>
      <c r="E26421" s="5">
        <v>100.5</v>
      </c>
      <c r="F26421" s="5">
        <v>192.2</v>
      </c>
      <c r="G26421" s="5">
        <v>95.8</v>
      </c>
      <c r="H26421" s="5">
        <v>95.6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96.9</v>
      </c>
      <c r="D26422" s="5">
        <v>0.1</v>
      </c>
      <c r="E26422" s="5">
        <v>97</v>
      </c>
      <c r="F26422" s="5">
        <v>190.4</v>
      </c>
      <c r="G26422" s="5">
        <v>95.2</v>
      </c>
      <c r="H26422" s="5">
        <v>95.3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96.9</v>
      </c>
      <c r="D26423" s="5">
        <v>0.1</v>
      </c>
      <c r="E26423" s="5">
        <v>97</v>
      </c>
      <c r="F26423" s="5">
        <v>190.4</v>
      </c>
      <c r="G26423" s="5">
        <v>95.2</v>
      </c>
      <c r="H26423" s="5">
        <v>95.3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93.2</v>
      </c>
      <c r="D26424" s="5">
        <v>0.1</v>
      </c>
      <c r="E26424" s="5">
        <v>93.3</v>
      </c>
      <c r="F26424" s="5">
        <v>189.3</v>
      </c>
      <c r="G26424" s="5">
        <v>94.3</v>
      </c>
      <c r="H26424" s="5">
        <v>94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93.2</v>
      </c>
      <c r="D26425" s="5">
        <v>0.1</v>
      </c>
      <c r="E26425" s="5">
        <v>93.3</v>
      </c>
      <c r="F26425" s="5">
        <v>189.3</v>
      </c>
      <c r="G26425" s="5">
        <v>94.3</v>
      </c>
      <c r="H26425" s="5">
        <v>94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95.4</v>
      </c>
      <c r="D26426" s="5">
        <v>0.1</v>
      </c>
      <c r="E26426" s="5">
        <v>95.5</v>
      </c>
      <c r="F26426" s="5">
        <v>191.5</v>
      </c>
      <c r="G26426" s="5">
        <v>95.5</v>
      </c>
      <c r="H26426" s="5">
        <v>95.3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95.4</v>
      </c>
      <c r="D26427" s="5">
        <v>0.1</v>
      </c>
      <c r="E26427" s="5">
        <v>95.5</v>
      </c>
      <c r="F26427" s="5">
        <v>191.5</v>
      </c>
      <c r="G26427" s="5">
        <v>95.5</v>
      </c>
      <c r="H26427" s="5">
        <v>95.3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97.3</v>
      </c>
      <c r="D26428" s="5">
        <v>0.1</v>
      </c>
      <c r="E26428" s="5">
        <v>97.5</v>
      </c>
      <c r="F26428" s="5">
        <v>194.8</v>
      </c>
      <c r="G26428" s="5">
        <v>97.2</v>
      </c>
      <c r="H26428" s="5">
        <v>97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97.3</v>
      </c>
      <c r="D26429" s="5">
        <v>0.1</v>
      </c>
      <c r="E26429" s="5">
        <v>97.5</v>
      </c>
      <c r="F26429" s="5">
        <v>194.8</v>
      </c>
      <c r="G26429" s="5">
        <v>97.2</v>
      </c>
      <c r="H26429" s="5">
        <v>97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97.3</v>
      </c>
      <c r="D26430" s="5">
        <v>0.1</v>
      </c>
      <c r="E26430" s="5">
        <v>97.5</v>
      </c>
      <c r="F26430" s="5">
        <v>194.8</v>
      </c>
      <c r="G26430" s="5">
        <v>97.2</v>
      </c>
      <c r="H26430" s="5">
        <v>97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97.3</v>
      </c>
      <c r="D26431" s="5">
        <v>0.1</v>
      </c>
      <c r="E26431" s="5">
        <v>97.5</v>
      </c>
      <c r="F26431" s="5">
        <v>194.8</v>
      </c>
      <c r="G26431" s="5">
        <v>97.2</v>
      </c>
      <c r="H26431" s="5">
        <v>97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97.5</v>
      </c>
      <c r="D26432" s="5">
        <v>0.1</v>
      </c>
      <c r="E26432" s="5">
        <v>97.6</v>
      </c>
      <c r="F26432" s="5">
        <v>194.8</v>
      </c>
      <c r="G26432" s="5">
        <v>97.1</v>
      </c>
      <c r="H26432" s="5">
        <v>96.9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97.5</v>
      </c>
      <c r="D26433" s="5">
        <v>0.1</v>
      </c>
      <c r="E26433" s="5">
        <v>97.6</v>
      </c>
      <c r="F26433" s="5">
        <v>194.8</v>
      </c>
      <c r="G26433" s="5">
        <v>97.1</v>
      </c>
      <c r="H26433" s="5">
        <v>96.9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102.5</v>
      </c>
      <c r="D26434" s="5">
        <v>0.1</v>
      </c>
      <c r="E26434" s="5">
        <v>102.6</v>
      </c>
      <c r="F26434" s="5">
        <v>205.2</v>
      </c>
      <c r="G26434" s="5">
        <v>101.7</v>
      </c>
      <c r="H26434" s="5">
        <v>101.6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102.5</v>
      </c>
      <c r="D26435" s="5">
        <v>0.1</v>
      </c>
      <c r="E26435" s="5">
        <v>102.6</v>
      </c>
      <c r="F26435" s="5">
        <v>205.2</v>
      </c>
      <c r="G26435" s="5">
        <v>101.7</v>
      </c>
      <c r="H26435" s="5">
        <v>101.6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101</v>
      </c>
      <c r="D26436" s="5">
        <v>0.1</v>
      </c>
      <c r="E26436" s="5">
        <v>101.1</v>
      </c>
      <c r="F26436" s="5">
        <v>205.5</v>
      </c>
      <c r="G26436" s="5">
        <v>101.8</v>
      </c>
      <c r="H26436" s="5">
        <v>101.2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101</v>
      </c>
      <c r="D26437" s="5">
        <v>0.1</v>
      </c>
      <c r="E26437" s="5">
        <v>101.1</v>
      </c>
      <c r="F26437" s="5">
        <v>205.5</v>
      </c>
      <c r="G26437" s="5">
        <v>101.8</v>
      </c>
      <c r="H26437" s="5">
        <v>101.2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101.8</v>
      </c>
      <c r="D26438" s="5">
        <v>0.1</v>
      </c>
      <c r="E26438" s="5">
        <v>102</v>
      </c>
      <c r="F26438" s="5">
        <v>204.7</v>
      </c>
      <c r="G26438" s="5">
        <v>102.2</v>
      </c>
      <c r="H26438" s="5">
        <v>100.6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93.6</v>
      </c>
      <c r="D26439" s="5">
        <v>0.1</v>
      </c>
      <c r="E26439" s="5">
        <v>100.6</v>
      </c>
      <c r="F26439" s="5">
        <v>186.5</v>
      </c>
      <c r="G26439" s="5">
        <v>93</v>
      </c>
      <c r="H26439" s="5">
        <v>92.9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93.6</v>
      </c>
      <c r="D26440" s="5">
        <v>0.1</v>
      </c>
      <c r="E26440" s="5">
        <v>93.8</v>
      </c>
      <c r="F26440" s="5">
        <v>187.1</v>
      </c>
      <c r="G26440" s="5">
        <v>93.3</v>
      </c>
      <c r="H26440" s="5">
        <v>93.2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93.6</v>
      </c>
      <c r="D26441" s="5">
        <v>0.1</v>
      </c>
      <c r="E26441" s="5">
        <v>93.8</v>
      </c>
      <c r="F26441" s="5">
        <v>187.1</v>
      </c>
      <c r="G26441" s="5">
        <v>93.3</v>
      </c>
      <c r="H26441" s="5">
        <v>93.2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93.6</v>
      </c>
      <c r="D26442" s="5">
        <v>0.1</v>
      </c>
      <c r="E26442" s="5">
        <v>93.8</v>
      </c>
      <c r="F26442" s="5">
        <v>187.1</v>
      </c>
      <c r="G26442" s="5">
        <v>93.3</v>
      </c>
      <c r="H26442" s="5">
        <v>93.2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93.4</v>
      </c>
      <c r="D26443" s="5">
        <v>0.1</v>
      </c>
      <c r="E26443" s="5">
        <v>93.5</v>
      </c>
      <c r="F26443" s="5">
        <v>187.5</v>
      </c>
      <c r="G26443" s="5">
        <v>93.5</v>
      </c>
      <c r="H26443" s="5">
        <v>93.3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93.4</v>
      </c>
      <c r="D26444" s="5">
        <v>0.1</v>
      </c>
      <c r="E26444" s="5">
        <v>93.5</v>
      </c>
      <c r="F26444" s="5">
        <v>187.5</v>
      </c>
      <c r="G26444" s="5">
        <v>93.5</v>
      </c>
      <c r="H26444" s="5">
        <v>93.3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92.4</v>
      </c>
      <c r="D26445" s="5">
        <v>0</v>
      </c>
      <c r="E26445" s="5">
        <v>92.5</v>
      </c>
      <c r="F26445" s="5">
        <v>183.6</v>
      </c>
      <c r="G26445" s="5">
        <v>91.6</v>
      </c>
      <c r="H26445" s="5">
        <v>91.6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92.4</v>
      </c>
      <c r="D26446" s="5">
        <v>0</v>
      </c>
      <c r="E26446" s="5">
        <v>92.5</v>
      </c>
      <c r="F26446" s="5">
        <v>183.6</v>
      </c>
      <c r="G26446" s="5">
        <v>91.6</v>
      </c>
      <c r="H26446" s="5">
        <v>91.6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97.4</v>
      </c>
      <c r="D26447" s="5">
        <v>0.1</v>
      </c>
      <c r="E26447" s="5">
        <v>97.6</v>
      </c>
      <c r="F26447" s="5">
        <v>194.2</v>
      </c>
      <c r="G26447" s="5">
        <v>96.9</v>
      </c>
      <c r="H26447" s="5">
        <v>96.7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97.4</v>
      </c>
      <c r="D26448" s="5">
        <v>0.1</v>
      </c>
      <c r="E26448" s="5">
        <v>97.6</v>
      </c>
      <c r="F26448" s="5">
        <v>194.2</v>
      </c>
      <c r="G26448" s="5">
        <v>96.9</v>
      </c>
      <c r="H26448" s="5">
        <v>96.7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101.8</v>
      </c>
      <c r="D26449" s="5">
        <v>0.1</v>
      </c>
      <c r="E26449" s="5">
        <v>101.9</v>
      </c>
      <c r="F26449" s="5">
        <v>201.9</v>
      </c>
      <c r="G26449" s="5">
        <v>100.8</v>
      </c>
      <c r="H26449" s="5">
        <v>100.8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101.8</v>
      </c>
      <c r="D26450" s="5">
        <v>0.1</v>
      </c>
      <c r="E26450" s="5">
        <v>101.9</v>
      </c>
      <c r="F26450" s="5">
        <v>201.9</v>
      </c>
      <c r="G26450" s="5">
        <v>100.8</v>
      </c>
      <c r="H26450" s="5">
        <v>100.8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101.7</v>
      </c>
      <c r="D26451" s="5">
        <v>0.1</v>
      </c>
      <c r="E26451" s="5">
        <v>101.8</v>
      </c>
      <c r="F26451" s="5">
        <v>204.2</v>
      </c>
      <c r="G26451" s="5">
        <v>101.8</v>
      </c>
      <c r="H26451" s="5">
        <v>101.7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102.4</v>
      </c>
      <c r="D26452" s="5">
        <v>0.1</v>
      </c>
      <c r="E26452" s="5">
        <v>102.5</v>
      </c>
      <c r="F26452" s="5">
        <v>204</v>
      </c>
      <c r="G26452" s="5">
        <v>101.8</v>
      </c>
      <c r="H26452" s="5">
        <v>101.7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102.4</v>
      </c>
      <c r="D26453" s="5">
        <v>0.1</v>
      </c>
      <c r="E26453" s="5">
        <v>102.5</v>
      </c>
      <c r="F26453" s="5">
        <v>204</v>
      </c>
      <c r="G26453" s="5">
        <v>101.8</v>
      </c>
      <c r="H26453" s="5">
        <v>101.7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102.4</v>
      </c>
      <c r="D26454" s="5">
        <v>0.1</v>
      </c>
      <c r="E26454" s="5">
        <v>102.5</v>
      </c>
      <c r="F26454" s="5">
        <v>204</v>
      </c>
      <c r="G26454" s="5">
        <v>101.8</v>
      </c>
      <c r="H26454" s="5">
        <v>101.7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102.4</v>
      </c>
      <c r="D26455" s="5">
        <v>0.1</v>
      </c>
      <c r="E26455" s="5">
        <v>102.5</v>
      </c>
      <c r="F26455" s="5">
        <v>204</v>
      </c>
      <c r="G26455" s="5">
        <v>101.8</v>
      </c>
      <c r="H26455" s="5">
        <v>101.7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101.4</v>
      </c>
      <c r="D26456" s="5">
        <v>0.1</v>
      </c>
      <c r="E26456" s="5">
        <v>101.5</v>
      </c>
      <c r="F26456" s="5">
        <v>203.8</v>
      </c>
      <c r="G26456" s="5">
        <v>101.6</v>
      </c>
      <c r="H26456" s="5">
        <v>101.4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101.4</v>
      </c>
      <c r="D26457" s="5">
        <v>0.1</v>
      </c>
      <c r="E26457" s="5">
        <v>101.5</v>
      </c>
      <c r="F26457" s="5">
        <v>203.8</v>
      </c>
      <c r="G26457" s="5">
        <v>101.6</v>
      </c>
      <c r="H26457" s="5">
        <v>101.4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101.2</v>
      </c>
      <c r="D26458" s="5">
        <v>0.1</v>
      </c>
      <c r="E26458" s="5">
        <v>101.3</v>
      </c>
      <c r="F26458" s="5">
        <v>202.7</v>
      </c>
      <c r="G26458" s="5">
        <v>101.1</v>
      </c>
      <c r="H26458" s="5">
        <v>101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101.2</v>
      </c>
      <c r="D26459" s="5">
        <v>0.1</v>
      </c>
      <c r="E26459" s="5">
        <v>101.3</v>
      </c>
      <c r="F26459" s="5">
        <v>202.7</v>
      </c>
      <c r="G26459" s="5">
        <v>101.1</v>
      </c>
      <c r="H26459" s="5">
        <v>101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101.5</v>
      </c>
      <c r="D26460" s="5">
        <v>0.1</v>
      </c>
      <c r="E26460" s="5">
        <v>101.6</v>
      </c>
      <c r="F26460" s="5">
        <v>203.2</v>
      </c>
      <c r="G26460" s="5">
        <v>101.3</v>
      </c>
      <c r="H26460" s="5">
        <v>101.2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101.5</v>
      </c>
      <c r="D26461" s="5">
        <v>0.1</v>
      </c>
      <c r="E26461" s="5">
        <v>101.6</v>
      </c>
      <c r="F26461" s="5">
        <v>203.2</v>
      </c>
      <c r="G26461" s="5">
        <v>101.3</v>
      </c>
      <c r="H26461" s="5">
        <v>101.2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102.6</v>
      </c>
      <c r="D26462" s="5">
        <v>0.1</v>
      </c>
      <c r="E26462" s="5">
        <v>102.7</v>
      </c>
      <c r="F26462" s="5">
        <v>204.1</v>
      </c>
      <c r="G26462" s="5">
        <v>101.9</v>
      </c>
      <c r="H26462" s="5">
        <v>101.8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102.6</v>
      </c>
      <c r="D26463" s="5">
        <v>0.1</v>
      </c>
      <c r="E26463" s="5">
        <v>102.7</v>
      </c>
      <c r="F26463" s="5">
        <v>204.1</v>
      </c>
      <c r="G26463" s="5">
        <v>101.9</v>
      </c>
      <c r="H26463" s="5">
        <v>101.8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102.6</v>
      </c>
      <c r="D26464" s="5">
        <v>0.1</v>
      </c>
      <c r="E26464" s="5">
        <v>102.7</v>
      </c>
      <c r="F26464" s="5">
        <v>204.1</v>
      </c>
      <c r="G26464" s="5">
        <v>101.9</v>
      </c>
      <c r="H26464" s="5">
        <v>101.8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102.6</v>
      </c>
      <c r="D26465" s="5">
        <v>0.1</v>
      </c>
      <c r="E26465" s="5">
        <v>102.7</v>
      </c>
      <c r="F26465" s="5">
        <v>204.1</v>
      </c>
      <c r="G26465" s="5">
        <v>101.9</v>
      </c>
      <c r="H26465" s="5">
        <v>101.8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102.4</v>
      </c>
      <c r="D26466" s="5">
        <v>0.1</v>
      </c>
      <c r="E26466" s="5">
        <v>102.4</v>
      </c>
      <c r="F26466" s="5">
        <v>204.5</v>
      </c>
      <c r="G26466" s="5">
        <v>102.1</v>
      </c>
      <c r="H26466" s="5">
        <v>101.9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102.4</v>
      </c>
      <c r="D26467" s="5">
        <v>0.1</v>
      </c>
      <c r="E26467" s="5">
        <v>102.4</v>
      </c>
      <c r="F26467" s="5">
        <v>204.5</v>
      </c>
      <c r="G26467" s="5">
        <v>102.1</v>
      </c>
      <c r="H26467" s="5">
        <v>101.9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102.5</v>
      </c>
      <c r="D26468" s="5">
        <v>0.1</v>
      </c>
      <c r="E26468" s="5">
        <v>102.7</v>
      </c>
      <c r="F26468" s="5">
        <v>204.5</v>
      </c>
      <c r="G26468" s="5">
        <v>102</v>
      </c>
      <c r="H26468" s="5">
        <v>101.9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102.5</v>
      </c>
      <c r="D26469" s="5">
        <v>0.1</v>
      </c>
      <c r="E26469" s="5">
        <v>102.7</v>
      </c>
      <c r="F26469" s="5">
        <v>204.5</v>
      </c>
      <c r="G26469" s="5">
        <v>102</v>
      </c>
      <c r="H26469" s="5">
        <v>101.9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102.6</v>
      </c>
      <c r="D26470" s="5">
        <v>0.1</v>
      </c>
      <c r="E26470" s="5">
        <v>102.7</v>
      </c>
      <c r="F26470" s="5">
        <v>204.4</v>
      </c>
      <c r="G26470" s="5">
        <v>102</v>
      </c>
      <c r="H26470" s="5">
        <v>101.9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102.7</v>
      </c>
      <c r="D26471" s="5">
        <v>0.1</v>
      </c>
      <c r="E26471" s="5">
        <v>102.8</v>
      </c>
      <c r="F26471" s="5">
        <v>204</v>
      </c>
      <c r="G26471" s="5">
        <v>102.2</v>
      </c>
      <c r="H26471" s="5">
        <v>102.3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102.7</v>
      </c>
      <c r="D26472" s="5">
        <v>0.1</v>
      </c>
      <c r="E26472" s="5">
        <v>102.8</v>
      </c>
      <c r="F26472" s="5">
        <v>204</v>
      </c>
      <c r="G26472" s="5">
        <v>102.2</v>
      </c>
      <c r="H26472" s="5">
        <v>102.3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102.1</v>
      </c>
      <c r="D26473" s="5">
        <v>0.1</v>
      </c>
      <c r="E26473" s="5">
        <v>102.3</v>
      </c>
      <c r="F26473" s="5">
        <v>203.5</v>
      </c>
      <c r="G26473" s="5">
        <v>101.5</v>
      </c>
      <c r="H26473" s="5">
        <v>101.3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102.1</v>
      </c>
      <c r="D26474" s="5">
        <v>0.1</v>
      </c>
      <c r="E26474" s="5">
        <v>102.3</v>
      </c>
      <c r="F26474" s="5">
        <v>203.5</v>
      </c>
      <c r="G26474" s="5">
        <v>101.5</v>
      </c>
      <c r="H26474" s="5">
        <v>101.3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102.7</v>
      </c>
      <c r="D26475" s="5">
        <v>0.1</v>
      </c>
      <c r="E26475" s="5">
        <v>102.9</v>
      </c>
      <c r="F26475" s="5">
        <v>205.2</v>
      </c>
      <c r="G26475" s="5">
        <v>102.4</v>
      </c>
      <c r="H26475" s="5">
        <v>102.3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102.7</v>
      </c>
      <c r="D26476" s="5">
        <v>0.1</v>
      </c>
      <c r="E26476" s="5">
        <v>102.9</v>
      </c>
      <c r="F26476" s="5">
        <v>205.2</v>
      </c>
      <c r="G26476" s="5">
        <v>102.4</v>
      </c>
      <c r="H26476" s="5">
        <v>102.3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102.7</v>
      </c>
      <c r="D26477" s="5">
        <v>0.1</v>
      </c>
      <c r="E26477" s="5">
        <v>102.9</v>
      </c>
      <c r="F26477" s="5">
        <v>205.2</v>
      </c>
      <c r="G26477" s="5">
        <v>102.4</v>
      </c>
      <c r="H26477" s="5">
        <v>102.3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102.7</v>
      </c>
      <c r="D26478" s="5">
        <v>0.1</v>
      </c>
      <c r="E26478" s="5">
        <v>102.9</v>
      </c>
      <c r="F26478" s="5">
        <v>205.2</v>
      </c>
      <c r="G26478" s="5">
        <v>102.4</v>
      </c>
      <c r="H26478" s="5">
        <v>102.3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102.7</v>
      </c>
      <c r="D26479" s="5">
        <v>0.1</v>
      </c>
      <c r="E26479" s="5">
        <v>102.9</v>
      </c>
      <c r="F26479" s="5">
        <v>205.8</v>
      </c>
      <c r="G26479" s="5">
        <v>102.6</v>
      </c>
      <c r="H26479" s="5">
        <v>102.5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102.7</v>
      </c>
      <c r="D26480" s="5">
        <v>0.1</v>
      </c>
      <c r="E26480" s="5">
        <v>102.9</v>
      </c>
      <c r="F26480" s="5">
        <v>205.8</v>
      </c>
      <c r="G26480" s="5">
        <v>102.6</v>
      </c>
      <c r="H26480" s="5">
        <v>102.5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102.9</v>
      </c>
      <c r="D26481" s="5">
        <v>0.1</v>
      </c>
      <c r="E26481" s="5">
        <v>103.1</v>
      </c>
      <c r="F26481" s="5">
        <v>204.6</v>
      </c>
      <c r="G26481" s="5">
        <v>102</v>
      </c>
      <c r="H26481" s="5">
        <v>101.9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102.9</v>
      </c>
      <c r="D26482" s="5">
        <v>0.1</v>
      </c>
      <c r="E26482" s="5">
        <v>103.1</v>
      </c>
      <c r="F26482" s="5">
        <v>204.6</v>
      </c>
      <c r="G26482" s="5">
        <v>102</v>
      </c>
      <c r="H26482" s="5">
        <v>101.9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102.8</v>
      </c>
      <c r="D26483" s="5">
        <v>0.1</v>
      </c>
      <c r="E26483" s="5">
        <v>103</v>
      </c>
      <c r="F26483" s="5">
        <v>204.8</v>
      </c>
      <c r="G26483" s="5">
        <v>102.2</v>
      </c>
      <c r="H26483" s="5">
        <v>102.1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102.8</v>
      </c>
      <c r="D26484" s="5">
        <v>0.1</v>
      </c>
      <c r="E26484" s="5">
        <v>103</v>
      </c>
      <c r="F26484" s="5">
        <v>204.8</v>
      </c>
      <c r="G26484" s="5">
        <v>102.2</v>
      </c>
      <c r="H26484" s="5">
        <v>102.1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101.7</v>
      </c>
      <c r="D26485" s="5">
        <v>0.1</v>
      </c>
      <c r="E26485" s="5">
        <v>101.8</v>
      </c>
      <c r="F26485" s="5">
        <v>204.5</v>
      </c>
      <c r="G26485" s="5">
        <v>102</v>
      </c>
      <c r="H26485" s="5">
        <v>101.8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101.7</v>
      </c>
      <c r="D26486" s="5">
        <v>0.1</v>
      </c>
      <c r="E26486" s="5">
        <v>101.8</v>
      </c>
      <c r="F26486" s="5">
        <v>204.5</v>
      </c>
      <c r="G26486" s="5">
        <v>102</v>
      </c>
      <c r="H26486" s="5">
        <v>101.8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101.7</v>
      </c>
      <c r="D26487" s="5">
        <v>0.1</v>
      </c>
      <c r="E26487" s="5">
        <v>101.8</v>
      </c>
      <c r="F26487" s="5">
        <v>204.5</v>
      </c>
      <c r="G26487" s="5">
        <v>102</v>
      </c>
      <c r="H26487" s="5">
        <v>101.8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101.7</v>
      </c>
      <c r="D26488" s="5">
        <v>0.1</v>
      </c>
      <c r="E26488" s="5">
        <v>101.8</v>
      </c>
      <c r="F26488" s="5">
        <v>204.5</v>
      </c>
      <c r="G26488" s="5">
        <v>102</v>
      </c>
      <c r="H26488" s="5">
        <v>101.8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103.1</v>
      </c>
      <c r="D26489" s="5">
        <v>0.1</v>
      </c>
      <c r="E26489" s="5">
        <v>103.1</v>
      </c>
      <c r="F26489" s="5">
        <v>205.2</v>
      </c>
      <c r="G26489" s="5">
        <v>102.4</v>
      </c>
      <c r="H26489" s="5">
        <v>102.2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103.1</v>
      </c>
      <c r="D26490" s="5">
        <v>0.1</v>
      </c>
      <c r="E26490" s="5">
        <v>103.1</v>
      </c>
      <c r="F26490" s="5">
        <v>205.2</v>
      </c>
      <c r="G26490" s="5">
        <v>102.4</v>
      </c>
      <c r="H26490" s="5">
        <v>102.2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102.1</v>
      </c>
      <c r="D26491" s="5">
        <v>0.1</v>
      </c>
      <c r="E26491" s="5">
        <v>102.3</v>
      </c>
      <c r="F26491" s="5">
        <v>203.3</v>
      </c>
      <c r="G26491" s="5">
        <v>101.5</v>
      </c>
      <c r="H26491" s="5">
        <v>101.3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102.1</v>
      </c>
      <c r="D26492" s="5">
        <v>0.1</v>
      </c>
      <c r="E26492" s="5">
        <v>102.3</v>
      </c>
      <c r="F26492" s="5">
        <v>203.3</v>
      </c>
      <c r="G26492" s="5">
        <v>101.5</v>
      </c>
      <c r="H26492" s="5">
        <v>101.3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101.1</v>
      </c>
      <c r="D26493" s="5">
        <v>0.1</v>
      </c>
      <c r="E26493" s="5">
        <v>101.2</v>
      </c>
      <c r="F26493" s="5">
        <v>199.5</v>
      </c>
      <c r="G26493" s="5">
        <v>99.7</v>
      </c>
      <c r="H26493" s="5">
        <v>98.9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101.1</v>
      </c>
      <c r="D26494" s="5">
        <v>0.1</v>
      </c>
      <c r="E26494" s="5">
        <v>101.2</v>
      </c>
      <c r="F26494" s="5">
        <v>199.5</v>
      </c>
      <c r="G26494" s="5">
        <v>99.7</v>
      </c>
      <c r="H26494" s="5">
        <v>98.9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97.2</v>
      </c>
      <c r="D26495" s="5">
        <v>0.1</v>
      </c>
      <c r="E26495" s="5">
        <v>97.3</v>
      </c>
      <c r="F26495" s="5">
        <v>193.4</v>
      </c>
      <c r="G26495" s="5">
        <v>96.4</v>
      </c>
      <c r="H26495" s="5">
        <v>96.3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97.2</v>
      </c>
      <c r="D26496" s="5">
        <v>0.1</v>
      </c>
      <c r="E26496" s="5">
        <v>97.3</v>
      </c>
      <c r="F26496" s="5">
        <v>193.4</v>
      </c>
      <c r="G26496" s="5">
        <v>96.4</v>
      </c>
      <c r="H26496" s="5">
        <v>96.3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97.2</v>
      </c>
      <c r="D26497" s="5">
        <v>0.1</v>
      </c>
      <c r="E26497" s="5">
        <v>97.3</v>
      </c>
      <c r="F26497" s="5">
        <v>193.4</v>
      </c>
      <c r="G26497" s="5">
        <v>96.4</v>
      </c>
      <c r="H26497" s="5">
        <v>96.3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97.2</v>
      </c>
      <c r="D26498" s="5">
        <v>0.1</v>
      </c>
      <c r="E26498" s="5">
        <v>97.3</v>
      </c>
      <c r="F26498" s="5">
        <v>193.4</v>
      </c>
      <c r="G26498" s="5">
        <v>96.4</v>
      </c>
      <c r="H26498" s="5">
        <v>96.3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101.9</v>
      </c>
      <c r="D26499" s="5">
        <v>0.1</v>
      </c>
      <c r="E26499" s="5">
        <v>102.1</v>
      </c>
      <c r="F26499" s="5">
        <v>202.5</v>
      </c>
      <c r="G26499" s="5">
        <v>101.1</v>
      </c>
      <c r="H26499" s="5">
        <v>101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101.9</v>
      </c>
      <c r="D26500" s="5">
        <v>0.1</v>
      </c>
      <c r="E26500" s="5">
        <v>102.1</v>
      </c>
      <c r="F26500" s="5">
        <v>202.5</v>
      </c>
      <c r="G26500" s="5">
        <v>101.1</v>
      </c>
      <c r="H26500" s="5">
        <v>101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99.1</v>
      </c>
      <c r="D26501" s="5">
        <v>0.1</v>
      </c>
      <c r="E26501" s="5">
        <v>99.2</v>
      </c>
      <c r="F26501" s="5">
        <v>193.9</v>
      </c>
      <c r="G26501" s="5">
        <v>96.7</v>
      </c>
      <c r="H26501" s="5">
        <v>96.7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99.1</v>
      </c>
      <c r="D26502" s="5">
        <v>0.1</v>
      </c>
      <c r="E26502" s="5">
        <v>99.2</v>
      </c>
      <c r="F26502" s="5">
        <v>193.9</v>
      </c>
      <c r="G26502" s="5">
        <v>96.7</v>
      </c>
      <c r="H26502" s="5">
        <v>96.7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95.9</v>
      </c>
      <c r="D26503" s="5">
        <v>0.1</v>
      </c>
      <c r="E26503" s="5">
        <v>96</v>
      </c>
      <c r="F26503" s="5">
        <v>201</v>
      </c>
      <c r="G26503" s="5">
        <v>100</v>
      </c>
      <c r="H26503" s="5">
        <v>99.2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95.9</v>
      </c>
      <c r="D26504" s="5">
        <v>0.1</v>
      </c>
      <c r="E26504" s="5">
        <v>96</v>
      </c>
      <c r="F26504" s="5">
        <v>201</v>
      </c>
      <c r="G26504" s="5">
        <v>100</v>
      </c>
      <c r="H26504" s="5">
        <v>99.2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101.6</v>
      </c>
      <c r="D26505" s="5">
        <v>0.1</v>
      </c>
      <c r="E26505" s="5">
        <v>101.7</v>
      </c>
      <c r="F26505" s="5">
        <v>194.3</v>
      </c>
      <c r="G26505" s="5">
        <v>97</v>
      </c>
      <c r="H26505" s="5">
        <v>97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101.6</v>
      </c>
      <c r="D26506" s="5">
        <v>0.1</v>
      </c>
      <c r="E26506" s="5">
        <v>101.7</v>
      </c>
      <c r="F26506" s="5">
        <v>194.3</v>
      </c>
      <c r="G26506" s="5">
        <v>97</v>
      </c>
      <c r="H26506" s="5">
        <v>97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101.6</v>
      </c>
      <c r="D26507" s="5">
        <v>0.1</v>
      </c>
      <c r="E26507" s="5">
        <v>101.7</v>
      </c>
      <c r="F26507" s="5">
        <v>194.3</v>
      </c>
      <c r="G26507" s="5">
        <v>97</v>
      </c>
      <c r="H26507" s="5">
        <v>97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101.6</v>
      </c>
      <c r="D26508" s="5">
        <v>0.1</v>
      </c>
      <c r="E26508" s="5">
        <v>101.7</v>
      </c>
      <c r="F26508" s="5">
        <v>194.3</v>
      </c>
      <c r="G26508" s="5">
        <v>97</v>
      </c>
      <c r="H26508" s="5">
        <v>97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101.8</v>
      </c>
      <c r="D26509" s="5">
        <v>0.1</v>
      </c>
      <c r="E26509" s="5">
        <v>101.8</v>
      </c>
      <c r="F26509" s="5">
        <v>203.4</v>
      </c>
      <c r="G26509" s="5">
        <v>101.4</v>
      </c>
      <c r="H26509" s="5">
        <v>101.3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101.8</v>
      </c>
      <c r="D26510" s="5">
        <v>0.1</v>
      </c>
      <c r="E26510" s="5">
        <v>101.8</v>
      </c>
      <c r="F26510" s="5">
        <v>203.4</v>
      </c>
      <c r="G26510" s="5">
        <v>101.4</v>
      </c>
      <c r="H26510" s="5">
        <v>101.3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101.2</v>
      </c>
      <c r="D26511" s="5">
        <v>0.1</v>
      </c>
      <c r="E26511" s="5">
        <v>101.4</v>
      </c>
      <c r="F26511" s="5">
        <v>201.8</v>
      </c>
      <c r="G26511" s="5">
        <v>100.7</v>
      </c>
      <c r="H26511" s="5">
        <v>100.6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101.2</v>
      </c>
      <c r="D26512" s="5">
        <v>0.1</v>
      </c>
      <c r="E26512" s="5">
        <v>101.4</v>
      </c>
      <c r="F26512" s="5">
        <v>201.8</v>
      </c>
      <c r="G26512" s="5">
        <v>100.7</v>
      </c>
      <c r="H26512" s="5">
        <v>100.6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101.4</v>
      </c>
      <c r="D26513" s="5">
        <v>0.1</v>
      </c>
      <c r="E26513" s="5">
        <v>101.5</v>
      </c>
      <c r="F26513" s="5">
        <v>202.3</v>
      </c>
      <c r="G26513" s="5">
        <v>101</v>
      </c>
      <c r="H26513" s="5">
        <v>100.9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0</v>
      </c>
      <c r="D26514" s="5">
        <v>101.4</v>
      </c>
      <c r="E26514" s="5">
        <v>101.5</v>
      </c>
      <c r="F26514" s="5">
        <v>202.3</v>
      </c>
      <c r="G26514" s="5">
        <v>101</v>
      </c>
      <c r="H26514" s="5">
        <v>100.9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101.3</v>
      </c>
      <c r="D26515" s="5">
        <v>0.1</v>
      </c>
      <c r="E26515" s="5">
        <v>101.5</v>
      </c>
      <c r="F26515" s="5">
        <v>202.3</v>
      </c>
      <c r="G26515" s="5">
        <v>100.9</v>
      </c>
      <c r="H26515" s="5">
        <v>100.8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101.3</v>
      </c>
      <c r="D26516" s="5">
        <v>0.1</v>
      </c>
      <c r="E26516" s="5">
        <v>101.5</v>
      </c>
      <c r="F26516" s="5">
        <v>202.3</v>
      </c>
      <c r="G26516" s="5">
        <v>100.9</v>
      </c>
      <c r="H26516" s="5">
        <v>100.8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101.3</v>
      </c>
      <c r="D26517" s="5">
        <v>0.1</v>
      </c>
      <c r="E26517" s="5">
        <v>101.5</v>
      </c>
      <c r="F26517" s="5">
        <v>202.3</v>
      </c>
      <c r="G26517" s="5">
        <v>100.9</v>
      </c>
      <c r="H26517" s="5">
        <v>100.8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102.1</v>
      </c>
      <c r="D26518" s="5">
        <v>0.1</v>
      </c>
      <c r="E26518" s="5">
        <v>102.2</v>
      </c>
      <c r="F26518" s="5">
        <v>203.1</v>
      </c>
      <c r="G26518" s="5">
        <v>101.3</v>
      </c>
      <c r="H26518" s="5">
        <v>101.2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102.1</v>
      </c>
      <c r="D26519" s="5">
        <v>0.1</v>
      </c>
      <c r="E26519" s="5">
        <v>102.2</v>
      </c>
      <c r="F26519" s="5">
        <v>203.1</v>
      </c>
      <c r="G26519" s="5">
        <v>101.3</v>
      </c>
      <c r="H26519" s="5">
        <v>101.2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97.8</v>
      </c>
      <c r="D26520" s="5">
        <v>0.1</v>
      </c>
      <c r="E26520" s="5">
        <v>98</v>
      </c>
      <c r="F26520" s="5">
        <v>192.5</v>
      </c>
      <c r="G26520" s="5">
        <v>96.2</v>
      </c>
      <c r="H26520" s="5">
        <v>96.1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97.8</v>
      </c>
      <c r="D26521" s="5">
        <v>0.1</v>
      </c>
      <c r="E26521" s="5">
        <v>98</v>
      </c>
      <c r="F26521" s="5">
        <v>192.5</v>
      </c>
      <c r="G26521" s="5">
        <v>96.2</v>
      </c>
      <c r="H26521" s="5">
        <v>96.1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97.8</v>
      </c>
      <c r="D26522" s="5">
        <v>0.1</v>
      </c>
      <c r="E26522" s="5">
        <v>99.7</v>
      </c>
      <c r="F26522" s="5">
        <v>193.9</v>
      </c>
      <c r="G26522" s="5">
        <v>96.7</v>
      </c>
      <c r="H26522" s="5">
        <v>96.3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99.5</v>
      </c>
      <c r="D26523" s="5">
        <v>0.1</v>
      </c>
      <c r="E26523" s="5">
        <v>99.7</v>
      </c>
      <c r="F26523" s="5">
        <v>193.9</v>
      </c>
      <c r="G26523" s="5">
        <v>96.7</v>
      </c>
      <c r="H26523" s="5">
        <v>96.3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99.5</v>
      </c>
      <c r="D26524" s="5">
        <v>0.1</v>
      </c>
      <c r="E26524" s="5">
        <v>99.7</v>
      </c>
      <c r="F26524" s="5">
        <v>194.1</v>
      </c>
      <c r="G26524" s="5">
        <v>96.8</v>
      </c>
      <c r="H26524" s="5">
        <v>96.6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97.3</v>
      </c>
      <c r="D26525" s="5">
        <v>0.1</v>
      </c>
      <c r="E26525" s="5">
        <v>97.5</v>
      </c>
      <c r="F26525" s="5">
        <v>194.1</v>
      </c>
      <c r="G26525" s="5">
        <v>96.8</v>
      </c>
      <c r="H26525" s="5">
        <v>96.6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97.3</v>
      </c>
      <c r="D26526" s="5">
        <v>0.1</v>
      </c>
      <c r="E26526" s="5">
        <v>97.5</v>
      </c>
      <c r="F26526" s="5">
        <v>194.1</v>
      </c>
      <c r="G26526" s="5">
        <v>96.8</v>
      </c>
      <c r="H26526" s="5">
        <v>96.6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97.3</v>
      </c>
      <c r="D26527" s="5">
        <v>0.1</v>
      </c>
      <c r="E26527" s="5">
        <v>97.5</v>
      </c>
      <c r="F26527" s="5">
        <v>194.1</v>
      </c>
      <c r="G26527" s="5">
        <v>96.8</v>
      </c>
      <c r="H26527" s="5">
        <v>96.6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97.5</v>
      </c>
      <c r="D26528" s="5">
        <v>0.1</v>
      </c>
      <c r="E26528" s="5">
        <v>97.6</v>
      </c>
      <c r="F26528" s="5">
        <v>194.9</v>
      </c>
      <c r="G26528" s="5">
        <v>96.8</v>
      </c>
      <c r="H26528" s="5">
        <v>96.6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97.5</v>
      </c>
      <c r="D26529" s="5">
        <v>0.1</v>
      </c>
      <c r="E26529" s="5">
        <v>97.6</v>
      </c>
      <c r="F26529" s="5">
        <v>194.9</v>
      </c>
      <c r="G26529" s="5">
        <v>97.4</v>
      </c>
      <c r="H26529" s="5">
        <v>97.4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97.3</v>
      </c>
      <c r="D26530" s="5">
        <v>0.1</v>
      </c>
      <c r="E26530" s="5">
        <v>97.6</v>
      </c>
      <c r="F26530" s="5">
        <v>194.9</v>
      </c>
      <c r="G26530" s="5">
        <v>97.4</v>
      </c>
      <c r="H26530" s="5">
        <v>97.4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97.3</v>
      </c>
      <c r="D26531" s="5">
        <v>0.1</v>
      </c>
      <c r="E26531" s="5">
        <v>97.4</v>
      </c>
      <c r="F26531" s="5">
        <v>194.6</v>
      </c>
      <c r="G26531" s="5">
        <v>97.1</v>
      </c>
      <c r="H26531" s="5">
        <v>97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97.3</v>
      </c>
      <c r="D26532" s="5">
        <v>0.1</v>
      </c>
      <c r="E26532" s="5">
        <v>97.4</v>
      </c>
      <c r="F26532" s="5">
        <v>194.6</v>
      </c>
      <c r="G26532" s="5">
        <v>97.1</v>
      </c>
      <c r="H26532" s="5">
        <v>97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94.8</v>
      </c>
      <c r="D26533" s="5">
        <v>0.1</v>
      </c>
      <c r="E26533" s="5">
        <v>95</v>
      </c>
      <c r="F26533" s="5">
        <v>189.4</v>
      </c>
      <c r="G26533" s="5">
        <v>94.5</v>
      </c>
      <c r="H26533" s="5">
        <v>94.3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94.8</v>
      </c>
      <c r="D26534" s="5">
        <v>0.1</v>
      </c>
      <c r="E26534" s="5">
        <v>95</v>
      </c>
      <c r="F26534" s="5">
        <v>189.4</v>
      </c>
      <c r="G26534" s="5">
        <v>94.5</v>
      </c>
      <c r="H26534" s="5">
        <v>94.3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96.7</v>
      </c>
      <c r="D26535" s="5">
        <v>0.1</v>
      </c>
      <c r="E26535" s="5">
        <v>96.8</v>
      </c>
      <c r="F26535" s="5">
        <v>192.6</v>
      </c>
      <c r="G26535" s="5">
        <v>96.1</v>
      </c>
      <c r="H26535" s="5">
        <v>95.9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96.7</v>
      </c>
      <c r="D26536" s="5">
        <v>0.1</v>
      </c>
      <c r="E26536" s="5">
        <v>96.8</v>
      </c>
      <c r="F26536" s="5">
        <v>192.6</v>
      </c>
      <c r="G26536" s="5">
        <v>96.1</v>
      </c>
      <c r="H26536" s="5">
        <v>95.9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96.7</v>
      </c>
      <c r="D26537" s="5">
        <v>0.1</v>
      </c>
      <c r="E26537" s="5">
        <v>96.8</v>
      </c>
      <c r="F26537" s="5">
        <v>192.6</v>
      </c>
      <c r="G26537" s="5">
        <v>96.1</v>
      </c>
      <c r="H26537" s="5">
        <v>95.9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96.7</v>
      </c>
      <c r="D26538" s="5">
        <v>0.1</v>
      </c>
      <c r="E26538" s="5">
        <v>96.8</v>
      </c>
      <c r="F26538" s="5">
        <v>192.6</v>
      </c>
      <c r="G26538" s="5">
        <v>96.1</v>
      </c>
      <c r="H26538" s="5">
        <v>95.9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96.7</v>
      </c>
      <c r="D26539" s="5">
        <v>0.1</v>
      </c>
      <c r="E26539" s="5">
        <v>96.8</v>
      </c>
      <c r="F26539" s="5">
        <v>192.6</v>
      </c>
      <c r="G26539" s="5">
        <v>96.1</v>
      </c>
      <c r="H26539" s="5">
        <v>95.9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96.7</v>
      </c>
      <c r="D26540" s="5">
        <v>0.1</v>
      </c>
      <c r="E26540" s="5">
        <v>96.8</v>
      </c>
      <c r="F26540" s="5">
        <v>192.6</v>
      </c>
      <c r="G26540" s="5">
        <v>96.1</v>
      </c>
      <c r="H26540" s="5">
        <v>95.9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96.1</v>
      </c>
      <c r="D26541" s="5">
        <v>0.1</v>
      </c>
      <c r="E26541" s="5">
        <v>96.3</v>
      </c>
      <c r="F26541" s="5">
        <v>191.5</v>
      </c>
      <c r="G26541" s="5">
        <v>95.4</v>
      </c>
      <c r="H26541" s="5">
        <v>95.1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96.1</v>
      </c>
      <c r="D26542" s="5">
        <v>0.1</v>
      </c>
      <c r="E26542" s="5">
        <v>96.3</v>
      </c>
      <c r="F26542" s="5">
        <v>191.5</v>
      </c>
      <c r="G26542" s="5">
        <v>95.4</v>
      </c>
      <c r="H26542" s="5">
        <v>95.1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96</v>
      </c>
      <c r="D26543" s="5">
        <v>0.1</v>
      </c>
      <c r="E26543" s="5">
        <v>96.1</v>
      </c>
      <c r="F26543" s="5">
        <v>192.4</v>
      </c>
      <c r="G26543" s="5">
        <v>96</v>
      </c>
      <c r="H26543" s="5">
        <v>95.7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96</v>
      </c>
      <c r="D26544" s="5">
        <v>0.1</v>
      </c>
      <c r="E26544" s="5">
        <v>96.1</v>
      </c>
      <c r="F26544" s="5">
        <v>192.4</v>
      </c>
      <c r="G26544" s="5">
        <v>96</v>
      </c>
      <c r="H26544" s="5">
        <v>95.7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101.1</v>
      </c>
      <c r="D26545" s="5">
        <v>0.1</v>
      </c>
      <c r="E26545" s="5">
        <v>101.2</v>
      </c>
      <c r="F26545" s="5">
        <v>201</v>
      </c>
      <c r="G26545" s="5">
        <v>100.3</v>
      </c>
      <c r="H26545" s="5">
        <v>100.2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101.1</v>
      </c>
      <c r="D26546" s="5">
        <v>0.1</v>
      </c>
      <c r="E26546" s="5">
        <v>101.2</v>
      </c>
      <c r="F26546" s="5">
        <v>201</v>
      </c>
      <c r="G26546" s="5">
        <v>100.3</v>
      </c>
      <c r="H26546" s="5">
        <v>100.2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101.1</v>
      </c>
      <c r="D26547" s="5">
        <v>0.1</v>
      </c>
      <c r="E26547" s="5">
        <v>101.2</v>
      </c>
      <c r="F26547" s="5">
        <v>201</v>
      </c>
      <c r="G26547" s="5">
        <v>100.3</v>
      </c>
      <c r="H26547" s="5">
        <v>100.2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97</v>
      </c>
      <c r="D26548" s="5">
        <v>0.1</v>
      </c>
      <c r="E26548" s="5">
        <v>97.1</v>
      </c>
      <c r="F26548" s="5">
        <v>194.5</v>
      </c>
      <c r="G26548" s="5">
        <v>97.1</v>
      </c>
      <c r="H26548" s="5">
        <v>97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97</v>
      </c>
      <c r="D26549" s="5">
        <v>0.1</v>
      </c>
      <c r="E26549" s="5">
        <v>97.1</v>
      </c>
      <c r="F26549" s="5">
        <v>194.5</v>
      </c>
      <c r="G26549" s="5">
        <v>97.1</v>
      </c>
      <c r="H26549" s="5">
        <v>97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103.5</v>
      </c>
      <c r="D26550" s="5">
        <v>0.1</v>
      </c>
      <c r="E26550" s="5">
        <v>103.7</v>
      </c>
      <c r="F26550" s="5">
        <v>206.8</v>
      </c>
      <c r="G26550" s="5">
        <v>103.2</v>
      </c>
      <c r="H26550" s="5">
        <v>103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103.5</v>
      </c>
      <c r="D26551" s="5">
        <v>0.1</v>
      </c>
      <c r="E26551" s="5">
        <v>103.7</v>
      </c>
      <c r="F26551" s="5">
        <v>206.8</v>
      </c>
      <c r="G26551" s="5">
        <v>103.2</v>
      </c>
      <c r="H26551" s="5">
        <v>103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103.1</v>
      </c>
      <c r="D26552" s="5">
        <v>0.1</v>
      </c>
      <c r="E26552" s="5">
        <v>103.3</v>
      </c>
      <c r="F26552" s="5">
        <v>206.2</v>
      </c>
      <c r="G26552" s="5">
        <v>102.9</v>
      </c>
      <c r="H26552" s="5">
        <v>102.7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103.1</v>
      </c>
      <c r="D26553" s="5">
        <v>0.1</v>
      </c>
      <c r="E26553" s="5">
        <v>103.3</v>
      </c>
      <c r="F26553" s="5">
        <v>206.2</v>
      </c>
      <c r="G26553" s="5">
        <v>102.9</v>
      </c>
      <c r="H26553" s="5">
        <v>102.7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102.8</v>
      </c>
      <c r="D26554" s="5">
        <v>0.1</v>
      </c>
      <c r="E26554" s="5">
        <v>103</v>
      </c>
      <c r="F26554" s="5">
        <v>205.3</v>
      </c>
      <c r="G26554" s="5">
        <v>102.4</v>
      </c>
      <c r="H26554" s="5">
        <v>102.3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102.8</v>
      </c>
      <c r="D26555" s="5">
        <v>0.1</v>
      </c>
      <c r="E26555" s="5">
        <v>103</v>
      </c>
      <c r="F26555" s="5">
        <v>205.3</v>
      </c>
      <c r="G26555" s="5">
        <v>102.4</v>
      </c>
      <c r="H26555" s="5">
        <v>102.3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102.8</v>
      </c>
      <c r="D26556" s="5">
        <v>0.1</v>
      </c>
      <c r="E26556" s="5">
        <v>103</v>
      </c>
      <c r="F26556" s="5">
        <v>205.3</v>
      </c>
      <c r="G26556" s="5">
        <v>102.4</v>
      </c>
      <c r="H26556" s="5">
        <v>102.3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102.8</v>
      </c>
      <c r="D26557" s="5">
        <v>0.1</v>
      </c>
      <c r="E26557" s="5">
        <v>103</v>
      </c>
      <c r="F26557" s="5">
        <v>205.3</v>
      </c>
      <c r="G26557" s="5">
        <v>102.4</v>
      </c>
      <c r="H26557" s="5">
        <v>102.3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102.6</v>
      </c>
      <c r="D26558" s="5">
        <v>0.1</v>
      </c>
      <c r="E26558" s="5">
        <v>102.7</v>
      </c>
      <c r="F26558" s="5">
        <v>204.6</v>
      </c>
      <c r="G26558" s="5">
        <v>102.1</v>
      </c>
      <c r="H26558" s="5">
        <v>101.9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104.4</v>
      </c>
      <c r="D26559" s="5">
        <v>0.1</v>
      </c>
      <c r="E26559" s="5">
        <v>104.6</v>
      </c>
      <c r="F26559" s="5">
        <v>200.8</v>
      </c>
      <c r="G26559" s="5">
        <v>100.4</v>
      </c>
      <c r="H26559" s="5">
        <v>103.4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104.4</v>
      </c>
      <c r="D26560" s="5">
        <v>0.1</v>
      </c>
      <c r="E26560" s="5">
        <v>104.6</v>
      </c>
      <c r="F26560" s="5">
        <v>200.8</v>
      </c>
      <c r="G26560" s="5">
        <v>100.4</v>
      </c>
      <c r="H26560" s="5">
        <v>103.4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98.6</v>
      </c>
      <c r="D26561" s="5">
        <v>0.1</v>
      </c>
      <c r="E26561" s="5">
        <v>98.7</v>
      </c>
      <c r="F26561" s="5">
        <v>196</v>
      </c>
      <c r="G26561" s="5">
        <v>99.1</v>
      </c>
      <c r="H26561" s="5">
        <v>101.1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98.6</v>
      </c>
      <c r="D26562" s="5">
        <v>0.1</v>
      </c>
      <c r="E26562" s="5">
        <v>98.7</v>
      </c>
      <c r="F26562" s="5">
        <v>196</v>
      </c>
      <c r="G26562" s="5">
        <v>99.1</v>
      </c>
      <c r="H26562" s="5">
        <v>101.1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104.1</v>
      </c>
      <c r="D26563" s="5">
        <v>0.1</v>
      </c>
      <c r="E26563" s="5">
        <v>104.3</v>
      </c>
      <c r="F26563" s="5">
        <v>197.4</v>
      </c>
      <c r="G26563" s="5">
        <v>98.3</v>
      </c>
      <c r="H26563" s="5">
        <v>99.8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104.1</v>
      </c>
      <c r="D26564" s="5">
        <v>0.1</v>
      </c>
      <c r="E26564" s="5">
        <v>104.3</v>
      </c>
      <c r="F26564" s="5">
        <v>197.4</v>
      </c>
      <c r="G26564" s="5">
        <v>98.3</v>
      </c>
      <c r="H26564" s="5">
        <v>99.8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104.1</v>
      </c>
      <c r="D26565" s="5">
        <v>0.1</v>
      </c>
      <c r="E26565" s="5">
        <v>104.3</v>
      </c>
      <c r="F26565" s="5">
        <v>197.4</v>
      </c>
      <c r="G26565" s="5">
        <v>98.3</v>
      </c>
      <c r="H26565" s="5">
        <v>99.8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104.1</v>
      </c>
      <c r="D26566" s="5">
        <v>0.1</v>
      </c>
      <c r="E26566" s="5">
        <v>104.3</v>
      </c>
      <c r="F26566" s="5">
        <v>197.4</v>
      </c>
      <c r="G26566" s="5">
        <v>98.3</v>
      </c>
      <c r="H26566" s="5">
        <v>99.8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104.1</v>
      </c>
      <c r="D26567" s="5">
        <v>0.1</v>
      </c>
      <c r="E26567" s="5">
        <v>104.3</v>
      </c>
      <c r="F26567" s="5">
        <v>207.3</v>
      </c>
      <c r="G26567" s="5">
        <v>103.5</v>
      </c>
      <c r="H26567" s="5">
        <v>103.3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104.1</v>
      </c>
      <c r="D26568" s="5">
        <v>0.1</v>
      </c>
      <c r="E26568" s="5">
        <v>104.3</v>
      </c>
      <c r="F26568" s="5">
        <v>207.3</v>
      </c>
      <c r="G26568" s="5">
        <v>103.5</v>
      </c>
      <c r="H26568" s="5">
        <v>103.3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99.3</v>
      </c>
      <c r="D26569" s="5">
        <v>0.1</v>
      </c>
      <c r="E26569" s="5">
        <v>99.4</v>
      </c>
      <c r="F26569" s="5">
        <v>196.7</v>
      </c>
      <c r="G26569" s="5">
        <v>98.1</v>
      </c>
      <c r="H26569" s="5">
        <v>97.8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99.3</v>
      </c>
      <c r="D26570" s="5">
        <v>0.1</v>
      </c>
      <c r="E26570" s="5">
        <v>99.4</v>
      </c>
      <c r="F26570" s="5">
        <v>196.7</v>
      </c>
      <c r="G26570" s="5">
        <v>98.1</v>
      </c>
      <c r="H26570" s="5">
        <v>97.8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99.7</v>
      </c>
      <c r="D26571" s="5">
        <v>0.1</v>
      </c>
      <c r="E26571" s="5">
        <v>99.9</v>
      </c>
      <c r="F26571" s="5">
        <v>196.5</v>
      </c>
      <c r="G26571" s="5">
        <v>98</v>
      </c>
      <c r="H26571" s="5">
        <v>97.8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99.7</v>
      </c>
      <c r="D26572" s="5">
        <v>0.1</v>
      </c>
      <c r="E26572" s="5">
        <v>99.9</v>
      </c>
      <c r="F26572" s="5">
        <v>196.5</v>
      </c>
      <c r="G26572" s="5">
        <v>98</v>
      </c>
      <c r="H26572" s="5">
        <v>97.8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97.6</v>
      </c>
      <c r="D26573" s="5">
        <v>0.1</v>
      </c>
      <c r="E26573" s="5">
        <v>97.8</v>
      </c>
      <c r="F26573" s="5">
        <v>197.3</v>
      </c>
      <c r="G26573" s="5">
        <v>98.4</v>
      </c>
      <c r="H26573" s="5">
        <v>98.2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97.6</v>
      </c>
      <c r="D26574" s="5">
        <v>0.1</v>
      </c>
      <c r="E26574" s="5">
        <v>97.8</v>
      </c>
      <c r="F26574" s="5">
        <v>197.3</v>
      </c>
      <c r="G26574" s="5">
        <v>98.4</v>
      </c>
      <c r="H26574" s="5">
        <v>98.2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97.6</v>
      </c>
      <c r="D26575" s="5">
        <v>0.1</v>
      </c>
      <c r="E26575" s="5">
        <v>97.8</v>
      </c>
      <c r="F26575" s="5">
        <v>197.3</v>
      </c>
      <c r="G26575" s="5">
        <v>98.4</v>
      </c>
      <c r="H26575" s="5">
        <v>98.2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97.6</v>
      </c>
      <c r="D26576" s="5">
        <v>0.1</v>
      </c>
      <c r="E26576" s="5">
        <v>97.8</v>
      </c>
      <c r="F26576" s="5">
        <v>197.3</v>
      </c>
      <c r="G26576" s="5">
        <v>98.4</v>
      </c>
      <c r="H26576" s="5">
        <v>98.2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102.5</v>
      </c>
      <c r="D26577" s="5">
        <v>0.1</v>
      </c>
      <c r="E26577" s="5">
        <v>102.6</v>
      </c>
      <c r="F26577" s="5">
        <v>206.9</v>
      </c>
      <c r="G26577" s="5">
        <v>102.9</v>
      </c>
      <c r="H26577" s="5">
        <v>102.5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102.5</v>
      </c>
      <c r="D26578" s="5">
        <v>0.1</v>
      </c>
      <c r="E26578" s="5">
        <v>102.6</v>
      </c>
      <c r="F26578" s="5">
        <v>206.9</v>
      </c>
      <c r="G26578" s="5">
        <v>102.9</v>
      </c>
      <c r="H26578" s="5">
        <v>102.5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104.3</v>
      </c>
      <c r="D26579" s="5">
        <v>0.1</v>
      </c>
      <c r="E26579" s="5">
        <v>104.4</v>
      </c>
      <c r="F26579" s="5">
        <v>204.8</v>
      </c>
      <c r="G26579" s="5">
        <v>102.4</v>
      </c>
      <c r="H26579" s="5">
        <v>102.4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104.3</v>
      </c>
      <c r="D26580" s="5">
        <v>0.1</v>
      </c>
      <c r="E26580" s="5">
        <v>104.4</v>
      </c>
      <c r="F26580" s="5">
        <v>204.8</v>
      </c>
      <c r="G26580" s="5">
        <v>102.4</v>
      </c>
      <c r="H26580" s="5">
        <v>102.4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100.5</v>
      </c>
      <c r="D26581" s="5">
        <v>0.1</v>
      </c>
      <c r="E26581" s="5">
        <v>100.6</v>
      </c>
      <c r="F26581" s="5">
        <v>199.5</v>
      </c>
      <c r="G26581" s="5">
        <v>99.6</v>
      </c>
      <c r="H26581" s="5">
        <v>99.4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100.5</v>
      </c>
      <c r="D26582" s="5">
        <v>0.1</v>
      </c>
      <c r="E26582" s="5">
        <v>100.6</v>
      </c>
      <c r="F26582" s="5">
        <v>199.5</v>
      </c>
      <c r="G26582" s="5">
        <v>99.6</v>
      </c>
      <c r="H26582" s="5">
        <v>99.4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98.6</v>
      </c>
      <c r="D26583" s="5">
        <v>0.1</v>
      </c>
      <c r="E26583" s="5">
        <v>98.7</v>
      </c>
      <c r="F26583" s="5">
        <v>196.8</v>
      </c>
      <c r="G26583" s="5">
        <v>98.3</v>
      </c>
      <c r="H26583" s="5">
        <v>98.2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98.6</v>
      </c>
      <c r="D26584" s="5">
        <v>0.1</v>
      </c>
      <c r="E26584" s="5">
        <v>98.7</v>
      </c>
      <c r="F26584" s="5">
        <v>196.8</v>
      </c>
      <c r="G26584" s="5">
        <v>98.3</v>
      </c>
      <c r="H26584" s="5">
        <v>98.2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98.6</v>
      </c>
      <c r="D26585" s="5">
        <v>0.1</v>
      </c>
      <c r="E26585" s="5">
        <v>98.7</v>
      </c>
      <c r="F26585" s="5">
        <v>196.8</v>
      </c>
      <c r="G26585" s="5">
        <v>98.3</v>
      </c>
      <c r="H26585" s="5">
        <v>98.2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98.6</v>
      </c>
      <c r="D26586" s="5">
        <v>0.1</v>
      </c>
      <c r="E26586" s="5">
        <v>98.7</v>
      </c>
      <c r="F26586" s="5">
        <v>196.8</v>
      </c>
      <c r="G26586" s="5">
        <v>98.3</v>
      </c>
      <c r="H26586" s="5">
        <v>98.2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100</v>
      </c>
      <c r="D26587" s="5">
        <v>0.1</v>
      </c>
      <c r="E26587" s="5">
        <v>100.2</v>
      </c>
      <c r="F26587" s="5">
        <v>197.3</v>
      </c>
      <c r="G26587" s="5">
        <v>98.6</v>
      </c>
      <c r="H26587" s="5">
        <v>98.6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100</v>
      </c>
      <c r="D26588" s="5">
        <v>0.1</v>
      </c>
      <c r="E26588" s="5">
        <v>100.2</v>
      </c>
      <c r="F26588" s="5">
        <v>197.3</v>
      </c>
      <c r="G26588" s="5">
        <v>98.6</v>
      </c>
      <c r="H26588" s="5">
        <v>98.6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104.3</v>
      </c>
      <c r="D26589" s="5">
        <v>0.1</v>
      </c>
      <c r="E26589" s="5">
        <v>104.5</v>
      </c>
      <c r="F26589" s="5">
        <v>208.5</v>
      </c>
      <c r="G26589" s="5">
        <v>104.1</v>
      </c>
      <c r="H26589" s="5">
        <v>103.9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104.3</v>
      </c>
      <c r="D26590" s="5">
        <v>0.1</v>
      </c>
      <c r="E26590" s="5">
        <v>104.5</v>
      </c>
      <c r="F26590" s="5">
        <v>208.5</v>
      </c>
      <c r="G26590" s="5">
        <v>104.1</v>
      </c>
      <c r="H26590" s="5">
        <v>103.9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104.7</v>
      </c>
      <c r="D26591" s="5">
        <v>0.1</v>
      </c>
      <c r="E26591" s="5">
        <v>104.9</v>
      </c>
      <c r="F26591" s="5">
        <v>207.6</v>
      </c>
      <c r="G26591" s="5">
        <v>103.6</v>
      </c>
      <c r="H26591" s="5">
        <v>103.5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104.7</v>
      </c>
      <c r="D26592" s="5">
        <v>0.1</v>
      </c>
      <c r="E26592" s="5">
        <v>104.9</v>
      </c>
      <c r="F26592" s="5">
        <v>207.6</v>
      </c>
      <c r="G26592" s="5">
        <v>103.6</v>
      </c>
      <c r="H26592" s="5">
        <v>103.5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104.6</v>
      </c>
      <c r="D26593" s="5">
        <v>0.1</v>
      </c>
      <c r="E26593" s="5">
        <v>104.7</v>
      </c>
      <c r="F26593" s="5">
        <v>208.2</v>
      </c>
      <c r="G26593" s="5">
        <v>104</v>
      </c>
      <c r="H26593" s="5">
        <v>103.8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104.6</v>
      </c>
      <c r="D26594" s="5">
        <v>0.1</v>
      </c>
      <c r="E26594" s="5">
        <v>104.7</v>
      </c>
      <c r="F26594" s="5">
        <v>208.2</v>
      </c>
      <c r="G26594" s="5">
        <v>104</v>
      </c>
      <c r="H26594" s="5">
        <v>103.8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104.6</v>
      </c>
      <c r="D26595" s="5">
        <v>0.1</v>
      </c>
      <c r="E26595" s="5">
        <v>104.7</v>
      </c>
      <c r="F26595" s="5">
        <v>208.2</v>
      </c>
      <c r="G26595" s="5">
        <v>104</v>
      </c>
      <c r="H26595" s="5">
        <v>103.8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104.6</v>
      </c>
      <c r="D26596" s="5">
        <v>0.1</v>
      </c>
      <c r="E26596" s="5">
        <v>104.2</v>
      </c>
      <c r="F26596" s="5">
        <v>208.1</v>
      </c>
      <c r="G26596" s="5">
        <v>103.8</v>
      </c>
      <c r="H26596" s="5">
        <v>103.6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104</v>
      </c>
      <c r="D26597" s="5">
        <v>0.1</v>
      </c>
      <c r="E26597" s="5">
        <v>104.2</v>
      </c>
      <c r="F26597" s="5">
        <v>208.1</v>
      </c>
      <c r="G26597" s="5">
        <v>103.8</v>
      </c>
      <c r="H26597" s="5">
        <v>103.6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104</v>
      </c>
      <c r="D26598" s="5">
        <v>0.1</v>
      </c>
      <c r="E26598" s="5">
        <v>103.9</v>
      </c>
      <c r="F26598" s="5">
        <v>207.1</v>
      </c>
      <c r="G26598" s="5">
        <v>103.3</v>
      </c>
      <c r="H26598" s="5">
        <v>103.2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103.7</v>
      </c>
      <c r="D26599" s="5">
        <v>0.1</v>
      </c>
      <c r="E26599" s="5">
        <v>103.9</v>
      </c>
      <c r="F26599" s="5">
        <v>207.1</v>
      </c>
      <c r="G26599" s="5">
        <v>103.3</v>
      </c>
      <c r="H26599" s="5">
        <v>103.2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103.7</v>
      </c>
      <c r="D26600" s="5">
        <v>0.1</v>
      </c>
      <c r="E26600" s="5">
        <v>103.8</v>
      </c>
      <c r="F26600" s="5">
        <v>207.9</v>
      </c>
      <c r="G26600" s="5">
        <v>103.7</v>
      </c>
      <c r="H26600" s="5">
        <v>103.6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103.7</v>
      </c>
      <c r="D26601" s="5">
        <v>0.1</v>
      </c>
      <c r="E26601" s="5">
        <v>103.8</v>
      </c>
      <c r="F26601" s="5">
        <v>207.9</v>
      </c>
      <c r="G26601" s="5">
        <v>103.7</v>
      </c>
      <c r="H26601" s="5">
        <v>103.6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103.7</v>
      </c>
      <c r="D26602" s="5">
        <v>0.1</v>
      </c>
      <c r="E26602" s="5">
        <v>104</v>
      </c>
      <c r="F26602" s="5">
        <v>207.3</v>
      </c>
      <c r="G26602" s="5">
        <v>103.5</v>
      </c>
      <c r="H26602" s="5">
        <v>103.3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104</v>
      </c>
      <c r="D26603" s="5">
        <v>0.1</v>
      </c>
      <c r="E26603" s="5">
        <v>104</v>
      </c>
      <c r="F26603" s="5">
        <v>207.3</v>
      </c>
      <c r="G26603" s="5">
        <v>103.5</v>
      </c>
      <c r="H26603" s="5">
        <v>103.3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104</v>
      </c>
      <c r="D26604" s="5">
        <v>0.1</v>
      </c>
      <c r="E26604" s="5">
        <v>104</v>
      </c>
      <c r="F26604" s="5">
        <v>207.3</v>
      </c>
      <c r="G26604" s="5">
        <v>103.5</v>
      </c>
      <c r="H26604" s="5">
        <v>103.3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104</v>
      </c>
      <c r="D26605" s="5">
        <v>0.1</v>
      </c>
      <c r="E26605" s="5">
        <v>104</v>
      </c>
      <c r="F26605" s="5">
        <v>207.3</v>
      </c>
      <c r="G26605" s="5">
        <v>103.5</v>
      </c>
      <c r="H26605" s="5">
        <v>103.3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104.6</v>
      </c>
      <c r="D26606" s="5">
        <v>0.1</v>
      </c>
      <c r="E26606" s="5">
        <v>104.6</v>
      </c>
      <c r="F26606" s="5">
        <v>209.2</v>
      </c>
      <c r="G26606" s="5">
        <v>104.4</v>
      </c>
      <c r="H26606" s="5">
        <v>104.3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104.6</v>
      </c>
      <c r="D26607" s="5">
        <v>0.1</v>
      </c>
      <c r="E26607" s="5">
        <v>104.6</v>
      </c>
      <c r="F26607" s="5">
        <v>209.2</v>
      </c>
      <c r="G26607" s="5">
        <v>104.4</v>
      </c>
      <c r="H26607" s="5">
        <v>104.3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103.5</v>
      </c>
      <c r="D26608" s="5">
        <v>0.1</v>
      </c>
      <c r="E26608" s="5">
        <v>103.7</v>
      </c>
      <c r="F26608" s="5">
        <v>208.2</v>
      </c>
      <c r="G26608" s="5">
        <v>103.9</v>
      </c>
      <c r="H26608" s="5">
        <v>103.7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103.5</v>
      </c>
      <c r="D26609" s="5">
        <v>0.1</v>
      </c>
      <c r="E26609" s="5">
        <v>103.7</v>
      </c>
      <c r="F26609" s="5">
        <v>208.2</v>
      </c>
      <c r="G26609" s="5">
        <v>103.9</v>
      </c>
      <c r="H26609" s="5">
        <v>103.7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103.7</v>
      </c>
      <c r="D26610" s="5">
        <v>0.1</v>
      </c>
      <c r="E26610" s="5">
        <v>103.9</v>
      </c>
      <c r="F26610" s="5">
        <v>207.5</v>
      </c>
      <c r="G26610" s="5">
        <v>103.4</v>
      </c>
      <c r="H26610" s="5">
        <v>103.2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103.7</v>
      </c>
      <c r="D26611" s="5">
        <v>0.1</v>
      </c>
      <c r="E26611" s="5">
        <v>103.9</v>
      </c>
      <c r="F26611" s="5">
        <v>207.5</v>
      </c>
      <c r="G26611" s="5">
        <v>103.4</v>
      </c>
      <c r="H26611" s="5">
        <v>103.2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104.2</v>
      </c>
      <c r="D26612" s="5">
        <v>0.1</v>
      </c>
      <c r="E26612" s="5">
        <v>104.3</v>
      </c>
      <c r="F26612" s="5">
        <v>207.4</v>
      </c>
      <c r="G26612" s="5">
        <v>103.5</v>
      </c>
      <c r="H26612" s="5">
        <v>103.3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104.2</v>
      </c>
      <c r="D26613" s="5">
        <v>0.1</v>
      </c>
      <c r="E26613" s="5">
        <v>104.3</v>
      </c>
      <c r="F26613" s="5">
        <v>207.4</v>
      </c>
      <c r="G26613" s="5">
        <v>103.5</v>
      </c>
      <c r="H26613" s="5">
        <v>103.3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104.2</v>
      </c>
      <c r="D26614" s="5">
        <v>0.1</v>
      </c>
      <c r="E26614" s="5">
        <v>104.3</v>
      </c>
      <c r="F26614" s="5">
        <v>207.4</v>
      </c>
      <c r="G26614" s="5">
        <v>103.5</v>
      </c>
      <c r="H26614" s="5">
        <v>103.3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104.2</v>
      </c>
      <c r="D26615" s="5">
        <v>0.1</v>
      </c>
      <c r="E26615" s="5">
        <v>104.3</v>
      </c>
      <c r="F26615" s="5">
        <v>207.4</v>
      </c>
      <c r="G26615" s="5">
        <v>103.5</v>
      </c>
      <c r="H26615" s="5">
        <v>103.3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102.3</v>
      </c>
      <c r="D26616" s="5">
        <v>0.1</v>
      </c>
      <c r="E26616" s="5">
        <v>102.4</v>
      </c>
      <c r="F26616" s="5">
        <v>205</v>
      </c>
      <c r="G26616" s="5">
        <v>102.3</v>
      </c>
      <c r="H26616" s="5">
        <v>103.3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102.3</v>
      </c>
      <c r="D26617" s="5">
        <v>0.1</v>
      </c>
      <c r="E26617" s="5">
        <v>102.4</v>
      </c>
      <c r="F26617" s="5">
        <v>205</v>
      </c>
      <c r="G26617" s="5">
        <v>102.3</v>
      </c>
      <c r="H26617" s="5">
        <v>102.1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102.8</v>
      </c>
      <c r="D26618" s="5">
        <v>0.1</v>
      </c>
      <c r="E26618" s="5">
        <v>103</v>
      </c>
      <c r="F26618" s="5">
        <v>207</v>
      </c>
      <c r="G26618" s="5">
        <v>103.1</v>
      </c>
      <c r="H26618" s="5">
        <v>102.1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102.8</v>
      </c>
      <c r="D26619" s="5">
        <v>0.1</v>
      </c>
      <c r="E26619" s="5">
        <v>103</v>
      </c>
      <c r="F26619" s="5">
        <v>207</v>
      </c>
      <c r="G26619" s="5">
        <v>103.1</v>
      </c>
      <c r="H26619" s="5">
        <v>102.8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102.6</v>
      </c>
      <c r="D26620" s="5">
        <v>0.1</v>
      </c>
      <c r="E26620" s="5">
        <v>102.7</v>
      </c>
      <c r="F26620" s="5">
        <v>207</v>
      </c>
      <c r="G26620" s="5">
        <v>103.1</v>
      </c>
      <c r="H26620" s="5">
        <v>102.8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102.6</v>
      </c>
      <c r="D26621" s="5">
        <v>0.1</v>
      </c>
      <c r="E26621" s="5">
        <v>102.7</v>
      </c>
      <c r="F26621" s="5">
        <v>203.5</v>
      </c>
      <c r="G26621" s="5">
        <v>101.6</v>
      </c>
      <c r="H26621" s="5">
        <v>101.5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103.4</v>
      </c>
      <c r="D26622" s="5">
        <v>0.1</v>
      </c>
      <c r="E26622" s="5">
        <v>102.7</v>
      </c>
      <c r="F26622" s="5">
        <v>203.5</v>
      </c>
      <c r="G26622" s="5">
        <v>101.6</v>
      </c>
      <c r="H26622" s="5">
        <v>101.5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103.4</v>
      </c>
      <c r="D26623" s="5">
        <v>0.1</v>
      </c>
      <c r="E26623" s="5">
        <v>103.4</v>
      </c>
      <c r="F26623" s="5">
        <v>206.6</v>
      </c>
      <c r="G26623" s="5">
        <v>103.1</v>
      </c>
      <c r="H26623" s="5">
        <v>102.9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103.4</v>
      </c>
      <c r="D26624" s="5">
        <v>0.1</v>
      </c>
      <c r="E26624" s="5">
        <v>103.4</v>
      </c>
      <c r="F26624" s="5">
        <v>206.6</v>
      </c>
      <c r="G26624" s="5">
        <v>103.1</v>
      </c>
      <c r="H26624" s="5">
        <v>102.9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103.4</v>
      </c>
      <c r="D26625" s="5">
        <v>0.1</v>
      </c>
      <c r="E26625" s="5">
        <v>103.4</v>
      </c>
      <c r="F26625" s="5">
        <v>206.6</v>
      </c>
      <c r="G26625" s="5">
        <v>103.1</v>
      </c>
      <c r="H26625" s="5">
        <v>102.9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103.8</v>
      </c>
      <c r="D26626" s="5">
        <v>0.1</v>
      </c>
      <c r="E26626" s="5">
        <v>104</v>
      </c>
      <c r="F26626" s="5">
        <v>207.1</v>
      </c>
      <c r="G26626" s="5">
        <v>103.4</v>
      </c>
      <c r="H26626" s="5">
        <v>103.2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103.8</v>
      </c>
      <c r="D26627" s="5">
        <v>0.1</v>
      </c>
      <c r="E26627" s="5">
        <v>104</v>
      </c>
      <c r="F26627" s="5">
        <v>207.1</v>
      </c>
      <c r="G26627" s="5">
        <v>103.4</v>
      </c>
      <c r="H26627" s="5">
        <v>103.2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98.9</v>
      </c>
      <c r="D26628" s="5">
        <v>0.1</v>
      </c>
      <c r="E26628" s="5">
        <v>99</v>
      </c>
      <c r="F26628" s="5">
        <v>195.7</v>
      </c>
      <c r="G26628" s="5">
        <v>97.5</v>
      </c>
      <c r="H26628" s="5">
        <v>97.3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98.9</v>
      </c>
      <c r="D26629" s="5">
        <v>0.1</v>
      </c>
      <c r="E26629" s="5">
        <v>99</v>
      </c>
      <c r="F26629" s="5">
        <v>195.7</v>
      </c>
      <c r="G26629" s="5">
        <v>97.5</v>
      </c>
      <c r="H26629" s="5">
        <v>97.3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97.9</v>
      </c>
      <c r="D26630" s="5">
        <v>0.1</v>
      </c>
      <c r="E26630" s="5">
        <v>98</v>
      </c>
      <c r="F26630" s="5">
        <v>196.7</v>
      </c>
      <c r="G26630" s="5">
        <v>98.2</v>
      </c>
      <c r="H26630" s="5">
        <v>98.2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97.9</v>
      </c>
      <c r="D26631" s="5">
        <v>0.1</v>
      </c>
      <c r="E26631" s="5">
        <v>98</v>
      </c>
      <c r="F26631" s="5">
        <v>196.7</v>
      </c>
      <c r="G26631" s="5">
        <v>98.2</v>
      </c>
      <c r="H26631" s="5">
        <v>98.2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97.9</v>
      </c>
      <c r="D26632" s="5">
        <v>0.1</v>
      </c>
      <c r="E26632" s="5">
        <v>98.6</v>
      </c>
      <c r="F26632" s="5">
        <v>197</v>
      </c>
      <c r="G26632" s="5">
        <v>98.2</v>
      </c>
      <c r="H26632" s="5">
        <v>98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98.5</v>
      </c>
      <c r="D26633" s="5">
        <v>0.1</v>
      </c>
      <c r="E26633" s="5">
        <v>98.6</v>
      </c>
      <c r="F26633" s="5">
        <v>197</v>
      </c>
      <c r="G26633" s="5">
        <v>98.2</v>
      </c>
      <c r="H26633" s="5">
        <v>98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98.5</v>
      </c>
      <c r="D26634" s="5">
        <v>0.1</v>
      </c>
      <c r="E26634" s="5">
        <v>98.6</v>
      </c>
      <c r="F26634" s="5">
        <v>197</v>
      </c>
      <c r="G26634" s="5">
        <v>98.2</v>
      </c>
      <c r="H26634" s="5">
        <v>98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98.5</v>
      </c>
      <c r="D26635" s="5">
        <v>0.1</v>
      </c>
      <c r="E26635" s="5">
        <v>98.6</v>
      </c>
      <c r="F26635" s="5">
        <v>197</v>
      </c>
      <c r="G26635" s="5">
        <v>98.2</v>
      </c>
      <c r="H26635" s="5">
        <v>98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103.1</v>
      </c>
      <c r="D26636" s="5">
        <v>0.1</v>
      </c>
      <c r="E26636" s="5">
        <v>103.2</v>
      </c>
      <c r="F26636" s="5">
        <v>206.2</v>
      </c>
      <c r="G26636" s="5">
        <v>102.7</v>
      </c>
      <c r="H26636" s="5">
        <v>102.5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103.1</v>
      </c>
      <c r="D26637" s="5">
        <v>0.1</v>
      </c>
      <c r="E26637" s="5">
        <v>103.2</v>
      </c>
      <c r="F26637" s="5">
        <v>206.2</v>
      </c>
      <c r="G26637" s="5">
        <v>102.7</v>
      </c>
      <c r="H26637" s="5">
        <v>102.5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96.9</v>
      </c>
      <c r="D26638" s="5">
        <v>0.1</v>
      </c>
      <c r="E26638" s="5">
        <v>97</v>
      </c>
      <c r="F26638" s="5">
        <v>196.3</v>
      </c>
      <c r="G26638" s="5">
        <v>97.8</v>
      </c>
      <c r="H26638" s="5">
        <v>97.6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96.9</v>
      </c>
      <c r="D26639" s="5">
        <v>0.1</v>
      </c>
      <c r="E26639" s="5">
        <v>97</v>
      </c>
      <c r="F26639" s="5">
        <v>196.3</v>
      </c>
      <c r="G26639" s="5">
        <v>97.8</v>
      </c>
      <c r="H26639" s="5">
        <v>97.6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98.7</v>
      </c>
      <c r="D26640" s="5">
        <v>0.1</v>
      </c>
      <c r="E26640" s="5">
        <v>98.9</v>
      </c>
      <c r="F26640" s="5">
        <v>195.5</v>
      </c>
      <c r="G26640" s="5">
        <v>97.6</v>
      </c>
      <c r="H26640" s="5">
        <v>97.4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98.7</v>
      </c>
      <c r="D26641" s="5">
        <v>0.1</v>
      </c>
      <c r="E26641" s="5">
        <v>98.9</v>
      </c>
      <c r="F26641" s="5">
        <v>195.5</v>
      </c>
      <c r="G26641" s="5">
        <v>97.6</v>
      </c>
      <c r="H26641" s="5">
        <v>97.4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100.4</v>
      </c>
      <c r="D26642" s="5">
        <v>0.1</v>
      </c>
      <c r="E26642" s="5">
        <v>100.5</v>
      </c>
      <c r="F26642" s="5">
        <v>199.5</v>
      </c>
      <c r="G26642" s="5">
        <v>99.6</v>
      </c>
      <c r="H26642" s="5">
        <v>99.6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100.4</v>
      </c>
      <c r="D26643" s="5">
        <v>0.1</v>
      </c>
      <c r="E26643" s="5">
        <v>100.5</v>
      </c>
      <c r="F26643" s="5">
        <v>199.5</v>
      </c>
      <c r="G26643" s="5">
        <v>99.6</v>
      </c>
      <c r="H26643" s="5">
        <v>99.6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100.4</v>
      </c>
      <c r="D26644" s="5">
        <v>0.1</v>
      </c>
      <c r="E26644" s="5">
        <v>100.5</v>
      </c>
      <c r="F26644" s="5">
        <v>199.5</v>
      </c>
      <c r="G26644" s="5">
        <v>99.6</v>
      </c>
      <c r="H26644" s="5">
        <v>99.6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100.4</v>
      </c>
      <c r="D26645" s="5">
        <v>0.1</v>
      </c>
      <c r="E26645" s="5">
        <v>100.5</v>
      </c>
      <c r="F26645" s="5">
        <v>199.5</v>
      </c>
      <c r="G26645" s="5">
        <v>99.6</v>
      </c>
      <c r="H26645" s="5">
        <v>99.6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103.4</v>
      </c>
      <c r="D26646" s="5">
        <v>0.1</v>
      </c>
      <c r="E26646" s="5">
        <v>103.5</v>
      </c>
      <c r="F26646" s="5">
        <v>205.7</v>
      </c>
      <c r="G26646" s="5">
        <v>102.6</v>
      </c>
      <c r="H26646" s="5">
        <v>102.5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103.4</v>
      </c>
      <c r="D26647" s="5">
        <v>0.1</v>
      </c>
      <c r="E26647" s="5">
        <v>103.5</v>
      </c>
      <c r="F26647" s="5">
        <v>205.7</v>
      </c>
      <c r="G26647" s="5">
        <v>102.6</v>
      </c>
      <c r="H26647" s="5">
        <v>102.5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103.1</v>
      </c>
      <c r="D26648" s="5">
        <v>0.1</v>
      </c>
      <c r="E26648" s="5">
        <v>103.3</v>
      </c>
      <c r="F26648" s="5">
        <v>205.4</v>
      </c>
      <c r="G26648" s="5">
        <v>102.5</v>
      </c>
      <c r="H26648" s="5">
        <v>102.4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103.1</v>
      </c>
      <c r="D26649" s="5">
        <v>0.1</v>
      </c>
      <c r="E26649" s="5">
        <v>103.3</v>
      </c>
      <c r="F26649" s="5">
        <v>205.4</v>
      </c>
      <c r="G26649" s="5">
        <v>102.5</v>
      </c>
      <c r="H26649" s="5">
        <v>102.4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102.1</v>
      </c>
      <c r="D26650" s="5">
        <v>0.1</v>
      </c>
      <c r="E26650" s="5">
        <v>102.2</v>
      </c>
      <c r="F26650" s="5">
        <v>204.8</v>
      </c>
      <c r="G26650" s="5">
        <v>102.1</v>
      </c>
      <c r="H26650" s="5">
        <v>101.9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102.1</v>
      </c>
      <c r="D26651" s="5">
        <v>0.1</v>
      </c>
      <c r="E26651" s="5">
        <v>102.2</v>
      </c>
      <c r="F26651" s="5">
        <v>204.8</v>
      </c>
      <c r="G26651" s="5">
        <v>102.1</v>
      </c>
      <c r="H26651" s="5">
        <v>101.9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102.2</v>
      </c>
      <c r="D26652" s="5">
        <v>0.1</v>
      </c>
      <c r="E26652" s="5">
        <v>102.4</v>
      </c>
      <c r="F26652" s="5">
        <v>204.7</v>
      </c>
      <c r="G26652" s="5">
        <v>102.2</v>
      </c>
      <c r="H26652" s="5">
        <v>102.1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102.2</v>
      </c>
      <c r="D26653" s="5">
        <v>0.1</v>
      </c>
      <c r="E26653" s="5">
        <v>102.4</v>
      </c>
      <c r="F26653" s="5">
        <v>204.7</v>
      </c>
      <c r="G26653" s="5">
        <v>102.2</v>
      </c>
      <c r="H26653" s="5">
        <v>102.1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102.2</v>
      </c>
      <c r="D26654" s="5">
        <v>0.1</v>
      </c>
      <c r="E26654" s="5">
        <v>102.4</v>
      </c>
      <c r="F26654" s="5">
        <v>204.7</v>
      </c>
      <c r="G26654" s="5">
        <v>102.2</v>
      </c>
      <c r="H26654" s="5">
        <v>102.1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102.2</v>
      </c>
      <c r="D26655" s="5">
        <v>0.1</v>
      </c>
      <c r="E26655" s="5">
        <v>102.4</v>
      </c>
      <c r="F26655" s="5">
        <v>204.7</v>
      </c>
      <c r="G26655" s="5">
        <v>102.2</v>
      </c>
      <c r="H26655" s="5">
        <v>102.1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103.2</v>
      </c>
      <c r="D26656" s="5">
        <v>0.1</v>
      </c>
      <c r="E26656" s="5">
        <v>103.4</v>
      </c>
      <c r="F26656" s="5">
        <v>206.2</v>
      </c>
      <c r="G26656" s="5">
        <v>102.9</v>
      </c>
      <c r="H26656" s="5">
        <v>102.8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103.2</v>
      </c>
      <c r="D26657" s="5">
        <v>0.1</v>
      </c>
      <c r="E26657" s="5">
        <v>103.4</v>
      </c>
      <c r="F26657" s="5">
        <v>206.2</v>
      </c>
      <c r="G26657" s="5">
        <v>102.9</v>
      </c>
      <c r="H26657" s="5">
        <v>102.8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102.9</v>
      </c>
      <c r="D26658" s="5">
        <v>0.1</v>
      </c>
      <c r="E26658" s="5">
        <v>103.1</v>
      </c>
      <c r="F26658" s="5">
        <v>205.5</v>
      </c>
      <c r="G26658" s="5">
        <v>102.5</v>
      </c>
      <c r="H26658" s="5">
        <v>102.4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102.9</v>
      </c>
      <c r="D26659" s="5">
        <v>0.1</v>
      </c>
      <c r="E26659" s="5">
        <v>103.1</v>
      </c>
      <c r="F26659" s="5">
        <v>205.5</v>
      </c>
      <c r="G26659" s="5">
        <v>102.5</v>
      </c>
      <c r="H26659" s="5">
        <v>102.4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103</v>
      </c>
      <c r="D26660" s="5">
        <v>0.1</v>
      </c>
      <c r="E26660" s="5">
        <v>103.1</v>
      </c>
      <c r="F26660" s="5">
        <v>206</v>
      </c>
      <c r="G26660" s="5">
        <v>102.7</v>
      </c>
      <c r="H26660" s="5">
        <v>102.6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103</v>
      </c>
      <c r="D26661" s="5">
        <v>0.1</v>
      </c>
      <c r="E26661" s="5">
        <v>103.1</v>
      </c>
      <c r="F26661" s="5">
        <v>206</v>
      </c>
      <c r="G26661" s="5">
        <v>102.7</v>
      </c>
      <c r="H26661" s="5">
        <v>102.6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97</v>
      </c>
      <c r="D26662" s="5">
        <v>0.1</v>
      </c>
      <c r="E26662" s="5">
        <v>97</v>
      </c>
      <c r="F26662" s="5">
        <v>195.3</v>
      </c>
      <c r="G26662" s="5">
        <v>97.3</v>
      </c>
      <c r="H26662" s="5">
        <v>97.2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97</v>
      </c>
      <c r="D26663" s="5">
        <v>0.1</v>
      </c>
      <c r="E26663" s="5">
        <v>97</v>
      </c>
      <c r="F26663" s="5">
        <v>195.3</v>
      </c>
      <c r="G26663" s="5">
        <v>97.3</v>
      </c>
      <c r="H26663" s="5">
        <v>97.2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97</v>
      </c>
      <c r="D26664" s="5">
        <v>0.1</v>
      </c>
      <c r="E26664" s="5">
        <v>97</v>
      </c>
      <c r="F26664" s="5">
        <v>195.3</v>
      </c>
      <c r="G26664" s="5">
        <v>97.3</v>
      </c>
      <c r="H26664" s="5">
        <v>97.2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97</v>
      </c>
      <c r="D26665" s="5">
        <v>0.1</v>
      </c>
      <c r="E26665" s="5">
        <v>97</v>
      </c>
      <c r="F26665" s="5">
        <v>195.3</v>
      </c>
      <c r="G26665" s="5">
        <v>97.3</v>
      </c>
      <c r="H26665" s="5">
        <v>97.2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101.4</v>
      </c>
      <c r="D26666" s="5">
        <v>0.1</v>
      </c>
      <c r="E26666" s="5">
        <v>101.5</v>
      </c>
      <c r="F26666" s="5">
        <v>197</v>
      </c>
      <c r="G26666" s="5">
        <v>98.3</v>
      </c>
      <c r="H26666" s="5">
        <v>98.2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101.4</v>
      </c>
      <c r="D26667" s="5">
        <v>0.1</v>
      </c>
      <c r="E26667" s="5">
        <v>101.5</v>
      </c>
      <c r="F26667" s="5">
        <v>197</v>
      </c>
      <c r="G26667" s="5">
        <v>98.3</v>
      </c>
      <c r="H26667" s="5">
        <v>98.2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97.5</v>
      </c>
      <c r="D26668" s="5">
        <v>0.1</v>
      </c>
      <c r="E26668" s="5">
        <v>97.6</v>
      </c>
      <c r="F26668" s="5">
        <v>196.3</v>
      </c>
      <c r="G26668" s="5">
        <v>97.9</v>
      </c>
      <c r="H26668" s="5">
        <v>97.9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97.5</v>
      </c>
      <c r="D26669" s="5">
        <v>0.1</v>
      </c>
      <c r="E26669" s="5">
        <v>97.6</v>
      </c>
      <c r="F26669" s="5">
        <v>196.3</v>
      </c>
      <c r="G26669" s="5">
        <v>97.9</v>
      </c>
      <c r="H26669" s="5">
        <v>97.9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97.6</v>
      </c>
      <c r="D26670" s="5">
        <v>0.1</v>
      </c>
      <c r="E26670" s="5">
        <v>97.7</v>
      </c>
      <c r="F26670" s="5">
        <v>196</v>
      </c>
      <c r="G26670" s="5">
        <v>97.8</v>
      </c>
      <c r="H26670" s="5">
        <v>97.7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97.6</v>
      </c>
      <c r="D26671" s="5">
        <v>0.1</v>
      </c>
      <c r="E26671" s="5">
        <v>97.7</v>
      </c>
      <c r="F26671" s="5">
        <v>196</v>
      </c>
      <c r="G26671" s="5">
        <v>97.8</v>
      </c>
      <c r="H26671" s="5">
        <v>97.7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99.4</v>
      </c>
      <c r="D26672" s="5">
        <v>0.1</v>
      </c>
      <c r="E26672" s="5">
        <v>99.5</v>
      </c>
      <c r="F26672" s="5">
        <v>204</v>
      </c>
      <c r="G26672" s="5">
        <v>101.9</v>
      </c>
      <c r="H26672" s="5">
        <v>101.9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99.4</v>
      </c>
      <c r="D26673" s="5">
        <v>0.1</v>
      </c>
      <c r="E26673" s="5">
        <v>99.5</v>
      </c>
      <c r="F26673" s="5">
        <v>204</v>
      </c>
      <c r="G26673" s="5">
        <v>101.9</v>
      </c>
      <c r="H26673" s="5">
        <v>101.9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99.4</v>
      </c>
      <c r="D26674" s="5">
        <v>0.1</v>
      </c>
      <c r="E26674" s="5">
        <v>99.5</v>
      </c>
      <c r="F26674" s="5">
        <v>204</v>
      </c>
      <c r="G26674" s="5">
        <v>101.9</v>
      </c>
      <c r="H26674" s="5">
        <v>101.9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99.4</v>
      </c>
      <c r="D26675" s="5">
        <v>0.1</v>
      </c>
      <c r="E26675" s="5">
        <v>99.5</v>
      </c>
      <c r="F26675" s="5">
        <v>204</v>
      </c>
      <c r="G26675" s="5">
        <v>101.9</v>
      </c>
      <c r="H26675" s="5">
        <v>101.9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99.5</v>
      </c>
      <c r="D26676" s="5">
        <v>0.1</v>
      </c>
      <c r="E26676" s="5">
        <v>99.6</v>
      </c>
      <c r="F26676" s="5">
        <v>196.4</v>
      </c>
      <c r="G26676" s="5">
        <v>98</v>
      </c>
      <c r="H26676" s="5">
        <v>97.9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99.5</v>
      </c>
      <c r="D26677" s="5">
        <v>0.1</v>
      </c>
      <c r="E26677" s="5">
        <v>99.6</v>
      </c>
      <c r="F26677" s="5">
        <v>196.4</v>
      </c>
      <c r="G26677" s="5">
        <v>98</v>
      </c>
      <c r="H26677" s="5">
        <v>97.9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98.1</v>
      </c>
      <c r="D26678" s="5">
        <v>0.1</v>
      </c>
      <c r="E26678" s="5">
        <v>98.3</v>
      </c>
      <c r="F26678" s="5">
        <v>197.5</v>
      </c>
      <c r="G26678" s="5">
        <v>98.6</v>
      </c>
      <c r="H26678" s="5">
        <v>98.8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98.1</v>
      </c>
      <c r="D26679" s="5">
        <v>0.1</v>
      </c>
      <c r="E26679" s="5">
        <v>98.3</v>
      </c>
      <c r="F26679" s="5">
        <v>197.5</v>
      </c>
      <c r="G26679" s="5">
        <v>98.6</v>
      </c>
      <c r="H26679" s="5">
        <v>98.8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99.8</v>
      </c>
      <c r="D26680" s="5">
        <v>0.1</v>
      </c>
      <c r="E26680" s="5">
        <v>99.9</v>
      </c>
      <c r="F26680" s="5">
        <v>197.8</v>
      </c>
      <c r="G26680" s="5">
        <v>98.6</v>
      </c>
      <c r="H26680" s="5">
        <v>98.5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99.8</v>
      </c>
      <c r="D26681" s="5">
        <v>0.1</v>
      </c>
      <c r="E26681" s="5">
        <v>99.9</v>
      </c>
      <c r="F26681" s="5">
        <v>197.8</v>
      </c>
      <c r="G26681" s="5">
        <v>98.6</v>
      </c>
      <c r="H26681" s="5">
        <v>98.5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98.9</v>
      </c>
      <c r="D26682" s="5">
        <v>0.1</v>
      </c>
      <c r="E26682" s="5">
        <v>98.9</v>
      </c>
      <c r="F26682" s="5">
        <v>198</v>
      </c>
      <c r="G26682" s="5">
        <v>98.8</v>
      </c>
      <c r="H26682" s="5">
        <v>98.7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98.9</v>
      </c>
      <c r="D26683" s="5">
        <v>0.1</v>
      </c>
      <c r="E26683" s="5">
        <v>98.9</v>
      </c>
      <c r="F26683" s="5">
        <v>198</v>
      </c>
      <c r="G26683" s="5">
        <v>98.8</v>
      </c>
      <c r="H26683" s="5">
        <v>98.7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98.9</v>
      </c>
      <c r="D26684" s="5">
        <v>0.1</v>
      </c>
      <c r="E26684" s="5">
        <v>98.9</v>
      </c>
      <c r="F26684" s="5">
        <v>198</v>
      </c>
      <c r="G26684" s="5">
        <v>98.8</v>
      </c>
      <c r="H26684" s="5">
        <v>98.7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98.9</v>
      </c>
      <c r="D26685" s="5">
        <v>0.1</v>
      </c>
      <c r="E26685" s="5">
        <v>98.9</v>
      </c>
      <c r="F26685" s="5">
        <v>198</v>
      </c>
      <c r="G26685" s="5">
        <v>98.8</v>
      </c>
      <c r="H26685" s="5">
        <v>98.7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98.2</v>
      </c>
      <c r="D26686" s="5">
        <v>0.1</v>
      </c>
      <c r="E26686" s="5">
        <v>98.3</v>
      </c>
      <c r="F26686" s="5">
        <v>197.7</v>
      </c>
      <c r="G26686" s="5">
        <v>98.5</v>
      </c>
      <c r="H26686" s="5">
        <v>98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98.2</v>
      </c>
      <c r="D26687" s="5">
        <v>0.1</v>
      </c>
      <c r="E26687" s="5">
        <v>98.3</v>
      </c>
      <c r="F26687" s="5">
        <v>197.7</v>
      </c>
      <c r="G26687" s="5">
        <v>98.5</v>
      </c>
      <c r="H26687" s="5">
        <v>98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97.4</v>
      </c>
      <c r="D26688" s="5">
        <v>0.1</v>
      </c>
      <c r="E26688" s="5">
        <v>97.6</v>
      </c>
      <c r="F26688" s="5">
        <v>197.2</v>
      </c>
      <c r="G26688" s="5">
        <v>98.6</v>
      </c>
      <c r="H26688" s="5">
        <v>98.7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97.4</v>
      </c>
      <c r="D26689" s="5">
        <v>0.1</v>
      </c>
      <c r="E26689" s="5">
        <v>97.6</v>
      </c>
      <c r="F26689" s="5">
        <v>197.2</v>
      </c>
      <c r="G26689" s="5">
        <v>98.6</v>
      </c>
      <c r="H26689" s="5">
        <v>98.7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97.3</v>
      </c>
      <c r="D26690" s="5">
        <v>0.1</v>
      </c>
      <c r="E26690" s="5">
        <v>97.4</v>
      </c>
      <c r="F26690" s="5">
        <v>196</v>
      </c>
      <c r="G26690" s="5">
        <v>97.6</v>
      </c>
      <c r="H26690" s="5">
        <v>97.3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97.3</v>
      </c>
      <c r="D26691" s="5">
        <v>0.1</v>
      </c>
      <c r="E26691" s="5">
        <v>97.4</v>
      </c>
      <c r="F26691" s="5">
        <v>196</v>
      </c>
      <c r="G26691" s="5">
        <v>97.6</v>
      </c>
      <c r="H26691" s="5">
        <v>97.3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98.8</v>
      </c>
      <c r="D26692" s="5">
        <v>0.1</v>
      </c>
      <c r="E26692" s="5">
        <v>98.7</v>
      </c>
      <c r="F26692" s="5">
        <v>195.4</v>
      </c>
      <c r="G26692" s="5">
        <v>97.6</v>
      </c>
      <c r="H26692" s="5">
        <v>97.7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98.8</v>
      </c>
      <c r="D26693" s="5">
        <v>0.1</v>
      </c>
      <c r="E26693" s="5">
        <v>98.7</v>
      </c>
      <c r="F26693" s="5">
        <v>195.4</v>
      </c>
      <c r="G26693" s="5">
        <v>97.6</v>
      </c>
      <c r="H26693" s="5">
        <v>97.7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98.8</v>
      </c>
      <c r="D26694" s="5">
        <v>0.1</v>
      </c>
      <c r="E26694" s="5">
        <v>98.7</v>
      </c>
      <c r="F26694" s="5">
        <v>195.4</v>
      </c>
      <c r="G26694" s="5">
        <v>97.6</v>
      </c>
      <c r="H26694" s="5">
        <v>97.7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98.8</v>
      </c>
      <c r="D26695" s="5">
        <v>0.1</v>
      </c>
      <c r="E26695" s="5">
        <v>98.7</v>
      </c>
      <c r="F26695" s="5">
        <v>195.4</v>
      </c>
      <c r="G26695" s="5">
        <v>97.6</v>
      </c>
      <c r="H26695" s="5">
        <v>97.7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99.6</v>
      </c>
      <c r="D26696" s="5">
        <v>0.1</v>
      </c>
      <c r="E26696" s="5">
        <v>99.8</v>
      </c>
      <c r="F26696" s="5">
        <v>197</v>
      </c>
      <c r="G26696" s="5">
        <v>98.3</v>
      </c>
      <c r="H26696" s="5">
        <v>98.1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99.6</v>
      </c>
      <c r="D26697" s="5">
        <v>0.1</v>
      </c>
      <c r="E26697" s="5">
        <v>99.8</v>
      </c>
      <c r="F26697" s="5">
        <v>197</v>
      </c>
      <c r="G26697" s="5">
        <v>98.3</v>
      </c>
      <c r="H26697" s="5">
        <v>98.1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102.1</v>
      </c>
      <c r="D26698" s="5">
        <v>0.1</v>
      </c>
      <c r="E26698" s="5">
        <v>102.3</v>
      </c>
      <c r="F26698" s="5">
        <v>205.5</v>
      </c>
      <c r="G26698" s="5">
        <v>102.5</v>
      </c>
      <c r="H26698" s="5">
        <v>102.4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102.1</v>
      </c>
      <c r="D26699" s="5">
        <v>0.1</v>
      </c>
      <c r="E26699" s="5">
        <v>102.3</v>
      </c>
      <c r="F26699" s="5">
        <v>205.5</v>
      </c>
      <c r="G26699" s="5">
        <v>102.5</v>
      </c>
      <c r="H26699" s="5">
        <v>102.4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102.7</v>
      </c>
      <c r="D26700" s="5">
        <v>0.1</v>
      </c>
      <c r="E26700" s="5">
        <v>102.8</v>
      </c>
      <c r="F26700" s="5">
        <v>204.7</v>
      </c>
      <c r="G26700" s="5">
        <v>102.2</v>
      </c>
      <c r="H26700" s="5">
        <v>102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102.7</v>
      </c>
      <c r="D26701" s="5">
        <v>0.1</v>
      </c>
      <c r="E26701" s="5">
        <v>102.8</v>
      </c>
      <c r="F26701" s="5">
        <v>204.7</v>
      </c>
      <c r="G26701" s="5">
        <v>102.2</v>
      </c>
      <c r="H26701" s="5">
        <v>102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103</v>
      </c>
      <c r="D26702" s="5">
        <v>0.1</v>
      </c>
      <c r="E26702" s="5">
        <v>103.1</v>
      </c>
      <c r="F26702" s="5">
        <v>203.9</v>
      </c>
      <c r="G26702" s="5">
        <v>101.7</v>
      </c>
      <c r="H26702" s="5">
        <v>101.6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103</v>
      </c>
      <c r="D26703" s="5">
        <v>0.1</v>
      </c>
      <c r="E26703" s="5">
        <v>103.1</v>
      </c>
      <c r="F26703" s="5">
        <v>203.9</v>
      </c>
      <c r="G26703" s="5">
        <v>101.7</v>
      </c>
      <c r="H26703" s="5">
        <v>101.6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103</v>
      </c>
      <c r="D26704" s="5">
        <v>0.1</v>
      </c>
      <c r="E26704" s="5">
        <v>103.1</v>
      </c>
      <c r="F26704" s="5">
        <v>203.9</v>
      </c>
      <c r="G26704" s="5">
        <v>101.7</v>
      </c>
      <c r="H26704" s="5">
        <v>101.6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101</v>
      </c>
      <c r="D26705" s="5">
        <v>0.1</v>
      </c>
      <c r="E26705" s="5">
        <v>101.1</v>
      </c>
      <c r="F26705" s="5">
        <v>203.7</v>
      </c>
      <c r="G26705" s="5">
        <v>101.6</v>
      </c>
      <c r="H26705" s="5">
        <v>101.4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101</v>
      </c>
      <c r="D26706" s="5">
        <v>0.1</v>
      </c>
      <c r="E26706" s="5">
        <v>101.1</v>
      </c>
      <c r="F26706" s="5">
        <v>203.7</v>
      </c>
      <c r="G26706" s="5">
        <v>101.6</v>
      </c>
      <c r="H26706" s="5">
        <v>101.4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103.1</v>
      </c>
      <c r="D26707" s="5">
        <v>0.1</v>
      </c>
      <c r="E26707" s="5">
        <v>103.2</v>
      </c>
      <c r="F26707" s="5">
        <v>206.2</v>
      </c>
      <c r="G26707" s="5">
        <v>102.9</v>
      </c>
      <c r="H26707" s="5">
        <v>102.7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103.1</v>
      </c>
      <c r="D26708" s="5">
        <v>0.1</v>
      </c>
      <c r="E26708" s="5">
        <v>103.2</v>
      </c>
      <c r="F26708" s="5">
        <v>206.2</v>
      </c>
      <c r="G26708" s="5">
        <v>102.9</v>
      </c>
      <c r="H26708" s="5">
        <v>102.7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102.1</v>
      </c>
      <c r="D26709" s="5">
        <v>0.1</v>
      </c>
      <c r="E26709" s="5">
        <v>102.2</v>
      </c>
      <c r="F26709" s="5">
        <v>204.7</v>
      </c>
      <c r="G26709" s="5">
        <v>102.1</v>
      </c>
      <c r="H26709" s="5">
        <v>102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102.1</v>
      </c>
      <c r="D26710" s="5">
        <v>0.1</v>
      </c>
      <c r="E26710" s="5">
        <v>102.2</v>
      </c>
      <c r="F26710" s="5">
        <v>204.7</v>
      </c>
      <c r="G26710" s="5">
        <v>102.1</v>
      </c>
      <c r="H26710" s="5">
        <v>102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103</v>
      </c>
      <c r="D26711" s="5">
        <v>0.1</v>
      </c>
      <c r="E26711" s="5">
        <v>103.1</v>
      </c>
      <c r="F26711" s="5">
        <v>205.9</v>
      </c>
      <c r="G26711" s="5">
        <v>102.7</v>
      </c>
      <c r="H26711" s="5">
        <v>102.5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103</v>
      </c>
      <c r="D26712" s="5">
        <v>0.1</v>
      </c>
      <c r="E26712" s="5">
        <v>103.1</v>
      </c>
      <c r="F26712" s="5">
        <v>205.9</v>
      </c>
      <c r="G26712" s="5">
        <v>102.7</v>
      </c>
      <c r="H26712" s="5">
        <v>102.5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103</v>
      </c>
      <c r="D26713" s="5">
        <v>0.1</v>
      </c>
      <c r="E26713" s="5">
        <v>103.1</v>
      </c>
      <c r="F26713" s="5">
        <v>205.9</v>
      </c>
      <c r="G26713" s="5">
        <v>102.7</v>
      </c>
      <c r="H26713" s="5">
        <v>102.5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103</v>
      </c>
      <c r="D26714" s="5">
        <v>0.1</v>
      </c>
      <c r="E26714" s="5">
        <v>103.1</v>
      </c>
      <c r="F26714" s="5">
        <v>205.9</v>
      </c>
      <c r="G26714" s="5">
        <v>102.7</v>
      </c>
      <c r="H26714" s="5">
        <v>102.5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102.7</v>
      </c>
      <c r="D26715" s="5">
        <v>0.1</v>
      </c>
      <c r="E26715" s="5">
        <v>102.8</v>
      </c>
      <c r="F26715" s="5">
        <v>205.4</v>
      </c>
      <c r="G26715" s="5">
        <v>102.7</v>
      </c>
      <c r="H26715" s="5">
        <v>102.5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102.7</v>
      </c>
      <c r="D26716" s="5">
        <v>0.1</v>
      </c>
      <c r="E26716" s="5">
        <v>102.8</v>
      </c>
      <c r="F26716" s="5">
        <v>205.4</v>
      </c>
      <c r="G26716" s="5">
        <v>102.5</v>
      </c>
      <c r="H26716" s="5">
        <v>102.3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103.3</v>
      </c>
      <c r="D26717" s="5">
        <v>0.1</v>
      </c>
      <c r="E26717" s="5">
        <v>102.8</v>
      </c>
      <c r="F26717" s="5">
        <v>205.4</v>
      </c>
      <c r="G26717" s="5">
        <v>102.5</v>
      </c>
      <c r="H26717" s="5">
        <v>102.3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103.3</v>
      </c>
      <c r="D26718" s="5">
        <v>0.1</v>
      </c>
      <c r="E26718" s="5">
        <v>103.4</v>
      </c>
      <c r="F26718" s="5">
        <v>206.5</v>
      </c>
      <c r="G26718" s="5">
        <v>103</v>
      </c>
      <c r="H26718" s="5">
        <v>102.8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103.3</v>
      </c>
      <c r="D26719" s="5">
        <v>0.1</v>
      </c>
      <c r="E26719" s="5">
        <v>103.4</v>
      </c>
      <c r="F26719" s="5">
        <v>206.5</v>
      </c>
      <c r="G26719" s="5">
        <v>103</v>
      </c>
      <c r="H26719" s="5">
        <v>102.8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103.1</v>
      </c>
      <c r="D26720" s="5">
        <v>0.1</v>
      </c>
      <c r="E26720" s="5">
        <v>103.3</v>
      </c>
      <c r="F26720" s="5">
        <v>206.2</v>
      </c>
      <c r="G26720" s="5">
        <v>102.9</v>
      </c>
      <c r="H26720" s="5">
        <v>102.7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103.1</v>
      </c>
      <c r="D26721" s="5">
        <v>0.1</v>
      </c>
      <c r="E26721" s="5">
        <v>103.3</v>
      </c>
      <c r="F26721" s="5">
        <v>206.2</v>
      </c>
      <c r="G26721" s="5">
        <v>102.9</v>
      </c>
      <c r="H26721" s="5">
        <v>102.7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103.4</v>
      </c>
      <c r="D26722" s="5">
        <v>0.1</v>
      </c>
      <c r="E26722" s="5">
        <v>103.5</v>
      </c>
      <c r="F26722" s="5">
        <v>207.1</v>
      </c>
      <c r="G26722" s="5">
        <v>103.3</v>
      </c>
      <c r="H26722" s="5">
        <v>103.2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103.4</v>
      </c>
      <c r="D26723" s="5">
        <v>0.1</v>
      </c>
      <c r="E26723" s="5">
        <v>103.5</v>
      </c>
      <c r="F26723" s="5">
        <v>207.1</v>
      </c>
      <c r="G26723" s="5">
        <v>103.3</v>
      </c>
      <c r="H26723" s="5">
        <v>103.2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103.4</v>
      </c>
      <c r="D26724" s="5">
        <v>0.1</v>
      </c>
      <c r="E26724" s="5">
        <v>103.5</v>
      </c>
      <c r="F26724" s="5">
        <v>207.1</v>
      </c>
      <c r="G26724" s="5">
        <v>103.3</v>
      </c>
      <c r="H26724" s="5">
        <v>103.2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103.4</v>
      </c>
      <c r="D26725" s="5">
        <v>0.1</v>
      </c>
      <c r="E26725" s="5">
        <v>103.5</v>
      </c>
      <c r="F26725" s="5">
        <v>207.1</v>
      </c>
      <c r="G26725" s="5">
        <v>103.3</v>
      </c>
      <c r="H26725" s="5">
        <v>103.2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104</v>
      </c>
      <c r="D26726" s="5">
        <v>0.1</v>
      </c>
      <c r="E26726" s="5">
        <v>104.2</v>
      </c>
      <c r="F26726" s="5">
        <v>207.8</v>
      </c>
      <c r="G26726" s="5">
        <v>103.7</v>
      </c>
      <c r="H26726" s="5">
        <v>103.5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104</v>
      </c>
      <c r="D26727" s="5">
        <v>0.1</v>
      </c>
      <c r="E26727" s="5">
        <v>104.2</v>
      </c>
      <c r="F26727" s="5">
        <v>207.8</v>
      </c>
      <c r="G26727" s="5">
        <v>103.7</v>
      </c>
      <c r="H26727" s="5">
        <v>103.5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103.3</v>
      </c>
      <c r="D26728" s="5">
        <v>0.1</v>
      </c>
      <c r="E26728" s="5">
        <v>103.4</v>
      </c>
      <c r="F26728" s="5">
        <v>206.9</v>
      </c>
      <c r="G26728" s="5">
        <v>103.2</v>
      </c>
      <c r="H26728" s="5">
        <v>103.1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103.3</v>
      </c>
      <c r="D26729" s="5">
        <v>0.1</v>
      </c>
      <c r="E26729" s="5">
        <v>103.4</v>
      </c>
      <c r="F26729" s="5">
        <v>206.9</v>
      </c>
      <c r="G26729" s="5">
        <v>103.2</v>
      </c>
      <c r="H26729" s="5">
        <v>103.1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103.5</v>
      </c>
      <c r="D26730" s="5">
        <v>0.1</v>
      </c>
      <c r="E26730" s="5">
        <v>103.7</v>
      </c>
      <c r="F26730" s="5">
        <v>206.9</v>
      </c>
      <c r="G26730" s="5">
        <v>103.2</v>
      </c>
      <c r="H26730" s="5">
        <v>103.1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103.5</v>
      </c>
      <c r="D26731" s="5">
        <v>0.1</v>
      </c>
      <c r="E26731" s="5">
        <v>103.7</v>
      </c>
      <c r="F26731" s="5">
        <v>206.9</v>
      </c>
      <c r="G26731" s="5">
        <v>103.2</v>
      </c>
      <c r="H26731" s="5">
        <v>103.1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104</v>
      </c>
      <c r="D26732" s="5">
        <v>0.1</v>
      </c>
      <c r="E26732" s="5">
        <v>104.1</v>
      </c>
      <c r="F26732" s="5">
        <v>207.9</v>
      </c>
      <c r="G26732" s="5">
        <v>103.7</v>
      </c>
      <c r="H26732" s="5">
        <v>103.5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104</v>
      </c>
      <c r="D26733" s="5">
        <v>0.1</v>
      </c>
      <c r="E26733" s="5">
        <v>104.1</v>
      </c>
      <c r="F26733" s="5">
        <v>207.9</v>
      </c>
      <c r="G26733" s="5">
        <v>103.7</v>
      </c>
      <c r="H26733" s="5">
        <v>103.5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104</v>
      </c>
      <c r="D26734" s="5">
        <v>0.1</v>
      </c>
      <c r="E26734" s="5">
        <v>104.1</v>
      </c>
      <c r="F26734" s="5">
        <v>207.9</v>
      </c>
      <c r="G26734" s="5">
        <v>103.7</v>
      </c>
      <c r="H26734" s="5">
        <v>103.5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104</v>
      </c>
      <c r="D26735" s="5">
        <v>0.1</v>
      </c>
      <c r="E26735" s="5">
        <v>103.7</v>
      </c>
      <c r="F26735" s="5">
        <v>206.3</v>
      </c>
      <c r="G26735" s="5">
        <v>103</v>
      </c>
      <c r="H26735" s="5">
        <v>102.9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103.5</v>
      </c>
      <c r="D26736" s="5">
        <v>0.1</v>
      </c>
      <c r="E26736" s="5">
        <v>103.7</v>
      </c>
      <c r="F26736" s="5">
        <v>206.3</v>
      </c>
      <c r="G26736" s="5">
        <v>103</v>
      </c>
      <c r="H26736" s="5">
        <v>102.9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103.5</v>
      </c>
      <c r="D26737" s="5">
        <v>0.1</v>
      </c>
      <c r="E26737" s="5">
        <v>103.7</v>
      </c>
      <c r="F26737" s="5">
        <v>206.3</v>
      </c>
      <c r="G26737" s="5">
        <v>103.8</v>
      </c>
      <c r="H26737" s="5">
        <v>103.6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104.3</v>
      </c>
      <c r="D26738" s="5">
        <v>0.1</v>
      </c>
      <c r="E26738" s="5">
        <v>104.5</v>
      </c>
      <c r="F26738" s="5">
        <v>207.9</v>
      </c>
      <c r="G26738" s="5">
        <v>103.8</v>
      </c>
      <c r="H26738" s="5">
        <v>103.6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104.3</v>
      </c>
      <c r="D26739" s="5">
        <v>0.1</v>
      </c>
      <c r="E26739" s="5">
        <v>104.5</v>
      </c>
      <c r="F26739" s="5">
        <v>207.9</v>
      </c>
      <c r="G26739" s="5">
        <v>103.8</v>
      </c>
      <c r="H26739" s="5">
        <v>103.6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103.2</v>
      </c>
      <c r="D26740" s="5">
        <v>0.1</v>
      </c>
      <c r="E26740" s="5">
        <v>103.4</v>
      </c>
      <c r="F26740" s="5">
        <v>207.3</v>
      </c>
      <c r="G26740" s="5">
        <v>103.4</v>
      </c>
      <c r="H26740" s="5">
        <v>103.2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103.2</v>
      </c>
      <c r="D26741" s="5">
        <v>0.1</v>
      </c>
      <c r="E26741" s="5">
        <v>103.4</v>
      </c>
      <c r="F26741" s="5">
        <v>207.3</v>
      </c>
      <c r="G26741" s="5">
        <v>103.4</v>
      </c>
      <c r="H26741" s="5">
        <v>103.2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103.4</v>
      </c>
      <c r="D26742" s="5">
        <v>0.1</v>
      </c>
      <c r="E26742" s="5">
        <v>103.5</v>
      </c>
      <c r="F26742" s="5">
        <v>207.3</v>
      </c>
      <c r="G26742" s="5">
        <v>103.4</v>
      </c>
      <c r="H26742" s="5">
        <v>103.1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103.4</v>
      </c>
      <c r="D26743" s="5">
        <v>0.1</v>
      </c>
      <c r="E26743" s="5">
        <v>103.5</v>
      </c>
      <c r="F26743" s="5">
        <v>207.3</v>
      </c>
      <c r="G26743" s="5">
        <v>103.4</v>
      </c>
      <c r="H26743" s="5">
        <v>103.1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103.4</v>
      </c>
      <c r="D26744" s="5">
        <v>0.1</v>
      </c>
      <c r="E26744" s="5">
        <v>103.5</v>
      </c>
      <c r="F26744" s="5">
        <v>207.3</v>
      </c>
      <c r="G26744" s="5">
        <v>103.4</v>
      </c>
      <c r="H26744" s="5">
        <v>103.1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104.1</v>
      </c>
      <c r="D26745" s="5">
        <v>0.1</v>
      </c>
      <c r="E26745" s="5">
        <v>104.3</v>
      </c>
      <c r="F26745" s="5">
        <v>208</v>
      </c>
      <c r="G26745" s="5">
        <v>103.8</v>
      </c>
      <c r="H26745" s="5">
        <v>103.6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104.1</v>
      </c>
      <c r="D26746" s="5">
        <v>0.1</v>
      </c>
      <c r="E26746" s="5">
        <v>104.3</v>
      </c>
      <c r="F26746" s="5">
        <v>208</v>
      </c>
      <c r="G26746" s="5">
        <v>103.8</v>
      </c>
      <c r="H26746" s="5">
        <v>103.6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103.4</v>
      </c>
      <c r="D26747" s="5">
        <v>0.1</v>
      </c>
      <c r="E26747" s="5">
        <v>103.6</v>
      </c>
      <c r="F26747" s="5">
        <v>206.8</v>
      </c>
      <c r="G26747" s="5">
        <v>103.2</v>
      </c>
      <c r="H26747" s="5">
        <v>103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103.4</v>
      </c>
      <c r="D26748" s="5">
        <v>0.1</v>
      </c>
      <c r="E26748" s="5">
        <v>103.6</v>
      </c>
      <c r="F26748" s="5">
        <v>206.8</v>
      </c>
      <c r="G26748" s="5">
        <v>103.2</v>
      </c>
      <c r="H26748" s="5">
        <v>103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104</v>
      </c>
      <c r="D26749" s="5">
        <v>0.1</v>
      </c>
      <c r="E26749" s="5">
        <v>104.2</v>
      </c>
      <c r="F26749" s="5">
        <v>208</v>
      </c>
      <c r="G26749" s="5">
        <v>103.8</v>
      </c>
      <c r="H26749" s="5">
        <v>103.6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104</v>
      </c>
      <c r="D26750" s="5">
        <v>0.1</v>
      </c>
      <c r="E26750" s="5">
        <v>104.2</v>
      </c>
      <c r="F26750" s="5">
        <v>208</v>
      </c>
      <c r="G26750" s="5">
        <v>103.8</v>
      </c>
      <c r="H26750" s="5">
        <v>103.6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104</v>
      </c>
      <c r="D26751" s="5">
        <v>0.1</v>
      </c>
      <c r="E26751" s="5">
        <v>104.2</v>
      </c>
      <c r="F26751" s="5">
        <v>208.1</v>
      </c>
      <c r="G26751" s="5">
        <v>103.8</v>
      </c>
      <c r="H26751" s="5">
        <v>103.6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104</v>
      </c>
      <c r="D26752" s="5">
        <v>0.1</v>
      </c>
      <c r="E26752" s="5">
        <v>104.2</v>
      </c>
      <c r="F26752" s="5">
        <v>208.1</v>
      </c>
      <c r="G26752" s="5">
        <v>103.8</v>
      </c>
      <c r="H26752" s="5">
        <v>103.6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104</v>
      </c>
      <c r="D26753" s="5">
        <v>0.1</v>
      </c>
      <c r="E26753" s="5">
        <v>104.2</v>
      </c>
      <c r="F26753" s="5">
        <v>208.1</v>
      </c>
      <c r="G26753" s="5">
        <v>103.8</v>
      </c>
      <c r="H26753" s="5">
        <v>103.6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104</v>
      </c>
      <c r="D26754" s="5">
        <v>0.1</v>
      </c>
      <c r="E26754" s="5">
        <v>104.2</v>
      </c>
      <c r="F26754" s="5">
        <v>208.1</v>
      </c>
      <c r="G26754" s="5">
        <v>103.8</v>
      </c>
      <c r="H26754" s="5">
        <v>103.6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102.8</v>
      </c>
      <c r="D26755" s="5">
        <v>0.1</v>
      </c>
      <c r="E26755" s="5">
        <v>103</v>
      </c>
      <c r="F26755" s="5">
        <v>206.1</v>
      </c>
      <c r="G26755" s="5">
        <v>102.8</v>
      </c>
      <c r="H26755" s="5">
        <v>102.6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102.8</v>
      </c>
      <c r="D26756" s="5">
        <v>0.1</v>
      </c>
      <c r="E26756" s="5">
        <v>103</v>
      </c>
      <c r="F26756" s="5">
        <v>206.1</v>
      </c>
      <c r="G26756" s="5">
        <v>102.8</v>
      </c>
      <c r="H26756" s="5">
        <v>102.6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103.5</v>
      </c>
      <c r="D26757" s="5">
        <v>0.1</v>
      </c>
      <c r="E26757" s="5">
        <v>103.7</v>
      </c>
      <c r="F26757" s="5">
        <v>207</v>
      </c>
      <c r="G26757" s="5">
        <v>103.2</v>
      </c>
      <c r="H26757" s="5">
        <v>103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103.5</v>
      </c>
      <c r="D26758" s="5">
        <v>0.1</v>
      </c>
      <c r="E26758" s="5">
        <v>103.7</v>
      </c>
      <c r="F26758" s="5">
        <v>207</v>
      </c>
      <c r="G26758" s="5">
        <v>103.2</v>
      </c>
      <c r="H26758" s="5">
        <v>103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104.4</v>
      </c>
      <c r="D26759" s="5">
        <v>0.1</v>
      </c>
      <c r="E26759" s="5">
        <v>104.6</v>
      </c>
      <c r="F26759" s="5">
        <v>208.5</v>
      </c>
      <c r="G26759" s="5">
        <v>104</v>
      </c>
      <c r="H26759" s="5">
        <v>103.8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104.4</v>
      </c>
      <c r="D26760" s="5">
        <v>0.1</v>
      </c>
      <c r="E26760" s="5">
        <v>104.6</v>
      </c>
      <c r="F26760" s="5">
        <v>208.5</v>
      </c>
      <c r="G26760" s="5">
        <v>104</v>
      </c>
      <c r="H26760" s="5">
        <v>103.8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103.5</v>
      </c>
      <c r="D26761" s="5">
        <v>0.1</v>
      </c>
      <c r="E26761" s="5">
        <v>103.7</v>
      </c>
      <c r="F26761" s="5">
        <v>205.8</v>
      </c>
      <c r="G26761" s="5">
        <v>102.7</v>
      </c>
      <c r="H26761" s="5">
        <v>103.8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103.5</v>
      </c>
      <c r="D26762" s="5">
        <v>0.1</v>
      </c>
      <c r="E26762" s="5">
        <v>103.7</v>
      </c>
      <c r="F26762" s="5">
        <v>205.8</v>
      </c>
      <c r="G26762" s="5">
        <v>102.7</v>
      </c>
      <c r="H26762" s="5">
        <v>102.5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103.5</v>
      </c>
      <c r="D26763" s="5">
        <v>0.1</v>
      </c>
      <c r="E26763" s="5">
        <v>103.7</v>
      </c>
      <c r="F26763" s="5">
        <v>205.8</v>
      </c>
      <c r="G26763" s="5">
        <v>102.7</v>
      </c>
      <c r="H26763" s="5">
        <v>102.5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103.5</v>
      </c>
      <c r="D26764" s="5">
        <v>0.1</v>
      </c>
      <c r="E26764" s="5">
        <v>103.7</v>
      </c>
      <c r="F26764" s="5">
        <v>205.8</v>
      </c>
      <c r="G26764" s="5">
        <v>102.7</v>
      </c>
      <c r="H26764" s="5">
        <v>102.5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103.4</v>
      </c>
      <c r="D26765" s="5">
        <v>0.1</v>
      </c>
      <c r="E26765" s="5">
        <v>103.6</v>
      </c>
      <c r="F26765" s="5">
        <v>206.9</v>
      </c>
      <c r="G26765" s="5">
        <v>103.2</v>
      </c>
      <c r="H26765" s="5">
        <v>103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103.4</v>
      </c>
      <c r="D26766" s="5">
        <v>0.1</v>
      </c>
      <c r="E26766" s="5">
        <v>103.6</v>
      </c>
      <c r="F26766" s="5">
        <v>206.9</v>
      </c>
      <c r="G26766" s="5">
        <v>103.2</v>
      </c>
      <c r="H26766" s="5">
        <v>103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103.7</v>
      </c>
      <c r="D26767" s="5">
        <v>0.1</v>
      </c>
      <c r="E26767" s="5">
        <v>103.9</v>
      </c>
      <c r="F26767" s="5">
        <v>206.6</v>
      </c>
      <c r="G26767" s="5">
        <v>103.1</v>
      </c>
      <c r="H26767" s="5">
        <v>103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103.7</v>
      </c>
      <c r="D26768" s="5">
        <v>0.1</v>
      </c>
      <c r="E26768" s="5">
        <v>103.9</v>
      </c>
      <c r="F26768" s="5">
        <v>206.6</v>
      </c>
      <c r="G26768" s="5">
        <v>103.1</v>
      </c>
      <c r="H26768" s="5">
        <v>103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103.1</v>
      </c>
      <c r="D26769" s="5">
        <v>0.1</v>
      </c>
      <c r="E26769" s="5">
        <v>103.2</v>
      </c>
      <c r="F26769" s="5">
        <v>206</v>
      </c>
      <c r="G26769" s="5">
        <v>102.8</v>
      </c>
      <c r="H26769" s="5">
        <v>102.6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103.1</v>
      </c>
      <c r="D26770" s="5">
        <v>0.1</v>
      </c>
      <c r="E26770" s="5">
        <v>103.2</v>
      </c>
      <c r="F26770" s="5">
        <v>206</v>
      </c>
      <c r="G26770" s="5">
        <v>102.8</v>
      </c>
      <c r="H26770" s="5">
        <v>102.6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102.7</v>
      </c>
      <c r="D26771" s="5">
        <v>0.1</v>
      </c>
      <c r="E26771" s="5">
        <v>102.9</v>
      </c>
      <c r="F26771" s="5">
        <v>205</v>
      </c>
      <c r="G26771" s="5">
        <v>102.3</v>
      </c>
      <c r="H26771" s="5">
        <v>102.1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102.7</v>
      </c>
      <c r="D26772" s="5">
        <v>0.1</v>
      </c>
      <c r="E26772" s="5">
        <v>102.9</v>
      </c>
      <c r="F26772" s="5">
        <v>205</v>
      </c>
      <c r="G26772" s="5">
        <v>102.3</v>
      </c>
      <c r="H26772" s="5">
        <v>102.1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102.7</v>
      </c>
      <c r="D26773" s="5">
        <v>0.1</v>
      </c>
      <c r="E26773" s="5">
        <v>102.9</v>
      </c>
      <c r="F26773" s="5">
        <v>205</v>
      </c>
      <c r="G26773" s="5">
        <v>102.3</v>
      </c>
      <c r="H26773" s="5">
        <v>102.1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102.7</v>
      </c>
      <c r="D26774" s="5">
        <v>0.1</v>
      </c>
      <c r="E26774" s="5">
        <v>102.9</v>
      </c>
      <c r="F26774" s="5">
        <v>205</v>
      </c>
      <c r="G26774" s="5">
        <v>102.3</v>
      </c>
      <c r="H26774" s="5">
        <v>102.1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103.7</v>
      </c>
      <c r="D26775" s="5">
        <v>0.1</v>
      </c>
      <c r="E26775" s="5">
        <v>103.9</v>
      </c>
      <c r="F26775" s="5">
        <v>207.5</v>
      </c>
      <c r="G26775" s="5">
        <v>103.5</v>
      </c>
      <c r="H26775" s="5">
        <v>103.4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103.7</v>
      </c>
      <c r="D26776" s="5">
        <v>0.1</v>
      </c>
      <c r="E26776" s="5">
        <v>103.9</v>
      </c>
      <c r="F26776" s="5">
        <v>207.5</v>
      </c>
      <c r="G26776" s="5">
        <v>103.5</v>
      </c>
      <c r="H26776" s="5">
        <v>103.4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104.4</v>
      </c>
      <c r="D26777" s="5">
        <v>0.1</v>
      </c>
      <c r="E26777" s="5">
        <v>104.6</v>
      </c>
      <c r="F26777" s="5">
        <v>206.9</v>
      </c>
      <c r="G26777" s="5">
        <v>103.3</v>
      </c>
      <c r="H26777" s="5">
        <v>103.3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104.4</v>
      </c>
      <c r="D26778" s="5">
        <v>0.1</v>
      </c>
      <c r="E26778" s="5">
        <v>104.6</v>
      </c>
      <c r="F26778" s="5">
        <v>206.9</v>
      </c>
      <c r="G26778" s="5">
        <v>103.3</v>
      </c>
      <c r="H26778" s="5">
        <v>103.3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104.2</v>
      </c>
      <c r="D26779" s="5">
        <v>0.1</v>
      </c>
      <c r="E26779" s="5">
        <v>104.3</v>
      </c>
      <c r="F26779" s="5">
        <v>208.3</v>
      </c>
      <c r="G26779" s="5">
        <v>103.9</v>
      </c>
      <c r="H26779" s="5">
        <v>103.7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104.2</v>
      </c>
      <c r="D26780" s="5">
        <v>0.1</v>
      </c>
      <c r="E26780" s="5">
        <v>104.3</v>
      </c>
      <c r="F26780" s="5">
        <v>208.3</v>
      </c>
      <c r="G26780" s="5">
        <v>103.9</v>
      </c>
      <c r="H26780" s="5">
        <v>103.7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102.7</v>
      </c>
      <c r="D26781" s="5">
        <v>0.1</v>
      </c>
      <c r="E26781" s="5">
        <v>102.9</v>
      </c>
      <c r="F26781" s="5">
        <v>205.7</v>
      </c>
      <c r="G26781" s="5">
        <v>102.6</v>
      </c>
      <c r="H26781" s="5">
        <v>102.4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102.7</v>
      </c>
      <c r="D26782" s="5">
        <v>0.1</v>
      </c>
      <c r="E26782" s="5">
        <v>102.9</v>
      </c>
      <c r="F26782" s="5">
        <v>205.7</v>
      </c>
      <c r="G26782" s="5">
        <v>102.6</v>
      </c>
      <c r="H26782" s="5">
        <v>102.4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102.7</v>
      </c>
      <c r="D26783" s="5">
        <v>0.1</v>
      </c>
      <c r="E26783" s="5">
        <v>102.9</v>
      </c>
      <c r="F26783" s="5">
        <v>205.7</v>
      </c>
      <c r="G26783" s="5">
        <v>102.6</v>
      </c>
      <c r="H26783" s="5">
        <v>102.4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102.7</v>
      </c>
      <c r="D26784" s="5">
        <v>0.1</v>
      </c>
      <c r="E26784" s="5">
        <v>102.9</v>
      </c>
      <c r="F26784" s="5">
        <v>205.7</v>
      </c>
      <c r="G26784" s="5">
        <v>102.6</v>
      </c>
      <c r="H26784" s="5">
        <v>102.4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104.4</v>
      </c>
      <c r="D26785" s="5">
        <v>0.1</v>
      </c>
      <c r="E26785" s="5">
        <v>104.6</v>
      </c>
      <c r="F26785" s="5">
        <v>207.7</v>
      </c>
      <c r="G26785" s="5">
        <v>103.7</v>
      </c>
      <c r="H26785" s="5">
        <v>103.6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104.4</v>
      </c>
      <c r="D26786" s="5">
        <v>0.1</v>
      </c>
      <c r="E26786" s="5">
        <v>104.6</v>
      </c>
      <c r="F26786" s="5">
        <v>207.7</v>
      </c>
      <c r="G26786" s="5">
        <v>103.7</v>
      </c>
      <c r="H26786" s="5">
        <v>103.6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102.4</v>
      </c>
      <c r="D26787" s="5">
        <v>0.1</v>
      </c>
      <c r="E26787" s="5">
        <v>102.6</v>
      </c>
      <c r="F26787" s="5">
        <v>205.4</v>
      </c>
      <c r="G26787" s="5">
        <v>102.4</v>
      </c>
      <c r="H26787" s="5">
        <v>102.3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102.4</v>
      </c>
      <c r="D26788" s="5">
        <v>0.1</v>
      </c>
      <c r="E26788" s="5">
        <v>102.6</v>
      </c>
      <c r="F26788" s="5">
        <v>205.4</v>
      </c>
      <c r="G26788" s="5">
        <v>102.4</v>
      </c>
      <c r="H26788" s="5">
        <v>102.3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103.7</v>
      </c>
      <c r="D26789" s="5">
        <v>0.1</v>
      </c>
      <c r="E26789" s="5">
        <v>103.9</v>
      </c>
      <c r="F26789" s="5">
        <v>206.9</v>
      </c>
      <c r="G26789" s="5">
        <v>103.3</v>
      </c>
      <c r="H26789" s="5">
        <v>103.1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103.7</v>
      </c>
      <c r="D26790" s="5">
        <v>0.1</v>
      </c>
      <c r="E26790" s="5">
        <v>103.9</v>
      </c>
      <c r="F26790" s="5">
        <v>206.9</v>
      </c>
      <c r="G26790" s="5">
        <v>103.3</v>
      </c>
      <c r="H26790" s="5">
        <v>103.1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103.9</v>
      </c>
      <c r="D26791" s="5">
        <v>0.1</v>
      </c>
      <c r="E26791" s="5">
        <v>104</v>
      </c>
      <c r="F26791" s="5">
        <v>207.4</v>
      </c>
      <c r="G26791" s="5">
        <v>103.5</v>
      </c>
      <c r="H26791" s="5">
        <v>103.4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103.9</v>
      </c>
      <c r="D26792" s="5">
        <v>0.1</v>
      </c>
      <c r="E26792" s="5">
        <v>104</v>
      </c>
      <c r="F26792" s="5">
        <v>207.4</v>
      </c>
      <c r="G26792" s="5">
        <v>103.5</v>
      </c>
      <c r="H26792" s="5">
        <v>103.4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103.9</v>
      </c>
      <c r="D26793" s="5">
        <v>0.1</v>
      </c>
      <c r="E26793" s="5">
        <v>104</v>
      </c>
      <c r="F26793" s="5">
        <v>207.4</v>
      </c>
      <c r="G26793" s="5">
        <v>103.5</v>
      </c>
      <c r="H26793" s="5">
        <v>103.4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103.9</v>
      </c>
      <c r="D26794" s="5">
        <v>0.1</v>
      </c>
      <c r="E26794" s="5">
        <v>104</v>
      </c>
      <c r="F26794" s="5">
        <v>207.4</v>
      </c>
      <c r="G26794" s="5">
        <v>103.5</v>
      </c>
      <c r="H26794" s="5">
        <v>103.4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102.6</v>
      </c>
      <c r="D26795" s="5">
        <v>0.1</v>
      </c>
      <c r="E26795" s="5">
        <v>102.7</v>
      </c>
      <c r="F26795" s="5">
        <v>205.1</v>
      </c>
      <c r="G26795" s="5">
        <v>102.3</v>
      </c>
      <c r="H26795" s="5">
        <v>102.1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102.6</v>
      </c>
      <c r="D26796" s="5">
        <v>0.1</v>
      </c>
      <c r="E26796" s="5">
        <v>102.7</v>
      </c>
      <c r="F26796" s="5">
        <v>205.1</v>
      </c>
      <c r="G26796" s="5">
        <v>102.3</v>
      </c>
      <c r="H26796" s="5">
        <v>102.1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103.8</v>
      </c>
      <c r="D26797" s="5">
        <v>0.1</v>
      </c>
      <c r="E26797" s="5">
        <v>104</v>
      </c>
      <c r="F26797" s="5">
        <v>206.2</v>
      </c>
      <c r="G26797" s="5">
        <v>102.9</v>
      </c>
      <c r="H26797" s="5">
        <v>102.9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103.8</v>
      </c>
      <c r="D26798" s="5">
        <v>0.1</v>
      </c>
      <c r="E26798" s="5">
        <v>104</v>
      </c>
      <c r="F26798" s="5">
        <v>206.2</v>
      </c>
      <c r="G26798" s="5">
        <v>102.9</v>
      </c>
      <c r="H26798" s="5">
        <v>102.9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103.3</v>
      </c>
      <c r="D26799" s="5">
        <v>0.1</v>
      </c>
      <c r="E26799" s="5">
        <v>103.4</v>
      </c>
      <c r="F26799" s="5">
        <v>206.9</v>
      </c>
      <c r="G26799" s="5">
        <v>103.2</v>
      </c>
      <c r="H26799" s="5">
        <v>103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103.3</v>
      </c>
      <c r="D26800" s="5">
        <v>0.1</v>
      </c>
      <c r="E26800" s="5">
        <v>103.4</v>
      </c>
      <c r="F26800" s="5">
        <v>206.9</v>
      </c>
      <c r="G26800" s="5">
        <v>103.2</v>
      </c>
      <c r="H26800" s="5">
        <v>103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102.7</v>
      </c>
      <c r="D26801" s="5">
        <v>0.1</v>
      </c>
      <c r="E26801" s="5">
        <v>102.9</v>
      </c>
      <c r="F26801" s="5">
        <v>206.2</v>
      </c>
      <c r="G26801" s="5">
        <v>102.8</v>
      </c>
      <c r="H26801" s="5">
        <v>102.6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102.7</v>
      </c>
      <c r="D26802" s="5">
        <v>0.1</v>
      </c>
      <c r="E26802" s="5">
        <v>102.9</v>
      </c>
      <c r="F26802" s="5">
        <v>206.2</v>
      </c>
      <c r="G26802" s="5">
        <v>102.8</v>
      </c>
      <c r="H26802" s="5">
        <v>102.6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102.7</v>
      </c>
      <c r="D26803" s="5">
        <v>0.1</v>
      </c>
      <c r="E26803" s="5">
        <v>102.9</v>
      </c>
      <c r="F26803" s="5">
        <v>206.2</v>
      </c>
      <c r="G26803" s="5">
        <v>102.8</v>
      </c>
      <c r="H26803" s="5">
        <v>102.6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102.7</v>
      </c>
      <c r="D26804" s="5">
        <v>0.1</v>
      </c>
      <c r="E26804" s="5">
        <v>102.9</v>
      </c>
      <c r="F26804" s="5">
        <v>206.2</v>
      </c>
      <c r="G26804" s="5">
        <v>102.8</v>
      </c>
      <c r="H26804" s="5">
        <v>102.6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104</v>
      </c>
      <c r="D26805" s="5">
        <v>0.1</v>
      </c>
      <c r="E26805" s="5">
        <v>104.2</v>
      </c>
      <c r="F26805" s="5">
        <v>207.6</v>
      </c>
      <c r="G26805" s="5">
        <v>103.6</v>
      </c>
      <c r="H26805" s="5">
        <v>103.4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104</v>
      </c>
      <c r="D26806" s="5">
        <v>0.1</v>
      </c>
      <c r="E26806" s="5">
        <v>104.2</v>
      </c>
      <c r="F26806" s="5">
        <v>207.6</v>
      </c>
      <c r="G26806" s="5">
        <v>103.6</v>
      </c>
      <c r="H26806" s="5">
        <v>103.4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104.2</v>
      </c>
      <c r="D26807" s="5">
        <v>0.1</v>
      </c>
      <c r="E26807" s="5">
        <v>104.3</v>
      </c>
      <c r="F26807" s="5">
        <v>207.4</v>
      </c>
      <c r="G26807" s="5">
        <v>103.5</v>
      </c>
      <c r="H26807" s="5">
        <v>103.4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104.2</v>
      </c>
      <c r="D26808" s="5">
        <v>0.1</v>
      </c>
      <c r="E26808" s="5">
        <v>104.3</v>
      </c>
      <c r="F26808" s="5">
        <v>207.4</v>
      </c>
      <c r="G26808" s="5">
        <v>103.5</v>
      </c>
      <c r="H26808" s="5">
        <v>103.4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104.3</v>
      </c>
      <c r="D26809" s="5">
        <v>0.1</v>
      </c>
      <c r="E26809" s="5">
        <v>104.5</v>
      </c>
      <c r="F26809" s="5">
        <v>207.7</v>
      </c>
      <c r="G26809" s="5">
        <v>103.6</v>
      </c>
      <c r="H26809" s="5">
        <v>103.5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104.3</v>
      </c>
      <c r="D26810" s="5">
        <v>0.1</v>
      </c>
      <c r="E26810" s="5">
        <v>104.5</v>
      </c>
      <c r="F26810" s="5">
        <v>207.7</v>
      </c>
      <c r="G26810" s="5">
        <v>103.6</v>
      </c>
      <c r="H26810" s="5">
        <v>103.5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101.2</v>
      </c>
      <c r="D26811" s="5">
        <v>0.1</v>
      </c>
      <c r="E26811" s="5">
        <v>101.4</v>
      </c>
      <c r="F26811" s="5">
        <v>203.6</v>
      </c>
      <c r="G26811" s="5">
        <v>101.6</v>
      </c>
      <c r="H26811" s="5">
        <v>101.4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101.2</v>
      </c>
      <c r="D26812" s="5">
        <v>0.1</v>
      </c>
      <c r="E26812" s="5">
        <v>101.4</v>
      </c>
      <c r="F26812" s="5">
        <v>203.6</v>
      </c>
      <c r="G26812" s="5">
        <v>101.6</v>
      </c>
      <c r="H26812" s="5">
        <v>101.4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101.2</v>
      </c>
      <c r="D26813" s="5">
        <v>0.1</v>
      </c>
      <c r="E26813" s="5">
        <v>101.4</v>
      </c>
      <c r="F26813" s="5">
        <v>203.6</v>
      </c>
      <c r="G26813" s="5">
        <v>101.6</v>
      </c>
      <c r="H26813" s="5">
        <v>101.4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101.2</v>
      </c>
      <c r="D26814" s="5">
        <v>0.1</v>
      </c>
      <c r="E26814" s="5">
        <v>101.4</v>
      </c>
      <c r="F26814" s="5">
        <v>203.6</v>
      </c>
      <c r="G26814" s="5">
        <v>101.6</v>
      </c>
      <c r="H26814" s="5">
        <v>101.4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104.1</v>
      </c>
      <c r="D26815" s="5">
        <v>0.1</v>
      </c>
      <c r="E26815" s="5">
        <v>104.3</v>
      </c>
      <c r="F26815" s="5">
        <v>208</v>
      </c>
      <c r="G26815" s="5">
        <v>103.8</v>
      </c>
      <c r="H26815" s="5">
        <v>103.6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104.1</v>
      </c>
      <c r="D26816" s="5">
        <v>0.1</v>
      </c>
      <c r="E26816" s="5">
        <v>104.3</v>
      </c>
      <c r="F26816" s="5">
        <v>208</v>
      </c>
      <c r="G26816" s="5">
        <v>103.8</v>
      </c>
      <c r="H26816" s="5">
        <v>103.6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104.8</v>
      </c>
      <c r="D26817" s="5">
        <v>0.1</v>
      </c>
      <c r="E26817" s="5">
        <v>104.9</v>
      </c>
      <c r="F26817" s="5">
        <v>206.7</v>
      </c>
      <c r="G26817" s="5">
        <v>103.1</v>
      </c>
      <c r="H26817" s="5">
        <v>103.7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104.8</v>
      </c>
      <c r="D26818" s="5">
        <v>0.1</v>
      </c>
      <c r="E26818" s="5">
        <v>104.9</v>
      </c>
      <c r="F26818" s="5">
        <v>206.7</v>
      </c>
      <c r="G26818" s="5">
        <v>103.1</v>
      </c>
      <c r="H26818" s="5">
        <v>103.7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103.1</v>
      </c>
      <c r="D26819" s="5">
        <v>0.1</v>
      </c>
      <c r="E26819" s="5">
        <v>103.2</v>
      </c>
      <c r="F26819" s="5">
        <v>205.5</v>
      </c>
      <c r="G26819" s="5">
        <v>102.8</v>
      </c>
      <c r="H26819" s="5">
        <v>103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103.1</v>
      </c>
      <c r="D26820" s="5">
        <v>0.1</v>
      </c>
      <c r="E26820" s="5">
        <v>103.2</v>
      </c>
      <c r="F26820" s="5">
        <v>205.5</v>
      </c>
      <c r="G26820" s="5">
        <v>102.8</v>
      </c>
      <c r="H26820" s="5">
        <v>103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102.5</v>
      </c>
      <c r="D26821" s="5">
        <v>0.1</v>
      </c>
      <c r="E26821" s="5">
        <v>102.7</v>
      </c>
      <c r="F26821" s="5">
        <v>204.6</v>
      </c>
      <c r="G26821" s="5">
        <v>102.1</v>
      </c>
      <c r="H26821" s="5">
        <v>101.8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102.5</v>
      </c>
      <c r="D26822" s="5">
        <v>0.1</v>
      </c>
      <c r="E26822" s="5">
        <v>102.7</v>
      </c>
      <c r="F26822" s="5">
        <v>204.6</v>
      </c>
      <c r="G26822" s="5">
        <v>102.1</v>
      </c>
      <c r="H26822" s="5">
        <v>101.8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102.5</v>
      </c>
      <c r="D26823" s="5">
        <v>0.1</v>
      </c>
      <c r="E26823" s="5">
        <v>102.7</v>
      </c>
      <c r="F26823" s="5">
        <v>204.6</v>
      </c>
      <c r="G26823" s="5">
        <v>102.1</v>
      </c>
      <c r="H26823" s="5">
        <v>101.8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102.5</v>
      </c>
      <c r="D26824" s="5">
        <v>0.1</v>
      </c>
      <c r="E26824" s="5">
        <v>102.7</v>
      </c>
      <c r="F26824" s="5">
        <v>204.6</v>
      </c>
      <c r="G26824" s="5">
        <v>102.1</v>
      </c>
      <c r="H26824" s="5">
        <v>101.8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102</v>
      </c>
      <c r="D26825" s="5">
        <v>0.1</v>
      </c>
      <c r="E26825" s="5">
        <v>102.1</v>
      </c>
      <c r="F26825" s="5">
        <v>204</v>
      </c>
      <c r="G26825" s="5">
        <v>101.7</v>
      </c>
      <c r="H26825" s="5">
        <v>101.6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102</v>
      </c>
      <c r="D26826" s="5">
        <v>0.1</v>
      </c>
      <c r="E26826" s="5">
        <v>102.1</v>
      </c>
      <c r="F26826" s="5">
        <v>204</v>
      </c>
      <c r="G26826" s="5">
        <v>101.7</v>
      </c>
      <c r="H26826" s="5">
        <v>101.6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102.1</v>
      </c>
      <c r="D26827" s="5">
        <v>0.1</v>
      </c>
      <c r="E26827" s="5">
        <v>102.2</v>
      </c>
      <c r="F26827" s="5">
        <v>204.2</v>
      </c>
      <c r="G26827" s="5">
        <v>101.9</v>
      </c>
      <c r="H26827" s="5">
        <v>101.7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102.1</v>
      </c>
      <c r="D26828" s="5">
        <v>0.1</v>
      </c>
      <c r="E26828" s="5">
        <v>102.2</v>
      </c>
      <c r="F26828" s="5">
        <v>204.2</v>
      </c>
      <c r="G26828" s="5">
        <v>101.9</v>
      </c>
      <c r="H26828" s="5">
        <v>101.7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101.7</v>
      </c>
      <c r="D26829" s="5">
        <v>0.1</v>
      </c>
      <c r="E26829" s="5">
        <v>101.8</v>
      </c>
      <c r="F26829" s="5">
        <v>202.7</v>
      </c>
      <c r="G26829" s="5">
        <v>101.1</v>
      </c>
      <c r="H26829" s="5">
        <v>101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101.7</v>
      </c>
      <c r="D26830" s="5">
        <v>0.1</v>
      </c>
      <c r="E26830" s="5">
        <v>101.8</v>
      </c>
      <c r="F26830" s="5">
        <v>202.7</v>
      </c>
      <c r="G26830" s="5">
        <v>101.1</v>
      </c>
      <c r="H26830" s="5">
        <v>101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101.5</v>
      </c>
      <c r="D26831" s="5">
        <v>0.1</v>
      </c>
      <c r="E26831" s="5">
        <v>101.7</v>
      </c>
      <c r="F26831" s="5">
        <v>203</v>
      </c>
      <c r="G26831" s="5">
        <v>101.2</v>
      </c>
      <c r="H26831" s="5">
        <v>101.1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101.5</v>
      </c>
      <c r="D26832" s="5">
        <v>0.1</v>
      </c>
      <c r="E26832" s="5">
        <v>101.7</v>
      </c>
      <c r="F26832" s="5">
        <v>203</v>
      </c>
      <c r="G26832" s="5">
        <v>101.2</v>
      </c>
      <c r="H26832" s="5">
        <v>101.1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101.5</v>
      </c>
      <c r="D26833" s="5">
        <v>0.1</v>
      </c>
      <c r="E26833" s="5">
        <v>101.7</v>
      </c>
      <c r="F26833" s="5">
        <v>203</v>
      </c>
      <c r="G26833" s="5">
        <v>101.2</v>
      </c>
      <c r="H26833" s="5">
        <v>101.1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101.5</v>
      </c>
      <c r="D26834" s="5">
        <v>0.1</v>
      </c>
      <c r="E26834" s="5">
        <v>102.7</v>
      </c>
      <c r="F26834" s="5">
        <v>204.9</v>
      </c>
      <c r="G26834" s="5">
        <v>101.2</v>
      </c>
      <c r="H26834" s="5">
        <v>101.1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102.6</v>
      </c>
      <c r="D26835" s="5">
        <v>0.1</v>
      </c>
      <c r="E26835" s="5">
        <v>102.7</v>
      </c>
      <c r="F26835" s="5">
        <v>204.9</v>
      </c>
      <c r="G26835" s="5">
        <v>102.2</v>
      </c>
      <c r="H26835" s="5">
        <v>102.1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102.6</v>
      </c>
      <c r="D26836" s="5">
        <v>0.1</v>
      </c>
      <c r="E26836" s="5">
        <v>103</v>
      </c>
      <c r="F26836" s="5">
        <v>204.9</v>
      </c>
      <c r="G26836" s="5">
        <v>102.2</v>
      </c>
      <c r="H26836" s="5">
        <v>102.1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102.8</v>
      </c>
      <c r="D26837" s="5">
        <v>0.1</v>
      </c>
      <c r="E26837" s="5">
        <v>103</v>
      </c>
      <c r="F26837" s="5">
        <v>205.1</v>
      </c>
      <c r="G26837" s="5">
        <v>102.3</v>
      </c>
      <c r="H26837" s="5">
        <v>102.1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102.8</v>
      </c>
      <c r="D26838" s="5">
        <v>0.1</v>
      </c>
      <c r="E26838" s="5">
        <v>103</v>
      </c>
      <c r="F26838" s="5">
        <v>205.1</v>
      </c>
      <c r="G26838" s="5">
        <v>102.3</v>
      </c>
      <c r="H26838" s="5">
        <v>102.1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102.6</v>
      </c>
      <c r="D26839" s="5">
        <v>0.1</v>
      </c>
      <c r="E26839" s="5">
        <v>102.7</v>
      </c>
      <c r="F26839" s="5">
        <v>204.7</v>
      </c>
      <c r="G26839" s="5">
        <v>102.1</v>
      </c>
      <c r="H26839" s="5">
        <v>102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102.6</v>
      </c>
      <c r="D26840" s="5">
        <v>0.1</v>
      </c>
      <c r="E26840" s="5">
        <v>102.7</v>
      </c>
      <c r="F26840" s="5">
        <v>204.7</v>
      </c>
      <c r="G26840" s="5">
        <v>102.1</v>
      </c>
      <c r="H26840" s="5">
        <v>102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101.8</v>
      </c>
      <c r="D26841" s="5">
        <v>0.1</v>
      </c>
      <c r="E26841" s="5">
        <v>101.9</v>
      </c>
      <c r="F26841" s="5">
        <v>204.8</v>
      </c>
      <c r="G26841" s="5">
        <v>102.1</v>
      </c>
      <c r="H26841" s="5">
        <v>101.9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101.8</v>
      </c>
      <c r="D26842" s="5">
        <v>0.1</v>
      </c>
      <c r="E26842" s="5">
        <v>101.9</v>
      </c>
      <c r="F26842" s="5">
        <v>204.8</v>
      </c>
      <c r="G26842" s="5">
        <v>102.1</v>
      </c>
      <c r="H26842" s="5">
        <v>101.9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101.8</v>
      </c>
      <c r="D26843" s="5">
        <v>0.1</v>
      </c>
      <c r="E26843" s="5">
        <v>101.9</v>
      </c>
      <c r="F26843" s="5">
        <v>204.8</v>
      </c>
      <c r="G26843" s="5">
        <v>102.1</v>
      </c>
      <c r="H26843" s="5">
        <v>101.9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101.8</v>
      </c>
      <c r="D26844" s="5">
        <v>0.1</v>
      </c>
      <c r="E26844" s="5">
        <v>101.9</v>
      </c>
      <c r="F26844" s="5">
        <v>204.8</v>
      </c>
      <c r="G26844" s="5">
        <v>102.1</v>
      </c>
      <c r="H26844" s="5">
        <v>101.9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102.3</v>
      </c>
      <c r="D26845" s="5">
        <v>0.1</v>
      </c>
      <c r="E26845" s="5">
        <v>102.4</v>
      </c>
      <c r="F26845" s="5">
        <v>204.7</v>
      </c>
      <c r="G26845" s="5">
        <v>102.2</v>
      </c>
      <c r="H26845" s="5">
        <v>102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102.3</v>
      </c>
      <c r="D26846" s="5">
        <v>0.1</v>
      </c>
      <c r="E26846" s="5">
        <v>102.4</v>
      </c>
      <c r="F26846" s="5">
        <v>204.7</v>
      </c>
      <c r="G26846" s="5">
        <v>102.2</v>
      </c>
      <c r="H26846" s="5">
        <v>102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102.7</v>
      </c>
      <c r="D26847" s="5">
        <v>0.1</v>
      </c>
      <c r="E26847" s="5">
        <v>102.9</v>
      </c>
      <c r="F26847" s="5">
        <v>205.1</v>
      </c>
      <c r="G26847" s="5">
        <v>102.4</v>
      </c>
      <c r="H26847" s="5">
        <v>102.3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102.7</v>
      </c>
      <c r="D26848" s="5">
        <v>0.1</v>
      </c>
      <c r="E26848" s="5">
        <v>102.9</v>
      </c>
      <c r="F26848" s="5">
        <v>205.1</v>
      </c>
      <c r="G26848" s="5">
        <v>102.4</v>
      </c>
      <c r="H26848" s="5">
        <v>102.3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102.5</v>
      </c>
      <c r="D26849" s="5">
        <v>0.1</v>
      </c>
      <c r="E26849" s="5">
        <v>102.7</v>
      </c>
      <c r="F26849" s="5">
        <v>205.4</v>
      </c>
      <c r="G26849" s="5">
        <v>102.5</v>
      </c>
      <c r="H26849" s="5">
        <v>102.3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102.5</v>
      </c>
      <c r="D26850" s="5">
        <v>0.1</v>
      </c>
      <c r="E26850" s="5">
        <v>102.7</v>
      </c>
      <c r="F26850" s="5">
        <v>205.4</v>
      </c>
      <c r="G26850" s="5">
        <v>102.5</v>
      </c>
      <c r="H26850" s="5">
        <v>102.3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103.2</v>
      </c>
      <c r="D26851" s="5">
        <v>0.1</v>
      </c>
      <c r="E26851" s="5">
        <v>103.4</v>
      </c>
      <c r="F26851" s="5">
        <v>206.2</v>
      </c>
      <c r="G26851" s="5">
        <v>102.9</v>
      </c>
      <c r="H26851" s="5">
        <v>102.7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103.2</v>
      </c>
      <c r="D26852" s="5">
        <v>0.1</v>
      </c>
      <c r="E26852" s="5">
        <v>103.4</v>
      </c>
      <c r="F26852" s="5">
        <v>206.2</v>
      </c>
      <c r="G26852" s="5">
        <v>102.9</v>
      </c>
      <c r="H26852" s="5">
        <v>102.7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103.2</v>
      </c>
      <c r="D26853" s="5">
        <v>0.1</v>
      </c>
      <c r="E26853" s="5">
        <v>103.4</v>
      </c>
      <c r="F26853" s="5">
        <v>206.2</v>
      </c>
      <c r="G26853" s="5">
        <v>102.9</v>
      </c>
      <c r="H26853" s="5">
        <v>102.7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103.2</v>
      </c>
      <c r="D26854" s="5">
        <v>0.1</v>
      </c>
      <c r="E26854" s="5">
        <v>103.4</v>
      </c>
      <c r="F26854" s="5">
        <v>206.2</v>
      </c>
      <c r="G26854" s="5">
        <v>102.9</v>
      </c>
      <c r="H26854" s="5">
        <v>102.7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103</v>
      </c>
      <c r="D26855" s="5">
        <v>0.1</v>
      </c>
      <c r="E26855" s="5">
        <v>103.1</v>
      </c>
      <c r="F26855" s="5">
        <v>206.5</v>
      </c>
      <c r="G26855" s="5">
        <v>103</v>
      </c>
      <c r="H26855" s="5">
        <v>102.9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103</v>
      </c>
      <c r="D26856" s="5">
        <v>0.1</v>
      </c>
      <c r="E26856" s="5">
        <v>103.1</v>
      </c>
      <c r="F26856" s="5">
        <v>206.5</v>
      </c>
      <c r="G26856" s="5">
        <v>103</v>
      </c>
      <c r="H26856" s="5">
        <v>102.9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102.9</v>
      </c>
      <c r="D26857" s="5">
        <v>0.1</v>
      </c>
      <c r="E26857" s="5">
        <v>103.1</v>
      </c>
      <c r="F26857" s="5">
        <v>205.1</v>
      </c>
      <c r="G26857" s="5">
        <v>102.4</v>
      </c>
      <c r="H26857" s="5">
        <v>102.2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102.9</v>
      </c>
      <c r="D26858" s="5">
        <v>0.1</v>
      </c>
      <c r="E26858" s="5">
        <v>103.1</v>
      </c>
      <c r="F26858" s="5">
        <v>205.1</v>
      </c>
      <c r="G26858" s="5">
        <v>102.4</v>
      </c>
      <c r="H26858" s="5">
        <v>102.2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103.3</v>
      </c>
      <c r="D26859" s="5">
        <v>0.1</v>
      </c>
      <c r="E26859" s="5">
        <v>103.4</v>
      </c>
      <c r="F26859" s="5">
        <v>205.8</v>
      </c>
      <c r="G26859" s="5">
        <v>102.7</v>
      </c>
      <c r="H26859" s="5">
        <v>102.6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103.3</v>
      </c>
      <c r="D26860" s="5">
        <v>0.1</v>
      </c>
      <c r="E26860" s="5">
        <v>103.4</v>
      </c>
      <c r="F26860" s="5">
        <v>205.8</v>
      </c>
      <c r="G26860" s="5">
        <v>102.7</v>
      </c>
      <c r="H26860" s="5">
        <v>102.6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104.2</v>
      </c>
      <c r="D26861" s="5">
        <v>0.1</v>
      </c>
      <c r="E26861" s="5">
        <v>104.3</v>
      </c>
      <c r="F26861" s="5">
        <v>207.4</v>
      </c>
      <c r="G26861" s="5">
        <v>103.5</v>
      </c>
      <c r="H26861" s="5">
        <v>103.4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104.2</v>
      </c>
      <c r="D26862" s="5">
        <v>0.1</v>
      </c>
      <c r="E26862" s="5">
        <v>104.3</v>
      </c>
      <c r="F26862" s="5">
        <v>207.4</v>
      </c>
      <c r="G26862" s="5">
        <v>103.5</v>
      </c>
      <c r="H26862" s="5">
        <v>103.4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104.2</v>
      </c>
      <c r="D26863" s="5">
        <v>0.1</v>
      </c>
      <c r="E26863" s="5">
        <v>104.3</v>
      </c>
      <c r="F26863" s="5">
        <v>207.4</v>
      </c>
      <c r="G26863" s="5">
        <v>103.5</v>
      </c>
      <c r="H26863" s="5">
        <v>103.4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103.2</v>
      </c>
      <c r="D26864" s="5">
        <v>0.1</v>
      </c>
      <c r="E26864" s="5">
        <v>103.4</v>
      </c>
      <c r="F26864" s="5">
        <v>205.2</v>
      </c>
      <c r="G26864" s="5">
        <v>102.4</v>
      </c>
      <c r="H26864" s="5">
        <v>102.3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103.8</v>
      </c>
      <c r="D26865" s="5">
        <v>0.1</v>
      </c>
      <c r="E26865" s="5">
        <v>104</v>
      </c>
      <c r="F26865" s="5">
        <v>206.3</v>
      </c>
      <c r="G26865" s="5">
        <v>103</v>
      </c>
      <c r="H26865" s="5">
        <v>102.9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103.8</v>
      </c>
      <c r="D26866" s="5">
        <v>0.1</v>
      </c>
      <c r="E26866" s="5">
        <v>104</v>
      </c>
      <c r="F26866" s="5">
        <v>206.3</v>
      </c>
      <c r="G26866" s="5">
        <v>103</v>
      </c>
      <c r="H26866" s="5">
        <v>102.9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102.8</v>
      </c>
      <c r="D26867" s="5">
        <v>0.1</v>
      </c>
      <c r="E26867" s="5">
        <v>103</v>
      </c>
      <c r="F26867" s="5">
        <v>204.8</v>
      </c>
      <c r="G26867" s="5">
        <v>102.2</v>
      </c>
      <c r="H26867" s="5">
        <v>102.1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102.8</v>
      </c>
      <c r="D26868" s="5">
        <v>0.1</v>
      </c>
      <c r="E26868" s="5">
        <v>103</v>
      </c>
      <c r="F26868" s="5">
        <v>204.8</v>
      </c>
      <c r="G26868" s="5">
        <v>102.2</v>
      </c>
      <c r="H26868" s="5">
        <v>102.1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102.4</v>
      </c>
      <c r="D26869" s="5">
        <v>0.1</v>
      </c>
      <c r="E26869" s="5">
        <v>102.5</v>
      </c>
      <c r="F26869" s="5">
        <v>205.7</v>
      </c>
      <c r="G26869" s="5">
        <v>102.5</v>
      </c>
      <c r="H26869" s="5">
        <v>102.3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102.4</v>
      </c>
      <c r="D26870" s="5">
        <v>0.1</v>
      </c>
      <c r="E26870" s="5">
        <v>102.5</v>
      </c>
      <c r="F26870" s="5">
        <v>205.7</v>
      </c>
      <c r="G26870" s="5">
        <v>102.5</v>
      </c>
      <c r="H26870" s="5">
        <v>102.3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102.4</v>
      </c>
      <c r="D26871" s="5">
        <v>0.1</v>
      </c>
      <c r="E26871" s="5">
        <v>102.5</v>
      </c>
      <c r="F26871" s="5">
        <v>205.7</v>
      </c>
      <c r="G26871" s="5">
        <v>102.5</v>
      </c>
      <c r="H26871" s="5">
        <v>102.3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102.4</v>
      </c>
      <c r="D26872" s="5">
        <v>0.1</v>
      </c>
      <c r="E26872" s="5">
        <v>102.5</v>
      </c>
      <c r="F26872" s="5">
        <v>205.7</v>
      </c>
      <c r="G26872" s="5">
        <v>102.5</v>
      </c>
      <c r="H26872" s="5">
        <v>102.3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102.6</v>
      </c>
      <c r="D26873" s="5">
        <v>0.1</v>
      </c>
      <c r="E26873" s="5">
        <v>102.7</v>
      </c>
      <c r="F26873" s="5">
        <v>205.2</v>
      </c>
      <c r="G26873" s="5">
        <v>102.3</v>
      </c>
      <c r="H26873" s="5">
        <v>102.2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102.6</v>
      </c>
      <c r="D26874" s="5">
        <v>0.1</v>
      </c>
      <c r="E26874" s="5">
        <v>102.7</v>
      </c>
      <c r="F26874" s="5">
        <v>205.2</v>
      </c>
      <c r="G26874" s="5">
        <v>102.3</v>
      </c>
      <c r="H26874" s="5">
        <v>102.2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102.6</v>
      </c>
      <c r="D26875" s="5">
        <v>0.1</v>
      </c>
      <c r="E26875" s="5">
        <v>102.7</v>
      </c>
      <c r="F26875" s="5">
        <v>203.6</v>
      </c>
      <c r="G26875" s="5">
        <v>101.6</v>
      </c>
      <c r="H26875" s="5">
        <v>101.5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102.6</v>
      </c>
      <c r="D26876" s="5">
        <v>0.1</v>
      </c>
      <c r="E26876" s="5">
        <v>102.7</v>
      </c>
      <c r="F26876" s="5">
        <v>203.6</v>
      </c>
      <c r="G26876" s="5">
        <v>101.6</v>
      </c>
      <c r="H26876" s="5">
        <v>101.5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103.1</v>
      </c>
      <c r="D26877" s="5">
        <v>0.1</v>
      </c>
      <c r="E26877" s="5">
        <v>103.3</v>
      </c>
      <c r="F26877" s="5">
        <v>205.9</v>
      </c>
      <c r="G26877" s="5">
        <v>102.7</v>
      </c>
      <c r="H26877" s="5">
        <v>102.6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103.1</v>
      </c>
      <c r="D26878" s="5">
        <v>0.1</v>
      </c>
      <c r="E26878" s="5">
        <v>103.3</v>
      </c>
      <c r="F26878" s="5">
        <v>205.9</v>
      </c>
      <c r="G26878" s="5">
        <v>102.7</v>
      </c>
      <c r="H26878" s="5">
        <v>102.6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102.7</v>
      </c>
      <c r="D26879" s="5">
        <v>0.1</v>
      </c>
      <c r="E26879" s="5">
        <v>102.8</v>
      </c>
      <c r="F26879" s="5">
        <v>205.6</v>
      </c>
      <c r="G26879" s="5">
        <v>102.7</v>
      </c>
      <c r="H26879" s="5">
        <v>102.6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102.7</v>
      </c>
      <c r="D26880" s="5">
        <v>0.1</v>
      </c>
      <c r="E26880" s="5">
        <v>102.8</v>
      </c>
      <c r="F26880" s="5">
        <v>205.6</v>
      </c>
      <c r="G26880" s="5">
        <v>102.6</v>
      </c>
      <c r="H26880" s="5">
        <v>102.4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102.7</v>
      </c>
      <c r="D26881" s="5">
        <v>0.1</v>
      </c>
      <c r="E26881" s="5">
        <v>102.8</v>
      </c>
      <c r="F26881" s="5">
        <v>204.2</v>
      </c>
      <c r="G26881" s="5">
        <v>101.7</v>
      </c>
      <c r="H26881" s="5">
        <v>101.4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102.4</v>
      </c>
      <c r="D26882" s="5">
        <v>0.1</v>
      </c>
      <c r="E26882" s="5">
        <v>102.5</v>
      </c>
      <c r="F26882" s="5">
        <v>204.2</v>
      </c>
      <c r="G26882" s="5">
        <v>101.7</v>
      </c>
      <c r="H26882" s="5">
        <v>101.4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102.4</v>
      </c>
      <c r="D26883" s="5">
        <v>0.1</v>
      </c>
      <c r="E26883" s="5">
        <v>102.5</v>
      </c>
      <c r="F26883" s="5">
        <v>204.2</v>
      </c>
      <c r="G26883" s="5">
        <v>102.7</v>
      </c>
      <c r="H26883" s="5">
        <v>102.6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102.8</v>
      </c>
      <c r="D26884" s="5">
        <v>0.1</v>
      </c>
      <c r="E26884" s="5">
        <v>102.9</v>
      </c>
      <c r="F26884" s="5">
        <v>205.7</v>
      </c>
      <c r="G26884" s="5">
        <v>102.7</v>
      </c>
      <c r="H26884" s="5">
        <v>102.6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102.8</v>
      </c>
      <c r="D26885" s="5">
        <v>0.1</v>
      </c>
      <c r="E26885" s="5">
        <v>103.8</v>
      </c>
      <c r="F26885" s="5">
        <v>206.4</v>
      </c>
      <c r="G26885" s="5">
        <v>103</v>
      </c>
      <c r="H26885" s="5">
        <v>102.8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103.7</v>
      </c>
      <c r="D26886" s="5">
        <v>0.1</v>
      </c>
      <c r="E26886" s="5">
        <v>103.8</v>
      </c>
      <c r="F26886" s="5">
        <v>206.4</v>
      </c>
      <c r="G26886" s="5">
        <v>103</v>
      </c>
      <c r="H26886" s="5">
        <v>102.8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103.7</v>
      </c>
      <c r="D26887" s="5">
        <v>0.1</v>
      </c>
      <c r="E26887" s="5">
        <v>103.8</v>
      </c>
      <c r="F26887" s="5">
        <v>207</v>
      </c>
      <c r="G26887" s="5">
        <v>103.3</v>
      </c>
      <c r="H26887" s="5">
        <v>103.2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103.8</v>
      </c>
      <c r="D26888" s="5">
        <v>0.1</v>
      </c>
      <c r="E26888" s="5">
        <v>103.9</v>
      </c>
      <c r="F26888" s="5">
        <v>207</v>
      </c>
      <c r="G26888" s="5">
        <v>103.3</v>
      </c>
      <c r="H26888" s="5">
        <v>103.2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103.8</v>
      </c>
      <c r="D26889" s="5">
        <v>0.1</v>
      </c>
      <c r="E26889" s="5">
        <v>103.9</v>
      </c>
      <c r="F26889" s="5">
        <v>207</v>
      </c>
      <c r="G26889" s="5">
        <v>103.3</v>
      </c>
      <c r="H26889" s="5">
        <v>103.2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103.8</v>
      </c>
      <c r="D26890" s="5">
        <v>0.1</v>
      </c>
      <c r="E26890" s="5">
        <v>103.9</v>
      </c>
      <c r="F26890" s="5">
        <v>207</v>
      </c>
      <c r="G26890" s="5">
        <v>103.3</v>
      </c>
      <c r="H26890" s="5">
        <v>103.2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102.1</v>
      </c>
      <c r="D26891" s="5">
        <v>0.1</v>
      </c>
      <c r="E26891" s="5">
        <v>102.3</v>
      </c>
      <c r="F26891" s="5">
        <v>204.1</v>
      </c>
      <c r="G26891" s="5">
        <v>101.8</v>
      </c>
      <c r="H26891" s="5">
        <v>101.7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102.1</v>
      </c>
      <c r="D26892" s="5">
        <v>0.1</v>
      </c>
      <c r="E26892" s="5">
        <v>102.3</v>
      </c>
      <c r="F26892" s="5">
        <v>204.1</v>
      </c>
      <c r="G26892" s="5">
        <v>101.8</v>
      </c>
      <c r="H26892" s="5">
        <v>101.7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102.8</v>
      </c>
      <c r="D26893" s="5">
        <v>0.1</v>
      </c>
      <c r="E26893" s="5">
        <v>103</v>
      </c>
      <c r="F26893" s="5">
        <v>204.7</v>
      </c>
      <c r="G26893" s="5">
        <v>102.1</v>
      </c>
      <c r="H26893" s="5">
        <v>102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102.8</v>
      </c>
      <c r="D26894" s="5">
        <v>0.1</v>
      </c>
      <c r="E26894" s="5">
        <v>103</v>
      </c>
      <c r="F26894" s="5">
        <v>204.7</v>
      </c>
      <c r="G26894" s="5">
        <v>102.1</v>
      </c>
      <c r="H26894" s="5">
        <v>102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101.3</v>
      </c>
      <c r="D26895" s="5">
        <v>0.1</v>
      </c>
      <c r="E26895" s="5">
        <v>101.5</v>
      </c>
      <c r="F26895" s="5">
        <v>200.8</v>
      </c>
      <c r="G26895" s="5">
        <v>100.3</v>
      </c>
      <c r="H26895" s="5">
        <v>100.2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101.3</v>
      </c>
      <c r="D26896" s="5">
        <v>0.1</v>
      </c>
      <c r="E26896" s="5">
        <v>101.5</v>
      </c>
      <c r="F26896" s="5">
        <v>200.8</v>
      </c>
      <c r="G26896" s="5">
        <v>100.3</v>
      </c>
      <c r="H26896" s="5">
        <v>100.2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102.3</v>
      </c>
      <c r="D26897" s="5">
        <v>0.1</v>
      </c>
      <c r="E26897" s="5">
        <v>102.4</v>
      </c>
      <c r="F26897" s="5">
        <v>204.5</v>
      </c>
      <c r="G26897" s="5">
        <v>102</v>
      </c>
      <c r="H26897" s="5">
        <v>101.8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102.3</v>
      </c>
      <c r="D26898" s="5">
        <v>0.1</v>
      </c>
      <c r="E26898" s="5">
        <v>102.4</v>
      </c>
      <c r="F26898" s="5">
        <v>204.5</v>
      </c>
      <c r="G26898" s="5">
        <v>102</v>
      </c>
      <c r="H26898" s="5">
        <v>101.8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102.3</v>
      </c>
      <c r="D26899" s="5">
        <v>0.1</v>
      </c>
      <c r="E26899" s="5">
        <v>102.4</v>
      </c>
      <c r="F26899" s="5">
        <v>204.5</v>
      </c>
      <c r="G26899" s="5">
        <v>102</v>
      </c>
      <c r="H26899" s="5">
        <v>101.8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102.3</v>
      </c>
      <c r="D26900" s="5">
        <v>0.1</v>
      </c>
      <c r="E26900" s="5">
        <v>102.4</v>
      </c>
      <c r="F26900" s="5">
        <v>204.5</v>
      </c>
      <c r="G26900" s="5">
        <v>102</v>
      </c>
      <c r="H26900" s="5">
        <v>101.8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101</v>
      </c>
      <c r="D26901" s="5">
        <v>0.1</v>
      </c>
      <c r="E26901" s="5">
        <v>101.1</v>
      </c>
      <c r="F26901" s="5">
        <v>201.6</v>
      </c>
      <c r="G26901" s="5">
        <v>100.6</v>
      </c>
      <c r="H26901" s="5">
        <v>100.5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101</v>
      </c>
      <c r="D26902" s="5">
        <v>0.1</v>
      </c>
      <c r="E26902" s="5">
        <v>101.1</v>
      </c>
      <c r="F26902" s="5">
        <v>201.6</v>
      </c>
      <c r="G26902" s="5">
        <v>100.6</v>
      </c>
      <c r="H26902" s="5">
        <v>100.5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102</v>
      </c>
      <c r="D26903" s="5">
        <v>0.1</v>
      </c>
      <c r="E26903" s="5">
        <v>102.1</v>
      </c>
      <c r="F26903" s="5">
        <v>203.3</v>
      </c>
      <c r="G26903" s="5">
        <v>101.4</v>
      </c>
      <c r="H26903" s="5">
        <v>101.3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102</v>
      </c>
      <c r="D26904" s="5">
        <v>0.1</v>
      </c>
      <c r="E26904" s="5">
        <v>102.1</v>
      </c>
      <c r="F26904" s="5">
        <v>203.3</v>
      </c>
      <c r="G26904" s="5">
        <v>101.4</v>
      </c>
      <c r="H26904" s="5">
        <v>101.3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102.7</v>
      </c>
      <c r="D26905" s="5">
        <v>0.1</v>
      </c>
      <c r="E26905" s="5">
        <v>102.9</v>
      </c>
      <c r="F26905" s="5">
        <v>205.3</v>
      </c>
      <c r="G26905" s="5">
        <v>102.4</v>
      </c>
      <c r="H26905" s="5">
        <v>102.3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102.7</v>
      </c>
      <c r="D26906" s="5">
        <v>0.1</v>
      </c>
      <c r="E26906" s="5">
        <v>102.9</v>
      </c>
      <c r="F26906" s="5">
        <v>205.3</v>
      </c>
      <c r="G26906" s="5">
        <v>102.4</v>
      </c>
      <c r="H26906" s="5">
        <v>102.3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101.8</v>
      </c>
      <c r="D26907" s="5">
        <v>0.1</v>
      </c>
      <c r="E26907" s="5">
        <v>102</v>
      </c>
      <c r="F26907" s="5">
        <v>205.5</v>
      </c>
      <c r="G26907" s="5">
        <v>102.3</v>
      </c>
      <c r="H26907" s="5">
        <v>101.9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101.8</v>
      </c>
      <c r="D26908" s="5">
        <v>0.1</v>
      </c>
      <c r="E26908" s="5">
        <v>102</v>
      </c>
      <c r="F26908" s="5">
        <v>205.5</v>
      </c>
      <c r="G26908" s="5">
        <v>102.3</v>
      </c>
      <c r="H26908" s="5">
        <v>101.9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101.8</v>
      </c>
      <c r="D26909" s="5">
        <v>0.1</v>
      </c>
      <c r="E26909" s="5">
        <v>102</v>
      </c>
      <c r="F26909" s="5">
        <v>205.5</v>
      </c>
      <c r="G26909" s="5">
        <v>102.3</v>
      </c>
      <c r="H26909" s="5">
        <v>101.9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101.8</v>
      </c>
      <c r="D26910" s="5">
        <v>0.1</v>
      </c>
      <c r="E26910" s="5">
        <v>102</v>
      </c>
      <c r="F26910" s="5">
        <v>205.5</v>
      </c>
      <c r="G26910" s="5">
        <v>102.3</v>
      </c>
      <c r="H26910" s="5">
        <v>101.9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103.3</v>
      </c>
      <c r="D26911" s="5">
        <v>0.1</v>
      </c>
      <c r="E26911" s="5">
        <v>103.4</v>
      </c>
      <c r="F26911" s="5">
        <v>204.1</v>
      </c>
      <c r="G26911" s="5">
        <v>101.9</v>
      </c>
      <c r="H26911" s="5">
        <v>101.8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103.3</v>
      </c>
      <c r="D26912" s="5">
        <v>0.1</v>
      </c>
      <c r="E26912" s="5">
        <v>103.4</v>
      </c>
      <c r="F26912" s="5">
        <v>204.1</v>
      </c>
      <c r="G26912" s="5">
        <v>101.9</v>
      </c>
      <c r="H26912" s="5">
        <v>101.8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102.9</v>
      </c>
      <c r="D26913" s="5">
        <v>0.1</v>
      </c>
      <c r="E26913" s="5">
        <v>103.1</v>
      </c>
      <c r="F26913" s="5">
        <v>205</v>
      </c>
      <c r="G26913" s="5">
        <v>102.2</v>
      </c>
      <c r="H26913" s="5">
        <v>101.9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102.9</v>
      </c>
      <c r="D26914" s="5">
        <v>0.1</v>
      </c>
      <c r="E26914" s="5">
        <v>103.1</v>
      </c>
      <c r="F26914" s="5">
        <v>205</v>
      </c>
      <c r="G26914" s="5">
        <v>102.2</v>
      </c>
      <c r="H26914" s="5">
        <v>101.9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100.9</v>
      </c>
      <c r="D26915" s="5">
        <v>0.1</v>
      </c>
      <c r="E26915" s="5">
        <v>101.1</v>
      </c>
      <c r="F26915" s="5">
        <v>204.1</v>
      </c>
      <c r="G26915" s="5">
        <v>101.7</v>
      </c>
      <c r="H26915" s="5">
        <v>101.5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100.9</v>
      </c>
      <c r="D26916" s="5">
        <v>0.1</v>
      </c>
      <c r="E26916" s="5">
        <v>101.1</v>
      </c>
      <c r="F26916" s="5">
        <v>204.1</v>
      </c>
      <c r="G26916" s="5">
        <v>101.7</v>
      </c>
      <c r="H26916" s="5">
        <v>101.5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102</v>
      </c>
      <c r="D26917" s="5">
        <v>0.1</v>
      </c>
      <c r="E26917" s="5">
        <v>102.1</v>
      </c>
      <c r="F26917" s="5">
        <v>203.9</v>
      </c>
      <c r="G26917" s="5">
        <v>101.7</v>
      </c>
      <c r="H26917" s="5">
        <v>101.6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102</v>
      </c>
      <c r="D26918" s="5">
        <v>0.1</v>
      </c>
      <c r="E26918" s="5">
        <v>102.1</v>
      </c>
      <c r="F26918" s="5">
        <v>203.9</v>
      </c>
      <c r="G26918" s="5">
        <v>101.7</v>
      </c>
      <c r="H26918" s="5">
        <v>101.6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102</v>
      </c>
      <c r="D26919" s="5">
        <v>0.1</v>
      </c>
      <c r="E26919" s="5">
        <v>102.1</v>
      </c>
      <c r="F26919" s="5">
        <v>203.9</v>
      </c>
      <c r="G26919" s="5">
        <v>101.7</v>
      </c>
      <c r="H26919" s="5">
        <v>101.6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102</v>
      </c>
      <c r="D26920" s="5">
        <v>0.1</v>
      </c>
      <c r="E26920" s="5">
        <v>102.1</v>
      </c>
      <c r="F26920" s="5">
        <v>203.9</v>
      </c>
      <c r="G26920" s="5">
        <v>101.7</v>
      </c>
      <c r="H26920" s="5">
        <v>101.6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101.1</v>
      </c>
      <c r="D26921" s="5">
        <v>0.1</v>
      </c>
      <c r="E26921" s="5">
        <v>101.2</v>
      </c>
      <c r="F26921" s="5">
        <v>201.2</v>
      </c>
      <c r="G26921" s="5">
        <v>100.4</v>
      </c>
      <c r="H26921" s="5">
        <v>100.4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101.1</v>
      </c>
      <c r="D26922" s="5">
        <v>0.1</v>
      </c>
      <c r="E26922" s="5">
        <v>101.2</v>
      </c>
      <c r="F26922" s="5">
        <v>201.2</v>
      </c>
      <c r="G26922" s="5">
        <v>100.4</v>
      </c>
      <c r="H26922" s="5">
        <v>100.4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102.7</v>
      </c>
      <c r="D26923" s="5">
        <v>0.1</v>
      </c>
      <c r="E26923" s="5">
        <v>102.8</v>
      </c>
      <c r="F26923" s="5">
        <v>204.9</v>
      </c>
      <c r="G26923" s="5">
        <v>102.2</v>
      </c>
      <c r="H26923" s="5">
        <v>102.1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102.7</v>
      </c>
      <c r="D26924" s="5">
        <v>0.1</v>
      </c>
      <c r="E26924" s="5">
        <v>102.8</v>
      </c>
      <c r="F26924" s="5">
        <v>204.9</v>
      </c>
      <c r="G26924" s="5">
        <v>102.2</v>
      </c>
      <c r="H26924" s="5">
        <v>102.1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101.6</v>
      </c>
      <c r="D26925" s="5">
        <v>0.1</v>
      </c>
      <c r="E26925" s="5">
        <v>101.8</v>
      </c>
      <c r="F26925" s="5">
        <v>203.8</v>
      </c>
      <c r="G26925" s="5">
        <v>101.6</v>
      </c>
      <c r="H26925" s="5">
        <v>101.4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101.6</v>
      </c>
      <c r="D26926" s="5">
        <v>0.1</v>
      </c>
      <c r="E26926" s="5">
        <v>101.8</v>
      </c>
      <c r="F26926" s="5">
        <v>203.8</v>
      </c>
      <c r="G26926" s="5">
        <v>101.6</v>
      </c>
      <c r="H26926" s="5">
        <v>101.4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101.8</v>
      </c>
      <c r="D26927" s="5">
        <v>0.1</v>
      </c>
      <c r="E26927" s="5">
        <v>101.9</v>
      </c>
      <c r="F26927" s="5">
        <v>203.9</v>
      </c>
      <c r="G26927" s="5">
        <v>101.6</v>
      </c>
      <c r="H26927" s="5">
        <v>101.4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101.8</v>
      </c>
      <c r="D26928" s="5">
        <v>0.1</v>
      </c>
      <c r="E26928" s="5">
        <v>101.9</v>
      </c>
      <c r="F26928" s="5">
        <v>203.9</v>
      </c>
      <c r="G26928" s="5">
        <v>101.6</v>
      </c>
      <c r="H26928" s="5">
        <v>101.4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101.8</v>
      </c>
      <c r="D26929" s="5">
        <v>0.1</v>
      </c>
      <c r="E26929" s="5">
        <v>101.9</v>
      </c>
      <c r="F26929" s="5">
        <v>203.9</v>
      </c>
      <c r="G26929" s="5">
        <v>101.6</v>
      </c>
      <c r="H26929" s="5">
        <v>101.4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101.8</v>
      </c>
      <c r="D26930" s="5">
        <v>0.1</v>
      </c>
      <c r="E26930" s="5">
        <v>101.9</v>
      </c>
      <c r="F26930" s="5">
        <v>203.9</v>
      </c>
      <c r="G26930" s="5">
        <v>101.6</v>
      </c>
      <c r="H26930" s="5">
        <v>101.4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101.8</v>
      </c>
      <c r="D26931" s="5">
        <v>0.1</v>
      </c>
      <c r="E26931" s="5">
        <v>101.9</v>
      </c>
      <c r="F26931" s="5">
        <v>203.7</v>
      </c>
      <c r="G26931" s="5">
        <v>101.7</v>
      </c>
      <c r="H26931" s="5">
        <v>101.5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101.8</v>
      </c>
      <c r="D26932" s="5">
        <v>0.1</v>
      </c>
      <c r="E26932" s="5">
        <v>101.9</v>
      </c>
      <c r="F26932" s="5">
        <v>203.7</v>
      </c>
      <c r="G26932" s="5">
        <v>101.7</v>
      </c>
      <c r="H26932" s="5">
        <v>101.5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102.6</v>
      </c>
      <c r="D26933" s="5">
        <v>0.1</v>
      </c>
      <c r="E26933" s="5">
        <v>102.7</v>
      </c>
      <c r="F26933" s="5">
        <v>205.2</v>
      </c>
      <c r="G26933" s="5">
        <v>102.4</v>
      </c>
      <c r="H26933" s="5">
        <v>102.3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102.6</v>
      </c>
      <c r="D26934" s="5">
        <v>0.1</v>
      </c>
      <c r="E26934" s="5">
        <v>102.7</v>
      </c>
      <c r="F26934" s="5">
        <v>205.2</v>
      </c>
      <c r="G26934" s="5">
        <v>102.4</v>
      </c>
      <c r="H26934" s="5">
        <v>102.3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103</v>
      </c>
      <c r="D26935" s="5">
        <v>0.1</v>
      </c>
      <c r="E26935" s="5">
        <v>103.1</v>
      </c>
      <c r="F26935" s="5">
        <v>205.7</v>
      </c>
      <c r="G26935" s="5">
        <v>102.6</v>
      </c>
      <c r="H26935" s="5">
        <v>102.5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103</v>
      </c>
      <c r="D26936" s="5">
        <v>0.1</v>
      </c>
      <c r="E26936" s="5">
        <v>103.1</v>
      </c>
      <c r="F26936" s="5">
        <v>205.7</v>
      </c>
      <c r="G26936" s="5">
        <v>102.6</v>
      </c>
      <c r="H26936" s="5">
        <v>102.5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102.7</v>
      </c>
      <c r="D26937" s="5">
        <v>0.1</v>
      </c>
      <c r="E26937" s="5">
        <v>102.8</v>
      </c>
      <c r="F26937" s="5">
        <v>206.2</v>
      </c>
      <c r="G26937" s="5">
        <v>102.8</v>
      </c>
      <c r="H26937" s="5">
        <v>102.6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102.7</v>
      </c>
      <c r="D26938" s="5">
        <v>0.1</v>
      </c>
      <c r="E26938" s="5">
        <v>102.8</v>
      </c>
      <c r="F26938" s="5">
        <v>206.2</v>
      </c>
      <c r="G26938" s="5">
        <v>102.8</v>
      </c>
      <c r="H26938" s="5">
        <v>102.6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102.7</v>
      </c>
      <c r="D26939" s="5">
        <v>0.1</v>
      </c>
      <c r="E26939" s="5">
        <v>102.8</v>
      </c>
      <c r="F26939" s="5">
        <v>206.2</v>
      </c>
      <c r="G26939" s="5">
        <v>102.8</v>
      </c>
      <c r="H26939" s="5">
        <v>102.6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102.7</v>
      </c>
      <c r="D26940" s="5">
        <v>0.1</v>
      </c>
      <c r="E26940" s="5">
        <v>102.8</v>
      </c>
      <c r="F26940" s="5">
        <v>206.2</v>
      </c>
      <c r="G26940" s="5">
        <v>102.8</v>
      </c>
      <c r="H26940" s="5">
        <v>102.6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101.7</v>
      </c>
      <c r="D26941" s="5">
        <v>0.1</v>
      </c>
      <c r="E26941" s="5">
        <v>101.8</v>
      </c>
      <c r="F26941" s="5">
        <v>203.8</v>
      </c>
      <c r="G26941" s="5">
        <v>101.6</v>
      </c>
      <c r="H26941" s="5">
        <v>101.4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101.7</v>
      </c>
      <c r="D26942" s="5">
        <v>0.1</v>
      </c>
      <c r="E26942" s="5">
        <v>101.8</v>
      </c>
      <c r="F26942" s="5">
        <v>203.8</v>
      </c>
      <c r="G26942" s="5">
        <v>101.6</v>
      </c>
      <c r="H26942" s="5">
        <v>101.4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102</v>
      </c>
      <c r="D26943" s="5">
        <v>0.1</v>
      </c>
      <c r="E26943" s="5">
        <v>102.9</v>
      </c>
      <c r="F26943" s="5">
        <v>203.8</v>
      </c>
      <c r="G26943" s="5">
        <v>102.3</v>
      </c>
      <c r="H26943" s="5">
        <v>102.2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102</v>
      </c>
      <c r="D26944" s="5">
        <v>0.1</v>
      </c>
      <c r="E26944" s="5">
        <v>102.9</v>
      </c>
      <c r="F26944" s="5">
        <v>203.8</v>
      </c>
      <c r="G26944" s="5">
        <v>102.3</v>
      </c>
      <c r="H26944" s="5">
        <v>102.2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102.8</v>
      </c>
      <c r="D26945" s="5">
        <v>0.1</v>
      </c>
      <c r="E26945" s="5">
        <v>103</v>
      </c>
      <c r="F26945" s="5">
        <v>205.2</v>
      </c>
      <c r="G26945" s="5">
        <v>102.4</v>
      </c>
      <c r="H26945" s="5">
        <v>102.3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102.8</v>
      </c>
      <c r="D26946" s="5">
        <v>0.1</v>
      </c>
      <c r="E26946" s="5">
        <v>103</v>
      </c>
      <c r="F26946" s="5">
        <v>205.2</v>
      </c>
      <c r="G26946" s="5">
        <v>102.4</v>
      </c>
      <c r="H26946" s="5">
        <v>102.3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103.4</v>
      </c>
      <c r="D26947" s="5">
        <v>0.1</v>
      </c>
      <c r="E26947" s="5">
        <v>103.5</v>
      </c>
      <c r="F26947" s="5">
        <v>205.8</v>
      </c>
      <c r="G26947" s="5">
        <v>102.6</v>
      </c>
      <c r="H26947" s="5">
        <v>102.4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103.4</v>
      </c>
      <c r="D26948" s="5">
        <v>0.1</v>
      </c>
      <c r="E26948" s="5">
        <v>103.5</v>
      </c>
      <c r="F26948" s="5">
        <v>205.8</v>
      </c>
      <c r="G26948" s="5">
        <v>102.6</v>
      </c>
      <c r="H26948" s="5">
        <v>102.4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103.4</v>
      </c>
      <c r="D26949" s="5">
        <v>0.1</v>
      </c>
      <c r="E26949" s="5">
        <v>103.5</v>
      </c>
      <c r="F26949" s="5">
        <v>205.8</v>
      </c>
      <c r="G26949" s="5">
        <v>102.6</v>
      </c>
      <c r="H26949" s="5">
        <v>102.4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103.4</v>
      </c>
      <c r="D26950" s="5">
        <v>0.1</v>
      </c>
      <c r="E26950" s="5">
        <v>103.5</v>
      </c>
      <c r="F26950" s="5">
        <v>205.8</v>
      </c>
      <c r="G26950" s="5">
        <v>102.6</v>
      </c>
      <c r="H26950" s="5">
        <v>102.4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103.1</v>
      </c>
      <c r="D26951" s="5">
        <v>0.1</v>
      </c>
      <c r="E26951" s="5">
        <v>103.2</v>
      </c>
      <c r="F26951" s="5">
        <v>205.9</v>
      </c>
      <c r="G26951" s="5">
        <v>102.7</v>
      </c>
      <c r="H26951" s="5">
        <v>102.6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103.1</v>
      </c>
      <c r="D26952" s="5">
        <v>0.1</v>
      </c>
      <c r="E26952" s="5">
        <v>103.2</v>
      </c>
      <c r="F26952" s="5">
        <v>205.9</v>
      </c>
      <c r="G26952" s="5">
        <v>102.7</v>
      </c>
      <c r="H26952" s="5">
        <v>102.6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103.4</v>
      </c>
      <c r="D26953" s="5">
        <v>0.1</v>
      </c>
      <c r="E26953" s="5">
        <v>103.6</v>
      </c>
      <c r="F26953" s="5">
        <v>206.2</v>
      </c>
      <c r="G26953" s="5">
        <v>102.9</v>
      </c>
      <c r="H26953" s="5">
        <v>102.7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103.4</v>
      </c>
      <c r="D26954" s="5">
        <v>0.1</v>
      </c>
      <c r="E26954" s="5">
        <v>103.6</v>
      </c>
      <c r="F26954" s="5">
        <v>206.2</v>
      </c>
      <c r="G26954" s="5">
        <v>102.9</v>
      </c>
      <c r="H26954" s="5">
        <v>102.7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103.2</v>
      </c>
      <c r="D26955" s="5">
        <v>0.1</v>
      </c>
      <c r="E26955" s="5">
        <v>103.4</v>
      </c>
      <c r="F26955" s="5">
        <v>204.8</v>
      </c>
      <c r="G26955" s="5">
        <v>102.3</v>
      </c>
      <c r="H26955" s="5">
        <v>102.1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103.2</v>
      </c>
      <c r="D26956" s="5">
        <v>0.1</v>
      </c>
      <c r="E26956" s="5">
        <v>103.4</v>
      </c>
      <c r="F26956" s="5">
        <v>204.8</v>
      </c>
      <c r="G26956" s="5">
        <v>102.3</v>
      </c>
      <c r="H26956" s="5">
        <v>102.1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102.7</v>
      </c>
      <c r="D26957" s="5">
        <v>0.1</v>
      </c>
      <c r="E26957" s="5">
        <v>102.9</v>
      </c>
      <c r="F26957" s="5">
        <v>204.8</v>
      </c>
      <c r="G26957" s="5">
        <v>102.2</v>
      </c>
      <c r="H26957" s="5">
        <v>102.1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102.7</v>
      </c>
      <c r="D26958" s="5">
        <v>0.1</v>
      </c>
      <c r="E26958" s="5">
        <v>102.9</v>
      </c>
      <c r="F26958" s="5">
        <v>204.8</v>
      </c>
      <c r="G26958" s="5">
        <v>102.2</v>
      </c>
      <c r="H26958" s="5">
        <v>102.1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102.7</v>
      </c>
      <c r="D26959" s="5">
        <v>0.1</v>
      </c>
      <c r="E26959" s="5">
        <v>102.9</v>
      </c>
      <c r="F26959" s="5">
        <v>204.8</v>
      </c>
      <c r="G26959" s="5">
        <v>102.2</v>
      </c>
      <c r="H26959" s="5">
        <v>102.1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102.7</v>
      </c>
      <c r="D26960" s="5">
        <v>0.1</v>
      </c>
      <c r="E26960" s="5">
        <v>102.9</v>
      </c>
      <c r="F26960" s="5">
        <v>204.8</v>
      </c>
      <c r="G26960" s="5">
        <v>102.2</v>
      </c>
      <c r="H26960" s="5">
        <v>102.1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103.4</v>
      </c>
      <c r="D26961" s="5">
        <v>0.1</v>
      </c>
      <c r="E26961" s="5">
        <v>103.5</v>
      </c>
      <c r="F26961" s="5">
        <v>207.1</v>
      </c>
      <c r="G26961" s="5">
        <v>103.3</v>
      </c>
      <c r="H26961" s="5">
        <v>103.1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103.4</v>
      </c>
      <c r="D26962" s="5">
        <v>0.1</v>
      </c>
      <c r="E26962" s="5">
        <v>103.5</v>
      </c>
      <c r="F26962" s="5">
        <v>207.1</v>
      </c>
      <c r="G26962" s="5">
        <v>103.3</v>
      </c>
      <c r="H26962" s="5">
        <v>103.1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103.3</v>
      </c>
      <c r="D26963" s="5">
        <v>0.1</v>
      </c>
      <c r="E26963" s="5">
        <v>103.4</v>
      </c>
      <c r="F26963" s="5">
        <v>206.2</v>
      </c>
      <c r="G26963" s="5">
        <v>102.9</v>
      </c>
      <c r="H26963" s="5">
        <v>102.7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103.3</v>
      </c>
      <c r="D26964" s="5">
        <v>0.1</v>
      </c>
      <c r="E26964" s="5">
        <v>103.4</v>
      </c>
      <c r="F26964" s="5">
        <v>206.2</v>
      </c>
      <c r="G26964" s="5">
        <v>102.9</v>
      </c>
      <c r="H26964" s="5">
        <v>102.7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103.5</v>
      </c>
      <c r="D26965" s="5">
        <v>0.1</v>
      </c>
      <c r="E26965" s="5">
        <v>103.7</v>
      </c>
      <c r="F26965" s="5">
        <v>205.9</v>
      </c>
      <c r="G26965" s="5">
        <v>102.7</v>
      </c>
      <c r="H26965" s="5">
        <v>102.6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103.5</v>
      </c>
      <c r="D26966" s="5">
        <v>0.1</v>
      </c>
      <c r="E26966" s="5">
        <v>103.7</v>
      </c>
      <c r="F26966" s="5">
        <v>205.9</v>
      </c>
      <c r="G26966" s="5">
        <v>102.7</v>
      </c>
      <c r="H26966" s="5">
        <v>102.6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103.3</v>
      </c>
      <c r="D26967" s="5">
        <v>0.1</v>
      </c>
      <c r="E26967" s="5">
        <v>103.4</v>
      </c>
      <c r="F26967" s="5">
        <v>206.3</v>
      </c>
      <c r="G26967" s="5">
        <v>103</v>
      </c>
      <c r="H26967" s="5">
        <v>102.8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103.3</v>
      </c>
      <c r="D26968" s="5">
        <v>0.1</v>
      </c>
      <c r="E26968" s="5">
        <v>103.4</v>
      </c>
      <c r="F26968" s="5">
        <v>206.3</v>
      </c>
      <c r="G26968" s="5">
        <v>103</v>
      </c>
      <c r="H26968" s="5">
        <v>102.8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103.3</v>
      </c>
      <c r="D26969" s="5">
        <v>0.1</v>
      </c>
      <c r="E26969" s="5">
        <v>103.4</v>
      </c>
      <c r="F26969" s="5">
        <v>206.3</v>
      </c>
      <c r="G26969" s="5">
        <v>103</v>
      </c>
      <c r="H26969" s="5">
        <v>102.8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103.3</v>
      </c>
      <c r="D26970" s="5">
        <v>0.1</v>
      </c>
      <c r="E26970" s="5">
        <v>103.4</v>
      </c>
      <c r="F26970" s="5">
        <v>206.3</v>
      </c>
      <c r="G26970" s="5">
        <v>103</v>
      </c>
      <c r="H26970" s="5">
        <v>102.8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103.2</v>
      </c>
      <c r="D26971" s="5">
        <v>0.1</v>
      </c>
      <c r="E26971" s="5">
        <v>103.4</v>
      </c>
      <c r="F26971" s="5">
        <v>204.5</v>
      </c>
      <c r="G26971" s="5">
        <v>102</v>
      </c>
      <c r="H26971" s="5">
        <v>101.9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103.2</v>
      </c>
      <c r="D26972" s="5">
        <v>0.1</v>
      </c>
      <c r="E26972" s="5">
        <v>103.4</v>
      </c>
      <c r="F26972" s="5">
        <v>204.5</v>
      </c>
      <c r="G26972" s="5">
        <v>102</v>
      </c>
      <c r="H26972" s="5">
        <v>101.9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103.8</v>
      </c>
      <c r="D26973" s="5">
        <v>0.1</v>
      </c>
      <c r="E26973" s="5">
        <v>104</v>
      </c>
      <c r="F26973" s="5">
        <v>206.5</v>
      </c>
      <c r="G26973" s="5">
        <v>103</v>
      </c>
      <c r="H26973" s="5">
        <v>102.9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103.8</v>
      </c>
      <c r="D26974" s="5">
        <v>0.1</v>
      </c>
      <c r="E26974" s="5">
        <v>104</v>
      </c>
      <c r="F26974" s="5">
        <v>206.5</v>
      </c>
      <c r="G26974" s="5">
        <v>103</v>
      </c>
      <c r="H26974" s="5">
        <v>102.9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103.7</v>
      </c>
      <c r="D26975" s="5">
        <v>0.1</v>
      </c>
      <c r="E26975" s="5">
        <v>103.9</v>
      </c>
      <c r="F26975" s="5">
        <v>207.6</v>
      </c>
      <c r="G26975" s="5">
        <v>103.6</v>
      </c>
      <c r="H26975" s="5">
        <v>103.4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103.7</v>
      </c>
      <c r="D26976" s="5">
        <v>0.1</v>
      </c>
      <c r="E26976" s="5">
        <v>103.9</v>
      </c>
      <c r="F26976" s="5">
        <v>207.6</v>
      </c>
      <c r="G26976" s="5">
        <v>103.6</v>
      </c>
      <c r="H26976" s="5">
        <v>103.4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104</v>
      </c>
      <c r="D26977" s="5">
        <v>0.1</v>
      </c>
      <c r="E26977" s="5">
        <v>104.2</v>
      </c>
      <c r="F26977" s="5">
        <v>206.7</v>
      </c>
      <c r="G26977" s="5">
        <v>103.1</v>
      </c>
      <c r="H26977" s="5">
        <v>103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104</v>
      </c>
      <c r="D26978" s="5">
        <v>0.1</v>
      </c>
      <c r="E26978" s="5">
        <v>104.2</v>
      </c>
      <c r="F26978" s="5">
        <v>206.7</v>
      </c>
      <c r="G26978" s="5">
        <v>103.1</v>
      </c>
      <c r="H26978" s="5">
        <v>103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104</v>
      </c>
      <c r="D26979" s="5">
        <v>0.1</v>
      </c>
      <c r="E26979" s="5">
        <v>104.2</v>
      </c>
      <c r="F26979" s="5">
        <v>206.7</v>
      </c>
      <c r="G26979" s="5">
        <v>103.1</v>
      </c>
      <c r="H26979" s="5">
        <v>103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104</v>
      </c>
      <c r="D26980" s="5">
        <v>0.1</v>
      </c>
      <c r="E26980" s="5">
        <v>104.2</v>
      </c>
      <c r="F26980" s="5">
        <v>206.7</v>
      </c>
      <c r="G26980" s="5">
        <v>103.1</v>
      </c>
      <c r="H26980" s="5">
        <v>103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103.8</v>
      </c>
      <c r="D26981" s="5">
        <v>0.1</v>
      </c>
      <c r="E26981" s="5">
        <v>104</v>
      </c>
      <c r="F26981" s="5">
        <v>207.1</v>
      </c>
      <c r="G26981" s="5">
        <v>103.3</v>
      </c>
      <c r="H26981" s="5">
        <v>103.2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103.8</v>
      </c>
      <c r="D26982" s="5">
        <v>0.1</v>
      </c>
      <c r="E26982" s="5">
        <v>104</v>
      </c>
      <c r="F26982" s="5">
        <v>207.1</v>
      </c>
      <c r="G26982" s="5">
        <v>103.3</v>
      </c>
      <c r="H26982" s="5">
        <v>103.2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103.1</v>
      </c>
      <c r="D26983" s="5">
        <v>0.1</v>
      </c>
      <c r="E26983" s="5">
        <v>103.3</v>
      </c>
      <c r="F26983" s="5">
        <v>205.2</v>
      </c>
      <c r="G26983" s="5">
        <v>102.5</v>
      </c>
      <c r="H26983" s="5">
        <v>102.4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103.1</v>
      </c>
      <c r="D26984" s="5">
        <v>0.1</v>
      </c>
      <c r="E26984" s="5">
        <v>103.3</v>
      </c>
      <c r="F26984" s="5">
        <v>205.2</v>
      </c>
      <c r="G26984" s="5">
        <v>102.5</v>
      </c>
      <c r="H26984" s="5">
        <v>102.4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103.7</v>
      </c>
      <c r="D26985" s="5">
        <v>0.1</v>
      </c>
      <c r="E26985" s="5">
        <v>103.7</v>
      </c>
      <c r="F26985" s="5">
        <v>207</v>
      </c>
      <c r="G26985" s="5">
        <v>103.3</v>
      </c>
      <c r="H26985" s="5">
        <v>103.2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103.7</v>
      </c>
      <c r="D26986" s="5">
        <v>0.1</v>
      </c>
      <c r="E26986" s="5">
        <v>103.7</v>
      </c>
      <c r="F26986" s="5">
        <v>207</v>
      </c>
      <c r="G26986" s="5">
        <v>103.3</v>
      </c>
      <c r="H26986" s="5">
        <v>103.2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103.1</v>
      </c>
      <c r="D26987" s="5">
        <v>0.1</v>
      </c>
      <c r="E26987" s="5">
        <v>103.3</v>
      </c>
      <c r="F26987" s="5">
        <v>205.9</v>
      </c>
      <c r="G26987" s="5">
        <v>102.8</v>
      </c>
      <c r="H26987" s="5">
        <v>102.7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103.1</v>
      </c>
      <c r="D26988" s="5">
        <v>0.1</v>
      </c>
      <c r="E26988" s="5">
        <v>103.3</v>
      </c>
      <c r="F26988" s="5">
        <v>205.9</v>
      </c>
      <c r="G26988" s="5">
        <v>102.8</v>
      </c>
      <c r="H26988" s="5">
        <v>102.7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103.1</v>
      </c>
      <c r="D26989" s="5">
        <v>0.1</v>
      </c>
      <c r="E26989" s="5">
        <v>103.3</v>
      </c>
      <c r="F26989" s="5">
        <v>205.9</v>
      </c>
      <c r="G26989" s="5">
        <v>102.8</v>
      </c>
      <c r="H26989" s="5">
        <v>102.7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103.1</v>
      </c>
      <c r="D26990" s="5">
        <v>0.1</v>
      </c>
      <c r="E26990" s="5">
        <v>103.3</v>
      </c>
      <c r="F26990" s="5">
        <v>205.9</v>
      </c>
      <c r="G26990" s="5">
        <v>102.8</v>
      </c>
      <c r="H26990" s="5">
        <v>102.7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104.1</v>
      </c>
      <c r="D26991" s="5">
        <v>0.1</v>
      </c>
      <c r="E26991" s="5">
        <v>104.3</v>
      </c>
      <c r="F26991" s="5">
        <v>207.7</v>
      </c>
      <c r="G26991" s="5">
        <v>103.6</v>
      </c>
      <c r="H26991" s="5">
        <v>103.4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104.1</v>
      </c>
      <c r="D26992" s="5">
        <v>0.1</v>
      </c>
      <c r="E26992" s="5">
        <v>104.3</v>
      </c>
      <c r="F26992" s="5">
        <v>207.7</v>
      </c>
      <c r="G26992" s="5">
        <v>103.6</v>
      </c>
      <c r="H26992" s="5">
        <v>103.4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104.8</v>
      </c>
      <c r="D26993" s="5">
        <v>0.1</v>
      </c>
      <c r="E26993" s="5">
        <v>105</v>
      </c>
      <c r="F26993" s="5">
        <v>207.4</v>
      </c>
      <c r="G26993" s="5">
        <v>103.5</v>
      </c>
      <c r="H26993" s="5">
        <v>103.5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104.8</v>
      </c>
      <c r="D26994" s="5">
        <v>0.1</v>
      </c>
      <c r="E26994" s="5">
        <v>105</v>
      </c>
      <c r="F26994" s="5">
        <v>207.4</v>
      </c>
      <c r="G26994" s="5">
        <v>103.5</v>
      </c>
      <c r="H26994" s="5">
        <v>103.5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105.3</v>
      </c>
      <c r="D26995" s="5">
        <v>0.1</v>
      </c>
      <c r="E26995" s="5">
        <v>105.5</v>
      </c>
      <c r="F26995" s="5">
        <v>209</v>
      </c>
      <c r="G26995" s="5">
        <v>104.3</v>
      </c>
      <c r="H26995" s="5">
        <v>104.3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105.3</v>
      </c>
      <c r="D26996" s="5">
        <v>0.1</v>
      </c>
      <c r="E26996" s="5">
        <v>105.5</v>
      </c>
      <c r="F26996" s="5">
        <v>209</v>
      </c>
      <c r="G26996" s="5">
        <v>104.3</v>
      </c>
      <c r="H26996" s="5">
        <v>104.3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104.3</v>
      </c>
      <c r="D26997" s="5">
        <v>0.1</v>
      </c>
      <c r="E26997" s="5">
        <v>104.5</v>
      </c>
      <c r="F26997" s="5">
        <v>207.7</v>
      </c>
      <c r="G26997" s="5">
        <v>103.6</v>
      </c>
      <c r="H26997" s="5">
        <v>103.5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104.3</v>
      </c>
      <c r="D26998" s="5">
        <v>0.1</v>
      </c>
      <c r="E26998" s="5">
        <v>104.5</v>
      </c>
      <c r="F26998" s="5">
        <v>207.7</v>
      </c>
      <c r="G26998" s="5">
        <v>103.6</v>
      </c>
      <c r="H26998" s="5">
        <v>103.5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104.3</v>
      </c>
      <c r="D26999" s="5">
        <v>0.1</v>
      </c>
      <c r="E26999" s="5">
        <v>104.5</v>
      </c>
      <c r="F26999" s="5">
        <v>207.7</v>
      </c>
      <c r="G26999" s="5">
        <v>103.6</v>
      </c>
      <c r="H26999" s="5">
        <v>103.5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104.3</v>
      </c>
      <c r="D27000" s="5">
        <v>0.1</v>
      </c>
      <c r="E27000" s="5">
        <v>104.5</v>
      </c>
      <c r="F27000" s="5">
        <v>207.7</v>
      </c>
      <c r="G27000" s="5">
        <v>103.6</v>
      </c>
      <c r="H27000" s="5">
        <v>103.5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103.6</v>
      </c>
      <c r="D27001" s="5">
        <v>0.1</v>
      </c>
      <c r="E27001" s="5">
        <v>103.7</v>
      </c>
      <c r="F27001" s="5">
        <v>207.7</v>
      </c>
      <c r="G27001" s="5">
        <v>103.6</v>
      </c>
      <c r="H27001" s="5">
        <v>103.4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103.6</v>
      </c>
      <c r="D27002" s="5">
        <v>0.1</v>
      </c>
      <c r="E27002" s="5">
        <v>103.7</v>
      </c>
      <c r="F27002" s="5">
        <v>207.7</v>
      </c>
      <c r="G27002" s="5">
        <v>103.6</v>
      </c>
      <c r="H27002" s="5">
        <v>103.4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104.7</v>
      </c>
      <c r="D27003" s="5">
        <v>0.1</v>
      </c>
      <c r="E27003" s="5">
        <v>104.9</v>
      </c>
      <c r="F27003" s="5">
        <v>208.6</v>
      </c>
      <c r="G27003" s="5">
        <v>104.1</v>
      </c>
      <c r="H27003" s="5">
        <v>104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104.7</v>
      </c>
      <c r="D27004" s="5">
        <v>0.1</v>
      </c>
      <c r="E27004" s="5">
        <v>104.9</v>
      </c>
      <c r="F27004" s="5">
        <v>208.6</v>
      </c>
      <c r="G27004" s="5">
        <v>104.1</v>
      </c>
      <c r="H27004" s="5">
        <v>104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104.3</v>
      </c>
      <c r="D27005" s="5">
        <v>0.1</v>
      </c>
      <c r="E27005" s="5">
        <v>104.4</v>
      </c>
      <c r="F27005" s="5">
        <v>207.8</v>
      </c>
      <c r="G27005" s="5">
        <v>103.7</v>
      </c>
      <c r="H27005" s="5">
        <v>103.6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104.3</v>
      </c>
      <c r="D27006" s="5">
        <v>0.1</v>
      </c>
      <c r="E27006" s="5">
        <v>104.4</v>
      </c>
      <c r="F27006" s="5">
        <v>207.8</v>
      </c>
      <c r="G27006" s="5">
        <v>103.7</v>
      </c>
      <c r="H27006" s="5">
        <v>103.6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104</v>
      </c>
      <c r="D27007" s="5">
        <v>0.1</v>
      </c>
      <c r="E27007" s="5">
        <v>104.2</v>
      </c>
      <c r="F27007" s="5">
        <v>208</v>
      </c>
      <c r="G27007" s="5">
        <v>103.7</v>
      </c>
      <c r="H27007" s="5">
        <v>103.4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104</v>
      </c>
      <c r="D27008" s="5">
        <v>0.1</v>
      </c>
      <c r="E27008" s="5">
        <v>104.2</v>
      </c>
      <c r="F27008" s="5">
        <v>208</v>
      </c>
      <c r="G27008" s="5">
        <v>103.7</v>
      </c>
      <c r="H27008" s="5">
        <v>103.4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104</v>
      </c>
      <c r="D27009" s="5">
        <v>0.1</v>
      </c>
      <c r="E27009" s="5">
        <v>104.2</v>
      </c>
      <c r="F27009" s="5">
        <v>208</v>
      </c>
      <c r="G27009" s="5">
        <v>103.7</v>
      </c>
      <c r="H27009" s="5">
        <v>103.4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103.6</v>
      </c>
      <c r="D27010" s="5">
        <v>0.1</v>
      </c>
      <c r="E27010" s="5">
        <v>103.7</v>
      </c>
      <c r="F27010" s="5">
        <v>206.4</v>
      </c>
      <c r="G27010" s="5">
        <v>103</v>
      </c>
      <c r="H27010" s="5">
        <v>102.8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103.6</v>
      </c>
      <c r="D27011" s="5">
        <v>0.1</v>
      </c>
      <c r="E27011" s="5">
        <v>103.7</v>
      </c>
      <c r="F27011" s="5">
        <v>206.4</v>
      </c>
      <c r="G27011" s="5">
        <v>103</v>
      </c>
      <c r="H27011" s="5">
        <v>102.8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103.6</v>
      </c>
      <c r="D27012" s="5">
        <v>0.1</v>
      </c>
      <c r="E27012" s="5">
        <v>103.7</v>
      </c>
      <c r="F27012" s="5">
        <v>206.6</v>
      </c>
      <c r="G27012" s="5">
        <v>103.1</v>
      </c>
      <c r="H27012" s="5">
        <v>103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103.6</v>
      </c>
      <c r="D27013" s="5">
        <v>0.1</v>
      </c>
      <c r="E27013" s="5">
        <v>103.7</v>
      </c>
      <c r="F27013" s="5">
        <v>206.6</v>
      </c>
      <c r="G27013" s="5">
        <v>103.1</v>
      </c>
      <c r="H27013" s="5">
        <v>103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103.9</v>
      </c>
      <c r="D27014" s="5">
        <v>0.1</v>
      </c>
      <c r="E27014" s="5">
        <v>104</v>
      </c>
      <c r="F27014" s="5">
        <v>207.1</v>
      </c>
      <c r="G27014" s="5">
        <v>103.3</v>
      </c>
      <c r="H27014" s="5">
        <v>103.2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103.9</v>
      </c>
      <c r="D27015" s="5">
        <v>0.1</v>
      </c>
      <c r="E27015" s="5">
        <v>104</v>
      </c>
      <c r="F27015" s="5">
        <v>207.1</v>
      </c>
      <c r="G27015" s="5">
        <v>103.3</v>
      </c>
      <c r="H27015" s="5">
        <v>103.2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104.4</v>
      </c>
      <c r="D27016" s="5">
        <v>0.1</v>
      </c>
      <c r="E27016" s="5">
        <v>104.6</v>
      </c>
      <c r="F27016" s="5">
        <v>208.4</v>
      </c>
      <c r="G27016" s="5">
        <v>104</v>
      </c>
      <c r="H27016" s="5">
        <v>103.9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104.4</v>
      </c>
      <c r="D27017" s="5">
        <v>0.1</v>
      </c>
      <c r="E27017" s="5">
        <v>104.6</v>
      </c>
      <c r="F27017" s="5">
        <v>208.4</v>
      </c>
      <c r="G27017" s="5">
        <v>104</v>
      </c>
      <c r="H27017" s="5">
        <v>103.9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104.4</v>
      </c>
      <c r="D27018" s="5">
        <v>0.1</v>
      </c>
      <c r="E27018" s="5">
        <v>104.6</v>
      </c>
      <c r="F27018" s="5">
        <v>208.4</v>
      </c>
      <c r="G27018" s="5">
        <v>104</v>
      </c>
      <c r="H27018" s="5">
        <v>103.9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104.4</v>
      </c>
      <c r="D27019" s="5">
        <v>0.1</v>
      </c>
      <c r="E27019" s="5">
        <v>104.6</v>
      </c>
      <c r="F27019" s="5">
        <v>208.4</v>
      </c>
      <c r="G27019" s="5">
        <v>104</v>
      </c>
      <c r="H27019" s="5">
        <v>103.9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104.5</v>
      </c>
      <c r="D27020" s="5">
        <v>0.1</v>
      </c>
      <c r="E27020" s="5">
        <v>104.7</v>
      </c>
      <c r="F27020" s="5">
        <v>208.1</v>
      </c>
      <c r="G27020" s="5">
        <v>103.7</v>
      </c>
      <c r="H27020" s="5">
        <v>103.4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104.5</v>
      </c>
      <c r="D27021" s="5">
        <v>0.1</v>
      </c>
      <c r="E27021" s="5">
        <v>104.7</v>
      </c>
      <c r="F27021" s="5">
        <v>208.1</v>
      </c>
      <c r="G27021" s="5">
        <v>103.7</v>
      </c>
      <c r="H27021" s="5">
        <v>103.4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104.1</v>
      </c>
      <c r="D27022" s="5">
        <v>0.1</v>
      </c>
      <c r="E27022" s="5">
        <v>104.3</v>
      </c>
      <c r="F27022" s="5">
        <v>207.7</v>
      </c>
      <c r="G27022" s="5">
        <v>103.5</v>
      </c>
      <c r="H27022" s="5">
        <v>103.4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104.1</v>
      </c>
      <c r="D27023" s="5">
        <v>0.1</v>
      </c>
      <c r="E27023" s="5">
        <v>104.3</v>
      </c>
      <c r="F27023" s="5">
        <v>207.7</v>
      </c>
      <c r="G27023" s="5">
        <v>103.5</v>
      </c>
      <c r="H27023" s="5">
        <v>103.4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104.4</v>
      </c>
      <c r="D27024" s="5">
        <v>0.1</v>
      </c>
      <c r="E27024" s="5">
        <v>104.6</v>
      </c>
      <c r="F27024" s="5">
        <v>208.1</v>
      </c>
      <c r="G27024" s="5">
        <v>103.5</v>
      </c>
      <c r="H27024" s="5">
        <v>103.4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104.4</v>
      </c>
      <c r="D27025" s="5">
        <v>0.1</v>
      </c>
      <c r="E27025" s="5">
        <v>104.6</v>
      </c>
      <c r="F27025" s="5">
        <v>208.1</v>
      </c>
      <c r="G27025" s="5">
        <v>103.8</v>
      </c>
      <c r="H27025" s="5">
        <v>103.7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104.3</v>
      </c>
      <c r="D27026" s="5">
        <v>0.1</v>
      </c>
      <c r="E27026" s="5">
        <v>104.6</v>
      </c>
      <c r="F27026" s="5">
        <v>208.1</v>
      </c>
      <c r="G27026" s="5">
        <v>103.8</v>
      </c>
      <c r="H27026" s="5">
        <v>103.7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104.3</v>
      </c>
      <c r="D27027" s="5">
        <v>0.1</v>
      </c>
      <c r="E27027" s="5">
        <v>104.4</v>
      </c>
      <c r="F27027" s="5">
        <v>208.5</v>
      </c>
      <c r="G27027" s="5">
        <v>104</v>
      </c>
      <c r="H27027" s="5">
        <v>103.9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104.3</v>
      </c>
      <c r="D27028" s="5">
        <v>0.1</v>
      </c>
      <c r="E27028" s="5">
        <v>104.4</v>
      </c>
      <c r="F27028" s="5">
        <v>208.5</v>
      </c>
      <c r="G27028" s="5">
        <v>104</v>
      </c>
      <c r="H27028" s="5">
        <v>103.9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104.3</v>
      </c>
      <c r="D27029" s="5">
        <v>0.1</v>
      </c>
      <c r="E27029" s="5">
        <v>104.4</v>
      </c>
      <c r="F27029" s="5">
        <v>208.5</v>
      </c>
      <c r="G27029" s="5">
        <v>104</v>
      </c>
      <c r="H27029" s="5">
        <v>103.9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104.3</v>
      </c>
      <c r="D27030" s="5">
        <v>0.1</v>
      </c>
      <c r="E27030" s="5">
        <v>104.9</v>
      </c>
      <c r="F27030" s="5">
        <v>208.6</v>
      </c>
      <c r="G27030" s="5">
        <v>104</v>
      </c>
      <c r="H27030" s="5">
        <v>103.9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104.7</v>
      </c>
      <c r="D27031" s="5">
        <v>0.1</v>
      </c>
      <c r="E27031" s="5">
        <v>104.9</v>
      </c>
      <c r="F27031" s="5">
        <v>208.6</v>
      </c>
      <c r="G27031" s="5">
        <v>104</v>
      </c>
      <c r="H27031" s="5">
        <v>103.9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104.7</v>
      </c>
      <c r="D27032" s="5">
        <v>0.1</v>
      </c>
      <c r="E27032" s="5">
        <v>104.9</v>
      </c>
      <c r="F27032" s="5">
        <v>209.4</v>
      </c>
      <c r="G27032" s="5">
        <v>104.5</v>
      </c>
      <c r="H27032" s="5">
        <v>104.4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105</v>
      </c>
      <c r="D27033" s="5">
        <v>0.1</v>
      </c>
      <c r="E27033" s="5">
        <v>105.2</v>
      </c>
      <c r="F27033" s="5">
        <v>209.4</v>
      </c>
      <c r="G27033" s="5">
        <v>104.5</v>
      </c>
      <c r="H27033" s="5">
        <v>104.4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105</v>
      </c>
      <c r="D27034" s="5">
        <v>0.1</v>
      </c>
      <c r="E27034" s="5">
        <v>105.2</v>
      </c>
      <c r="F27034" s="5">
        <v>209.4</v>
      </c>
      <c r="G27034" s="5">
        <v>104.5</v>
      </c>
      <c r="H27034" s="5">
        <v>103.2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104.2</v>
      </c>
      <c r="D27035" s="5">
        <v>0.1</v>
      </c>
      <c r="E27035" s="5">
        <v>104.3</v>
      </c>
      <c r="F27035" s="5">
        <v>206.7</v>
      </c>
      <c r="G27035" s="5">
        <v>103.2</v>
      </c>
      <c r="H27035" s="5">
        <v>103.2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104.2</v>
      </c>
      <c r="D27036" s="5">
        <v>0.1</v>
      </c>
      <c r="E27036" s="5">
        <v>104.3</v>
      </c>
      <c r="F27036" s="5">
        <v>206.7</v>
      </c>
      <c r="G27036" s="5">
        <v>103.2</v>
      </c>
      <c r="H27036" s="5">
        <v>103.2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104.1</v>
      </c>
      <c r="D27037" s="5">
        <v>0.1</v>
      </c>
      <c r="E27037" s="5">
        <v>104.3</v>
      </c>
      <c r="F27037" s="5">
        <v>208.4</v>
      </c>
      <c r="G27037" s="5">
        <v>103.9</v>
      </c>
      <c r="H27037" s="5">
        <v>103.8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104.1</v>
      </c>
      <c r="D27038" s="5">
        <v>0.1</v>
      </c>
      <c r="E27038" s="5">
        <v>104.3</v>
      </c>
      <c r="F27038" s="5">
        <v>208.4</v>
      </c>
      <c r="G27038" s="5">
        <v>103.9</v>
      </c>
      <c r="H27038" s="5">
        <v>103.8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104.1</v>
      </c>
      <c r="D27039" s="5">
        <v>0.1</v>
      </c>
      <c r="E27039" s="5">
        <v>104.3</v>
      </c>
      <c r="F27039" s="5">
        <v>208.4</v>
      </c>
      <c r="G27039" s="5">
        <v>103.9</v>
      </c>
      <c r="H27039" s="5">
        <v>103.8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104.3</v>
      </c>
      <c r="D27040" s="5">
        <v>0.1</v>
      </c>
      <c r="E27040" s="5">
        <v>104.3</v>
      </c>
      <c r="F27040" s="5">
        <v>208.2</v>
      </c>
      <c r="G27040" s="5">
        <v>103.9</v>
      </c>
      <c r="H27040" s="5">
        <v>103.7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104.3</v>
      </c>
      <c r="D27041" s="5">
        <v>0.1</v>
      </c>
      <c r="E27041" s="5">
        <v>104.3</v>
      </c>
      <c r="F27041" s="5">
        <v>208.2</v>
      </c>
      <c r="G27041" s="5">
        <v>103.9</v>
      </c>
      <c r="H27041" s="5">
        <v>103.7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104.5</v>
      </c>
      <c r="D27042" s="5">
        <v>0.1</v>
      </c>
      <c r="E27042" s="5">
        <v>104.6</v>
      </c>
      <c r="F27042" s="5">
        <v>208.6</v>
      </c>
      <c r="G27042" s="5">
        <v>104.1</v>
      </c>
      <c r="H27042" s="5">
        <v>104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104.5</v>
      </c>
      <c r="D27043" s="5">
        <v>0.1</v>
      </c>
      <c r="E27043" s="5">
        <v>104.6</v>
      </c>
      <c r="F27043" s="5">
        <v>208.6</v>
      </c>
      <c r="G27043" s="5">
        <v>104.1</v>
      </c>
      <c r="H27043" s="5">
        <v>104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104.2</v>
      </c>
      <c r="D27044" s="5">
        <v>0.1</v>
      </c>
      <c r="E27044" s="5">
        <v>104.3</v>
      </c>
      <c r="F27044" s="5">
        <v>208.3</v>
      </c>
      <c r="G27044" s="5">
        <v>103.9</v>
      </c>
      <c r="H27044" s="5">
        <v>103.7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104.2</v>
      </c>
      <c r="D27045" s="5">
        <v>0.1</v>
      </c>
      <c r="E27045" s="5">
        <v>104.3</v>
      </c>
      <c r="F27045" s="5">
        <v>208.3</v>
      </c>
      <c r="G27045" s="5">
        <v>103.9</v>
      </c>
      <c r="H27045" s="5">
        <v>103.7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104.4</v>
      </c>
      <c r="D27046" s="5">
        <v>0.1</v>
      </c>
      <c r="E27046" s="5">
        <v>104.6</v>
      </c>
      <c r="F27046" s="5">
        <v>208.9</v>
      </c>
      <c r="G27046" s="5">
        <v>104.2</v>
      </c>
      <c r="H27046" s="5">
        <v>104.1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104.4</v>
      </c>
      <c r="D27047" s="5">
        <v>0.1</v>
      </c>
      <c r="E27047" s="5">
        <v>104.6</v>
      </c>
      <c r="F27047" s="5">
        <v>208.9</v>
      </c>
      <c r="G27047" s="5">
        <v>104.2</v>
      </c>
      <c r="H27047" s="5">
        <v>104.1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104.4</v>
      </c>
      <c r="D27048" s="5">
        <v>0.1</v>
      </c>
      <c r="E27048" s="5">
        <v>104.6</v>
      </c>
      <c r="F27048" s="5">
        <v>208.9</v>
      </c>
      <c r="G27048" s="5">
        <v>104.2</v>
      </c>
      <c r="H27048" s="5">
        <v>104.1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104.4</v>
      </c>
      <c r="D27049" s="5">
        <v>0.1</v>
      </c>
      <c r="E27049" s="5">
        <v>104.6</v>
      </c>
      <c r="F27049" s="5">
        <v>208.9</v>
      </c>
      <c r="G27049" s="5">
        <v>104.2</v>
      </c>
      <c r="H27049" s="5">
        <v>104.1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104.8</v>
      </c>
      <c r="D27050" s="5">
        <v>0.1</v>
      </c>
      <c r="E27050" s="5">
        <v>105</v>
      </c>
      <c r="F27050" s="5">
        <v>209.5</v>
      </c>
      <c r="G27050" s="5">
        <v>104.4</v>
      </c>
      <c r="H27050" s="5">
        <v>104.1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104.8</v>
      </c>
      <c r="D27051" s="5">
        <v>0.1</v>
      </c>
      <c r="E27051" s="5">
        <v>105</v>
      </c>
      <c r="F27051" s="5">
        <v>209.5</v>
      </c>
      <c r="G27051" s="5">
        <v>104.4</v>
      </c>
      <c r="H27051" s="5">
        <v>104.1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104.7</v>
      </c>
      <c r="D27052" s="5">
        <v>0.1</v>
      </c>
      <c r="E27052" s="5">
        <v>104.9</v>
      </c>
      <c r="F27052" s="5">
        <v>209.1</v>
      </c>
      <c r="G27052" s="5">
        <v>104.3</v>
      </c>
      <c r="H27052" s="5">
        <v>104.1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104.7</v>
      </c>
      <c r="D27053" s="5">
        <v>0.1</v>
      </c>
      <c r="E27053" s="5">
        <v>104.9</v>
      </c>
      <c r="F27053" s="5">
        <v>209.1</v>
      </c>
      <c r="G27053" s="5">
        <v>104.3</v>
      </c>
      <c r="H27053" s="5">
        <v>104.1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104.7</v>
      </c>
      <c r="D27054" s="5">
        <v>0.1</v>
      </c>
      <c r="E27054" s="5">
        <v>104.9</v>
      </c>
      <c r="F27054" s="5">
        <v>207.3</v>
      </c>
      <c r="G27054" s="5">
        <v>103.5</v>
      </c>
      <c r="H27054" s="5">
        <v>103.5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104.7</v>
      </c>
      <c r="D27055" s="5">
        <v>0.1</v>
      </c>
      <c r="E27055" s="5">
        <v>104.9</v>
      </c>
      <c r="F27055" s="5">
        <v>207.3</v>
      </c>
      <c r="G27055" s="5">
        <v>103.5</v>
      </c>
      <c r="H27055" s="5">
        <v>103.5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104.6</v>
      </c>
      <c r="D27056" s="5">
        <v>0.1</v>
      </c>
      <c r="E27056" s="5">
        <v>104.7</v>
      </c>
      <c r="F27056" s="5">
        <v>209.3</v>
      </c>
      <c r="G27056" s="5">
        <v>104.3</v>
      </c>
      <c r="H27056" s="5">
        <v>104.1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104.6</v>
      </c>
      <c r="D27057" s="5">
        <v>0.1</v>
      </c>
      <c r="E27057" s="5">
        <v>104.7</v>
      </c>
      <c r="F27057" s="5">
        <v>209.3</v>
      </c>
      <c r="G27057" s="5">
        <v>104.3</v>
      </c>
      <c r="H27057" s="5">
        <v>104.1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104.6</v>
      </c>
      <c r="D27058" s="5">
        <v>0.1</v>
      </c>
      <c r="E27058" s="5">
        <v>104.7</v>
      </c>
      <c r="F27058" s="5">
        <v>209.3</v>
      </c>
      <c r="G27058" s="5">
        <v>104.3</v>
      </c>
      <c r="H27058" s="5">
        <v>104.1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104.6</v>
      </c>
      <c r="D27059" s="5">
        <v>0.1</v>
      </c>
      <c r="E27059" s="5">
        <v>104.7</v>
      </c>
      <c r="F27059" s="5">
        <v>209.3</v>
      </c>
      <c r="G27059" s="5">
        <v>104.3</v>
      </c>
      <c r="H27059" s="5">
        <v>104.1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103.9</v>
      </c>
      <c r="D27060" s="5">
        <v>0.1</v>
      </c>
      <c r="E27060" s="5">
        <v>104</v>
      </c>
      <c r="F27060" s="5">
        <v>205</v>
      </c>
      <c r="G27060" s="5">
        <v>102.2</v>
      </c>
      <c r="H27060" s="5">
        <v>102.2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103.9</v>
      </c>
      <c r="D27061" s="5">
        <v>0.1</v>
      </c>
      <c r="E27061" s="5">
        <v>104</v>
      </c>
      <c r="F27061" s="5">
        <v>205</v>
      </c>
      <c r="G27061" s="5">
        <v>102.2</v>
      </c>
      <c r="H27061" s="5">
        <v>102.2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104.1</v>
      </c>
      <c r="D27062" s="5">
        <v>0.1</v>
      </c>
      <c r="E27062" s="5">
        <v>104.3</v>
      </c>
      <c r="F27062" s="5">
        <v>208.6</v>
      </c>
      <c r="G27062" s="5">
        <v>104.1</v>
      </c>
      <c r="H27062" s="5">
        <v>104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104.1</v>
      </c>
      <c r="D27063" s="5">
        <v>0.1</v>
      </c>
      <c r="E27063" s="5">
        <v>104.3</v>
      </c>
      <c r="F27063" s="5">
        <v>208.6</v>
      </c>
      <c r="G27063" s="5">
        <v>104.1</v>
      </c>
      <c r="H27063" s="5">
        <v>104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104.7</v>
      </c>
      <c r="D27064" s="5">
        <v>0.1</v>
      </c>
      <c r="E27064" s="5">
        <v>104.8</v>
      </c>
      <c r="F27064" s="5">
        <v>208.6</v>
      </c>
      <c r="G27064" s="5">
        <v>104</v>
      </c>
      <c r="H27064" s="5">
        <v>103.8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104.7</v>
      </c>
      <c r="D27065" s="5">
        <v>0.1</v>
      </c>
      <c r="E27065" s="5">
        <v>104.8</v>
      </c>
      <c r="F27065" s="5">
        <v>208.6</v>
      </c>
      <c r="G27065" s="5">
        <v>104</v>
      </c>
      <c r="H27065" s="5">
        <v>103.8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104</v>
      </c>
      <c r="D27066" s="5">
        <v>0.1</v>
      </c>
      <c r="E27066" s="5">
        <v>104.1</v>
      </c>
      <c r="F27066" s="5">
        <v>208</v>
      </c>
      <c r="G27066" s="5">
        <v>103.7</v>
      </c>
      <c r="H27066" s="5">
        <v>103.5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104</v>
      </c>
      <c r="D27067" s="5">
        <v>0.1</v>
      </c>
      <c r="E27067" s="5">
        <v>104.1</v>
      </c>
      <c r="F27067" s="5">
        <v>208</v>
      </c>
      <c r="G27067" s="5">
        <v>103.7</v>
      </c>
      <c r="H27067" s="5">
        <v>103.5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104</v>
      </c>
      <c r="D27068" s="5">
        <v>0.1</v>
      </c>
      <c r="E27068" s="5">
        <v>104.1</v>
      </c>
      <c r="F27068" s="5">
        <v>208</v>
      </c>
      <c r="G27068" s="5">
        <v>103.7</v>
      </c>
      <c r="H27068" s="5">
        <v>103.5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104</v>
      </c>
      <c r="D27069" s="5">
        <v>0.1</v>
      </c>
      <c r="E27069" s="5">
        <v>104.1</v>
      </c>
      <c r="F27069" s="5">
        <v>208</v>
      </c>
      <c r="G27069" s="5">
        <v>103.7</v>
      </c>
      <c r="H27069" s="5">
        <v>103.5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104.6</v>
      </c>
      <c r="D27070" s="5">
        <v>0.1</v>
      </c>
      <c r="E27070" s="5">
        <v>104.8</v>
      </c>
      <c r="F27070" s="5">
        <v>208.2</v>
      </c>
      <c r="G27070" s="5">
        <v>103.8</v>
      </c>
      <c r="H27070" s="5">
        <v>103.4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104.6</v>
      </c>
      <c r="D27071" s="5">
        <v>0.1</v>
      </c>
      <c r="E27071" s="5">
        <v>104.8</v>
      </c>
      <c r="F27071" s="5">
        <v>208.2</v>
      </c>
      <c r="G27071" s="5">
        <v>103.8</v>
      </c>
      <c r="H27071" s="5">
        <v>103.4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104.5</v>
      </c>
      <c r="D27072" s="5">
        <v>0.1</v>
      </c>
      <c r="E27072" s="5">
        <v>104.6</v>
      </c>
      <c r="F27072" s="5">
        <v>208.6</v>
      </c>
      <c r="G27072" s="5">
        <v>104.1</v>
      </c>
      <c r="H27072" s="5">
        <v>103.8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104.5</v>
      </c>
      <c r="D27073" s="5">
        <v>0.1</v>
      </c>
      <c r="E27073" s="5">
        <v>104.6</v>
      </c>
      <c r="F27073" s="5">
        <v>208.6</v>
      </c>
      <c r="G27073" s="5">
        <v>104.1</v>
      </c>
      <c r="H27073" s="5">
        <v>103.8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104</v>
      </c>
      <c r="D27074" s="5">
        <v>0.1</v>
      </c>
      <c r="E27074" s="5">
        <v>104.2</v>
      </c>
      <c r="F27074" s="5">
        <v>208.3</v>
      </c>
      <c r="G27074" s="5">
        <v>103.9</v>
      </c>
      <c r="H27074" s="5">
        <v>103.8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104</v>
      </c>
      <c r="D27075" s="5">
        <v>0.1</v>
      </c>
      <c r="E27075" s="5">
        <v>104.2</v>
      </c>
      <c r="F27075" s="5">
        <v>208.3</v>
      </c>
      <c r="G27075" s="5">
        <v>103.9</v>
      </c>
      <c r="H27075" s="5">
        <v>103.8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104</v>
      </c>
      <c r="D27076" s="5">
        <v>0.1</v>
      </c>
      <c r="E27076" s="5">
        <v>104.2</v>
      </c>
      <c r="F27076" s="5">
        <v>208.3</v>
      </c>
      <c r="G27076" s="5">
        <v>103.9</v>
      </c>
      <c r="H27076" s="5">
        <v>103.8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104</v>
      </c>
      <c r="D27077" s="5">
        <v>0.1</v>
      </c>
      <c r="E27077" s="5">
        <v>104.2</v>
      </c>
      <c r="F27077" s="5">
        <v>208.3</v>
      </c>
      <c r="G27077" s="5">
        <v>103.9</v>
      </c>
      <c r="H27077" s="5">
        <v>103.8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104</v>
      </c>
      <c r="D27078" s="5">
        <v>0.1</v>
      </c>
      <c r="E27078" s="5">
        <v>104.2</v>
      </c>
      <c r="F27078" s="5">
        <v>208.3</v>
      </c>
      <c r="G27078" s="5">
        <v>103.9</v>
      </c>
      <c r="H27078" s="5">
        <v>103.8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104</v>
      </c>
      <c r="D27079" s="5">
        <v>0.1</v>
      </c>
      <c r="E27079" s="5">
        <v>104.2</v>
      </c>
      <c r="F27079" s="5">
        <v>208.3</v>
      </c>
      <c r="G27079" s="5">
        <v>103.9</v>
      </c>
      <c r="H27079" s="5">
        <v>103.8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103.7</v>
      </c>
      <c r="D27080" s="5">
        <v>0.1</v>
      </c>
      <c r="E27080" s="5">
        <v>103.9</v>
      </c>
      <c r="F27080" s="5">
        <v>208.3</v>
      </c>
      <c r="G27080" s="5">
        <v>103.8</v>
      </c>
      <c r="H27080" s="5">
        <v>103.6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103.7</v>
      </c>
      <c r="D27081" s="5">
        <v>0.1</v>
      </c>
      <c r="E27081" s="5">
        <v>103.9</v>
      </c>
      <c r="F27081" s="5">
        <v>208.3</v>
      </c>
      <c r="G27081" s="5">
        <v>103.8</v>
      </c>
      <c r="H27081" s="5">
        <v>103.6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104.1</v>
      </c>
      <c r="D27082" s="5">
        <v>0.1</v>
      </c>
      <c r="E27082" s="5">
        <v>104.3</v>
      </c>
      <c r="F27082" s="5">
        <v>208.2</v>
      </c>
      <c r="G27082" s="5">
        <v>103.9</v>
      </c>
      <c r="H27082" s="5">
        <v>103.7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104.1</v>
      </c>
      <c r="D27083" s="5">
        <v>0.1</v>
      </c>
      <c r="E27083" s="5">
        <v>104.3</v>
      </c>
      <c r="F27083" s="5">
        <v>208.2</v>
      </c>
      <c r="G27083" s="5">
        <v>103.9</v>
      </c>
      <c r="H27083" s="5">
        <v>103.7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104.6</v>
      </c>
      <c r="D27084" s="5">
        <v>0.1</v>
      </c>
      <c r="E27084" s="5">
        <v>104.7</v>
      </c>
      <c r="F27084" s="5">
        <v>209.1</v>
      </c>
      <c r="G27084" s="5">
        <v>104.3</v>
      </c>
      <c r="H27084" s="5">
        <v>104.2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104.6</v>
      </c>
      <c r="D27085" s="5">
        <v>0.1</v>
      </c>
      <c r="E27085" s="5">
        <v>104.7</v>
      </c>
      <c r="F27085" s="5">
        <v>209.1</v>
      </c>
      <c r="G27085" s="5">
        <v>104.3</v>
      </c>
      <c r="H27085" s="5">
        <v>104.2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104</v>
      </c>
      <c r="D27086" s="5">
        <v>0.1</v>
      </c>
      <c r="E27086" s="5">
        <v>104.1</v>
      </c>
      <c r="F27086" s="5">
        <v>208.5</v>
      </c>
      <c r="G27086" s="5">
        <v>104</v>
      </c>
      <c r="H27086" s="5">
        <v>103.7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104</v>
      </c>
      <c r="D27087" s="5">
        <v>0.1</v>
      </c>
      <c r="E27087" s="5">
        <v>104.1</v>
      </c>
      <c r="F27087" s="5">
        <v>208.5</v>
      </c>
      <c r="G27087" s="5">
        <v>104</v>
      </c>
      <c r="H27087" s="5">
        <v>103.7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104</v>
      </c>
      <c r="D27088" s="5">
        <v>0.1</v>
      </c>
      <c r="E27088" s="5">
        <v>104.1</v>
      </c>
      <c r="F27088" s="5">
        <v>208.5</v>
      </c>
      <c r="G27088" s="5">
        <v>104</v>
      </c>
      <c r="H27088" s="5">
        <v>103.7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104</v>
      </c>
      <c r="D27089" s="5">
        <v>0.1</v>
      </c>
      <c r="E27089" s="5">
        <v>104.1</v>
      </c>
      <c r="F27089" s="5">
        <v>208.5</v>
      </c>
      <c r="G27089" s="5">
        <v>104</v>
      </c>
      <c r="H27089" s="5">
        <v>103.7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103.7</v>
      </c>
      <c r="D27090" s="5">
        <v>0.1</v>
      </c>
      <c r="E27090" s="5">
        <v>103.9</v>
      </c>
      <c r="F27090" s="5">
        <v>207</v>
      </c>
      <c r="G27090" s="5">
        <v>103.3</v>
      </c>
      <c r="H27090" s="5">
        <v>103.2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103.7</v>
      </c>
      <c r="D27091" s="5">
        <v>0.1</v>
      </c>
      <c r="E27091" s="5">
        <v>103.9</v>
      </c>
      <c r="F27091" s="5">
        <v>207</v>
      </c>
      <c r="G27091" s="5">
        <v>103.3</v>
      </c>
      <c r="H27091" s="5">
        <v>103.2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104.2</v>
      </c>
      <c r="D27092" s="5">
        <v>0.1</v>
      </c>
      <c r="E27092" s="5">
        <v>104.3</v>
      </c>
      <c r="F27092" s="5">
        <v>208.2</v>
      </c>
      <c r="G27092" s="5">
        <v>103.9</v>
      </c>
      <c r="H27092" s="5">
        <v>103.7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104.2</v>
      </c>
      <c r="D27093" s="5">
        <v>0.1</v>
      </c>
      <c r="E27093" s="5">
        <v>104.3</v>
      </c>
      <c r="F27093" s="5">
        <v>208.2</v>
      </c>
      <c r="G27093" s="5">
        <v>103.9</v>
      </c>
      <c r="H27093" s="5">
        <v>103.7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104.6</v>
      </c>
      <c r="D27094" s="5">
        <v>0.1</v>
      </c>
      <c r="E27094" s="5">
        <v>104.6</v>
      </c>
      <c r="F27094" s="5">
        <v>209</v>
      </c>
      <c r="G27094" s="5">
        <v>104.3</v>
      </c>
      <c r="H27094" s="5">
        <v>104.1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104.6</v>
      </c>
      <c r="D27095" s="5">
        <v>0.1</v>
      </c>
      <c r="E27095" s="5">
        <v>104.6</v>
      </c>
      <c r="F27095" s="5">
        <v>209</v>
      </c>
      <c r="G27095" s="5">
        <v>104.3</v>
      </c>
      <c r="H27095" s="5">
        <v>104.1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104.8</v>
      </c>
      <c r="D27096" s="5">
        <v>0.1</v>
      </c>
      <c r="E27096" s="5">
        <v>105</v>
      </c>
      <c r="F27096" s="5">
        <v>209.2</v>
      </c>
      <c r="G27096" s="5">
        <v>104.4</v>
      </c>
      <c r="H27096" s="5">
        <v>104.2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104.8</v>
      </c>
      <c r="D27097" s="5">
        <v>0.1</v>
      </c>
      <c r="E27097" s="5">
        <v>105</v>
      </c>
      <c r="F27097" s="5">
        <v>209.2</v>
      </c>
      <c r="G27097" s="5">
        <v>104.4</v>
      </c>
      <c r="H27097" s="5">
        <v>104.2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104.8</v>
      </c>
      <c r="D27098" s="5">
        <v>0.1</v>
      </c>
      <c r="E27098" s="5">
        <v>105</v>
      </c>
      <c r="F27098" s="5">
        <v>209.2</v>
      </c>
      <c r="G27098" s="5">
        <v>104.4</v>
      </c>
      <c r="H27098" s="5">
        <v>104.2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104.3</v>
      </c>
      <c r="D27099" s="5">
        <v>0.1</v>
      </c>
      <c r="E27099" s="5">
        <v>104.5</v>
      </c>
      <c r="F27099" s="5">
        <v>208.3</v>
      </c>
      <c r="G27099" s="5">
        <v>104.4</v>
      </c>
      <c r="H27099" s="5">
        <v>104.2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104.3</v>
      </c>
      <c r="D27100" s="5">
        <v>0.1</v>
      </c>
      <c r="E27100" s="5">
        <v>104.5</v>
      </c>
      <c r="F27100" s="5">
        <v>208.3</v>
      </c>
      <c r="G27100" s="5">
        <v>103.9</v>
      </c>
      <c r="H27100" s="5">
        <v>103.7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103.9</v>
      </c>
      <c r="D27101" s="5">
        <v>0.1</v>
      </c>
      <c r="E27101" s="5">
        <v>104.5</v>
      </c>
      <c r="F27101" s="5">
        <v>208.3</v>
      </c>
      <c r="G27101" s="5">
        <v>103.9</v>
      </c>
      <c r="H27101" s="5">
        <v>103.7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103.9</v>
      </c>
      <c r="D27102" s="5">
        <v>0.1</v>
      </c>
      <c r="E27102" s="5">
        <v>104</v>
      </c>
      <c r="F27102" s="5">
        <v>208.1</v>
      </c>
      <c r="G27102" s="5">
        <v>103.8</v>
      </c>
      <c r="H27102" s="5">
        <v>103.6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103.8</v>
      </c>
      <c r="D27103" s="5">
        <v>0.1</v>
      </c>
      <c r="E27103" s="5">
        <v>104</v>
      </c>
      <c r="F27103" s="5">
        <v>208.1</v>
      </c>
      <c r="G27103" s="5">
        <v>103.8</v>
      </c>
      <c r="H27103" s="5">
        <v>103.6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103.8</v>
      </c>
      <c r="D27104" s="5">
        <v>0.1</v>
      </c>
      <c r="E27104" s="5">
        <v>104</v>
      </c>
      <c r="F27104" s="5">
        <v>207.9</v>
      </c>
      <c r="G27104" s="5">
        <v>103.7</v>
      </c>
      <c r="H27104" s="5">
        <v>103.6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103.8</v>
      </c>
      <c r="D27105" s="5">
        <v>0.1</v>
      </c>
      <c r="E27105" s="5">
        <v>104</v>
      </c>
      <c r="F27105" s="5">
        <v>207.9</v>
      </c>
      <c r="G27105" s="5">
        <v>103.7</v>
      </c>
      <c r="H27105" s="5">
        <v>103.6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104.5</v>
      </c>
      <c r="D27106" s="5">
        <v>0.1</v>
      </c>
      <c r="E27106" s="5">
        <v>104.6</v>
      </c>
      <c r="F27106" s="5">
        <v>208.5</v>
      </c>
      <c r="G27106" s="5">
        <v>104.1</v>
      </c>
      <c r="H27106" s="5">
        <v>103.9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104.5</v>
      </c>
      <c r="D27107" s="5">
        <v>0.1</v>
      </c>
      <c r="E27107" s="5">
        <v>104.6</v>
      </c>
      <c r="F27107" s="5">
        <v>208.5</v>
      </c>
      <c r="G27107" s="5">
        <v>104.1</v>
      </c>
      <c r="H27107" s="5">
        <v>103.9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104.5</v>
      </c>
      <c r="D27108" s="5">
        <v>0.1</v>
      </c>
      <c r="E27108" s="5">
        <v>104.6</v>
      </c>
      <c r="F27108" s="5">
        <v>208.5</v>
      </c>
      <c r="G27108" s="5">
        <v>104.1</v>
      </c>
      <c r="H27108" s="5">
        <v>103.9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104.5</v>
      </c>
      <c r="D27109" s="5">
        <v>0.1</v>
      </c>
      <c r="E27109" s="5">
        <v>104.6</v>
      </c>
      <c r="F27109" s="5">
        <v>208.5</v>
      </c>
      <c r="G27109" s="5">
        <v>104.1</v>
      </c>
      <c r="H27109" s="5">
        <v>103.9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105.3</v>
      </c>
      <c r="D27110" s="5">
        <v>0.1</v>
      </c>
      <c r="E27110" s="5">
        <v>105.5</v>
      </c>
      <c r="F27110" s="5">
        <v>210.1</v>
      </c>
      <c r="G27110" s="5">
        <v>104.7</v>
      </c>
      <c r="H27110" s="5">
        <v>104.7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105.3</v>
      </c>
      <c r="D27111" s="5">
        <v>0.1</v>
      </c>
      <c r="E27111" s="5">
        <v>105.5</v>
      </c>
      <c r="F27111" s="5">
        <v>210.1</v>
      </c>
      <c r="G27111" s="5">
        <v>104.7</v>
      </c>
      <c r="H27111" s="5">
        <v>104.7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105.1</v>
      </c>
      <c r="D27112" s="5">
        <v>0.1</v>
      </c>
      <c r="E27112" s="5">
        <v>105.3</v>
      </c>
      <c r="F27112" s="5">
        <v>209.8</v>
      </c>
      <c r="G27112" s="5">
        <v>104.7</v>
      </c>
      <c r="H27112" s="5">
        <v>104.5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105.1</v>
      </c>
      <c r="D27113" s="5">
        <v>0.1</v>
      </c>
      <c r="E27113" s="5">
        <v>105.3</v>
      </c>
      <c r="F27113" s="5">
        <v>209.8</v>
      </c>
      <c r="G27113" s="5">
        <v>104.7</v>
      </c>
      <c r="H27113" s="5">
        <v>104.5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104.1</v>
      </c>
      <c r="D27114" s="5">
        <v>0.1</v>
      </c>
      <c r="E27114" s="5">
        <v>104.3</v>
      </c>
      <c r="F27114" s="5">
        <v>207.9</v>
      </c>
      <c r="G27114" s="5">
        <v>103.7</v>
      </c>
      <c r="H27114" s="5">
        <v>103.6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104.1</v>
      </c>
      <c r="D27115" s="5">
        <v>0.1</v>
      </c>
      <c r="E27115" s="5">
        <v>104.3</v>
      </c>
      <c r="F27115" s="5">
        <v>207.9</v>
      </c>
      <c r="G27115" s="5">
        <v>103.7</v>
      </c>
      <c r="H27115" s="5">
        <v>103.6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105.3</v>
      </c>
      <c r="D27116" s="5">
        <v>0.1</v>
      </c>
      <c r="E27116" s="5">
        <v>105.5</v>
      </c>
      <c r="F27116" s="5">
        <v>210.3</v>
      </c>
      <c r="G27116" s="5">
        <v>104.9</v>
      </c>
      <c r="H27116" s="5">
        <v>104.8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105.3</v>
      </c>
      <c r="D27117" s="5">
        <v>0.1</v>
      </c>
      <c r="E27117" s="5">
        <v>105.5</v>
      </c>
      <c r="F27117" s="5">
        <v>210.3</v>
      </c>
      <c r="G27117" s="5">
        <v>104.9</v>
      </c>
      <c r="H27117" s="5">
        <v>104.8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105.3</v>
      </c>
      <c r="D27118" s="5">
        <v>0.1</v>
      </c>
      <c r="E27118" s="5">
        <v>105.5</v>
      </c>
      <c r="F27118" s="5">
        <v>210.3</v>
      </c>
      <c r="G27118" s="5">
        <v>104.9</v>
      </c>
      <c r="H27118" s="5">
        <v>104.8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105.3</v>
      </c>
      <c r="D27119" s="5">
        <v>0.1</v>
      </c>
      <c r="E27119" s="5">
        <v>105.5</v>
      </c>
      <c r="F27119" s="5">
        <v>210.3</v>
      </c>
      <c r="G27119" s="5">
        <v>104.9</v>
      </c>
      <c r="H27119" s="5">
        <v>104.8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104.4</v>
      </c>
      <c r="D27120" s="5">
        <v>0.1</v>
      </c>
      <c r="E27120" s="5">
        <v>104.6</v>
      </c>
      <c r="F27120" s="5">
        <v>208</v>
      </c>
      <c r="G27120" s="5">
        <v>103.8</v>
      </c>
      <c r="H27120" s="5">
        <v>103.7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104.4</v>
      </c>
      <c r="D27121" s="5">
        <v>0.1</v>
      </c>
      <c r="E27121" s="5">
        <v>104.6</v>
      </c>
      <c r="F27121" s="5">
        <v>208</v>
      </c>
      <c r="G27121" s="5">
        <v>103.8</v>
      </c>
      <c r="H27121" s="5">
        <v>103.7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104.6</v>
      </c>
      <c r="D27122" s="5">
        <v>0.1</v>
      </c>
      <c r="E27122" s="5">
        <v>104.8</v>
      </c>
      <c r="F27122" s="5">
        <v>209.6</v>
      </c>
      <c r="G27122" s="5">
        <v>104.6</v>
      </c>
      <c r="H27122" s="5">
        <v>104.4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104.6</v>
      </c>
      <c r="D27123" s="5">
        <v>0.1</v>
      </c>
      <c r="E27123" s="5">
        <v>104.8</v>
      </c>
      <c r="F27123" s="5">
        <v>209.6</v>
      </c>
      <c r="G27123" s="5">
        <v>104.6</v>
      </c>
      <c r="H27123" s="5">
        <v>104.4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105</v>
      </c>
      <c r="D27124" s="5">
        <v>0.1</v>
      </c>
      <c r="E27124" s="5">
        <v>105</v>
      </c>
      <c r="F27124" s="5">
        <v>210.1</v>
      </c>
      <c r="G27124" s="5">
        <v>104.8</v>
      </c>
      <c r="H27124" s="5">
        <v>104.6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105</v>
      </c>
      <c r="D27125" s="5">
        <v>0.1</v>
      </c>
      <c r="E27125" s="5">
        <v>105</v>
      </c>
      <c r="F27125" s="5">
        <v>210.1</v>
      </c>
      <c r="G27125" s="5">
        <v>104.8</v>
      </c>
      <c r="H27125" s="5">
        <v>104.6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105.2</v>
      </c>
      <c r="D27126" s="5">
        <v>0.1</v>
      </c>
      <c r="E27126" s="5">
        <v>105.3</v>
      </c>
      <c r="F27126" s="5">
        <v>209.6</v>
      </c>
      <c r="G27126" s="5">
        <v>104.6</v>
      </c>
      <c r="H27126" s="5">
        <v>104.5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105.2</v>
      </c>
      <c r="D27127" s="5">
        <v>0.1</v>
      </c>
      <c r="E27127" s="5">
        <v>105.3</v>
      </c>
      <c r="F27127" s="5">
        <v>209.6</v>
      </c>
      <c r="G27127" s="5">
        <v>104.6</v>
      </c>
      <c r="H27127" s="5">
        <v>104.5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105.2</v>
      </c>
      <c r="D27128" s="5">
        <v>0.1</v>
      </c>
      <c r="E27128" s="5">
        <v>105.3</v>
      </c>
      <c r="F27128" s="5">
        <v>209.6</v>
      </c>
      <c r="G27128" s="5">
        <v>104.6</v>
      </c>
      <c r="H27128" s="5">
        <v>104.5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105.5</v>
      </c>
      <c r="D27129" s="5">
        <v>0.1</v>
      </c>
      <c r="E27129" s="5">
        <v>105.6</v>
      </c>
      <c r="F27129" s="5">
        <v>210.8</v>
      </c>
      <c r="G27129" s="5">
        <v>105.2</v>
      </c>
      <c r="H27129" s="5">
        <v>105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105.5</v>
      </c>
      <c r="D27130" s="5">
        <v>0.1</v>
      </c>
      <c r="E27130" s="5">
        <v>105.6</v>
      </c>
      <c r="F27130" s="5">
        <v>210.8</v>
      </c>
      <c r="G27130" s="5">
        <v>105.2</v>
      </c>
      <c r="H27130" s="5">
        <v>105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106.3</v>
      </c>
      <c r="D27131" s="5">
        <v>0.1</v>
      </c>
      <c r="E27131" s="5">
        <v>106.5</v>
      </c>
      <c r="F27131" s="5">
        <v>212.1</v>
      </c>
      <c r="G27131" s="5">
        <v>105.9</v>
      </c>
      <c r="H27131" s="5">
        <v>105.7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106.3</v>
      </c>
      <c r="D27132" s="5">
        <v>0.1</v>
      </c>
      <c r="E27132" s="5">
        <v>106.5</v>
      </c>
      <c r="F27132" s="5">
        <v>212.1</v>
      </c>
      <c r="G27132" s="5">
        <v>105.9</v>
      </c>
      <c r="H27132" s="5">
        <v>105.7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105.7</v>
      </c>
      <c r="D27133" s="5">
        <v>0.1</v>
      </c>
      <c r="E27133" s="5">
        <v>105.9</v>
      </c>
      <c r="F27133" s="5">
        <v>211.2</v>
      </c>
      <c r="G27133" s="5">
        <v>105.4</v>
      </c>
      <c r="H27133" s="5">
        <v>105.2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105.7</v>
      </c>
      <c r="D27134" s="5">
        <v>0.1</v>
      </c>
      <c r="E27134" s="5">
        <v>105.9</v>
      </c>
      <c r="F27134" s="5">
        <v>211.2</v>
      </c>
      <c r="G27134" s="5">
        <v>105.4</v>
      </c>
      <c r="H27134" s="5">
        <v>105.2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105.7</v>
      </c>
      <c r="D27135" s="5">
        <v>0.1</v>
      </c>
      <c r="E27135" s="5">
        <v>105.9</v>
      </c>
      <c r="F27135" s="5">
        <v>211.2</v>
      </c>
      <c r="G27135" s="5">
        <v>105.4</v>
      </c>
      <c r="H27135" s="5">
        <v>105.2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105.7</v>
      </c>
      <c r="D27136" s="5">
        <v>0.1</v>
      </c>
      <c r="E27136" s="5">
        <v>105.9</v>
      </c>
      <c r="F27136" s="5">
        <v>211.2</v>
      </c>
      <c r="G27136" s="5">
        <v>105.4</v>
      </c>
      <c r="H27136" s="5">
        <v>105.2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105.7</v>
      </c>
      <c r="D27137" s="5">
        <v>0.1</v>
      </c>
      <c r="E27137" s="5">
        <v>105.9</v>
      </c>
      <c r="F27137" s="5">
        <v>211.2</v>
      </c>
      <c r="G27137" s="5">
        <v>105.4</v>
      </c>
      <c r="H27137" s="5">
        <v>105.2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105.7</v>
      </c>
      <c r="D27138" s="5">
        <v>0.1</v>
      </c>
      <c r="E27138" s="5">
        <v>105.9</v>
      </c>
      <c r="F27138" s="5">
        <v>211.2</v>
      </c>
      <c r="G27138" s="5">
        <v>105.4</v>
      </c>
      <c r="H27138" s="5">
        <v>105.2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104.8</v>
      </c>
      <c r="D27139" s="5">
        <v>0.1</v>
      </c>
      <c r="E27139" s="5">
        <v>105</v>
      </c>
      <c r="F27139" s="5">
        <v>209.2</v>
      </c>
      <c r="G27139" s="5">
        <v>104.3</v>
      </c>
      <c r="H27139" s="5">
        <v>104.2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104.8</v>
      </c>
      <c r="D27140" s="5">
        <v>0.1</v>
      </c>
      <c r="E27140" s="5">
        <v>105</v>
      </c>
      <c r="F27140" s="5">
        <v>209.2</v>
      </c>
      <c r="G27140" s="5">
        <v>104.3</v>
      </c>
      <c r="H27140" s="5">
        <v>104.2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105.6</v>
      </c>
      <c r="D27141" s="5">
        <v>0.1</v>
      </c>
      <c r="E27141" s="5">
        <v>105.7</v>
      </c>
      <c r="F27141" s="5">
        <v>210.1</v>
      </c>
      <c r="G27141" s="5">
        <v>104.9</v>
      </c>
      <c r="H27141" s="5">
        <v>104.7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105.6</v>
      </c>
      <c r="D27142" s="5">
        <v>0.1</v>
      </c>
      <c r="E27142" s="5">
        <v>105.7</v>
      </c>
      <c r="F27142" s="5">
        <v>210.1</v>
      </c>
      <c r="G27142" s="5">
        <v>104.9</v>
      </c>
      <c r="H27142" s="5">
        <v>104.7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105.3</v>
      </c>
      <c r="D27143" s="5">
        <v>0.1</v>
      </c>
      <c r="E27143" s="5">
        <v>105.4</v>
      </c>
      <c r="F27143" s="5">
        <v>209.5</v>
      </c>
      <c r="G27143" s="5">
        <v>104.5</v>
      </c>
      <c r="H27143" s="5">
        <v>104.4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105.3</v>
      </c>
      <c r="D27144" s="5">
        <v>0.1</v>
      </c>
      <c r="E27144" s="5">
        <v>105.4</v>
      </c>
      <c r="F27144" s="5">
        <v>209.5</v>
      </c>
      <c r="G27144" s="5">
        <v>104.5</v>
      </c>
      <c r="H27144" s="5">
        <v>104.4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105.4</v>
      </c>
      <c r="D27145" s="5">
        <v>0.1</v>
      </c>
      <c r="E27145" s="5">
        <v>105.6</v>
      </c>
      <c r="F27145" s="5">
        <v>209.5</v>
      </c>
      <c r="G27145" s="5">
        <v>104.6</v>
      </c>
      <c r="H27145" s="5">
        <v>104.5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105.4</v>
      </c>
      <c r="D27146" s="5">
        <v>0.1</v>
      </c>
      <c r="E27146" s="5">
        <v>105.6</v>
      </c>
      <c r="F27146" s="5">
        <v>209.5</v>
      </c>
      <c r="G27146" s="5">
        <v>104.6</v>
      </c>
      <c r="H27146" s="5">
        <v>104.5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105.4</v>
      </c>
      <c r="D27147" s="5">
        <v>0.1</v>
      </c>
      <c r="E27147" s="5">
        <v>105.6</v>
      </c>
      <c r="F27147" s="5">
        <v>209.5</v>
      </c>
      <c r="G27147" s="5">
        <v>104.6</v>
      </c>
      <c r="H27147" s="5">
        <v>104.5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105.4</v>
      </c>
      <c r="D27148" s="5">
        <v>0.1</v>
      </c>
      <c r="E27148" s="5">
        <v>105.6</v>
      </c>
      <c r="F27148" s="5">
        <v>209.5</v>
      </c>
      <c r="G27148" s="5">
        <v>104.6</v>
      </c>
      <c r="H27148" s="5">
        <v>104.5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105</v>
      </c>
      <c r="D27149" s="5">
        <v>0.1</v>
      </c>
      <c r="E27149" s="5">
        <v>105.6</v>
      </c>
      <c r="F27149" s="5">
        <v>209.5</v>
      </c>
      <c r="G27149" s="5">
        <v>104.6</v>
      </c>
      <c r="H27149" s="5">
        <v>104.8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105</v>
      </c>
      <c r="D27150" s="5">
        <v>0.1</v>
      </c>
      <c r="E27150" s="5">
        <v>105.1</v>
      </c>
      <c r="F27150" s="5">
        <v>210.3</v>
      </c>
      <c r="G27150" s="5">
        <v>105</v>
      </c>
      <c r="H27150" s="5">
        <v>104.8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105</v>
      </c>
      <c r="D27151" s="5">
        <v>0.1</v>
      </c>
      <c r="E27151" s="5">
        <v>105.1</v>
      </c>
      <c r="F27151" s="5">
        <v>210.3</v>
      </c>
      <c r="G27151" s="5">
        <v>105</v>
      </c>
      <c r="H27151" s="5">
        <v>104.6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105.2</v>
      </c>
      <c r="D27152" s="5">
        <v>0.1</v>
      </c>
      <c r="E27152" s="5">
        <v>105.3</v>
      </c>
      <c r="F27152" s="5">
        <v>210.4</v>
      </c>
      <c r="G27152" s="5">
        <v>104.9</v>
      </c>
      <c r="H27152" s="5">
        <v>104.6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105.2</v>
      </c>
      <c r="D27153" s="5">
        <v>0.1</v>
      </c>
      <c r="E27153" s="5">
        <v>105.3</v>
      </c>
      <c r="F27153" s="5">
        <v>210.4</v>
      </c>
      <c r="G27153" s="5">
        <v>104.9</v>
      </c>
      <c r="H27153" s="5">
        <v>104.3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104.7</v>
      </c>
      <c r="D27154" s="5">
        <v>0.1</v>
      </c>
      <c r="E27154" s="5">
        <v>104.8</v>
      </c>
      <c r="F27154" s="5">
        <v>209.4</v>
      </c>
      <c r="G27154" s="5">
        <v>104.4</v>
      </c>
      <c r="H27154" s="5">
        <v>104.3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104.7</v>
      </c>
      <c r="D27155" s="5">
        <v>0.1</v>
      </c>
      <c r="E27155" s="5">
        <v>104.8</v>
      </c>
      <c r="F27155" s="5">
        <v>209.4</v>
      </c>
      <c r="G27155" s="5">
        <v>104.4</v>
      </c>
      <c r="H27155" s="5">
        <v>104.3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105.4</v>
      </c>
      <c r="D27156" s="5">
        <v>0.1</v>
      </c>
      <c r="E27156" s="5">
        <v>105.6</v>
      </c>
      <c r="F27156" s="5">
        <v>210.6</v>
      </c>
      <c r="G27156" s="5">
        <v>105.1</v>
      </c>
      <c r="H27156" s="5">
        <v>104.9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105.4</v>
      </c>
      <c r="D27157" s="5">
        <v>0.1</v>
      </c>
      <c r="E27157" s="5">
        <v>105.6</v>
      </c>
      <c r="F27157" s="5">
        <v>210.6</v>
      </c>
      <c r="G27157" s="5">
        <v>105.1</v>
      </c>
      <c r="H27157" s="5">
        <v>104.9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105.4</v>
      </c>
      <c r="D27158" s="5">
        <v>0.1</v>
      </c>
      <c r="E27158" s="5">
        <v>105.6</v>
      </c>
      <c r="F27158" s="5">
        <v>210.6</v>
      </c>
      <c r="G27158" s="5">
        <v>105.1</v>
      </c>
      <c r="H27158" s="5">
        <v>104.9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106.5</v>
      </c>
      <c r="D27159" s="5">
        <v>0.1</v>
      </c>
      <c r="E27159" s="5">
        <v>106.6</v>
      </c>
      <c r="F27159" s="5">
        <v>211.9</v>
      </c>
      <c r="G27159" s="5">
        <v>105.7</v>
      </c>
      <c r="H27159" s="5">
        <v>105.6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106.5</v>
      </c>
      <c r="D27160" s="5">
        <v>0.1</v>
      </c>
      <c r="E27160" s="5">
        <v>106.6</v>
      </c>
      <c r="F27160" s="5">
        <v>211.9</v>
      </c>
      <c r="G27160" s="5">
        <v>105.7</v>
      </c>
      <c r="H27160" s="5">
        <v>105.6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105.9</v>
      </c>
      <c r="D27161" s="5">
        <v>0.1</v>
      </c>
      <c r="E27161" s="5">
        <v>105.9</v>
      </c>
      <c r="F27161" s="5">
        <v>210.9</v>
      </c>
      <c r="G27161" s="5">
        <v>105.2</v>
      </c>
      <c r="H27161" s="5">
        <v>105.1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105.9</v>
      </c>
      <c r="D27162" s="5">
        <v>0.1</v>
      </c>
      <c r="E27162" s="5">
        <v>105.9</v>
      </c>
      <c r="F27162" s="5">
        <v>210.9</v>
      </c>
      <c r="G27162" s="5">
        <v>105.2</v>
      </c>
      <c r="H27162" s="5">
        <v>105.1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105.7</v>
      </c>
      <c r="D27163" s="5">
        <v>0.1</v>
      </c>
      <c r="E27163" s="5">
        <v>105.9</v>
      </c>
      <c r="F27163" s="5">
        <v>210.4</v>
      </c>
      <c r="G27163" s="5">
        <v>105</v>
      </c>
      <c r="H27163" s="5">
        <v>104.8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105.7</v>
      </c>
      <c r="D27164" s="5">
        <v>0.1</v>
      </c>
      <c r="E27164" s="5">
        <v>105.9</v>
      </c>
      <c r="F27164" s="5">
        <v>210.4</v>
      </c>
      <c r="G27164" s="5">
        <v>105</v>
      </c>
      <c r="H27164" s="5">
        <v>104.8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105.6</v>
      </c>
      <c r="D27165" s="5">
        <v>0.1</v>
      </c>
      <c r="E27165" s="5">
        <v>105.8</v>
      </c>
      <c r="F27165" s="5">
        <v>210.5</v>
      </c>
      <c r="G27165" s="5">
        <v>105</v>
      </c>
      <c r="H27165" s="5">
        <v>104.9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105.6</v>
      </c>
      <c r="D27166" s="5">
        <v>0.1</v>
      </c>
      <c r="E27166" s="5">
        <v>105.8</v>
      </c>
      <c r="F27166" s="5">
        <v>210.5</v>
      </c>
      <c r="G27166" s="5">
        <v>105</v>
      </c>
      <c r="H27166" s="5">
        <v>104.9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105.6</v>
      </c>
      <c r="D27167" s="5">
        <v>0.1</v>
      </c>
      <c r="E27167" s="5">
        <v>105.8</v>
      </c>
      <c r="F27167" s="5">
        <v>210.5</v>
      </c>
      <c r="G27167" s="5">
        <v>105</v>
      </c>
      <c r="H27167" s="5">
        <v>104.9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105.6</v>
      </c>
      <c r="D27168" s="5">
        <v>0.1</v>
      </c>
      <c r="E27168" s="5">
        <v>105.8</v>
      </c>
      <c r="F27168" s="5">
        <v>210.5</v>
      </c>
      <c r="G27168" s="5">
        <v>105</v>
      </c>
      <c r="H27168" s="5">
        <v>104.9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105.5</v>
      </c>
      <c r="D27169" s="5">
        <v>0.1</v>
      </c>
      <c r="E27169" s="5">
        <v>105.6</v>
      </c>
      <c r="F27169" s="5">
        <v>210.8</v>
      </c>
      <c r="G27169" s="5">
        <v>105.2</v>
      </c>
      <c r="H27169" s="5">
        <v>105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105.5</v>
      </c>
      <c r="D27170" s="5">
        <v>0.1</v>
      </c>
      <c r="E27170" s="5">
        <v>105.6</v>
      </c>
      <c r="F27170" s="5">
        <v>210.8</v>
      </c>
      <c r="G27170" s="5">
        <v>105.2</v>
      </c>
      <c r="H27170" s="5">
        <v>105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105.5</v>
      </c>
      <c r="D27171" s="5">
        <v>0.1</v>
      </c>
      <c r="E27171" s="5">
        <v>105.6</v>
      </c>
      <c r="F27171" s="5">
        <v>211.2</v>
      </c>
      <c r="G27171" s="5">
        <v>105.5</v>
      </c>
      <c r="H27171" s="5">
        <v>105.4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105.5</v>
      </c>
      <c r="D27172" s="5">
        <v>0.1</v>
      </c>
      <c r="E27172" s="5">
        <v>105.6</v>
      </c>
      <c r="F27172" s="5">
        <v>211.2</v>
      </c>
      <c r="G27172" s="5">
        <v>105.5</v>
      </c>
      <c r="H27172" s="5">
        <v>105.4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105.8</v>
      </c>
      <c r="D27173" s="5">
        <v>0.1</v>
      </c>
      <c r="E27173" s="5">
        <v>105.9</v>
      </c>
      <c r="F27173" s="5">
        <v>208.9</v>
      </c>
      <c r="G27173" s="5">
        <v>104.1</v>
      </c>
      <c r="H27173" s="5">
        <v>103.8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105.8</v>
      </c>
      <c r="D27174" s="5">
        <v>0.1</v>
      </c>
      <c r="E27174" s="5">
        <v>105.9</v>
      </c>
      <c r="F27174" s="5">
        <v>208.9</v>
      </c>
      <c r="G27174" s="5">
        <v>104.1</v>
      </c>
      <c r="H27174" s="5">
        <v>103.8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105.6</v>
      </c>
      <c r="D27175" s="5">
        <v>0.1</v>
      </c>
      <c r="E27175" s="5">
        <v>105.8</v>
      </c>
      <c r="F27175" s="5">
        <v>210.4</v>
      </c>
      <c r="G27175" s="5">
        <v>105</v>
      </c>
      <c r="H27175" s="5">
        <v>104.9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105.6</v>
      </c>
      <c r="D27176" s="5">
        <v>0.1</v>
      </c>
      <c r="E27176" s="5">
        <v>105.8</v>
      </c>
      <c r="F27176" s="5">
        <v>210.4</v>
      </c>
      <c r="G27176" s="5">
        <v>105</v>
      </c>
      <c r="H27176" s="5">
        <v>104.9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105.6</v>
      </c>
      <c r="D27177" s="5">
        <v>0.1</v>
      </c>
      <c r="E27177" s="5">
        <v>105.8</v>
      </c>
      <c r="F27177" s="5">
        <v>210.4</v>
      </c>
      <c r="G27177" s="5">
        <v>105</v>
      </c>
      <c r="H27177" s="5">
        <v>104.9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105.6</v>
      </c>
      <c r="D27178" s="5">
        <v>0.1</v>
      </c>
      <c r="E27178" s="5">
        <v>105.8</v>
      </c>
      <c r="F27178" s="5">
        <v>210.4</v>
      </c>
      <c r="G27178" s="5">
        <v>105</v>
      </c>
      <c r="H27178" s="5">
        <v>104.9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105.3</v>
      </c>
      <c r="D27179" s="5">
        <v>0.1</v>
      </c>
      <c r="E27179" s="5">
        <v>105.5</v>
      </c>
      <c r="F27179" s="5">
        <v>209.7</v>
      </c>
      <c r="G27179" s="5">
        <v>104.7</v>
      </c>
      <c r="H27179" s="5">
        <v>104.5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105.3</v>
      </c>
      <c r="D27180" s="5">
        <v>0.1</v>
      </c>
      <c r="E27180" s="5">
        <v>105.5</v>
      </c>
      <c r="F27180" s="5">
        <v>209.7</v>
      </c>
      <c r="G27180" s="5">
        <v>104.7</v>
      </c>
      <c r="H27180" s="5">
        <v>104.5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105.8</v>
      </c>
      <c r="D27181" s="5">
        <v>0.1</v>
      </c>
      <c r="E27181" s="5">
        <v>105.9</v>
      </c>
      <c r="F27181" s="5">
        <v>210.7</v>
      </c>
      <c r="G27181" s="5">
        <v>105.1</v>
      </c>
      <c r="H27181" s="5">
        <v>105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105.8</v>
      </c>
      <c r="D27182" s="5">
        <v>0.1</v>
      </c>
      <c r="E27182" s="5">
        <v>105.9</v>
      </c>
      <c r="F27182" s="5">
        <v>210.7</v>
      </c>
      <c r="G27182" s="5">
        <v>105.1</v>
      </c>
      <c r="H27182" s="5">
        <v>105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105.3</v>
      </c>
      <c r="D27183" s="5">
        <v>0.1</v>
      </c>
      <c r="E27183" s="5">
        <v>105.4</v>
      </c>
      <c r="F27183" s="5">
        <v>210</v>
      </c>
      <c r="G27183" s="5">
        <v>104.9</v>
      </c>
      <c r="H27183" s="5">
        <v>104.7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105.3</v>
      </c>
      <c r="D27184" s="5">
        <v>0.1</v>
      </c>
      <c r="E27184" s="5">
        <v>105.4</v>
      </c>
      <c r="F27184" s="5">
        <v>210</v>
      </c>
      <c r="G27184" s="5">
        <v>104.9</v>
      </c>
      <c r="H27184" s="5">
        <v>104.7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104.9</v>
      </c>
      <c r="D27185" s="5">
        <v>0.1</v>
      </c>
      <c r="E27185" s="5">
        <v>105</v>
      </c>
      <c r="F27185" s="5">
        <v>208.7</v>
      </c>
      <c r="G27185" s="5">
        <v>104.2</v>
      </c>
      <c r="H27185" s="5">
        <v>104.1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104.9</v>
      </c>
      <c r="D27186" s="5">
        <v>0.1</v>
      </c>
      <c r="E27186" s="5">
        <v>105</v>
      </c>
      <c r="F27186" s="5">
        <v>208.7</v>
      </c>
      <c r="G27186" s="5">
        <v>104.2</v>
      </c>
      <c r="H27186" s="5">
        <v>104.1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104.9</v>
      </c>
      <c r="D27187" s="5">
        <v>0.1</v>
      </c>
      <c r="E27187" s="5">
        <v>105</v>
      </c>
      <c r="F27187" s="5">
        <v>208.7</v>
      </c>
      <c r="G27187" s="5">
        <v>104.2</v>
      </c>
      <c r="H27187" s="5">
        <v>104.1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104.9</v>
      </c>
      <c r="D27188" s="5">
        <v>0.1</v>
      </c>
      <c r="E27188" s="5">
        <v>105</v>
      </c>
      <c r="F27188" s="5">
        <v>208.7</v>
      </c>
      <c r="G27188" s="5">
        <v>104.2</v>
      </c>
      <c r="H27188" s="5">
        <v>104.1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104.3</v>
      </c>
      <c r="D27189" s="5">
        <v>0.1</v>
      </c>
      <c r="E27189" s="5">
        <v>104.5</v>
      </c>
      <c r="F27189" s="5">
        <v>208.5</v>
      </c>
      <c r="G27189" s="5">
        <v>104</v>
      </c>
      <c r="H27189" s="5">
        <v>103.9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104.3</v>
      </c>
      <c r="D27190" s="5">
        <v>0.1</v>
      </c>
      <c r="E27190" s="5">
        <v>104.5</v>
      </c>
      <c r="F27190" s="5">
        <v>208.5</v>
      </c>
      <c r="G27190" s="5">
        <v>104</v>
      </c>
      <c r="H27190" s="5">
        <v>103.9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101.8</v>
      </c>
      <c r="D27191" s="5">
        <v>0.1</v>
      </c>
      <c r="E27191" s="5">
        <v>101.9</v>
      </c>
      <c r="F27191" s="5">
        <v>206.4</v>
      </c>
      <c r="G27191" s="5">
        <v>103.1</v>
      </c>
      <c r="H27191" s="5">
        <v>103.1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101.8</v>
      </c>
      <c r="D27192" s="5">
        <v>0.1</v>
      </c>
      <c r="E27192" s="5">
        <v>101.9</v>
      </c>
      <c r="F27192" s="5">
        <v>206.4</v>
      </c>
      <c r="G27192" s="5">
        <v>103.1</v>
      </c>
      <c r="H27192" s="5">
        <v>103.1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104</v>
      </c>
      <c r="D27193" s="5">
        <v>0.1</v>
      </c>
      <c r="E27193" s="5">
        <v>104.1</v>
      </c>
      <c r="F27193" s="5">
        <v>208.1</v>
      </c>
      <c r="G27193" s="5">
        <v>103.8</v>
      </c>
      <c r="H27193" s="5">
        <v>103.7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104</v>
      </c>
      <c r="D27194" s="5">
        <v>0.1</v>
      </c>
      <c r="E27194" s="5">
        <v>104.1</v>
      </c>
      <c r="F27194" s="5">
        <v>208.1</v>
      </c>
      <c r="G27194" s="5">
        <v>103.8</v>
      </c>
      <c r="H27194" s="5">
        <v>103.7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103.6</v>
      </c>
      <c r="D27195" s="5">
        <v>0.1</v>
      </c>
      <c r="E27195" s="5">
        <v>103.7</v>
      </c>
      <c r="F27195" s="5">
        <v>208.1</v>
      </c>
      <c r="G27195" s="5">
        <v>103.9</v>
      </c>
      <c r="H27195" s="5">
        <v>103.8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103.6</v>
      </c>
      <c r="D27196" s="5">
        <v>0.1</v>
      </c>
      <c r="E27196" s="5">
        <v>103.7</v>
      </c>
      <c r="F27196" s="5">
        <v>208.1</v>
      </c>
      <c r="G27196" s="5">
        <v>103.9</v>
      </c>
      <c r="H27196" s="5">
        <v>103.8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103.6</v>
      </c>
      <c r="D27197" s="5">
        <v>0.1</v>
      </c>
      <c r="E27197" s="5">
        <v>103.7</v>
      </c>
      <c r="F27197" s="5">
        <v>208.1</v>
      </c>
      <c r="G27197" s="5">
        <v>103.9</v>
      </c>
      <c r="H27197" s="5">
        <v>103.8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103.6</v>
      </c>
      <c r="D27198" s="5">
        <v>0.1</v>
      </c>
      <c r="E27198" s="5">
        <v>103.7</v>
      </c>
      <c r="F27198" s="5">
        <v>208.1</v>
      </c>
      <c r="G27198" s="5">
        <v>103.9</v>
      </c>
      <c r="H27198" s="5">
        <v>103.8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102.7</v>
      </c>
      <c r="D27199" s="5">
        <v>0.1</v>
      </c>
      <c r="E27199" s="5">
        <v>102.8</v>
      </c>
      <c r="F27199" s="5">
        <v>207.2</v>
      </c>
      <c r="G27199" s="5">
        <v>103.9</v>
      </c>
      <c r="H27199" s="5">
        <v>104.2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102.7</v>
      </c>
      <c r="D27200" s="5">
        <v>0.1</v>
      </c>
      <c r="E27200" s="5">
        <v>102.8</v>
      </c>
      <c r="F27200" s="5">
        <v>207.2</v>
      </c>
      <c r="G27200" s="5">
        <v>103.9</v>
      </c>
      <c r="H27200" s="5">
        <v>104.2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104.2</v>
      </c>
      <c r="D27201" s="5">
        <v>0.1</v>
      </c>
      <c r="E27201" s="5">
        <v>104.3</v>
      </c>
      <c r="F27201" s="5">
        <v>208</v>
      </c>
      <c r="G27201" s="5">
        <v>103.8</v>
      </c>
      <c r="H27201" s="5">
        <v>103.5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104.2</v>
      </c>
      <c r="D27202" s="5">
        <v>0.1</v>
      </c>
      <c r="E27202" s="5">
        <v>104.3</v>
      </c>
      <c r="F27202" s="5">
        <v>208</v>
      </c>
      <c r="G27202" s="5">
        <v>103.8</v>
      </c>
      <c r="H27202" s="5">
        <v>103.5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105</v>
      </c>
      <c r="D27203" s="5">
        <v>0.1</v>
      </c>
      <c r="E27203" s="5">
        <v>105.1</v>
      </c>
      <c r="F27203" s="5">
        <v>209.5</v>
      </c>
      <c r="G27203" s="5">
        <v>104.5</v>
      </c>
      <c r="H27203" s="5">
        <v>104.3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105</v>
      </c>
      <c r="D27204" s="5">
        <v>0.1</v>
      </c>
      <c r="E27204" s="5">
        <v>105.1</v>
      </c>
      <c r="F27204" s="5">
        <v>209.5</v>
      </c>
      <c r="G27204" s="5">
        <v>104.5</v>
      </c>
      <c r="H27204" s="5">
        <v>104.3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105.5</v>
      </c>
      <c r="D27205" s="5">
        <v>0.1</v>
      </c>
      <c r="E27205" s="5">
        <v>105.6</v>
      </c>
      <c r="F27205" s="5">
        <v>209.8</v>
      </c>
      <c r="G27205" s="5">
        <v>104.1</v>
      </c>
      <c r="H27205" s="5">
        <v>103.8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105.5</v>
      </c>
      <c r="D27206" s="5">
        <v>0.1</v>
      </c>
      <c r="E27206" s="5">
        <v>105.6</v>
      </c>
      <c r="F27206" s="5">
        <v>209.8</v>
      </c>
      <c r="G27206" s="5">
        <v>104.1</v>
      </c>
      <c r="H27206" s="5">
        <v>103.8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105.5</v>
      </c>
      <c r="D27207" s="5">
        <v>0.1</v>
      </c>
      <c r="E27207" s="5">
        <v>105.6</v>
      </c>
      <c r="F27207" s="5">
        <v>209.8</v>
      </c>
      <c r="G27207" s="5">
        <v>104.1</v>
      </c>
      <c r="H27207" s="5">
        <v>103.8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105.5</v>
      </c>
      <c r="D27208" s="5">
        <v>0.1</v>
      </c>
      <c r="E27208" s="5">
        <v>105.6</v>
      </c>
      <c r="F27208" s="5">
        <v>209.8</v>
      </c>
      <c r="G27208" s="5">
        <v>104.1</v>
      </c>
      <c r="H27208" s="5">
        <v>103.8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104.3</v>
      </c>
      <c r="D27209" s="5">
        <v>0.1</v>
      </c>
      <c r="E27209" s="5">
        <v>104.5</v>
      </c>
      <c r="F27209" s="5">
        <v>208.2</v>
      </c>
      <c r="G27209" s="5">
        <v>103.9</v>
      </c>
      <c r="H27209" s="5">
        <v>103.8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104.3</v>
      </c>
      <c r="D27210" s="5">
        <v>0.1</v>
      </c>
      <c r="E27210" s="5">
        <v>104.5</v>
      </c>
      <c r="F27210" s="5">
        <v>208.2</v>
      </c>
      <c r="G27210" s="5">
        <v>103.9</v>
      </c>
      <c r="H27210" s="5">
        <v>103.8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104</v>
      </c>
      <c r="D27211" s="5">
        <v>0.1</v>
      </c>
      <c r="E27211" s="5">
        <v>104.2</v>
      </c>
      <c r="F27211" s="5">
        <v>208.1</v>
      </c>
      <c r="G27211" s="5">
        <v>103.8</v>
      </c>
      <c r="H27211" s="5">
        <v>103.7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104</v>
      </c>
      <c r="D27212" s="5">
        <v>0.1</v>
      </c>
      <c r="E27212" s="5">
        <v>104.2</v>
      </c>
      <c r="F27212" s="5">
        <v>208.1</v>
      </c>
      <c r="G27212" s="5">
        <v>103.8</v>
      </c>
      <c r="H27212" s="5">
        <v>103.7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102.1</v>
      </c>
      <c r="D27213" s="5">
        <v>0.1</v>
      </c>
      <c r="E27213" s="5">
        <v>102.1</v>
      </c>
      <c r="F27213" s="5">
        <v>208.8</v>
      </c>
      <c r="G27213" s="5">
        <v>104</v>
      </c>
      <c r="H27213" s="5">
        <v>103.8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102.1</v>
      </c>
      <c r="D27214" s="5">
        <v>0.1</v>
      </c>
      <c r="E27214" s="5">
        <v>102.1</v>
      </c>
      <c r="F27214" s="5">
        <v>208.8</v>
      </c>
      <c r="G27214" s="5">
        <v>104</v>
      </c>
      <c r="H27214" s="5">
        <v>103.8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105.3</v>
      </c>
      <c r="D27215" s="5">
        <v>0.1</v>
      </c>
      <c r="E27215" s="5">
        <v>105.4</v>
      </c>
      <c r="F27215" s="5">
        <v>209.6</v>
      </c>
      <c r="G27215" s="5">
        <v>104.5</v>
      </c>
      <c r="H27215" s="5">
        <v>104.4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105.3</v>
      </c>
      <c r="D27216" s="5">
        <v>0.1</v>
      </c>
      <c r="E27216" s="5">
        <v>105.4</v>
      </c>
      <c r="F27216" s="5">
        <v>209.6</v>
      </c>
      <c r="G27216" s="5">
        <v>104.5</v>
      </c>
      <c r="H27216" s="5">
        <v>104.4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105.3</v>
      </c>
      <c r="D27217" s="5">
        <v>0.1</v>
      </c>
      <c r="E27217" s="5">
        <v>105.4</v>
      </c>
      <c r="F27217" s="5">
        <v>209.6</v>
      </c>
      <c r="G27217" s="5">
        <v>104.5</v>
      </c>
      <c r="H27217" s="5">
        <v>104.4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105.3</v>
      </c>
      <c r="D27218" s="5">
        <v>0.1</v>
      </c>
      <c r="E27218" s="5">
        <v>105.4</v>
      </c>
      <c r="F27218" s="5">
        <v>209.6</v>
      </c>
      <c r="G27218" s="5">
        <v>104.5</v>
      </c>
      <c r="H27218" s="5">
        <v>104.4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105.6</v>
      </c>
      <c r="D27219" s="5">
        <v>0.1</v>
      </c>
      <c r="E27219" s="5">
        <v>105.8</v>
      </c>
      <c r="F27219" s="5">
        <v>210.4</v>
      </c>
      <c r="G27219" s="5">
        <v>104.7</v>
      </c>
      <c r="H27219" s="5">
        <v>104.5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105.6</v>
      </c>
      <c r="D27220" s="5">
        <v>0.1</v>
      </c>
      <c r="E27220" s="5">
        <v>105.8</v>
      </c>
      <c r="F27220" s="5">
        <v>210.4</v>
      </c>
      <c r="G27220" s="5">
        <v>104.7</v>
      </c>
      <c r="H27220" s="5">
        <v>104.5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103.3</v>
      </c>
      <c r="D27221" s="5">
        <v>0.1</v>
      </c>
      <c r="E27221" s="5">
        <v>103.4</v>
      </c>
      <c r="F27221" s="5">
        <v>207.2</v>
      </c>
      <c r="G27221" s="5">
        <v>103.3</v>
      </c>
      <c r="H27221" s="5">
        <v>103.1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103.3</v>
      </c>
      <c r="D27222" s="5">
        <v>0.1</v>
      </c>
      <c r="E27222" s="5">
        <v>103.4</v>
      </c>
      <c r="F27222" s="5">
        <v>207.2</v>
      </c>
      <c r="G27222" s="5">
        <v>103.3</v>
      </c>
      <c r="H27222" s="5">
        <v>103.1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103.8</v>
      </c>
      <c r="D27223" s="5">
        <v>0.1</v>
      </c>
      <c r="E27223" s="5">
        <v>104</v>
      </c>
      <c r="F27223" s="5">
        <v>207</v>
      </c>
      <c r="G27223" s="5">
        <v>103.3</v>
      </c>
      <c r="H27223" s="5">
        <v>103.2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103.8</v>
      </c>
      <c r="D27224" s="5">
        <v>0.1</v>
      </c>
      <c r="E27224" s="5">
        <v>104</v>
      </c>
      <c r="F27224" s="5">
        <v>207</v>
      </c>
      <c r="G27224" s="5">
        <v>103.3</v>
      </c>
      <c r="H27224" s="5">
        <v>103.2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104.7</v>
      </c>
      <c r="D27225" s="5">
        <v>0.1</v>
      </c>
      <c r="E27225" s="5">
        <v>104.9</v>
      </c>
      <c r="F27225" s="5">
        <v>209.6</v>
      </c>
      <c r="G27225" s="5">
        <v>104.5</v>
      </c>
      <c r="H27225" s="5">
        <v>104.4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104.7</v>
      </c>
      <c r="D27226" s="5">
        <v>0.1</v>
      </c>
      <c r="E27226" s="5">
        <v>104.9</v>
      </c>
      <c r="F27226" s="5">
        <v>209.6</v>
      </c>
      <c r="G27226" s="5">
        <v>104.5</v>
      </c>
      <c r="H27226" s="5">
        <v>104.4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104.7</v>
      </c>
      <c r="D27227" s="5">
        <v>0.1</v>
      </c>
      <c r="E27227" s="5">
        <v>104.9</v>
      </c>
      <c r="F27227" s="5">
        <v>209.6</v>
      </c>
      <c r="G27227" s="5">
        <v>104.5</v>
      </c>
      <c r="H27227" s="5">
        <v>104.4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104.7</v>
      </c>
      <c r="D27228" s="5">
        <v>0.1</v>
      </c>
      <c r="E27228" s="5">
        <v>104.9</v>
      </c>
      <c r="F27228" s="5">
        <v>209.6</v>
      </c>
      <c r="G27228" s="5">
        <v>104.5</v>
      </c>
      <c r="H27228" s="5">
        <v>104.4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105.2</v>
      </c>
      <c r="D27229" s="5">
        <v>0.1</v>
      </c>
      <c r="E27229" s="5">
        <v>105.3</v>
      </c>
      <c r="F27229" s="5">
        <v>209.7</v>
      </c>
      <c r="G27229" s="5">
        <v>104.6</v>
      </c>
      <c r="H27229" s="5">
        <v>104.5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105.2</v>
      </c>
      <c r="D27230" s="5">
        <v>0.1</v>
      </c>
      <c r="E27230" s="5">
        <v>105.3</v>
      </c>
      <c r="F27230" s="5">
        <v>209.7</v>
      </c>
      <c r="G27230" s="5">
        <v>104.6</v>
      </c>
      <c r="H27230" s="5">
        <v>104.5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105.2</v>
      </c>
      <c r="D27231" s="5">
        <v>0.1</v>
      </c>
      <c r="E27231" s="5">
        <v>105.3</v>
      </c>
      <c r="F27231" s="5">
        <v>209.3</v>
      </c>
      <c r="G27231" s="5">
        <v>104.5</v>
      </c>
      <c r="H27231" s="5">
        <v>104.4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105.2</v>
      </c>
      <c r="D27232" s="5">
        <v>0.1</v>
      </c>
      <c r="E27232" s="5">
        <v>105.3</v>
      </c>
      <c r="F27232" s="5">
        <v>209.3</v>
      </c>
      <c r="G27232" s="5">
        <v>104.5</v>
      </c>
      <c r="H27232" s="5">
        <v>104.4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104.2</v>
      </c>
      <c r="D27233" s="5">
        <v>0.1</v>
      </c>
      <c r="E27233" s="5">
        <v>104.3</v>
      </c>
      <c r="F27233" s="5">
        <v>208.4</v>
      </c>
      <c r="G27233" s="5">
        <v>103.9</v>
      </c>
      <c r="H27233" s="5">
        <v>103.7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104.2</v>
      </c>
      <c r="D27234" s="5">
        <v>0.1</v>
      </c>
      <c r="E27234" s="5">
        <v>104.3</v>
      </c>
      <c r="F27234" s="5">
        <v>208.4</v>
      </c>
      <c r="G27234" s="5">
        <v>103.9</v>
      </c>
      <c r="H27234" s="5">
        <v>103.7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104.4</v>
      </c>
      <c r="D27235" s="5">
        <v>0.1</v>
      </c>
      <c r="E27235" s="5">
        <v>104.6</v>
      </c>
      <c r="F27235" s="5">
        <v>208.5</v>
      </c>
      <c r="G27235" s="5">
        <v>104</v>
      </c>
      <c r="H27235" s="5">
        <v>103.8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104.4</v>
      </c>
      <c r="D27236" s="5">
        <v>0.1</v>
      </c>
      <c r="E27236" s="5">
        <v>104.6</v>
      </c>
      <c r="F27236" s="5">
        <v>208.5</v>
      </c>
      <c r="G27236" s="5">
        <v>104</v>
      </c>
      <c r="H27236" s="5">
        <v>103.8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104.4</v>
      </c>
      <c r="D27237" s="5">
        <v>0.1</v>
      </c>
      <c r="E27237" s="5">
        <v>104.6</v>
      </c>
      <c r="F27237" s="5">
        <v>208.5</v>
      </c>
      <c r="G27237" s="5">
        <v>104</v>
      </c>
      <c r="H27237" s="5">
        <v>103.8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103.8</v>
      </c>
      <c r="D27238" s="5">
        <v>0.1</v>
      </c>
      <c r="E27238" s="5">
        <v>104</v>
      </c>
      <c r="F27238" s="5">
        <v>207.4</v>
      </c>
      <c r="G27238" s="5">
        <v>103.4</v>
      </c>
      <c r="H27238" s="5">
        <v>103.3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103.8</v>
      </c>
      <c r="D27239" s="5">
        <v>0.1</v>
      </c>
      <c r="E27239" s="5">
        <v>104</v>
      </c>
      <c r="F27239" s="5">
        <v>207.4</v>
      </c>
      <c r="G27239" s="5">
        <v>103.4</v>
      </c>
      <c r="H27239" s="5">
        <v>103.3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104.3</v>
      </c>
      <c r="D27240" s="5">
        <v>0.1</v>
      </c>
      <c r="E27240" s="5">
        <v>104.5</v>
      </c>
      <c r="F27240" s="5">
        <v>208.7</v>
      </c>
      <c r="G27240" s="5">
        <v>104</v>
      </c>
      <c r="H27240" s="5">
        <v>103.8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104.3</v>
      </c>
      <c r="D27241" s="5">
        <v>0.1</v>
      </c>
      <c r="E27241" s="5">
        <v>104.5</v>
      </c>
      <c r="F27241" s="5">
        <v>208.7</v>
      </c>
      <c r="G27241" s="5">
        <v>104</v>
      </c>
      <c r="H27241" s="5">
        <v>103.8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104.3</v>
      </c>
      <c r="D27242" s="5">
        <v>0.1</v>
      </c>
      <c r="E27242" s="5">
        <v>104.4</v>
      </c>
      <c r="F27242" s="5">
        <v>208.6</v>
      </c>
      <c r="G27242" s="5">
        <v>104.1</v>
      </c>
      <c r="H27242" s="5">
        <v>103.9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104.3</v>
      </c>
      <c r="D27243" s="5">
        <v>0.1</v>
      </c>
      <c r="E27243" s="5">
        <v>104.4</v>
      </c>
      <c r="F27243" s="5">
        <v>208.6</v>
      </c>
      <c r="G27243" s="5">
        <v>104.1</v>
      </c>
      <c r="H27243" s="5">
        <v>103.9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103.4</v>
      </c>
      <c r="D27244" s="5">
        <v>0.1</v>
      </c>
      <c r="E27244" s="5">
        <v>103.6</v>
      </c>
      <c r="F27244" s="5">
        <v>207.4</v>
      </c>
      <c r="G27244" s="5">
        <v>104.1</v>
      </c>
      <c r="H27244" s="5">
        <v>103.9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103.4</v>
      </c>
      <c r="D27245" s="5">
        <v>0.1</v>
      </c>
      <c r="E27245" s="5">
        <v>103.6</v>
      </c>
      <c r="F27245" s="5">
        <v>207.4</v>
      </c>
      <c r="G27245" s="5">
        <v>103.4</v>
      </c>
      <c r="H27245" s="5">
        <v>103.3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103.4</v>
      </c>
      <c r="D27246" s="5">
        <v>0.1</v>
      </c>
      <c r="E27246" s="5">
        <v>103.6</v>
      </c>
      <c r="F27246" s="5">
        <v>207.4</v>
      </c>
      <c r="G27246" s="5">
        <v>103.4</v>
      </c>
      <c r="H27246" s="5">
        <v>103.3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103.4</v>
      </c>
      <c r="D27247" s="5">
        <v>0.1</v>
      </c>
      <c r="E27247" s="5">
        <v>103.6</v>
      </c>
      <c r="F27247" s="5">
        <v>207.4</v>
      </c>
      <c r="G27247" s="5">
        <v>103.4</v>
      </c>
      <c r="H27247" s="5">
        <v>103.3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103.4</v>
      </c>
      <c r="D27248" s="5">
        <v>0.1</v>
      </c>
      <c r="E27248" s="5">
        <v>103.6</v>
      </c>
      <c r="F27248" s="5">
        <v>207.4</v>
      </c>
      <c r="G27248" s="5">
        <v>103.4</v>
      </c>
      <c r="H27248" s="5">
        <v>103.3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103.4</v>
      </c>
      <c r="D27249" s="5">
        <v>0.1</v>
      </c>
      <c r="E27249" s="5">
        <v>103.5</v>
      </c>
      <c r="F27249" s="5">
        <v>206.9</v>
      </c>
      <c r="G27249" s="5">
        <v>103.3</v>
      </c>
      <c r="H27249" s="5">
        <v>103.1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103.4</v>
      </c>
      <c r="D27250" s="5">
        <v>0.1</v>
      </c>
      <c r="E27250" s="5">
        <v>103.5</v>
      </c>
      <c r="F27250" s="5">
        <v>206.9</v>
      </c>
      <c r="G27250" s="5">
        <v>103.3</v>
      </c>
      <c r="H27250" s="5">
        <v>103.1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104</v>
      </c>
      <c r="D27251" s="5">
        <v>0.1</v>
      </c>
      <c r="E27251" s="5">
        <v>104.2</v>
      </c>
      <c r="F27251" s="5">
        <v>208.1</v>
      </c>
      <c r="G27251" s="5">
        <v>103.7</v>
      </c>
      <c r="H27251" s="5">
        <v>103.5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104</v>
      </c>
      <c r="D27252" s="5">
        <v>0.1</v>
      </c>
      <c r="E27252" s="5">
        <v>104.2</v>
      </c>
      <c r="F27252" s="5">
        <v>208.1</v>
      </c>
      <c r="G27252" s="5">
        <v>103.7</v>
      </c>
      <c r="H27252" s="5">
        <v>103.5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103.8</v>
      </c>
      <c r="D27253" s="5">
        <v>0.1</v>
      </c>
      <c r="E27253" s="5">
        <v>104</v>
      </c>
      <c r="F27253" s="5">
        <v>208.1</v>
      </c>
      <c r="G27253" s="5">
        <v>103.8</v>
      </c>
      <c r="H27253" s="5">
        <v>103.5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103.8</v>
      </c>
      <c r="D27254" s="5">
        <v>0.1</v>
      </c>
      <c r="E27254" s="5">
        <v>104</v>
      </c>
      <c r="F27254" s="5">
        <v>208.1</v>
      </c>
      <c r="G27254" s="5">
        <v>103.8</v>
      </c>
      <c r="H27254" s="5">
        <v>103.5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103.6</v>
      </c>
      <c r="D27255" s="5">
        <v>0.1</v>
      </c>
      <c r="E27255" s="5">
        <v>103.7</v>
      </c>
      <c r="F27255" s="5">
        <v>206.3</v>
      </c>
      <c r="G27255" s="5">
        <v>102.9</v>
      </c>
      <c r="H27255" s="5">
        <v>102.8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103.6</v>
      </c>
      <c r="D27256" s="5">
        <v>0.1</v>
      </c>
      <c r="E27256" s="5">
        <v>103.7</v>
      </c>
      <c r="F27256" s="5">
        <v>206.3</v>
      </c>
      <c r="G27256" s="5">
        <v>102.9</v>
      </c>
      <c r="H27256" s="5">
        <v>102.8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103.6</v>
      </c>
      <c r="D27257" s="5">
        <v>0.1</v>
      </c>
      <c r="E27257" s="5">
        <v>103.7</v>
      </c>
      <c r="F27257" s="5">
        <v>206.3</v>
      </c>
      <c r="G27257" s="5">
        <v>102.9</v>
      </c>
      <c r="H27257" s="5">
        <v>102.8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103.6</v>
      </c>
      <c r="D27258" s="5">
        <v>0.1</v>
      </c>
      <c r="E27258" s="5">
        <v>105</v>
      </c>
      <c r="F27258" s="5">
        <v>209.5</v>
      </c>
      <c r="G27258" s="5">
        <v>104.7</v>
      </c>
      <c r="H27258" s="5">
        <v>104.6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104.8</v>
      </c>
      <c r="D27259" s="5">
        <v>0.1</v>
      </c>
      <c r="E27259" s="5">
        <v>105</v>
      </c>
      <c r="F27259" s="5">
        <v>209.5</v>
      </c>
      <c r="G27259" s="5">
        <v>104.7</v>
      </c>
      <c r="H27259" s="5">
        <v>104.6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104.8</v>
      </c>
      <c r="D27260" s="5">
        <v>0.1</v>
      </c>
      <c r="E27260" s="5">
        <v>104.1</v>
      </c>
      <c r="F27260" s="5">
        <v>207.1</v>
      </c>
      <c r="G27260" s="5">
        <v>103.3</v>
      </c>
      <c r="H27260" s="5">
        <v>103.2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104</v>
      </c>
      <c r="D27261" s="5">
        <v>0.1</v>
      </c>
      <c r="E27261" s="5">
        <v>104.1</v>
      </c>
      <c r="F27261" s="5">
        <v>207.1</v>
      </c>
      <c r="G27261" s="5">
        <v>103.3</v>
      </c>
      <c r="H27261" s="5">
        <v>103.2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104</v>
      </c>
      <c r="D27262" s="5">
        <v>0.1</v>
      </c>
      <c r="E27262" s="5">
        <v>104.1</v>
      </c>
      <c r="F27262" s="5">
        <v>206.9</v>
      </c>
      <c r="G27262" s="5">
        <v>103.2</v>
      </c>
      <c r="H27262" s="5">
        <v>103.1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103.8</v>
      </c>
      <c r="D27263" s="5">
        <v>0.1</v>
      </c>
      <c r="E27263" s="5">
        <v>104</v>
      </c>
      <c r="F27263" s="5">
        <v>206.9</v>
      </c>
      <c r="G27263" s="5">
        <v>103.2</v>
      </c>
      <c r="H27263" s="5">
        <v>103.1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103.8</v>
      </c>
      <c r="D27264" s="5">
        <v>0.1</v>
      </c>
      <c r="E27264" s="5">
        <v>104</v>
      </c>
      <c r="F27264" s="5">
        <v>206.9</v>
      </c>
      <c r="G27264" s="5">
        <v>103.2</v>
      </c>
      <c r="H27264" s="5">
        <v>103.1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103.8</v>
      </c>
      <c r="D27265" s="5">
        <v>0.1</v>
      </c>
      <c r="E27265" s="5">
        <v>104</v>
      </c>
      <c r="F27265" s="5">
        <v>206.9</v>
      </c>
      <c r="G27265" s="5">
        <v>103.2</v>
      </c>
      <c r="H27265" s="5">
        <v>103.1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103.8</v>
      </c>
      <c r="D27266" s="5">
        <v>0.1</v>
      </c>
      <c r="E27266" s="5">
        <v>104</v>
      </c>
      <c r="F27266" s="5">
        <v>206.9</v>
      </c>
      <c r="G27266" s="5">
        <v>103.2</v>
      </c>
      <c r="H27266" s="5">
        <v>103.1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103.8</v>
      </c>
      <c r="D27267" s="5">
        <v>0.1</v>
      </c>
      <c r="E27267" s="5">
        <v>104</v>
      </c>
      <c r="F27267" s="5">
        <v>206.9</v>
      </c>
      <c r="G27267" s="5">
        <v>103.2</v>
      </c>
      <c r="H27267" s="5">
        <v>103.1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103.9</v>
      </c>
      <c r="D27268" s="5">
        <v>0.1</v>
      </c>
      <c r="E27268" s="5">
        <v>104</v>
      </c>
      <c r="F27268" s="5">
        <v>207.6</v>
      </c>
      <c r="G27268" s="5">
        <v>103.5</v>
      </c>
      <c r="H27268" s="5">
        <v>103.4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103.9</v>
      </c>
      <c r="D27269" s="5">
        <v>0.1</v>
      </c>
      <c r="E27269" s="5">
        <v>104</v>
      </c>
      <c r="F27269" s="5">
        <v>207.6</v>
      </c>
      <c r="G27269" s="5">
        <v>103.5</v>
      </c>
      <c r="H27269" s="5">
        <v>103.4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104</v>
      </c>
      <c r="D27270" s="5">
        <v>0.1</v>
      </c>
      <c r="E27270" s="5">
        <v>104.2</v>
      </c>
      <c r="F27270" s="5">
        <v>207.8</v>
      </c>
      <c r="G27270" s="5">
        <v>103.6</v>
      </c>
      <c r="H27270" s="5">
        <v>103.5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104</v>
      </c>
      <c r="D27271" s="5">
        <v>0.1</v>
      </c>
      <c r="E27271" s="5">
        <v>104.2</v>
      </c>
      <c r="F27271" s="5">
        <v>207.8</v>
      </c>
      <c r="G27271" s="5">
        <v>103.6</v>
      </c>
      <c r="H27271" s="5">
        <v>103.5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99.2</v>
      </c>
      <c r="D27272" s="5">
        <v>0.1</v>
      </c>
      <c r="E27272" s="5">
        <v>99.4</v>
      </c>
      <c r="F27272" s="5">
        <v>203.3</v>
      </c>
      <c r="G27272" s="5">
        <v>101.2</v>
      </c>
      <c r="H27272" s="5">
        <v>101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99.2</v>
      </c>
      <c r="D27273" s="5">
        <v>0.1</v>
      </c>
      <c r="E27273" s="5">
        <v>99.4</v>
      </c>
      <c r="F27273" s="5">
        <v>203.3</v>
      </c>
      <c r="G27273" s="5">
        <v>101.2</v>
      </c>
      <c r="H27273" s="5">
        <v>101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103.9</v>
      </c>
      <c r="D27274" s="5">
        <v>0.1</v>
      </c>
      <c r="E27274" s="5">
        <v>104</v>
      </c>
      <c r="F27274" s="5">
        <v>206.1</v>
      </c>
      <c r="G27274" s="5">
        <v>102.9</v>
      </c>
      <c r="H27274" s="5">
        <v>102.9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103.9</v>
      </c>
      <c r="D27275" s="5">
        <v>0.1</v>
      </c>
      <c r="E27275" s="5">
        <v>104</v>
      </c>
      <c r="F27275" s="5">
        <v>206.1</v>
      </c>
      <c r="G27275" s="5">
        <v>102.9</v>
      </c>
      <c r="H27275" s="5">
        <v>102.9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103.9</v>
      </c>
      <c r="D27276" s="5">
        <v>0.1</v>
      </c>
      <c r="E27276" s="5">
        <v>104</v>
      </c>
      <c r="F27276" s="5">
        <v>206.1</v>
      </c>
      <c r="G27276" s="5">
        <v>102.9</v>
      </c>
      <c r="H27276" s="5">
        <v>102.9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103.9</v>
      </c>
      <c r="D27277" s="5">
        <v>0.1</v>
      </c>
      <c r="E27277" s="5">
        <v>104</v>
      </c>
      <c r="F27277" s="5">
        <v>206.1</v>
      </c>
      <c r="G27277" s="5">
        <v>102.9</v>
      </c>
      <c r="H27277" s="5">
        <v>102.9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103.4</v>
      </c>
      <c r="D27278" s="5">
        <v>0.1</v>
      </c>
      <c r="E27278" s="5">
        <v>103.6</v>
      </c>
      <c r="F27278" s="5">
        <v>206</v>
      </c>
      <c r="G27278" s="5">
        <v>103.1</v>
      </c>
      <c r="H27278" s="5">
        <v>103.1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103.4</v>
      </c>
      <c r="D27279" s="5">
        <v>0.1</v>
      </c>
      <c r="E27279" s="5">
        <v>103.6</v>
      </c>
      <c r="F27279" s="5">
        <v>206</v>
      </c>
      <c r="G27279" s="5">
        <v>103.1</v>
      </c>
      <c r="H27279" s="5">
        <v>103.1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104.3</v>
      </c>
      <c r="D27280" s="5">
        <v>0.1</v>
      </c>
      <c r="E27280" s="5">
        <v>104.4</v>
      </c>
      <c r="F27280" s="5">
        <v>208.2</v>
      </c>
      <c r="G27280" s="5">
        <v>103.8</v>
      </c>
      <c r="H27280" s="5">
        <v>103.9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104.3</v>
      </c>
      <c r="D27281" s="5">
        <v>0.1</v>
      </c>
      <c r="E27281" s="5">
        <v>104.4</v>
      </c>
      <c r="F27281" s="5">
        <v>208.2</v>
      </c>
      <c r="G27281" s="5">
        <v>103.8</v>
      </c>
      <c r="H27281" s="5">
        <v>103.9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104.8</v>
      </c>
      <c r="D27282" s="5">
        <v>0.1</v>
      </c>
      <c r="E27282" s="5">
        <v>105</v>
      </c>
      <c r="F27282" s="5">
        <v>209.4</v>
      </c>
      <c r="G27282" s="5">
        <v>104.5</v>
      </c>
      <c r="H27282" s="5">
        <v>104.4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104.8</v>
      </c>
      <c r="D27283" s="5">
        <v>0.1</v>
      </c>
      <c r="E27283" s="5">
        <v>105</v>
      </c>
      <c r="F27283" s="5">
        <v>209.4</v>
      </c>
      <c r="G27283" s="5">
        <v>104.5</v>
      </c>
      <c r="H27283" s="5">
        <v>104.4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105.1</v>
      </c>
      <c r="D27284" s="5">
        <v>0.1</v>
      </c>
      <c r="E27284" s="5">
        <v>105.3</v>
      </c>
      <c r="F27284" s="5">
        <v>210.1</v>
      </c>
      <c r="G27284" s="5">
        <v>104.8</v>
      </c>
      <c r="H27284" s="5">
        <v>104.6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105.1</v>
      </c>
      <c r="D27285" s="5">
        <v>0.1</v>
      </c>
      <c r="E27285" s="5">
        <v>105.3</v>
      </c>
      <c r="F27285" s="5">
        <v>210.1</v>
      </c>
      <c r="G27285" s="5">
        <v>104.8</v>
      </c>
      <c r="H27285" s="5">
        <v>104.6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105.1</v>
      </c>
      <c r="D27286" s="5">
        <v>0.1</v>
      </c>
      <c r="E27286" s="5">
        <v>105.3</v>
      </c>
      <c r="F27286" s="5">
        <v>210.1</v>
      </c>
      <c r="G27286" s="5">
        <v>104.8</v>
      </c>
      <c r="H27286" s="5">
        <v>104.6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105.1</v>
      </c>
      <c r="D27287" s="5">
        <v>0.1</v>
      </c>
      <c r="E27287" s="5">
        <v>105.3</v>
      </c>
      <c r="F27287" s="5">
        <v>210.1</v>
      </c>
      <c r="G27287" s="5">
        <v>104.8</v>
      </c>
      <c r="H27287" s="5">
        <v>104.6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103.6</v>
      </c>
      <c r="D27288" s="5">
        <v>0.1</v>
      </c>
      <c r="E27288" s="5">
        <v>103.7</v>
      </c>
      <c r="F27288" s="5">
        <v>206.7</v>
      </c>
      <c r="G27288" s="5">
        <v>103.2</v>
      </c>
      <c r="H27288" s="5">
        <v>103.1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103.6</v>
      </c>
      <c r="D27289" s="5">
        <v>0.1</v>
      </c>
      <c r="E27289" s="5">
        <v>103.7</v>
      </c>
      <c r="F27289" s="5">
        <v>206.7</v>
      </c>
      <c r="G27289" s="5">
        <v>103.2</v>
      </c>
      <c r="H27289" s="5">
        <v>103.1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104.7</v>
      </c>
      <c r="D27290" s="5">
        <v>0.1</v>
      </c>
      <c r="E27290" s="5">
        <v>104.8</v>
      </c>
      <c r="F27290" s="5">
        <v>208.7</v>
      </c>
      <c r="G27290" s="5">
        <v>104.1</v>
      </c>
      <c r="H27290" s="5">
        <v>103.9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104.7</v>
      </c>
      <c r="D27291" s="5">
        <v>0.1</v>
      </c>
      <c r="E27291" s="5">
        <v>104.8</v>
      </c>
      <c r="F27291" s="5">
        <v>208.7</v>
      </c>
      <c r="G27291" s="5">
        <v>104.1</v>
      </c>
      <c r="H27291" s="5">
        <v>103.9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103.6</v>
      </c>
      <c r="D27292" s="5">
        <v>0.1</v>
      </c>
      <c r="E27292" s="5">
        <v>103.7</v>
      </c>
      <c r="F27292" s="5">
        <v>207.3</v>
      </c>
      <c r="G27292" s="5">
        <v>103.5</v>
      </c>
      <c r="H27292" s="5">
        <v>103.4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103.6</v>
      </c>
      <c r="D27293" s="5">
        <v>0.1</v>
      </c>
      <c r="E27293" s="5">
        <v>103.7</v>
      </c>
      <c r="F27293" s="5">
        <v>207.3</v>
      </c>
      <c r="G27293" s="5">
        <v>103.5</v>
      </c>
      <c r="H27293" s="5">
        <v>103.4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104</v>
      </c>
      <c r="D27294" s="5">
        <v>0.1</v>
      </c>
      <c r="E27294" s="5">
        <v>104.2</v>
      </c>
      <c r="F27294" s="5">
        <v>208</v>
      </c>
      <c r="G27294" s="5">
        <v>103.8</v>
      </c>
      <c r="H27294" s="5">
        <v>103.7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104</v>
      </c>
      <c r="D27295" s="5">
        <v>0.1</v>
      </c>
      <c r="E27295" s="5">
        <v>104.2</v>
      </c>
      <c r="F27295" s="5">
        <v>208</v>
      </c>
      <c r="G27295" s="5">
        <v>103.8</v>
      </c>
      <c r="H27295" s="5">
        <v>103.7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104</v>
      </c>
      <c r="D27296" s="5">
        <v>0.1</v>
      </c>
      <c r="E27296" s="5">
        <v>104.2</v>
      </c>
      <c r="F27296" s="5">
        <v>208</v>
      </c>
      <c r="G27296" s="5">
        <v>103.8</v>
      </c>
      <c r="H27296" s="5">
        <v>103.7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104</v>
      </c>
      <c r="D27297" s="5">
        <v>0.1</v>
      </c>
      <c r="E27297" s="5">
        <v>104.2</v>
      </c>
      <c r="F27297" s="5">
        <v>208</v>
      </c>
      <c r="G27297" s="5">
        <v>103.8</v>
      </c>
      <c r="H27297" s="5">
        <v>103.7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105.1</v>
      </c>
      <c r="D27298" s="5">
        <v>0.1</v>
      </c>
      <c r="E27298" s="5">
        <v>105.3</v>
      </c>
      <c r="F27298" s="5">
        <v>208.9</v>
      </c>
      <c r="G27298" s="5">
        <v>104.2</v>
      </c>
      <c r="H27298" s="5">
        <v>104.1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105.1</v>
      </c>
      <c r="D27299" s="5">
        <v>0.1</v>
      </c>
      <c r="E27299" s="5">
        <v>105.3</v>
      </c>
      <c r="F27299" s="5">
        <v>208.9</v>
      </c>
      <c r="G27299" s="5">
        <v>104.2</v>
      </c>
      <c r="H27299" s="5">
        <v>104.1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104.5</v>
      </c>
      <c r="D27300" s="5">
        <v>0.1</v>
      </c>
      <c r="E27300" s="5">
        <v>104.6</v>
      </c>
      <c r="F27300" s="5">
        <v>208.5</v>
      </c>
      <c r="G27300" s="5">
        <v>104.1</v>
      </c>
      <c r="H27300" s="5">
        <v>103.9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104.5</v>
      </c>
      <c r="D27301" s="5">
        <v>0.1</v>
      </c>
      <c r="E27301" s="5">
        <v>104.6</v>
      </c>
      <c r="F27301" s="5">
        <v>208.5</v>
      </c>
      <c r="G27301" s="5">
        <v>104.1</v>
      </c>
      <c r="H27301" s="5">
        <v>103.9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104.3</v>
      </c>
      <c r="D27302" s="5">
        <v>0.1</v>
      </c>
      <c r="E27302" s="5">
        <v>104.3</v>
      </c>
      <c r="F27302" s="5">
        <v>207.8</v>
      </c>
      <c r="G27302" s="5">
        <v>103.7</v>
      </c>
      <c r="H27302" s="5">
        <v>103.6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104.3</v>
      </c>
      <c r="D27303" s="5">
        <v>0.1</v>
      </c>
      <c r="E27303" s="5">
        <v>104.3</v>
      </c>
      <c r="F27303" s="5">
        <v>207.8</v>
      </c>
      <c r="G27303" s="5">
        <v>103.7</v>
      </c>
      <c r="H27303" s="5">
        <v>103.6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104.6</v>
      </c>
      <c r="D27304" s="5">
        <v>0.1</v>
      </c>
      <c r="E27304" s="5">
        <v>104.8</v>
      </c>
      <c r="F27304" s="5">
        <v>208.1</v>
      </c>
      <c r="G27304" s="5">
        <v>103.9</v>
      </c>
      <c r="H27304" s="5">
        <v>103.7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104.6</v>
      </c>
      <c r="D27305" s="5">
        <v>0.1</v>
      </c>
      <c r="E27305" s="5">
        <v>104.8</v>
      </c>
      <c r="F27305" s="5">
        <v>208.1</v>
      </c>
      <c r="G27305" s="5">
        <v>103.9</v>
      </c>
      <c r="H27305" s="5">
        <v>103.7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104.6</v>
      </c>
      <c r="D27306" s="5">
        <v>0.1</v>
      </c>
      <c r="E27306" s="5">
        <v>104.8</v>
      </c>
      <c r="F27306" s="5">
        <v>208.1</v>
      </c>
      <c r="G27306" s="5">
        <v>103.9</v>
      </c>
      <c r="H27306" s="5">
        <v>103.7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104.6</v>
      </c>
      <c r="D27307" s="5">
        <v>0.1</v>
      </c>
      <c r="E27307" s="5">
        <v>104.8</v>
      </c>
      <c r="F27307" s="5">
        <v>208.1</v>
      </c>
      <c r="G27307" s="5">
        <v>103.9</v>
      </c>
      <c r="H27307" s="5">
        <v>103.7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102.4</v>
      </c>
      <c r="D27308" s="5">
        <v>0.1</v>
      </c>
      <c r="E27308" s="5">
        <v>102.6</v>
      </c>
      <c r="F27308" s="5">
        <v>203.3</v>
      </c>
      <c r="G27308" s="5">
        <v>101.6</v>
      </c>
      <c r="H27308" s="5">
        <v>101.6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102.4</v>
      </c>
      <c r="D27309" s="5">
        <v>0.1</v>
      </c>
      <c r="E27309" s="5">
        <v>102.6</v>
      </c>
      <c r="F27309" s="5">
        <v>203.3</v>
      </c>
      <c r="G27309" s="5">
        <v>101.6</v>
      </c>
      <c r="H27309" s="5">
        <v>101.6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102.2</v>
      </c>
      <c r="D27310" s="5">
        <v>0.1</v>
      </c>
      <c r="E27310" s="5">
        <v>102.4</v>
      </c>
      <c r="F27310" s="5">
        <v>202.8</v>
      </c>
      <c r="G27310" s="5">
        <v>101.5</v>
      </c>
      <c r="H27310" s="5">
        <v>101.6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102.2</v>
      </c>
      <c r="D27311" s="5">
        <v>0.1</v>
      </c>
      <c r="E27311" s="5">
        <v>102.4</v>
      </c>
      <c r="F27311" s="5">
        <v>202.8</v>
      </c>
      <c r="G27311" s="5">
        <v>101.5</v>
      </c>
      <c r="H27311" s="5">
        <v>101.6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103.8</v>
      </c>
      <c r="D27312" s="5">
        <v>0.1</v>
      </c>
      <c r="E27312" s="5">
        <v>104</v>
      </c>
      <c r="F27312" s="5">
        <v>207.9</v>
      </c>
      <c r="G27312" s="5">
        <v>103.7</v>
      </c>
      <c r="H27312" s="5">
        <v>103.6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103.8</v>
      </c>
      <c r="D27313" s="5">
        <v>0.1</v>
      </c>
      <c r="E27313" s="5">
        <v>104</v>
      </c>
      <c r="F27313" s="5">
        <v>207.9</v>
      </c>
      <c r="G27313" s="5">
        <v>103.7</v>
      </c>
      <c r="H27313" s="5">
        <v>103.6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104.7</v>
      </c>
      <c r="D27314" s="5">
        <v>0.1</v>
      </c>
      <c r="E27314" s="5">
        <v>104.9</v>
      </c>
      <c r="F27314" s="5">
        <v>208.8</v>
      </c>
      <c r="G27314" s="5">
        <v>104.2</v>
      </c>
      <c r="H27314" s="5">
        <v>104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104.7</v>
      </c>
      <c r="D27315" s="5">
        <v>0.1</v>
      </c>
      <c r="E27315" s="5">
        <v>104.9</v>
      </c>
      <c r="F27315" s="5">
        <v>208.8</v>
      </c>
      <c r="G27315" s="5">
        <v>104.2</v>
      </c>
      <c r="H27315" s="5">
        <v>104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104.7</v>
      </c>
      <c r="D27316" s="5">
        <v>0.1</v>
      </c>
      <c r="E27316" s="5">
        <v>104.9</v>
      </c>
      <c r="F27316" s="5">
        <v>208.8</v>
      </c>
      <c r="G27316" s="5">
        <v>104.2</v>
      </c>
      <c r="H27316" s="5">
        <v>104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104.7</v>
      </c>
      <c r="D27317" s="5">
        <v>0.1</v>
      </c>
      <c r="E27317" s="5">
        <v>104.9</v>
      </c>
      <c r="F27317" s="5">
        <v>208.8</v>
      </c>
      <c r="G27317" s="5">
        <v>104.2</v>
      </c>
      <c r="H27317" s="5">
        <v>104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104.6</v>
      </c>
      <c r="D27318" s="5">
        <v>0.1</v>
      </c>
      <c r="E27318" s="5">
        <v>104.8</v>
      </c>
      <c r="F27318" s="5">
        <v>203.3</v>
      </c>
      <c r="G27318" s="5">
        <v>103.7</v>
      </c>
      <c r="H27318" s="5">
        <v>104.6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104.6</v>
      </c>
      <c r="D27319" s="5">
        <v>0.1</v>
      </c>
      <c r="E27319" s="5">
        <v>104.8</v>
      </c>
      <c r="F27319" s="5">
        <v>203.3</v>
      </c>
      <c r="G27319" s="5">
        <v>103.7</v>
      </c>
      <c r="H27319" s="5">
        <v>104.6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98.6</v>
      </c>
      <c r="D27320" s="5">
        <v>0.1</v>
      </c>
      <c r="E27320" s="5">
        <v>98.8</v>
      </c>
      <c r="F27320" s="5">
        <v>203.1</v>
      </c>
      <c r="G27320" s="5">
        <v>101.9</v>
      </c>
      <c r="H27320" s="5">
        <v>102.2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98.6</v>
      </c>
      <c r="D27321" s="5">
        <v>0.1</v>
      </c>
      <c r="E27321" s="5">
        <v>98.8</v>
      </c>
      <c r="F27321" s="5">
        <v>203.1</v>
      </c>
      <c r="G27321" s="5">
        <v>101.9</v>
      </c>
      <c r="H27321" s="5">
        <v>102.2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98</v>
      </c>
      <c r="D27322" s="5">
        <v>0.1</v>
      </c>
      <c r="E27322" s="5">
        <v>98.1</v>
      </c>
      <c r="F27322" s="5">
        <v>192.9</v>
      </c>
      <c r="G27322" s="5">
        <v>96</v>
      </c>
      <c r="H27322" s="5">
        <v>95.6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98</v>
      </c>
      <c r="D27323" s="5">
        <v>0.1</v>
      </c>
      <c r="E27323" s="5">
        <v>98.1</v>
      </c>
      <c r="F27323" s="5">
        <v>192.9</v>
      </c>
      <c r="G27323" s="5">
        <v>96</v>
      </c>
      <c r="H27323" s="5">
        <v>95.6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104</v>
      </c>
      <c r="D27324" s="5">
        <v>0.1</v>
      </c>
      <c r="E27324" s="5">
        <v>104.2</v>
      </c>
      <c r="F27324" s="5">
        <v>207.9</v>
      </c>
      <c r="G27324" s="5">
        <v>103.8</v>
      </c>
      <c r="H27324" s="5">
        <v>103.6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104</v>
      </c>
      <c r="D27325" s="5">
        <v>0.1</v>
      </c>
      <c r="E27325" s="5">
        <v>104.2</v>
      </c>
      <c r="F27325" s="5">
        <v>207.9</v>
      </c>
      <c r="G27325" s="5">
        <v>103.8</v>
      </c>
      <c r="H27325" s="5">
        <v>103.6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104</v>
      </c>
      <c r="D27326" s="5">
        <v>0.1</v>
      </c>
      <c r="E27326" s="5">
        <v>104.2</v>
      </c>
      <c r="F27326" s="5">
        <v>207.9</v>
      </c>
      <c r="G27326" s="5">
        <v>103.8</v>
      </c>
      <c r="H27326" s="5">
        <v>103.6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104</v>
      </c>
      <c r="D27327" s="5">
        <v>0.1</v>
      </c>
      <c r="E27327" s="5">
        <v>104.2</v>
      </c>
      <c r="F27327" s="5">
        <v>207.9</v>
      </c>
      <c r="G27327" s="5">
        <v>103.8</v>
      </c>
      <c r="H27327" s="5">
        <v>103.6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100.9</v>
      </c>
      <c r="D27328" s="5">
        <v>0.1</v>
      </c>
      <c r="E27328" s="5">
        <v>101.1</v>
      </c>
      <c r="F27328" s="5">
        <v>200</v>
      </c>
      <c r="G27328" s="5">
        <v>99.7</v>
      </c>
      <c r="H27328" s="5">
        <v>99.7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100.9</v>
      </c>
      <c r="D27329" s="5">
        <v>0.1</v>
      </c>
      <c r="E27329" s="5">
        <v>101.1</v>
      </c>
      <c r="F27329" s="5">
        <v>200</v>
      </c>
      <c r="G27329" s="5">
        <v>99.7</v>
      </c>
      <c r="H27329" s="5">
        <v>99.7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104.2</v>
      </c>
      <c r="D27330" s="5">
        <v>0.1</v>
      </c>
      <c r="E27330" s="5">
        <v>104.3</v>
      </c>
      <c r="F27330" s="5">
        <v>207.6</v>
      </c>
      <c r="G27330" s="5">
        <v>103.4</v>
      </c>
      <c r="H27330" s="5">
        <v>103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104.2</v>
      </c>
      <c r="D27331" s="5">
        <v>0.1</v>
      </c>
      <c r="E27331" s="5">
        <v>104.3</v>
      </c>
      <c r="F27331" s="5">
        <v>207.6</v>
      </c>
      <c r="G27331" s="5">
        <v>103.4</v>
      </c>
      <c r="H27331" s="5">
        <v>103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99.6</v>
      </c>
      <c r="D27332" s="5">
        <v>0.1</v>
      </c>
      <c r="E27332" s="5">
        <v>99.8</v>
      </c>
      <c r="F27332" s="5">
        <v>199</v>
      </c>
      <c r="G27332" s="5">
        <v>99.3</v>
      </c>
      <c r="H27332" s="5">
        <v>99.2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99.6</v>
      </c>
      <c r="D27333" s="5">
        <v>0.1</v>
      </c>
      <c r="E27333" s="5">
        <v>99.8</v>
      </c>
      <c r="F27333" s="5">
        <v>199</v>
      </c>
      <c r="G27333" s="5">
        <v>99.3</v>
      </c>
      <c r="H27333" s="5">
        <v>99.2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104</v>
      </c>
      <c r="D27334" s="5">
        <v>0.1</v>
      </c>
      <c r="E27334" s="5">
        <v>104.2</v>
      </c>
      <c r="F27334" s="5">
        <v>208</v>
      </c>
      <c r="G27334" s="5">
        <v>103.8</v>
      </c>
      <c r="H27334" s="5">
        <v>103.6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104</v>
      </c>
      <c r="D27335" s="5">
        <v>0.1</v>
      </c>
      <c r="E27335" s="5">
        <v>104.2</v>
      </c>
      <c r="F27335" s="5">
        <v>208</v>
      </c>
      <c r="G27335" s="5">
        <v>103.8</v>
      </c>
      <c r="H27335" s="5">
        <v>103.6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104</v>
      </c>
      <c r="D27336" s="5">
        <v>0.1</v>
      </c>
      <c r="E27336" s="5">
        <v>104.2</v>
      </c>
      <c r="F27336" s="5">
        <v>208</v>
      </c>
      <c r="G27336" s="5">
        <v>103.8</v>
      </c>
      <c r="H27336" s="5">
        <v>103.6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104</v>
      </c>
      <c r="D27337" s="5">
        <v>0.1</v>
      </c>
      <c r="E27337" s="5">
        <v>104.2</v>
      </c>
      <c r="F27337" s="5">
        <v>208</v>
      </c>
      <c r="G27337" s="5">
        <v>103.8</v>
      </c>
      <c r="H27337" s="5">
        <v>103.6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103.8</v>
      </c>
      <c r="D27338" s="5">
        <v>0.1</v>
      </c>
      <c r="E27338" s="5">
        <v>104</v>
      </c>
      <c r="F27338" s="5">
        <v>207.4</v>
      </c>
      <c r="G27338" s="5">
        <v>103.5</v>
      </c>
      <c r="H27338" s="5">
        <v>103.2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103.8</v>
      </c>
      <c r="D27339" s="5">
        <v>0.1</v>
      </c>
      <c r="E27339" s="5">
        <v>104</v>
      </c>
      <c r="F27339" s="5">
        <v>207.4</v>
      </c>
      <c r="G27339" s="5">
        <v>103.5</v>
      </c>
      <c r="H27339" s="5">
        <v>103.2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103.6</v>
      </c>
      <c r="D27340" s="5">
        <v>0.1</v>
      </c>
      <c r="E27340" s="5">
        <v>103.7</v>
      </c>
      <c r="F27340" s="5">
        <v>207.6</v>
      </c>
      <c r="G27340" s="5">
        <v>103.5</v>
      </c>
      <c r="H27340" s="5">
        <v>103.3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103.6</v>
      </c>
      <c r="D27341" s="5">
        <v>0.1</v>
      </c>
      <c r="E27341" s="5">
        <v>103.7</v>
      </c>
      <c r="F27341" s="5">
        <v>207.6</v>
      </c>
      <c r="G27341" s="5">
        <v>103.5</v>
      </c>
      <c r="H27341" s="5">
        <v>103.3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103</v>
      </c>
      <c r="D27342" s="5">
        <v>0.1</v>
      </c>
      <c r="E27342" s="5">
        <v>103.1</v>
      </c>
      <c r="F27342" s="5">
        <v>206.7</v>
      </c>
      <c r="G27342" s="5">
        <v>103.1</v>
      </c>
      <c r="H27342" s="5">
        <v>102.9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103</v>
      </c>
      <c r="D27343" s="5">
        <v>0.1</v>
      </c>
      <c r="E27343" s="5">
        <v>103.1</v>
      </c>
      <c r="F27343" s="5">
        <v>206.7</v>
      </c>
      <c r="G27343" s="5">
        <v>103.1</v>
      </c>
      <c r="H27343" s="5">
        <v>102.9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104.3</v>
      </c>
      <c r="D27344" s="5">
        <v>0.1</v>
      </c>
      <c r="E27344" s="5">
        <v>104.5</v>
      </c>
      <c r="F27344" s="5">
        <v>208.7</v>
      </c>
      <c r="G27344" s="5">
        <v>104.1</v>
      </c>
      <c r="H27344" s="5">
        <v>103.9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104.3</v>
      </c>
      <c r="D27345" s="5">
        <v>0.1</v>
      </c>
      <c r="E27345" s="5">
        <v>104.5</v>
      </c>
      <c r="F27345" s="5">
        <v>208.7</v>
      </c>
      <c r="G27345" s="5">
        <v>104.1</v>
      </c>
      <c r="H27345" s="5">
        <v>103.9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104.3</v>
      </c>
      <c r="D27346" s="5">
        <v>0.1</v>
      </c>
      <c r="E27346" s="5">
        <v>104.5</v>
      </c>
      <c r="F27346" s="5">
        <v>208.7</v>
      </c>
      <c r="G27346" s="5">
        <v>104.1</v>
      </c>
      <c r="H27346" s="5">
        <v>103.9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104.3</v>
      </c>
      <c r="D27347" s="5">
        <v>0.1</v>
      </c>
      <c r="E27347" s="5">
        <v>104.5</v>
      </c>
      <c r="F27347" s="5">
        <v>208.7</v>
      </c>
      <c r="G27347" s="5">
        <v>104.1</v>
      </c>
      <c r="H27347" s="5">
        <v>103.9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103.9</v>
      </c>
      <c r="D27348" s="5">
        <v>0.1</v>
      </c>
      <c r="E27348" s="5">
        <v>104</v>
      </c>
      <c r="F27348" s="5">
        <v>208.2</v>
      </c>
      <c r="G27348" s="5">
        <v>103.9</v>
      </c>
      <c r="H27348" s="5">
        <v>103.7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103.9</v>
      </c>
      <c r="D27349" s="5">
        <v>0.1</v>
      </c>
      <c r="E27349" s="5">
        <v>104</v>
      </c>
      <c r="F27349" s="5">
        <v>208.2</v>
      </c>
      <c r="G27349" s="5">
        <v>103.9</v>
      </c>
      <c r="H27349" s="5">
        <v>103.7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105.3</v>
      </c>
      <c r="D27350" s="5">
        <v>0.1</v>
      </c>
      <c r="E27350" s="5">
        <v>105.4</v>
      </c>
      <c r="F27350" s="5">
        <v>209.7</v>
      </c>
      <c r="G27350" s="5">
        <v>104.5</v>
      </c>
      <c r="H27350" s="5">
        <v>104.1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105.3</v>
      </c>
      <c r="D27351" s="5">
        <v>0.1</v>
      </c>
      <c r="E27351" s="5">
        <v>105.4</v>
      </c>
      <c r="F27351" s="5">
        <v>209.7</v>
      </c>
      <c r="G27351" s="5">
        <v>104.5</v>
      </c>
      <c r="H27351" s="5">
        <v>104.1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96.2</v>
      </c>
      <c r="D27352" s="5">
        <v>0.1</v>
      </c>
      <c r="E27352" s="5">
        <v>96.3</v>
      </c>
      <c r="F27352" s="5">
        <v>193.4</v>
      </c>
      <c r="G27352" s="5">
        <v>96.4</v>
      </c>
      <c r="H27352" s="5">
        <v>96.3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96.2</v>
      </c>
      <c r="D27353" s="5">
        <v>0.1</v>
      </c>
      <c r="E27353" s="5">
        <v>96.3</v>
      </c>
      <c r="F27353" s="5">
        <v>193.4</v>
      </c>
      <c r="G27353" s="5">
        <v>96.4</v>
      </c>
      <c r="H27353" s="5">
        <v>96.3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104.2</v>
      </c>
      <c r="D27354" s="5">
        <v>0.1</v>
      </c>
      <c r="E27354" s="5">
        <v>104.3</v>
      </c>
      <c r="F27354" s="5">
        <v>208.1</v>
      </c>
      <c r="G27354" s="5">
        <v>103.8</v>
      </c>
      <c r="H27354" s="5">
        <v>103.7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104.2</v>
      </c>
      <c r="D27355" s="5">
        <v>0.1</v>
      </c>
      <c r="E27355" s="5">
        <v>104.3</v>
      </c>
      <c r="F27355" s="5">
        <v>208.1</v>
      </c>
      <c r="G27355" s="5">
        <v>103.8</v>
      </c>
      <c r="H27355" s="5">
        <v>103.7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104.2</v>
      </c>
      <c r="D27356" s="5">
        <v>0.1</v>
      </c>
      <c r="E27356" s="5">
        <v>104.3</v>
      </c>
      <c r="F27356" s="5">
        <v>208.1</v>
      </c>
      <c r="G27356" s="5">
        <v>103.8</v>
      </c>
      <c r="H27356" s="5">
        <v>103.7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104.2</v>
      </c>
      <c r="D27357" s="5">
        <v>0.1</v>
      </c>
      <c r="E27357" s="5">
        <v>104.3</v>
      </c>
      <c r="F27357" s="5">
        <v>208.1</v>
      </c>
      <c r="G27357" s="5">
        <v>103.8</v>
      </c>
      <c r="H27357" s="5">
        <v>103.7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103.2</v>
      </c>
      <c r="D27358" s="5">
        <v>0.1</v>
      </c>
      <c r="E27358" s="5">
        <v>103.4</v>
      </c>
      <c r="F27358" s="5">
        <v>206.4</v>
      </c>
      <c r="G27358" s="5">
        <v>102.9</v>
      </c>
      <c r="H27358" s="5">
        <v>102.7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103.2</v>
      </c>
      <c r="D27359" s="5">
        <v>0.1</v>
      </c>
      <c r="E27359" s="5">
        <v>103.4</v>
      </c>
      <c r="F27359" s="5">
        <v>206.4</v>
      </c>
      <c r="G27359" s="5">
        <v>102.9</v>
      </c>
      <c r="H27359" s="5">
        <v>102.7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98.9</v>
      </c>
      <c r="D27360" s="5">
        <v>0.1</v>
      </c>
      <c r="E27360" s="5">
        <v>99</v>
      </c>
      <c r="F27360" s="5">
        <v>204.7</v>
      </c>
      <c r="G27360" s="5">
        <v>101.9</v>
      </c>
      <c r="H27360" s="5">
        <v>101.5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98.9</v>
      </c>
      <c r="D27361" s="5">
        <v>0.1</v>
      </c>
      <c r="E27361" s="5">
        <v>99</v>
      </c>
      <c r="F27361" s="5">
        <v>204.7</v>
      </c>
      <c r="G27361" s="5">
        <v>101.9</v>
      </c>
      <c r="H27361" s="5">
        <v>101.5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100.8</v>
      </c>
      <c r="D27362" s="5">
        <v>0.1</v>
      </c>
      <c r="E27362" s="5">
        <v>101</v>
      </c>
      <c r="F27362" s="5">
        <v>201.4</v>
      </c>
      <c r="G27362" s="5">
        <v>100.5</v>
      </c>
      <c r="H27362" s="5">
        <v>100.3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100.8</v>
      </c>
      <c r="D27363" s="5">
        <v>0.1</v>
      </c>
      <c r="E27363" s="5">
        <v>101</v>
      </c>
      <c r="F27363" s="5">
        <v>201.4</v>
      </c>
      <c r="G27363" s="5">
        <v>100.5</v>
      </c>
      <c r="H27363" s="5">
        <v>100.3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104.7</v>
      </c>
      <c r="D27364" s="5">
        <v>0.1</v>
      </c>
      <c r="E27364" s="5">
        <v>104.9</v>
      </c>
      <c r="F27364" s="5">
        <v>202.7</v>
      </c>
      <c r="G27364" s="5">
        <v>101.6</v>
      </c>
      <c r="H27364" s="5">
        <v>101.9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104.7</v>
      </c>
      <c r="D27365" s="5">
        <v>0.1</v>
      </c>
      <c r="E27365" s="5">
        <v>104.9</v>
      </c>
      <c r="F27365" s="5">
        <v>202.7</v>
      </c>
      <c r="G27365" s="5">
        <v>101.6</v>
      </c>
      <c r="H27365" s="5">
        <v>101.9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104.7</v>
      </c>
      <c r="D27366" s="5">
        <v>0.1</v>
      </c>
      <c r="E27366" s="5">
        <v>104.9</v>
      </c>
      <c r="F27366" s="5">
        <v>202.7</v>
      </c>
      <c r="G27366" s="5">
        <v>101.6</v>
      </c>
      <c r="H27366" s="5">
        <v>101.9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105.8</v>
      </c>
      <c r="D27367" s="5">
        <v>0.1</v>
      </c>
      <c r="E27367" s="5">
        <v>105.9</v>
      </c>
      <c r="F27367" s="5">
        <v>210.1</v>
      </c>
      <c r="G27367" s="5">
        <v>104.8</v>
      </c>
      <c r="H27367" s="5">
        <v>104.7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105.8</v>
      </c>
      <c r="D27368" s="5">
        <v>0.1</v>
      </c>
      <c r="E27368" s="5">
        <v>105.9</v>
      </c>
      <c r="F27368" s="5">
        <v>210.1</v>
      </c>
      <c r="G27368" s="5">
        <v>104.8</v>
      </c>
      <c r="H27368" s="5">
        <v>104.7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97.6</v>
      </c>
      <c r="D27369" s="5">
        <v>0.1</v>
      </c>
      <c r="E27369" s="5">
        <v>97.7</v>
      </c>
      <c r="F27369" s="5">
        <v>194.6</v>
      </c>
      <c r="G27369" s="5">
        <v>97.1</v>
      </c>
      <c r="H27369" s="5">
        <v>96.8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97.6</v>
      </c>
      <c r="D27370" s="5">
        <v>0.1</v>
      </c>
      <c r="E27370" s="5">
        <v>97.7</v>
      </c>
      <c r="F27370" s="5">
        <v>194.6</v>
      </c>
      <c r="G27370" s="5">
        <v>97.1</v>
      </c>
      <c r="H27370" s="5">
        <v>96.8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97.6</v>
      </c>
      <c r="D27371" s="5">
        <v>0.1</v>
      </c>
      <c r="E27371" s="5">
        <v>93.2</v>
      </c>
      <c r="F27371" s="5">
        <v>186.9</v>
      </c>
      <c r="G27371" s="5">
        <v>93</v>
      </c>
      <c r="H27371" s="5">
        <v>92.9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93</v>
      </c>
      <c r="D27372" s="5">
        <v>0.1</v>
      </c>
      <c r="E27372" s="5">
        <v>93.2</v>
      </c>
      <c r="F27372" s="5">
        <v>186.9</v>
      </c>
      <c r="G27372" s="5">
        <v>93</v>
      </c>
      <c r="H27372" s="5">
        <v>92.9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93</v>
      </c>
      <c r="D27373" s="5">
        <v>0.1</v>
      </c>
      <c r="E27373" s="5">
        <v>93.4</v>
      </c>
      <c r="F27373" s="5">
        <v>189.2</v>
      </c>
      <c r="G27373" s="5">
        <v>94.2</v>
      </c>
      <c r="H27373" s="5">
        <v>93.9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93.2</v>
      </c>
      <c r="D27374" s="5">
        <v>0</v>
      </c>
      <c r="E27374" s="5">
        <v>93.4</v>
      </c>
      <c r="F27374" s="5">
        <v>189.2</v>
      </c>
      <c r="G27374" s="5">
        <v>94.2</v>
      </c>
      <c r="H27374" s="5">
        <v>93.9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93.2</v>
      </c>
      <c r="D27375" s="5">
        <v>0</v>
      </c>
      <c r="E27375" s="5">
        <v>93.4</v>
      </c>
      <c r="F27375" s="5">
        <v>189.2</v>
      </c>
      <c r="G27375" s="5">
        <v>94.2</v>
      </c>
      <c r="H27375" s="5">
        <v>93.9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93.2</v>
      </c>
      <c r="D27376" s="5">
        <v>0</v>
      </c>
      <c r="E27376" s="5">
        <v>93.4</v>
      </c>
      <c r="F27376" s="5">
        <v>189.2</v>
      </c>
      <c r="G27376" s="5">
        <v>94.2</v>
      </c>
      <c r="H27376" s="5">
        <v>93.9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100.4</v>
      </c>
      <c r="D27377" s="5">
        <v>0.1</v>
      </c>
      <c r="E27377" s="5">
        <v>100.5</v>
      </c>
      <c r="F27377" s="5">
        <v>200.6</v>
      </c>
      <c r="G27377" s="5">
        <v>100</v>
      </c>
      <c r="H27377" s="5">
        <v>99.8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100.4</v>
      </c>
      <c r="D27378" s="5">
        <v>0.1</v>
      </c>
      <c r="E27378" s="5">
        <v>100.5</v>
      </c>
      <c r="F27378" s="5">
        <v>200.6</v>
      </c>
      <c r="G27378" s="5">
        <v>100</v>
      </c>
      <c r="H27378" s="5">
        <v>99.8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103.9</v>
      </c>
      <c r="D27379" s="5">
        <v>0.1</v>
      </c>
      <c r="E27379" s="5">
        <v>104</v>
      </c>
      <c r="F27379" s="5">
        <v>207.7</v>
      </c>
      <c r="G27379" s="5">
        <v>103.6</v>
      </c>
      <c r="H27379" s="5">
        <v>103.5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103.9</v>
      </c>
      <c r="D27380" s="5">
        <v>0.1</v>
      </c>
      <c r="E27380" s="5">
        <v>104</v>
      </c>
      <c r="F27380" s="5">
        <v>207.7</v>
      </c>
      <c r="G27380" s="5">
        <v>103.6</v>
      </c>
      <c r="H27380" s="5">
        <v>103.5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99.8</v>
      </c>
      <c r="D27381" s="5">
        <v>0.1</v>
      </c>
      <c r="E27381" s="5">
        <v>99.9</v>
      </c>
      <c r="F27381" s="5">
        <v>206.7</v>
      </c>
      <c r="G27381" s="5">
        <v>102.5</v>
      </c>
      <c r="H27381" s="5">
        <v>103.5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99.8</v>
      </c>
      <c r="D27382" s="5">
        <v>0.1</v>
      </c>
      <c r="E27382" s="5">
        <v>99.9</v>
      </c>
      <c r="F27382" s="5">
        <v>206.7</v>
      </c>
      <c r="G27382" s="5">
        <v>102.5</v>
      </c>
      <c r="H27382" s="5">
        <v>101.9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98.1</v>
      </c>
      <c r="D27383" s="5">
        <v>0.1</v>
      </c>
      <c r="E27383" s="5">
        <v>98.2</v>
      </c>
      <c r="F27383" s="5">
        <v>206.7</v>
      </c>
      <c r="G27383" s="5">
        <v>102.5</v>
      </c>
      <c r="H27383" s="5">
        <v>101.9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98.1</v>
      </c>
      <c r="D27384" s="5">
        <v>0.1</v>
      </c>
      <c r="E27384" s="5">
        <v>98.2</v>
      </c>
      <c r="F27384" s="5">
        <v>190.3</v>
      </c>
      <c r="G27384" s="5">
        <v>95.5</v>
      </c>
      <c r="H27384" s="5">
        <v>95.9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98.1</v>
      </c>
      <c r="D27385" s="5">
        <v>0.1</v>
      </c>
      <c r="E27385" s="5">
        <v>98.2</v>
      </c>
      <c r="F27385" s="5">
        <v>190.3</v>
      </c>
      <c r="G27385" s="5">
        <v>95.5</v>
      </c>
      <c r="H27385" s="5">
        <v>95.9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98.1</v>
      </c>
      <c r="D27386" s="5">
        <v>0.1</v>
      </c>
      <c r="E27386" s="5">
        <v>98.2</v>
      </c>
      <c r="F27386" s="5">
        <v>190.3</v>
      </c>
      <c r="G27386" s="5">
        <v>95.5</v>
      </c>
      <c r="H27386" s="5">
        <v>95.9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98.1</v>
      </c>
      <c r="D27387" s="5">
        <v>0.1</v>
      </c>
      <c r="E27387" s="5">
        <v>98.2</v>
      </c>
      <c r="F27387" s="5">
        <v>190.3</v>
      </c>
      <c r="G27387" s="5">
        <v>95.5</v>
      </c>
      <c r="H27387" s="5">
        <v>94.4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97.9</v>
      </c>
      <c r="D27388" s="5">
        <v>0.1</v>
      </c>
      <c r="E27388" s="5">
        <v>98</v>
      </c>
      <c r="F27388" s="5">
        <v>188.7</v>
      </c>
      <c r="G27388" s="5">
        <v>94.2</v>
      </c>
      <c r="H27388" s="5">
        <v>94.4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97.9</v>
      </c>
      <c r="D27389" s="5">
        <v>0.1</v>
      </c>
      <c r="E27389" s="5">
        <v>98</v>
      </c>
      <c r="F27389" s="5">
        <v>188.7</v>
      </c>
      <c r="G27389" s="5">
        <v>94.2</v>
      </c>
      <c r="H27389" s="5">
        <v>94.4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98.7</v>
      </c>
      <c r="D27390" s="5">
        <v>0.1</v>
      </c>
      <c r="E27390" s="5">
        <v>98.9</v>
      </c>
      <c r="F27390" s="5">
        <v>197.6</v>
      </c>
      <c r="G27390" s="5">
        <v>98.7</v>
      </c>
      <c r="H27390" s="5">
        <v>98.7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98.7</v>
      </c>
      <c r="D27391" s="5">
        <v>0.1</v>
      </c>
      <c r="E27391" s="5">
        <v>98.9</v>
      </c>
      <c r="F27391" s="5">
        <v>197.6</v>
      </c>
      <c r="G27391" s="5">
        <v>98.7</v>
      </c>
      <c r="H27391" s="5">
        <v>98.7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98.6</v>
      </c>
      <c r="D27392" s="5">
        <v>0.1</v>
      </c>
      <c r="E27392" s="5">
        <v>98.7</v>
      </c>
      <c r="F27392" s="5">
        <v>197</v>
      </c>
      <c r="G27392" s="5">
        <v>98.3</v>
      </c>
      <c r="H27392" s="5">
        <v>98.2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98.6</v>
      </c>
      <c r="D27393" s="5">
        <v>0.1</v>
      </c>
      <c r="E27393" s="5">
        <v>98.7</v>
      </c>
      <c r="F27393" s="5">
        <v>197</v>
      </c>
      <c r="G27393" s="5">
        <v>98.3</v>
      </c>
      <c r="H27393" s="5">
        <v>98.2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98.6</v>
      </c>
      <c r="D27394" s="5">
        <v>0.1</v>
      </c>
      <c r="E27394" s="5">
        <v>98.7</v>
      </c>
      <c r="F27394" s="5">
        <v>197</v>
      </c>
      <c r="G27394" s="5">
        <v>98.3</v>
      </c>
      <c r="H27394" s="5">
        <v>98.2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98.6</v>
      </c>
      <c r="D27395" s="5">
        <v>0.1</v>
      </c>
      <c r="E27395" s="5">
        <v>98.7</v>
      </c>
      <c r="F27395" s="5">
        <v>197</v>
      </c>
      <c r="G27395" s="5">
        <v>98.3</v>
      </c>
      <c r="H27395" s="5">
        <v>98.2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98.6</v>
      </c>
      <c r="D27396" s="5">
        <v>0.1</v>
      </c>
      <c r="E27396" s="5">
        <v>98.7</v>
      </c>
      <c r="F27396" s="5">
        <v>197</v>
      </c>
      <c r="G27396" s="5">
        <v>98.3</v>
      </c>
      <c r="H27396" s="5">
        <v>98.2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98.6</v>
      </c>
      <c r="D27397" s="5">
        <v>0.1</v>
      </c>
      <c r="E27397" s="5">
        <v>98.7</v>
      </c>
      <c r="F27397" s="5">
        <v>196.3</v>
      </c>
      <c r="G27397" s="5">
        <v>97.9</v>
      </c>
      <c r="H27397" s="5">
        <v>97.7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98.6</v>
      </c>
      <c r="D27398" s="5">
        <v>0.1</v>
      </c>
      <c r="E27398" s="5">
        <v>98.7</v>
      </c>
      <c r="F27398" s="5">
        <v>196.3</v>
      </c>
      <c r="G27398" s="5">
        <v>97.9</v>
      </c>
      <c r="H27398" s="5">
        <v>97.7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98.3</v>
      </c>
      <c r="D27399" s="5">
        <v>0.1</v>
      </c>
      <c r="E27399" s="5">
        <v>98.3</v>
      </c>
      <c r="F27399" s="5">
        <v>196.3</v>
      </c>
      <c r="G27399" s="5">
        <v>97.9</v>
      </c>
      <c r="H27399" s="5">
        <v>97.8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98.3</v>
      </c>
      <c r="D27400" s="5">
        <v>0.1</v>
      </c>
      <c r="E27400" s="5">
        <v>98.3</v>
      </c>
      <c r="F27400" s="5">
        <v>196.3</v>
      </c>
      <c r="G27400" s="5">
        <v>97.9</v>
      </c>
      <c r="H27400" s="5">
        <v>97.8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97.7</v>
      </c>
      <c r="D27401" s="5">
        <v>0.1</v>
      </c>
      <c r="E27401" s="5">
        <v>97.9</v>
      </c>
      <c r="F27401" s="5">
        <v>195.5</v>
      </c>
      <c r="G27401" s="5">
        <v>97.6</v>
      </c>
      <c r="H27401" s="5">
        <v>97.6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97.7</v>
      </c>
      <c r="D27402" s="5">
        <v>0.1</v>
      </c>
      <c r="E27402" s="5">
        <v>97.9</v>
      </c>
      <c r="F27402" s="5">
        <v>195.5</v>
      </c>
      <c r="G27402" s="5">
        <v>97.6</v>
      </c>
      <c r="H27402" s="5">
        <v>97.6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98.9</v>
      </c>
      <c r="D27403" s="5">
        <v>0.1</v>
      </c>
      <c r="E27403" s="5">
        <v>99.1</v>
      </c>
      <c r="F27403" s="5">
        <v>197.7</v>
      </c>
      <c r="G27403" s="5">
        <v>98.6</v>
      </c>
      <c r="H27403" s="5">
        <v>98.5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98.9</v>
      </c>
      <c r="D27404" s="5">
        <v>0.1</v>
      </c>
      <c r="E27404" s="5">
        <v>99.1</v>
      </c>
      <c r="F27404" s="5">
        <v>197.7</v>
      </c>
      <c r="G27404" s="5">
        <v>98.6</v>
      </c>
      <c r="H27404" s="5">
        <v>98.5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98.9</v>
      </c>
      <c r="D27405" s="5">
        <v>0.1</v>
      </c>
      <c r="E27405" s="5">
        <v>99.1</v>
      </c>
      <c r="F27405" s="5">
        <v>197.7</v>
      </c>
      <c r="G27405" s="5">
        <v>98.6</v>
      </c>
      <c r="H27405" s="5">
        <v>98.5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98.9</v>
      </c>
      <c r="D27406" s="5">
        <v>0.1</v>
      </c>
      <c r="E27406" s="5">
        <v>99.1</v>
      </c>
      <c r="F27406" s="5">
        <v>197.7</v>
      </c>
      <c r="G27406" s="5">
        <v>98.6</v>
      </c>
      <c r="H27406" s="5">
        <v>98.5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99.1</v>
      </c>
      <c r="D27407" s="5">
        <v>0.1</v>
      </c>
      <c r="E27407" s="5">
        <v>99.2</v>
      </c>
      <c r="F27407" s="5">
        <v>200</v>
      </c>
      <c r="G27407" s="5">
        <v>100</v>
      </c>
      <c r="H27407" s="5">
        <v>99.8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99.1</v>
      </c>
      <c r="D27408" s="5">
        <v>0.1</v>
      </c>
      <c r="E27408" s="5">
        <v>99.2</v>
      </c>
      <c r="F27408" s="5">
        <v>200</v>
      </c>
      <c r="G27408" s="5">
        <v>100</v>
      </c>
      <c r="H27408" s="5">
        <v>99.8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99.5</v>
      </c>
      <c r="D27409" s="5">
        <v>0.1</v>
      </c>
      <c r="E27409" s="5">
        <v>99.6</v>
      </c>
      <c r="F27409" s="5">
        <v>198.5</v>
      </c>
      <c r="G27409" s="5">
        <v>99</v>
      </c>
      <c r="H27409" s="5">
        <v>98.8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99.5</v>
      </c>
      <c r="D27410" s="5">
        <v>0.1</v>
      </c>
      <c r="E27410" s="5">
        <v>99.6</v>
      </c>
      <c r="F27410" s="5">
        <v>198.5</v>
      </c>
      <c r="G27410" s="5">
        <v>99</v>
      </c>
      <c r="H27410" s="5">
        <v>98.8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98.3</v>
      </c>
      <c r="D27411" s="5">
        <v>0.1</v>
      </c>
      <c r="E27411" s="5">
        <v>98.5</v>
      </c>
      <c r="F27411" s="5">
        <v>201.3</v>
      </c>
      <c r="G27411" s="5">
        <v>100.4</v>
      </c>
      <c r="H27411" s="5">
        <v>100.1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98.3</v>
      </c>
      <c r="D27412" s="5">
        <v>0.1</v>
      </c>
      <c r="E27412" s="5">
        <v>98.5</v>
      </c>
      <c r="F27412" s="5">
        <v>201.3</v>
      </c>
      <c r="G27412" s="5">
        <v>100.4</v>
      </c>
      <c r="H27412" s="5">
        <v>100.1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99.6</v>
      </c>
      <c r="D27413" s="5">
        <v>0.1</v>
      </c>
      <c r="E27413" s="5">
        <v>99.8</v>
      </c>
      <c r="F27413" s="5">
        <v>199.3</v>
      </c>
      <c r="G27413" s="5">
        <v>99.5</v>
      </c>
      <c r="H27413" s="5">
        <v>99.5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99.6</v>
      </c>
      <c r="D27414" s="5">
        <v>0.1</v>
      </c>
      <c r="E27414" s="5">
        <v>99.8</v>
      </c>
      <c r="F27414" s="5">
        <v>199.3</v>
      </c>
      <c r="G27414" s="5">
        <v>99.5</v>
      </c>
      <c r="H27414" s="5">
        <v>99.5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99.6</v>
      </c>
      <c r="D27415" s="5">
        <v>0.1</v>
      </c>
      <c r="E27415" s="5">
        <v>99.8</v>
      </c>
      <c r="F27415" s="5">
        <v>199.3</v>
      </c>
      <c r="G27415" s="5">
        <v>99.5</v>
      </c>
      <c r="H27415" s="5">
        <v>99.5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99.6</v>
      </c>
      <c r="D27416" s="5">
        <v>0.1</v>
      </c>
      <c r="E27416" s="5">
        <v>99.8</v>
      </c>
      <c r="F27416" s="5">
        <v>199.3</v>
      </c>
      <c r="G27416" s="5">
        <v>99.5</v>
      </c>
      <c r="H27416" s="5">
        <v>99.5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99.7</v>
      </c>
      <c r="D27417" s="5">
        <v>0.1</v>
      </c>
      <c r="E27417" s="5">
        <v>99.9</v>
      </c>
      <c r="F27417" s="5">
        <v>199.1</v>
      </c>
      <c r="G27417" s="5">
        <v>99.3</v>
      </c>
      <c r="H27417" s="5">
        <v>99.1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99.7</v>
      </c>
      <c r="D27418" s="5">
        <v>0.1</v>
      </c>
      <c r="E27418" s="5">
        <v>99.9</v>
      </c>
      <c r="F27418" s="5">
        <v>199.1</v>
      </c>
      <c r="G27418" s="5">
        <v>99.3</v>
      </c>
      <c r="H27418" s="5">
        <v>99.1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101.1</v>
      </c>
      <c r="D27419" s="5">
        <v>0.1</v>
      </c>
      <c r="E27419" s="5">
        <v>101.3</v>
      </c>
      <c r="F27419" s="5">
        <v>200.9</v>
      </c>
      <c r="G27419" s="5">
        <v>100.3</v>
      </c>
      <c r="H27419" s="5">
        <v>100.2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101.1</v>
      </c>
      <c r="D27420" s="5">
        <v>0.1</v>
      </c>
      <c r="E27420" s="5">
        <v>101.3</v>
      </c>
      <c r="F27420" s="5">
        <v>200.9</v>
      </c>
      <c r="G27420" s="5">
        <v>100.3</v>
      </c>
      <c r="H27420" s="5">
        <v>100.2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101.1</v>
      </c>
      <c r="D27421" s="5">
        <v>0.1</v>
      </c>
      <c r="E27421" s="5">
        <v>101.3</v>
      </c>
      <c r="F27421" s="5">
        <v>202</v>
      </c>
      <c r="G27421" s="5">
        <v>100.8</v>
      </c>
      <c r="H27421" s="5">
        <v>100.6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101.1</v>
      </c>
      <c r="D27422" s="5">
        <v>0.1</v>
      </c>
      <c r="E27422" s="5">
        <v>101.3</v>
      </c>
      <c r="F27422" s="5">
        <v>202</v>
      </c>
      <c r="G27422" s="5">
        <v>100.8</v>
      </c>
      <c r="H27422" s="5">
        <v>100.6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101.1</v>
      </c>
      <c r="D27423" s="5">
        <v>0.1</v>
      </c>
      <c r="E27423" s="5">
        <v>105.3</v>
      </c>
      <c r="F27423" s="5">
        <v>207.6</v>
      </c>
      <c r="G27423" s="5">
        <v>103.8</v>
      </c>
      <c r="H27423" s="5">
        <v>103.9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105.2</v>
      </c>
      <c r="D27424" s="5">
        <v>0.1</v>
      </c>
      <c r="E27424" s="5">
        <v>105.3</v>
      </c>
      <c r="F27424" s="5">
        <v>207.6</v>
      </c>
      <c r="G27424" s="5">
        <v>103.8</v>
      </c>
      <c r="H27424" s="5">
        <v>103.9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105.2</v>
      </c>
      <c r="D27425" s="5">
        <v>0.1</v>
      </c>
      <c r="E27425" s="5">
        <v>105.3</v>
      </c>
      <c r="F27425" s="5">
        <v>207.6</v>
      </c>
      <c r="G27425" s="5">
        <v>103.8</v>
      </c>
      <c r="H27425" s="5">
        <v>103.9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105.2</v>
      </c>
      <c r="D27426" s="5">
        <v>0.1</v>
      </c>
      <c r="E27426" s="5">
        <v>105.3</v>
      </c>
      <c r="F27426" s="5">
        <v>207.6</v>
      </c>
      <c r="G27426" s="5">
        <v>103.8</v>
      </c>
      <c r="H27426" s="5">
        <v>103.9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100.5</v>
      </c>
      <c r="D27427" s="5">
        <v>0.1</v>
      </c>
      <c r="E27427" s="5">
        <v>100.7</v>
      </c>
      <c r="F27427" s="5">
        <v>200.9</v>
      </c>
      <c r="G27427" s="5">
        <v>100.1</v>
      </c>
      <c r="H27427" s="5">
        <v>99.9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100.5</v>
      </c>
      <c r="D27428" s="5">
        <v>0.1</v>
      </c>
      <c r="E27428" s="5">
        <v>100.7</v>
      </c>
      <c r="F27428" s="5">
        <v>200.9</v>
      </c>
      <c r="G27428" s="5">
        <v>100.1</v>
      </c>
      <c r="H27428" s="5">
        <v>99.9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100.1</v>
      </c>
      <c r="D27429" s="5">
        <v>0.1</v>
      </c>
      <c r="E27429" s="5">
        <v>100.2</v>
      </c>
      <c r="F27429" s="5">
        <v>199.6</v>
      </c>
      <c r="G27429" s="5">
        <v>99.4</v>
      </c>
      <c r="H27429" s="5">
        <v>99.2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100.1</v>
      </c>
      <c r="D27430" s="5">
        <v>0.1</v>
      </c>
      <c r="E27430" s="5">
        <v>100.2</v>
      </c>
      <c r="F27430" s="5">
        <v>199.6</v>
      </c>
      <c r="G27430" s="5">
        <v>99.4</v>
      </c>
      <c r="H27430" s="5">
        <v>99.2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98.1</v>
      </c>
      <c r="D27431" s="5">
        <v>0.1</v>
      </c>
      <c r="E27431" s="5">
        <v>98.3</v>
      </c>
      <c r="F27431" s="5">
        <v>197.3</v>
      </c>
      <c r="G27431" s="5">
        <v>98.6</v>
      </c>
      <c r="H27431" s="5">
        <v>98.5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98.1</v>
      </c>
      <c r="D27432" s="5">
        <v>0.1</v>
      </c>
      <c r="E27432" s="5">
        <v>98.3</v>
      </c>
      <c r="F27432" s="5">
        <v>197.3</v>
      </c>
      <c r="G27432" s="5">
        <v>98.6</v>
      </c>
      <c r="H27432" s="5">
        <v>98.5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100.4</v>
      </c>
      <c r="D27433" s="5">
        <v>0.1</v>
      </c>
      <c r="E27433" s="5">
        <v>100.5</v>
      </c>
      <c r="F27433" s="5">
        <v>200.8</v>
      </c>
      <c r="G27433" s="5">
        <v>100.2</v>
      </c>
      <c r="H27433" s="5">
        <v>100.1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100.4</v>
      </c>
      <c r="D27434" s="5">
        <v>0.1</v>
      </c>
      <c r="E27434" s="5">
        <v>100.5</v>
      </c>
      <c r="F27434" s="5">
        <v>200.8</v>
      </c>
      <c r="G27434" s="5">
        <v>100.2</v>
      </c>
      <c r="H27434" s="5">
        <v>100.1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100.4</v>
      </c>
      <c r="D27435" s="5">
        <v>0.1</v>
      </c>
      <c r="E27435" s="5">
        <v>100.5</v>
      </c>
      <c r="F27435" s="5">
        <v>200.8</v>
      </c>
      <c r="G27435" s="5">
        <v>100.2</v>
      </c>
      <c r="H27435" s="5">
        <v>100.1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100.4</v>
      </c>
      <c r="D27436" s="5">
        <v>0.1</v>
      </c>
      <c r="E27436" s="5">
        <v>100.5</v>
      </c>
      <c r="F27436" s="5">
        <v>200.8</v>
      </c>
      <c r="G27436" s="5">
        <v>100.2</v>
      </c>
      <c r="H27436" s="5">
        <v>100.1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105</v>
      </c>
      <c r="D27437" s="5">
        <v>0.1</v>
      </c>
      <c r="E27437" s="5">
        <v>105.1</v>
      </c>
      <c r="F27437" s="5">
        <v>209.5</v>
      </c>
      <c r="G27437" s="5">
        <v>104.5</v>
      </c>
      <c r="H27437" s="5">
        <v>104.4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105</v>
      </c>
      <c r="D27438" s="5">
        <v>0.1</v>
      </c>
      <c r="E27438" s="5">
        <v>105.1</v>
      </c>
      <c r="F27438" s="5">
        <v>209.5</v>
      </c>
      <c r="G27438" s="5">
        <v>104.5</v>
      </c>
      <c r="H27438" s="5">
        <v>104.4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102.9</v>
      </c>
      <c r="D27439" s="5">
        <v>0.1</v>
      </c>
      <c r="E27439" s="5">
        <v>103.1</v>
      </c>
      <c r="F27439" s="5">
        <v>205.4</v>
      </c>
      <c r="G27439" s="5">
        <v>102.4</v>
      </c>
      <c r="H27439" s="5">
        <v>102.2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102.9</v>
      </c>
      <c r="D27440" s="5">
        <v>0.1</v>
      </c>
      <c r="E27440" s="5">
        <v>103.1</v>
      </c>
      <c r="F27440" s="5">
        <v>205.4</v>
      </c>
      <c r="G27440" s="5">
        <v>102.4</v>
      </c>
      <c r="H27440" s="5">
        <v>102.2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106.2</v>
      </c>
      <c r="D27441" s="5">
        <v>0.1</v>
      </c>
      <c r="E27441" s="5">
        <v>106.4</v>
      </c>
      <c r="F27441" s="5">
        <v>212.7</v>
      </c>
      <c r="G27441" s="5">
        <v>106.1</v>
      </c>
      <c r="H27441" s="5">
        <v>105.9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106.2</v>
      </c>
      <c r="D27442" s="5">
        <v>0.1</v>
      </c>
      <c r="E27442" s="5">
        <v>106.4</v>
      </c>
      <c r="F27442" s="5">
        <v>212.7</v>
      </c>
      <c r="G27442" s="5">
        <v>106.1</v>
      </c>
      <c r="H27442" s="5">
        <v>105.9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101.8</v>
      </c>
      <c r="D27443" s="5">
        <v>0.1</v>
      </c>
      <c r="E27443" s="5">
        <v>101.9</v>
      </c>
      <c r="F27443" s="5">
        <v>205.9</v>
      </c>
      <c r="G27443" s="5">
        <v>102.9</v>
      </c>
      <c r="H27443" s="5">
        <v>102.7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101.8</v>
      </c>
      <c r="D27444" s="5">
        <v>0.1</v>
      </c>
      <c r="E27444" s="5">
        <v>101.9</v>
      </c>
      <c r="F27444" s="5">
        <v>205.9</v>
      </c>
      <c r="G27444" s="5">
        <v>102.9</v>
      </c>
      <c r="H27444" s="5">
        <v>102.7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101.8</v>
      </c>
      <c r="D27445" s="5">
        <v>0.1</v>
      </c>
      <c r="E27445" s="5">
        <v>101.9</v>
      </c>
      <c r="F27445" s="5">
        <v>205.9</v>
      </c>
      <c r="G27445" s="5">
        <v>102.9</v>
      </c>
      <c r="H27445" s="5">
        <v>102.7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101.8</v>
      </c>
      <c r="D27446" s="5">
        <v>0.1</v>
      </c>
      <c r="E27446" s="5">
        <v>101.9</v>
      </c>
      <c r="F27446" s="5">
        <v>205.9</v>
      </c>
      <c r="G27446" s="5">
        <v>102.9</v>
      </c>
      <c r="H27446" s="5">
        <v>102.7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95.4</v>
      </c>
      <c r="D27447" s="5">
        <v>0.1</v>
      </c>
      <c r="E27447" s="5">
        <v>95.6</v>
      </c>
      <c r="F27447" s="5">
        <v>200.1</v>
      </c>
      <c r="G27447" s="5">
        <v>94.7</v>
      </c>
      <c r="H27447" s="5">
        <v>94.6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95.4</v>
      </c>
      <c r="D27448" s="5">
        <v>0.1</v>
      </c>
      <c r="E27448" s="5">
        <v>95.6</v>
      </c>
      <c r="F27448" s="5">
        <v>200.1</v>
      </c>
      <c r="G27448" s="5">
        <v>94.7</v>
      </c>
      <c r="H27448" s="5">
        <v>94.6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96.7</v>
      </c>
      <c r="D27449" s="5">
        <v>0.1</v>
      </c>
      <c r="E27449" s="5">
        <v>96.8</v>
      </c>
      <c r="F27449" s="5">
        <v>199.4</v>
      </c>
      <c r="G27449" s="5">
        <v>97.5</v>
      </c>
      <c r="H27449" s="5">
        <v>95.5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96.7</v>
      </c>
      <c r="D27450" s="5">
        <v>0.1</v>
      </c>
      <c r="E27450" s="5">
        <v>96.8</v>
      </c>
      <c r="F27450" s="5">
        <v>199.4</v>
      </c>
      <c r="G27450" s="5">
        <v>97.5</v>
      </c>
      <c r="H27450" s="5">
        <v>95.5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95.1</v>
      </c>
      <c r="D27451" s="5">
        <v>0.1</v>
      </c>
      <c r="E27451" s="5">
        <v>95.2</v>
      </c>
      <c r="F27451" s="5">
        <v>200</v>
      </c>
      <c r="G27451" s="5">
        <v>100</v>
      </c>
      <c r="H27451" s="5">
        <v>97.5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95.1</v>
      </c>
      <c r="D27452" s="5">
        <v>0.1</v>
      </c>
      <c r="E27452" s="5">
        <v>95.2</v>
      </c>
      <c r="F27452" s="5">
        <v>200</v>
      </c>
      <c r="G27452" s="5">
        <v>100</v>
      </c>
      <c r="H27452" s="5">
        <v>97.5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101.1</v>
      </c>
      <c r="D27453" s="5">
        <v>0.1</v>
      </c>
      <c r="E27453" s="5">
        <v>101.1</v>
      </c>
      <c r="F27453" s="5">
        <v>201.8</v>
      </c>
      <c r="G27453" s="5">
        <v>100.7</v>
      </c>
      <c r="H27453" s="5">
        <v>100.6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101.1</v>
      </c>
      <c r="D27454" s="5">
        <v>0.1</v>
      </c>
      <c r="E27454" s="5">
        <v>101.1</v>
      </c>
      <c r="F27454" s="5">
        <v>201.8</v>
      </c>
      <c r="G27454" s="5">
        <v>100.7</v>
      </c>
      <c r="H27454" s="5">
        <v>100.6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101.1</v>
      </c>
      <c r="D27455" s="5">
        <v>0.1</v>
      </c>
      <c r="E27455" s="5">
        <v>101.1</v>
      </c>
      <c r="F27455" s="5">
        <v>201.8</v>
      </c>
      <c r="G27455" s="5">
        <v>100.7</v>
      </c>
      <c r="H27455" s="5">
        <v>100.6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101.1</v>
      </c>
      <c r="D27456" s="5">
        <v>0.1</v>
      </c>
      <c r="E27456" s="5">
        <v>101.1</v>
      </c>
      <c r="F27456" s="5">
        <v>201.8</v>
      </c>
      <c r="G27456" s="5">
        <v>100.7</v>
      </c>
      <c r="H27456" s="5">
        <v>100.6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102.8</v>
      </c>
      <c r="D27457" s="5">
        <v>0.1</v>
      </c>
      <c r="E27457" s="5">
        <v>102.9</v>
      </c>
      <c r="F27457" s="5">
        <v>202.8</v>
      </c>
      <c r="G27457" s="5">
        <v>101.1</v>
      </c>
      <c r="H27457" s="5">
        <v>101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102.8</v>
      </c>
      <c r="D27458" s="5">
        <v>0.1</v>
      </c>
      <c r="E27458" s="5">
        <v>102.9</v>
      </c>
      <c r="F27458" s="5">
        <v>202.8</v>
      </c>
      <c r="G27458" s="5">
        <v>101.1</v>
      </c>
      <c r="H27458" s="5">
        <v>101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96</v>
      </c>
      <c r="D27459" s="5">
        <v>0.1</v>
      </c>
      <c r="E27459" s="5">
        <v>96</v>
      </c>
      <c r="F27459" s="5">
        <v>190.5</v>
      </c>
      <c r="G27459" s="5">
        <v>95.1</v>
      </c>
      <c r="H27459" s="5">
        <v>95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96</v>
      </c>
      <c r="D27460" s="5">
        <v>0.1</v>
      </c>
      <c r="E27460" s="5">
        <v>96</v>
      </c>
      <c r="F27460" s="5">
        <v>190.5</v>
      </c>
      <c r="G27460" s="5">
        <v>95.1</v>
      </c>
      <c r="H27460" s="5">
        <v>95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98.4</v>
      </c>
      <c r="D27461" s="5">
        <v>0.1</v>
      </c>
      <c r="E27461" s="5">
        <v>98.6</v>
      </c>
      <c r="F27461" s="5">
        <v>193.2</v>
      </c>
      <c r="G27461" s="5">
        <v>95.9</v>
      </c>
      <c r="H27461" s="5">
        <v>95.6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98.4</v>
      </c>
      <c r="D27462" s="5">
        <v>0.1</v>
      </c>
      <c r="E27462" s="5">
        <v>98.6</v>
      </c>
      <c r="F27462" s="5">
        <v>193.2</v>
      </c>
      <c r="G27462" s="5">
        <v>95.9</v>
      </c>
      <c r="H27462" s="5">
        <v>95.6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101.5</v>
      </c>
      <c r="D27463" s="5">
        <v>0.1</v>
      </c>
      <c r="E27463" s="5">
        <v>101.6</v>
      </c>
      <c r="F27463" s="5">
        <v>202.6</v>
      </c>
      <c r="G27463" s="5">
        <v>100.8</v>
      </c>
      <c r="H27463" s="5">
        <v>100.8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101.5</v>
      </c>
      <c r="D27464" s="5">
        <v>0.1</v>
      </c>
      <c r="E27464" s="5">
        <v>101.6</v>
      </c>
      <c r="F27464" s="5">
        <v>202.6</v>
      </c>
      <c r="G27464" s="5">
        <v>100.8</v>
      </c>
      <c r="H27464" s="5">
        <v>100.8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101.5</v>
      </c>
      <c r="D27465" s="5">
        <v>0.1</v>
      </c>
      <c r="E27465" s="5">
        <v>101.6</v>
      </c>
      <c r="F27465" s="5">
        <v>202.6</v>
      </c>
      <c r="G27465" s="5">
        <v>100.8</v>
      </c>
      <c r="H27465" s="5">
        <v>100.8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101.5</v>
      </c>
      <c r="D27466" s="5">
        <v>0.1</v>
      </c>
      <c r="E27466" s="5">
        <v>101.6</v>
      </c>
      <c r="F27466" s="5">
        <v>202.6</v>
      </c>
      <c r="G27466" s="5">
        <v>100.8</v>
      </c>
      <c r="H27466" s="5">
        <v>100.8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102.4</v>
      </c>
      <c r="D27467" s="5">
        <v>0.1</v>
      </c>
      <c r="E27467" s="5">
        <v>102.6</v>
      </c>
      <c r="F27467" s="5">
        <v>203.9</v>
      </c>
      <c r="G27467" s="5">
        <v>101.2</v>
      </c>
      <c r="H27467" s="5">
        <v>101.1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102.4</v>
      </c>
      <c r="D27468" s="5">
        <v>0.1</v>
      </c>
      <c r="E27468" s="5">
        <v>102.6</v>
      </c>
      <c r="F27468" s="5">
        <v>203.9</v>
      </c>
      <c r="G27468" s="5">
        <v>101.2</v>
      </c>
      <c r="H27468" s="5">
        <v>101.1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101.8</v>
      </c>
      <c r="D27469" s="5">
        <v>0.1</v>
      </c>
      <c r="E27469" s="5">
        <v>101.9</v>
      </c>
      <c r="F27469" s="5">
        <v>204</v>
      </c>
      <c r="G27469" s="5">
        <v>101.7</v>
      </c>
      <c r="H27469" s="5">
        <v>101.6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101.8</v>
      </c>
      <c r="D27470" s="5">
        <v>0.1</v>
      </c>
      <c r="E27470" s="5">
        <v>101.9</v>
      </c>
      <c r="F27470" s="5">
        <v>204</v>
      </c>
      <c r="G27470" s="5">
        <v>101.7</v>
      </c>
      <c r="H27470" s="5">
        <v>101.6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102.1</v>
      </c>
      <c r="D27471" s="5">
        <v>0.1</v>
      </c>
      <c r="E27471" s="5">
        <v>102.3</v>
      </c>
      <c r="F27471" s="5">
        <v>203.3</v>
      </c>
      <c r="G27471" s="5">
        <v>101.5</v>
      </c>
      <c r="H27471" s="5">
        <v>101.5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102.1</v>
      </c>
      <c r="D27472" s="5">
        <v>0.1</v>
      </c>
      <c r="E27472" s="5">
        <v>102.3</v>
      </c>
      <c r="F27472" s="5">
        <v>203.3</v>
      </c>
      <c r="G27472" s="5">
        <v>101.5</v>
      </c>
      <c r="H27472" s="5">
        <v>101.5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101.6</v>
      </c>
      <c r="D27473" s="5">
        <v>0.1</v>
      </c>
      <c r="E27473" s="5">
        <v>101.8</v>
      </c>
      <c r="F27473" s="5">
        <v>202.6</v>
      </c>
      <c r="G27473" s="5">
        <v>101.1</v>
      </c>
      <c r="H27473" s="5">
        <v>101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101.6</v>
      </c>
      <c r="D27474" s="5">
        <v>0.1</v>
      </c>
      <c r="E27474" s="5">
        <v>101.8</v>
      </c>
      <c r="F27474" s="5">
        <v>202.6</v>
      </c>
      <c r="G27474" s="5">
        <v>101.1</v>
      </c>
      <c r="H27474" s="5">
        <v>101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101.6</v>
      </c>
      <c r="D27475" s="5">
        <v>0.1</v>
      </c>
      <c r="E27475" s="5">
        <v>101.8</v>
      </c>
      <c r="F27475" s="5">
        <v>202.6</v>
      </c>
      <c r="G27475" s="5">
        <v>101.1</v>
      </c>
      <c r="H27475" s="5">
        <v>101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101.6</v>
      </c>
      <c r="D27476" s="5">
        <v>0.1</v>
      </c>
      <c r="E27476" s="5">
        <v>101.8</v>
      </c>
      <c r="F27476" s="5">
        <v>202.6</v>
      </c>
      <c r="G27476" s="5">
        <v>101.1</v>
      </c>
      <c r="H27476" s="5">
        <v>101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100.8</v>
      </c>
      <c r="D27477" s="5">
        <v>0.1</v>
      </c>
      <c r="E27477" s="5">
        <v>101</v>
      </c>
      <c r="F27477" s="5">
        <v>202.4</v>
      </c>
      <c r="G27477" s="5">
        <v>100.9</v>
      </c>
      <c r="H27477" s="5">
        <v>100.8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100.8</v>
      </c>
      <c r="D27478" s="5">
        <v>0.1</v>
      </c>
      <c r="E27478" s="5">
        <v>101</v>
      </c>
      <c r="F27478" s="5">
        <v>202.4</v>
      </c>
      <c r="G27478" s="5">
        <v>100.9</v>
      </c>
      <c r="H27478" s="5">
        <v>100.8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101.2</v>
      </c>
      <c r="D27479" s="5">
        <v>0.1</v>
      </c>
      <c r="E27479" s="5">
        <v>101.4</v>
      </c>
      <c r="F27479" s="5">
        <v>202.1</v>
      </c>
      <c r="G27479" s="5">
        <v>100.8</v>
      </c>
      <c r="H27479" s="5">
        <v>100.7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101.2</v>
      </c>
      <c r="D27480" s="5">
        <v>0.1</v>
      </c>
      <c r="E27480" s="5">
        <v>101.4</v>
      </c>
      <c r="F27480" s="5">
        <v>202.1</v>
      </c>
      <c r="G27480" s="5">
        <v>100.8</v>
      </c>
      <c r="H27480" s="5">
        <v>100.7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101.5</v>
      </c>
      <c r="D27481" s="5">
        <v>0.1</v>
      </c>
      <c r="E27481" s="5">
        <v>101.6</v>
      </c>
      <c r="F27481" s="5">
        <v>200.1</v>
      </c>
      <c r="G27481" s="5">
        <v>99.9</v>
      </c>
      <c r="H27481" s="5">
        <v>99.8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101.5</v>
      </c>
      <c r="D27482" s="5">
        <v>0.1</v>
      </c>
      <c r="E27482" s="5">
        <v>101.6</v>
      </c>
      <c r="F27482" s="5">
        <v>200.1</v>
      </c>
      <c r="G27482" s="5">
        <v>99.9</v>
      </c>
      <c r="H27482" s="5">
        <v>99.8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102.1</v>
      </c>
      <c r="D27483" s="5">
        <v>0.1</v>
      </c>
      <c r="E27483" s="5">
        <v>102.3</v>
      </c>
      <c r="F27483" s="5">
        <v>203.2</v>
      </c>
      <c r="G27483" s="5">
        <v>101.5</v>
      </c>
      <c r="H27483" s="5">
        <v>101.4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102.1</v>
      </c>
      <c r="D27484" s="5">
        <v>0.1</v>
      </c>
      <c r="E27484" s="5">
        <v>102.3</v>
      </c>
      <c r="F27484" s="5">
        <v>203.2</v>
      </c>
      <c r="G27484" s="5">
        <v>101.5</v>
      </c>
      <c r="H27484" s="5">
        <v>101.4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102.1</v>
      </c>
      <c r="D27485" s="5">
        <v>0.1</v>
      </c>
      <c r="E27485" s="5">
        <v>102.3</v>
      </c>
      <c r="F27485" s="5">
        <v>203.2</v>
      </c>
      <c r="G27485" s="5">
        <v>101.5</v>
      </c>
      <c r="H27485" s="5">
        <v>101.4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100.5</v>
      </c>
      <c r="D27486" s="5">
        <v>0.1</v>
      </c>
      <c r="E27486" s="5">
        <v>100.7</v>
      </c>
      <c r="F27486" s="5">
        <v>200.7</v>
      </c>
      <c r="G27486" s="5">
        <v>101.1</v>
      </c>
      <c r="H27486" s="5">
        <v>101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100.5</v>
      </c>
      <c r="D27487" s="5">
        <v>0.1</v>
      </c>
      <c r="E27487" s="5">
        <v>100.7</v>
      </c>
      <c r="F27487" s="5">
        <v>200.7</v>
      </c>
      <c r="G27487" s="5">
        <v>101.1</v>
      </c>
      <c r="H27487" s="5">
        <v>101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104.3</v>
      </c>
      <c r="D27488" s="5">
        <v>0.1</v>
      </c>
      <c r="E27488" s="5">
        <v>104.4</v>
      </c>
      <c r="F27488" s="5">
        <v>207.9</v>
      </c>
      <c r="G27488" s="5">
        <v>101.1</v>
      </c>
      <c r="H27488" s="5">
        <v>101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104.3</v>
      </c>
      <c r="D27489" s="5">
        <v>0.1</v>
      </c>
      <c r="E27489" s="5">
        <v>104.4</v>
      </c>
      <c r="F27489" s="5">
        <v>207.9</v>
      </c>
      <c r="G27489" s="5">
        <v>103.2</v>
      </c>
      <c r="H27489" s="5">
        <v>103.4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104.3</v>
      </c>
      <c r="D27490" s="5">
        <v>0.1</v>
      </c>
      <c r="E27490" s="5">
        <v>104.4</v>
      </c>
      <c r="F27490" s="5">
        <v>207.9</v>
      </c>
      <c r="G27490" s="5">
        <v>103.2</v>
      </c>
      <c r="H27490" s="5">
        <v>103.4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105.1</v>
      </c>
      <c r="D27491" s="5">
        <v>0.1</v>
      </c>
      <c r="E27491" s="5">
        <v>105.3</v>
      </c>
      <c r="F27491" s="5">
        <v>211.8</v>
      </c>
      <c r="G27491" s="5">
        <v>105.6</v>
      </c>
      <c r="H27491" s="5">
        <v>105.3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105.1</v>
      </c>
      <c r="D27492" s="5">
        <v>0.1</v>
      </c>
      <c r="E27492" s="5">
        <v>105.3</v>
      </c>
      <c r="F27492" s="5">
        <v>211.8</v>
      </c>
      <c r="G27492" s="5">
        <v>105.6</v>
      </c>
      <c r="H27492" s="5">
        <v>105.3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93.6</v>
      </c>
      <c r="D27493" s="5">
        <v>0.1</v>
      </c>
      <c r="E27493" s="5">
        <v>93.7</v>
      </c>
      <c r="F27493" s="5">
        <v>187.5</v>
      </c>
      <c r="G27493" s="5">
        <v>93.5</v>
      </c>
      <c r="H27493" s="5">
        <v>93.4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93.6</v>
      </c>
      <c r="D27494" s="5">
        <v>0.1</v>
      </c>
      <c r="E27494" s="5">
        <v>93.7</v>
      </c>
      <c r="F27494" s="5">
        <v>187.5</v>
      </c>
      <c r="G27494" s="5">
        <v>93.5</v>
      </c>
      <c r="H27494" s="5">
        <v>93.4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93.6</v>
      </c>
      <c r="D27495" s="5">
        <v>0.1</v>
      </c>
      <c r="E27495" s="5">
        <v>93.7</v>
      </c>
      <c r="F27495" s="5">
        <v>187.5</v>
      </c>
      <c r="G27495" s="5">
        <v>93.5</v>
      </c>
      <c r="H27495" s="5">
        <v>93.4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93.6</v>
      </c>
      <c r="D27496" s="5">
        <v>0.1</v>
      </c>
      <c r="E27496" s="5">
        <v>93.7</v>
      </c>
      <c r="F27496" s="5">
        <v>187.5</v>
      </c>
      <c r="G27496" s="5">
        <v>93.5</v>
      </c>
      <c r="H27496" s="5">
        <v>93.4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100.9</v>
      </c>
      <c r="D27497" s="5">
        <v>0.1</v>
      </c>
      <c r="E27497" s="5">
        <v>101.1</v>
      </c>
      <c r="F27497" s="5">
        <v>201.3</v>
      </c>
      <c r="G27497" s="5">
        <v>100.4</v>
      </c>
      <c r="H27497" s="5">
        <v>100.3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100.9</v>
      </c>
      <c r="D27498" s="5">
        <v>0.1</v>
      </c>
      <c r="E27498" s="5">
        <v>101.1</v>
      </c>
      <c r="F27498" s="5">
        <v>201.3</v>
      </c>
      <c r="G27498" s="5">
        <v>100.4</v>
      </c>
      <c r="H27498" s="5">
        <v>100.3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99.5</v>
      </c>
      <c r="D27499" s="5">
        <v>0.1</v>
      </c>
      <c r="E27499" s="5">
        <v>99.6</v>
      </c>
      <c r="F27499" s="5">
        <v>199.7</v>
      </c>
      <c r="G27499" s="5">
        <v>99.6</v>
      </c>
      <c r="H27499" s="5">
        <v>99.4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99.5</v>
      </c>
      <c r="D27500" s="5">
        <v>0.1</v>
      </c>
      <c r="E27500" s="5">
        <v>99.6</v>
      </c>
      <c r="F27500" s="5">
        <v>199.7</v>
      </c>
      <c r="G27500" s="5">
        <v>99.6</v>
      </c>
      <c r="H27500" s="5">
        <v>99.4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94</v>
      </c>
      <c r="D27501" s="5">
        <v>0.1</v>
      </c>
      <c r="E27501" s="5">
        <v>94.1</v>
      </c>
      <c r="F27501" s="5">
        <v>198.6</v>
      </c>
      <c r="G27501" s="5">
        <v>98.7</v>
      </c>
      <c r="H27501" s="5">
        <v>98.1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94</v>
      </c>
      <c r="D27502" s="5">
        <v>0.1</v>
      </c>
      <c r="E27502" s="5">
        <v>94.1</v>
      </c>
      <c r="F27502" s="5">
        <v>198.6</v>
      </c>
      <c r="G27502" s="5">
        <v>98.7</v>
      </c>
      <c r="H27502" s="5">
        <v>98.1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100</v>
      </c>
      <c r="D27503" s="5">
        <v>0.1</v>
      </c>
      <c r="E27503" s="5">
        <v>100.2</v>
      </c>
      <c r="F27503" s="5">
        <v>198.4</v>
      </c>
      <c r="G27503" s="5">
        <v>99</v>
      </c>
      <c r="H27503" s="5">
        <v>99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100</v>
      </c>
      <c r="D27504" s="5">
        <v>0.1</v>
      </c>
      <c r="E27504" s="5">
        <v>100.2</v>
      </c>
      <c r="F27504" s="5">
        <v>198.4</v>
      </c>
      <c r="G27504" s="5">
        <v>99</v>
      </c>
      <c r="H27504" s="5">
        <v>99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100</v>
      </c>
      <c r="D27505" s="5">
        <v>0.1</v>
      </c>
      <c r="E27505" s="5">
        <v>100.2</v>
      </c>
      <c r="F27505" s="5">
        <v>198.4</v>
      </c>
      <c r="G27505" s="5">
        <v>99</v>
      </c>
      <c r="H27505" s="5">
        <v>99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100</v>
      </c>
      <c r="D27506" s="5">
        <v>0.1</v>
      </c>
      <c r="E27506" s="5">
        <v>100.2</v>
      </c>
      <c r="F27506" s="5">
        <v>198.4</v>
      </c>
      <c r="G27506" s="5">
        <v>93.7</v>
      </c>
      <c r="H27506" s="5">
        <v>93.6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95.2</v>
      </c>
      <c r="D27507" s="5">
        <v>0.1</v>
      </c>
      <c r="E27507" s="5">
        <v>95.4</v>
      </c>
      <c r="F27507" s="5">
        <v>188.4</v>
      </c>
      <c r="G27507" s="5">
        <v>93.7</v>
      </c>
      <c r="H27507" s="5">
        <v>93.6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95.2</v>
      </c>
      <c r="D27508" s="5">
        <v>0.1</v>
      </c>
      <c r="E27508" s="5">
        <v>95.4</v>
      </c>
      <c r="F27508" s="5">
        <v>188.4</v>
      </c>
      <c r="G27508" s="5">
        <v>93.7</v>
      </c>
      <c r="H27508" s="5">
        <v>98.4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99.5</v>
      </c>
      <c r="D27509" s="5">
        <v>0.1</v>
      </c>
      <c r="E27509" s="5">
        <v>99.5</v>
      </c>
      <c r="F27509" s="5">
        <v>198.8</v>
      </c>
      <c r="G27509" s="5">
        <v>99.1</v>
      </c>
      <c r="H27509" s="5">
        <v>98.4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99.5</v>
      </c>
      <c r="D27510" s="5">
        <v>0.1</v>
      </c>
      <c r="E27510" s="5">
        <v>99.5</v>
      </c>
      <c r="F27510" s="5">
        <v>198.8</v>
      </c>
      <c r="G27510" s="5">
        <v>99.1</v>
      </c>
      <c r="H27510" s="5">
        <v>96.2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99.2</v>
      </c>
      <c r="D27511" s="5">
        <v>0.1</v>
      </c>
      <c r="E27511" s="5">
        <v>99.4</v>
      </c>
      <c r="F27511" s="5">
        <v>195.5</v>
      </c>
      <c r="G27511" s="5">
        <v>96.9</v>
      </c>
      <c r="H27511" s="5">
        <v>96.2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99.2</v>
      </c>
      <c r="D27512" s="5">
        <v>0.1</v>
      </c>
      <c r="E27512" s="5">
        <v>99.4</v>
      </c>
      <c r="F27512" s="5">
        <v>195.5</v>
      </c>
      <c r="G27512" s="5">
        <v>96.9</v>
      </c>
      <c r="H27512" s="5">
        <v>98.9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99</v>
      </c>
      <c r="D27513" s="5">
        <v>0.1</v>
      </c>
      <c r="E27513" s="5">
        <v>99.2</v>
      </c>
      <c r="F27513" s="5">
        <v>198.6</v>
      </c>
      <c r="G27513" s="5">
        <v>99.1</v>
      </c>
      <c r="H27513" s="5">
        <v>98.9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99</v>
      </c>
      <c r="D27514" s="5">
        <v>0.1</v>
      </c>
      <c r="E27514" s="5">
        <v>99.2</v>
      </c>
      <c r="F27514" s="5">
        <v>198.6</v>
      </c>
      <c r="G27514" s="5">
        <v>99.1</v>
      </c>
      <c r="H27514" s="5">
        <v>98.9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99</v>
      </c>
      <c r="D27515" s="5">
        <v>0.1</v>
      </c>
      <c r="E27515" s="5">
        <v>99.2</v>
      </c>
      <c r="F27515" s="5">
        <v>198.6</v>
      </c>
      <c r="G27515" s="5">
        <v>99.1</v>
      </c>
      <c r="H27515" s="5">
        <v>98.9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105.4</v>
      </c>
      <c r="D27516" s="5">
        <v>0.1</v>
      </c>
      <c r="E27516" s="5">
        <v>105.6</v>
      </c>
      <c r="F27516" s="5">
        <v>210</v>
      </c>
      <c r="G27516" s="5">
        <v>104.8</v>
      </c>
      <c r="H27516" s="5">
        <v>104.7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105.4</v>
      </c>
      <c r="D27517" s="5">
        <v>0.1</v>
      </c>
      <c r="E27517" s="5">
        <v>105.6</v>
      </c>
      <c r="F27517" s="5">
        <v>210</v>
      </c>
      <c r="G27517" s="5">
        <v>104.8</v>
      </c>
      <c r="H27517" s="5">
        <v>104.7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104.6</v>
      </c>
      <c r="D27518" s="5">
        <v>0.1</v>
      </c>
      <c r="E27518" s="5">
        <v>104.7</v>
      </c>
      <c r="F27518" s="5">
        <v>209.3</v>
      </c>
      <c r="G27518" s="5">
        <v>104.6</v>
      </c>
      <c r="H27518" s="5">
        <v>104.4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104.6</v>
      </c>
      <c r="D27519" s="5">
        <v>0.1</v>
      </c>
      <c r="E27519" s="5">
        <v>104.7</v>
      </c>
      <c r="F27519" s="5">
        <v>209.3</v>
      </c>
      <c r="G27519" s="5">
        <v>104.6</v>
      </c>
      <c r="H27519" s="5">
        <v>104.4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105.5</v>
      </c>
      <c r="D27520" s="5">
        <v>0.1</v>
      </c>
      <c r="E27520" s="5">
        <v>105.6</v>
      </c>
      <c r="F27520" s="5">
        <v>210.5</v>
      </c>
      <c r="G27520" s="5">
        <v>105</v>
      </c>
      <c r="H27520" s="5">
        <v>104.9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105.5</v>
      </c>
      <c r="D27521" s="5">
        <v>0.1</v>
      </c>
      <c r="E27521" s="5">
        <v>105.6</v>
      </c>
      <c r="F27521" s="5">
        <v>210.5</v>
      </c>
      <c r="G27521" s="5">
        <v>105</v>
      </c>
      <c r="H27521" s="5">
        <v>104.9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104</v>
      </c>
      <c r="D27522" s="5">
        <v>0.1</v>
      </c>
      <c r="E27522" s="5">
        <v>104.1</v>
      </c>
      <c r="F27522" s="5">
        <v>208.8</v>
      </c>
      <c r="G27522" s="5">
        <v>104.1</v>
      </c>
      <c r="H27522" s="5">
        <v>104.9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104</v>
      </c>
      <c r="D27523" s="5">
        <v>0.1</v>
      </c>
      <c r="E27523" s="5">
        <v>104.1</v>
      </c>
      <c r="F27523" s="5">
        <v>208.8</v>
      </c>
      <c r="G27523" s="5">
        <v>104.1</v>
      </c>
      <c r="H27523" s="5">
        <v>103.9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104</v>
      </c>
      <c r="D27524" s="5">
        <v>0.1</v>
      </c>
      <c r="E27524" s="5">
        <v>104.1</v>
      </c>
      <c r="F27524" s="5">
        <v>208.8</v>
      </c>
      <c r="G27524" s="5">
        <v>104.1</v>
      </c>
      <c r="H27524" s="5">
        <v>103.9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104</v>
      </c>
      <c r="D27525" s="5">
        <v>0.1</v>
      </c>
      <c r="E27525" s="5">
        <v>104.1</v>
      </c>
      <c r="F27525" s="5">
        <v>208.8</v>
      </c>
      <c r="G27525" s="5">
        <v>104.1</v>
      </c>
      <c r="H27525" s="5">
        <v>103.9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100</v>
      </c>
      <c r="D27526" s="5">
        <v>0.1</v>
      </c>
      <c r="E27526" s="5">
        <v>104.1</v>
      </c>
      <c r="F27526" s="5">
        <v>208.8</v>
      </c>
      <c r="G27526" s="5">
        <v>104.1</v>
      </c>
      <c r="H27526" s="5">
        <v>103.9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100</v>
      </c>
      <c r="D27527" s="5">
        <v>0.1</v>
      </c>
      <c r="E27527" s="5">
        <v>100.2</v>
      </c>
      <c r="F27527" s="5">
        <v>200.3</v>
      </c>
      <c r="G27527" s="5">
        <v>100.2</v>
      </c>
      <c r="H27527" s="5">
        <v>100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100</v>
      </c>
      <c r="D27528" s="5">
        <v>0.1</v>
      </c>
      <c r="E27528" s="5">
        <v>100.2</v>
      </c>
      <c r="F27528" s="5">
        <v>200.3</v>
      </c>
      <c r="G27528" s="5">
        <v>100.2</v>
      </c>
      <c r="H27528" s="5">
        <v>100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98.4</v>
      </c>
      <c r="D27529" s="5">
        <v>0.1</v>
      </c>
      <c r="E27529" s="5">
        <v>98.6</v>
      </c>
      <c r="F27529" s="5">
        <v>198.2</v>
      </c>
      <c r="G27529" s="5">
        <v>98.9</v>
      </c>
      <c r="H27529" s="5">
        <v>98.9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98.4</v>
      </c>
      <c r="D27530" s="5">
        <v>0.1</v>
      </c>
      <c r="E27530" s="5">
        <v>98.6</v>
      </c>
      <c r="F27530" s="5">
        <v>198.2</v>
      </c>
      <c r="G27530" s="5">
        <v>98.9</v>
      </c>
      <c r="H27530" s="5">
        <v>98.9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98.9</v>
      </c>
      <c r="D27531" s="5">
        <v>0.1</v>
      </c>
      <c r="E27531" s="5">
        <v>98.9</v>
      </c>
      <c r="F27531" s="5">
        <v>197.8</v>
      </c>
      <c r="G27531" s="5">
        <v>98.6</v>
      </c>
      <c r="H27531" s="5">
        <v>98.5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98.9</v>
      </c>
      <c r="D27532" s="5">
        <v>0.1</v>
      </c>
      <c r="E27532" s="5">
        <v>98.9</v>
      </c>
      <c r="F27532" s="5">
        <v>197.8</v>
      </c>
      <c r="G27532" s="5">
        <v>98.6</v>
      </c>
      <c r="H27532" s="5">
        <v>98.5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99.2</v>
      </c>
      <c r="D27533" s="5">
        <v>0.1</v>
      </c>
      <c r="E27533" s="5">
        <v>99.4</v>
      </c>
      <c r="F27533" s="5">
        <v>198.2</v>
      </c>
      <c r="G27533" s="5">
        <v>98.8</v>
      </c>
      <c r="H27533" s="5">
        <v>98.7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99.2</v>
      </c>
      <c r="D27534" s="5">
        <v>0.1</v>
      </c>
      <c r="E27534" s="5">
        <v>99.4</v>
      </c>
      <c r="F27534" s="5">
        <v>198.2</v>
      </c>
      <c r="G27534" s="5">
        <v>98.8</v>
      </c>
      <c r="H27534" s="5">
        <v>98.7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99.2</v>
      </c>
      <c r="D27535" s="5">
        <v>0.1</v>
      </c>
      <c r="E27535" s="5">
        <v>99.4</v>
      </c>
      <c r="F27535" s="5">
        <v>198.2</v>
      </c>
      <c r="G27535" s="5">
        <v>98.8</v>
      </c>
      <c r="H27535" s="5">
        <v>98.7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99.2</v>
      </c>
      <c r="D27536" s="5">
        <v>0.1</v>
      </c>
      <c r="E27536" s="5">
        <v>100.3</v>
      </c>
      <c r="F27536" s="5">
        <v>198.6</v>
      </c>
      <c r="G27536" s="5">
        <v>99.1</v>
      </c>
      <c r="H27536" s="5">
        <v>99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100.2</v>
      </c>
      <c r="D27537" s="5">
        <v>0.1</v>
      </c>
      <c r="E27537" s="5">
        <v>100.3</v>
      </c>
      <c r="F27537" s="5">
        <v>198.6</v>
      </c>
      <c r="G27537" s="5">
        <v>99.1</v>
      </c>
      <c r="H27537" s="5">
        <v>99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100.2</v>
      </c>
      <c r="D27538" s="5">
        <v>0.1</v>
      </c>
      <c r="E27538" s="5">
        <v>100.3</v>
      </c>
      <c r="F27538" s="5">
        <v>197.5</v>
      </c>
      <c r="G27538" s="5">
        <v>98.6</v>
      </c>
      <c r="H27538" s="5">
        <v>98.6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100.2</v>
      </c>
      <c r="D27539" s="5">
        <v>0.1</v>
      </c>
      <c r="E27539" s="5">
        <v>100.4</v>
      </c>
      <c r="F27539" s="5">
        <v>197.5</v>
      </c>
      <c r="G27539" s="5">
        <v>98.6</v>
      </c>
      <c r="H27539" s="5">
        <v>98.6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100.2</v>
      </c>
      <c r="D27540" s="5">
        <v>0.1</v>
      </c>
      <c r="E27540" s="5">
        <v>100.4</v>
      </c>
      <c r="F27540" s="5">
        <v>197.5</v>
      </c>
      <c r="G27540" s="5">
        <v>98.6</v>
      </c>
      <c r="H27540" s="5">
        <v>99.8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100.2</v>
      </c>
      <c r="D27541" s="5">
        <v>0.1</v>
      </c>
      <c r="E27541" s="5">
        <v>100.4</v>
      </c>
      <c r="F27541" s="5">
        <v>201.2</v>
      </c>
      <c r="G27541" s="5">
        <v>100.2</v>
      </c>
      <c r="H27541" s="5">
        <v>99.8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100.2</v>
      </c>
      <c r="D27542" s="5">
        <v>0.1</v>
      </c>
      <c r="E27542" s="5">
        <v>100.4</v>
      </c>
      <c r="F27542" s="5">
        <v>201.2</v>
      </c>
      <c r="G27542" s="5">
        <v>100.2</v>
      </c>
      <c r="H27542" s="5">
        <v>99.8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99.1</v>
      </c>
      <c r="D27543" s="5">
        <v>0.1</v>
      </c>
      <c r="E27543" s="5">
        <v>99.2</v>
      </c>
      <c r="F27543" s="5">
        <v>202.1</v>
      </c>
      <c r="G27543" s="5">
        <v>101.4</v>
      </c>
      <c r="H27543" s="5">
        <v>101.4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99.1</v>
      </c>
      <c r="D27544" s="5">
        <v>0.1</v>
      </c>
      <c r="E27544" s="5">
        <v>99.2</v>
      </c>
      <c r="F27544" s="5">
        <v>202.1</v>
      </c>
      <c r="G27544" s="5">
        <v>101.4</v>
      </c>
      <c r="H27544" s="5">
        <v>101.4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99.1</v>
      </c>
      <c r="D27545" s="5">
        <v>0.1</v>
      </c>
      <c r="E27545" s="5">
        <v>99.2</v>
      </c>
      <c r="F27545" s="5">
        <v>202.1</v>
      </c>
      <c r="G27545" s="5">
        <v>101.4</v>
      </c>
      <c r="H27545" s="5">
        <v>101.4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99.5</v>
      </c>
      <c r="D27546" s="5">
        <v>0.1</v>
      </c>
      <c r="E27546" s="5">
        <v>99.6</v>
      </c>
      <c r="F27546" s="5">
        <v>198.5</v>
      </c>
      <c r="G27546" s="5">
        <v>99</v>
      </c>
      <c r="H27546" s="5">
        <v>98.8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99.5</v>
      </c>
      <c r="D27547" s="5">
        <v>0.1</v>
      </c>
      <c r="E27547" s="5">
        <v>99.6</v>
      </c>
      <c r="F27547" s="5">
        <v>198.5</v>
      </c>
      <c r="G27547" s="5">
        <v>99</v>
      </c>
      <c r="H27547" s="5">
        <v>98.8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102.1</v>
      </c>
      <c r="D27548" s="5">
        <v>0.1</v>
      </c>
      <c r="E27548" s="5">
        <v>102.2</v>
      </c>
      <c r="F27548" s="5">
        <v>201.7</v>
      </c>
      <c r="G27548" s="5">
        <v>100.6</v>
      </c>
      <c r="H27548" s="5">
        <v>100.4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102.1</v>
      </c>
      <c r="D27549" s="5">
        <v>0.1</v>
      </c>
      <c r="E27549" s="5">
        <v>102.2</v>
      </c>
      <c r="F27549" s="5">
        <v>201.7</v>
      </c>
      <c r="G27549" s="5">
        <v>100.6</v>
      </c>
      <c r="H27549" s="5">
        <v>100.4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99.3</v>
      </c>
      <c r="D27550" s="5">
        <v>0.1</v>
      </c>
      <c r="E27550" s="5">
        <v>99.4</v>
      </c>
      <c r="F27550" s="5">
        <v>198.5</v>
      </c>
      <c r="G27550" s="5">
        <v>98.9</v>
      </c>
      <c r="H27550" s="5">
        <v>98.6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99.3</v>
      </c>
      <c r="D27551" s="5">
        <v>0.1</v>
      </c>
      <c r="E27551" s="5">
        <v>99.4</v>
      </c>
      <c r="F27551" s="5">
        <v>198.5</v>
      </c>
      <c r="G27551" s="5">
        <v>98.9</v>
      </c>
      <c r="H27551" s="5">
        <v>98.6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100.3</v>
      </c>
      <c r="D27552" s="5">
        <v>0.1</v>
      </c>
      <c r="E27552" s="5">
        <v>100.5</v>
      </c>
      <c r="F27552" s="5">
        <v>201.7</v>
      </c>
      <c r="G27552" s="5">
        <v>100.6</v>
      </c>
      <c r="H27552" s="5">
        <v>100.3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100.3</v>
      </c>
      <c r="D27553" s="5">
        <v>0.1</v>
      </c>
      <c r="E27553" s="5">
        <v>100.5</v>
      </c>
      <c r="F27553" s="5">
        <v>201.7</v>
      </c>
      <c r="G27553" s="5">
        <v>100.6</v>
      </c>
      <c r="H27553" s="5">
        <v>100.3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100.3</v>
      </c>
      <c r="D27554" s="5">
        <v>0.1</v>
      </c>
      <c r="E27554" s="5">
        <v>100.5</v>
      </c>
      <c r="F27554" s="5">
        <v>201.7</v>
      </c>
      <c r="G27554" s="5">
        <v>100.6</v>
      </c>
      <c r="H27554" s="5">
        <v>100.3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100.3</v>
      </c>
      <c r="D27555" s="5">
        <v>0.1</v>
      </c>
      <c r="E27555" s="5">
        <v>100.5</v>
      </c>
      <c r="F27555" s="5">
        <v>201.7</v>
      </c>
      <c r="G27555" s="5">
        <v>100.6</v>
      </c>
      <c r="H27555" s="5">
        <v>100.3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98.2</v>
      </c>
      <c r="D27556" s="5">
        <v>0.1</v>
      </c>
      <c r="E27556" s="5">
        <v>98.3</v>
      </c>
      <c r="F27556" s="5">
        <v>200.4</v>
      </c>
      <c r="G27556" s="5">
        <v>99.8</v>
      </c>
      <c r="H27556" s="5">
        <v>99.5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98.2</v>
      </c>
      <c r="D27557" s="5">
        <v>0.1</v>
      </c>
      <c r="E27557" s="5">
        <v>98.3</v>
      </c>
      <c r="F27557" s="5">
        <v>200.4</v>
      </c>
      <c r="G27557" s="5">
        <v>99.8</v>
      </c>
      <c r="H27557" s="5">
        <v>99.5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100.2</v>
      </c>
      <c r="D27558" s="5">
        <v>0.1</v>
      </c>
      <c r="E27558" s="5">
        <v>100.3</v>
      </c>
      <c r="F27558" s="5">
        <v>198.7</v>
      </c>
      <c r="G27558" s="5">
        <v>99.1</v>
      </c>
      <c r="H27558" s="5">
        <v>99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100.2</v>
      </c>
      <c r="D27559" s="5">
        <v>0.1</v>
      </c>
      <c r="E27559" s="5">
        <v>100.3</v>
      </c>
      <c r="F27559" s="5">
        <v>198.7</v>
      </c>
      <c r="G27559" s="5">
        <v>99.1</v>
      </c>
      <c r="H27559" s="5">
        <v>99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100.2</v>
      </c>
      <c r="D27560" s="5">
        <v>0.1</v>
      </c>
      <c r="E27560" s="5">
        <v>100.3</v>
      </c>
      <c r="F27560" s="5">
        <v>199.1</v>
      </c>
      <c r="G27560" s="5">
        <v>99.3</v>
      </c>
      <c r="H27560" s="5">
        <v>99.5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100.2</v>
      </c>
      <c r="D27561" s="5">
        <v>0.1</v>
      </c>
      <c r="E27561" s="5">
        <v>100.3</v>
      </c>
      <c r="F27561" s="5">
        <v>199.1</v>
      </c>
      <c r="G27561" s="5">
        <v>99.3</v>
      </c>
      <c r="H27561" s="5">
        <v>99.5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100.5</v>
      </c>
      <c r="D27562" s="5">
        <v>0.1</v>
      </c>
      <c r="E27562" s="5">
        <v>100.7</v>
      </c>
      <c r="F27562" s="5">
        <v>200.5</v>
      </c>
      <c r="G27562" s="5">
        <v>99.9</v>
      </c>
      <c r="H27562" s="5">
        <v>99.7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100.5</v>
      </c>
      <c r="D27563" s="5">
        <v>0.1</v>
      </c>
      <c r="E27563" s="5">
        <v>100.7</v>
      </c>
      <c r="F27563" s="5">
        <v>200.5</v>
      </c>
      <c r="G27563" s="5">
        <v>99.9</v>
      </c>
      <c r="H27563" s="5">
        <v>99.7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100.5</v>
      </c>
      <c r="D27564" s="5">
        <v>0.1</v>
      </c>
      <c r="E27564" s="5">
        <v>100.7</v>
      </c>
      <c r="F27564" s="5">
        <v>200.5</v>
      </c>
      <c r="G27564" s="5">
        <v>99.9</v>
      </c>
      <c r="H27564" s="5">
        <v>99.7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100.5</v>
      </c>
      <c r="D27565" s="5">
        <v>0.1</v>
      </c>
      <c r="E27565" s="5">
        <v>100.7</v>
      </c>
      <c r="F27565" s="5">
        <v>200.5</v>
      </c>
      <c r="G27565" s="5">
        <v>99.9</v>
      </c>
      <c r="H27565" s="5">
        <v>99.7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97.6</v>
      </c>
      <c r="D27566" s="5">
        <v>0.1</v>
      </c>
      <c r="E27566" s="5">
        <v>97.8</v>
      </c>
      <c r="F27566" s="5">
        <v>195</v>
      </c>
      <c r="G27566" s="5">
        <v>97.1</v>
      </c>
      <c r="H27566" s="5">
        <v>96.8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97.6</v>
      </c>
      <c r="D27567" s="5">
        <v>0.1</v>
      </c>
      <c r="E27567" s="5">
        <v>97.8</v>
      </c>
      <c r="F27567" s="5">
        <v>195</v>
      </c>
      <c r="G27567" s="5">
        <v>97.1</v>
      </c>
      <c r="H27567" s="5">
        <v>96.8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100.8</v>
      </c>
      <c r="D27568" s="5">
        <v>0.1</v>
      </c>
      <c r="E27568" s="5">
        <v>100.9</v>
      </c>
      <c r="F27568" s="5">
        <v>201.8</v>
      </c>
      <c r="G27568" s="5">
        <v>100.6</v>
      </c>
      <c r="H27568" s="5">
        <v>100.5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100.8</v>
      </c>
      <c r="D27569" s="5">
        <v>0.1</v>
      </c>
      <c r="E27569" s="5">
        <v>100.9</v>
      </c>
      <c r="F27569" s="5">
        <v>201.8</v>
      </c>
      <c r="G27569" s="5">
        <v>100.6</v>
      </c>
      <c r="H27569" s="5">
        <v>100.5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96.6</v>
      </c>
      <c r="D27570" s="5">
        <v>0.1</v>
      </c>
      <c r="E27570" s="5">
        <v>96.7</v>
      </c>
      <c r="F27570" s="5">
        <v>192.6</v>
      </c>
      <c r="G27570" s="5">
        <v>95.9</v>
      </c>
      <c r="H27570" s="5">
        <v>95.6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96.6</v>
      </c>
      <c r="D27571" s="5">
        <v>0.1</v>
      </c>
      <c r="E27571" s="5">
        <v>96.7</v>
      </c>
      <c r="F27571" s="5">
        <v>192.6</v>
      </c>
      <c r="G27571" s="5">
        <v>95.9</v>
      </c>
      <c r="H27571" s="5">
        <v>95.6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95.7</v>
      </c>
      <c r="D27572" s="5">
        <v>0.1</v>
      </c>
      <c r="E27572" s="5">
        <v>95.9</v>
      </c>
      <c r="F27572" s="5">
        <v>189.4</v>
      </c>
      <c r="G27572" s="5">
        <v>94.4</v>
      </c>
      <c r="H27572" s="5">
        <v>94.4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95.7</v>
      </c>
      <c r="D27573" s="5">
        <v>0.1</v>
      </c>
      <c r="E27573" s="5">
        <v>95.9</v>
      </c>
      <c r="F27573" s="5">
        <v>189.4</v>
      </c>
      <c r="G27573" s="5">
        <v>94.4</v>
      </c>
      <c r="H27573" s="5">
        <v>94.4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95.7</v>
      </c>
      <c r="D27574" s="5">
        <v>0.1</v>
      </c>
      <c r="E27574" s="5">
        <v>95.9</v>
      </c>
      <c r="F27574" s="5">
        <v>189.4</v>
      </c>
      <c r="G27574" s="5">
        <v>94.4</v>
      </c>
      <c r="H27574" s="5">
        <v>94.4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95.7</v>
      </c>
      <c r="D27575" s="5">
        <v>0.1</v>
      </c>
      <c r="E27575" s="5">
        <v>95.9</v>
      </c>
      <c r="F27575" s="5">
        <v>189.4</v>
      </c>
      <c r="G27575" s="5">
        <v>94.4</v>
      </c>
      <c r="H27575" s="5">
        <v>94.4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101.1</v>
      </c>
      <c r="D27576" s="5">
        <v>0.1</v>
      </c>
      <c r="E27576" s="5">
        <v>101.3</v>
      </c>
      <c r="F27576" s="5">
        <v>200.5</v>
      </c>
      <c r="G27576" s="5">
        <v>100.1</v>
      </c>
      <c r="H27576" s="5">
        <v>100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101.1</v>
      </c>
      <c r="D27577" s="5">
        <v>0.1</v>
      </c>
      <c r="E27577" s="5">
        <v>101.3</v>
      </c>
      <c r="F27577" s="5">
        <v>200.5</v>
      </c>
      <c r="G27577" s="5">
        <v>100.1</v>
      </c>
      <c r="H27577" s="5">
        <v>100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99.5</v>
      </c>
      <c r="D27578" s="5">
        <v>0.1</v>
      </c>
      <c r="E27578" s="5">
        <v>99.7</v>
      </c>
      <c r="F27578" s="5">
        <v>199.6</v>
      </c>
      <c r="G27578" s="5">
        <v>99.3</v>
      </c>
      <c r="H27578" s="5">
        <v>99.2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99.5</v>
      </c>
      <c r="D27579" s="5">
        <v>0.1</v>
      </c>
      <c r="E27579" s="5">
        <v>99.7</v>
      </c>
      <c r="F27579" s="5">
        <v>199.6</v>
      </c>
      <c r="G27579" s="5">
        <v>99.3</v>
      </c>
      <c r="H27579" s="5">
        <v>99.2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92.2</v>
      </c>
      <c r="D27580" s="5">
        <v>0.1</v>
      </c>
      <c r="E27580" s="5">
        <v>92.4</v>
      </c>
      <c r="F27580" s="5">
        <v>193.5</v>
      </c>
      <c r="G27580" s="5">
        <v>95.3</v>
      </c>
      <c r="H27580" s="5">
        <v>93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92.2</v>
      </c>
      <c r="D27581" s="5">
        <v>0.1</v>
      </c>
      <c r="E27581" s="5">
        <v>92.4</v>
      </c>
      <c r="F27581" s="5">
        <v>193.5</v>
      </c>
      <c r="G27581" s="5">
        <v>95.3</v>
      </c>
      <c r="H27581" s="5">
        <v>93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93</v>
      </c>
      <c r="D27582" s="5">
        <v>0.1</v>
      </c>
      <c r="E27582" s="5">
        <v>93.1</v>
      </c>
      <c r="F27582" s="5">
        <v>186.5</v>
      </c>
      <c r="G27582" s="5">
        <v>93</v>
      </c>
      <c r="H27582" s="5">
        <v>92.9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93</v>
      </c>
      <c r="D27583" s="5">
        <v>0.1</v>
      </c>
      <c r="E27583" s="5">
        <v>93.1</v>
      </c>
      <c r="F27583" s="5">
        <v>186.5</v>
      </c>
      <c r="G27583" s="5">
        <v>93</v>
      </c>
      <c r="H27583" s="5">
        <v>92.9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93</v>
      </c>
      <c r="D27584" s="5">
        <v>0.1</v>
      </c>
      <c r="E27584" s="5">
        <v>93.1</v>
      </c>
      <c r="F27584" s="5">
        <v>186.5</v>
      </c>
      <c r="G27584" s="5">
        <v>93</v>
      </c>
      <c r="H27584" s="5">
        <v>92.9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93</v>
      </c>
      <c r="D27585" s="5">
        <v>0.1</v>
      </c>
      <c r="E27585" s="5">
        <v>93.1</v>
      </c>
      <c r="F27585" s="5">
        <v>186.5</v>
      </c>
      <c r="G27585" s="5">
        <v>93</v>
      </c>
      <c r="H27585" s="5">
        <v>92.9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100.1</v>
      </c>
      <c r="D27586" s="5">
        <v>0.1</v>
      </c>
      <c r="E27586" s="5">
        <v>100.2</v>
      </c>
      <c r="F27586" s="5">
        <v>199.5</v>
      </c>
      <c r="G27586" s="5">
        <v>99.5</v>
      </c>
      <c r="H27586" s="5">
        <v>99.4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100.1</v>
      </c>
      <c r="D27587" s="5">
        <v>0.1</v>
      </c>
      <c r="E27587" s="5">
        <v>100.2</v>
      </c>
      <c r="F27587" s="5">
        <v>199.5</v>
      </c>
      <c r="G27587" s="5">
        <v>99.5</v>
      </c>
      <c r="H27587" s="5">
        <v>99.4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99.6</v>
      </c>
      <c r="D27588" s="5">
        <v>0.1</v>
      </c>
      <c r="E27588" s="5">
        <v>99.8</v>
      </c>
      <c r="F27588" s="5">
        <v>197.8</v>
      </c>
      <c r="G27588" s="5">
        <v>98.7</v>
      </c>
      <c r="H27588" s="5">
        <v>98.7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99.6</v>
      </c>
      <c r="D27589" s="5">
        <v>0.1</v>
      </c>
      <c r="E27589" s="5">
        <v>99.8</v>
      </c>
      <c r="F27589" s="5">
        <v>197.8</v>
      </c>
      <c r="G27589" s="5">
        <v>98.7</v>
      </c>
      <c r="H27589" s="5">
        <v>98.7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93.6</v>
      </c>
      <c r="D27590" s="5">
        <v>0.1</v>
      </c>
      <c r="E27590" s="5">
        <v>93.8</v>
      </c>
      <c r="F27590" s="5">
        <v>187.3</v>
      </c>
      <c r="G27590" s="5">
        <v>93.4</v>
      </c>
      <c r="H27590" s="5">
        <v>93.3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93.6</v>
      </c>
      <c r="D27591" s="5">
        <v>0.1</v>
      </c>
      <c r="E27591" s="5">
        <v>93.8</v>
      </c>
      <c r="F27591" s="5">
        <v>187.3</v>
      </c>
      <c r="G27591" s="5">
        <v>93.4</v>
      </c>
      <c r="H27591" s="5">
        <v>93.3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100.2</v>
      </c>
      <c r="D27592" s="5">
        <v>0.1</v>
      </c>
      <c r="E27592" s="5">
        <v>100.3</v>
      </c>
      <c r="F27592" s="5">
        <v>200.7</v>
      </c>
      <c r="G27592" s="5">
        <v>100.1</v>
      </c>
      <c r="H27592" s="5">
        <v>100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100.2</v>
      </c>
      <c r="D27593" s="5">
        <v>0.1</v>
      </c>
      <c r="E27593" s="5">
        <v>100.3</v>
      </c>
      <c r="F27593" s="5">
        <v>200.7</v>
      </c>
      <c r="G27593" s="5">
        <v>100.1</v>
      </c>
      <c r="H27593" s="5">
        <v>100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100.2</v>
      </c>
      <c r="D27594" s="5">
        <v>0.1</v>
      </c>
      <c r="E27594" s="5">
        <v>100.3</v>
      </c>
      <c r="F27594" s="5">
        <v>200.7</v>
      </c>
      <c r="G27594" s="5">
        <v>100.1</v>
      </c>
      <c r="H27594" s="5">
        <v>100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100.2</v>
      </c>
      <c r="D27595" s="5">
        <v>0.1</v>
      </c>
      <c r="E27595" s="5">
        <v>100.3</v>
      </c>
      <c r="F27595" s="5">
        <v>200.7</v>
      </c>
      <c r="G27595" s="5">
        <v>100.1</v>
      </c>
      <c r="H27595" s="5">
        <v>100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98.5</v>
      </c>
      <c r="D27596" s="5">
        <v>0.1</v>
      </c>
      <c r="E27596" s="5">
        <v>98.6</v>
      </c>
      <c r="F27596" s="5">
        <v>195.5</v>
      </c>
      <c r="G27596" s="5">
        <v>97.6</v>
      </c>
      <c r="H27596" s="5">
        <v>97.4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98.5</v>
      </c>
      <c r="D27597" s="5">
        <v>0.1</v>
      </c>
      <c r="E27597" s="5">
        <v>98.6</v>
      </c>
      <c r="F27597" s="5">
        <v>195.5</v>
      </c>
      <c r="G27597" s="5">
        <v>97.6</v>
      </c>
      <c r="H27597" s="5">
        <v>97.4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106.6</v>
      </c>
      <c r="D27598" s="5">
        <v>0.1</v>
      </c>
      <c r="E27598" s="5">
        <v>106.7</v>
      </c>
      <c r="F27598" s="5">
        <v>210.4</v>
      </c>
      <c r="G27598" s="5">
        <v>104</v>
      </c>
      <c r="H27598" s="5">
        <v>103.9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106.6</v>
      </c>
      <c r="D27599" s="5">
        <v>0.1</v>
      </c>
      <c r="E27599" s="5">
        <v>106.7</v>
      </c>
      <c r="F27599" s="5">
        <v>210.4</v>
      </c>
      <c r="G27599" s="5">
        <v>104</v>
      </c>
      <c r="H27599" s="5">
        <v>103.9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105.1</v>
      </c>
      <c r="D27600" s="5">
        <v>0.1</v>
      </c>
      <c r="E27600" s="5">
        <v>105.3</v>
      </c>
      <c r="F27600" s="5">
        <v>208.2</v>
      </c>
      <c r="G27600" s="5">
        <v>104.1</v>
      </c>
      <c r="H27600" s="5">
        <v>101.8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105.1</v>
      </c>
      <c r="D27601" s="5">
        <v>0.1</v>
      </c>
      <c r="E27601" s="5">
        <v>105.3</v>
      </c>
      <c r="F27601" s="5">
        <v>208.2</v>
      </c>
      <c r="G27601" s="5">
        <v>104.1</v>
      </c>
      <c r="H27601" s="5">
        <v>101.8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105.2</v>
      </c>
      <c r="D27602" s="5">
        <v>0.1</v>
      </c>
      <c r="E27602" s="5">
        <v>105.3</v>
      </c>
      <c r="F27602" s="5">
        <v>210.2</v>
      </c>
      <c r="G27602" s="5">
        <v>104.8</v>
      </c>
      <c r="H27602" s="5">
        <v>104.7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105.2</v>
      </c>
      <c r="D27603" s="5">
        <v>0.1</v>
      </c>
      <c r="E27603" s="5">
        <v>105.3</v>
      </c>
      <c r="F27603" s="5">
        <v>210.2</v>
      </c>
      <c r="G27603" s="5">
        <v>104.8</v>
      </c>
      <c r="H27603" s="5">
        <v>104.7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105.2</v>
      </c>
      <c r="D27604" s="5">
        <v>0.1</v>
      </c>
      <c r="E27604" s="5">
        <v>105.3</v>
      </c>
      <c r="F27604" s="5">
        <v>210.2</v>
      </c>
      <c r="G27604" s="5">
        <v>104.8</v>
      </c>
      <c r="H27604" s="5">
        <v>104.7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105.2</v>
      </c>
      <c r="D27605" s="5">
        <v>0.1</v>
      </c>
      <c r="E27605" s="5">
        <v>105.3</v>
      </c>
      <c r="F27605" s="5">
        <v>210.2</v>
      </c>
      <c r="G27605" s="5">
        <v>104.8</v>
      </c>
      <c r="H27605" s="5">
        <v>104.7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105</v>
      </c>
      <c r="D27606" s="5">
        <v>0.1</v>
      </c>
      <c r="E27606" s="5">
        <v>105.2</v>
      </c>
      <c r="F27606" s="5">
        <v>209.8</v>
      </c>
      <c r="G27606" s="5">
        <v>104.7</v>
      </c>
      <c r="H27606" s="5">
        <v>104.5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105</v>
      </c>
      <c r="D27607" s="5">
        <v>0.1</v>
      </c>
      <c r="E27607" s="5">
        <v>105.2</v>
      </c>
      <c r="F27607" s="5">
        <v>209.8</v>
      </c>
      <c r="G27607" s="5">
        <v>104.7</v>
      </c>
      <c r="H27607" s="5">
        <v>104.5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104.5</v>
      </c>
      <c r="D27608" s="5">
        <v>0.1</v>
      </c>
      <c r="E27608" s="5">
        <v>104.6</v>
      </c>
      <c r="F27608" s="5">
        <v>208.3</v>
      </c>
      <c r="G27608" s="5">
        <v>103.9</v>
      </c>
      <c r="H27608" s="5">
        <v>103.8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104.5</v>
      </c>
      <c r="D27609" s="5">
        <v>0.1</v>
      </c>
      <c r="E27609" s="5">
        <v>104.6</v>
      </c>
      <c r="F27609" s="5">
        <v>208.3</v>
      </c>
      <c r="G27609" s="5">
        <v>103.9</v>
      </c>
      <c r="H27609" s="5">
        <v>103.8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105.3</v>
      </c>
      <c r="D27610" s="5">
        <v>0.1</v>
      </c>
      <c r="E27610" s="5">
        <v>105.5</v>
      </c>
      <c r="F27610" s="5">
        <v>210.2</v>
      </c>
      <c r="G27610" s="5">
        <v>104.8</v>
      </c>
      <c r="H27610" s="5">
        <v>104.7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105.3</v>
      </c>
      <c r="D27611" s="5">
        <v>0.1</v>
      </c>
      <c r="E27611" s="5">
        <v>105.5</v>
      </c>
      <c r="F27611" s="5">
        <v>210.2</v>
      </c>
      <c r="G27611" s="5">
        <v>104.8</v>
      </c>
      <c r="H27611" s="5">
        <v>104.7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106.9</v>
      </c>
      <c r="D27612" s="5">
        <v>0.1</v>
      </c>
      <c r="E27612" s="5">
        <v>107</v>
      </c>
      <c r="F27612" s="5">
        <v>212.4</v>
      </c>
      <c r="G27612" s="5">
        <v>106</v>
      </c>
      <c r="H27612" s="5">
        <v>105.9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106.9</v>
      </c>
      <c r="D27613" s="5">
        <v>0.1</v>
      </c>
      <c r="E27613" s="5">
        <v>107</v>
      </c>
      <c r="F27613" s="5">
        <v>212.4</v>
      </c>
      <c r="G27613" s="5">
        <v>106</v>
      </c>
      <c r="H27613" s="5">
        <v>105.9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106.9</v>
      </c>
      <c r="D27614" s="5">
        <v>0.1</v>
      </c>
      <c r="E27614" s="5">
        <v>107</v>
      </c>
      <c r="F27614" s="5">
        <v>212.4</v>
      </c>
      <c r="G27614" s="5">
        <v>106</v>
      </c>
      <c r="H27614" s="5">
        <v>105.9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105.2</v>
      </c>
      <c r="D27615" s="5">
        <v>0.1</v>
      </c>
      <c r="E27615" s="5">
        <v>105.3</v>
      </c>
      <c r="F27615" s="5">
        <v>212.2</v>
      </c>
      <c r="G27615" s="5">
        <v>106</v>
      </c>
      <c r="H27615" s="5">
        <v>105.9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105.2</v>
      </c>
      <c r="D27616" s="5">
        <v>0.1</v>
      </c>
      <c r="E27616" s="5">
        <v>105.3</v>
      </c>
      <c r="F27616" s="5">
        <v>212.2</v>
      </c>
      <c r="G27616" s="5">
        <v>105.8</v>
      </c>
      <c r="H27616" s="5">
        <v>105.7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105.6</v>
      </c>
      <c r="D27617" s="5">
        <v>0.1</v>
      </c>
      <c r="E27617" s="5">
        <v>105.3</v>
      </c>
      <c r="F27617" s="5">
        <v>212.2</v>
      </c>
      <c r="G27617" s="5">
        <v>105.8</v>
      </c>
      <c r="H27617" s="5">
        <v>105.7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105.6</v>
      </c>
      <c r="D27618" s="5">
        <v>0.1</v>
      </c>
      <c r="E27618" s="5">
        <v>105.8</v>
      </c>
      <c r="F27618" s="5">
        <v>210.4</v>
      </c>
      <c r="G27618" s="5">
        <v>104.9</v>
      </c>
      <c r="H27618" s="5">
        <v>104.8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104.1</v>
      </c>
      <c r="D27619" s="5">
        <v>0.1</v>
      </c>
      <c r="E27619" s="5">
        <v>105.8</v>
      </c>
      <c r="F27619" s="5">
        <v>210.4</v>
      </c>
      <c r="G27619" s="5">
        <v>104.9</v>
      </c>
      <c r="H27619" s="5">
        <v>104.8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104.1</v>
      </c>
      <c r="D27620" s="5">
        <v>0.1</v>
      </c>
      <c r="E27620" s="5">
        <v>104.3</v>
      </c>
      <c r="F27620" s="5">
        <v>206.9</v>
      </c>
      <c r="G27620" s="5">
        <v>103.3</v>
      </c>
      <c r="H27620" s="5">
        <v>104.9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104.1</v>
      </c>
      <c r="D27621" s="5">
        <v>0.1</v>
      </c>
      <c r="E27621" s="5">
        <v>104.3</v>
      </c>
      <c r="F27621" s="5">
        <v>206.9</v>
      </c>
      <c r="G27621" s="5">
        <v>103.3</v>
      </c>
      <c r="H27621" s="5">
        <v>104.9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101.2</v>
      </c>
      <c r="D27622" s="5">
        <v>0.1</v>
      </c>
      <c r="E27622" s="5">
        <v>101.4</v>
      </c>
      <c r="F27622" s="5">
        <v>202.2</v>
      </c>
      <c r="G27622" s="5">
        <v>100.8</v>
      </c>
      <c r="H27622" s="5">
        <v>100.6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101.2</v>
      </c>
      <c r="D27623" s="5">
        <v>0.1</v>
      </c>
      <c r="E27623" s="5">
        <v>101.4</v>
      </c>
      <c r="F27623" s="5">
        <v>202.2</v>
      </c>
      <c r="G27623" s="5">
        <v>100.8</v>
      </c>
      <c r="H27623" s="5">
        <v>100.6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101.2</v>
      </c>
      <c r="D27624" s="5">
        <v>0.1</v>
      </c>
      <c r="E27624" s="5">
        <v>101.4</v>
      </c>
      <c r="F27624" s="5">
        <v>202.2</v>
      </c>
      <c r="G27624" s="5">
        <v>100.8</v>
      </c>
      <c r="H27624" s="5">
        <v>100.6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101.2</v>
      </c>
      <c r="D27625" s="5">
        <v>0.1</v>
      </c>
      <c r="E27625" s="5">
        <v>101.4</v>
      </c>
      <c r="F27625" s="5">
        <v>202.2</v>
      </c>
      <c r="G27625" s="5">
        <v>100.8</v>
      </c>
      <c r="H27625" s="5">
        <v>100.6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100.7</v>
      </c>
      <c r="D27626" s="5">
        <v>0.1</v>
      </c>
      <c r="E27626" s="5">
        <v>100.8</v>
      </c>
      <c r="F27626" s="5">
        <v>202.2</v>
      </c>
      <c r="G27626" s="5">
        <v>100.9</v>
      </c>
      <c r="H27626" s="5">
        <v>100.7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100.7</v>
      </c>
      <c r="D27627" s="5">
        <v>0.1</v>
      </c>
      <c r="E27627" s="5">
        <v>100.8</v>
      </c>
      <c r="F27627" s="5">
        <v>202.2</v>
      </c>
      <c r="G27627" s="5">
        <v>100.9</v>
      </c>
      <c r="H27627" s="5">
        <v>100.7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99.8</v>
      </c>
      <c r="D27628" s="5">
        <v>0.1</v>
      </c>
      <c r="E27628" s="5">
        <v>99.9</v>
      </c>
      <c r="F27628" s="5">
        <v>200.5</v>
      </c>
      <c r="G27628" s="5">
        <v>99.9</v>
      </c>
      <c r="H27628" s="5">
        <v>99.7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99.8</v>
      </c>
      <c r="D27629" s="5">
        <v>0.1</v>
      </c>
      <c r="E27629" s="5">
        <v>99.9</v>
      </c>
      <c r="F27629" s="5">
        <v>200.5</v>
      </c>
      <c r="G27629" s="5">
        <v>99.9</v>
      </c>
      <c r="H27629" s="5">
        <v>99.7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99.9</v>
      </c>
      <c r="D27630" s="5">
        <v>0.1</v>
      </c>
      <c r="E27630" s="5">
        <v>100.1</v>
      </c>
      <c r="F27630" s="5">
        <v>198.2</v>
      </c>
      <c r="G27630" s="5">
        <v>98.9</v>
      </c>
      <c r="H27630" s="5">
        <v>98.9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99.9</v>
      </c>
      <c r="D27631" s="5">
        <v>0.1</v>
      </c>
      <c r="E27631" s="5">
        <v>100.1</v>
      </c>
      <c r="F27631" s="5">
        <v>198.2</v>
      </c>
      <c r="G27631" s="5">
        <v>98.9</v>
      </c>
      <c r="H27631" s="5">
        <v>98.9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99.7</v>
      </c>
      <c r="D27632" s="5">
        <v>0.1</v>
      </c>
      <c r="E27632" s="5">
        <v>99.9</v>
      </c>
      <c r="F27632" s="5">
        <v>198.2</v>
      </c>
      <c r="G27632" s="5">
        <v>98.9</v>
      </c>
      <c r="H27632" s="5">
        <v>98.8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99.7</v>
      </c>
      <c r="D27633" s="5">
        <v>0.1</v>
      </c>
      <c r="E27633" s="5">
        <v>99.9</v>
      </c>
      <c r="F27633" s="5">
        <v>198.2</v>
      </c>
      <c r="G27633" s="5">
        <v>98.9</v>
      </c>
      <c r="H27633" s="5">
        <v>98.8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99.7</v>
      </c>
      <c r="D27634" s="5">
        <v>0.1</v>
      </c>
      <c r="E27634" s="5">
        <v>99.9</v>
      </c>
      <c r="F27634" s="5">
        <v>198.2</v>
      </c>
      <c r="G27634" s="5">
        <v>98.9</v>
      </c>
      <c r="H27634" s="5">
        <v>98.8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99.7</v>
      </c>
      <c r="D27635" s="5">
        <v>0.1</v>
      </c>
      <c r="E27635" s="5">
        <v>99.9</v>
      </c>
      <c r="F27635" s="5">
        <v>198.2</v>
      </c>
      <c r="G27635" s="5">
        <v>98.9</v>
      </c>
      <c r="H27635" s="5">
        <v>99.4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99.9</v>
      </c>
      <c r="D27636" s="5">
        <v>0.1</v>
      </c>
      <c r="E27636" s="5">
        <v>100</v>
      </c>
      <c r="F27636" s="5">
        <v>199.5</v>
      </c>
      <c r="G27636" s="5">
        <v>99.5</v>
      </c>
      <c r="H27636" s="5">
        <v>99.4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99.9</v>
      </c>
      <c r="D27637" s="5">
        <v>0.1</v>
      </c>
      <c r="E27637" s="5">
        <v>100</v>
      </c>
      <c r="F27637" s="5">
        <v>199.5</v>
      </c>
      <c r="G27637" s="5">
        <v>99.5</v>
      </c>
      <c r="H27637" s="5">
        <v>99.4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99.2</v>
      </c>
      <c r="D27638" s="5">
        <v>0.1</v>
      </c>
      <c r="E27638" s="5">
        <v>99.3</v>
      </c>
      <c r="F27638" s="5">
        <v>199.6</v>
      </c>
      <c r="G27638" s="5">
        <v>99.5</v>
      </c>
      <c r="H27638" s="5">
        <v>99.4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99.2</v>
      </c>
      <c r="D27639" s="5">
        <v>0.1</v>
      </c>
      <c r="E27639" s="5">
        <v>99.3</v>
      </c>
      <c r="F27639" s="5">
        <v>199.6</v>
      </c>
      <c r="G27639" s="5">
        <v>99.5</v>
      </c>
      <c r="H27639" s="5">
        <v>99.4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100.1</v>
      </c>
      <c r="D27640" s="5">
        <v>0.1</v>
      </c>
      <c r="E27640" s="5">
        <v>100.2</v>
      </c>
      <c r="F27640" s="5">
        <v>200.5</v>
      </c>
      <c r="G27640" s="5">
        <v>99.6</v>
      </c>
      <c r="H27640" s="5">
        <v>98.9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100.1</v>
      </c>
      <c r="D27641" s="5">
        <v>0.1</v>
      </c>
      <c r="E27641" s="5">
        <v>100.2</v>
      </c>
      <c r="F27641" s="5">
        <v>200.5</v>
      </c>
      <c r="G27641" s="5">
        <v>99.6</v>
      </c>
      <c r="H27641" s="5">
        <v>98.9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98.9</v>
      </c>
      <c r="D27642" s="5">
        <v>0.1</v>
      </c>
      <c r="E27642" s="5">
        <v>99.1</v>
      </c>
      <c r="F27642" s="5">
        <v>198</v>
      </c>
      <c r="G27642" s="5">
        <v>98.8</v>
      </c>
      <c r="H27642" s="5">
        <v>98.7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98.9</v>
      </c>
      <c r="D27643" s="5">
        <v>0.1</v>
      </c>
      <c r="E27643" s="5">
        <v>99.1</v>
      </c>
      <c r="F27643" s="5">
        <v>198</v>
      </c>
      <c r="G27643" s="5">
        <v>98.8</v>
      </c>
      <c r="H27643" s="5">
        <v>98.7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98.9</v>
      </c>
      <c r="D27644" s="5">
        <v>0.1</v>
      </c>
      <c r="E27644" s="5">
        <v>99.1</v>
      </c>
      <c r="F27644" s="5">
        <v>198</v>
      </c>
      <c r="G27644" s="5">
        <v>98.8</v>
      </c>
      <c r="H27644" s="5">
        <v>98.7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105.2</v>
      </c>
      <c r="D27645" s="5">
        <v>0.1</v>
      </c>
      <c r="E27645" s="5">
        <v>105.3</v>
      </c>
      <c r="F27645" s="5">
        <v>208.8</v>
      </c>
      <c r="G27645" s="5">
        <v>104.2</v>
      </c>
      <c r="H27645" s="5">
        <v>104.1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105.2</v>
      </c>
      <c r="D27646" s="5">
        <v>0.1</v>
      </c>
      <c r="E27646" s="5">
        <v>105.3</v>
      </c>
      <c r="F27646" s="5">
        <v>208.8</v>
      </c>
      <c r="G27646" s="5">
        <v>104.2</v>
      </c>
      <c r="H27646" s="5">
        <v>104.1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100.3</v>
      </c>
      <c r="D27647" s="5">
        <v>0.1</v>
      </c>
      <c r="E27647" s="5">
        <v>100.4</v>
      </c>
      <c r="F27647" s="5">
        <v>199.1</v>
      </c>
      <c r="G27647" s="5">
        <v>99.6</v>
      </c>
      <c r="H27647" s="5">
        <v>99.5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100.3</v>
      </c>
      <c r="D27648" s="5">
        <v>0.1</v>
      </c>
      <c r="E27648" s="5">
        <v>100.4</v>
      </c>
      <c r="F27648" s="5">
        <v>199.1</v>
      </c>
      <c r="G27648" s="5">
        <v>99.6</v>
      </c>
      <c r="H27648" s="5">
        <v>99.5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98.1</v>
      </c>
      <c r="D27649" s="5">
        <v>0.1</v>
      </c>
      <c r="E27649" s="5">
        <v>98.3</v>
      </c>
      <c r="F27649" s="5">
        <v>196.1</v>
      </c>
      <c r="G27649" s="5">
        <v>97.8</v>
      </c>
      <c r="H27649" s="5">
        <v>97.6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98.1</v>
      </c>
      <c r="D27650" s="5">
        <v>0.1</v>
      </c>
      <c r="E27650" s="5">
        <v>98.3</v>
      </c>
      <c r="F27650" s="5">
        <v>196.1</v>
      </c>
      <c r="G27650" s="5">
        <v>97.8</v>
      </c>
      <c r="H27650" s="5">
        <v>97.6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100.2</v>
      </c>
      <c r="D27651" s="5">
        <v>0.1</v>
      </c>
      <c r="E27651" s="5">
        <v>100.3</v>
      </c>
      <c r="F27651" s="5">
        <v>198.7</v>
      </c>
      <c r="G27651" s="5">
        <v>99.9</v>
      </c>
      <c r="H27651" s="5">
        <v>99.7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100.2</v>
      </c>
      <c r="D27652" s="5">
        <v>0.1</v>
      </c>
      <c r="E27652" s="5">
        <v>100.3</v>
      </c>
      <c r="F27652" s="5">
        <v>198.7</v>
      </c>
      <c r="G27652" s="5">
        <v>99.9</v>
      </c>
      <c r="H27652" s="5">
        <v>99.7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100.2</v>
      </c>
      <c r="D27653" s="5">
        <v>0.1</v>
      </c>
      <c r="E27653" s="5">
        <v>100.3</v>
      </c>
      <c r="F27653" s="5">
        <v>198.7</v>
      </c>
      <c r="G27653" s="5">
        <v>99.9</v>
      </c>
      <c r="H27653" s="5">
        <v>99.7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100.2</v>
      </c>
      <c r="D27654" s="5">
        <v>0.1</v>
      </c>
      <c r="E27654" s="5">
        <v>100.3</v>
      </c>
      <c r="F27654" s="5">
        <v>198.7</v>
      </c>
      <c r="G27654" s="5">
        <v>99.9</v>
      </c>
      <c r="H27654" s="5">
        <v>99.7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97.6</v>
      </c>
      <c r="D27655" s="5">
        <v>0.1</v>
      </c>
      <c r="E27655" s="5">
        <v>97.8</v>
      </c>
      <c r="F27655" s="5">
        <v>189.6</v>
      </c>
      <c r="G27655" s="5">
        <v>99.9</v>
      </c>
      <c r="H27655" s="5">
        <v>99.7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97.6</v>
      </c>
      <c r="D27656" s="5">
        <v>0.1</v>
      </c>
      <c r="E27656" s="5">
        <v>97.8</v>
      </c>
      <c r="F27656" s="5">
        <v>189.6</v>
      </c>
      <c r="G27656" s="5">
        <v>94.5</v>
      </c>
      <c r="H27656" s="5">
        <v>94.7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99.5</v>
      </c>
      <c r="D27657" s="5">
        <v>0.1</v>
      </c>
      <c r="E27657" s="5">
        <v>97.8</v>
      </c>
      <c r="F27657" s="5">
        <v>189.6</v>
      </c>
      <c r="G27657" s="5">
        <v>94.5</v>
      </c>
      <c r="H27657" s="5">
        <v>94.7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99.5</v>
      </c>
      <c r="D27658" s="5">
        <v>0.1</v>
      </c>
      <c r="E27658" s="5">
        <v>99.7</v>
      </c>
      <c r="F27658" s="5">
        <v>197.3</v>
      </c>
      <c r="G27658" s="5">
        <v>96.9</v>
      </c>
      <c r="H27658" s="5">
        <v>96.5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99.5</v>
      </c>
      <c r="D27659" s="5">
        <v>0.1</v>
      </c>
      <c r="E27659" s="5">
        <v>99.7</v>
      </c>
      <c r="F27659" s="5">
        <v>197.3</v>
      </c>
      <c r="G27659" s="5">
        <v>96.9</v>
      </c>
      <c r="H27659" s="5">
        <v>96.5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97.9</v>
      </c>
      <c r="D27660" s="5">
        <v>0.1</v>
      </c>
      <c r="E27660" s="5">
        <v>98</v>
      </c>
      <c r="F27660" s="5">
        <v>194.6</v>
      </c>
      <c r="G27660" s="5">
        <v>97</v>
      </c>
      <c r="H27660" s="5">
        <v>95.9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97.9</v>
      </c>
      <c r="D27661" s="5">
        <v>0.1</v>
      </c>
      <c r="E27661" s="5">
        <v>98</v>
      </c>
      <c r="F27661" s="5">
        <v>194.6</v>
      </c>
      <c r="G27661" s="5">
        <v>97</v>
      </c>
      <c r="H27661" s="5">
        <v>95.9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92.8</v>
      </c>
      <c r="D27662" s="5">
        <v>0</v>
      </c>
      <c r="E27662" s="5">
        <v>92.9</v>
      </c>
      <c r="F27662" s="5">
        <v>186.4</v>
      </c>
      <c r="G27662" s="5">
        <v>92.8</v>
      </c>
      <c r="H27662" s="5">
        <v>92.6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92.8</v>
      </c>
      <c r="D27663" s="5">
        <v>0</v>
      </c>
      <c r="E27663" s="5">
        <v>92.9</v>
      </c>
      <c r="F27663" s="5">
        <v>186.4</v>
      </c>
      <c r="G27663" s="5">
        <v>92.8</v>
      </c>
      <c r="H27663" s="5">
        <v>92.6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92.8</v>
      </c>
      <c r="D27664" s="5">
        <v>0</v>
      </c>
      <c r="E27664" s="5">
        <v>92.9</v>
      </c>
      <c r="F27664" s="5">
        <v>186.4</v>
      </c>
      <c r="G27664" s="5">
        <v>92.8</v>
      </c>
      <c r="H27664" s="5">
        <v>92.6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91.5</v>
      </c>
      <c r="D27665" s="5">
        <v>0.1</v>
      </c>
      <c r="E27665" s="5">
        <v>91.6</v>
      </c>
      <c r="F27665" s="5">
        <v>190.3</v>
      </c>
      <c r="G27665" s="5">
        <v>94.6</v>
      </c>
      <c r="H27665" s="5">
        <v>94.1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91.5</v>
      </c>
      <c r="D27666" s="5">
        <v>0.1</v>
      </c>
      <c r="E27666" s="5">
        <v>91.6</v>
      </c>
      <c r="F27666" s="5">
        <v>190.3</v>
      </c>
      <c r="G27666" s="5">
        <v>94.6</v>
      </c>
      <c r="H27666" s="5">
        <v>94.1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91.5</v>
      </c>
      <c r="D27667" s="5">
        <v>0.1</v>
      </c>
      <c r="E27667" s="5">
        <v>92.4</v>
      </c>
      <c r="F27667" s="5">
        <v>189.8</v>
      </c>
      <c r="G27667" s="5">
        <v>94.4</v>
      </c>
      <c r="H27667" s="5">
        <v>94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92.2</v>
      </c>
      <c r="D27668" s="5">
        <v>0.1</v>
      </c>
      <c r="E27668" s="5">
        <v>92.4</v>
      </c>
      <c r="F27668" s="5">
        <v>189.8</v>
      </c>
      <c r="G27668" s="5">
        <v>94.4</v>
      </c>
      <c r="H27668" s="5">
        <v>94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92.2</v>
      </c>
      <c r="D27669" s="5">
        <v>0.1</v>
      </c>
      <c r="E27669" s="5">
        <v>92.4</v>
      </c>
      <c r="F27669" s="5">
        <v>184.8</v>
      </c>
      <c r="G27669" s="5">
        <v>94.9</v>
      </c>
      <c r="H27669" s="5">
        <v>96.4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92.9</v>
      </c>
      <c r="D27670" s="5">
        <v>0.1</v>
      </c>
      <c r="E27670" s="5">
        <v>93.1</v>
      </c>
      <c r="F27670" s="5">
        <v>184.8</v>
      </c>
      <c r="G27670" s="5">
        <v>94.9</v>
      </c>
      <c r="H27670" s="5">
        <v>96.4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92.9</v>
      </c>
      <c r="D27671" s="5">
        <v>0.1</v>
      </c>
      <c r="E27671" s="5">
        <v>93.1</v>
      </c>
      <c r="F27671" s="5">
        <v>184.8</v>
      </c>
      <c r="G27671" s="5">
        <v>94.9</v>
      </c>
      <c r="H27671" s="5">
        <v>98.4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99.3</v>
      </c>
      <c r="D27672" s="5">
        <v>0.1</v>
      </c>
      <c r="E27672" s="5">
        <v>99.5</v>
      </c>
      <c r="F27672" s="5">
        <v>197.3</v>
      </c>
      <c r="G27672" s="5">
        <v>98.5</v>
      </c>
      <c r="H27672" s="5">
        <v>98.4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99.3</v>
      </c>
      <c r="D27673" s="5">
        <v>0.1</v>
      </c>
      <c r="E27673" s="5">
        <v>99.5</v>
      </c>
      <c r="F27673" s="5">
        <v>197.3</v>
      </c>
      <c r="G27673" s="5">
        <v>98.5</v>
      </c>
      <c r="H27673" s="5">
        <v>98.4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99.3</v>
      </c>
      <c r="D27674" s="5">
        <v>0.1</v>
      </c>
      <c r="E27674" s="5">
        <v>99.5</v>
      </c>
      <c r="F27674" s="5">
        <v>197.3</v>
      </c>
      <c r="G27674" s="5">
        <v>98.5</v>
      </c>
      <c r="H27674" s="5">
        <v>98.4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90</v>
      </c>
      <c r="D27675" s="5">
        <v>0</v>
      </c>
      <c r="E27675" s="5">
        <v>90</v>
      </c>
      <c r="F27675" s="5">
        <v>183.4</v>
      </c>
      <c r="G27675" s="5">
        <v>91.5</v>
      </c>
      <c r="H27675" s="5">
        <v>91.2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90</v>
      </c>
      <c r="D27676" s="5">
        <v>0</v>
      </c>
      <c r="E27676" s="5">
        <v>90</v>
      </c>
      <c r="F27676" s="5">
        <v>183.4</v>
      </c>
      <c r="G27676" s="5">
        <v>91.5</v>
      </c>
      <c r="H27676" s="5">
        <v>91.2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91.4</v>
      </c>
      <c r="D27677" s="5">
        <v>0.1</v>
      </c>
      <c r="E27677" s="5">
        <v>91.5</v>
      </c>
      <c r="F27677" s="5">
        <v>187.4</v>
      </c>
      <c r="G27677" s="5">
        <v>93.6</v>
      </c>
      <c r="H27677" s="5">
        <v>93.5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91.4</v>
      </c>
      <c r="D27678" s="5">
        <v>0.1</v>
      </c>
      <c r="E27678" s="5">
        <v>91.5</v>
      </c>
      <c r="F27678" s="5">
        <v>187.4</v>
      </c>
      <c r="G27678" s="5">
        <v>93.6</v>
      </c>
      <c r="H27678" s="5">
        <v>93.5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96</v>
      </c>
      <c r="D27679" s="5">
        <v>0.1</v>
      </c>
      <c r="E27679" s="5">
        <v>96.1</v>
      </c>
      <c r="F27679" s="5">
        <v>191.8</v>
      </c>
      <c r="G27679" s="5">
        <v>95.7</v>
      </c>
      <c r="H27679" s="5">
        <v>95.5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96</v>
      </c>
      <c r="D27680" s="5">
        <v>0.1</v>
      </c>
      <c r="E27680" s="5">
        <v>96.1</v>
      </c>
      <c r="F27680" s="5">
        <v>191.8</v>
      </c>
      <c r="G27680" s="5">
        <v>95.7</v>
      </c>
      <c r="H27680" s="5">
        <v>95.5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91.4</v>
      </c>
      <c r="D27681" s="5">
        <v>0.1</v>
      </c>
      <c r="E27681" s="5">
        <v>91.5</v>
      </c>
      <c r="F27681" s="5">
        <v>184</v>
      </c>
      <c r="G27681" s="5">
        <v>92.3</v>
      </c>
      <c r="H27681" s="5">
        <v>92.6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91.4</v>
      </c>
      <c r="D27682" s="5">
        <v>0.1</v>
      </c>
      <c r="E27682" s="5">
        <v>91.5</v>
      </c>
      <c r="F27682" s="5">
        <v>184</v>
      </c>
      <c r="G27682" s="5">
        <v>92.3</v>
      </c>
      <c r="H27682" s="5">
        <v>92.6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91.4</v>
      </c>
      <c r="D27683" s="5">
        <v>0.1</v>
      </c>
      <c r="E27683" s="5">
        <v>91.5</v>
      </c>
      <c r="F27683" s="5">
        <v>184</v>
      </c>
      <c r="G27683" s="5">
        <v>92.3</v>
      </c>
      <c r="H27683" s="5">
        <v>92.6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91.4</v>
      </c>
      <c r="D27684" s="5">
        <v>0.1</v>
      </c>
      <c r="E27684" s="5">
        <v>91.5</v>
      </c>
      <c r="F27684" s="5">
        <v>184</v>
      </c>
      <c r="G27684" s="5">
        <v>92.3</v>
      </c>
      <c r="H27684" s="5">
        <v>92.6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91.8</v>
      </c>
      <c r="D27685" s="5">
        <v>0.1</v>
      </c>
      <c r="E27685" s="5">
        <v>91.9</v>
      </c>
      <c r="F27685" s="5">
        <v>182.7</v>
      </c>
      <c r="G27685" s="5">
        <v>91.2</v>
      </c>
      <c r="H27685" s="5">
        <v>91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91.8</v>
      </c>
      <c r="D27686" s="5">
        <v>0.1</v>
      </c>
      <c r="E27686" s="5">
        <v>91.9</v>
      </c>
      <c r="F27686" s="5">
        <v>182.7</v>
      </c>
      <c r="G27686" s="5">
        <v>91.2</v>
      </c>
      <c r="H27686" s="5">
        <v>91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98.3</v>
      </c>
      <c r="D27687" s="5">
        <v>0.1</v>
      </c>
      <c r="E27687" s="5">
        <v>98.5</v>
      </c>
      <c r="F27687" s="5">
        <v>197.9</v>
      </c>
      <c r="G27687" s="5">
        <v>98.7</v>
      </c>
      <c r="H27687" s="5">
        <v>98.5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98.3</v>
      </c>
      <c r="D27688" s="5">
        <v>0.1</v>
      </c>
      <c r="E27688" s="5">
        <v>98.5</v>
      </c>
      <c r="F27688" s="5">
        <v>197.9</v>
      </c>
      <c r="G27688" s="5">
        <v>98.7</v>
      </c>
      <c r="H27688" s="5">
        <v>98.5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96.4</v>
      </c>
      <c r="D27689" s="5">
        <v>0.1</v>
      </c>
      <c r="E27689" s="5">
        <v>96.5</v>
      </c>
      <c r="F27689" s="5">
        <v>193.1</v>
      </c>
      <c r="G27689" s="5">
        <v>93.6</v>
      </c>
      <c r="H27689" s="5">
        <v>93.4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96.4</v>
      </c>
      <c r="D27690" s="5">
        <v>0.1</v>
      </c>
      <c r="E27690" s="5">
        <v>96.5</v>
      </c>
      <c r="F27690" s="5">
        <v>193.1</v>
      </c>
      <c r="G27690" s="5">
        <v>93.6</v>
      </c>
      <c r="H27690" s="5">
        <v>93.4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97.4</v>
      </c>
      <c r="D27691" s="5">
        <v>0.1</v>
      </c>
      <c r="E27691" s="5">
        <v>97.6</v>
      </c>
      <c r="F27691" s="5">
        <v>195.6</v>
      </c>
      <c r="G27691" s="5">
        <v>97.6</v>
      </c>
      <c r="H27691" s="5">
        <v>96.9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97.4</v>
      </c>
      <c r="D27692" s="5">
        <v>0.1</v>
      </c>
      <c r="E27692" s="5">
        <v>97.6</v>
      </c>
      <c r="F27692" s="5">
        <v>195.6</v>
      </c>
      <c r="G27692" s="5">
        <v>97.6</v>
      </c>
      <c r="H27692" s="5">
        <v>96.9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97.4</v>
      </c>
      <c r="D27693" s="5">
        <v>0.1</v>
      </c>
      <c r="E27693" s="5">
        <v>97.6</v>
      </c>
      <c r="F27693" s="5">
        <v>195.6</v>
      </c>
      <c r="G27693" s="5">
        <v>97.6</v>
      </c>
      <c r="H27693" s="5">
        <v>96.9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97.4</v>
      </c>
      <c r="D27694" s="5">
        <v>0.1</v>
      </c>
      <c r="E27694" s="5">
        <v>97.6</v>
      </c>
      <c r="F27694" s="5">
        <v>195.6</v>
      </c>
      <c r="G27694" s="5">
        <v>97.6</v>
      </c>
      <c r="H27694" s="5">
        <v>96.9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96.7</v>
      </c>
      <c r="D27695" s="5">
        <v>0.1</v>
      </c>
      <c r="E27695" s="5">
        <v>96.9</v>
      </c>
      <c r="F27695" s="5">
        <v>193.9</v>
      </c>
      <c r="G27695" s="5">
        <v>96.7</v>
      </c>
      <c r="H27695" s="5">
        <v>96.6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96.7</v>
      </c>
      <c r="D27696" s="5">
        <v>0.1</v>
      </c>
      <c r="E27696" s="5">
        <v>96.9</v>
      </c>
      <c r="F27696" s="5">
        <v>193.9</v>
      </c>
      <c r="G27696" s="5">
        <v>96.7</v>
      </c>
      <c r="H27696" s="5">
        <v>96.6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102.1</v>
      </c>
      <c r="D27697" s="5">
        <v>0.1</v>
      </c>
      <c r="E27697" s="5">
        <v>102.2</v>
      </c>
      <c r="F27697" s="5">
        <v>206.2</v>
      </c>
      <c r="G27697" s="5">
        <v>103</v>
      </c>
      <c r="H27697" s="5">
        <v>102.9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102.1</v>
      </c>
      <c r="D27698" s="5">
        <v>0.1</v>
      </c>
      <c r="E27698" s="5">
        <v>102.2</v>
      </c>
      <c r="F27698" s="5">
        <v>206.2</v>
      </c>
      <c r="G27698" s="5">
        <v>103</v>
      </c>
      <c r="H27698" s="5">
        <v>102.9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103.1</v>
      </c>
      <c r="D27699" s="5">
        <v>0.1</v>
      </c>
      <c r="E27699" s="5">
        <v>103.2</v>
      </c>
      <c r="F27699" s="5">
        <v>207</v>
      </c>
      <c r="G27699" s="5">
        <v>103.4</v>
      </c>
      <c r="H27699" s="5">
        <v>103.3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103.1</v>
      </c>
      <c r="D27700" s="5">
        <v>0.1</v>
      </c>
      <c r="E27700" s="5">
        <v>103.2</v>
      </c>
      <c r="F27700" s="5">
        <v>207</v>
      </c>
      <c r="G27700" s="5">
        <v>103.4</v>
      </c>
      <c r="H27700" s="5">
        <v>103.3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103.6</v>
      </c>
      <c r="D27701" s="5">
        <v>0.1</v>
      </c>
      <c r="E27701" s="5">
        <v>103.7</v>
      </c>
      <c r="F27701" s="5">
        <v>207.1</v>
      </c>
      <c r="G27701" s="5">
        <v>103.4</v>
      </c>
      <c r="H27701" s="5">
        <v>103.3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103.6</v>
      </c>
      <c r="D27702" s="5">
        <v>0.1</v>
      </c>
      <c r="E27702" s="5">
        <v>103.7</v>
      </c>
      <c r="F27702" s="5">
        <v>207.1</v>
      </c>
      <c r="G27702" s="5">
        <v>103.4</v>
      </c>
      <c r="H27702" s="5">
        <v>103.3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103.6</v>
      </c>
      <c r="D27703" s="5">
        <v>0.1</v>
      </c>
      <c r="E27703" s="5">
        <v>103.7</v>
      </c>
      <c r="F27703" s="5">
        <v>207.1</v>
      </c>
      <c r="G27703" s="5">
        <v>103.4</v>
      </c>
      <c r="H27703" s="5">
        <v>103.3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103.6</v>
      </c>
      <c r="D27704" s="5">
        <v>0.1</v>
      </c>
      <c r="E27704" s="5">
        <v>103.7</v>
      </c>
      <c r="F27704" s="5">
        <v>207.1</v>
      </c>
      <c r="G27704" s="5">
        <v>103.4</v>
      </c>
      <c r="H27704" s="5">
        <v>103.3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104.7</v>
      </c>
      <c r="D27705" s="5">
        <v>0.1</v>
      </c>
      <c r="E27705" s="5">
        <v>104.9</v>
      </c>
      <c r="F27705" s="5">
        <v>209.3</v>
      </c>
      <c r="G27705" s="5">
        <v>104.4</v>
      </c>
      <c r="H27705" s="5">
        <v>104.2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104.7</v>
      </c>
      <c r="D27706" s="5">
        <v>0.1</v>
      </c>
      <c r="E27706" s="5">
        <v>104.9</v>
      </c>
      <c r="F27706" s="5">
        <v>209.3</v>
      </c>
      <c r="G27706" s="5">
        <v>104.4</v>
      </c>
      <c r="H27706" s="5">
        <v>104.2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104.6</v>
      </c>
      <c r="D27707" s="5">
        <v>0.1</v>
      </c>
      <c r="E27707" s="5">
        <v>104.7</v>
      </c>
      <c r="F27707" s="5">
        <v>208.3</v>
      </c>
      <c r="G27707" s="5">
        <v>103.9</v>
      </c>
      <c r="H27707" s="5">
        <v>103.8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104.6</v>
      </c>
      <c r="D27708" s="5">
        <v>0.1</v>
      </c>
      <c r="E27708" s="5">
        <v>104.7</v>
      </c>
      <c r="F27708" s="5">
        <v>208.3</v>
      </c>
      <c r="G27708" s="5">
        <v>103.9</v>
      </c>
      <c r="H27708" s="5">
        <v>103.8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96.7</v>
      </c>
      <c r="D27709" s="5">
        <v>0.1</v>
      </c>
      <c r="E27709" s="5">
        <v>96.8</v>
      </c>
      <c r="F27709" s="5">
        <v>197.3</v>
      </c>
      <c r="G27709" s="5">
        <v>99.8</v>
      </c>
      <c r="H27709" s="5">
        <v>99.3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96.7</v>
      </c>
      <c r="D27710" s="5">
        <v>0.1</v>
      </c>
      <c r="E27710" s="5">
        <v>96.8</v>
      </c>
      <c r="F27710" s="5">
        <v>197.3</v>
      </c>
      <c r="G27710" s="5">
        <v>99.8</v>
      </c>
      <c r="H27710" s="5">
        <v>99.3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97</v>
      </c>
      <c r="D27711" s="5">
        <v>0.1</v>
      </c>
      <c r="E27711" s="5">
        <v>97.2</v>
      </c>
      <c r="F27711" s="5">
        <v>192.5</v>
      </c>
      <c r="G27711" s="5">
        <v>96</v>
      </c>
      <c r="H27711" s="5">
        <v>95.4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97</v>
      </c>
      <c r="D27712" s="5">
        <v>0.1</v>
      </c>
      <c r="E27712" s="5">
        <v>97.2</v>
      </c>
      <c r="F27712" s="5">
        <v>192.5</v>
      </c>
      <c r="G27712" s="5">
        <v>96</v>
      </c>
      <c r="H27712" s="5">
        <v>95.4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97</v>
      </c>
      <c r="D27713" s="5">
        <v>0.1</v>
      </c>
      <c r="E27713" s="5">
        <v>97.2</v>
      </c>
      <c r="F27713" s="5">
        <v>192.5</v>
      </c>
      <c r="G27713" s="5">
        <v>96</v>
      </c>
      <c r="H27713" s="5">
        <v>95.4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97</v>
      </c>
      <c r="D27714" s="5">
        <v>0.1</v>
      </c>
      <c r="E27714" s="5">
        <v>97.2</v>
      </c>
      <c r="F27714" s="5">
        <v>192.5</v>
      </c>
      <c r="G27714" s="5">
        <v>96</v>
      </c>
      <c r="H27714" s="5">
        <v>95.4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95.6</v>
      </c>
      <c r="D27715" s="5">
        <v>0.1</v>
      </c>
      <c r="E27715" s="5">
        <v>95.7</v>
      </c>
      <c r="F27715" s="5">
        <v>183.1</v>
      </c>
      <c r="G27715" s="5">
        <v>91.6</v>
      </c>
      <c r="H27715" s="5">
        <v>91.7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95.6</v>
      </c>
      <c r="D27716" s="5">
        <v>0.1</v>
      </c>
      <c r="E27716" s="5">
        <v>95.7</v>
      </c>
      <c r="F27716" s="5">
        <v>183.1</v>
      </c>
      <c r="G27716" s="5">
        <v>91.6</v>
      </c>
      <c r="H27716" s="5">
        <v>91.7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91.1</v>
      </c>
      <c r="D27717" s="5">
        <v>0.1</v>
      </c>
      <c r="E27717" s="5">
        <v>91.2</v>
      </c>
      <c r="F27717" s="5">
        <v>183.3</v>
      </c>
      <c r="G27717" s="5">
        <v>91.4</v>
      </c>
      <c r="H27717" s="5">
        <v>91.2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91.1</v>
      </c>
      <c r="D27718" s="5">
        <v>0.1</v>
      </c>
      <c r="E27718" s="5">
        <v>91.2</v>
      </c>
      <c r="F27718" s="5">
        <v>183.3</v>
      </c>
      <c r="G27718" s="5">
        <v>91.4</v>
      </c>
      <c r="H27718" s="5">
        <v>91.2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91.4</v>
      </c>
      <c r="D27719" s="5">
        <v>0.1</v>
      </c>
      <c r="E27719" s="5">
        <v>91.6</v>
      </c>
      <c r="F27719" s="5">
        <v>188.7</v>
      </c>
      <c r="G27719" s="5">
        <v>94.1</v>
      </c>
      <c r="H27719" s="5">
        <v>93.9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91.4</v>
      </c>
      <c r="D27720" s="5">
        <v>0.1</v>
      </c>
      <c r="E27720" s="5">
        <v>91.6</v>
      </c>
      <c r="F27720" s="5">
        <v>188.7</v>
      </c>
      <c r="G27720" s="5">
        <v>94.1</v>
      </c>
      <c r="H27720" s="5">
        <v>93.9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93</v>
      </c>
      <c r="D27721" s="5">
        <v>0.1</v>
      </c>
      <c r="E27721" s="5">
        <v>93.2</v>
      </c>
      <c r="F27721" s="5">
        <v>184.3</v>
      </c>
      <c r="G27721" s="5">
        <v>91.9</v>
      </c>
      <c r="H27721" s="5">
        <v>91.8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93</v>
      </c>
      <c r="D27722" s="5">
        <v>0.1</v>
      </c>
      <c r="E27722" s="5">
        <v>93.2</v>
      </c>
      <c r="F27722" s="5">
        <v>184.3</v>
      </c>
      <c r="G27722" s="5">
        <v>91.9</v>
      </c>
      <c r="H27722" s="5">
        <v>91.8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93</v>
      </c>
      <c r="D27723" s="5">
        <v>0.1</v>
      </c>
      <c r="E27723" s="5">
        <v>93.2</v>
      </c>
      <c r="F27723" s="5">
        <v>184.3</v>
      </c>
      <c r="G27723" s="5">
        <v>91.9</v>
      </c>
      <c r="H27723" s="5">
        <v>91.8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93</v>
      </c>
      <c r="D27724" s="5">
        <v>0.1</v>
      </c>
      <c r="E27724" s="5">
        <v>93.2</v>
      </c>
      <c r="F27724" s="5">
        <v>184.3</v>
      </c>
      <c r="G27724" s="5">
        <v>91.9</v>
      </c>
      <c r="H27724" s="5">
        <v>91.8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99.3</v>
      </c>
      <c r="D27725" s="5">
        <v>0.1</v>
      </c>
      <c r="E27725" s="5">
        <v>99.5</v>
      </c>
      <c r="F27725" s="5">
        <v>187.1</v>
      </c>
      <c r="G27725" s="5">
        <v>93.6</v>
      </c>
      <c r="H27725" s="5">
        <v>93.8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99.3</v>
      </c>
      <c r="D27726" s="5">
        <v>0.1</v>
      </c>
      <c r="E27726" s="5">
        <v>99.5</v>
      </c>
      <c r="F27726" s="5">
        <v>187.1</v>
      </c>
      <c r="G27726" s="5">
        <v>93.6</v>
      </c>
      <c r="H27726" s="5">
        <v>93.8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92.8</v>
      </c>
      <c r="D27727" s="5">
        <v>0.1</v>
      </c>
      <c r="E27727" s="5">
        <v>92.9</v>
      </c>
      <c r="F27727" s="5">
        <v>183.6</v>
      </c>
      <c r="G27727" s="5">
        <v>91.6</v>
      </c>
      <c r="H27727" s="5">
        <v>91.5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92.8</v>
      </c>
      <c r="D27728" s="5">
        <v>0.1</v>
      </c>
      <c r="E27728" s="5">
        <v>92.9</v>
      </c>
      <c r="F27728" s="5">
        <v>183.6</v>
      </c>
      <c r="G27728" s="5">
        <v>91.6</v>
      </c>
      <c r="H27728" s="5">
        <v>91.5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93.5</v>
      </c>
      <c r="D27729" s="5">
        <v>0</v>
      </c>
      <c r="E27729" s="5">
        <v>93.6</v>
      </c>
      <c r="F27729" s="5">
        <v>183.4</v>
      </c>
      <c r="G27729" s="5">
        <v>91.1</v>
      </c>
      <c r="H27729" s="5">
        <v>91.1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93.5</v>
      </c>
      <c r="D27730" s="5">
        <v>0</v>
      </c>
      <c r="E27730" s="5">
        <v>93.6</v>
      </c>
      <c r="F27730" s="5">
        <v>183.4</v>
      </c>
      <c r="G27730" s="5">
        <v>91.1</v>
      </c>
      <c r="H27730" s="5">
        <v>91.1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97.3</v>
      </c>
      <c r="D27731" s="5">
        <v>0.1</v>
      </c>
      <c r="E27731" s="5">
        <v>97.4</v>
      </c>
      <c r="F27731" s="5">
        <v>194.3</v>
      </c>
      <c r="G27731" s="5">
        <v>96.9</v>
      </c>
      <c r="H27731" s="5">
        <v>97.3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97.3</v>
      </c>
      <c r="D27732" s="5">
        <v>0.1</v>
      </c>
      <c r="E27732" s="5">
        <v>97.4</v>
      </c>
      <c r="F27732" s="5">
        <v>194.3</v>
      </c>
      <c r="G27732" s="5">
        <v>96.9</v>
      </c>
      <c r="H27732" s="5">
        <v>97.3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97.3</v>
      </c>
      <c r="D27733" s="5">
        <v>0.1</v>
      </c>
      <c r="E27733" s="5">
        <v>97.4</v>
      </c>
      <c r="F27733" s="5">
        <v>194.3</v>
      </c>
      <c r="G27733" s="5">
        <v>96.9</v>
      </c>
      <c r="H27733" s="5">
        <v>97.3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97.3</v>
      </c>
      <c r="D27734" s="5">
        <v>0.1</v>
      </c>
      <c r="E27734" s="5">
        <v>97.4</v>
      </c>
      <c r="F27734" s="5">
        <v>194.3</v>
      </c>
      <c r="G27734" s="5">
        <v>96.9</v>
      </c>
      <c r="H27734" s="5">
        <v>97.3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98.5</v>
      </c>
      <c r="D27735" s="5">
        <v>0.1</v>
      </c>
      <c r="E27735" s="5">
        <v>98.6</v>
      </c>
      <c r="F27735" s="5">
        <v>196.3</v>
      </c>
      <c r="G27735" s="5">
        <v>97.9</v>
      </c>
      <c r="H27735" s="5">
        <v>97.8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98.5</v>
      </c>
      <c r="D27736" s="5">
        <v>0.1</v>
      </c>
      <c r="E27736" s="5">
        <v>98.6</v>
      </c>
      <c r="F27736" s="5">
        <v>196.3</v>
      </c>
      <c r="G27736" s="5">
        <v>97.9</v>
      </c>
      <c r="H27736" s="5">
        <v>97.8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98.7</v>
      </c>
      <c r="D27737" s="5">
        <v>0.1</v>
      </c>
      <c r="E27737" s="5">
        <v>98.9</v>
      </c>
      <c r="F27737" s="5">
        <v>196.8</v>
      </c>
      <c r="G27737" s="5">
        <v>98.2</v>
      </c>
      <c r="H27737" s="5">
        <v>98.1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98.7</v>
      </c>
      <c r="D27738" s="5">
        <v>0.1</v>
      </c>
      <c r="E27738" s="5">
        <v>98.9</v>
      </c>
      <c r="F27738" s="5">
        <v>196.8</v>
      </c>
      <c r="G27738" s="5">
        <v>98.2</v>
      </c>
      <c r="H27738" s="5">
        <v>98.1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99</v>
      </c>
      <c r="D27739" s="5">
        <v>0.1</v>
      </c>
      <c r="E27739" s="5">
        <v>99.1</v>
      </c>
      <c r="F27739" s="5">
        <v>197.3</v>
      </c>
      <c r="G27739" s="5">
        <v>98.4</v>
      </c>
      <c r="H27739" s="5">
        <v>98.3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99</v>
      </c>
      <c r="D27740" s="5">
        <v>0.1</v>
      </c>
      <c r="E27740" s="5">
        <v>99.1</v>
      </c>
      <c r="F27740" s="5">
        <v>197.3</v>
      </c>
      <c r="G27740" s="5">
        <v>98.4</v>
      </c>
      <c r="H27740" s="5">
        <v>98.3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97.2</v>
      </c>
      <c r="D27741" s="5">
        <v>0.1</v>
      </c>
      <c r="E27741" s="5">
        <v>97.3</v>
      </c>
      <c r="F27741" s="5">
        <v>196.5</v>
      </c>
      <c r="G27741" s="5">
        <v>98</v>
      </c>
      <c r="H27741" s="5">
        <v>97.8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97.2</v>
      </c>
      <c r="D27742" s="5">
        <v>0.1</v>
      </c>
      <c r="E27742" s="5">
        <v>97.3</v>
      </c>
      <c r="F27742" s="5">
        <v>196.5</v>
      </c>
      <c r="G27742" s="5">
        <v>98</v>
      </c>
      <c r="H27742" s="5">
        <v>97.8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97.2</v>
      </c>
      <c r="D27743" s="5">
        <v>0.1</v>
      </c>
      <c r="E27743" s="5">
        <v>97.3</v>
      </c>
      <c r="F27743" s="5">
        <v>196.5</v>
      </c>
      <c r="G27743" s="5">
        <v>98</v>
      </c>
      <c r="H27743" s="5">
        <v>97.8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97.2</v>
      </c>
      <c r="D27744" s="5">
        <v>0.1</v>
      </c>
      <c r="E27744" s="5">
        <v>97.3</v>
      </c>
      <c r="F27744" s="5">
        <v>196.5</v>
      </c>
      <c r="G27744" s="5">
        <v>98</v>
      </c>
      <c r="H27744" s="5">
        <v>97.8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94.9</v>
      </c>
      <c r="D27745" s="5">
        <v>0.1</v>
      </c>
      <c r="E27745" s="5">
        <v>95</v>
      </c>
      <c r="F27745" s="5">
        <v>189.3</v>
      </c>
      <c r="G27745" s="5">
        <v>94.1</v>
      </c>
      <c r="H27745" s="5">
        <v>93.6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94.9</v>
      </c>
      <c r="D27746" s="5">
        <v>0.1</v>
      </c>
      <c r="E27746" s="5">
        <v>95</v>
      </c>
      <c r="F27746" s="5">
        <v>189.3</v>
      </c>
      <c r="G27746" s="5">
        <v>94.1</v>
      </c>
      <c r="H27746" s="5">
        <v>93.6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94.9</v>
      </c>
      <c r="D27747" s="5">
        <v>0.1</v>
      </c>
      <c r="E27747" s="5">
        <v>95</v>
      </c>
      <c r="F27747" s="5">
        <v>189.3</v>
      </c>
      <c r="G27747" s="5">
        <v>94.1</v>
      </c>
      <c r="H27747" s="5">
        <v>93.6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94.9</v>
      </c>
      <c r="D27748" s="5">
        <v>0.1</v>
      </c>
      <c r="E27748" s="5">
        <v>95</v>
      </c>
      <c r="F27748" s="5">
        <v>189.3</v>
      </c>
      <c r="G27748" s="5">
        <v>94.1</v>
      </c>
      <c r="H27748" s="5">
        <v>93.6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90.8</v>
      </c>
      <c r="D27749" s="5">
        <v>0.1</v>
      </c>
      <c r="E27749" s="5">
        <v>91</v>
      </c>
      <c r="F27749" s="5">
        <v>186.8</v>
      </c>
      <c r="G27749" s="5">
        <v>93.2</v>
      </c>
      <c r="H27749" s="5">
        <v>92.9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90.8</v>
      </c>
      <c r="D27750" s="5">
        <v>0.1</v>
      </c>
      <c r="E27750" s="5">
        <v>91</v>
      </c>
      <c r="F27750" s="5">
        <v>186.8</v>
      </c>
      <c r="G27750" s="5">
        <v>93.2</v>
      </c>
      <c r="H27750" s="5">
        <v>92.9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94.8</v>
      </c>
      <c r="D27751" s="5">
        <v>0.1</v>
      </c>
      <c r="E27751" s="5">
        <v>95</v>
      </c>
      <c r="F27751" s="5">
        <v>187.2</v>
      </c>
      <c r="G27751" s="5">
        <v>93.7</v>
      </c>
      <c r="H27751" s="5">
        <v>92.8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94.8</v>
      </c>
      <c r="D27752" s="5">
        <v>0.1</v>
      </c>
      <c r="E27752" s="5">
        <v>95</v>
      </c>
      <c r="F27752" s="5">
        <v>187.2</v>
      </c>
      <c r="G27752" s="5">
        <v>93.7</v>
      </c>
      <c r="H27752" s="5">
        <v>92.8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94.8</v>
      </c>
      <c r="D27753" s="5">
        <v>0.1</v>
      </c>
      <c r="E27753" s="5">
        <v>95</v>
      </c>
      <c r="F27753" s="5">
        <v>187.2</v>
      </c>
      <c r="G27753" s="5">
        <v>93.7</v>
      </c>
      <c r="H27753" s="5">
        <v>92.8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94.8</v>
      </c>
      <c r="D27754" s="5">
        <v>0.1</v>
      </c>
      <c r="E27754" s="5">
        <v>96.6</v>
      </c>
      <c r="F27754" s="5">
        <v>193.5</v>
      </c>
      <c r="G27754" s="5">
        <v>96.5</v>
      </c>
      <c r="H27754" s="5">
        <v>96.4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96.4</v>
      </c>
      <c r="D27755" s="5">
        <v>0.1</v>
      </c>
      <c r="E27755" s="5">
        <v>96.6</v>
      </c>
      <c r="F27755" s="5">
        <v>193.5</v>
      </c>
      <c r="G27755" s="5">
        <v>96.5</v>
      </c>
      <c r="H27755" s="5">
        <v>96.4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96.4</v>
      </c>
      <c r="D27756" s="5">
        <v>0.1</v>
      </c>
      <c r="E27756" s="5">
        <v>102.8</v>
      </c>
      <c r="F27756" s="5">
        <v>198.9</v>
      </c>
      <c r="G27756" s="5">
        <v>99.4</v>
      </c>
      <c r="H27756" s="5">
        <v>99.4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102.7</v>
      </c>
      <c r="D27757" s="5">
        <v>0.1</v>
      </c>
      <c r="E27757" s="5">
        <v>102.8</v>
      </c>
      <c r="F27757" s="5">
        <v>198.9</v>
      </c>
      <c r="G27757" s="5">
        <v>99.4</v>
      </c>
      <c r="H27757" s="5">
        <v>99.4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102.7</v>
      </c>
      <c r="D27758" s="5">
        <v>0.1</v>
      </c>
      <c r="E27758" s="5">
        <v>94.3</v>
      </c>
      <c r="F27758" s="5">
        <v>186.4</v>
      </c>
      <c r="G27758" s="5">
        <v>93.2</v>
      </c>
      <c r="H27758" s="5">
        <v>93.2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94.1</v>
      </c>
      <c r="D27759" s="5">
        <v>0.1</v>
      </c>
      <c r="E27759" s="5">
        <v>94.3</v>
      </c>
      <c r="F27759" s="5">
        <v>186.4</v>
      </c>
      <c r="G27759" s="5">
        <v>93.2</v>
      </c>
      <c r="H27759" s="5">
        <v>93.2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94.1</v>
      </c>
      <c r="D27760" s="5">
        <v>0.1</v>
      </c>
      <c r="E27760" s="5">
        <v>102.8</v>
      </c>
      <c r="F27760" s="5">
        <v>206</v>
      </c>
      <c r="G27760" s="5">
        <v>102.7</v>
      </c>
      <c r="H27760" s="5">
        <v>102.6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102.7</v>
      </c>
      <c r="D27761" s="5">
        <v>0.1</v>
      </c>
      <c r="E27761" s="5">
        <v>102.8</v>
      </c>
      <c r="F27761" s="5">
        <v>206</v>
      </c>
      <c r="G27761" s="5">
        <v>102.7</v>
      </c>
      <c r="H27761" s="5">
        <v>102.6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102.7</v>
      </c>
      <c r="D27762" s="5">
        <v>0.1</v>
      </c>
      <c r="E27762" s="5">
        <v>102.8</v>
      </c>
      <c r="F27762" s="5">
        <v>206</v>
      </c>
      <c r="G27762" s="5">
        <v>102.7</v>
      </c>
      <c r="H27762" s="5">
        <v>102.6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102.7</v>
      </c>
      <c r="D27763" s="5">
        <v>0.1</v>
      </c>
      <c r="E27763" s="5">
        <v>102.8</v>
      </c>
      <c r="F27763" s="5">
        <v>206</v>
      </c>
      <c r="G27763" s="5">
        <v>102.7</v>
      </c>
      <c r="H27763" s="5">
        <v>102.6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97.8</v>
      </c>
      <c r="D27764" s="5">
        <v>0.1</v>
      </c>
      <c r="E27764" s="5">
        <v>97.9</v>
      </c>
      <c r="F27764" s="5">
        <v>197.9</v>
      </c>
      <c r="G27764" s="5">
        <v>98.7</v>
      </c>
      <c r="H27764" s="5">
        <v>102.6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97.8</v>
      </c>
      <c r="D27765" s="5">
        <v>0.1</v>
      </c>
      <c r="E27765" s="5">
        <v>97.9</v>
      </c>
      <c r="F27765" s="5">
        <v>197.9</v>
      </c>
      <c r="G27765" s="5">
        <v>98.7</v>
      </c>
      <c r="H27765" s="5">
        <v>98.4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99.8</v>
      </c>
      <c r="D27766" s="5">
        <v>0.1</v>
      </c>
      <c r="E27766" s="5">
        <v>99.9</v>
      </c>
      <c r="F27766" s="5">
        <v>195.7</v>
      </c>
      <c r="G27766" s="5">
        <v>98.7</v>
      </c>
      <c r="H27766" s="5">
        <v>98.4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99.8</v>
      </c>
      <c r="D27767" s="5">
        <v>0.1</v>
      </c>
      <c r="E27767" s="5">
        <v>99.9</v>
      </c>
      <c r="F27767" s="5">
        <v>195.7</v>
      </c>
      <c r="G27767" s="5">
        <v>97.6</v>
      </c>
      <c r="H27767" s="5">
        <v>97.5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99.9</v>
      </c>
      <c r="D27768" s="5">
        <v>0.1</v>
      </c>
      <c r="E27768" s="5">
        <v>100</v>
      </c>
      <c r="F27768" s="5">
        <v>208.9</v>
      </c>
      <c r="G27768" s="5">
        <v>97.6</v>
      </c>
      <c r="H27768" s="5">
        <v>97.5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99.9</v>
      </c>
      <c r="D27769" s="5">
        <v>0.1</v>
      </c>
      <c r="E27769" s="5">
        <v>100</v>
      </c>
      <c r="F27769" s="5">
        <v>208.9</v>
      </c>
      <c r="G27769" s="5">
        <v>104.4</v>
      </c>
      <c r="H27769" s="5">
        <v>104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100.7</v>
      </c>
      <c r="D27770" s="5">
        <v>0.1</v>
      </c>
      <c r="E27770" s="5">
        <v>100</v>
      </c>
      <c r="F27770" s="5">
        <v>208.9</v>
      </c>
      <c r="G27770" s="5">
        <v>104.4</v>
      </c>
      <c r="H27770" s="5">
        <v>104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100.7</v>
      </c>
      <c r="D27771" s="5">
        <v>0.1</v>
      </c>
      <c r="E27771" s="5">
        <v>100.8</v>
      </c>
      <c r="F27771" s="5">
        <v>199.3</v>
      </c>
      <c r="G27771" s="5">
        <v>99.8</v>
      </c>
      <c r="H27771" s="5">
        <v>100.3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100.7</v>
      </c>
      <c r="D27772" s="5">
        <v>0.1</v>
      </c>
      <c r="E27772" s="5">
        <v>100.8</v>
      </c>
      <c r="F27772" s="5">
        <v>199.3</v>
      </c>
      <c r="G27772" s="5">
        <v>99.8</v>
      </c>
      <c r="H27772" s="5">
        <v>100.3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100.7</v>
      </c>
      <c r="D27773" s="5">
        <v>0.1</v>
      </c>
      <c r="E27773" s="5">
        <v>100.8</v>
      </c>
      <c r="F27773" s="5">
        <v>199.3</v>
      </c>
      <c r="G27773" s="5">
        <v>99.8</v>
      </c>
      <c r="H27773" s="5">
        <v>100.3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100.7</v>
      </c>
      <c r="D27774" s="5">
        <v>0.1</v>
      </c>
      <c r="E27774" s="5">
        <v>100.8</v>
      </c>
      <c r="F27774" s="5">
        <v>199.3</v>
      </c>
      <c r="G27774" s="5">
        <v>99.8</v>
      </c>
      <c r="H27774" s="5">
        <v>100.3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99.3</v>
      </c>
      <c r="D27775" s="5">
        <v>0.1</v>
      </c>
      <c r="E27775" s="5">
        <v>99.5</v>
      </c>
      <c r="F27775" s="5">
        <v>200</v>
      </c>
      <c r="G27775" s="5">
        <v>99.8</v>
      </c>
      <c r="H27775" s="5">
        <v>99.6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99.3</v>
      </c>
      <c r="D27776" s="5">
        <v>0.1</v>
      </c>
      <c r="E27776" s="5">
        <v>99.5</v>
      </c>
      <c r="F27776" s="5">
        <v>200</v>
      </c>
      <c r="G27776" s="5">
        <v>99.8</v>
      </c>
      <c r="H27776" s="5">
        <v>99.6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98.9</v>
      </c>
      <c r="D27777" s="5">
        <v>0.1</v>
      </c>
      <c r="E27777" s="5">
        <v>99</v>
      </c>
      <c r="F27777" s="5">
        <v>198.9</v>
      </c>
      <c r="G27777" s="5">
        <v>99.2</v>
      </c>
      <c r="H27777" s="5">
        <v>98.9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98.9</v>
      </c>
      <c r="D27778" s="5">
        <v>0.1</v>
      </c>
      <c r="E27778" s="5">
        <v>99</v>
      </c>
      <c r="F27778" s="5">
        <v>198.9</v>
      </c>
      <c r="G27778" s="5">
        <v>99.2</v>
      </c>
      <c r="H27778" s="5">
        <v>98.9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105</v>
      </c>
      <c r="D27779" s="5">
        <v>0.1</v>
      </c>
      <c r="E27779" s="5">
        <v>105.1</v>
      </c>
      <c r="F27779" s="5">
        <v>207.3</v>
      </c>
      <c r="G27779" s="5">
        <v>103.5</v>
      </c>
      <c r="H27779" s="5">
        <v>103.4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105</v>
      </c>
      <c r="D27780" s="5">
        <v>0.1</v>
      </c>
      <c r="E27780" s="5">
        <v>105.1</v>
      </c>
      <c r="F27780" s="5">
        <v>207.3</v>
      </c>
      <c r="G27780" s="5">
        <v>103.5</v>
      </c>
      <c r="H27780" s="5">
        <v>103.4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96.9</v>
      </c>
      <c r="D27781" s="5">
        <v>0.1</v>
      </c>
      <c r="E27781" s="5">
        <v>97</v>
      </c>
      <c r="F27781" s="5">
        <v>196.4</v>
      </c>
      <c r="G27781" s="5">
        <v>97.8</v>
      </c>
      <c r="H27781" s="5">
        <v>97.5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96.9</v>
      </c>
      <c r="D27782" s="5">
        <v>0.1</v>
      </c>
      <c r="E27782" s="5">
        <v>97</v>
      </c>
      <c r="F27782" s="5">
        <v>196.4</v>
      </c>
      <c r="G27782" s="5">
        <v>97.8</v>
      </c>
      <c r="H27782" s="5">
        <v>97.5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96.9</v>
      </c>
      <c r="D27783" s="5">
        <v>0.1</v>
      </c>
      <c r="E27783" s="5">
        <v>97</v>
      </c>
      <c r="F27783" s="5">
        <v>196.4</v>
      </c>
      <c r="G27783" s="5">
        <v>97.8</v>
      </c>
      <c r="H27783" s="5">
        <v>97.5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96.9</v>
      </c>
      <c r="D27784" s="5">
        <v>0.1</v>
      </c>
      <c r="E27784" s="5">
        <v>99.5</v>
      </c>
      <c r="F27784" s="5">
        <v>198.8</v>
      </c>
      <c r="G27784" s="5">
        <v>99.1</v>
      </c>
      <c r="H27784" s="5">
        <v>98.8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99.3</v>
      </c>
      <c r="D27785" s="5">
        <v>0.1</v>
      </c>
      <c r="E27785" s="5">
        <v>99.5</v>
      </c>
      <c r="F27785" s="5">
        <v>198.8</v>
      </c>
      <c r="G27785" s="5">
        <v>99.1</v>
      </c>
      <c r="H27785" s="5">
        <v>98.8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99.3</v>
      </c>
      <c r="D27786" s="5">
        <v>0.1</v>
      </c>
      <c r="E27786" s="5">
        <v>99.5</v>
      </c>
      <c r="F27786" s="5">
        <v>196.9</v>
      </c>
      <c r="G27786" s="5">
        <v>98.1</v>
      </c>
      <c r="H27786" s="5">
        <v>98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99.5</v>
      </c>
      <c r="D27787" s="5">
        <v>0.1</v>
      </c>
      <c r="E27787" s="5">
        <v>99.6</v>
      </c>
      <c r="F27787" s="5">
        <v>196.9</v>
      </c>
      <c r="G27787" s="5">
        <v>98.1</v>
      </c>
      <c r="H27787" s="5">
        <v>98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99.5</v>
      </c>
      <c r="D27788" s="5">
        <v>0.1</v>
      </c>
      <c r="E27788" s="5">
        <v>106.2</v>
      </c>
      <c r="F27788" s="5">
        <v>211.6</v>
      </c>
      <c r="G27788" s="5">
        <v>105.7</v>
      </c>
      <c r="H27788" s="5">
        <v>105.5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106.1</v>
      </c>
      <c r="D27789" s="5">
        <v>0.1</v>
      </c>
      <c r="E27789" s="5">
        <v>106.2</v>
      </c>
      <c r="F27789" s="5">
        <v>211.6</v>
      </c>
      <c r="G27789" s="5">
        <v>105.7</v>
      </c>
      <c r="H27789" s="5">
        <v>105.5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106.1</v>
      </c>
      <c r="D27790" s="5">
        <v>0.1</v>
      </c>
      <c r="E27790" s="5">
        <v>106.2</v>
      </c>
      <c r="F27790" s="5">
        <v>211.6</v>
      </c>
      <c r="G27790" s="5">
        <v>105</v>
      </c>
      <c r="H27790" s="5">
        <v>104.6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105.1</v>
      </c>
      <c r="D27791" s="5">
        <v>0.1</v>
      </c>
      <c r="E27791" s="5">
        <v>105.3</v>
      </c>
      <c r="F27791" s="5">
        <v>210.5</v>
      </c>
      <c r="G27791" s="5">
        <v>105</v>
      </c>
      <c r="H27791" s="5">
        <v>104.6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105.1</v>
      </c>
      <c r="D27792" s="5">
        <v>0.1</v>
      </c>
      <c r="E27792" s="5">
        <v>105.3</v>
      </c>
      <c r="F27792" s="5">
        <v>210.5</v>
      </c>
      <c r="G27792" s="5">
        <v>105</v>
      </c>
      <c r="H27792" s="5">
        <v>104.6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105.1</v>
      </c>
      <c r="D27793" s="5">
        <v>0.1</v>
      </c>
      <c r="E27793" s="5">
        <v>105.3</v>
      </c>
      <c r="F27793" s="5">
        <v>210.5</v>
      </c>
      <c r="G27793" s="5">
        <v>105</v>
      </c>
      <c r="H27793" s="5">
        <v>104.6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97.7</v>
      </c>
      <c r="D27794" s="5">
        <v>0.1</v>
      </c>
      <c r="E27794" s="5">
        <v>97.9</v>
      </c>
      <c r="F27794" s="5">
        <v>194.8</v>
      </c>
      <c r="G27794" s="5">
        <v>97.2</v>
      </c>
      <c r="H27794" s="5">
        <v>97.1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97.7</v>
      </c>
      <c r="D27795" s="5">
        <v>0.1</v>
      </c>
      <c r="E27795" s="5">
        <v>97.9</v>
      </c>
      <c r="F27795" s="5">
        <v>194.8</v>
      </c>
      <c r="G27795" s="5">
        <v>97.2</v>
      </c>
      <c r="H27795" s="5">
        <v>97.1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104.8</v>
      </c>
      <c r="D27796" s="5">
        <v>0.1</v>
      </c>
      <c r="E27796" s="5">
        <v>105</v>
      </c>
      <c r="F27796" s="5">
        <v>206.2</v>
      </c>
      <c r="G27796" s="5">
        <v>103</v>
      </c>
      <c r="H27796" s="5">
        <v>103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104.8</v>
      </c>
      <c r="D27797" s="5">
        <v>0.1</v>
      </c>
      <c r="E27797" s="5">
        <v>105</v>
      </c>
      <c r="F27797" s="5">
        <v>206.2</v>
      </c>
      <c r="G27797" s="5">
        <v>103</v>
      </c>
      <c r="H27797" s="5">
        <v>103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98.3</v>
      </c>
      <c r="D27798" s="5">
        <v>0.1</v>
      </c>
      <c r="E27798" s="5">
        <v>98.5</v>
      </c>
      <c r="F27798" s="5">
        <v>198.8</v>
      </c>
      <c r="G27798" s="5">
        <v>99.2</v>
      </c>
      <c r="H27798" s="5">
        <v>99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98.3</v>
      </c>
      <c r="D27799" s="5">
        <v>0.1</v>
      </c>
      <c r="E27799" s="5">
        <v>98.5</v>
      </c>
      <c r="F27799" s="5">
        <v>198.8</v>
      </c>
      <c r="G27799" s="5">
        <v>99.2</v>
      </c>
      <c r="H27799" s="5">
        <v>99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97.8</v>
      </c>
      <c r="D27800" s="5">
        <v>0.1</v>
      </c>
      <c r="E27800" s="5">
        <v>98</v>
      </c>
      <c r="F27800" s="5">
        <v>198.9</v>
      </c>
      <c r="G27800" s="5">
        <v>99.2</v>
      </c>
      <c r="H27800" s="5">
        <v>98.9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97.8</v>
      </c>
      <c r="D27801" s="5">
        <v>0.1</v>
      </c>
      <c r="E27801" s="5">
        <v>98</v>
      </c>
      <c r="F27801" s="5">
        <v>198.9</v>
      </c>
      <c r="G27801" s="5">
        <v>99.2</v>
      </c>
      <c r="H27801" s="5">
        <v>98.9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97.8</v>
      </c>
      <c r="D27802" s="5">
        <v>0.1</v>
      </c>
      <c r="E27802" s="5">
        <v>98</v>
      </c>
      <c r="F27802" s="5">
        <v>198.9</v>
      </c>
      <c r="G27802" s="5">
        <v>99.2</v>
      </c>
      <c r="H27802" s="5">
        <v>98.9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97.8</v>
      </c>
      <c r="D27803" s="5">
        <v>0.1</v>
      </c>
      <c r="E27803" s="5">
        <v>98</v>
      </c>
      <c r="F27803" s="5">
        <v>198.9</v>
      </c>
      <c r="G27803" s="5">
        <v>99.2</v>
      </c>
      <c r="H27803" s="5">
        <v>98.9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105.4</v>
      </c>
      <c r="D27804" s="5">
        <v>0.1</v>
      </c>
      <c r="E27804" s="5">
        <v>105.6</v>
      </c>
      <c r="F27804" s="5">
        <v>209.9</v>
      </c>
      <c r="G27804" s="5">
        <v>104.7</v>
      </c>
      <c r="H27804" s="5">
        <v>104.5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105.4</v>
      </c>
      <c r="D27805" s="5">
        <v>0.1</v>
      </c>
      <c r="E27805" s="5">
        <v>105.6</v>
      </c>
      <c r="F27805" s="5">
        <v>209.9</v>
      </c>
      <c r="G27805" s="5">
        <v>104.7</v>
      </c>
      <c r="H27805" s="5">
        <v>104.5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105.3</v>
      </c>
      <c r="D27806" s="5">
        <v>0.1</v>
      </c>
      <c r="E27806" s="5">
        <v>105.4</v>
      </c>
      <c r="F27806" s="5">
        <v>210</v>
      </c>
      <c r="G27806" s="5">
        <v>104.8</v>
      </c>
      <c r="H27806" s="5">
        <v>104.6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105.3</v>
      </c>
      <c r="D27807" s="5">
        <v>0.1</v>
      </c>
      <c r="E27807" s="5">
        <v>105.4</v>
      </c>
      <c r="F27807" s="5">
        <v>210</v>
      </c>
      <c r="G27807" s="5">
        <v>104.8</v>
      </c>
      <c r="H27807" s="5">
        <v>104.6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98.4</v>
      </c>
      <c r="D27808" s="5">
        <v>0.1</v>
      </c>
      <c r="E27808" s="5">
        <v>98.6</v>
      </c>
      <c r="F27808" s="5">
        <v>196.4</v>
      </c>
      <c r="G27808" s="5">
        <v>97.9</v>
      </c>
      <c r="H27808" s="5">
        <v>97.7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98.4</v>
      </c>
      <c r="D27809" s="5">
        <v>0.1</v>
      </c>
      <c r="E27809" s="5">
        <v>98.6</v>
      </c>
      <c r="F27809" s="5">
        <v>196.4</v>
      </c>
      <c r="G27809" s="5">
        <v>97.9</v>
      </c>
      <c r="H27809" s="5">
        <v>97.7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98.1</v>
      </c>
      <c r="D27810" s="5">
        <v>0.1</v>
      </c>
      <c r="E27810" s="5">
        <v>98.3</v>
      </c>
      <c r="F27810" s="5">
        <v>196.1</v>
      </c>
      <c r="G27810" s="5">
        <v>97.8</v>
      </c>
      <c r="H27810" s="5">
        <v>97.7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98.1</v>
      </c>
      <c r="D27811" s="5">
        <v>0.1</v>
      </c>
      <c r="E27811" s="5">
        <v>98.3</v>
      </c>
      <c r="F27811" s="5">
        <v>196.1</v>
      </c>
      <c r="G27811" s="5">
        <v>97.8</v>
      </c>
      <c r="H27811" s="5">
        <v>97.7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98.1</v>
      </c>
      <c r="D27812" s="5">
        <v>0.1</v>
      </c>
      <c r="E27812" s="5">
        <v>98.3</v>
      </c>
      <c r="F27812" s="5">
        <v>196.1</v>
      </c>
      <c r="G27812" s="5">
        <v>97.8</v>
      </c>
      <c r="H27812" s="5">
        <v>97.7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98.1</v>
      </c>
      <c r="D27813" s="5">
        <v>0.1</v>
      </c>
      <c r="E27813" s="5">
        <v>98.3</v>
      </c>
      <c r="F27813" s="5">
        <v>196.1</v>
      </c>
      <c r="G27813" s="5">
        <v>97.8</v>
      </c>
      <c r="H27813" s="5">
        <v>97.7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98.3</v>
      </c>
      <c r="D27814" s="5">
        <v>0.1</v>
      </c>
      <c r="E27814" s="5">
        <v>98.3</v>
      </c>
      <c r="F27814" s="5">
        <v>198.5</v>
      </c>
      <c r="G27814" s="5">
        <v>98.9</v>
      </c>
      <c r="H27814" s="5">
        <v>98.6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98.3</v>
      </c>
      <c r="D27815" s="5">
        <v>0.1</v>
      </c>
      <c r="E27815" s="5">
        <v>98.3</v>
      </c>
      <c r="F27815" s="5">
        <v>198.5</v>
      </c>
      <c r="G27815" s="5">
        <v>98.9</v>
      </c>
      <c r="H27815" s="5">
        <v>98.6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105</v>
      </c>
      <c r="D27816" s="5">
        <v>0.1</v>
      </c>
      <c r="E27816" s="5">
        <v>105</v>
      </c>
      <c r="F27816" s="5">
        <v>209.7</v>
      </c>
      <c r="G27816" s="5">
        <v>104.6</v>
      </c>
      <c r="H27816" s="5">
        <v>104.5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105</v>
      </c>
      <c r="D27817" s="5">
        <v>0.1</v>
      </c>
      <c r="E27817" s="5">
        <v>105</v>
      </c>
      <c r="F27817" s="5">
        <v>209.7</v>
      </c>
      <c r="G27817" s="5">
        <v>104.6</v>
      </c>
      <c r="H27817" s="5">
        <v>104.5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104.5</v>
      </c>
      <c r="D27818" s="5">
        <v>0.1</v>
      </c>
      <c r="E27818" s="5">
        <v>104.6</v>
      </c>
      <c r="F27818" s="5">
        <v>199.3</v>
      </c>
      <c r="G27818" s="5">
        <v>99.8</v>
      </c>
      <c r="H27818" s="5">
        <v>100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104.5</v>
      </c>
      <c r="D27819" s="5">
        <v>0.1</v>
      </c>
      <c r="E27819" s="5">
        <v>104.6</v>
      </c>
      <c r="F27819" s="5">
        <v>199.3</v>
      </c>
      <c r="G27819" s="5">
        <v>99.8</v>
      </c>
      <c r="H27819" s="5">
        <v>100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97.3</v>
      </c>
      <c r="D27820" s="5">
        <v>0.1</v>
      </c>
      <c r="E27820" s="5">
        <v>97.4</v>
      </c>
      <c r="F27820" s="5">
        <v>196.5</v>
      </c>
      <c r="G27820" s="5">
        <v>97.4</v>
      </c>
      <c r="H27820" s="5">
        <v>96.8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97.3</v>
      </c>
      <c r="D27821" s="5">
        <v>0.1</v>
      </c>
      <c r="E27821" s="5">
        <v>97.4</v>
      </c>
      <c r="F27821" s="5">
        <v>196.5</v>
      </c>
      <c r="G27821" s="5">
        <v>97.4</v>
      </c>
      <c r="H27821" s="5">
        <v>96.8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97.3</v>
      </c>
      <c r="D27822" s="5">
        <v>0.1</v>
      </c>
      <c r="E27822" s="5">
        <v>97.4</v>
      </c>
      <c r="F27822" s="5">
        <v>196.5</v>
      </c>
      <c r="G27822" s="5">
        <v>97.4</v>
      </c>
      <c r="H27822" s="5">
        <v>96.8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97.3</v>
      </c>
      <c r="D27823" s="5">
        <v>0.1</v>
      </c>
      <c r="E27823" s="5">
        <v>97.4</v>
      </c>
      <c r="F27823" s="5">
        <v>196.5</v>
      </c>
      <c r="G27823" s="5">
        <v>97.4</v>
      </c>
      <c r="H27823" s="5">
        <v>96.8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103.9</v>
      </c>
      <c r="D27824" s="5">
        <v>0.1</v>
      </c>
      <c r="E27824" s="5">
        <v>104</v>
      </c>
      <c r="F27824" s="5">
        <v>206.9</v>
      </c>
      <c r="G27824" s="5">
        <v>103.2</v>
      </c>
      <c r="H27824" s="5">
        <v>103.1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103.9</v>
      </c>
      <c r="D27825" s="5">
        <v>0.1</v>
      </c>
      <c r="E27825" s="5">
        <v>104</v>
      </c>
      <c r="F27825" s="5">
        <v>206.9</v>
      </c>
      <c r="G27825" s="5">
        <v>103.2</v>
      </c>
      <c r="H27825" s="5">
        <v>103.1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104.9</v>
      </c>
      <c r="D27826" s="5">
        <v>0.1</v>
      </c>
      <c r="E27826" s="5">
        <v>105</v>
      </c>
      <c r="F27826" s="5">
        <v>208.5</v>
      </c>
      <c r="G27826" s="5">
        <v>104</v>
      </c>
      <c r="H27826" s="5">
        <v>103.8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104.9</v>
      </c>
      <c r="D27827" s="5">
        <v>0.1</v>
      </c>
      <c r="E27827" s="5">
        <v>105</v>
      </c>
      <c r="F27827" s="5">
        <v>208.5</v>
      </c>
      <c r="G27827" s="5">
        <v>104</v>
      </c>
      <c r="H27827" s="5">
        <v>103.8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103.8</v>
      </c>
      <c r="D27828" s="5">
        <v>0.1</v>
      </c>
      <c r="E27828" s="5">
        <v>104</v>
      </c>
      <c r="F27828" s="5">
        <v>208</v>
      </c>
      <c r="G27828" s="5">
        <v>103.8</v>
      </c>
      <c r="H27828" s="5">
        <v>103.6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103.8</v>
      </c>
      <c r="D27829" s="5">
        <v>0.1</v>
      </c>
      <c r="E27829" s="5">
        <v>104</v>
      </c>
      <c r="F27829" s="5">
        <v>208</v>
      </c>
      <c r="G27829" s="5">
        <v>103.8</v>
      </c>
      <c r="H27829" s="5">
        <v>103.6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102.3</v>
      </c>
      <c r="D27830" s="5">
        <v>0.1</v>
      </c>
      <c r="E27830" s="5">
        <v>102.4</v>
      </c>
      <c r="F27830" s="5">
        <v>202.2</v>
      </c>
      <c r="G27830" s="5">
        <v>100.9</v>
      </c>
      <c r="H27830" s="5">
        <v>100.8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102.3</v>
      </c>
      <c r="D27831" s="5">
        <v>0.1</v>
      </c>
      <c r="E27831" s="5">
        <v>102.4</v>
      </c>
      <c r="F27831" s="5">
        <v>202.2</v>
      </c>
      <c r="G27831" s="5">
        <v>100.9</v>
      </c>
      <c r="H27831" s="5">
        <v>100.8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102.3</v>
      </c>
      <c r="D27832" s="5">
        <v>0.1</v>
      </c>
      <c r="E27832" s="5">
        <v>102.4</v>
      </c>
      <c r="F27832" s="5">
        <v>202.2</v>
      </c>
      <c r="G27832" s="5">
        <v>100.9</v>
      </c>
      <c r="H27832" s="5">
        <v>100.8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102.3</v>
      </c>
      <c r="D27833" s="5">
        <v>0.1</v>
      </c>
      <c r="E27833" s="5">
        <v>102.4</v>
      </c>
      <c r="F27833" s="5">
        <v>202.2</v>
      </c>
      <c r="G27833" s="5">
        <v>100.9</v>
      </c>
      <c r="H27833" s="5">
        <v>100.8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104.7</v>
      </c>
      <c r="D27834" s="5">
        <v>0.1</v>
      </c>
      <c r="E27834" s="5">
        <v>104.9</v>
      </c>
      <c r="F27834" s="5">
        <v>208.7</v>
      </c>
      <c r="G27834" s="5">
        <v>104.1</v>
      </c>
      <c r="H27834" s="5">
        <v>104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104.7</v>
      </c>
      <c r="D27835" s="5">
        <v>0.1</v>
      </c>
      <c r="E27835" s="5">
        <v>104.9</v>
      </c>
      <c r="F27835" s="5">
        <v>208.7</v>
      </c>
      <c r="G27835" s="5">
        <v>104.1</v>
      </c>
      <c r="H27835" s="5">
        <v>104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105</v>
      </c>
      <c r="D27836" s="5">
        <v>0.1</v>
      </c>
      <c r="E27836" s="5">
        <v>105.1</v>
      </c>
      <c r="F27836" s="5">
        <v>208</v>
      </c>
      <c r="G27836" s="5">
        <v>103.9</v>
      </c>
      <c r="H27836" s="5">
        <v>103.9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105</v>
      </c>
      <c r="D27837" s="5">
        <v>0.1</v>
      </c>
      <c r="E27837" s="5">
        <v>105.1</v>
      </c>
      <c r="F27837" s="5">
        <v>208</v>
      </c>
      <c r="G27837" s="5">
        <v>103.9</v>
      </c>
      <c r="H27837" s="5">
        <v>103.9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99.9</v>
      </c>
      <c r="D27838" s="5">
        <v>0.1</v>
      </c>
      <c r="E27838" s="5">
        <v>100.1</v>
      </c>
      <c r="F27838" s="5">
        <v>208.6</v>
      </c>
      <c r="G27838" s="5">
        <v>103.8</v>
      </c>
      <c r="H27838" s="5">
        <v>103.4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99.9</v>
      </c>
      <c r="D27839" s="5">
        <v>0.1</v>
      </c>
      <c r="E27839" s="5">
        <v>100.1</v>
      </c>
      <c r="F27839" s="5">
        <v>208.6</v>
      </c>
      <c r="G27839" s="5">
        <v>103.8</v>
      </c>
      <c r="H27839" s="5">
        <v>103.4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98.5</v>
      </c>
      <c r="D27840" s="5">
        <v>0.1</v>
      </c>
      <c r="E27840" s="5">
        <v>98.6</v>
      </c>
      <c r="F27840" s="5">
        <v>199.8</v>
      </c>
      <c r="G27840" s="5">
        <v>102.4</v>
      </c>
      <c r="H27840" s="5">
        <v>102.8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98.5</v>
      </c>
      <c r="D27841" s="5">
        <v>0.1</v>
      </c>
      <c r="E27841" s="5">
        <v>98.6</v>
      </c>
      <c r="F27841" s="5">
        <v>199.8</v>
      </c>
      <c r="G27841" s="5">
        <v>102.4</v>
      </c>
      <c r="H27841" s="5">
        <v>102.8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98.5</v>
      </c>
      <c r="D27842" s="5">
        <v>0.1</v>
      </c>
      <c r="E27842" s="5">
        <v>98.6</v>
      </c>
      <c r="F27842" s="5">
        <v>199.8</v>
      </c>
      <c r="G27842" s="5">
        <v>102.4</v>
      </c>
      <c r="H27842" s="5">
        <v>102.8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98.5</v>
      </c>
      <c r="D27843" s="5">
        <v>0.1</v>
      </c>
      <c r="E27843" s="5">
        <v>98.6</v>
      </c>
      <c r="F27843" s="5">
        <v>199.8</v>
      </c>
      <c r="G27843" s="5">
        <v>102.4</v>
      </c>
      <c r="H27843" s="5">
        <v>102.8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104.2</v>
      </c>
      <c r="D27844" s="5">
        <v>0.1</v>
      </c>
      <c r="E27844" s="5">
        <v>104.3</v>
      </c>
      <c r="F27844" s="5">
        <v>208.7</v>
      </c>
      <c r="G27844" s="5">
        <v>104.1</v>
      </c>
      <c r="H27844" s="5">
        <v>103.9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104.2</v>
      </c>
      <c r="D27845" s="5">
        <v>0.1</v>
      </c>
      <c r="E27845" s="5">
        <v>104.3</v>
      </c>
      <c r="F27845" s="5">
        <v>208.7</v>
      </c>
      <c r="G27845" s="5">
        <v>104.1</v>
      </c>
      <c r="H27845" s="5">
        <v>103.9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104.4</v>
      </c>
      <c r="D27846" s="5">
        <v>0.1</v>
      </c>
      <c r="E27846" s="5">
        <v>104.6</v>
      </c>
      <c r="F27846" s="5">
        <v>207.9</v>
      </c>
      <c r="G27846" s="5">
        <v>103.7</v>
      </c>
      <c r="H27846" s="5">
        <v>103.6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104.4</v>
      </c>
      <c r="D27847" s="5">
        <v>0.1</v>
      </c>
      <c r="E27847" s="5">
        <v>104.6</v>
      </c>
      <c r="F27847" s="5">
        <v>207.9</v>
      </c>
      <c r="G27847" s="5">
        <v>103.7</v>
      </c>
      <c r="H27847" s="5">
        <v>103.6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104.6</v>
      </c>
      <c r="D27848" s="5">
        <v>0.1</v>
      </c>
      <c r="E27848" s="5">
        <v>104.8</v>
      </c>
      <c r="F27848" s="5">
        <v>208.7</v>
      </c>
      <c r="G27848" s="5">
        <v>104.2</v>
      </c>
      <c r="H27848" s="5">
        <v>104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104.6</v>
      </c>
      <c r="D27849" s="5">
        <v>0.1</v>
      </c>
      <c r="E27849" s="5">
        <v>104.8</v>
      </c>
      <c r="F27849" s="5">
        <v>208.7</v>
      </c>
      <c r="G27849" s="5">
        <v>104.2</v>
      </c>
      <c r="H27849" s="5">
        <v>104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104.9</v>
      </c>
      <c r="D27850" s="5">
        <v>0.1</v>
      </c>
      <c r="E27850" s="5">
        <v>105</v>
      </c>
      <c r="F27850" s="5">
        <v>207.2</v>
      </c>
      <c r="G27850" s="5">
        <v>103.6</v>
      </c>
      <c r="H27850" s="5">
        <v>103.5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104.9</v>
      </c>
      <c r="D27851" s="5">
        <v>0.1</v>
      </c>
      <c r="E27851" s="5">
        <v>105</v>
      </c>
      <c r="F27851" s="5">
        <v>207.2</v>
      </c>
      <c r="G27851" s="5">
        <v>103.6</v>
      </c>
      <c r="H27851" s="5">
        <v>103.5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104.9</v>
      </c>
      <c r="D27852" s="5">
        <v>0.1</v>
      </c>
      <c r="E27852" s="5">
        <v>105</v>
      </c>
      <c r="F27852" s="5">
        <v>207.2</v>
      </c>
      <c r="G27852" s="5">
        <v>103.6</v>
      </c>
      <c r="H27852" s="5">
        <v>103.5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104.9</v>
      </c>
      <c r="D27853" s="5">
        <v>0.1</v>
      </c>
      <c r="E27853" s="5">
        <v>105</v>
      </c>
      <c r="F27853" s="5">
        <v>207.2</v>
      </c>
      <c r="G27853" s="5">
        <v>103.6</v>
      </c>
      <c r="H27853" s="5">
        <v>103.5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99.3</v>
      </c>
      <c r="D27854" s="5">
        <v>0.1</v>
      </c>
      <c r="E27854" s="5">
        <v>99.5</v>
      </c>
      <c r="F27854" s="5">
        <v>199.7</v>
      </c>
      <c r="G27854" s="5">
        <v>99.6</v>
      </c>
      <c r="H27854" s="5">
        <v>99.4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99.3</v>
      </c>
      <c r="D27855" s="5">
        <v>0.1</v>
      </c>
      <c r="E27855" s="5">
        <v>99.5</v>
      </c>
      <c r="F27855" s="5">
        <v>199.7</v>
      </c>
      <c r="G27855" s="5">
        <v>99.6</v>
      </c>
      <c r="H27855" s="5">
        <v>99.4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100.2</v>
      </c>
      <c r="D27856" s="5">
        <v>0.1</v>
      </c>
      <c r="E27856" s="5">
        <v>100.2</v>
      </c>
      <c r="F27856" s="5">
        <v>198.1</v>
      </c>
      <c r="G27856" s="5">
        <v>98.8</v>
      </c>
      <c r="H27856" s="5">
        <v>98.7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100.2</v>
      </c>
      <c r="D27857" s="5">
        <v>0.1</v>
      </c>
      <c r="E27857" s="5">
        <v>100.2</v>
      </c>
      <c r="F27857" s="5">
        <v>198.1</v>
      </c>
      <c r="G27857" s="5">
        <v>98.8</v>
      </c>
      <c r="H27857" s="5">
        <v>98.7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101.3</v>
      </c>
      <c r="D27858" s="5">
        <v>0.1</v>
      </c>
      <c r="E27858" s="5">
        <v>101.5</v>
      </c>
      <c r="F27858" s="5">
        <v>197.5</v>
      </c>
      <c r="G27858" s="5">
        <v>98.4</v>
      </c>
      <c r="H27858" s="5">
        <v>98.3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101.3</v>
      </c>
      <c r="D27859" s="5">
        <v>0.1</v>
      </c>
      <c r="E27859" s="5">
        <v>101.5</v>
      </c>
      <c r="F27859" s="5">
        <v>197.5</v>
      </c>
      <c r="G27859" s="5">
        <v>98.4</v>
      </c>
      <c r="H27859" s="5">
        <v>98.3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98.2</v>
      </c>
      <c r="D27860" s="5">
        <v>0.1</v>
      </c>
      <c r="E27860" s="5">
        <v>98.3</v>
      </c>
      <c r="F27860" s="5">
        <v>203.3</v>
      </c>
      <c r="G27860" s="5">
        <v>104.4</v>
      </c>
      <c r="H27860" s="5">
        <v>104.1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98.2</v>
      </c>
      <c r="D27861" s="5">
        <v>0.1</v>
      </c>
      <c r="E27861" s="5">
        <v>98.3</v>
      </c>
      <c r="F27861" s="5">
        <v>203.3</v>
      </c>
      <c r="G27861" s="5">
        <v>104.4</v>
      </c>
      <c r="H27861" s="5">
        <v>104.1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98.2</v>
      </c>
      <c r="D27862" s="5">
        <v>0.1</v>
      </c>
      <c r="E27862" s="5">
        <v>98.3</v>
      </c>
      <c r="F27862" s="5">
        <v>203.3</v>
      </c>
      <c r="G27862" s="5">
        <v>104.4</v>
      </c>
      <c r="H27862" s="5">
        <v>104.1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98.2</v>
      </c>
      <c r="D27863" s="5">
        <v>0.1</v>
      </c>
      <c r="E27863" s="5">
        <v>98.3</v>
      </c>
      <c r="F27863" s="5">
        <v>203.3</v>
      </c>
      <c r="G27863" s="5">
        <v>104.4</v>
      </c>
      <c r="H27863" s="5">
        <v>97.5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98.4</v>
      </c>
      <c r="D27864" s="5">
        <v>0.1</v>
      </c>
      <c r="E27864" s="5">
        <v>98.5</v>
      </c>
      <c r="F27864" s="5">
        <v>195.6</v>
      </c>
      <c r="G27864" s="5">
        <v>97.6</v>
      </c>
      <c r="H27864" s="5">
        <v>97.5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98.4</v>
      </c>
      <c r="D27865" s="5">
        <v>0.1</v>
      </c>
      <c r="E27865" s="5">
        <v>98.5</v>
      </c>
      <c r="F27865" s="5">
        <v>195.6</v>
      </c>
      <c r="G27865" s="5">
        <v>97.6</v>
      </c>
      <c r="H27865" s="5">
        <v>98.7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98.1</v>
      </c>
      <c r="D27866" s="5">
        <v>0.1</v>
      </c>
      <c r="E27866" s="5">
        <v>98.3</v>
      </c>
      <c r="F27866" s="5">
        <v>198.7</v>
      </c>
      <c r="G27866" s="5">
        <v>99</v>
      </c>
      <c r="H27866" s="5">
        <v>98.7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98.1</v>
      </c>
      <c r="D27867" s="5">
        <v>0.1</v>
      </c>
      <c r="E27867" s="5">
        <v>98.3</v>
      </c>
      <c r="F27867" s="5">
        <v>198.7</v>
      </c>
      <c r="G27867" s="5">
        <v>99</v>
      </c>
      <c r="H27867" s="5">
        <v>98.7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105</v>
      </c>
      <c r="D27868" s="5">
        <v>0.1</v>
      </c>
      <c r="E27868" s="5">
        <v>105.2</v>
      </c>
      <c r="F27868" s="5">
        <v>209.8</v>
      </c>
      <c r="G27868" s="5">
        <v>104.7</v>
      </c>
      <c r="H27868" s="5">
        <v>104.5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105</v>
      </c>
      <c r="D27869" s="5">
        <v>0.1</v>
      </c>
      <c r="E27869" s="5">
        <v>105.2</v>
      </c>
      <c r="F27869" s="5">
        <v>209.8</v>
      </c>
      <c r="G27869" s="5">
        <v>104.7</v>
      </c>
      <c r="H27869" s="5">
        <v>104.5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104.4</v>
      </c>
      <c r="D27870" s="5">
        <v>0.1</v>
      </c>
      <c r="E27870" s="5">
        <v>104.6</v>
      </c>
      <c r="F27870" s="5">
        <v>207.6</v>
      </c>
      <c r="G27870" s="5">
        <v>103.6</v>
      </c>
      <c r="H27870" s="5">
        <v>103.5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104.4</v>
      </c>
      <c r="D27871" s="5">
        <v>0.1</v>
      </c>
      <c r="E27871" s="5">
        <v>104.6</v>
      </c>
      <c r="F27871" s="5">
        <v>207.6</v>
      </c>
      <c r="G27871" s="5">
        <v>103.6</v>
      </c>
      <c r="H27871" s="5">
        <v>103.5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104.4</v>
      </c>
      <c r="D27872" s="5">
        <v>0.1</v>
      </c>
      <c r="E27872" s="5">
        <v>104.6</v>
      </c>
      <c r="F27872" s="5">
        <v>207.6</v>
      </c>
      <c r="G27872" s="5">
        <v>103.6</v>
      </c>
      <c r="H27872" s="5">
        <v>103.5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105.4</v>
      </c>
      <c r="D27873" s="5">
        <v>0.1</v>
      </c>
      <c r="E27873" s="5">
        <v>105.6</v>
      </c>
      <c r="F27873" s="5">
        <v>209</v>
      </c>
      <c r="G27873" s="5">
        <v>104.3</v>
      </c>
      <c r="H27873" s="5">
        <v>103.5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105.4</v>
      </c>
      <c r="D27874" s="5">
        <v>0.1</v>
      </c>
      <c r="E27874" s="5">
        <v>105.6</v>
      </c>
      <c r="F27874" s="5">
        <v>209</v>
      </c>
      <c r="G27874" s="5">
        <v>104.3</v>
      </c>
      <c r="H27874" s="5">
        <v>104.2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105.4</v>
      </c>
      <c r="D27875" s="5">
        <v>0.1</v>
      </c>
      <c r="E27875" s="5">
        <v>105.6</v>
      </c>
      <c r="F27875" s="5">
        <v>209</v>
      </c>
      <c r="G27875" s="5">
        <v>104.3</v>
      </c>
      <c r="H27875" s="5">
        <v>104.2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105.4</v>
      </c>
      <c r="D27876" s="5">
        <v>0.1</v>
      </c>
      <c r="E27876" s="5">
        <v>105.6</v>
      </c>
      <c r="F27876" s="5">
        <v>209</v>
      </c>
      <c r="G27876" s="5">
        <v>104.3</v>
      </c>
      <c r="H27876" s="5">
        <v>104.2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105.5</v>
      </c>
      <c r="D27877" s="5">
        <v>0.1</v>
      </c>
      <c r="E27877" s="5">
        <v>105.6</v>
      </c>
      <c r="F27877" s="5">
        <v>209</v>
      </c>
      <c r="G27877" s="5">
        <v>104.3</v>
      </c>
      <c r="H27877" s="5">
        <v>104.2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105.5</v>
      </c>
      <c r="D27878" s="5">
        <v>0.1</v>
      </c>
      <c r="E27878" s="5">
        <v>105.6</v>
      </c>
      <c r="F27878" s="5">
        <v>209</v>
      </c>
      <c r="G27878" s="5">
        <v>104.3</v>
      </c>
      <c r="H27878" s="5">
        <v>104.1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105.5</v>
      </c>
      <c r="D27879" s="5">
        <v>0.1</v>
      </c>
      <c r="E27879" s="5">
        <v>105.6</v>
      </c>
      <c r="F27879" s="5">
        <v>209</v>
      </c>
      <c r="G27879" s="5">
        <v>104.3</v>
      </c>
      <c r="H27879" s="5">
        <v>104.1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99.3</v>
      </c>
      <c r="D27880" s="5">
        <v>0.1</v>
      </c>
      <c r="E27880" s="5">
        <v>99.5</v>
      </c>
      <c r="F27880" s="5">
        <v>198.3</v>
      </c>
      <c r="G27880" s="5">
        <v>99.7</v>
      </c>
      <c r="H27880" s="5">
        <v>102.8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99.3</v>
      </c>
      <c r="D27881" s="5">
        <v>0.1</v>
      </c>
      <c r="E27881" s="5">
        <v>99.5</v>
      </c>
      <c r="F27881" s="5">
        <v>198.3</v>
      </c>
      <c r="G27881" s="5">
        <v>99.7</v>
      </c>
      <c r="H27881" s="5">
        <v>102.8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99.3</v>
      </c>
      <c r="D27882" s="5">
        <v>0.1</v>
      </c>
      <c r="E27882" s="5">
        <v>99.5</v>
      </c>
      <c r="F27882" s="5">
        <v>198.3</v>
      </c>
      <c r="G27882" s="5">
        <v>99.7</v>
      </c>
      <c r="H27882" s="5">
        <v>102.8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99.3</v>
      </c>
      <c r="D27883" s="5">
        <v>0.1</v>
      </c>
      <c r="E27883" s="5">
        <v>99.5</v>
      </c>
      <c r="F27883" s="5">
        <v>198.3</v>
      </c>
      <c r="G27883" s="5">
        <v>99.7</v>
      </c>
      <c r="H27883" s="5">
        <v>102.8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99.1</v>
      </c>
      <c r="D27884" s="5">
        <v>0.1</v>
      </c>
      <c r="E27884" s="5">
        <v>99.2</v>
      </c>
      <c r="F27884" s="5">
        <v>197.6</v>
      </c>
      <c r="G27884" s="5">
        <v>98.5</v>
      </c>
      <c r="H27884" s="5">
        <v>98.3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99.1</v>
      </c>
      <c r="D27885" s="5">
        <v>0.1</v>
      </c>
      <c r="E27885" s="5">
        <v>99.2</v>
      </c>
      <c r="F27885" s="5">
        <v>197.6</v>
      </c>
      <c r="G27885" s="5">
        <v>98.5</v>
      </c>
      <c r="H27885" s="5">
        <v>98.3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97.9</v>
      </c>
      <c r="D27886" s="5">
        <v>0.1</v>
      </c>
      <c r="E27886" s="5">
        <v>98</v>
      </c>
      <c r="F27886" s="5">
        <v>201.7</v>
      </c>
      <c r="G27886" s="5">
        <v>100.5</v>
      </c>
      <c r="H27886" s="5">
        <v>100.2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97.9</v>
      </c>
      <c r="D27887" s="5">
        <v>0.1</v>
      </c>
      <c r="E27887" s="5">
        <v>98</v>
      </c>
      <c r="F27887" s="5">
        <v>201.7</v>
      </c>
      <c r="G27887" s="5">
        <v>100.5</v>
      </c>
      <c r="H27887" s="5">
        <v>100.2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97.8</v>
      </c>
      <c r="D27888" s="5">
        <v>0.1</v>
      </c>
      <c r="E27888" s="5">
        <v>98</v>
      </c>
      <c r="F27888" s="5">
        <v>198.2</v>
      </c>
      <c r="G27888" s="5">
        <v>98.8</v>
      </c>
      <c r="H27888" s="5">
        <v>98.5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97.8</v>
      </c>
      <c r="D27889" s="5">
        <v>0.1</v>
      </c>
      <c r="E27889" s="5">
        <v>98</v>
      </c>
      <c r="F27889" s="5">
        <v>198.2</v>
      </c>
      <c r="G27889" s="5">
        <v>98.8</v>
      </c>
      <c r="H27889" s="5">
        <v>98.5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97.6</v>
      </c>
      <c r="D27890" s="5">
        <v>0.1</v>
      </c>
      <c r="E27890" s="5">
        <v>97.8</v>
      </c>
      <c r="F27890" s="5">
        <v>196.1</v>
      </c>
      <c r="G27890" s="5">
        <v>97.8</v>
      </c>
      <c r="H27890" s="5">
        <v>97.6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97.6</v>
      </c>
      <c r="D27891" s="5">
        <v>0.1</v>
      </c>
      <c r="E27891" s="5">
        <v>97.8</v>
      </c>
      <c r="F27891" s="5">
        <v>196.1</v>
      </c>
      <c r="G27891" s="5">
        <v>97.8</v>
      </c>
      <c r="H27891" s="5">
        <v>97.6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97.6</v>
      </c>
      <c r="D27892" s="5">
        <v>0.1</v>
      </c>
      <c r="E27892" s="5">
        <v>97.8</v>
      </c>
      <c r="F27892" s="5">
        <v>196.1</v>
      </c>
      <c r="G27892" s="5">
        <v>97.8</v>
      </c>
      <c r="H27892" s="5">
        <v>97.6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97.6</v>
      </c>
      <c r="D27893" s="5">
        <v>0.1</v>
      </c>
      <c r="E27893" s="5">
        <v>99.3</v>
      </c>
      <c r="F27893" s="5">
        <v>197.8</v>
      </c>
      <c r="G27893" s="5">
        <v>98.7</v>
      </c>
      <c r="H27893" s="5">
        <v>98.5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99.2</v>
      </c>
      <c r="D27894" s="5">
        <v>0.1</v>
      </c>
      <c r="E27894" s="5">
        <v>99.3</v>
      </c>
      <c r="F27894" s="5">
        <v>197.8</v>
      </c>
      <c r="G27894" s="5">
        <v>98.7</v>
      </c>
      <c r="H27894" s="5">
        <v>98.5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99.2</v>
      </c>
      <c r="D27895" s="5">
        <v>0.1</v>
      </c>
      <c r="E27895" s="5">
        <v>102.7</v>
      </c>
      <c r="F27895" s="5">
        <v>197.4</v>
      </c>
      <c r="G27895" s="5">
        <v>98.5</v>
      </c>
      <c r="H27895" s="5">
        <v>98.4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102.5</v>
      </c>
      <c r="D27896" s="5">
        <v>0.1</v>
      </c>
      <c r="E27896" s="5">
        <v>102.7</v>
      </c>
      <c r="F27896" s="5">
        <v>197.4</v>
      </c>
      <c r="G27896" s="5">
        <v>98.5</v>
      </c>
      <c r="H27896" s="5">
        <v>98.4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102.5</v>
      </c>
      <c r="D27897" s="5">
        <v>0.1</v>
      </c>
      <c r="E27897" s="5">
        <v>102.7</v>
      </c>
      <c r="F27897" s="5">
        <v>210.7</v>
      </c>
      <c r="G27897" s="5">
        <v>105.1</v>
      </c>
      <c r="H27897" s="5">
        <v>104.9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98.7</v>
      </c>
      <c r="D27898" s="5">
        <v>0.1</v>
      </c>
      <c r="E27898" s="5">
        <v>98.9</v>
      </c>
      <c r="F27898" s="5">
        <v>210.7</v>
      </c>
      <c r="G27898" s="5">
        <v>105.1</v>
      </c>
      <c r="H27898" s="5">
        <v>104.9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98.7</v>
      </c>
      <c r="D27899" s="5">
        <v>0.1</v>
      </c>
      <c r="E27899" s="5">
        <v>98.2</v>
      </c>
      <c r="F27899" s="5">
        <v>199.5</v>
      </c>
      <c r="G27899" s="5">
        <v>98.6</v>
      </c>
      <c r="H27899" s="5">
        <v>97.5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98</v>
      </c>
      <c r="D27900" s="5">
        <v>0.1</v>
      </c>
      <c r="E27900" s="5">
        <v>98.2</v>
      </c>
      <c r="F27900" s="5">
        <v>199.5</v>
      </c>
      <c r="G27900" s="5">
        <v>98.6</v>
      </c>
      <c r="H27900" s="5">
        <v>97.5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98</v>
      </c>
      <c r="D27901" s="5">
        <v>0.1</v>
      </c>
      <c r="E27901" s="5">
        <v>98.2</v>
      </c>
      <c r="F27901" s="5">
        <v>199.5</v>
      </c>
      <c r="G27901" s="5">
        <v>98.6</v>
      </c>
      <c r="H27901" s="5">
        <v>97.5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98</v>
      </c>
      <c r="D27902" s="5">
        <v>0.1</v>
      </c>
      <c r="E27902" s="5">
        <v>98.2</v>
      </c>
      <c r="F27902" s="5">
        <v>199.5</v>
      </c>
      <c r="G27902" s="5">
        <v>98.6</v>
      </c>
      <c r="H27902" s="5">
        <v>97.5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97.5</v>
      </c>
      <c r="D27903" s="5">
        <v>0.1</v>
      </c>
      <c r="E27903" s="5">
        <v>97.6</v>
      </c>
      <c r="F27903" s="5">
        <v>199.7</v>
      </c>
      <c r="G27903" s="5">
        <v>99.4</v>
      </c>
      <c r="H27903" s="5">
        <v>99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97.5</v>
      </c>
      <c r="D27904" s="5">
        <v>0.1</v>
      </c>
      <c r="E27904" s="5">
        <v>97.6</v>
      </c>
      <c r="F27904" s="5">
        <v>199.7</v>
      </c>
      <c r="G27904" s="5">
        <v>99.4</v>
      </c>
      <c r="H27904" s="5">
        <v>99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104.1</v>
      </c>
      <c r="D27905" s="5">
        <v>0.1</v>
      </c>
      <c r="E27905" s="5">
        <v>104.3</v>
      </c>
      <c r="F27905" s="5">
        <v>201.8</v>
      </c>
      <c r="G27905" s="5">
        <v>101</v>
      </c>
      <c r="H27905" s="5">
        <v>101.1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104.1</v>
      </c>
      <c r="D27906" s="5">
        <v>0.1</v>
      </c>
      <c r="E27906" s="5">
        <v>104.3</v>
      </c>
      <c r="F27906" s="5">
        <v>201.8</v>
      </c>
      <c r="G27906" s="5">
        <v>101</v>
      </c>
      <c r="H27906" s="5">
        <v>101.1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95.4</v>
      </c>
      <c r="D27907" s="5">
        <v>0.1</v>
      </c>
      <c r="E27907" s="5">
        <v>95.4</v>
      </c>
      <c r="F27907" s="5">
        <v>195.4</v>
      </c>
      <c r="G27907" s="5">
        <v>97.3</v>
      </c>
      <c r="H27907" s="5">
        <v>97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95.4</v>
      </c>
      <c r="D27908" s="5">
        <v>0.1</v>
      </c>
      <c r="E27908" s="5">
        <v>95.4</v>
      </c>
      <c r="F27908" s="5">
        <v>195.4</v>
      </c>
      <c r="G27908" s="5">
        <v>97.3</v>
      </c>
      <c r="H27908" s="5">
        <v>97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103.1</v>
      </c>
      <c r="D27909" s="5">
        <v>0.1</v>
      </c>
      <c r="E27909" s="5">
        <v>103.2</v>
      </c>
      <c r="F27909" s="5">
        <v>206.3</v>
      </c>
      <c r="G27909" s="5">
        <v>102.9</v>
      </c>
      <c r="H27909" s="5">
        <v>102.7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103.1</v>
      </c>
      <c r="D27910" s="5">
        <v>0.1</v>
      </c>
      <c r="E27910" s="5">
        <v>103.2</v>
      </c>
      <c r="F27910" s="5">
        <v>206.3</v>
      </c>
      <c r="G27910" s="5">
        <v>102.9</v>
      </c>
      <c r="H27910" s="5">
        <v>102.7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103.1</v>
      </c>
      <c r="D27911" s="5">
        <v>0.1</v>
      </c>
      <c r="E27911" s="5">
        <v>103.2</v>
      </c>
      <c r="F27911" s="5">
        <v>206.3</v>
      </c>
      <c r="G27911" s="5">
        <v>102.9</v>
      </c>
      <c r="H27911" s="5">
        <v>102.7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103.1</v>
      </c>
      <c r="D27912" s="5">
        <v>0.1</v>
      </c>
      <c r="E27912" s="5">
        <v>103.2</v>
      </c>
      <c r="F27912" s="5">
        <v>206.3</v>
      </c>
      <c r="G27912" s="5">
        <v>102.9</v>
      </c>
      <c r="H27912" s="5">
        <v>102.7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97.3</v>
      </c>
      <c r="D27913" s="5">
        <v>0.1</v>
      </c>
      <c r="E27913" s="5">
        <v>97.5</v>
      </c>
      <c r="F27913" s="5">
        <v>206.3</v>
      </c>
      <c r="G27913" s="5">
        <v>97.2</v>
      </c>
      <c r="H27913" s="5">
        <v>97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97.3</v>
      </c>
      <c r="D27914" s="5">
        <v>0.1</v>
      </c>
      <c r="E27914" s="5">
        <v>97.5</v>
      </c>
      <c r="F27914" s="5">
        <v>194.8</v>
      </c>
      <c r="G27914" s="5">
        <v>97.2</v>
      </c>
      <c r="H27914" s="5">
        <v>97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96.3</v>
      </c>
      <c r="D27915" s="5">
        <v>0.1</v>
      </c>
      <c r="E27915" s="5">
        <v>96.4</v>
      </c>
      <c r="F27915" s="5">
        <v>194.9</v>
      </c>
      <c r="G27915" s="5">
        <v>98.7</v>
      </c>
      <c r="H27915" s="5">
        <v>98.3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96.4</v>
      </c>
      <c r="D27916" s="5">
        <v>0.1</v>
      </c>
      <c r="E27916" s="5">
        <v>96.5</v>
      </c>
      <c r="F27916" s="5">
        <v>193</v>
      </c>
      <c r="G27916" s="5">
        <v>96.5</v>
      </c>
      <c r="H27916" s="5">
        <v>95.4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96.4</v>
      </c>
      <c r="D27917" s="5">
        <v>0.1</v>
      </c>
      <c r="E27917" s="5">
        <v>96.5</v>
      </c>
      <c r="F27917" s="5">
        <v>193</v>
      </c>
      <c r="G27917" s="5">
        <v>96.5</v>
      </c>
      <c r="H27917" s="5">
        <v>95.4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96.4</v>
      </c>
      <c r="D27918" s="5">
        <v>0.1</v>
      </c>
      <c r="E27918" s="5">
        <v>96.5</v>
      </c>
      <c r="F27918" s="5">
        <v>193</v>
      </c>
      <c r="G27918" s="5">
        <v>96.5</v>
      </c>
      <c r="H27918" s="5">
        <v>95.4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96.4</v>
      </c>
      <c r="D27919" s="5">
        <v>0.1</v>
      </c>
      <c r="E27919" s="5">
        <v>96.5</v>
      </c>
      <c r="F27919" s="5">
        <v>193</v>
      </c>
      <c r="G27919" s="5">
        <v>96.5</v>
      </c>
      <c r="H27919" s="5">
        <v>95.4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97.6</v>
      </c>
      <c r="D27920" s="5">
        <v>0.1</v>
      </c>
      <c r="E27920" s="5">
        <v>97.7</v>
      </c>
      <c r="F27920" s="5">
        <v>194.6</v>
      </c>
      <c r="G27920" s="5">
        <v>97.1</v>
      </c>
      <c r="H27920" s="5">
        <v>97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97.6</v>
      </c>
      <c r="D27921" s="5">
        <v>0.1</v>
      </c>
      <c r="E27921" s="5">
        <v>97.7</v>
      </c>
      <c r="F27921" s="5">
        <v>194.6</v>
      </c>
      <c r="G27921" s="5">
        <v>97.1</v>
      </c>
      <c r="H27921" s="5">
        <v>97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102.7</v>
      </c>
      <c r="D27922" s="5">
        <v>0.1</v>
      </c>
      <c r="E27922" s="5">
        <v>102.9</v>
      </c>
      <c r="F27922" s="5">
        <v>200.1</v>
      </c>
      <c r="G27922" s="5">
        <v>100.1</v>
      </c>
      <c r="H27922" s="5">
        <v>100.2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102.7</v>
      </c>
      <c r="D27923" s="5">
        <v>0.1</v>
      </c>
      <c r="E27923" s="5">
        <v>102.9</v>
      </c>
      <c r="F27923" s="5">
        <v>200.1</v>
      </c>
      <c r="G27923" s="5">
        <v>100.1</v>
      </c>
      <c r="H27923" s="5">
        <v>100.2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97.2</v>
      </c>
      <c r="D27924" s="5">
        <v>0.1</v>
      </c>
      <c r="E27924" s="5">
        <v>97.3</v>
      </c>
      <c r="F27924" s="5">
        <v>205.3</v>
      </c>
      <c r="G27924" s="5">
        <v>102.1</v>
      </c>
      <c r="H27924" s="5">
        <v>101.5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97.2</v>
      </c>
      <c r="D27925" s="5">
        <v>0.1</v>
      </c>
      <c r="E27925" s="5">
        <v>97.3</v>
      </c>
      <c r="F27925" s="5">
        <v>205.3</v>
      </c>
      <c r="G27925" s="5">
        <v>102.1</v>
      </c>
      <c r="H27925" s="5">
        <v>101.5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104.1</v>
      </c>
      <c r="D27926" s="5">
        <v>0.1</v>
      </c>
      <c r="E27926" s="5">
        <v>104.3</v>
      </c>
      <c r="F27926" s="5">
        <v>207.9</v>
      </c>
      <c r="G27926" s="5">
        <v>103.8</v>
      </c>
      <c r="H27926" s="5">
        <v>103.7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104.1</v>
      </c>
      <c r="D27927" s="5">
        <v>0.1</v>
      </c>
      <c r="E27927" s="5">
        <v>104.3</v>
      </c>
      <c r="F27927" s="5">
        <v>207.9</v>
      </c>
      <c r="G27927" s="5">
        <v>103.8</v>
      </c>
      <c r="H27927" s="5">
        <v>103.7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104.1</v>
      </c>
      <c r="D27928" s="5">
        <v>0.1</v>
      </c>
      <c r="E27928" s="5">
        <v>104.3</v>
      </c>
      <c r="F27928" s="5">
        <v>207.9</v>
      </c>
      <c r="G27928" s="5">
        <v>103.8</v>
      </c>
      <c r="H27928" s="5">
        <v>103.7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104.1</v>
      </c>
      <c r="D27929" s="5">
        <v>0.1</v>
      </c>
      <c r="E27929" s="5">
        <v>104.3</v>
      </c>
      <c r="F27929" s="5">
        <v>210.2</v>
      </c>
      <c r="G27929" s="5">
        <v>104.7</v>
      </c>
      <c r="H27929" s="5">
        <v>104.5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104.7</v>
      </c>
      <c r="D27930" s="5">
        <v>0.1</v>
      </c>
      <c r="E27930" s="5">
        <v>104.9</v>
      </c>
      <c r="F27930" s="5">
        <v>210.2</v>
      </c>
      <c r="G27930" s="5">
        <v>104.7</v>
      </c>
      <c r="H27930" s="5">
        <v>104.5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104.7</v>
      </c>
      <c r="D27931" s="5">
        <v>0.1</v>
      </c>
      <c r="E27931" s="5">
        <v>104.9</v>
      </c>
      <c r="F27931" s="5">
        <v>210.2</v>
      </c>
      <c r="G27931" s="5">
        <v>103.6</v>
      </c>
      <c r="H27931" s="5">
        <v>103.4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104.6</v>
      </c>
      <c r="D27932" s="5">
        <v>0.1</v>
      </c>
      <c r="E27932" s="5">
        <v>104.8</v>
      </c>
      <c r="F27932" s="5">
        <v>208.1</v>
      </c>
      <c r="G27932" s="5">
        <v>103.6</v>
      </c>
      <c r="H27932" s="5">
        <v>103.4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104.6</v>
      </c>
      <c r="D27933" s="5">
        <v>0.1</v>
      </c>
      <c r="E27933" s="5">
        <v>104.8</v>
      </c>
      <c r="F27933" s="5">
        <v>208.1</v>
      </c>
      <c r="G27933" s="5">
        <v>103.6</v>
      </c>
      <c r="H27933" s="5">
        <v>103.7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104.6</v>
      </c>
      <c r="D27934" s="5">
        <v>0.1</v>
      </c>
      <c r="E27934" s="5">
        <v>104.8</v>
      </c>
      <c r="F27934" s="5">
        <v>209.3</v>
      </c>
      <c r="G27934" s="5">
        <v>104.4</v>
      </c>
      <c r="H27934" s="5">
        <v>103.7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104.6</v>
      </c>
      <c r="D27935" s="5">
        <v>0.1</v>
      </c>
      <c r="E27935" s="5">
        <v>104.8</v>
      </c>
      <c r="F27935" s="5">
        <v>209.3</v>
      </c>
      <c r="G27935" s="5">
        <v>104.4</v>
      </c>
      <c r="H27935" s="5">
        <v>103.7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103.8</v>
      </c>
      <c r="D27936" s="5">
        <v>0.1</v>
      </c>
      <c r="E27936" s="5">
        <v>104</v>
      </c>
      <c r="F27936" s="5">
        <v>207.5</v>
      </c>
      <c r="G27936" s="5">
        <v>103.6</v>
      </c>
      <c r="H27936" s="5">
        <v>103.4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103.8</v>
      </c>
      <c r="D27937" s="5">
        <v>0.1</v>
      </c>
      <c r="E27937" s="5">
        <v>104</v>
      </c>
      <c r="F27937" s="5">
        <v>207.5</v>
      </c>
      <c r="G27937" s="5">
        <v>103.6</v>
      </c>
      <c r="H27937" s="5">
        <v>103.4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103.8</v>
      </c>
      <c r="D27938" s="5">
        <v>0.1</v>
      </c>
      <c r="E27938" s="5">
        <v>104</v>
      </c>
      <c r="F27938" s="5">
        <v>207.5</v>
      </c>
      <c r="G27938" s="5">
        <v>103.6</v>
      </c>
      <c r="H27938" s="5">
        <v>103.4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103.7</v>
      </c>
      <c r="D27939" s="5">
        <v>0.1</v>
      </c>
      <c r="E27939" s="5">
        <v>103.9</v>
      </c>
      <c r="F27939" s="5">
        <v>207</v>
      </c>
      <c r="G27939" s="5">
        <v>103.3</v>
      </c>
      <c r="H27939" s="5">
        <v>103.2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103.7</v>
      </c>
      <c r="D27940" s="5">
        <v>0.1</v>
      </c>
      <c r="E27940" s="5">
        <v>103.9</v>
      </c>
      <c r="F27940" s="5">
        <v>207</v>
      </c>
      <c r="G27940" s="5">
        <v>103.3</v>
      </c>
      <c r="H27940" s="5">
        <v>103.2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97.7</v>
      </c>
      <c r="D27941" s="5">
        <v>0.1</v>
      </c>
      <c r="E27941" s="5">
        <v>97.9</v>
      </c>
      <c r="F27941" s="5">
        <v>195.5</v>
      </c>
      <c r="G27941" s="5">
        <v>97.6</v>
      </c>
      <c r="H27941" s="5">
        <v>97.5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97.7</v>
      </c>
      <c r="D27942" s="5">
        <v>0.1</v>
      </c>
      <c r="E27942" s="5">
        <v>97.9</v>
      </c>
      <c r="F27942" s="5">
        <v>195.5</v>
      </c>
      <c r="G27942" s="5">
        <v>97.6</v>
      </c>
      <c r="H27942" s="5">
        <v>97.5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97.3</v>
      </c>
      <c r="D27943" s="5">
        <v>0.1</v>
      </c>
      <c r="E27943" s="5">
        <v>97.4</v>
      </c>
      <c r="F27943" s="5">
        <v>197.8</v>
      </c>
      <c r="G27943" s="5">
        <v>98.5</v>
      </c>
      <c r="H27943" s="5">
        <v>98.3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104.4</v>
      </c>
      <c r="D27944" s="5">
        <v>0.1</v>
      </c>
      <c r="E27944" s="5">
        <v>104.6</v>
      </c>
      <c r="F27944" s="5">
        <v>207.7</v>
      </c>
      <c r="G27944" s="5">
        <v>104</v>
      </c>
      <c r="H27944" s="5">
        <v>103.9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104.4</v>
      </c>
      <c r="D27945" s="5">
        <v>0.1</v>
      </c>
      <c r="E27945" s="5">
        <v>104.6</v>
      </c>
      <c r="F27945" s="5">
        <v>207.7</v>
      </c>
      <c r="G27945" s="5">
        <v>104</v>
      </c>
      <c r="H27945" s="5">
        <v>103.9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97.6</v>
      </c>
      <c r="D27946" s="5">
        <v>0.1</v>
      </c>
      <c r="E27946" s="5">
        <v>104.6</v>
      </c>
      <c r="F27946" s="5">
        <v>207.7</v>
      </c>
      <c r="G27946" s="5">
        <v>104</v>
      </c>
      <c r="H27946" s="5">
        <v>103.9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97.6</v>
      </c>
      <c r="D27947" s="5">
        <v>0.1</v>
      </c>
      <c r="E27947" s="5">
        <v>97.7</v>
      </c>
      <c r="F27947" s="5">
        <v>197.1</v>
      </c>
      <c r="G27947" s="5">
        <v>98.3</v>
      </c>
      <c r="H27947" s="5">
        <v>98.2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97.6</v>
      </c>
      <c r="D27948" s="5">
        <v>0.1</v>
      </c>
      <c r="E27948" s="5">
        <v>97.7</v>
      </c>
      <c r="F27948" s="5">
        <v>197.1</v>
      </c>
      <c r="G27948" s="5">
        <v>98.3</v>
      </c>
      <c r="H27948" s="5">
        <v>98.2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97.9</v>
      </c>
      <c r="D27949" s="5">
        <v>0.1</v>
      </c>
      <c r="E27949" s="5">
        <v>98</v>
      </c>
      <c r="F27949" s="5">
        <v>193.7</v>
      </c>
      <c r="G27949" s="5">
        <v>96.6</v>
      </c>
      <c r="H27949" s="5">
        <v>96.4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97.9</v>
      </c>
      <c r="D27950" s="5">
        <v>0.1</v>
      </c>
      <c r="E27950" s="5">
        <v>98</v>
      </c>
      <c r="F27950" s="5">
        <v>193.7</v>
      </c>
      <c r="G27950" s="5">
        <v>96.6</v>
      </c>
      <c r="H27950" s="5">
        <v>96.4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97.1</v>
      </c>
      <c r="D27951" s="5">
        <v>0.1</v>
      </c>
      <c r="E27951" s="5">
        <v>97.2</v>
      </c>
      <c r="F27951" s="5">
        <v>195.1</v>
      </c>
      <c r="G27951" s="5">
        <v>97.3</v>
      </c>
      <c r="H27951" s="5">
        <v>97.2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97.1</v>
      </c>
      <c r="D27952" s="5">
        <v>0.1</v>
      </c>
      <c r="E27952" s="5">
        <v>97.2</v>
      </c>
      <c r="F27952" s="5">
        <v>195.1</v>
      </c>
      <c r="G27952" s="5">
        <v>97.3</v>
      </c>
      <c r="H27952" s="5">
        <v>97.2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101.1</v>
      </c>
      <c r="D27953" s="5">
        <v>0.1</v>
      </c>
      <c r="E27953" s="5">
        <v>101.3</v>
      </c>
      <c r="F27953" s="5">
        <v>196.3</v>
      </c>
      <c r="G27953" s="5">
        <v>97.8</v>
      </c>
      <c r="H27953" s="5">
        <v>97.6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101.1</v>
      </c>
      <c r="D27954" s="5">
        <v>0.1</v>
      </c>
      <c r="E27954" s="5">
        <v>101.3</v>
      </c>
      <c r="F27954" s="5">
        <v>196.3</v>
      </c>
      <c r="G27954" s="5">
        <v>97.8</v>
      </c>
      <c r="H27954" s="5">
        <v>97.6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101.1</v>
      </c>
      <c r="D27955" s="5">
        <v>0.1</v>
      </c>
      <c r="E27955" s="5">
        <v>101.3</v>
      </c>
      <c r="F27955" s="5">
        <v>196.3</v>
      </c>
      <c r="G27955" s="5">
        <v>97.8</v>
      </c>
      <c r="H27955" s="5">
        <v>97.6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101.1</v>
      </c>
      <c r="D27956" s="5">
        <v>0.1</v>
      </c>
      <c r="E27956" s="5">
        <v>101.3</v>
      </c>
      <c r="F27956" s="5">
        <v>196.3</v>
      </c>
      <c r="G27956" s="5">
        <v>97.8</v>
      </c>
      <c r="H27956" s="5">
        <v>97.6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98.9</v>
      </c>
      <c r="D27957" s="5">
        <v>0.1</v>
      </c>
      <c r="E27957" s="5">
        <v>99.1</v>
      </c>
      <c r="F27957" s="5">
        <v>195.2</v>
      </c>
      <c r="G27957" s="5">
        <v>97.6</v>
      </c>
      <c r="H27957" s="5">
        <v>97.7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98.9</v>
      </c>
      <c r="D27958" s="5">
        <v>0.1</v>
      </c>
      <c r="E27958" s="5">
        <v>99.1</v>
      </c>
      <c r="F27958" s="5">
        <v>195.2</v>
      </c>
      <c r="G27958" s="5">
        <v>97.6</v>
      </c>
      <c r="H27958" s="5">
        <v>97.7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98.9</v>
      </c>
      <c r="D27959" s="5">
        <v>0.1</v>
      </c>
      <c r="E27959" s="5">
        <v>99</v>
      </c>
      <c r="F27959" s="5">
        <v>195</v>
      </c>
      <c r="G27959" s="5">
        <v>97.4</v>
      </c>
      <c r="H27959" s="5">
        <v>97.4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98.9</v>
      </c>
      <c r="D27960" s="5">
        <v>0.1</v>
      </c>
      <c r="E27960" s="5">
        <v>99</v>
      </c>
      <c r="F27960" s="5">
        <v>195</v>
      </c>
      <c r="G27960" s="5">
        <v>97.4</v>
      </c>
      <c r="H27960" s="5">
        <v>97.4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97</v>
      </c>
      <c r="D27961" s="5">
        <v>0.1</v>
      </c>
      <c r="E27961" s="5">
        <v>97.2</v>
      </c>
      <c r="F27961" s="5">
        <v>203.3</v>
      </c>
      <c r="G27961" s="5">
        <v>101.2</v>
      </c>
      <c r="H27961" s="5">
        <v>100.8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97</v>
      </c>
      <c r="D27962" s="5">
        <v>0.1</v>
      </c>
      <c r="E27962" s="5">
        <v>97.2</v>
      </c>
      <c r="F27962" s="5">
        <v>203.3</v>
      </c>
      <c r="G27962" s="5">
        <v>101.2</v>
      </c>
      <c r="H27962" s="5">
        <v>100.8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96</v>
      </c>
      <c r="D27963" s="5">
        <v>0.1</v>
      </c>
      <c r="E27963" s="5">
        <v>96.2</v>
      </c>
      <c r="F27963" s="5">
        <v>194.3</v>
      </c>
      <c r="G27963" s="5">
        <v>96.7</v>
      </c>
      <c r="H27963" s="5">
        <v>96.4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96</v>
      </c>
      <c r="D27964" s="5">
        <v>0.1</v>
      </c>
      <c r="E27964" s="5">
        <v>96.2</v>
      </c>
      <c r="F27964" s="5">
        <v>194.3</v>
      </c>
      <c r="G27964" s="5">
        <v>96.7</v>
      </c>
      <c r="H27964" s="5">
        <v>96.4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96</v>
      </c>
      <c r="D27965" s="5">
        <v>0.1</v>
      </c>
      <c r="E27965" s="5">
        <v>96.2</v>
      </c>
      <c r="F27965" s="5">
        <v>194.3</v>
      </c>
      <c r="G27965" s="5">
        <v>96.7</v>
      </c>
      <c r="H27965" s="5">
        <v>96.4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103.1</v>
      </c>
      <c r="D27966" s="5">
        <v>0.1</v>
      </c>
      <c r="E27966" s="5">
        <v>103.3</v>
      </c>
      <c r="F27966" s="5">
        <v>206.1</v>
      </c>
      <c r="G27966" s="5">
        <v>102.8</v>
      </c>
      <c r="H27966" s="5">
        <v>102.6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102.7</v>
      </c>
      <c r="D27967" s="5">
        <v>0.1</v>
      </c>
      <c r="E27967" s="5">
        <v>102.8</v>
      </c>
      <c r="F27967" s="5">
        <v>205.5</v>
      </c>
      <c r="G27967" s="5">
        <v>102.5</v>
      </c>
      <c r="H27967" s="5">
        <v>102.3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102.7</v>
      </c>
      <c r="D27968" s="5">
        <v>0.1</v>
      </c>
      <c r="E27968" s="5">
        <v>102.8</v>
      </c>
      <c r="F27968" s="5">
        <v>205.5</v>
      </c>
      <c r="G27968" s="5">
        <v>102.5</v>
      </c>
      <c r="H27968" s="5">
        <v>102.3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98.2</v>
      </c>
      <c r="D27969" s="5">
        <v>0.1</v>
      </c>
      <c r="E27969" s="5">
        <v>98.3</v>
      </c>
      <c r="F27969" s="5">
        <v>195.6</v>
      </c>
      <c r="G27969" s="5">
        <v>97.6</v>
      </c>
      <c r="H27969" s="5">
        <v>97.5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98.2</v>
      </c>
      <c r="D27970" s="5">
        <v>0.1</v>
      </c>
      <c r="E27970" s="5">
        <v>98.3</v>
      </c>
      <c r="F27970" s="5">
        <v>195.6</v>
      </c>
      <c r="G27970" s="5">
        <v>97.6</v>
      </c>
      <c r="H27970" s="5">
        <v>97.5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102.5</v>
      </c>
      <c r="D27971" s="5">
        <v>0.1</v>
      </c>
      <c r="E27971" s="5">
        <v>102.7</v>
      </c>
      <c r="F27971" s="5">
        <v>197.6</v>
      </c>
      <c r="G27971" s="5">
        <v>98.9</v>
      </c>
      <c r="H27971" s="5">
        <v>99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102.5</v>
      </c>
      <c r="D27972" s="5">
        <v>0.1</v>
      </c>
      <c r="E27972" s="5">
        <v>102.7</v>
      </c>
      <c r="F27972" s="5">
        <v>197.6</v>
      </c>
      <c r="G27972" s="5">
        <v>98.9</v>
      </c>
      <c r="H27972" s="5">
        <v>99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102.5</v>
      </c>
      <c r="D27973" s="5">
        <v>0.1</v>
      </c>
      <c r="E27973" s="5">
        <v>102.7</v>
      </c>
      <c r="F27973" s="5">
        <v>197.6</v>
      </c>
      <c r="G27973" s="5">
        <v>98.9</v>
      </c>
      <c r="H27973" s="5">
        <v>99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102.5</v>
      </c>
      <c r="D27974" s="5">
        <v>0.1</v>
      </c>
      <c r="E27974" s="5">
        <v>102.7</v>
      </c>
      <c r="F27974" s="5">
        <v>197.6</v>
      </c>
      <c r="G27974" s="5">
        <v>98.9</v>
      </c>
      <c r="H27974" s="5">
        <v>99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102.7</v>
      </c>
      <c r="D27975" s="5">
        <v>0.1</v>
      </c>
      <c r="E27975" s="5">
        <v>102.8</v>
      </c>
      <c r="F27975" s="5">
        <v>202.4</v>
      </c>
      <c r="G27975" s="5">
        <v>101.1</v>
      </c>
      <c r="H27975" s="5">
        <v>101.1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102.7</v>
      </c>
      <c r="D27976" s="5">
        <v>0.1</v>
      </c>
      <c r="E27976" s="5">
        <v>102.8</v>
      </c>
      <c r="F27976" s="5">
        <v>202.4</v>
      </c>
      <c r="G27976" s="5">
        <v>101.1</v>
      </c>
      <c r="H27976" s="5">
        <v>101.1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98.9</v>
      </c>
      <c r="D27977" s="5">
        <v>0.1</v>
      </c>
      <c r="E27977" s="5">
        <v>99</v>
      </c>
      <c r="F27977" s="5">
        <v>209</v>
      </c>
      <c r="G27977" s="5">
        <v>104.3</v>
      </c>
      <c r="H27977" s="5">
        <v>104.2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98.9</v>
      </c>
      <c r="D27978" s="5">
        <v>0.1</v>
      </c>
      <c r="E27978" s="5">
        <v>99</v>
      </c>
      <c r="F27978" s="5">
        <v>209</v>
      </c>
      <c r="G27978" s="5">
        <v>104.3</v>
      </c>
      <c r="H27978" s="5">
        <v>104.2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105</v>
      </c>
      <c r="D27979" s="5">
        <v>0.1</v>
      </c>
      <c r="E27979" s="5">
        <v>105.1</v>
      </c>
      <c r="F27979" s="5">
        <v>206.1</v>
      </c>
      <c r="G27979" s="5">
        <v>102.9</v>
      </c>
      <c r="H27979" s="5">
        <v>102.9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105</v>
      </c>
      <c r="D27980" s="5">
        <v>0.1</v>
      </c>
      <c r="E27980" s="5">
        <v>105.1</v>
      </c>
      <c r="F27980" s="5">
        <v>206.1</v>
      </c>
      <c r="G27980" s="5">
        <v>102.9</v>
      </c>
      <c r="H27980" s="5">
        <v>102.9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97.7</v>
      </c>
      <c r="D27981" s="5">
        <v>0.1</v>
      </c>
      <c r="E27981" s="5">
        <v>97.9</v>
      </c>
      <c r="F27981" s="5">
        <v>197.9</v>
      </c>
      <c r="G27981" s="5">
        <v>98.7</v>
      </c>
      <c r="H27981" s="5">
        <v>98.5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97.7</v>
      </c>
      <c r="D27982" s="5">
        <v>0.1</v>
      </c>
      <c r="E27982" s="5">
        <v>97.9</v>
      </c>
      <c r="F27982" s="5">
        <v>197.9</v>
      </c>
      <c r="G27982" s="5">
        <v>98.7</v>
      </c>
      <c r="H27982" s="5">
        <v>98.5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97.7</v>
      </c>
      <c r="D27983" s="5">
        <v>0.1</v>
      </c>
      <c r="E27983" s="5">
        <v>97.9</v>
      </c>
      <c r="F27983" s="5">
        <v>197.9</v>
      </c>
      <c r="G27983" s="5">
        <v>98.7</v>
      </c>
      <c r="H27983" s="5">
        <v>98.5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97.7</v>
      </c>
      <c r="D27984" s="5">
        <v>0.1</v>
      </c>
      <c r="E27984" s="5">
        <v>97.9</v>
      </c>
      <c r="F27984" s="5">
        <v>197.9</v>
      </c>
      <c r="G27984" s="5">
        <v>98.7</v>
      </c>
      <c r="H27984" s="5">
        <v>98.5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96.5</v>
      </c>
      <c r="D27985" s="5">
        <v>0.1</v>
      </c>
      <c r="E27985" s="5">
        <v>96.7</v>
      </c>
      <c r="F27985" s="5">
        <v>194</v>
      </c>
      <c r="G27985" s="5">
        <v>96.8</v>
      </c>
      <c r="H27985" s="5">
        <v>96.7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96.5</v>
      </c>
      <c r="D27986" s="5">
        <v>0.1</v>
      </c>
      <c r="E27986" s="5">
        <v>96.7</v>
      </c>
      <c r="F27986" s="5">
        <v>194</v>
      </c>
      <c r="G27986" s="5">
        <v>96.8</v>
      </c>
      <c r="H27986" s="5">
        <v>96.7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97.6</v>
      </c>
      <c r="D27987" s="5">
        <v>0.1</v>
      </c>
      <c r="E27987" s="5">
        <v>97.7</v>
      </c>
      <c r="F27987" s="5">
        <v>202.2</v>
      </c>
      <c r="G27987" s="5">
        <v>100.6</v>
      </c>
      <c r="H27987" s="5">
        <v>100.3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97.6</v>
      </c>
      <c r="D27988" s="5">
        <v>0.1</v>
      </c>
      <c r="E27988" s="5">
        <v>97.7</v>
      </c>
      <c r="F27988" s="5">
        <v>202.2</v>
      </c>
      <c r="G27988" s="5">
        <v>100.6</v>
      </c>
      <c r="H27988" s="5">
        <v>100.3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98.6</v>
      </c>
      <c r="D27989" s="5">
        <v>0.1</v>
      </c>
      <c r="E27989" s="5">
        <v>98.7</v>
      </c>
      <c r="F27989" s="5">
        <v>198</v>
      </c>
      <c r="G27989" s="5">
        <v>98.7</v>
      </c>
      <c r="H27989" s="5">
        <v>98.6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98.6</v>
      </c>
      <c r="D27990" s="5">
        <v>0.1</v>
      </c>
      <c r="E27990" s="5">
        <v>98.7</v>
      </c>
      <c r="F27990" s="5">
        <v>198</v>
      </c>
      <c r="G27990" s="5">
        <v>98.7</v>
      </c>
      <c r="H27990" s="5">
        <v>98.6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98.9</v>
      </c>
      <c r="D27991" s="5">
        <v>0.1</v>
      </c>
      <c r="E27991" s="5">
        <v>98.9</v>
      </c>
      <c r="F27991" s="5">
        <v>193.4</v>
      </c>
      <c r="G27991" s="5">
        <v>96.5</v>
      </c>
      <c r="H27991" s="5">
        <v>96.5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98.9</v>
      </c>
      <c r="D27992" s="5">
        <v>0.1</v>
      </c>
      <c r="E27992" s="5">
        <v>98.9</v>
      </c>
      <c r="F27992" s="5">
        <v>193.4</v>
      </c>
      <c r="G27992" s="5">
        <v>96.5</v>
      </c>
      <c r="H27992" s="5">
        <v>96.5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98.9</v>
      </c>
      <c r="D27993" s="5">
        <v>0.1</v>
      </c>
      <c r="E27993" s="5">
        <v>98.9</v>
      </c>
      <c r="F27993" s="5">
        <v>193.4</v>
      </c>
      <c r="G27993" s="5">
        <v>96.5</v>
      </c>
      <c r="H27993" s="5">
        <v>96.5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96.7</v>
      </c>
      <c r="D27994" s="5">
        <v>0.1</v>
      </c>
      <c r="E27994" s="5">
        <v>96.8</v>
      </c>
      <c r="F27994" s="5">
        <v>193.1</v>
      </c>
      <c r="G27994" s="5">
        <v>96.5</v>
      </c>
      <c r="H27994" s="5">
        <v>96.5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103.7</v>
      </c>
      <c r="D27995" s="5">
        <v>0.1</v>
      </c>
      <c r="E27995" s="5">
        <v>103.8</v>
      </c>
      <c r="F27995" s="5">
        <v>206.6</v>
      </c>
      <c r="G27995" s="5">
        <v>103</v>
      </c>
      <c r="H27995" s="5">
        <v>102.9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103.7</v>
      </c>
      <c r="D27996" s="5">
        <v>0.1</v>
      </c>
      <c r="E27996" s="5">
        <v>103.8</v>
      </c>
      <c r="F27996" s="5">
        <v>206.6</v>
      </c>
      <c r="G27996" s="5">
        <v>103</v>
      </c>
      <c r="H27996" s="5">
        <v>102.9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103.7</v>
      </c>
      <c r="D27997" s="5">
        <v>0.1</v>
      </c>
      <c r="E27997" s="5">
        <v>103.8</v>
      </c>
      <c r="F27997" s="5">
        <v>206.6</v>
      </c>
      <c r="G27997" s="5">
        <v>103</v>
      </c>
      <c r="H27997" s="5">
        <v>102.9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103.7</v>
      </c>
      <c r="D27998" s="5">
        <v>0.1</v>
      </c>
      <c r="E27998" s="5">
        <v>103.8</v>
      </c>
      <c r="F27998" s="5">
        <v>206.6</v>
      </c>
      <c r="G27998" s="5">
        <v>103</v>
      </c>
      <c r="H27998" s="5">
        <v>102.9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103.7</v>
      </c>
      <c r="D27999" s="5">
        <v>0.1</v>
      </c>
      <c r="E27999" s="5">
        <v>103.8</v>
      </c>
      <c r="F27999" s="5">
        <v>207.1</v>
      </c>
      <c r="G27999" s="5">
        <v>103.3</v>
      </c>
      <c r="H27999" s="5">
        <v>103.2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103.7</v>
      </c>
      <c r="D28000" s="5">
        <v>0.1</v>
      </c>
      <c r="E28000" s="5">
        <v>103.8</v>
      </c>
      <c r="F28000" s="5">
        <v>207.1</v>
      </c>
      <c r="G28000" s="5">
        <v>103.3</v>
      </c>
      <c r="H28000" s="5">
        <v>103.2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103.4</v>
      </c>
      <c r="D28001" s="5">
        <v>0.1</v>
      </c>
      <c r="E28001" s="5">
        <v>103.5</v>
      </c>
      <c r="F28001" s="5">
        <v>206.3</v>
      </c>
      <c r="G28001" s="5">
        <v>102.9</v>
      </c>
      <c r="H28001" s="5">
        <v>102.8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103.4</v>
      </c>
      <c r="D28002" s="5">
        <v>0.1</v>
      </c>
      <c r="E28002" s="5">
        <v>103.5</v>
      </c>
      <c r="F28002" s="5">
        <v>206.3</v>
      </c>
      <c r="G28002" s="5">
        <v>102.9</v>
      </c>
      <c r="H28002" s="5">
        <v>102.8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103.4</v>
      </c>
      <c r="D28003" s="5">
        <v>0.1</v>
      </c>
      <c r="E28003" s="5">
        <v>103.5</v>
      </c>
      <c r="F28003" s="5">
        <v>206.3</v>
      </c>
      <c r="G28003" s="5">
        <v>102.9</v>
      </c>
      <c r="H28003" s="5">
        <v>102.7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103.4</v>
      </c>
      <c r="D28004" s="5">
        <v>0.1</v>
      </c>
      <c r="E28004" s="5">
        <v>103.5</v>
      </c>
      <c r="F28004" s="5">
        <v>206.3</v>
      </c>
      <c r="G28004" s="5">
        <v>102.9</v>
      </c>
      <c r="H28004" s="5">
        <v>102.7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103.7</v>
      </c>
      <c r="D28005" s="5">
        <v>0.1</v>
      </c>
      <c r="E28005" s="5">
        <v>103.8</v>
      </c>
      <c r="F28005" s="5">
        <v>206.8</v>
      </c>
      <c r="G28005" s="5">
        <v>103.2</v>
      </c>
      <c r="H28005" s="5">
        <v>103.1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103.7</v>
      </c>
      <c r="D28006" s="5">
        <v>0.1</v>
      </c>
      <c r="E28006" s="5">
        <v>103.8</v>
      </c>
      <c r="F28006" s="5">
        <v>206.8</v>
      </c>
      <c r="G28006" s="5">
        <v>103.2</v>
      </c>
      <c r="H28006" s="5">
        <v>103.1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103.7</v>
      </c>
      <c r="D28007" s="5">
        <v>0.1</v>
      </c>
      <c r="E28007" s="5">
        <v>103.8</v>
      </c>
      <c r="F28007" s="5">
        <v>206.8</v>
      </c>
      <c r="G28007" s="5">
        <v>103.2</v>
      </c>
      <c r="H28007" s="5">
        <v>103.1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103.7</v>
      </c>
      <c r="D28008" s="5">
        <v>0.1</v>
      </c>
      <c r="E28008" s="5">
        <v>103.8</v>
      </c>
      <c r="F28008" s="5">
        <v>206.8</v>
      </c>
      <c r="G28008" s="5">
        <v>103.2</v>
      </c>
      <c r="H28008" s="5">
        <v>103.1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103.7</v>
      </c>
      <c r="D28009" s="5">
        <v>0.1</v>
      </c>
      <c r="E28009" s="5">
        <v>103.8</v>
      </c>
      <c r="F28009" s="5">
        <v>207.9</v>
      </c>
      <c r="G28009" s="5">
        <v>103.7</v>
      </c>
      <c r="H28009" s="5">
        <v>103.5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103.7</v>
      </c>
      <c r="D28010" s="5">
        <v>0.1</v>
      </c>
      <c r="E28010" s="5">
        <v>103.8</v>
      </c>
      <c r="F28010" s="5">
        <v>207.9</v>
      </c>
      <c r="G28010" s="5">
        <v>103.7</v>
      </c>
      <c r="H28010" s="5">
        <v>103.5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103.4</v>
      </c>
      <c r="D28011" s="5">
        <v>0.1</v>
      </c>
      <c r="E28011" s="5">
        <v>103.6</v>
      </c>
      <c r="F28011" s="5">
        <v>208.6</v>
      </c>
      <c r="G28011" s="5">
        <v>104</v>
      </c>
      <c r="H28011" s="5">
        <v>103.7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103.4</v>
      </c>
      <c r="D28012" s="5">
        <v>0.1</v>
      </c>
      <c r="E28012" s="5">
        <v>103.6</v>
      </c>
      <c r="F28012" s="5">
        <v>208.6</v>
      </c>
      <c r="G28012" s="5">
        <v>104</v>
      </c>
      <c r="H28012" s="5">
        <v>103.7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103.3</v>
      </c>
      <c r="D28013" s="5">
        <v>0.1</v>
      </c>
      <c r="E28013" s="5">
        <v>103.4</v>
      </c>
      <c r="F28013" s="5">
        <v>208.4</v>
      </c>
      <c r="G28013" s="5">
        <v>103.9</v>
      </c>
      <c r="H28013" s="5">
        <v>103.7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103.3</v>
      </c>
      <c r="D28014" s="5">
        <v>0.1</v>
      </c>
      <c r="E28014" s="5">
        <v>103.4</v>
      </c>
      <c r="F28014" s="5">
        <v>208.4</v>
      </c>
      <c r="G28014" s="5">
        <v>103.9</v>
      </c>
      <c r="H28014" s="5">
        <v>103.7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102.9</v>
      </c>
      <c r="D28015" s="5">
        <v>0.1</v>
      </c>
      <c r="E28015" s="5">
        <v>103.1</v>
      </c>
      <c r="F28015" s="5">
        <v>206</v>
      </c>
      <c r="G28015" s="5">
        <v>102.8</v>
      </c>
      <c r="H28015" s="5">
        <v>102.5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102.9</v>
      </c>
      <c r="D28016" s="5">
        <v>0.1</v>
      </c>
      <c r="E28016" s="5">
        <v>103.1</v>
      </c>
      <c r="F28016" s="5">
        <v>206</v>
      </c>
      <c r="G28016" s="5">
        <v>102.8</v>
      </c>
      <c r="H28016" s="5">
        <v>102.5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102.9</v>
      </c>
      <c r="D28017" s="5">
        <v>0.1</v>
      </c>
      <c r="E28017" s="5">
        <v>103.1</v>
      </c>
      <c r="F28017" s="5">
        <v>206</v>
      </c>
      <c r="G28017" s="5">
        <v>102.8</v>
      </c>
      <c r="H28017" s="5">
        <v>102.5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102.9</v>
      </c>
      <c r="D28018" s="5">
        <v>0.1</v>
      </c>
      <c r="E28018" s="5">
        <v>103.1</v>
      </c>
      <c r="F28018" s="5">
        <v>206</v>
      </c>
      <c r="G28018" s="5">
        <v>102.8</v>
      </c>
      <c r="H28018" s="5">
        <v>102.5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103</v>
      </c>
      <c r="D28019" s="5">
        <v>0.1</v>
      </c>
      <c r="E28019" s="5">
        <v>103.1</v>
      </c>
      <c r="F28019" s="5">
        <v>206.4</v>
      </c>
      <c r="G28019" s="5">
        <v>102.9</v>
      </c>
      <c r="H28019" s="5">
        <v>102.7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103</v>
      </c>
      <c r="D28020" s="5">
        <v>0.1</v>
      </c>
      <c r="E28020" s="5">
        <v>103.1</v>
      </c>
      <c r="F28020" s="5">
        <v>206.4</v>
      </c>
      <c r="G28020" s="5">
        <v>102.9</v>
      </c>
      <c r="H28020" s="5">
        <v>102.7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102.7</v>
      </c>
      <c r="D28021" s="5">
        <v>0.1</v>
      </c>
      <c r="E28021" s="5">
        <v>102.8</v>
      </c>
      <c r="F28021" s="5">
        <v>205.5</v>
      </c>
      <c r="G28021" s="5">
        <v>102.5</v>
      </c>
      <c r="H28021" s="5">
        <v>102.2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102.7</v>
      </c>
      <c r="D28022" s="5">
        <v>0.1</v>
      </c>
      <c r="E28022" s="5">
        <v>102.8</v>
      </c>
      <c r="F28022" s="5">
        <v>205.5</v>
      </c>
      <c r="G28022" s="5">
        <v>102.5</v>
      </c>
      <c r="H28022" s="5">
        <v>102.2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103</v>
      </c>
      <c r="D28023" s="5">
        <v>0.1</v>
      </c>
      <c r="E28023" s="5">
        <v>103.1</v>
      </c>
      <c r="F28023" s="5">
        <v>205.6</v>
      </c>
      <c r="G28023" s="5">
        <v>102.5</v>
      </c>
      <c r="H28023" s="5">
        <v>102.3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103</v>
      </c>
      <c r="D28024" s="5">
        <v>0.1</v>
      </c>
      <c r="E28024" s="5">
        <v>103.1</v>
      </c>
      <c r="F28024" s="5">
        <v>205.6</v>
      </c>
      <c r="G28024" s="5">
        <v>102.5</v>
      </c>
      <c r="H28024" s="5">
        <v>102.3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102.5</v>
      </c>
      <c r="D28025" s="5">
        <v>0.1</v>
      </c>
      <c r="E28025" s="5">
        <v>102.7</v>
      </c>
      <c r="F28025" s="5">
        <v>205.2</v>
      </c>
      <c r="G28025" s="5">
        <v>102.4</v>
      </c>
      <c r="H28025" s="5">
        <v>102.2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102.5</v>
      </c>
      <c r="D28026" s="5">
        <v>0.1</v>
      </c>
      <c r="E28026" s="5">
        <v>102.7</v>
      </c>
      <c r="F28026" s="5">
        <v>205.2</v>
      </c>
      <c r="G28026" s="5">
        <v>102.4</v>
      </c>
      <c r="H28026" s="5">
        <v>102.2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102.5</v>
      </c>
      <c r="D28027" s="5">
        <v>0.1</v>
      </c>
      <c r="E28027" s="5">
        <v>102.7</v>
      </c>
      <c r="F28027" s="5">
        <v>205.2</v>
      </c>
      <c r="G28027" s="5">
        <v>102.4</v>
      </c>
      <c r="H28027" s="5">
        <v>102.2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102.5</v>
      </c>
      <c r="D28028" s="5">
        <v>0.1</v>
      </c>
      <c r="E28028" s="5">
        <v>102.7</v>
      </c>
      <c r="F28028" s="5">
        <v>205.2</v>
      </c>
      <c r="G28028" s="5">
        <v>102.4</v>
      </c>
      <c r="H28028" s="5">
        <v>102.2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102.8</v>
      </c>
      <c r="D28029" s="5">
        <v>0.1</v>
      </c>
      <c r="E28029" s="5">
        <v>103</v>
      </c>
      <c r="F28029" s="5">
        <v>205.7</v>
      </c>
      <c r="G28029" s="5">
        <v>102.8</v>
      </c>
      <c r="H28029" s="5">
        <v>102.6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102.8</v>
      </c>
      <c r="D28030" s="5">
        <v>0.1</v>
      </c>
      <c r="E28030" s="5">
        <v>103</v>
      </c>
      <c r="F28030" s="5">
        <v>205.7</v>
      </c>
      <c r="G28030" s="5">
        <v>102.8</v>
      </c>
      <c r="H28030" s="5">
        <v>102.6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102.8</v>
      </c>
      <c r="D28031" s="5">
        <v>0.1</v>
      </c>
      <c r="E28031" s="5">
        <v>102.9</v>
      </c>
      <c r="F28031" s="5">
        <v>205.2</v>
      </c>
      <c r="G28031" s="5">
        <v>102.4</v>
      </c>
      <c r="H28031" s="5">
        <v>102.3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102.8</v>
      </c>
      <c r="D28032" s="5">
        <v>0.1</v>
      </c>
      <c r="E28032" s="5">
        <v>102.9</v>
      </c>
      <c r="F28032" s="5">
        <v>205.2</v>
      </c>
      <c r="G28032" s="5">
        <v>102.4</v>
      </c>
      <c r="H28032" s="5">
        <v>102.3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103</v>
      </c>
      <c r="D28033" s="5">
        <v>0.1</v>
      </c>
      <c r="E28033" s="5">
        <v>103.1</v>
      </c>
      <c r="F28033" s="5">
        <v>205.7</v>
      </c>
      <c r="G28033" s="5">
        <v>102.6</v>
      </c>
      <c r="H28033" s="5">
        <v>102.5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103</v>
      </c>
      <c r="D28034" s="5">
        <v>0.1</v>
      </c>
      <c r="E28034" s="5">
        <v>103.1</v>
      </c>
      <c r="F28034" s="5">
        <v>205.7</v>
      </c>
      <c r="G28034" s="5">
        <v>102.6</v>
      </c>
      <c r="H28034" s="5">
        <v>102.5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102.8</v>
      </c>
      <c r="D28035" s="5">
        <v>0.1</v>
      </c>
      <c r="E28035" s="5">
        <v>103</v>
      </c>
      <c r="F28035" s="5">
        <v>205.6</v>
      </c>
      <c r="G28035" s="5">
        <v>102.7</v>
      </c>
      <c r="H28035" s="5">
        <v>102.5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102.8</v>
      </c>
      <c r="D28036" s="5">
        <v>0.1</v>
      </c>
      <c r="E28036" s="5">
        <v>103</v>
      </c>
      <c r="F28036" s="5">
        <v>205.6</v>
      </c>
      <c r="G28036" s="5">
        <v>102.7</v>
      </c>
      <c r="H28036" s="5">
        <v>102.5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102.8</v>
      </c>
      <c r="D28037" s="5">
        <v>0.1</v>
      </c>
      <c r="E28037" s="5">
        <v>103</v>
      </c>
      <c r="F28037" s="5">
        <v>205.6</v>
      </c>
      <c r="G28037" s="5">
        <v>102.7</v>
      </c>
      <c r="H28037" s="5">
        <v>102.5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102.8</v>
      </c>
      <c r="D28038" s="5">
        <v>0.1</v>
      </c>
      <c r="E28038" s="5">
        <v>103.1</v>
      </c>
      <c r="F28038" s="5">
        <v>206</v>
      </c>
      <c r="G28038" s="5">
        <v>102.7</v>
      </c>
      <c r="H28038" s="5">
        <v>102.5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103.2</v>
      </c>
      <c r="D28039" s="5">
        <v>0.1</v>
      </c>
      <c r="E28039" s="5">
        <v>103.1</v>
      </c>
      <c r="F28039" s="5">
        <v>206</v>
      </c>
      <c r="G28039" s="5">
        <v>102.7</v>
      </c>
      <c r="H28039" s="5">
        <v>102.5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103.2</v>
      </c>
      <c r="D28040" s="5">
        <v>0.1</v>
      </c>
      <c r="E28040" s="5">
        <v>104</v>
      </c>
      <c r="F28040" s="5">
        <v>206.2</v>
      </c>
      <c r="G28040" s="5">
        <v>102.7</v>
      </c>
      <c r="H28040" s="5">
        <v>102.5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103.9</v>
      </c>
      <c r="D28041" s="5">
        <v>0.1</v>
      </c>
      <c r="E28041" s="5">
        <v>104</v>
      </c>
      <c r="F28041" s="5">
        <v>206.2</v>
      </c>
      <c r="G28041" s="5">
        <v>103</v>
      </c>
      <c r="H28041" s="5">
        <v>102.8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103.9</v>
      </c>
      <c r="D28042" s="5">
        <v>0.1</v>
      </c>
      <c r="E28042" s="5">
        <v>104</v>
      </c>
      <c r="F28042" s="5">
        <v>206.2</v>
      </c>
      <c r="G28042" s="5">
        <v>103</v>
      </c>
      <c r="H28042" s="5">
        <v>102.8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103.4</v>
      </c>
      <c r="D28043" s="5">
        <v>0.1</v>
      </c>
      <c r="E28043" s="5">
        <v>103.5</v>
      </c>
      <c r="F28043" s="5">
        <v>205.2</v>
      </c>
      <c r="G28043" s="5">
        <v>102.4</v>
      </c>
      <c r="H28043" s="5">
        <v>102.3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103.4</v>
      </c>
      <c r="D28044" s="5">
        <v>0.1</v>
      </c>
      <c r="E28044" s="5">
        <v>103.5</v>
      </c>
      <c r="F28044" s="5">
        <v>205.2</v>
      </c>
      <c r="G28044" s="5">
        <v>102.4</v>
      </c>
      <c r="H28044" s="5">
        <v>102.3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103.4</v>
      </c>
      <c r="D28045" s="5">
        <v>0.1</v>
      </c>
      <c r="E28045" s="5">
        <v>103.6</v>
      </c>
      <c r="F28045" s="5">
        <v>206.3</v>
      </c>
      <c r="G28045" s="5">
        <v>103</v>
      </c>
      <c r="H28045" s="5">
        <v>102.8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103.4</v>
      </c>
      <c r="D28046" s="5">
        <v>0.1</v>
      </c>
      <c r="E28046" s="5">
        <v>103.6</v>
      </c>
      <c r="F28046" s="5">
        <v>206.3</v>
      </c>
      <c r="G28046" s="5">
        <v>103</v>
      </c>
      <c r="H28046" s="5">
        <v>102.8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103.4</v>
      </c>
      <c r="D28047" s="5">
        <v>0.1</v>
      </c>
      <c r="E28047" s="5">
        <v>103.6</v>
      </c>
      <c r="F28047" s="5">
        <v>206.3</v>
      </c>
      <c r="G28047" s="5">
        <v>103</v>
      </c>
      <c r="H28047" s="5">
        <v>102.8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103.4</v>
      </c>
      <c r="D28048" s="5">
        <v>0.1</v>
      </c>
      <c r="E28048" s="5">
        <v>103.6</v>
      </c>
      <c r="F28048" s="5">
        <v>206.3</v>
      </c>
      <c r="G28048" s="5">
        <v>103</v>
      </c>
      <c r="H28048" s="5">
        <v>102.8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103.4</v>
      </c>
      <c r="D28049" s="5">
        <v>0.1</v>
      </c>
      <c r="E28049" s="5">
        <v>103.6</v>
      </c>
      <c r="F28049" s="5">
        <v>206.8</v>
      </c>
      <c r="G28049" s="5">
        <v>103.2</v>
      </c>
      <c r="H28049" s="5">
        <v>103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103.4</v>
      </c>
      <c r="D28050" s="5">
        <v>0.1</v>
      </c>
      <c r="E28050" s="5">
        <v>103.6</v>
      </c>
      <c r="F28050" s="5">
        <v>206.8</v>
      </c>
      <c r="G28050" s="5">
        <v>103.2</v>
      </c>
      <c r="H28050" s="5">
        <v>103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103.4</v>
      </c>
      <c r="D28051" s="5">
        <v>0.1</v>
      </c>
      <c r="E28051" s="5">
        <v>103.6</v>
      </c>
      <c r="F28051" s="5">
        <v>206.6</v>
      </c>
      <c r="G28051" s="5">
        <v>103.1</v>
      </c>
      <c r="H28051" s="5">
        <v>102.9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103.4</v>
      </c>
      <c r="D28052" s="5">
        <v>0.1</v>
      </c>
      <c r="E28052" s="5">
        <v>103.6</v>
      </c>
      <c r="F28052" s="5">
        <v>206.6</v>
      </c>
      <c r="G28052" s="5">
        <v>103.1</v>
      </c>
      <c r="H28052" s="5">
        <v>102.9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103.1</v>
      </c>
      <c r="D28053" s="5">
        <v>0.1</v>
      </c>
      <c r="E28053" s="5">
        <v>103.2</v>
      </c>
      <c r="F28053" s="5">
        <v>205.9</v>
      </c>
      <c r="G28053" s="5">
        <v>102.8</v>
      </c>
      <c r="H28053" s="5">
        <v>102.5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103.1</v>
      </c>
      <c r="D28054" s="5">
        <v>0.1</v>
      </c>
      <c r="E28054" s="5">
        <v>103.2</v>
      </c>
      <c r="F28054" s="5">
        <v>205.9</v>
      </c>
      <c r="G28054" s="5">
        <v>102.8</v>
      </c>
      <c r="H28054" s="5">
        <v>102.5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103.1</v>
      </c>
      <c r="D28055" s="5">
        <v>0.1</v>
      </c>
      <c r="E28055" s="5">
        <v>103.1</v>
      </c>
      <c r="F28055" s="5">
        <v>206.3</v>
      </c>
      <c r="G28055" s="5">
        <v>102.9</v>
      </c>
      <c r="H28055" s="5">
        <v>102.8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103.1</v>
      </c>
      <c r="D28056" s="5">
        <v>0.1</v>
      </c>
      <c r="E28056" s="5">
        <v>103.1</v>
      </c>
      <c r="F28056" s="5">
        <v>206.3</v>
      </c>
      <c r="G28056" s="5">
        <v>102.9</v>
      </c>
      <c r="H28056" s="5">
        <v>102.8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103.1</v>
      </c>
      <c r="D28057" s="5">
        <v>0.1</v>
      </c>
      <c r="E28057" s="5">
        <v>103.1</v>
      </c>
      <c r="F28057" s="5">
        <v>206.3</v>
      </c>
      <c r="G28057" s="5">
        <v>102.9</v>
      </c>
      <c r="H28057" s="5">
        <v>102.8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103.1</v>
      </c>
      <c r="D28058" s="5">
        <v>0.1</v>
      </c>
      <c r="E28058" s="5">
        <v>103.1</v>
      </c>
      <c r="F28058" s="5">
        <v>206.3</v>
      </c>
      <c r="G28058" s="5">
        <v>102.9</v>
      </c>
      <c r="H28058" s="5">
        <v>102.8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102.7</v>
      </c>
      <c r="D28059" s="5">
        <v>0.1</v>
      </c>
      <c r="E28059" s="5">
        <v>102.9</v>
      </c>
      <c r="F28059" s="5">
        <v>204.4</v>
      </c>
      <c r="G28059" s="5">
        <v>102</v>
      </c>
      <c r="H28059" s="5">
        <v>101.9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102.7</v>
      </c>
      <c r="D28060" s="5">
        <v>0.1</v>
      </c>
      <c r="E28060" s="5">
        <v>102.9</v>
      </c>
      <c r="F28060" s="5">
        <v>204.4</v>
      </c>
      <c r="G28060" s="5">
        <v>102</v>
      </c>
      <c r="H28060" s="5">
        <v>101.9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103</v>
      </c>
      <c r="D28061" s="5">
        <v>0.1</v>
      </c>
      <c r="E28061" s="5">
        <v>103.1</v>
      </c>
      <c r="F28061" s="5">
        <v>205.6</v>
      </c>
      <c r="G28061" s="5">
        <v>102.6</v>
      </c>
      <c r="H28061" s="5">
        <v>102.4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103</v>
      </c>
      <c r="D28062" s="5">
        <v>0.1</v>
      </c>
      <c r="E28062" s="5">
        <v>103.1</v>
      </c>
      <c r="F28062" s="5">
        <v>205.6</v>
      </c>
      <c r="G28062" s="5">
        <v>102.6</v>
      </c>
      <c r="H28062" s="5">
        <v>102.4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102.4</v>
      </c>
      <c r="D28063" s="5">
        <v>0.1</v>
      </c>
      <c r="E28063" s="5">
        <v>102.5</v>
      </c>
      <c r="F28063" s="5">
        <v>205.2</v>
      </c>
      <c r="G28063" s="5">
        <v>102.4</v>
      </c>
      <c r="H28063" s="5">
        <v>102.2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102.4</v>
      </c>
      <c r="D28064" s="5">
        <v>0.1</v>
      </c>
      <c r="E28064" s="5">
        <v>102.5</v>
      </c>
      <c r="F28064" s="5">
        <v>205.2</v>
      </c>
      <c r="G28064" s="5">
        <v>102.4</v>
      </c>
      <c r="H28064" s="5">
        <v>102.2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102.6</v>
      </c>
      <c r="D28065" s="5">
        <v>0.1</v>
      </c>
      <c r="E28065" s="5">
        <v>102.7</v>
      </c>
      <c r="F28065" s="5">
        <v>204.8</v>
      </c>
      <c r="G28065" s="5">
        <v>102.2</v>
      </c>
      <c r="H28065" s="5">
        <v>102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102.6</v>
      </c>
      <c r="D28066" s="5">
        <v>0.1</v>
      </c>
      <c r="E28066" s="5">
        <v>102.7</v>
      </c>
      <c r="F28066" s="5">
        <v>204.8</v>
      </c>
      <c r="G28066" s="5">
        <v>102.2</v>
      </c>
      <c r="H28066" s="5">
        <v>102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102.6</v>
      </c>
      <c r="D28067" s="5">
        <v>0.1</v>
      </c>
      <c r="E28067" s="5">
        <v>102.7</v>
      </c>
      <c r="F28067" s="5">
        <v>204.8</v>
      </c>
      <c r="G28067" s="5">
        <v>102.2</v>
      </c>
      <c r="H28067" s="5">
        <v>102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102.6</v>
      </c>
      <c r="D28068" s="5">
        <v>0.1</v>
      </c>
      <c r="E28068" s="5">
        <v>102.7</v>
      </c>
      <c r="F28068" s="5">
        <v>204.8</v>
      </c>
      <c r="G28068" s="5">
        <v>102.2</v>
      </c>
      <c r="H28068" s="5">
        <v>102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102.6</v>
      </c>
      <c r="D28069" s="5">
        <v>0.1</v>
      </c>
      <c r="E28069" s="5">
        <v>102.7</v>
      </c>
      <c r="F28069" s="5">
        <v>204.8</v>
      </c>
      <c r="G28069" s="5">
        <v>102.2</v>
      </c>
      <c r="H28069" s="5">
        <v>102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102.9</v>
      </c>
      <c r="D28070" s="5">
        <v>0.1</v>
      </c>
      <c r="E28070" s="5">
        <v>103.1</v>
      </c>
      <c r="F28070" s="5">
        <v>205.7</v>
      </c>
      <c r="G28070" s="5">
        <v>102.6</v>
      </c>
      <c r="H28070" s="5">
        <v>102.5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102.9</v>
      </c>
      <c r="D28071" s="5">
        <v>0.1</v>
      </c>
      <c r="E28071" s="5">
        <v>103.1</v>
      </c>
      <c r="F28071" s="5">
        <v>205.7</v>
      </c>
      <c r="G28071" s="5">
        <v>102.6</v>
      </c>
      <c r="H28071" s="5">
        <v>102.5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102.7</v>
      </c>
      <c r="D28072" s="5">
        <v>0.1</v>
      </c>
      <c r="E28072" s="5">
        <v>102.8</v>
      </c>
      <c r="F28072" s="5">
        <v>205.2</v>
      </c>
      <c r="G28072" s="5">
        <v>102.4</v>
      </c>
      <c r="H28072" s="5">
        <v>102.3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102.7</v>
      </c>
      <c r="D28073" s="5">
        <v>0.1</v>
      </c>
      <c r="E28073" s="5">
        <v>102.8</v>
      </c>
      <c r="F28073" s="5">
        <v>205.2</v>
      </c>
      <c r="G28073" s="5">
        <v>102.4</v>
      </c>
      <c r="H28073" s="5">
        <v>102.3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103.6</v>
      </c>
      <c r="D28074" s="5">
        <v>0.1</v>
      </c>
      <c r="E28074" s="5">
        <v>103.7</v>
      </c>
      <c r="F28074" s="5">
        <v>206.1</v>
      </c>
      <c r="G28074" s="5">
        <v>102.9</v>
      </c>
      <c r="H28074" s="5">
        <v>102.7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103.6</v>
      </c>
      <c r="D28075" s="5">
        <v>0.1</v>
      </c>
      <c r="E28075" s="5">
        <v>103.7</v>
      </c>
      <c r="F28075" s="5">
        <v>206.1</v>
      </c>
      <c r="G28075" s="5">
        <v>102.9</v>
      </c>
      <c r="H28075" s="5">
        <v>102.7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103.6</v>
      </c>
      <c r="D28076" s="5">
        <v>0.1</v>
      </c>
      <c r="E28076" s="5">
        <v>103.7</v>
      </c>
      <c r="F28076" s="5">
        <v>206.1</v>
      </c>
      <c r="G28076" s="5">
        <v>102.9</v>
      </c>
      <c r="H28076" s="5">
        <v>102.7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103.6</v>
      </c>
      <c r="D28077" s="5">
        <v>0.1</v>
      </c>
      <c r="E28077" s="5">
        <v>103.7</v>
      </c>
      <c r="F28077" s="5">
        <v>206.1</v>
      </c>
      <c r="G28077" s="5">
        <v>102.9</v>
      </c>
      <c r="H28077" s="5">
        <v>102.7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102.5</v>
      </c>
      <c r="D28078" s="5">
        <v>0.1</v>
      </c>
      <c r="E28078" s="5">
        <v>102.7</v>
      </c>
      <c r="F28078" s="5">
        <v>206.3</v>
      </c>
      <c r="G28078" s="5">
        <v>102.9</v>
      </c>
      <c r="H28078" s="5">
        <v>102.8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102.5</v>
      </c>
      <c r="D28079" s="5">
        <v>0.1</v>
      </c>
      <c r="E28079" s="5">
        <v>102.7</v>
      </c>
      <c r="F28079" s="5">
        <v>206.3</v>
      </c>
      <c r="G28079" s="5">
        <v>102.9</v>
      </c>
      <c r="H28079" s="5">
        <v>102.8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102.5</v>
      </c>
      <c r="D28080" s="5">
        <v>0.1</v>
      </c>
      <c r="E28080" s="5">
        <v>102.7</v>
      </c>
      <c r="F28080" s="5">
        <v>205</v>
      </c>
      <c r="G28080" s="5">
        <v>102.3</v>
      </c>
      <c r="H28080" s="5">
        <v>102.2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102.5</v>
      </c>
      <c r="D28081" s="5">
        <v>0.1</v>
      </c>
      <c r="E28081" s="5">
        <v>102.7</v>
      </c>
      <c r="F28081" s="5">
        <v>205</v>
      </c>
      <c r="G28081" s="5">
        <v>102.3</v>
      </c>
      <c r="H28081" s="5">
        <v>102.2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102.1</v>
      </c>
      <c r="D28082" s="5">
        <v>0.1</v>
      </c>
      <c r="E28082" s="5">
        <v>102.2</v>
      </c>
      <c r="F28082" s="5">
        <v>205.1</v>
      </c>
      <c r="G28082" s="5">
        <v>102.3</v>
      </c>
      <c r="H28082" s="5">
        <v>102.2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102.1</v>
      </c>
      <c r="D28083" s="5">
        <v>0.1</v>
      </c>
      <c r="E28083" s="5">
        <v>102.2</v>
      </c>
      <c r="F28083" s="5">
        <v>205.1</v>
      </c>
      <c r="G28083" s="5">
        <v>102.3</v>
      </c>
      <c r="H28083" s="5">
        <v>102.2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100.5</v>
      </c>
      <c r="D28084" s="5">
        <v>0.1</v>
      </c>
      <c r="E28084" s="5">
        <v>100.6</v>
      </c>
      <c r="F28084" s="5">
        <v>202.9</v>
      </c>
      <c r="G28084" s="5">
        <v>102.3</v>
      </c>
      <c r="H28084" s="5">
        <v>102.2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100.5</v>
      </c>
      <c r="D28085" s="5">
        <v>0.1</v>
      </c>
      <c r="E28085" s="5">
        <v>100.6</v>
      </c>
      <c r="F28085" s="5">
        <v>202.9</v>
      </c>
      <c r="G28085" s="5">
        <v>101.2</v>
      </c>
      <c r="H28085" s="5">
        <v>101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100.5</v>
      </c>
      <c r="D28086" s="5">
        <v>0.1</v>
      </c>
      <c r="E28086" s="5">
        <v>100.6</v>
      </c>
      <c r="F28086" s="5">
        <v>202.9</v>
      </c>
      <c r="G28086" s="5">
        <v>101.2</v>
      </c>
      <c r="H28086" s="5">
        <v>101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100.5</v>
      </c>
      <c r="D28087" s="5">
        <v>0.1</v>
      </c>
      <c r="E28087" s="5">
        <v>100.6</v>
      </c>
      <c r="F28087" s="5">
        <v>202.9</v>
      </c>
      <c r="G28087" s="5">
        <v>101.2</v>
      </c>
      <c r="H28087" s="5">
        <v>101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98.2</v>
      </c>
      <c r="D28088" s="5">
        <v>0.1</v>
      </c>
      <c r="E28088" s="5">
        <v>100.6</v>
      </c>
      <c r="F28088" s="5">
        <v>202.9</v>
      </c>
      <c r="G28088" s="5">
        <v>101.2</v>
      </c>
      <c r="H28088" s="5">
        <v>97.9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98.2</v>
      </c>
      <c r="D28089" s="5">
        <v>0.1</v>
      </c>
      <c r="E28089" s="5">
        <v>98.3</v>
      </c>
      <c r="F28089" s="5">
        <v>196.4</v>
      </c>
      <c r="G28089" s="5">
        <v>98</v>
      </c>
      <c r="H28089" s="5">
        <v>97.9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98.2</v>
      </c>
      <c r="D28090" s="5">
        <v>0.1</v>
      </c>
      <c r="E28090" s="5">
        <v>98.3</v>
      </c>
      <c r="F28090" s="5">
        <v>196.4</v>
      </c>
      <c r="G28090" s="5">
        <v>98</v>
      </c>
      <c r="H28090" s="5">
        <v>97.9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101.4</v>
      </c>
      <c r="D28091" s="5">
        <v>0.1</v>
      </c>
      <c r="E28091" s="5">
        <v>101.5</v>
      </c>
      <c r="F28091" s="5">
        <v>202.6</v>
      </c>
      <c r="G28091" s="5">
        <v>101.1</v>
      </c>
      <c r="H28091" s="5">
        <v>101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101.4</v>
      </c>
      <c r="D28092" s="5">
        <v>0.1</v>
      </c>
      <c r="E28092" s="5">
        <v>101.5</v>
      </c>
      <c r="F28092" s="5">
        <v>202.6</v>
      </c>
      <c r="G28092" s="5">
        <v>101.1</v>
      </c>
      <c r="H28092" s="5">
        <v>101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100.8</v>
      </c>
      <c r="D28093" s="5">
        <v>0.1</v>
      </c>
      <c r="E28093" s="5">
        <v>100.9</v>
      </c>
      <c r="F28093" s="5">
        <v>201.4</v>
      </c>
      <c r="G28093" s="5">
        <v>100.5</v>
      </c>
      <c r="H28093" s="5">
        <v>100.3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100.8</v>
      </c>
      <c r="D28094" s="5">
        <v>0.1</v>
      </c>
      <c r="E28094" s="5">
        <v>100.9</v>
      </c>
      <c r="F28094" s="5">
        <v>201.4</v>
      </c>
      <c r="G28094" s="5">
        <v>100.5</v>
      </c>
      <c r="H28094" s="5">
        <v>100.3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101.5</v>
      </c>
      <c r="D28095" s="5">
        <v>0.1</v>
      </c>
      <c r="E28095" s="5">
        <v>101.6</v>
      </c>
      <c r="F28095" s="5">
        <v>202.9</v>
      </c>
      <c r="G28095" s="5">
        <v>101.3</v>
      </c>
      <c r="H28095" s="5">
        <v>101.1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101.5</v>
      </c>
      <c r="D28096" s="5">
        <v>0.1</v>
      </c>
      <c r="E28096" s="5">
        <v>101.6</v>
      </c>
      <c r="F28096" s="5">
        <v>202.9</v>
      </c>
      <c r="G28096" s="5">
        <v>101.3</v>
      </c>
      <c r="H28096" s="5">
        <v>101.1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101.5</v>
      </c>
      <c r="D28097" s="5">
        <v>0.1</v>
      </c>
      <c r="E28097" s="5">
        <v>101.6</v>
      </c>
      <c r="F28097" s="5">
        <v>202.9</v>
      </c>
      <c r="G28097" s="5">
        <v>101.3</v>
      </c>
      <c r="H28097" s="5">
        <v>101.1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102.4</v>
      </c>
      <c r="D28098" s="5">
        <v>0.1</v>
      </c>
      <c r="E28098" s="5">
        <v>102.6</v>
      </c>
      <c r="F28098" s="5">
        <v>203.9</v>
      </c>
      <c r="G28098" s="5">
        <v>101.7</v>
      </c>
      <c r="H28098" s="5">
        <v>101.6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102.4</v>
      </c>
      <c r="D28099" s="5">
        <v>0.1</v>
      </c>
      <c r="E28099" s="5">
        <v>102.6</v>
      </c>
      <c r="F28099" s="5">
        <v>203.9</v>
      </c>
      <c r="G28099" s="5">
        <v>101.7</v>
      </c>
      <c r="H28099" s="5">
        <v>101.6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101.8</v>
      </c>
      <c r="D28100" s="5">
        <v>0.1</v>
      </c>
      <c r="E28100" s="5">
        <v>102</v>
      </c>
      <c r="F28100" s="5">
        <v>203.9</v>
      </c>
      <c r="G28100" s="5">
        <v>101.7</v>
      </c>
      <c r="H28100" s="5">
        <v>101.6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101.8</v>
      </c>
      <c r="D28101" s="5">
        <v>0.1</v>
      </c>
      <c r="E28101" s="5">
        <v>102</v>
      </c>
      <c r="F28101" s="5">
        <v>203.9</v>
      </c>
      <c r="G28101" s="5">
        <v>101.7</v>
      </c>
      <c r="H28101" s="5">
        <v>101.6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102.2</v>
      </c>
      <c r="D28102" s="5">
        <v>0.1</v>
      </c>
      <c r="E28102" s="5">
        <v>102.4</v>
      </c>
      <c r="F28102" s="5">
        <v>203.7</v>
      </c>
      <c r="G28102" s="5">
        <v>101.7</v>
      </c>
      <c r="H28102" s="5">
        <v>101.5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102.2</v>
      </c>
      <c r="D28103" s="5">
        <v>0.1</v>
      </c>
      <c r="E28103" s="5">
        <v>102.4</v>
      </c>
      <c r="F28103" s="5">
        <v>203.7</v>
      </c>
      <c r="G28103" s="5">
        <v>101.7</v>
      </c>
      <c r="H28103" s="5">
        <v>101.5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101.8</v>
      </c>
      <c r="D28104" s="5">
        <v>0.1</v>
      </c>
      <c r="E28104" s="5">
        <v>101.9</v>
      </c>
      <c r="F28104" s="5">
        <v>204.5</v>
      </c>
      <c r="G28104" s="5">
        <v>102.1</v>
      </c>
      <c r="H28104" s="5">
        <v>101.9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101.8</v>
      </c>
      <c r="D28105" s="5">
        <v>0.1</v>
      </c>
      <c r="E28105" s="5">
        <v>101.9</v>
      </c>
      <c r="F28105" s="5">
        <v>204.5</v>
      </c>
      <c r="G28105" s="5">
        <v>102.1</v>
      </c>
      <c r="H28105" s="5">
        <v>101.9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101.8</v>
      </c>
      <c r="D28106" s="5">
        <v>0.1</v>
      </c>
      <c r="E28106" s="5">
        <v>101.9</v>
      </c>
      <c r="F28106" s="5">
        <v>204.5</v>
      </c>
      <c r="G28106" s="5">
        <v>102.1</v>
      </c>
      <c r="H28106" s="5">
        <v>101.9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101.8</v>
      </c>
      <c r="D28107" s="5">
        <v>0.1</v>
      </c>
      <c r="E28107" s="5">
        <v>101.9</v>
      </c>
      <c r="F28107" s="5">
        <v>204.5</v>
      </c>
      <c r="G28107" s="5">
        <v>102.1</v>
      </c>
      <c r="H28107" s="5">
        <v>101.9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101.4</v>
      </c>
      <c r="D28108" s="5">
        <v>0.1</v>
      </c>
      <c r="E28108" s="5">
        <v>101.5</v>
      </c>
      <c r="F28108" s="5">
        <v>203</v>
      </c>
      <c r="G28108" s="5">
        <v>101.3</v>
      </c>
      <c r="H28108" s="5">
        <v>101.1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101.4</v>
      </c>
      <c r="D28109" s="5">
        <v>0.1</v>
      </c>
      <c r="E28109" s="5">
        <v>101.5</v>
      </c>
      <c r="F28109" s="5">
        <v>203</v>
      </c>
      <c r="G28109" s="5">
        <v>101.3</v>
      </c>
      <c r="H28109" s="5">
        <v>101.1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101</v>
      </c>
      <c r="D28110" s="5">
        <v>0.1</v>
      </c>
      <c r="E28110" s="5">
        <v>101.1</v>
      </c>
      <c r="F28110" s="5">
        <v>202.3</v>
      </c>
      <c r="G28110" s="5">
        <v>100.9</v>
      </c>
      <c r="H28110" s="5">
        <v>100.7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101</v>
      </c>
      <c r="D28111" s="5">
        <v>0.1</v>
      </c>
      <c r="E28111" s="5">
        <v>101.1</v>
      </c>
      <c r="F28111" s="5">
        <v>202.3</v>
      </c>
      <c r="G28111" s="5">
        <v>100.9</v>
      </c>
      <c r="H28111" s="5">
        <v>100.7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101.1</v>
      </c>
      <c r="D28112" s="5">
        <v>0.1</v>
      </c>
      <c r="E28112" s="5">
        <v>101.2</v>
      </c>
      <c r="F28112" s="5">
        <v>201.9</v>
      </c>
      <c r="G28112" s="5">
        <v>100.8</v>
      </c>
      <c r="H28112" s="5">
        <v>100.6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101.1</v>
      </c>
      <c r="D28113" s="5">
        <v>0.1</v>
      </c>
      <c r="E28113" s="5">
        <v>101.2</v>
      </c>
      <c r="F28113" s="5">
        <v>201.9</v>
      </c>
      <c r="G28113" s="5">
        <v>100.8</v>
      </c>
      <c r="H28113" s="5">
        <v>100.6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101.7</v>
      </c>
      <c r="D28114" s="5">
        <v>0.1</v>
      </c>
      <c r="E28114" s="5">
        <v>101.8</v>
      </c>
      <c r="F28114" s="5">
        <v>202.9</v>
      </c>
      <c r="G28114" s="5">
        <v>101.2</v>
      </c>
      <c r="H28114" s="5">
        <v>101.1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101.7</v>
      </c>
      <c r="D28115" s="5">
        <v>0.1</v>
      </c>
      <c r="E28115" s="5">
        <v>101.8</v>
      </c>
      <c r="F28115" s="5">
        <v>202.9</v>
      </c>
      <c r="G28115" s="5">
        <v>101.2</v>
      </c>
      <c r="H28115" s="5">
        <v>101.1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101.7</v>
      </c>
      <c r="D28116" s="5">
        <v>0.1</v>
      </c>
      <c r="E28116" s="5">
        <v>101.8</v>
      </c>
      <c r="F28116" s="5">
        <v>202.9</v>
      </c>
      <c r="G28116" s="5">
        <v>101.2</v>
      </c>
      <c r="H28116" s="5">
        <v>101.1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101.7</v>
      </c>
      <c r="D28117" s="5">
        <v>0.1</v>
      </c>
      <c r="E28117" s="5">
        <v>101.8</v>
      </c>
      <c r="F28117" s="5">
        <v>202.9</v>
      </c>
      <c r="G28117" s="5">
        <v>101.2</v>
      </c>
      <c r="H28117" s="5">
        <v>101.1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100.2</v>
      </c>
      <c r="D28118" s="5">
        <v>0.1</v>
      </c>
      <c r="E28118" s="5">
        <v>100.3</v>
      </c>
      <c r="F28118" s="5">
        <v>200.3</v>
      </c>
      <c r="G28118" s="5">
        <v>99.9</v>
      </c>
      <c r="H28118" s="5">
        <v>99.8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100.2</v>
      </c>
      <c r="D28119" s="5">
        <v>0.1</v>
      </c>
      <c r="E28119" s="5">
        <v>100.3</v>
      </c>
      <c r="F28119" s="5">
        <v>200.3</v>
      </c>
      <c r="G28119" s="5">
        <v>99.9</v>
      </c>
      <c r="H28119" s="5">
        <v>99.8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103.1</v>
      </c>
      <c r="D28120" s="5">
        <v>0.1</v>
      </c>
      <c r="E28120" s="5">
        <v>103.2</v>
      </c>
      <c r="F28120" s="5">
        <v>204.9</v>
      </c>
      <c r="G28120" s="5">
        <v>102.3</v>
      </c>
      <c r="H28120" s="5">
        <v>102.2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103.1</v>
      </c>
      <c r="D28121" s="5">
        <v>0.1</v>
      </c>
      <c r="E28121" s="5">
        <v>103.2</v>
      </c>
      <c r="F28121" s="5">
        <v>204.9</v>
      </c>
      <c r="G28121" s="5">
        <v>102.3</v>
      </c>
      <c r="H28121" s="5">
        <v>102.2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100.8</v>
      </c>
      <c r="D28122" s="5">
        <v>0.1</v>
      </c>
      <c r="E28122" s="5">
        <v>100.9</v>
      </c>
      <c r="F28122" s="5">
        <v>202.2</v>
      </c>
      <c r="G28122" s="5">
        <v>100.8</v>
      </c>
      <c r="H28122" s="5">
        <v>100.7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100.8</v>
      </c>
      <c r="D28123" s="5">
        <v>0.1</v>
      </c>
      <c r="E28123" s="5">
        <v>100.9</v>
      </c>
      <c r="F28123" s="5">
        <v>202.2</v>
      </c>
      <c r="G28123" s="5">
        <v>100.8</v>
      </c>
      <c r="H28123" s="5">
        <v>100.7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99.5</v>
      </c>
      <c r="D28124" s="5">
        <v>0.1</v>
      </c>
      <c r="E28124" s="5">
        <v>99.6</v>
      </c>
      <c r="F28124" s="5">
        <v>200.2</v>
      </c>
      <c r="G28124" s="5">
        <v>99.8</v>
      </c>
      <c r="H28124" s="5">
        <v>99.5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99.5</v>
      </c>
      <c r="D28125" s="5">
        <v>0.1</v>
      </c>
      <c r="E28125" s="5">
        <v>99.6</v>
      </c>
      <c r="F28125" s="5">
        <v>200.2</v>
      </c>
      <c r="G28125" s="5">
        <v>99.8</v>
      </c>
      <c r="H28125" s="5">
        <v>99.5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99.5</v>
      </c>
      <c r="D28126" s="5">
        <v>0.1</v>
      </c>
      <c r="E28126" s="5">
        <v>99.6</v>
      </c>
      <c r="F28126" s="5">
        <v>200.2</v>
      </c>
      <c r="G28126" s="5">
        <v>99.8</v>
      </c>
      <c r="H28126" s="5">
        <v>99.5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99.5</v>
      </c>
      <c r="D28127" s="5">
        <v>0.1</v>
      </c>
      <c r="E28127" s="5">
        <v>99.6</v>
      </c>
      <c r="F28127" s="5">
        <v>200.2</v>
      </c>
      <c r="G28127" s="5">
        <v>99.8</v>
      </c>
      <c r="H28127" s="5">
        <v>99.5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100.3</v>
      </c>
      <c r="D28128" s="5">
        <v>0.1</v>
      </c>
      <c r="E28128" s="5">
        <v>100.5</v>
      </c>
      <c r="F28128" s="5">
        <v>201</v>
      </c>
      <c r="G28128" s="5">
        <v>100.2</v>
      </c>
      <c r="H28128" s="5">
        <v>100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100.3</v>
      </c>
      <c r="D28129" s="5">
        <v>0.1</v>
      </c>
      <c r="E28129" s="5">
        <v>100.5</v>
      </c>
      <c r="F28129" s="5">
        <v>201</v>
      </c>
      <c r="G28129" s="5">
        <v>100.2</v>
      </c>
      <c r="H28129" s="5">
        <v>100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100.7</v>
      </c>
      <c r="D28130" s="5">
        <v>0.1</v>
      </c>
      <c r="E28130" s="5">
        <v>100.8</v>
      </c>
      <c r="F28130" s="5">
        <v>201.3</v>
      </c>
      <c r="G28130" s="5">
        <v>100.4</v>
      </c>
      <c r="H28130" s="5">
        <v>100.3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100.7</v>
      </c>
      <c r="D28131" s="5">
        <v>0.1</v>
      </c>
      <c r="E28131" s="5">
        <v>100.8</v>
      </c>
      <c r="F28131" s="5">
        <v>201.3</v>
      </c>
      <c r="G28131" s="5">
        <v>100.4</v>
      </c>
      <c r="H28131" s="5">
        <v>100.3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101</v>
      </c>
      <c r="D28132" s="5">
        <v>0.1</v>
      </c>
      <c r="E28132" s="5">
        <v>101.1</v>
      </c>
      <c r="F28132" s="5">
        <v>201.9</v>
      </c>
      <c r="G28132" s="5">
        <v>100.7</v>
      </c>
      <c r="H28132" s="5">
        <v>100.5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101</v>
      </c>
      <c r="D28133" s="5">
        <v>0.1</v>
      </c>
      <c r="E28133" s="5">
        <v>101.1</v>
      </c>
      <c r="F28133" s="5">
        <v>201.9</v>
      </c>
      <c r="G28133" s="5">
        <v>100.7</v>
      </c>
      <c r="H28133" s="5">
        <v>100.5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100.8</v>
      </c>
      <c r="D28134" s="5">
        <v>0.1</v>
      </c>
      <c r="E28134" s="5">
        <v>100.9</v>
      </c>
      <c r="F28134" s="5">
        <v>201.3</v>
      </c>
      <c r="G28134" s="5">
        <v>100.4</v>
      </c>
      <c r="H28134" s="5">
        <v>100.3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100.8</v>
      </c>
      <c r="D28135" s="5">
        <v>0.1</v>
      </c>
      <c r="E28135" s="5">
        <v>100.9</v>
      </c>
      <c r="F28135" s="5">
        <v>201.3</v>
      </c>
      <c r="G28135" s="5">
        <v>100.4</v>
      </c>
      <c r="H28135" s="5">
        <v>100.3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100.8</v>
      </c>
      <c r="D28136" s="5">
        <v>0.1</v>
      </c>
      <c r="E28136" s="5">
        <v>100.9</v>
      </c>
      <c r="F28136" s="5">
        <v>201.3</v>
      </c>
      <c r="G28136" s="5">
        <v>100.4</v>
      </c>
      <c r="H28136" s="5">
        <v>100.3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100.8</v>
      </c>
      <c r="D28137" s="5">
        <v>0.1</v>
      </c>
      <c r="E28137" s="5">
        <v>100.9</v>
      </c>
      <c r="F28137" s="5">
        <v>201.3</v>
      </c>
      <c r="G28137" s="5">
        <v>100.4</v>
      </c>
      <c r="H28137" s="5">
        <v>100.3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101.1</v>
      </c>
      <c r="D28138" s="5">
        <v>0.1</v>
      </c>
      <c r="E28138" s="5">
        <v>101.3</v>
      </c>
      <c r="F28138" s="5">
        <v>201.3</v>
      </c>
      <c r="G28138" s="5">
        <v>100.4</v>
      </c>
      <c r="H28138" s="5">
        <v>100.3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101.1</v>
      </c>
      <c r="D28139" s="5">
        <v>0.1</v>
      </c>
      <c r="E28139" s="5">
        <v>101.3</v>
      </c>
      <c r="F28139" s="5">
        <v>201.3</v>
      </c>
      <c r="G28139" s="5">
        <v>100.4</v>
      </c>
      <c r="H28139" s="5">
        <v>100.3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100.6</v>
      </c>
      <c r="D28140" s="5">
        <v>0.1</v>
      </c>
      <c r="E28140" s="5">
        <v>100.8</v>
      </c>
      <c r="F28140" s="5">
        <v>201.4</v>
      </c>
      <c r="G28140" s="5">
        <v>100.4</v>
      </c>
      <c r="H28140" s="5">
        <v>100.3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100.6</v>
      </c>
      <c r="D28141" s="5">
        <v>0.1</v>
      </c>
      <c r="E28141" s="5">
        <v>100.8</v>
      </c>
      <c r="F28141" s="5">
        <v>201.4</v>
      </c>
      <c r="G28141" s="5">
        <v>100.4</v>
      </c>
      <c r="H28141" s="5">
        <v>100.3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101</v>
      </c>
      <c r="D28142" s="5">
        <v>0.1</v>
      </c>
      <c r="E28142" s="5">
        <v>101.1</v>
      </c>
      <c r="F28142" s="5">
        <v>200.6</v>
      </c>
      <c r="G28142" s="5">
        <v>100.1</v>
      </c>
      <c r="H28142" s="5">
        <v>100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101</v>
      </c>
      <c r="D28143" s="5">
        <v>0.1</v>
      </c>
      <c r="E28143" s="5">
        <v>101.1</v>
      </c>
      <c r="F28143" s="5">
        <v>200.6</v>
      </c>
      <c r="G28143" s="5">
        <v>100.1</v>
      </c>
      <c r="H28143" s="5">
        <v>100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100.2</v>
      </c>
      <c r="D28144" s="5">
        <v>0.1</v>
      </c>
      <c r="E28144" s="5">
        <v>100.3</v>
      </c>
      <c r="F28144" s="5">
        <v>199.4</v>
      </c>
      <c r="G28144" s="5">
        <v>99.5</v>
      </c>
      <c r="H28144" s="5">
        <v>99.4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100.2</v>
      </c>
      <c r="D28145" s="5">
        <v>0.1</v>
      </c>
      <c r="E28145" s="5">
        <v>100.3</v>
      </c>
      <c r="F28145" s="5">
        <v>199.4</v>
      </c>
      <c r="G28145" s="5">
        <v>99.5</v>
      </c>
      <c r="H28145" s="5">
        <v>99.4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100.2</v>
      </c>
      <c r="D28146" s="5">
        <v>0.1</v>
      </c>
      <c r="E28146" s="5">
        <v>100.3</v>
      </c>
      <c r="F28146" s="5">
        <v>199.4</v>
      </c>
      <c r="G28146" s="5">
        <v>99.5</v>
      </c>
      <c r="H28146" s="5">
        <v>99.4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100.2</v>
      </c>
      <c r="D28147" s="5">
        <v>0.1</v>
      </c>
      <c r="E28147" s="5">
        <v>100.3</v>
      </c>
      <c r="F28147" s="5">
        <v>199.4</v>
      </c>
      <c r="G28147" s="5">
        <v>99.5</v>
      </c>
      <c r="H28147" s="5">
        <v>99.4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100.1</v>
      </c>
      <c r="D28148" s="5">
        <v>0.1</v>
      </c>
      <c r="E28148" s="5">
        <v>100.2</v>
      </c>
      <c r="F28148" s="5">
        <v>200.3</v>
      </c>
      <c r="G28148" s="5">
        <v>99.9</v>
      </c>
      <c r="H28148" s="5">
        <v>99.7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100.1</v>
      </c>
      <c r="D28149" s="5">
        <v>0.1</v>
      </c>
      <c r="E28149" s="5">
        <v>100.2</v>
      </c>
      <c r="F28149" s="5">
        <v>200.3</v>
      </c>
      <c r="G28149" s="5">
        <v>99.9</v>
      </c>
      <c r="H28149" s="5">
        <v>99.7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100.4</v>
      </c>
      <c r="D28150" s="5">
        <v>0.1</v>
      </c>
      <c r="E28150" s="5">
        <v>100.5</v>
      </c>
      <c r="F28150" s="5">
        <v>201</v>
      </c>
      <c r="G28150" s="5">
        <v>100.2</v>
      </c>
      <c r="H28150" s="5">
        <v>100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100.4</v>
      </c>
      <c r="D28151" s="5">
        <v>0.1</v>
      </c>
      <c r="E28151" s="5">
        <v>100.5</v>
      </c>
      <c r="F28151" s="5">
        <v>201</v>
      </c>
      <c r="G28151" s="5">
        <v>100.2</v>
      </c>
      <c r="H28151" s="5">
        <v>100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99.7</v>
      </c>
      <c r="D28152" s="5">
        <v>0.1</v>
      </c>
      <c r="E28152" s="5">
        <v>99.9</v>
      </c>
      <c r="F28152" s="5">
        <v>199.5</v>
      </c>
      <c r="G28152" s="5">
        <v>99.5</v>
      </c>
      <c r="H28152" s="5">
        <v>99.3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99.7</v>
      </c>
      <c r="D28153" s="5">
        <v>0.1</v>
      </c>
      <c r="E28153" s="5">
        <v>99.9</v>
      </c>
      <c r="F28153" s="5">
        <v>199.5</v>
      </c>
      <c r="G28153" s="5">
        <v>99.5</v>
      </c>
      <c r="H28153" s="5">
        <v>99.3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102.3</v>
      </c>
      <c r="D28154" s="5">
        <v>0.1</v>
      </c>
      <c r="E28154" s="5">
        <v>102.4</v>
      </c>
      <c r="F28154" s="5">
        <v>204.7</v>
      </c>
      <c r="G28154" s="5">
        <v>102.1</v>
      </c>
      <c r="H28154" s="5">
        <v>102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102.3</v>
      </c>
      <c r="D28155" s="5">
        <v>0.1</v>
      </c>
      <c r="E28155" s="5">
        <v>102.4</v>
      </c>
      <c r="F28155" s="5">
        <v>204.7</v>
      </c>
      <c r="G28155" s="5">
        <v>102.1</v>
      </c>
      <c r="H28155" s="5">
        <v>102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102.3</v>
      </c>
      <c r="D28156" s="5">
        <v>0.1</v>
      </c>
      <c r="E28156" s="5">
        <v>102.4</v>
      </c>
      <c r="F28156" s="5">
        <v>204.7</v>
      </c>
      <c r="G28156" s="5">
        <v>102.1</v>
      </c>
      <c r="H28156" s="5">
        <v>102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102.3</v>
      </c>
      <c r="D28157" s="5">
        <v>0.1</v>
      </c>
      <c r="E28157" s="5">
        <v>102.4</v>
      </c>
      <c r="F28157" s="5">
        <v>204.7</v>
      </c>
      <c r="G28157" s="5">
        <v>102.1</v>
      </c>
      <c r="H28157" s="5">
        <v>102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100.5</v>
      </c>
      <c r="D28158" s="5">
        <v>0.1</v>
      </c>
      <c r="E28158" s="5">
        <v>100.5</v>
      </c>
      <c r="F28158" s="5">
        <v>200.8</v>
      </c>
      <c r="G28158" s="5">
        <v>100.3</v>
      </c>
      <c r="H28158" s="5">
        <v>100.1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100.5</v>
      </c>
      <c r="D28159" s="5">
        <v>0.1</v>
      </c>
      <c r="E28159" s="5">
        <v>100.5</v>
      </c>
      <c r="F28159" s="5">
        <v>200.8</v>
      </c>
      <c r="G28159" s="5">
        <v>100.3</v>
      </c>
      <c r="H28159" s="5">
        <v>100.1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100.2</v>
      </c>
      <c r="D28160" s="5">
        <v>0.1</v>
      </c>
      <c r="E28160" s="5">
        <v>100.4</v>
      </c>
      <c r="F28160" s="5">
        <v>200.3</v>
      </c>
      <c r="G28160" s="5">
        <v>100</v>
      </c>
      <c r="H28160" s="5">
        <v>99.9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100.2</v>
      </c>
      <c r="D28161" s="5">
        <v>0.1</v>
      </c>
      <c r="E28161" s="5">
        <v>100.4</v>
      </c>
      <c r="F28161" s="5">
        <v>200.3</v>
      </c>
      <c r="G28161" s="5">
        <v>100</v>
      </c>
      <c r="H28161" s="5">
        <v>99.9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100</v>
      </c>
      <c r="D28162" s="5">
        <v>0.1</v>
      </c>
      <c r="E28162" s="5">
        <v>100.2</v>
      </c>
      <c r="F28162" s="5">
        <v>199.9</v>
      </c>
      <c r="G28162" s="5">
        <v>99.7</v>
      </c>
      <c r="H28162" s="5">
        <v>99.6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100</v>
      </c>
      <c r="D28163" s="5">
        <v>0.1</v>
      </c>
      <c r="E28163" s="5">
        <v>100.2</v>
      </c>
      <c r="F28163" s="5">
        <v>199.9</v>
      </c>
      <c r="G28163" s="5">
        <v>99.7</v>
      </c>
      <c r="H28163" s="5">
        <v>99.6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100.2</v>
      </c>
      <c r="D28164" s="5">
        <v>0.1</v>
      </c>
      <c r="E28164" s="5">
        <v>100.3</v>
      </c>
      <c r="F28164" s="5">
        <v>200.3</v>
      </c>
      <c r="G28164" s="5">
        <v>99.9</v>
      </c>
      <c r="H28164" s="5">
        <v>99.8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100.2</v>
      </c>
      <c r="D28165" s="5">
        <v>0.1</v>
      </c>
      <c r="E28165" s="5">
        <v>100.3</v>
      </c>
      <c r="F28165" s="5">
        <v>200.3</v>
      </c>
      <c r="G28165" s="5">
        <v>99.9</v>
      </c>
      <c r="H28165" s="5">
        <v>99.8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100.2</v>
      </c>
      <c r="D28166" s="5">
        <v>0.1</v>
      </c>
      <c r="E28166" s="5">
        <v>100.3</v>
      </c>
      <c r="F28166" s="5">
        <v>200.3</v>
      </c>
      <c r="G28166" s="5">
        <v>99.9</v>
      </c>
      <c r="H28166" s="5">
        <v>99.8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100.2</v>
      </c>
      <c r="D28167" s="5">
        <v>0.1</v>
      </c>
      <c r="E28167" s="5">
        <v>100.3</v>
      </c>
      <c r="F28167" s="5">
        <v>200.3</v>
      </c>
      <c r="G28167" s="5">
        <v>99.9</v>
      </c>
      <c r="H28167" s="5">
        <v>99.8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99.6</v>
      </c>
      <c r="D28168" s="5">
        <v>0.1</v>
      </c>
      <c r="E28168" s="5">
        <v>99.8</v>
      </c>
      <c r="F28168" s="5">
        <v>199.7</v>
      </c>
      <c r="G28168" s="5">
        <v>99.6</v>
      </c>
      <c r="H28168" s="5">
        <v>99.5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99.6</v>
      </c>
      <c r="D28169" s="5">
        <v>0.1</v>
      </c>
      <c r="E28169" s="5">
        <v>99.8</v>
      </c>
      <c r="F28169" s="5">
        <v>199.7</v>
      </c>
      <c r="G28169" s="5">
        <v>99.6</v>
      </c>
      <c r="H28169" s="5">
        <v>99.5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101.7</v>
      </c>
      <c r="D28170" s="5">
        <v>0.1</v>
      </c>
      <c r="E28170" s="5">
        <v>101.8</v>
      </c>
      <c r="F28170" s="5">
        <v>202.9</v>
      </c>
      <c r="G28170" s="5">
        <v>101.2</v>
      </c>
      <c r="H28170" s="5">
        <v>101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101.7</v>
      </c>
      <c r="D28171" s="5">
        <v>0.1</v>
      </c>
      <c r="E28171" s="5">
        <v>101.8</v>
      </c>
      <c r="F28171" s="5">
        <v>202.9</v>
      </c>
      <c r="G28171" s="5">
        <v>101.2</v>
      </c>
      <c r="H28171" s="5">
        <v>101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102.1</v>
      </c>
      <c r="D28172" s="5">
        <v>0.1</v>
      </c>
      <c r="E28172" s="5">
        <v>102.2</v>
      </c>
      <c r="F28172" s="5">
        <v>204.4</v>
      </c>
      <c r="G28172" s="5">
        <v>102</v>
      </c>
      <c r="H28172" s="5">
        <v>101.7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102.1</v>
      </c>
      <c r="D28173" s="5">
        <v>0.1</v>
      </c>
      <c r="E28173" s="5">
        <v>102.2</v>
      </c>
      <c r="F28173" s="5">
        <v>204.4</v>
      </c>
      <c r="G28173" s="5">
        <v>102</v>
      </c>
      <c r="H28173" s="5">
        <v>101.7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102</v>
      </c>
      <c r="D28174" s="5">
        <v>0.1</v>
      </c>
      <c r="E28174" s="5">
        <v>102.1</v>
      </c>
      <c r="F28174" s="5">
        <v>203.6</v>
      </c>
      <c r="G28174" s="5">
        <v>101.6</v>
      </c>
      <c r="H28174" s="5">
        <v>101.4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102</v>
      </c>
      <c r="D28175" s="5">
        <v>0.1</v>
      </c>
      <c r="E28175" s="5">
        <v>102.1</v>
      </c>
      <c r="F28175" s="5">
        <v>203.6</v>
      </c>
      <c r="G28175" s="5">
        <v>101.6</v>
      </c>
      <c r="H28175" s="5">
        <v>101.4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102</v>
      </c>
      <c r="D28176" s="5">
        <v>0.1</v>
      </c>
      <c r="E28176" s="5">
        <v>102.1</v>
      </c>
      <c r="F28176" s="5">
        <v>203.6</v>
      </c>
      <c r="G28176" s="5">
        <v>101.6</v>
      </c>
      <c r="H28176" s="5">
        <v>101.4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102.9</v>
      </c>
      <c r="D28177" s="5">
        <v>0.1</v>
      </c>
      <c r="E28177" s="5">
        <v>103.1</v>
      </c>
      <c r="F28177" s="5">
        <v>205.4</v>
      </c>
      <c r="G28177" s="5">
        <v>102.5</v>
      </c>
      <c r="H28177" s="5">
        <v>102.4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102.9</v>
      </c>
      <c r="D28178" s="5">
        <v>0.1</v>
      </c>
      <c r="E28178" s="5">
        <v>103.1</v>
      </c>
      <c r="F28178" s="5">
        <v>205.4</v>
      </c>
      <c r="G28178" s="5">
        <v>102.5</v>
      </c>
      <c r="H28178" s="5">
        <v>102.4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102.5</v>
      </c>
      <c r="D28179" s="5">
        <v>0.1</v>
      </c>
      <c r="E28179" s="5">
        <v>102.7</v>
      </c>
      <c r="F28179" s="5">
        <v>205.7</v>
      </c>
      <c r="G28179" s="5">
        <v>102.6</v>
      </c>
      <c r="H28179" s="5">
        <v>102.4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102.5</v>
      </c>
      <c r="D28180" s="5">
        <v>0.1</v>
      </c>
      <c r="E28180" s="5">
        <v>102.7</v>
      </c>
      <c r="F28180" s="5">
        <v>205.7</v>
      </c>
      <c r="G28180" s="5">
        <v>102.6</v>
      </c>
      <c r="H28180" s="5">
        <v>102.4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102</v>
      </c>
      <c r="D28181" s="5">
        <v>0.1</v>
      </c>
      <c r="E28181" s="5">
        <v>102.1</v>
      </c>
      <c r="F28181" s="5">
        <v>203.6</v>
      </c>
      <c r="G28181" s="5">
        <v>101.6</v>
      </c>
      <c r="H28181" s="5">
        <v>101.4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102</v>
      </c>
      <c r="D28182" s="5">
        <v>0.1</v>
      </c>
      <c r="E28182" s="5">
        <v>102.1</v>
      </c>
      <c r="F28182" s="5">
        <v>203.6</v>
      </c>
      <c r="G28182" s="5">
        <v>101.6</v>
      </c>
      <c r="H28182" s="5">
        <v>101.4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102</v>
      </c>
      <c r="D28183" s="5">
        <v>0.1</v>
      </c>
      <c r="E28183" s="5">
        <v>101.8</v>
      </c>
      <c r="F28183" s="5">
        <v>203.1</v>
      </c>
      <c r="G28183" s="5">
        <v>101.2</v>
      </c>
      <c r="H28183" s="5">
        <v>100.9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101.7</v>
      </c>
      <c r="D28184" s="5">
        <v>0.1</v>
      </c>
      <c r="E28184" s="5">
        <v>101.8</v>
      </c>
      <c r="F28184" s="5">
        <v>203.1</v>
      </c>
      <c r="G28184" s="5">
        <v>101.2</v>
      </c>
      <c r="H28184" s="5">
        <v>100.9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101.7</v>
      </c>
      <c r="D28185" s="5">
        <v>0.1</v>
      </c>
      <c r="E28185" s="5">
        <v>101.8</v>
      </c>
      <c r="F28185" s="5">
        <v>203.1</v>
      </c>
      <c r="G28185" s="5">
        <v>101.2</v>
      </c>
      <c r="H28185" s="5">
        <v>100.9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101.7</v>
      </c>
      <c r="D28186" s="5">
        <v>0.1</v>
      </c>
      <c r="E28186" s="5">
        <v>101.8</v>
      </c>
      <c r="F28186" s="5">
        <v>203.1</v>
      </c>
      <c r="G28186" s="5">
        <v>101.2</v>
      </c>
      <c r="H28186" s="5">
        <v>100.9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100.6</v>
      </c>
      <c r="D28187" s="5">
        <v>0.1</v>
      </c>
      <c r="E28187" s="5">
        <v>100.8</v>
      </c>
      <c r="F28187" s="5">
        <v>203.1</v>
      </c>
      <c r="G28187" s="5">
        <v>101.2</v>
      </c>
      <c r="H28187" s="5">
        <v>100.9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100.6</v>
      </c>
      <c r="D28188" s="5">
        <v>0.1</v>
      </c>
      <c r="E28188" s="5">
        <v>100.8</v>
      </c>
      <c r="F28188" s="5">
        <v>202.1</v>
      </c>
      <c r="G28188" s="5">
        <v>100.8</v>
      </c>
      <c r="H28188" s="5">
        <v>100.6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101.8</v>
      </c>
      <c r="D28189" s="5">
        <v>0.1</v>
      </c>
      <c r="E28189" s="5">
        <v>100.8</v>
      </c>
      <c r="F28189" s="5">
        <v>202.1</v>
      </c>
      <c r="G28189" s="5">
        <v>100.8</v>
      </c>
      <c r="H28189" s="5">
        <v>100.6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101.8</v>
      </c>
      <c r="D28190" s="5">
        <v>0.1</v>
      </c>
      <c r="E28190" s="5">
        <v>101.9</v>
      </c>
      <c r="F28190" s="5">
        <v>203.4</v>
      </c>
      <c r="G28190" s="5">
        <v>101.5</v>
      </c>
      <c r="H28190" s="5">
        <v>101.4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101.8</v>
      </c>
      <c r="D28191" s="5">
        <v>0.1</v>
      </c>
      <c r="E28191" s="5">
        <v>101.9</v>
      </c>
      <c r="F28191" s="5">
        <v>203.4</v>
      </c>
      <c r="G28191" s="5">
        <v>101.5</v>
      </c>
      <c r="H28191" s="5">
        <v>101.4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101.1</v>
      </c>
      <c r="D28192" s="5">
        <v>0.1</v>
      </c>
      <c r="E28192" s="5">
        <v>101.3</v>
      </c>
      <c r="F28192" s="5">
        <v>202.2</v>
      </c>
      <c r="G28192" s="5">
        <v>100.9</v>
      </c>
      <c r="H28192" s="5">
        <v>100.8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101.1</v>
      </c>
      <c r="D28193" s="5">
        <v>0.1</v>
      </c>
      <c r="E28193" s="5">
        <v>101.3</v>
      </c>
      <c r="F28193" s="5">
        <v>202.2</v>
      </c>
      <c r="G28193" s="5">
        <v>100.9</v>
      </c>
      <c r="H28193" s="5">
        <v>100.8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101.6</v>
      </c>
      <c r="D28194" s="5">
        <v>0.1</v>
      </c>
      <c r="E28194" s="5">
        <v>101.8</v>
      </c>
      <c r="F28194" s="5">
        <v>202.8</v>
      </c>
      <c r="G28194" s="5">
        <v>101.2</v>
      </c>
      <c r="H28194" s="5">
        <v>101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101.6</v>
      </c>
      <c r="D28195" s="5">
        <v>0.1</v>
      </c>
      <c r="E28195" s="5">
        <v>101.8</v>
      </c>
      <c r="F28195" s="5">
        <v>202.8</v>
      </c>
      <c r="G28195" s="5">
        <v>101.2</v>
      </c>
      <c r="H28195" s="5">
        <v>101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101.6</v>
      </c>
      <c r="D28196" s="5">
        <v>0.1</v>
      </c>
      <c r="E28196" s="5">
        <v>101.8</v>
      </c>
      <c r="F28196" s="5">
        <v>202.8</v>
      </c>
      <c r="G28196" s="5">
        <v>101.2</v>
      </c>
      <c r="H28196" s="5">
        <v>101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101.6</v>
      </c>
      <c r="D28197" s="5">
        <v>0.1</v>
      </c>
      <c r="E28197" s="5">
        <v>101.8</v>
      </c>
      <c r="F28197" s="5">
        <v>202.8</v>
      </c>
      <c r="G28197" s="5">
        <v>101.2</v>
      </c>
      <c r="H28197" s="5">
        <v>101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101.3</v>
      </c>
      <c r="D28198" s="5">
        <v>0.1</v>
      </c>
      <c r="E28198" s="5">
        <v>101.5</v>
      </c>
      <c r="F28198" s="5">
        <v>202.4</v>
      </c>
      <c r="G28198" s="5">
        <v>101</v>
      </c>
      <c r="H28198" s="5">
        <v>100.9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101.3</v>
      </c>
      <c r="D28199" s="5">
        <v>0.1</v>
      </c>
      <c r="E28199" s="5">
        <v>101.5</v>
      </c>
      <c r="F28199" s="5">
        <v>202.4</v>
      </c>
      <c r="G28199" s="5">
        <v>101</v>
      </c>
      <c r="H28199" s="5">
        <v>100.9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103.4</v>
      </c>
      <c r="D28200" s="5">
        <v>0.1</v>
      </c>
      <c r="E28200" s="5">
        <v>103.6</v>
      </c>
      <c r="F28200" s="5">
        <v>206.6</v>
      </c>
      <c r="G28200" s="5">
        <v>103</v>
      </c>
      <c r="H28200" s="5">
        <v>102.9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103.4</v>
      </c>
      <c r="D28201" s="5">
        <v>0.1</v>
      </c>
      <c r="E28201" s="5">
        <v>103.6</v>
      </c>
      <c r="F28201" s="5">
        <v>206.6</v>
      </c>
      <c r="G28201" s="5">
        <v>103</v>
      </c>
      <c r="H28201" s="5">
        <v>102.9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103.4</v>
      </c>
      <c r="D28202" s="5">
        <v>0.1</v>
      </c>
      <c r="E28202" s="5">
        <v>103.4</v>
      </c>
      <c r="F28202" s="5">
        <v>206.7</v>
      </c>
      <c r="G28202" s="5">
        <v>103.1</v>
      </c>
      <c r="H28202" s="5">
        <v>103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103.4</v>
      </c>
      <c r="D28203" s="5">
        <v>0.1</v>
      </c>
      <c r="E28203" s="5">
        <v>103.4</v>
      </c>
      <c r="F28203" s="5">
        <v>206.7</v>
      </c>
      <c r="G28203" s="5">
        <v>103.1</v>
      </c>
      <c r="H28203" s="5">
        <v>103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103</v>
      </c>
      <c r="D28204" s="5">
        <v>0.1</v>
      </c>
      <c r="E28204" s="5">
        <v>103.1</v>
      </c>
      <c r="F28204" s="5">
        <v>206.1</v>
      </c>
      <c r="G28204" s="5">
        <v>102.8</v>
      </c>
      <c r="H28204" s="5">
        <v>102.6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103</v>
      </c>
      <c r="D28205" s="5">
        <v>0.1</v>
      </c>
      <c r="E28205" s="5">
        <v>103.1</v>
      </c>
      <c r="F28205" s="5">
        <v>206.1</v>
      </c>
      <c r="G28205" s="5">
        <v>102.8</v>
      </c>
      <c r="H28205" s="5">
        <v>102.6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103</v>
      </c>
      <c r="D28206" s="5">
        <v>0.1</v>
      </c>
      <c r="E28206" s="5">
        <v>103.1</v>
      </c>
      <c r="F28206" s="5">
        <v>206.1</v>
      </c>
      <c r="G28206" s="5">
        <v>102.8</v>
      </c>
      <c r="H28206" s="5">
        <v>102.6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103</v>
      </c>
      <c r="D28207" s="5">
        <v>0.1</v>
      </c>
      <c r="E28207" s="5">
        <v>103.6</v>
      </c>
      <c r="F28207" s="5">
        <v>205.5</v>
      </c>
      <c r="G28207" s="5">
        <v>102.5</v>
      </c>
      <c r="H28207" s="5">
        <v>102.5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103.4</v>
      </c>
      <c r="D28208" s="5">
        <v>0.1</v>
      </c>
      <c r="E28208" s="5">
        <v>103.6</v>
      </c>
      <c r="F28208" s="5">
        <v>205.5</v>
      </c>
      <c r="G28208" s="5">
        <v>102.5</v>
      </c>
      <c r="H28208" s="5">
        <v>102.5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103.4</v>
      </c>
      <c r="D28209" s="5">
        <v>0.1</v>
      </c>
      <c r="E28209" s="5">
        <v>102.1</v>
      </c>
      <c r="F28209" s="5">
        <v>203.7</v>
      </c>
      <c r="G28209" s="5">
        <v>101.6</v>
      </c>
      <c r="H28209" s="5">
        <v>101.4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102</v>
      </c>
      <c r="D28210" s="5">
        <v>0.1</v>
      </c>
      <c r="E28210" s="5">
        <v>102.1</v>
      </c>
      <c r="F28210" s="5">
        <v>203.7</v>
      </c>
      <c r="G28210" s="5">
        <v>101.6</v>
      </c>
      <c r="H28210" s="5">
        <v>101.4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102</v>
      </c>
      <c r="D28211" s="5">
        <v>0.1</v>
      </c>
      <c r="E28211" s="5">
        <v>102.1</v>
      </c>
      <c r="F28211" s="5">
        <v>203.7</v>
      </c>
      <c r="G28211" s="5">
        <v>101.2</v>
      </c>
      <c r="H28211" s="5">
        <v>101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101.5</v>
      </c>
      <c r="D28212" s="5">
        <v>0.1</v>
      </c>
      <c r="E28212" s="5">
        <v>101.6</v>
      </c>
      <c r="F28212" s="5">
        <v>202.9</v>
      </c>
      <c r="G28212" s="5">
        <v>101.2</v>
      </c>
      <c r="H28212" s="5">
        <v>101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101.5</v>
      </c>
      <c r="D28213" s="5">
        <v>0.1</v>
      </c>
      <c r="E28213" s="5">
        <v>101.6</v>
      </c>
      <c r="F28213" s="5">
        <v>202.9</v>
      </c>
      <c r="G28213" s="5">
        <v>101.2</v>
      </c>
      <c r="H28213" s="5">
        <v>101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101.8</v>
      </c>
      <c r="D28214" s="5">
        <v>0.1</v>
      </c>
      <c r="E28214" s="5">
        <v>101.9</v>
      </c>
      <c r="F28214" s="5">
        <v>203.6</v>
      </c>
      <c r="G28214" s="5">
        <v>101.5</v>
      </c>
      <c r="H28214" s="5">
        <v>101.3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101.8</v>
      </c>
      <c r="D28215" s="5">
        <v>0.1</v>
      </c>
      <c r="E28215" s="5">
        <v>101.9</v>
      </c>
      <c r="F28215" s="5">
        <v>203.6</v>
      </c>
      <c r="G28215" s="5">
        <v>101.5</v>
      </c>
      <c r="H28215" s="5">
        <v>101.3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101.8</v>
      </c>
      <c r="D28216" s="5">
        <v>0.1</v>
      </c>
      <c r="E28216" s="5">
        <v>101.9</v>
      </c>
      <c r="F28216" s="5">
        <v>203.6</v>
      </c>
      <c r="G28216" s="5">
        <v>101.5</v>
      </c>
      <c r="H28216" s="5">
        <v>101.3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101.3</v>
      </c>
      <c r="D28217" s="5">
        <v>0.1</v>
      </c>
      <c r="E28217" s="5">
        <v>101.5</v>
      </c>
      <c r="F28217" s="5">
        <v>202.3</v>
      </c>
      <c r="G28217" s="5">
        <v>100.9</v>
      </c>
      <c r="H28217" s="5">
        <v>100.7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101.3</v>
      </c>
      <c r="D28218" s="5">
        <v>0.1</v>
      </c>
      <c r="E28218" s="5">
        <v>101.5</v>
      </c>
      <c r="F28218" s="5">
        <v>202.3</v>
      </c>
      <c r="G28218" s="5">
        <v>100.9</v>
      </c>
      <c r="H28218" s="5">
        <v>100.7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100.7</v>
      </c>
      <c r="D28219" s="5">
        <v>0.1</v>
      </c>
      <c r="E28219" s="5">
        <v>100.8</v>
      </c>
      <c r="F28219" s="5">
        <v>201.1</v>
      </c>
      <c r="G28219" s="5">
        <v>100.3</v>
      </c>
      <c r="H28219" s="5">
        <v>100.2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100.7</v>
      </c>
      <c r="D28220" s="5">
        <v>0.1</v>
      </c>
      <c r="E28220" s="5">
        <v>100.8</v>
      </c>
      <c r="F28220" s="5">
        <v>201.1</v>
      </c>
      <c r="G28220" s="5">
        <v>100.3</v>
      </c>
      <c r="H28220" s="5">
        <v>100.2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101.2</v>
      </c>
      <c r="D28221" s="5">
        <v>0.1</v>
      </c>
      <c r="E28221" s="5">
        <v>101.4</v>
      </c>
      <c r="F28221" s="5">
        <v>202.2</v>
      </c>
      <c r="G28221" s="5">
        <v>100.9</v>
      </c>
      <c r="H28221" s="5">
        <v>100.8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101.2</v>
      </c>
      <c r="D28222" s="5">
        <v>0.1</v>
      </c>
      <c r="E28222" s="5">
        <v>101.4</v>
      </c>
      <c r="F28222" s="5">
        <v>202.2</v>
      </c>
      <c r="G28222" s="5">
        <v>100.9</v>
      </c>
      <c r="H28222" s="5">
        <v>100.8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101.1</v>
      </c>
      <c r="D28223" s="5">
        <v>0.1</v>
      </c>
      <c r="E28223" s="5">
        <v>101.3</v>
      </c>
      <c r="F28223" s="5">
        <v>201.9</v>
      </c>
      <c r="G28223" s="5">
        <v>100.8</v>
      </c>
      <c r="H28223" s="5">
        <v>100.6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101.1</v>
      </c>
      <c r="D28224" s="5">
        <v>0.1</v>
      </c>
      <c r="E28224" s="5">
        <v>101.3</v>
      </c>
      <c r="F28224" s="5">
        <v>201.9</v>
      </c>
      <c r="G28224" s="5">
        <v>100.8</v>
      </c>
      <c r="H28224" s="5">
        <v>100.6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101.1</v>
      </c>
      <c r="D28225" s="5">
        <v>0.1</v>
      </c>
      <c r="E28225" s="5">
        <v>101.3</v>
      </c>
      <c r="F28225" s="5">
        <v>201.9</v>
      </c>
      <c r="G28225" s="5">
        <v>100.8</v>
      </c>
      <c r="H28225" s="5">
        <v>100.6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101.1</v>
      </c>
      <c r="D28226" s="5">
        <v>0.1</v>
      </c>
      <c r="E28226" s="5">
        <v>101.3</v>
      </c>
      <c r="F28226" s="5">
        <v>201.9</v>
      </c>
      <c r="G28226" s="5">
        <v>100.8</v>
      </c>
      <c r="H28226" s="5">
        <v>100.6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102.6</v>
      </c>
      <c r="D28227" s="5">
        <v>0.1</v>
      </c>
      <c r="E28227" s="5">
        <v>102.7</v>
      </c>
      <c r="F28227" s="5">
        <v>204.7</v>
      </c>
      <c r="G28227" s="5">
        <v>102.2</v>
      </c>
      <c r="H28227" s="5">
        <v>102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102.6</v>
      </c>
      <c r="D28228" s="5">
        <v>0.1</v>
      </c>
      <c r="E28228" s="5">
        <v>102.7</v>
      </c>
      <c r="F28228" s="5">
        <v>204.7</v>
      </c>
      <c r="G28228" s="5">
        <v>102.2</v>
      </c>
      <c r="H28228" s="5">
        <v>102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102.5</v>
      </c>
      <c r="D28229" s="5">
        <v>0.1</v>
      </c>
      <c r="E28229" s="5">
        <v>102.7</v>
      </c>
      <c r="F28229" s="5">
        <v>204.4</v>
      </c>
      <c r="G28229" s="5">
        <v>102</v>
      </c>
      <c r="H28229" s="5">
        <v>101.9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102.5</v>
      </c>
      <c r="D28230" s="5">
        <v>0.1</v>
      </c>
      <c r="E28230" s="5">
        <v>102.7</v>
      </c>
      <c r="F28230" s="5">
        <v>204.4</v>
      </c>
      <c r="G28230" s="5">
        <v>102</v>
      </c>
      <c r="H28230" s="5">
        <v>101.9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103</v>
      </c>
      <c r="D28231" s="5">
        <v>0.1</v>
      </c>
      <c r="E28231" s="5">
        <v>103.1</v>
      </c>
      <c r="F28231" s="5">
        <v>205.8</v>
      </c>
      <c r="G28231" s="5">
        <v>102.7</v>
      </c>
      <c r="H28231" s="5">
        <v>102.6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103</v>
      </c>
      <c r="D28232" s="5">
        <v>0.1</v>
      </c>
      <c r="E28232" s="5">
        <v>103.1</v>
      </c>
      <c r="F28232" s="5">
        <v>205.8</v>
      </c>
      <c r="G28232" s="5">
        <v>102.7</v>
      </c>
      <c r="H28232" s="5">
        <v>102.6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101.2</v>
      </c>
      <c r="D28233" s="5">
        <v>0.1</v>
      </c>
      <c r="E28233" s="5">
        <v>101.4</v>
      </c>
      <c r="F28233" s="5">
        <v>200.2</v>
      </c>
      <c r="G28233" s="5">
        <v>99.8</v>
      </c>
      <c r="H28233" s="5">
        <v>99.7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101.2</v>
      </c>
      <c r="D28234" s="5">
        <v>0.1</v>
      </c>
      <c r="E28234" s="5">
        <v>101.4</v>
      </c>
      <c r="F28234" s="5">
        <v>200.2</v>
      </c>
      <c r="G28234" s="5">
        <v>99.8</v>
      </c>
      <c r="H28234" s="5">
        <v>99.7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101.2</v>
      </c>
      <c r="D28235" s="5">
        <v>0.1</v>
      </c>
      <c r="E28235" s="5">
        <v>101.4</v>
      </c>
      <c r="F28235" s="5">
        <v>200.2</v>
      </c>
      <c r="G28235" s="5">
        <v>99.8</v>
      </c>
      <c r="H28235" s="5">
        <v>99.7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101.2</v>
      </c>
      <c r="D28236" s="5">
        <v>0.1</v>
      </c>
      <c r="E28236" s="5">
        <v>101.4</v>
      </c>
      <c r="F28236" s="5">
        <v>200.2</v>
      </c>
      <c r="G28236" s="5">
        <v>99.8</v>
      </c>
      <c r="H28236" s="5">
        <v>99.7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101.9</v>
      </c>
      <c r="D28237" s="5">
        <v>0.1</v>
      </c>
      <c r="E28237" s="5">
        <v>102.1</v>
      </c>
      <c r="F28237" s="5">
        <v>203.5</v>
      </c>
      <c r="G28237" s="5">
        <v>101.5</v>
      </c>
      <c r="H28237" s="5">
        <v>101.4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101.9</v>
      </c>
      <c r="D28238" s="5">
        <v>0.1</v>
      </c>
      <c r="E28238" s="5">
        <v>102.1</v>
      </c>
      <c r="F28238" s="5">
        <v>203.5</v>
      </c>
      <c r="G28238" s="5">
        <v>101.5</v>
      </c>
      <c r="H28238" s="5">
        <v>101.4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101.8</v>
      </c>
      <c r="D28239" s="5">
        <v>0.1</v>
      </c>
      <c r="E28239" s="5">
        <v>102</v>
      </c>
      <c r="F28239" s="5">
        <v>203.8</v>
      </c>
      <c r="G28239" s="5">
        <v>101.7</v>
      </c>
      <c r="H28239" s="5">
        <v>101.5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101.8</v>
      </c>
      <c r="D28240" s="5">
        <v>0.1</v>
      </c>
      <c r="E28240" s="5">
        <v>102</v>
      </c>
      <c r="F28240" s="5">
        <v>203.8</v>
      </c>
      <c r="G28240" s="5">
        <v>101.7</v>
      </c>
      <c r="H28240" s="5">
        <v>101.5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101.5</v>
      </c>
      <c r="D28241" s="5">
        <v>0.1</v>
      </c>
      <c r="E28241" s="5">
        <v>101.7</v>
      </c>
      <c r="F28241" s="5">
        <v>202.2</v>
      </c>
      <c r="G28241" s="5">
        <v>100.9</v>
      </c>
      <c r="H28241" s="5">
        <v>100.8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101.5</v>
      </c>
      <c r="D28242" s="5">
        <v>0.1</v>
      </c>
      <c r="E28242" s="5">
        <v>101.7</v>
      </c>
      <c r="F28242" s="5">
        <v>202.2</v>
      </c>
      <c r="G28242" s="5">
        <v>100.9</v>
      </c>
      <c r="H28242" s="5">
        <v>100.8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101.5</v>
      </c>
      <c r="D28243" s="5">
        <v>0.1</v>
      </c>
      <c r="E28243" s="5">
        <v>101.7</v>
      </c>
      <c r="F28243" s="5">
        <v>202.9</v>
      </c>
      <c r="G28243" s="5">
        <v>101.2</v>
      </c>
      <c r="H28243" s="5">
        <v>101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101.5</v>
      </c>
      <c r="D28244" s="5">
        <v>0.1</v>
      </c>
      <c r="E28244" s="5">
        <v>101.7</v>
      </c>
      <c r="F28244" s="5">
        <v>202.9</v>
      </c>
      <c r="G28244" s="5">
        <v>101.2</v>
      </c>
      <c r="H28244" s="5">
        <v>101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101.5</v>
      </c>
      <c r="D28245" s="5">
        <v>0.1</v>
      </c>
      <c r="E28245" s="5">
        <v>101.7</v>
      </c>
      <c r="F28245" s="5">
        <v>202.9</v>
      </c>
      <c r="G28245" s="5">
        <v>101.2</v>
      </c>
      <c r="H28245" s="5">
        <v>101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101.5</v>
      </c>
      <c r="D28246" s="5">
        <v>0.1</v>
      </c>
      <c r="E28246" s="5">
        <v>101.7</v>
      </c>
      <c r="F28246" s="5">
        <v>202.9</v>
      </c>
      <c r="G28246" s="5">
        <v>101.2</v>
      </c>
      <c r="H28246" s="5">
        <v>101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102.1</v>
      </c>
      <c r="D28247" s="5">
        <v>0.1</v>
      </c>
      <c r="E28247" s="5">
        <v>102.2</v>
      </c>
      <c r="F28247" s="5">
        <v>203.7</v>
      </c>
      <c r="G28247" s="5">
        <v>101.6</v>
      </c>
      <c r="H28247" s="5">
        <v>101.5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102.1</v>
      </c>
      <c r="D28248" s="5">
        <v>0.1</v>
      </c>
      <c r="E28248" s="5">
        <v>102.2</v>
      </c>
      <c r="F28248" s="5">
        <v>203.7</v>
      </c>
      <c r="G28248" s="5">
        <v>101.6</v>
      </c>
      <c r="H28248" s="5">
        <v>101.5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101.6</v>
      </c>
      <c r="D28249" s="5">
        <v>0.1</v>
      </c>
      <c r="E28249" s="5">
        <v>101.8</v>
      </c>
      <c r="F28249" s="5">
        <v>203.1</v>
      </c>
      <c r="G28249" s="5">
        <v>101.3</v>
      </c>
      <c r="H28249" s="5">
        <v>101.2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101.6</v>
      </c>
      <c r="D28250" s="5">
        <v>0.1</v>
      </c>
      <c r="E28250" s="5">
        <v>101.8</v>
      </c>
      <c r="F28250" s="5">
        <v>203.1</v>
      </c>
      <c r="G28250" s="5">
        <v>101.3</v>
      </c>
      <c r="H28250" s="5">
        <v>101.2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102.2</v>
      </c>
      <c r="D28251" s="5">
        <v>0.1</v>
      </c>
      <c r="E28251" s="5">
        <v>102.3</v>
      </c>
      <c r="F28251" s="5">
        <v>204.4</v>
      </c>
      <c r="G28251" s="5">
        <v>101.9</v>
      </c>
      <c r="H28251" s="5">
        <v>101.8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102.2</v>
      </c>
      <c r="D28252" s="5">
        <v>0.1</v>
      </c>
      <c r="E28252" s="5">
        <v>102.3</v>
      </c>
      <c r="F28252" s="5">
        <v>204.4</v>
      </c>
      <c r="G28252" s="5">
        <v>101.9</v>
      </c>
      <c r="H28252" s="5">
        <v>101.8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103.9</v>
      </c>
      <c r="D28253" s="5">
        <v>0.1</v>
      </c>
      <c r="E28253" s="5">
        <v>104</v>
      </c>
      <c r="F28253" s="5">
        <v>207.8</v>
      </c>
      <c r="G28253" s="5">
        <v>103.6</v>
      </c>
      <c r="H28253" s="5">
        <v>103.5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103.9</v>
      </c>
      <c r="D28254" s="5">
        <v>0.1</v>
      </c>
      <c r="E28254" s="5">
        <v>104</v>
      </c>
      <c r="F28254" s="5">
        <v>207.8</v>
      </c>
      <c r="G28254" s="5">
        <v>103.6</v>
      </c>
      <c r="H28254" s="5">
        <v>103.5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103.9</v>
      </c>
      <c r="D28255" s="5">
        <v>0.1</v>
      </c>
      <c r="E28255" s="5">
        <v>104</v>
      </c>
      <c r="F28255" s="5">
        <v>207.8</v>
      </c>
      <c r="G28255" s="5">
        <v>103.6</v>
      </c>
      <c r="H28255" s="5">
        <v>103.5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103.9</v>
      </c>
      <c r="D28256" s="5">
        <v>0.1</v>
      </c>
      <c r="E28256" s="5">
        <v>104</v>
      </c>
      <c r="F28256" s="5">
        <v>207.8</v>
      </c>
      <c r="G28256" s="5">
        <v>103.6</v>
      </c>
      <c r="H28256" s="5">
        <v>103.5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102.2</v>
      </c>
      <c r="D28257" s="5">
        <v>0.1</v>
      </c>
      <c r="E28257" s="5">
        <v>102.4</v>
      </c>
      <c r="F28257" s="5">
        <v>204.4</v>
      </c>
      <c r="G28257" s="5">
        <v>102</v>
      </c>
      <c r="H28257" s="5">
        <v>101.8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102.2</v>
      </c>
      <c r="D28258" s="5">
        <v>0.1</v>
      </c>
      <c r="E28258" s="5">
        <v>102.4</v>
      </c>
      <c r="F28258" s="5">
        <v>204.4</v>
      </c>
      <c r="G28258" s="5">
        <v>102</v>
      </c>
      <c r="H28258" s="5">
        <v>101.8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101.5</v>
      </c>
      <c r="D28259" s="5">
        <v>0.1</v>
      </c>
      <c r="E28259" s="5">
        <v>101.6</v>
      </c>
      <c r="F28259" s="5">
        <v>202.8</v>
      </c>
      <c r="G28259" s="5">
        <v>101.2</v>
      </c>
      <c r="H28259" s="5">
        <v>100.9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101.5</v>
      </c>
      <c r="D28260" s="5">
        <v>0.1</v>
      </c>
      <c r="E28260" s="5">
        <v>101.6</v>
      </c>
      <c r="F28260" s="5">
        <v>202.8</v>
      </c>
      <c r="G28260" s="5">
        <v>101.2</v>
      </c>
      <c r="H28260" s="5">
        <v>100.9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99.7</v>
      </c>
      <c r="D28261" s="5">
        <v>0.1</v>
      </c>
      <c r="E28261" s="5">
        <v>99.9</v>
      </c>
      <c r="F28261" s="5">
        <v>199.1</v>
      </c>
      <c r="G28261" s="5">
        <v>99.4</v>
      </c>
      <c r="H28261" s="5">
        <v>99.2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99.7</v>
      </c>
      <c r="D28262" s="5">
        <v>0.1</v>
      </c>
      <c r="E28262" s="5">
        <v>99.9</v>
      </c>
      <c r="F28262" s="5">
        <v>199.1</v>
      </c>
      <c r="G28262" s="5">
        <v>99.4</v>
      </c>
      <c r="H28262" s="5">
        <v>99.2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101</v>
      </c>
      <c r="D28263" s="5">
        <v>0.1</v>
      </c>
      <c r="E28263" s="5">
        <v>101.1</v>
      </c>
      <c r="F28263" s="5">
        <v>201.5</v>
      </c>
      <c r="G28263" s="5">
        <v>100.6</v>
      </c>
      <c r="H28263" s="5">
        <v>100.4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101</v>
      </c>
      <c r="D28264" s="5">
        <v>0.1</v>
      </c>
      <c r="E28264" s="5">
        <v>101.1</v>
      </c>
      <c r="F28264" s="5">
        <v>201.5</v>
      </c>
      <c r="G28264" s="5">
        <v>100.6</v>
      </c>
      <c r="H28264" s="5">
        <v>100.4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101</v>
      </c>
      <c r="D28265" s="5">
        <v>0.1</v>
      </c>
      <c r="E28265" s="5">
        <v>101.1</v>
      </c>
      <c r="F28265" s="5">
        <v>201.5</v>
      </c>
      <c r="G28265" s="5">
        <v>100.6</v>
      </c>
      <c r="H28265" s="5">
        <v>100.4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101</v>
      </c>
      <c r="D28266" s="5">
        <v>0.1</v>
      </c>
      <c r="E28266" s="5">
        <v>101.1</v>
      </c>
      <c r="F28266" s="5">
        <v>201.5</v>
      </c>
      <c r="G28266" s="5">
        <v>100.6</v>
      </c>
      <c r="H28266" s="5">
        <v>100.4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100.7</v>
      </c>
      <c r="D28267" s="5">
        <v>0.1</v>
      </c>
      <c r="E28267" s="5">
        <v>100.8</v>
      </c>
      <c r="F28267" s="5">
        <v>200.9</v>
      </c>
      <c r="G28267" s="5">
        <v>100.2</v>
      </c>
      <c r="H28267" s="5">
        <v>100.1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100.7</v>
      </c>
      <c r="D28268" s="5">
        <v>0.1</v>
      </c>
      <c r="E28268" s="5">
        <v>100.8</v>
      </c>
      <c r="F28268" s="5">
        <v>200.9</v>
      </c>
      <c r="G28268" s="5">
        <v>100.2</v>
      </c>
      <c r="H28268" s="5">
        <v>100.1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100.4</v>
      </c>
      <c r="D28269" s="5">
        <v>0.1</v>
      </c>
      <c r="E28269" s="5">
        <v>100.5</v>
      </c>
      <c r="F28269" s="5">
        <v>201.1</v>
      </c>
      <c r="G28269" s="5">
        <v>100.3</v>
      </c>
      <c r="H28269" s="5">
        <v>100.1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100.4</v>
      </c>
      <c r="D28270" s="5">
        <v>0.1</v>
      </c>
      <c r="E28270" s="5">
        <v>100.5</v>
      </c>
      <c r="F28270" s="5">
        <v>201.1</v>
      </c>
      <c r="G28270" s="5">
        <v>100.3</v>
      </c>
      <c r="H28270" s="5">
        <v>100.1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101.2</v>
      </c>
      <c r="D28271" s="5">
        <v>0.1</v>
      </c>
      <c r="E28271" s="5">
        <v>101.4</v>
      </c>
      <c r="F28271" s="5">
        <v>201.2</v>
      </c>
      <c r="G28271" s="5">
        <v>100.4</v>
      </c>
      <c r="H28271" s="5">
        <v>100.3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101.2</v>
      </c>
      <c r="D28272" s="5">
        <v>0.1</v>
      </c>
      <c r="E28272" s="5">
        <v>101.4</v>
      </c>
      <c r="F28272" s="5">
        <v>201.2</v>
      </c>
      <c r="G28272" s="5">
        <v>100.4</v>
      </c>
      <c r="H28272" s="5">
        <v>100.3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100.5</v>
      </c>
      <c r="D28273" s="5">
        <v>0.1</v>
      </c>
      <c r="E28273" s="5">
        <v>100.6</v>
      </c>
      <c r="F28273" s="5">
        <v>200.4</v>
      </c>
      <c r="G28273" s="5">
        <v>100</v>
      </c>
      <c r="H28273" s="5">
        <v>99.9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100.5</v>
      </c>
      <c r="D28274" s="5">
        <v>0.1</v>
      </c>
      <c r="E28274" s="5">
        <v>100.6</v>
      </c>
      <c r="F28274" s="5">
        <v>200.4</v>
      </c>
      <c r="G28274" s="5">
        <v>100</v>
      </c>
      <c r="H28274" s="5">
        <v>99.9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100.5</v>
      </c>
      <c r="D28275" s="5">
        <v>0.1</v>
      </c>
      <c r="E28275" s="5">
        <v>100.6</v>
      </c>
      <c r="F28275" s="5">
        <v>200.4</v>
      </c>
      <c r="G28275" s="5">
        <v>100</v>
      </c>
      <c r="H28275" s="5">
        <v>99.9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100.5</v>
      </c>
      <c r="D28276" s="5">
        <v>0.1</v>
      </c>
      <c r="E28276" s="5">
        <v>100.6</v>
      </c>
      <c r="F28276" s="5">
        <v>200.4</v>
      </c>
      <c r="G28276" s="5">
        <v>100</v>
      </c>
      <c r="H28276" s="5">
        <v>99.9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101.9</v>
      </c>
      <c r="D28277" s="5">
        <v>0.1</v>
      </c>
      <c r="E28277" s="5">
        <v>102.1</v>
      </c>
      <c r="F28277" s="5">
        <v>203.8</v>
      </c>
      <c r="G28277" s="5">
        <v>101.6</v>
      </c>
      <c r="H28277" s="5">
        <v>101.4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101.9</v>
      </c>
      <c r="D28278" s="5">
        <v>0.1</v>
      </c>
      <c r="E28278" s="5">
        <v>102.1</v>
      </c>
      <c r="F28278" s="5">
        <v>203.8</v>
      </c>
      <c r="G28278" s="5">
        <v>101.6</v>
      </c>
      <c r="H28278" s="5">
        <v>101.4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103.9</v>
      </c>
      <c r="D28279" s="5">
        <v>0.1</v>
      </c>
      <c r="E28279" s="5">
        <v>104</v>
      </c>
      <c r="F28279" s="5">
        <v>207.5</v>
      </c>
      <c r="G28279" s="5">
        <v>103.5</v>
      </c>
      <c r="H28279" s="5">
        <v>103.3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103.9</v>
      </c>
      <c r="D28280" s="5">
        <v>0.1</v>
      </c>
      <c r="E28280" s="5">
        <v>104</v>
      </c>
      <c r="F28280" s="5">
        <v>207.5</v>
      </c>
      <c r="G28280" s="5">
        <v>103.5</v>
      </c>
      <c r="H28280" s="5">
        <v>103.3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104</v>
      </c>
      <c r="D28281" s="5">
        <v>0.1</v>
      </c>
      <c r="E28281" s="5">
        <v>104.1</v>
      </c>
      <c r="F28281" s="5">
        <v>207.1</v>
      </c>
      <c r="G28281" s="5">
        <v>103.3</v>
      </c>
      <c r="H28281" s="5">
        <v>103.1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104</v>
      </c>
      <c r="D28282" s="5">
        <v>0.1</v>
      </c>
      <c r="E28282" s="5">
        <v>104.1</v>
      </c>
      <c r="F28282" s="5">
        <v>207.1</v>
      </c>
      <c r="G28282" s="5">
        <v>103.3</v>
      </c>
      <c r="H28282" s="5">
        <v>103.1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103.9</v>
      </c>
      <c r="D28283" s="5">
        <v>0.1</v>
      </c>
      <c r="E28283" s="5">
        <v>104</v>
      </c>
      <c r="F28283" s="5">
        <v>207.3</v>
      </c>
      <c r="G28283" s="5">
        <v>103.4</v>
      </c>
      <c r="H28283" s="5">
        <v>103.2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103.9</v>
      </c>
      <c r="D28284" s="5">
        <v>0.1</v>
      </c>
      <c r="E28284" s="5">
        <v>104</v>
      </c>
      <c r="F28284" s="5">
        <v>207.3</v>
      </c>
      <c r="G28284" s="5">
        <v>103.4</v>
      </c>
      <c r="H28284" s="5">
        <v>103.2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103.9</v>
      </c>
      <c r="D28285" s="5">
        <v>0.1</v>
      </c>
      <c r="E28285" s="5">
        <v>104</v>
      </c>
      <c r="F28285" s="5">
        <v>207.3</v>
      </c>
      <c r="G28285" s="5">
        <v>103.4</v>
      </c>
      <c r="H28285" s="5">
        <v>103.2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103.9</v>
      </c>
      <c r="D28286" s="5">
        <v>0.1</v>
      </c>
      <c r="E28286" s="5">
        <v>104</v>
      </c>
      <c r="F28286" s="5">
        <v>207.3</v>
      </c>
      <c r="G28286" s="5">
        <v>103.4</v>
      </c>
      <c r="H28286" s="5">
        <v>103.2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102.7</v>
      </c>
      <c r="D28287" s="5">
        <v>0.1</v>
      </c>
      <c r="E28287" s="5">
        <v>102.9</v>
      </c>
      <c r="F28287" s="5">
        <v>207.3</v>
      </c>
      <c r="G28287" s="5">
        <v>103.8</v>
      </c>
      <c r="H28287" s="5">
        <v>103.4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102.7</v>
      </c>
      <c r="D28288" s="5">
        <v>0.1</v>
      </c>
      <c r="E28288" s="5">
        <v>102.9</v>
      </c>
      <c r="F28288" s="5">
        <v>207.3</v>
      </c>
      <c r="G28288" s="5">
        <v>103.8</v>
      </c>
      <c r="H28288" s="5">
        <v>103.4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102.8</v>
      </c>
      <c r="D28289" s="5">
        <v>0.1</v>
      </c>
      <c r="E28289" s="5">
        <v>103</v>
      </c>
      <c r="F28289" s="5">
        <v>208.1</v>
      </c>
      <c r="G28289" s="5">
        <v>103.8</v>
      </c>
      <c r="H28289" s="5">
        <v>103.5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102.8</v>
      </c>
      <c r="D28290" s="5">
        <v>0.1</v>
      </c>
      <c r="E28290" s="5">
        <v>103</v>
      </c>
      <c r="F28290" s="5">
        <v>208.1</v>
      </c>
      <c r="G28290" s="5">
        <v>103.8</v>
      </c>
      <c r="H28290" s="5">
        <v>103.5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104.3</v>
      </c>
      <c r="D28291" s="5">
        <v>0.1</v>
      </c>
      <c r="E28291" s="5">
        <v>104.4</v>
      </c>
      <c r="F28291" s="5">
        <v>205.6</v>
      </c>
      <c r="G28291" s="5">
        <v>102.4</v>
      </c>
      <c r="H28291" s="5">
        <v>102.4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104.3</v>
      </c>
      <c r="D28292" s="5">
        <v>0.1</v>
      </c>
      <c r="E28292" s="5">
        <v>104.4</v>
      </c>
      <c r="F28292" s="5">
        <v>205.6</v>
      </c>
      <c r="G28292" s="5">
        <v>102.4</v>
      </c>
      <c r="H28292" s="5">
        <v>102.4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102.8</v>
      </c>
      <c r="D28293" s="5">
        <v>0.1</v>
      </c>
      <c r="E28293" s="5">
        <v>102.9</v>
      </c>
      <c r="F28293" s="5">
        <v>206.1</v>
      </c>
      <c r="G28293" s="5">
        <v>102.8</v>
      </c>
      <c r="H28293" s="5">
        <v>102.6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102.8</v>
      </c>
      <c r="D28294" s="5">
        <v>0.1</v>
      </c>
      <c r="E28294" s="5">
        <v>102.9</v>
      </c>
      <c r="F28294" s="5">
        <v>206.1</v>
      </c>
      <c r="G28294" s="5">
        <v>102.8</v>
      </c>
      <c r="H28294" s="5">
        <v>102.6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102.8</v>
      </c>
      <c r="D28295" s="5">
        <v>0.1</v>
      </c>
      <c r="E28295" s="5">
        <v>102.9</v>
      </c>
      <c r="F28295" s="5">
        <v>206.1</v>
      </c>
      <c r="G28295" s="5">
        <v>102.8</v>
      </c>
      <c r="H28295" s="5">
        <v>102.6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102.8</v>
      </c>
      <c r="D28296" s="5">
        <v>0.1</v>
      </c>
      <c r="E28296" s="5">
        <v>102.9</v>
      </c>
      <c r="F28296" s="5">
        <v>206.1</v>
      </c>
      <c r="G28296" s="5">
        <v>102.8</v>
      </c>
      <c r="H28296" s="5">
        <v>102.6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102.5</v>
      </c>
      <c r="D28297" s="5">
        <v>0.1</v>
      </c>
      <c r="E28297" s="5">
        <v>102.7</v>
      </c>
      <c r="F28297" s="5">
        <v>204.8</v>
      </c>
      <c r="G28297" s="5">
        <v>102.2</v>
      </c>
      <c r="H28297" s="5">
        <v>102.1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102.5</v>
      </c>
      <c r="D28298" s="5">
        <v>0.1</v>
      </c>
      <c r="E28298" s="5">
        <v>102.7</v>
      </c>
      <c r="F28298" s="5">
        <v>204.8</v>
      </c>
      <c r="G28298" s="5">
        <v>102.2</v>
      </c>
      <c r="H28298" s="5">
        <v>102.1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102.4</v>
      </c>
      <c r="D28299" s="5">
        <v>0.1</v>
      </c>
      <c r="E28299" s="5">
        <v>102.5</v>
      </c>
      <c r="F28299" s="5">
        <v>203.6</v>
      </c>
      <c r="G28299" s="5">
        <v>101.6</v>
      </c>
      <c r="H28299" s="5">
        <v>101.5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102.4</v>
      </c>
      <c r="D28300" s="5">
        <v>0.1</v>
      </c>
      <c r="E28300" s="5">
        <v>102.5</v>
      </c>
      <c r="F28300" s="5">
        <v>203.6</v>
      </c>
      <c r="G28300" s="5">
        <v>101.6</v>
      </c>
      <c r="H28300" s="5">
        <v>101.5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103.1</v>
      </c>
      <c r="D28301" s="5">
        <v>0.1</v>
      </c>
      <c r="E28301" s="5">
        <v>103.3</v>
      </c>
      <c r="F28301" s="5">
        <v>205.9</v>
      </c>
      <c r="G28301" s="5">
        <v>102.7</v>
      </c>
      <c r="H28301" s="5">
        <v>102.6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103.1</v>
      </c>
      <c r="D28302" s="5">
        <v>0.1</v>
      </c>
      <c r="E28302" s="5">
        <v>103.3</v>
      </c>
      <c r="F28302" s="5">
        <v>205.9</v>
      </c>
      <c r="G28302" s="5">
        <v>102.7</v>
      </c>
      <c r="H28302" s="5">
        <v>102.6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103.4</v>
      </c>
      <c r="D28303" s="5">
        <v>0.1</v>
      </c>
      <c r="E28303" s="5">
        <v>103.6</v>
      </c>
      <c r="F28303" s="5">
        <v>206.3</v>
      </c>
      <c r="G28303" s="5">
        <v>102.9</v>
      </c>
      <c r="H28303" s="5">
        <v>102.9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103.4</v>
      </c>
      <c r="D28304" s="5">
        <v>0.1</v>
      </c>
      <c r="E28304" s="5">
        <v>103.6</v>
      </c>
      <c r="F28304" s="5">
        <v>206.3</v>
      </c>
      <c r="G28304" s="5">
        <v>102.9</v>
      </c>
      <c r="H28304" s="5">
        <v>102.9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103.4</v>
      </c>
      <c r="D28305" s="5">
        <v>0.1</v>
      </c>
      <c r="E28305" s="5">
        <v>103.6</v>
      </c>
      <c r="F28305" s="5">
        <v>206.3</v>
      </c>
      <c r="G28305" s="5">
        <v>102.9</v>
      </c>
      <c r="H28305" s="5">
        <v>102.9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103.5</v>
      </c>
      <c r="D28306" s="5">
        <v>0.1</v>
      </c>
      <c r="E28306" s="5">
        <v>103.6</v>
      </c>
      <c r="F28306" s="5">
        <v>206.2</v>
      </c>
      <c r="G28306" s="5">
        <v>102.9</v>
      </c>
      <c r="H28306" s="5">
        <v>102.7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103.5</v>
      </c>
      <c r="D28307" s="5">
        <v>0.1</v>
      </c>
      <c r="E28307" s="5">
        <v>103.6</v>
      </c>
      <c r="F28307" s="5">
        <v>206.2</v>
      </c>
      <c r="G28307" s="5">
        <v>102.9</v>
      </c>
      <c r="H28307" s="5">
        <v>102.7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103.4</v>
      </c>
      <c r="D28308" s="5">
        <v>0.1</v>
      </c>
      <c r="E28308" s="5">
        <v>103.5</v>
      </c>
      <c r="F28308" s="5">
        <v>206.4</v>
      </c>
      <c r="G28308" s="5">
        <v>103</v>
      </c>
      <c r="H28308" s="5">
        <v>102.9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103.4</v>
      </c>
      <c r="D28309" s="5">
        <v>0.1</v>
      </c>
      <c r="E28309" s="5">
        <v>103.5</v>
      </c>
      <c r="F28309" s="5">
        <v>206.4</v>
      </c>
      <c r="G28309" s="5">
        <v>103</v>
      </c>
      <c r="H28309" s="5">
        <v>102.9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103.2</v>
      </c>
      <c r="D28310" s="5">
        <v>0.1</v>
      </c>
      <c r="E28310" s="5">
        <v>103.4</v>
      </c>
      <c r="F28310" s="5">
        <v>206</v>
      </c>
      <c r="G28310" s="5">
        <v>102.8</v>
      </c>
      <c r="H28310" s="5">
        <v>102.5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103.2</v>
      </c>
      <c r="D28311" s="5">
        <v>0.1</v>
      </c>
      <c r="E28311" s="5">
        <v>103.4</v>
      </c>
      <c r="F28311" s="5">
        <v>206</v>
      </c>
      <c r="G28311" s="5">
        <v>102.8</v>
      </c>
      <c r="H28311" s="5">
        <v>102.5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103.2</v>
      </c>
      <c r="D28312" s="5">
        <v>0.1</v>
      </c>
      <c r="E28312" s="5">
        <v>103</v>
      </c>
      <c r="F28312" s="5">
        <v>205.8</v>
      </c>
      <c r="G28312" s="5">
        <v>102.7</v>
      </c>
      <c r="H28312" s="5">
        <v>102.6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102.8</v>
      </c>
      <c r="D28313" s="5">
        <v>0.1</v>
      </c>
      <c r="E28313" s="5">
        <v>103</v>
      </c>
      <c r="F28313" s="5">
        <v>205.8</v>
      </c>
      <c r="G28313" s="5">
        <v>102.7</v>
      </c>
      <c r="H28313" s="5">
        <v>102.6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102.8</v>
      </c>
      <c r="D28314" s="5">
        <v>0.1</v>
      </c>
      <c r="E28314" s="5">
        <v>103</v>
      </c>
      <c r="F28314" s="5">
        <v>205.8</v>
      </c>
      <c r="G28314" s="5">
        <v>102.7</v>
      </c>
      <c r="H28314" s="5">
        <v>102.6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102.8</v>
      </c>
      <c r="D28315" s="5">
        <v>0.1</v>
      </c>
      <c r="E28315" s="5">
        <v>103</v>
      </c>
      <c r="F28315" s="5">
        <v>205.8</v>
      </c>
      <c r="G28315" s="5">
        <v>102.7</v>
      </c>
      <c r="H28315" s="5">
        <v>102.6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103.1</v>
      </c>
      <c r="D28316" s="5">
        <v>0.1</v>
      </c>
      <c r="E28316" s="5">
        <v>103.2</v>
      </c>
      <c r="F28316" s="5">
        <v>206.4</v>
      </c>
      <c r="G28316" s="5">
        <v>103</v>
      </c>
      <c r="H28316" s="5">
        <v>102.8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103.1</v>
      </c>
      <c r="D28317" s="5">
        <v>0.1</v>
      </c>
      <c r="E28317" s="5">
        <v>103.2</v>
      </c>
      <c r="F28317" s="5">
        <v>206.4</v>
      </c>
      <c r="G28317" s="5">
        <v>103</v>
      </c>
      <c r="H28317" s="5">
        <v>102.8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103.4</v>
      </c>
      <c r="D28318" s="5">
        <v>0.1</v>
      </c>
      <c r="E28318" s="5">
        <v>103.5</v>
      </c>
      <c r="F28318" s="5">
        <v>206.9</v>
      </c>
      <c r="G28318" s="5">
        <v>103</v>
      </c>
      <c r="H28318" s="5">
        <v>102.8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103.4</v>
      </c>
      <c r="D28319" s="5">
        <v>0.1</v>
      </c>
      <c r="E28319" s="5">
        <v>103.5</v>
      </c>
      <c r="F28319" s="5">
        <v>206.9</v>
      </c>
      <c r="G28319" s="5">
        <v>103.2</v>
      </c>
      <c r="H28319" s="5">
        <v>103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103.7</v>
      </c>
      <c r="D28320" s="5">
        <v>0.1</v>
      </c>
      <c r="E28320" s="5">
        <v>103.5</v>
      </c>
      <c r="F28320" s="5">
        <v>206.9</v>
      </c>
      <c r="G28320" s="5">
        <v>103.2</v>
      </c>
      <c r="H28320" s="5">
        <v>103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103.7</v>
      </c>
      <c r="D28321" s="5">
        <v>0.1</v>
      </c>
      <c r="E28321" s="5">
        <v>103.7</v>
      </c>
      <c r="F28321" s="5">
        <v>207.1</v>
      </c>
      <c r="G28321" s="5">
        <v>103.3</v>
      </c>
      <c r="H28321" s="5">
        <v>103.2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103.7</v>
      </c>
      <c r="D28322" s="5">
        <v>0.1</v>
      </c>
      <c r="E28322" s="5">
        <v>103.7</v>
      </c>
      <c r="F28322" s="5">
        <v>207.1</v>
      </c>
      <c r="G28322" s="5">
        <v>103.3</v>
      </c>
      <c r="H28322" s="5">
        <v>103.2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101.9</v>
      </c>
      <c r="D28323" s="5">
        <v>0.1</v>
      </c>
      <c r="E28323" s="5">
        <v>102</v>
      </c>
      <c r="F28323" s="5">
        <v>208.5</v>
      </c>
      <c r="G28323" s="5">
        <v>104</v>
      </c>
      <c r="H28323" s="5">
        <v>103.8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101.9</v>
      </c>
      <c r="D28324" s="5">
        <v>0.1</v>
      </c>
      <c r="E28324" s="5">
        <v>102</v>
      </c>
      <c r="F28324" s="5">
        <v>208.5</v>
      </c>
      <c r="G28324" s="5">
        <v>104</v>
      </c>
      <c r="H28324" s="5">
        <v>103.8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101.9</v>
      </c>
      <c r="D28325" s="5">
        <v>0.1</v>
      </c>
      <c r="E28325" s="5">
        <v>102</v>
      </c>
      <c r="F28325" s="5">
        <v>208.5</v>
      </c>
      <c r="G28325" s="5">
        <v>104</v>
      </c>
      <c r="H28325" s="5">
        <v>103.8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101.9</v>
      </c>
      <c r="D28326" s="5">
        <v>0.1</v>
      </c>
      <c r="E28326" s="5">
        <v>102</v>
      </c>
      <c r="F28326" s="5">
        <v>208.5</v>
      </c>
      <c r="G28326" s="5">
        <v>104</v>
      </c>
      <c r="H28326" s="5">
        <v>103.8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102.8</v>
      </c>
      <c r="D28327" s="5">
        <v>0.1</v>
      </c>
      <c r="E28327" s="5">
        <v>103</v>
      </c>
      <c r="F28327" s="5">
        <v>205.7</v>
      </c>
      <c r="G28327" s="5">
        <v>102.7</v>
      </c>
      <c r="H28327" s="5">
        <v>102.5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102.8</v>
      </c>
      <c r="D28328" s="5">
        <v>0.1</v>
      </c>
      <c r="E28328" s="5">
        <v>103</v>
      </c>
      <c r="F28328" s="5">
        <v>205.7</v>
      </c>
      <c r="G28328" s="5">
        <v>102.7</v>
      </c>
      <c r="H28328" s="5">
        <v>102.5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101.3</v>
      </c>
      <c r="D28329" s="5">
        <v>0.1</v>
      </c>
      <c r="E28329" s="5">
        <v>101.5</v>
      </c>
      <c r="F28329" s="5">
        <v>203.2</v>
      </c>
      <c r="G28329" s="5">
        <v>101.4</v>
      </c>
      <c r="H28329" s="5">
        <v>101.3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101.3</v>
      </c>
      <c r="D28330" s="5">
        <v>0.1</v>
      </c>
      <c r="E28330" s="5">
        <v>101.5</v>
      </c>
      <c r="F28330" s="5">
        <v>203.2</v>
      </c>
      <c r="G28330" s="5">
        <v>101.4</v>
      </c>
      <c r="H28330" s="5">
        <v>101.3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100.7</v>
      </c>
      <c r="D28331" s="5">
        <v>0.1</v>
      </c>
      <c r="E28331" s="5">
        <v>100.8</v>
      </c>
      <c r="F28331" s="5">
        <v>202.3</v>
      </c>
      <c r="G28331" s="5">
        <v>100.9</v>
      </c>
      <c r="H28331" s="5">
        <v>100.7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100.7</v>
      </c>
      <c r="D28332" s="5">
        <v>0.1</v>
      </c>
      <c r="E28332" s="5">
        <v>100.8</v>
      </c>
      <c r="F28332" s="5">
        <v>202.3</v>
      </c>
      <c r="G28332" s="5">
        <v>100.9</v>
      </c>
      <c r="H28332" s="5">
        <v>100.7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102.1</v>
      </c>
      <c r="D28333" s="5">
        <v>0.1</v>
      </c>
      <c r="E28333" s="5">
        <v>102.2</v>
      </c>
      <c r="F28333" s="5">
        <v>204.3</v>
      </c>
      <c r="G28333" s="5">
        <v>101.9</v>
      </c>
      <c r="H28333" s="5">
        <v>101.8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102.1</v>
      </c>
      <c r="D28334" s="5">
        <v>0.1</v>
      </c>
      <c r="E28334" s="5">
        <v>102.2</v>
      </c>
      <c r="F28334" s="5">
        <v>204.3</v>
      </c>
      <c r="G28334" s="5">
        <v>101.9</v>
      </c>
      <c r="H28334" s="5">
        <v>101.8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102.1</v>
      </c>
      <c r="D28335" s="5">
        <v>0.1</v>
      </c>
      <c r="E28335" s="5">
        <v>102.2</v>
      </c>
      <c r="F28335" s="5">
        <v>204.3</v>
      </c>
      <c r="G28335" s="5">
        <v>101.9</v>
      </c>
      <c r="H28335" s="5">
        <v>101.8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102.1</v>
      </c>
      <c r="D28336" s="5">
        <v>0.1</v>
      </c>
      <c r="E28336" s="5">
        <v>102.7</v>
      </c>
      <c r="F28336" s="5">
        <v>205</v>
      </c>
      <c r="G28336" s="5">
        <v>102.2</v>
      </c>
      <c r="H28336" s="5">
        <v>102.1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102.7</v>
      </c>
      <c r="D28337" s="5">
        <v>0.1</v>
      </c>
      <c r="E28337" s="5">
        <v>102.7</v>
      </c>
      <c r="F28337" s="5">
        <v>205</v>
      </c>
      <c r="G28337" s="5">
        <v>102.2</v>
      </c>
      <c r="H28337" s="5">
        <v>102.1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102.7</v>
      </c>
      <c r="D28338" s="5">
        <v>0.1</v>
      </c>
      <c r="E28338" s="5">
        <v>102.9</v>
      </c>
      <c r="F28338" s="5">
        <v>205.1</v>
      </c>
      <c r="G28338" s="5">
        <v>102.3</v>
      </c>
      <c r="H28338" s="5">
        <v>102.1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102.7</v>
      </c>
      <c r="D28339" s="5">
        <v>0.1</v>
      </c>
      <c r="E28339" s="5">
        <v>102.9</v>
      </c>
      <c r="F28339" s="5">
        <v>205.1</v>
      </c>
      <c r="G28339" s="5">
        <v>102.3</v>
      </c>
      <c r="H28339" s="5">
        <v>102.1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102.7</v>
      </c>
      <c r="D28340" s="5">
        <v>0.1</v>
      </c>
      <c r="E28340" s="5">
        <v>102.9</v>
      </c>
      <c r="F28340" s="5">
        <v>204.1</v>
      </c>
      <c r="G28340" s="5">
        <v>101.9</v>
      </c>
      <c r="H28340" s="5">
        <v>101.8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102.7</v>
      </c>
      <c r="D28341" s="5">
        <v>0.1</v>
      </c>
      <c r="E28341" s="5">
        <v>102.9</v>
      </c>
      <c r="F28341" s="5">
        <v>204.1</v>
      </c>
      <c r="G28341" s="5">
        <v>101.9</v>
      </c>
      <c r="H28341" s="5">
        <v>101.8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102.7</v>
      </c>
      <c r="D28342" s="5">
        <v>0.1</v>
      </c>
      <c r="E28342" s="5">
        <v>102.9</v>
      </c>
      <c r="F28342" s="5">
        <v>204.1</v>
      </c>
      <c r="G28342" s="5">
        <v>101.3</v>
      </c>
      <c r="H28342" s="5">
        <v>101.1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102.2</v>
      </c>
      <c r="D28343" s="5">
        <v>0.1</v>
      </c>
      <c r="E28343" s="5">
        <v>102.4</v>
      </c>
      <c r="F28343" s="5">
        <v>202.9</v>
      </c>
      <c r="G28343" s="5">
        <v>101.3</v>
      </c>
      <c r="H28343" s="5">
        <v>101.1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102.2</v>
      </c>
      <c r="D28344" s="5">
        <v>0.1</v>
      </c>
      <c r="E28344" s="5">
        <v>102.4</v>
      </c>
      <c r="F28344" s="5">
        <v>202.9</v>
      </c>
      <c r="G28344" s="5">
        <v>101.3</v>
      </c>
      <c r="H28344" s="5">
        <v>101.1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102.2</v>
      </c>
      <c r="D28345" s="5">
        <v>0.1</v>
      </c>
      <c r="E28345" s="5">
        <v>102.4</v>
      </c>
      <c r="F28345" s="5">
        <v>202.9</v>
      </c>
      <c r="G28345" s="5">
        <v>101.3</v>
      </c>
      <c r="H28345" s="5">
        <v>101.1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103.2</v>
      </c>
      <c r="D28346" s="5">
        <v>0.1</v>
      </c>
      <c r="E28346" s="5">
        <v>103.4</v>
      </c>
      <c r="F28346" s="5">
        <v>205.5</v>
      </c>
      <c r="G28346" s="5">
        <v>102.6</v>
      </c>
      <c r="H28346" s="5">
        <v>102.5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103.2</v>
      </c>
      <c r="D28347" s="5">
        <v>0.1</v>
      </c>
      <c r="E28347" s="5">
        <v>103.4</v>
      </c>
      <c r="F28347" s="5">
        <v>205.5</v>
      </c>
      <c r="G28347" s="5">
        <v>102.6</v>
      </c>
      <c r="H28347" s="5">
        <v>102.5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103.1</v>
      </c>
      <c r="D28348" s="5">
        <v>0.1</v>
      </c>
      <c r="E28348" s="5">
        <v>103.3</v>
      </c>
      <c r="F28348" s="5">
        <v>205.8</v>
      </c>
      <c r="G28348" s="5">
        <v>102.7</v>
      </c>
      <c r="H28348" s="5">
        <v>102.6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103.1</v>
      </c>
      <c r="D28349" s="5">
        <v>0.1</v>
      </c>
      <c r="E28349" s="5">
        <v>103.3</v>
      </c>
      <c r="F28349" s="5">
        <v>205.8</v>
      </c>
      <c r="G28349" s="5">
        <v>102.7</v>
      </c>
      <c r="H28349" s="5">
        <v>102.6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103</v>
      </c>
      <c r="D28350" s="5">
        <v>0.1</v>
      </c>
      <c r="E28350" s="5">
        <v>103.1</v>
      </c>
      <c r="F28350" s="5">
        <v>206.1</v>
      </c>
      <c r="G28350" s="5">
        <v>102.8</v>
      </c>
      <c r="H28350" s="5">
        <v>102.6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103</v>
      </c>
      <c r="D28351" s="5">
        <v>0.1</v>
      </c>
      <c r="E28351" s="5">
        <v>103.1</v>
      </c>
      <c r="F28351" s="5">
        <v>206.1</v>
      </c>
      <c r="G28351" s="5">
        <v>102.8</v>
      </c>
      <c r="H28351" s="5">
        <v>102.6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101.8</v>
      </c>
      <c r="D28352" s="5">
        <v>0.1</v>
      </c>
      <c r="E28352" s="5">
        <v>101.9</v>
      </c>
      <c r="F28352" s="5">
        <v>202.8</v>
      </c>
      <c r="G28352" s="5">
        <v>101.2</v>
      </c>
      <c r="H28352" s="5">
        <v>101.1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101.8</v>
      </c>
      <c r="D28353" s="5">
        <v>0.1</v>
      </c>
      <c r="E28353" s="5">
        <v>101.9</v>
      </c>
      <c r="F28353" s="5">
        <v>202.8</v>
      </c>
      <c r="G28353" s="5">
        <v>101.2</v>
      </c>
      <c r="H28353" s="5">
        <v>101.1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101.8</v>
      </c>
      <c r="D28354" s="5">
        <v>0.1</v>
      </c>
      <c r="E28354" s="5">
        <v>101.9</v>
      </c>
      <c r="F28354" s="5">
        <v>202.8</v>
      </c>
      <c r="G28354" s="5">
        <v>101.2</v>
      </c>
      <c r="H28354" s="5">
        <v>101.1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101.8</v>
      </c>
      <c r="D28355" s="5">
        <v>0.1</v>
      </c>
      <c r="E28355" s="5">
        <v>101.9</v>
      </c>
      <c r="F28355" s="5">
        <v>202.8</v>
      </c>
      <c r="G28355" s="5">
        <v>101.2</v>
      </c>
      <c r="H28355" s="5">
        <v>101.1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101.2</v>
      </c>
      <c r="D28356" s="5">
        <v>0.1</v>
      </c>
      <c r="E28356" s="5">
        <v>101.4</v>
      </c>
      <c r="F28356" s="5">
        <v>202.8</v>
      </c>
      <c r="G28356" s="5">
        <v>101.1</v>
      </c>
      <c r="H28356" s="5">
        <v>101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101.2</v>
      </c>
      <c r="D28357" s="5">
        <v>0.1</v>
      </c>
      <c r="E28357" s="5">
        <v>101.4</v>
      </c>
      <c r="F28357" s="5">
        <v>202.8</v>
      </c>
      <c r="G28357" s="5">
        <v>101.1</v>
      </c>
      <c r="H28357" s="5">
        <v>101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101.1</v>
      </c>
      <c r="D28358" s="5">
        <v>0.1</v>
      </c>
      <c r="E28358" s="5">
        <v>101.2</v>
      </c>
      <c r="F28358" s="5">
        <v>201.7</v>
      </c>
      <c r="G28358" s="5">
        <v>100.6</v>
      </c>
      <c r="H28358" s="5">
        <v>100.5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101.1</v>
      </c>
      <c r="D28359" s="5">
        <v>0.1</v>
      </c>
      <c r="E28359" s="5">
        <v>101.2</v>
      </c>
      <c r="F28359" s="5">
        <v>201.7</v>
      </c>
      <c r="G28359" s="5">
        <v>100.6</v>
      </c>
      <c r="H28359" s="5">
        <v>100.5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103.7</v>
      </c>
      <c r="D28360" s="5">
        <v>0.1</v>
      </c>
      <c r="E28360" s="5">
        <v>103.9</v>
      </c>
      <c r="F28360" s="5">
        <v>203.7</v>
      </c>
      <c r="G28360" s="5">
        <v>101.6</v>
      </c>
      <c r="H28360" s="5">
        <v>101.6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103.7</v>
      </c>
      <c r="D28361" s="5">
        <v>0.1</v>
      </c>
      <c r="E28361" s="5">
        <v>103.9</v>
      </c>
      <c r="F28361" s="5">
        <v>203.7</v>
      </c>
      <c r="G28361" s="5">
        <v>101.6</v>
      </c>
      <c r="H28361" s="5">
        <v>101.6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102.7</v>
      </c>
      <c r="D28362" s="5">
        <v>0.1</v>
      </c>
      <c r="E28362" s="5">
        <v>102.9</v>
      </c>
      <c r="F28362" s="5">
        <v>204.5</v>
      </c>
      <c r="G28362" s="5">
        <v>102.1</v>
      </c>
      <c r="H28362" s="5">
        <v>102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102.7</v>
      </c>
      <c r="D28363" s="5">
        <v>0.1</v>
      </c>
      <c r="E28363" s="5">
        <v>102.9</v>
      </c>
      <c r="F28363" s="5">
        <v>204.5</v>
      </c>
      <c r="G28363" s="5">
        <v>102.1</v>
      </c>
      <c r="H28363" s="5">
        <v>102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102.7</v>
      </c>
      <c r="D28364" s="5">
        <v>0.1</v>
      </c>
      <c r="E28364" s="5">
        <v>102.9</v>
      </c>
      <c r="F28364" s="5">
        <v>204.5</v>
      </c>
      <c r="G28364" s="5">
        <v>102.1</v>
      </c>
      <c r="H28364" s="5">
        <v>102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102.7</v>
      </c>
      <c r="D28365" s="5">
        <v>0.1</v>
      </c>
      <c r="E28365" s="5">
        <v>102.9</v>
      </c>
      <c r="F28365" s="5">
        <v>204.5</v>
      </c>
      <c r="G28365" s="5">
        <v>102.1</v>
      </c>
      <c r="H28365" s="5">
        <v>102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101</v>
      </c>
      <c r="D28366" s="5">
        <v>0.1</v>
      </c>
      <c r="E28366" s="5">
        <v>101.1</v>
      </c>
      <c r="F28366" s="5">
        <v>202.4</v>
      </c>
      <c r="G28366" s="5">
        <v>101</v>
      </c>
      <c r="H28366" s="5">
        <v>100.8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101</v>
      </c>
      <c r="D28367" s="5">
        <v>0.1</v>
      </c>
      <c r="E28367" s="5">
        <v>101.1</v>
      </c>
      <c r="F28367" s="5">
        <v>202.4</v>
      </c>
      <c r="G28367" s="5">
        <v>101</v>
      </c>
      <c r="H28367" s="5">
        <v>100.8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103.7</v>
      </c>
      <c r="D28368" s="5">
        <v>0.1</v>
      </c>
      <c r="E28368" s="5">
        <v>103.9</v>
      </c>
      <c r="F28368" s="5">
        <v>206.2</v>
      </c>
      <c r="G28368" s="5">
        <v>103</v>
      </c>
      <c r="H28368" s="5">
        <v>102.9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103.7</v>
      </c>
      <c r="D28369" s="5">
        <v>0.1</v>
      </c>
      <c r="E28369" s="5">
        <v>103.9</v>
      </c>
      <c r="F28369" s="5">
        <v>206.2</v>
      </c>
      <c r="G28369" s="5">
        <v>103</v>
      </c>
      <c r="H28369" s="5">
        <v>102.9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104</v>
      </c>
      <c r="D28370" s="5">
        <v>0.1</v>
      </c>
      <c r="E28370" s="5">
        <v>104.1</v>
      </c>
      <c r="F28370" s="5">
        <v>208.6</v>
      </c>
      <c r="G28370" s="5">
        <v>104</v>
      </c>
      <c r="H28370" s="5">
        <v>103.8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104</v>
      </c>
      <c r="D28371" s="5">
        <v>0.1</v>
      </c>
      <c r="E28371" s="5">
        <v>104.1</v>
      </c>
      <c r="F28371" s="5">
        <v>208.6</v>
      </c>
      <c r="G28371" s="5">
        <v>104</v>
      </c>
      <c r="H28371" s="5">
        <v>103.8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103.3</v>
      </c>
      <c r="D28372" s="5">
        <v>0.1</v>
      </c>
      <c r="E28372" s="5">
        <v>103.4</v>
      </c>
      <c r="F28372" s="5">
        <v>206.6</v>
      </c>
      <c r="G28372" s="5">
        <v>103.1</v>
      </c>
      <c r="H28372" s="5">
        <v>103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103.3</v>
      </c>
      <c r="D28373" s="5">
        <v>0.1</v>
      </c>
      <c r="E28373" s="5">
        <v>103.4</v>
      </c>
      <c r="F28373" s="5">
        <v>206.6</v>
      </c>
      <c r="G28373" s="5">
        <v>103.1</v>
      </c>
      <c r="H28373" s="5">
        <v>103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103.3</v>
      </c>
      <c r="D28374" s="5">
        <v>0.1</v>
      </c>
      <c r="E28374" s="5">
        <v>103.4</v>
      </c>
      <c r="F28374" s="5">
        <v>206.6</v>
      </c>
      <c r="G28374" s="5">
        <v>103.1</v>
      </c>
      <c r="H28374" s="5">
        <v>103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103.3</v>
      </c>
      <c r="D28375" s="5">
        <v>0.1</v>
      </c>
      <c r="E28375" s="5">
        <v>103.4</v>
      </c>
      <c r="F28375" s="5">
        <v>206.6</v>
      </c>
      <c r="G28375" s="5">
        <v>103.1</v>
      </c>
      <c r="H28375" s="5">
        <v>103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102.5</v>
      </c>
      <c r="D28376" s="5">
        <v>0.1</v>
      </c>
      <c r="E28376" s="5">
        <v>102.6</v>
      </c>
      <c r="F28376" s="5">
        <v>204.6</v>
      </c>
      <c r="G28376" s="5">
        <v>102</v>
      </c>
      <c r="H28376" s="5">
        <v>101.9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102.5</v>
      </c>
      <c r="D28377" s="5">
        <v>0.1</v>
      </c>
      <c r="E28377" s="5">
        <v>102.6</v>
      </c>
      <c r="F28377" s="5">
        <v>204.6</v>
      </c>
      <c r="G28377" s="5">
        <v>102</v>
      </c>
      <c r="H28377" s="5">
        <v>101.9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100.3</v>
      </c>
      <c r="D28378" s="5">
        <v>0.1</v>
      </c>
      <c r="E28378" s="5">
        <v>100.5</v>
      </c>
      <c r="F28378" s="5">
        <v>199.5</v>
      </c>
      <c r="G28378" s="5">
        <v>99.5</v>
      </c>
      <c r="H28378" s="5">
        <v>99.4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100.3</v>
      </c>
      <c r="D28379" s="5">
        <v>0.1</v>
      </c>
      <c r="E28379" s="5">
        <v>100.5</v>
      </c>
      <c r="F28379" s="5">
        <v>199.5</v>
      </c>
      <c r="G28379" s="5">
        <v>99.5</v>
      </c>
      <c r="H28379" s="5">
        <v>99.4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99.5</v>
      </c>
      <c r="D28380" s="5">
        <v>0.1</v>
      </c>
      <c r="E28380" s="5">
        <v>99.5</v>
      </c>
      <c r="F28380" s="5">
        <v>199.8</v>
      </c>
      <c r="G28380" s="5">
        <v>99.6</v>
      </c>
      <c r="H28380" s="5">
        <v>99.4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99.5</v>
      </c>
      <c r="D28381" s="5">
        <v>0.1</v>
      </c>
      <c r="E28381" s="5">
        <v>99.5</v>
      </c>
      <c r="F28381" s="5">
        <v>199.8</v>
      </c>
      <c r="G28381" s="5">
        <v>99.6</v>
      </c>
      <c r="H28381" s="5">
        <v>99.4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100.1</v>
      </c>
      <c r="D28382" s="5">
        <v>0.1</v>
      </c>
      <c r="E28382" s="5">
        <v>100.2</v>
      </c>
      <c r="F28382" s="5">
        <v>200.5</v>
      </c>
      <c r="G28382" s="5">
        <v>100</v>
      </c>
      <c r="H28382" s="5">
        <v>99.8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100.1</v>
      </c>
      <c r="D28383" s="5">
        <v>0.1</v>
      </c>
      <c r="E28383" s="5">
        <v>100.2</v>
      </c>
      <c r="F28383" s="5">
        <v>200.5</v>
      </c>
      <c r="G28383" s="5">
        <v>100</v>
      </c>
      <c r="H28383" s="5">
        <v>99.8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100.1</v>
      </c>
      <c r="D28384" s="5">
        <v>0.1</v>
      </c>
      <c r="E28384" s="5">
        <v>100.2</v>
      </c>
      <c r="F28384" s="5">
        <v>200.5</v>
      </c>
      <c r="G28384" s="5">
        <v>100</v>
      </c>
      <c r="H28384" s="5">
        <v>99.8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100.1</v>
      </c>
      <c r="D28385" s="5">
        <v>0.1</v>
      </c>
      <c r="E28385" s="5">
        <v>100.2</v>
      </c>
      <c r="F28385" s="5">
        <v>200.5</v>
      </c>
      <c r="G28385" s="5">
        <v>100</v>
      </c>
      <c r="H28385" s="5">
        <v>99.8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100.7</v>
      </c>
      <c r="D28386" s="5">
        <v>0.1</v>
      </c>
      <c r="E28386" s="5">
        <v>100.8</v>
      </c>
      <c r="F28386" s="5">
        <v>201.3</v>
      </c>
      <c r="G28386" s="5">
        <v>100.5</v>
      </c>
      <c r="H28386" s="5">
        <v>100.3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100.7</v>
      </c>
      <c r="D28387" s="5">
        <v>0.1</v>
      </c>
      <c r="E28387" s="5">
        <v>100.8</v>
      </c>
      <c r="F28387" s="5">
        <v>201.3</v>
      </c>
      <c r="G28387" s="5">
        <v>100.5</v>
      </c>
      <c r="H28387" s="5">
        <v>100.3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99.9</v>
      </c>
      <c r="D28388" s="5">
        <v>0.1</v>
      </c>
      <c r="E28388" s="5">
        <v>100</v>
      </c>
      <c r="F28388" s="5">
        <v>199.8</v>
      </c>
      <c r="G28388" s="5">
        <v>99.7</v>
      </c>
      <c r="H28388" s="5">
        <v>99.5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99.9</v>
      </c>
      <c r="D28389" s="5">
        <v>0.1</v>
      </c>
      <c r="E28389" s="5">
        <v>100</v>
      </c>
      <c r="F28389" s="5">
        <v>199.8</v>
      </c>
      <c r="G28389" s="5">
        <v>99.7</v>
      </c>
      <c r="H28389" s="5">
        <v>99.5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99.9</v>
      </c>
      <c r="D28390" s="5">
        <v>0.1</v>
      </c>
      <c r="E28390" s="5">
        <v>99.9</v>
      </c>
      <c r="F28390" s="5">
        <v>199.1</v>
      </c>
      <c r="G28390" s="5">
        <v>99.4</v>
      </c>
      <c r="H28390" s="5">
        <v>99.2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99.9</v>
      </c>
      <c r="D28391" s="5">
        <v>0.1</v>
      </c>
      <c r="E28391" s="5">
        <v>99.9</v>
      </c>
      <c r="F28391" s="5">
        <v>199.1</v>
      </c>
      <c r="G28391" s="5">
        <v>99.4</v>
      </c>
      <c r="H28391" s="5">
        <v>99.2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101.6</v>
      </c>
      <c r="D28392" s="5">
        <v>0.1</v>
      </c>
      <c r="E28392" s="5">
        <v>101.8</v>
      </c>
      <c r="F28392" s="5">
        <v>202.1</v>
      </c>
      <c r="G28392" s="5">
        <v>100.9</v>
      </c>
      <c r="H28392" s="5">
        <v>100.7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101.6</v>
      </c>
      <c r="D28393" s="5">
        <v>0.1</v>
      </c>
      <c r="E28393" s="5">
        <v>101.8</v>
      </c>
      <c r="F28393" s="5">
        <v>202.1</v>
      </c>
      <c r="G28393" s="5">
        <v>100.9</v>
      </c>
      <c r="H28393" s="5">
        <v>100.7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101.6</v>
      </c>
      <c r="D28394" s="5">
        <v>0.1</v>
      </c>
      <c r="E28394" s="5">
        <v>101.8</v>
      </c>
      <c r="F28394" s="5">
        <v>202.1</v>
      </c>
      <c r="G28394" s="5">
        <v>100.9</v>
      </c>
      <c r="H28394" s="5">
        <v>100.7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101.6</v>
      </c>
      <c r="D28395" s="5">
        <v>0.1</v>
      </c>
      <c r="E28395" s="5">
        <v>101.8</v>
      </c>
      <c r="F28395" s="5">
        <v>202.1</v>
      </c>
      <c r="G28395" s="5">
        <v>100.9</v>
      </c>
      <c r="H28395" s="5">
        <v>100.7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101.1</v>
      </c>
      <c r="D28396" s="5">
        <v>0.1</v>
      </c>
      <c r="E28396" s="5">
        <v>101.2</v>
      </c>
      <c r="F28396" s="5">
        <v>201.7</v>
      </c>
      <c r="G28396" s="5">
        <v>100.6</v>
      </c>
      <c r="H28396" s="5">
        <v>100.5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101.1</v>
      </c>
      <c r="D28397" s="5">
        <v>0.1</v>
      </c>
      <c r="E28397" s="5">
        <v>101.2</v>
      </c>
      <c r="F28397" s="5">
        <v>201.7</v>
      </c>
      <c r="G28397" s="5">
        <v>100.6</v>
      </c>
      <c r="H28397" s="5">
        <v>100.5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100.9</v>
      </c>
      <c r="D28398" s="5">
        <v>0.1</v>
      </c>
      <c r="E28398" s="5">
        <v>101.1</v>
      </c>
      <c r="F28398" s="5">
        <v>201.8</v>
      </c>
      <c r="G28398" s="5">
        <v>100.7</v>
      </c>
      <c r="H28398" s="5">
        <v>100.5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100.9</v>
      </c>
      <c r="D28399" s="5">
        <v>0.1</v>
      </c>
      <c r="E28399" s="5">
        <v>101.1</v>
      </c>
      <c r="F28399" s="5">
        <v>201.8</v>
      </c>
      <c r="G28399" s="5">
        <v>100.7</v>
      </c>
      <c r="H28399" s="5">
        <v>100.5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100.5</v>
      </c>
      <c r="D28400" s="5">
        <v>0.1</v>
      </c>
      <c r="E28400" s="5">
        <v>100.5</v>
      </c>
      <c r="F28400" s="5">
        <v>200.9</v>
      </c>
      <c r="G28400" s="5">
        <v>100.2</v>
      </c>
      <c r="H28400" s="5">
        <v>100.1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100.5</v>
      </c>
      <c r="D28401" s="5">
        <v>0.1</v>
      </c>
      <c r="E28401" s="5">
        <v>100.5</v>
      </c>
      <c r="F28401" s="5">
        <v>200.9</v>
      </c>
      <c r="G28401" s="5">
        <v>100.2</v>
      </c>
      <c r="H28401" s="5">
        <v>100.1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101.2</v>
      </c>
      <c r="D28402" s="5">
        <v>0.1</v>
      </c>
      <c r="E28402" s="5">
        <v>101.4</v>
      </c>
      <c r="F28402" s="5">
        <v>202.1</v>
      </c>
      <c r="G28402" s="5">
        <v>100.9</v>
      </c>
      <c r="H28402" s="5">
        <v>100.8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101.2</v>
      </c>
      <c r="D28403" s="5">
        <v>0.1</v>
      </c>
      <c r="E28403" s="5">
        <v>101.4</v>
      </c>
      <c r="F28403" s="5">
        <v>202.1</v>
      </c>
      <c r="G28403" s="5">
        <v>100.9</v>
      </c>
      <c r="H28403" s="5">
        <v>100.8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101.2</v>
      </c>
      <c r="D28404" s="5">
        <v>0.1</v>
      </c>
      <c r="E28404" s="5">
        <v>101.4</v>
      </c>
      <c r="F28404" s="5">
        <v>202.1</v>
      </c>
      <c r="G28404" s="5">
        <v>100.9</v>
      </c>
      <c r="H28404" s="5">
        <v>100.8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101.2</v>
      </c>
      <c r="D28405" s="5">
        <v>0.1</v>
      </c>
      <c r="E28405" s="5">
        <v>101.4</v>
      </c>
      <c r="F28405" s="5">
        <v>202.1</v>
      </c>
      <c r="G28405" s="5">
        <v>100.9</v>
      </c>
      <c r="H28405" s="5">
        <v>100.8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100.2</v>
      </c>
      <c r="D28406" s="5">
        <v>0.1</v>
      </c>
      <c r="E28406" s="5">
        <v>100.3</v>
      </c>
      <c r="F28406" s="5">
        <v>199.5</v>
      </c>
      <c r="G28406" s="5">
        <v>99.5</v>
      </c>
      <c r="H28406" s="5">
        <v>99.3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100.2</v>
      </c>
      <c r="D28407" s="5">
        <v>0.1</v>
      </c>
      <c r="E28407" s="5">
        <v>100.3</v>
      </c>
      <c r="F28407" s="5">
        <v>199.5</v>
      </c>
      <c r="G28407" s="5">
        <v>99.5</v>
      </c>
      <c r="H28407" s="5">
        <v>99.3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100.4</v>
      </c>
      <c r="D28408" s="5">
        <v>0.1</v>
      </c>
      <c r="E28408" s="5">
        <v>100.5</v>
      </c>
      <c r="F28408" s="5">
        <v>200.9</v>
      </c>
      <c r="G28408" s="5">
        <v>100.1</v>
      </c>
      <c r="H28408" s="5">
        <v>99.8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100.4</v>
      </c>
      <c r="D28409" s="5">
        <v>0.1</v>
      </c>
      <c r="E28409" s="5">
        <v>100.5</v>
      </c>
      <c r="F28409" s="5">
        <v>200.9</v>
      </c>
      <c r="G28409" s="5">
        <v>100.1</v>
      </c>
      <c r="H28409" s="5">
        <v>99.8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96.5</v>
      </c>
      <c r="D28410" s="5">
        <v>0.1</v>
      </c>
      <c r="E28410" s="5">
        <v>96.7</v>
      </c>
      <c r="F28410" s="5">
        <v>194.3</v>
      </c>
      <c r="G28410" s="5">
        <v>96.7</v>
      </c>
      <c r="H28410" s="5">
        <v>96.3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96.5</v>
      </c>
      <c r="D28411" s="5">
        <v>0.1</v>
      </c>
      <c r="E28411" s="5">
        <v>96.7</v>
      </c>
      <c r="F28411" s="5">
        <v>194.3</v>
      </c>
      <c r="G28411" s="5">
        <v>96.7</v>
      </c>
      <c r="H28411" s="5">
        <v>96.3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99.5</v>
      </c>
      <c r="D28412" s="5">
        <v>0.1</v>
      </c>
      <c r="E28412" s="5">
        <v>99.7</v>
      </c>
      <c r="F28412" s="5">
        <v>197.1</v>
      </c>
      <c r="G28412" s="5">
        <v>98.5</v>
      </c>
      <c r="H28412" s="5">
        <v>98.4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99.5</v>
      </c>
      <c r="D28413" s="5">
        <v>0.1</v>
      </c>
      <c r="E28413" s="5">
        <v>99.7</v>
      </c>
      <c r="F28413" s="5">
        <v>197.1</v>
      </c>
      <c r="G28413" s="5">
        <v>98.5</v>
      </c>
      <c r="H28413" s="5">
        <v>98.4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99.5</v>
      </c>
      <c r="D28414" s="5">
        <v>0.1</v>
      </c>
      <c r="E28414" s="5">
        <v>99.7</v>
      </c>
      <c r="F28414" s="5">
        <v>197.1</v>
      </c>
      <c r="G28414" s="5">
        <v>98.5</v>
      </c>
      <c r="H28414" s="5">
        <v>98.4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99.5</v>
      </c>
      <c r="D28415" s="5">
        <v>0.1</v>
      </c>
      <c r="E28415" s="5">
        <v>99.7</v>
      </c>
      <c r="F28415" s="5">
        <v>197.1</v>
      </c>
      <c r="G28415" s="5">
        <v>98.5</v>
      </c>
      <c r="H28415" s="5">
        <v>98.4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96.2</v>
      </c>
      <c r="D28416" s="5">
        <v>0.1</v>
      </c>
      <c r="E28416" s="5">
        <v>96.3</v>
      </c>
      <c r="F28416" s="5">
        <v>194.9</v>
      </c>
      <c r="G28416" s="5">
        <v>96.6</v>
      </c>
      <c r="H28416" s="5">
        <v>96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96.2</v>
      </c>
      <c r="D28417" s="5">
        <v>0.1</v>
      </c>
      <c r="E28417" s="5">
        <v>96.3</v>
      </c>
      <c r="F28417" s="5">
        <v>194.9</v>
      </c>
      <c r="G28417" s="5">
        <v>96.6</v>
      </c>
      <c r="H28417" s="5">
        <v>96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98.6</v>
      </c>
      <c r="D28418" s="5">
        <v>0.1</v>
      </c>
      <c r="E28418" s="5">
        <v>98.7</v>
      </c>
      <c r="F28418" s="5">
        <v>196.1</v>
      </c>
      <c r="G28418" s="5">
        <v>97.8</v>
      </c>
      <c r="H28418" s="5">
        <v>97.7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98.6</v>
      </c>
      <c r="D28419" s="5">
        <v>0.1</v>
      </c>
      <c r="E28419" s="5">
        <v>98.7</v>
      </c>
      <c r="F28419" s="5">
        <v>196.1</v>
      </c>
      <c r="G28419" s="5">
        <v>97.8</v>
      </c>
      <c r="H28419" s="5">
        <v>97.7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98.3</v>
      </c>
      <c r="D28420" s="5">
        <v>0.1</v>
      </c>
      <c r="E28420" s="5">
        <v>98.4</v>
      </c>
      <c r="F28420" s="5">
        <v>198.6</v>
      </c>
      <c r="G28420" s="5">
        <v>97.9</v>
      </c>
      <c r="H28420" s="5">
        <v>97.5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98.3</v>
      </c>
      <c r="D28421" s="5">
        <v>0.1</v>
      </c>
      <c r="E28421" s="5">
        <v>98.4</v>
      </c>
      <c r="F28421" s="5">
        <v>198.6</v>
      </c>
      <c r="G28421" s="5">
        <v>97.9</v>
      </c>
      <c r="H28421" s="5">
        <v>97.5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99.5</v>
      </c>
      <c r="D28422" s="5">
        <v>0.1</v>
      </c>
      <c r="E28422" s="5">
        <v>99.7</v>
      </c>
      <c r="F28422" s="5">
        <v>199.2</v>
      </c>
      <c r="G28422" s="5">
        <v>99.5</v>
      </c>
      <c r="H28422" s="5">
        <v>99.3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99.5</v>
      </c>
      <c r="D28423" s="5">
        <v>0.1</v>
      </c>
      <c r="E28423" s="5">
        <v>99.7</v>
      </c>
      <c r="F28423" s="5">
        <v>199.2</v>
      </c>
      <c r="G28423" s="5">
        <v>99.5</v>
      </c>
      <c r="H28423" s="5">
        <v>99.3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99.5</v>
      </c>
      <c r="D28424" s="5">
        <v>0.1</v>
      </c>
      <c r="E28424" s="5">
        <v>99.7</v>
      </c>
      <c r="F28424" s="5">
        <v>199.2</v>
      </c>
      <c r="G28424" s="5">
        <v>99.5</v>
      </c>
      <c r="H28424" s="5">
        <v>99.3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99.5</v>
      </c>
      <c r="D28425" s="5">
        <v>0.1</v>
      </c>
      <c r="E28425" s="5">
        <v>99.7</v>
      </c>
      <c r="F28425" s="5">
        <v>199.2</v>
      </c>
      <c r="G28425" s="5">
        <v>99.5</v>
      </c>
      <c r="H28425" s="5">
        <v>99.3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100.3</v>
      </c>
      <c r="D28426" s="5">
        <v>0.1</v>
      </c>
      <c r="E28426" s="5">
        <v>100.5</v>
      </c>
      <c r="F28426" s="5">
        <v>199.2</v>
      </c>
      <c r="G28426" s="5">
        <v>99.4</v>
      </c>
      <c r="H28426" s="5">
        <v>99.3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100.3</v>
      </c>
      <c r="D28427" s="5">
        <v>0.1</v>
      </c>
      <c r="E28427" s="5">
        <v>100.5</v>
      </c>
      <c r="F28427" s="5">
        <v>199.2</v>
      </c>
      <c r="G28427" s="5">
        <v>99.4</v>
      </c>
      <c r="H28427" s="5">
        <v>99.3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99.9</v>
      </c>
      <c r="D28428" s="5">
        <v>0.1</v>
      </c>
      <c r="E28428" s="5">
        <v>100.1</v>
      </c>
      <c r="F28428" s="5">
        <v>198.1</v>
      </c>
      <c r="G28428" s="5">
        <v>98.9</v>
      </c>
      <c r="H28428" s="5">
        <v>98.8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99.9</v>
      </c>
      <c r="D28429" s="5">
        <v>0.1</v>
      </c>
      <c r="E28429" s="5">
        <v>100.1</v>
      </c>
      <c r="F28429" s="5">
        <v>198.1</v>
      </c>
      <c r="G28429" s="5">
        <v>98.9</v>
      </c>
      <c r="H28429" s="5">
        <v>98.8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99.9</v>
      </c>
      <c r="D28430" s="5">
        <v>0.1</v>
      </c>
      <c r="E28430" s="5">
        <v>100.1</v>
      </c>
      <c r="F28430" s="5">
        <v>198.1</v>
      </c>
      <c r="G28430" s="5">
        <v>98.9</v>
      </c>
      <c r="H28430" s="5">
        <v>98.8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99.9</v>
      </c>
      <c r="D28431" s="5">
        <v>0.1</v>
      </c>
      <c r="E28431" s="5">
        <v>100.1</v>
      </c>
      <c r="F28431" s="5">
        <v>198.1</v>
      </c>
      <c r="G28431" s="5">
        <v>98.9</v>
      </c>
      <c r="H28431" s="5">
        <v>98.8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100.4</v>
      </c>
      <c r="D28432" s="5">
        <v>0.1</v>
      </c>
      <c r="E28432" s="5">
        <v>100.5</v>
      </c>
      <c r="F28432" s="5">
        <v>200.5</v>
      </c>
      <c r="G28432" s="5">
        <v>100</v>
      </c>
      <c r="H28432" s="5">
        <v>99.8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100.4</v>
      </c>
      <c r="D28433" s="5">
        <v>0.1</v>
      </c>
      <c r="E28433" s="5">
        <v>100.5</v>
      </c>
      <c r="F28433" s="5">
        <v>200.5</v>
      </c>
      <c r="G28433" s="5">
        <v>100</v>
      </c>
      <c r="H28433" s="5">
        <v>99.8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100.4</v>
      </c>
      <c r="D28434" s="5">
        <v>0.1</v>
      </c>
      <c r="E28434" s="5">
        <v>100.5</v>
      </c>
      <c r="F28434" s="5">
        <v>200.5</v>
      </c>
      <c r="G28434" s="5">
        <v>100</v>
      </c>
      <c r="H28434" s="5">
        <v>99.8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99.7</v>
      </c>
      <c r="D28435" s="5">
        <v>0.1</v>
      </c>
      <c r="E28435" s="5">
        <v>99.9</v>
      </c>
      <c r="F28435" s="5">
        <v>199.6</v>
      </c>
      <c r="G28435" s="5">
        <v>99.6</v>
      </c>
      <c r="H28435" s="5">
        <v>99.4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99.7</v>
      </c>
      <c r="D28436" s="5">
        <v>0.1</v>
      </c>
      <c r="E28436" s="5">
        <v>99.9</v>
      </c>
      <c r="F28436" s="5">
        <v>199.6</v>
      </c>
      <c r="G28436" s="5">
        <v>99.6</v>
      </c>
      <c r="H28436" s="5">
        <v>99.4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100.2</v>
      </c>
      <c r="D28437" s="5">
        <v>0.1</v>
      </c>
      <c r="E28437" s="5">
        <v>100.3</v>
      </c>
      <c r="F28437" s="5">
        <v>199.9</v>
      </c>
      <c r="G28437" s="5">
        <v>99.7</v>
      </c>
      <c r="H28437" s="5">
        <v>99.6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100.2</v>
      </c>
      <c r="D28438" s="5">
        <v>0.1</v>
      </c>
      <c r="E28438" s="5">
        <v>100.3</v>
      </c>
      <c r="F28438" s="5">
        <v>199.9</v>
      </c>
      <c r="G28438" s="5">
        <v>99.7</v>
      </c>
      <c r="H28438" s="5">
        <v>99.6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99.6</v>
      </c>
      <c r="D28439" s="5">
        <v>0.1</v>
      </c>
      <c r="E28439" s="5">
        <v>99.8</v>
      </c>
      <c r="F28439" s="5">
        <v>199.2</v>
      </c>
      <c r="G28439" s="5">
        <v>99.4</v>
      </c>
      <c r="H28439" s="5">
        <v>99.4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99.6</v>
      </c>
      <c r="D28440" s="5">
        <v>0.1</v>
      </c>
      <c r="E28440" s="5">
        <v>99.8</v>
      </c>
      <c r="F28440" s="5">
        <v>199.2</v>
      </c>
      <c r="G28440" s="5">
        <v>99.4</v>
      </c>
      <c r="H28440" s="5">
        <v>99.4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101.1</v>
      </c>
      <c r="D28441" s="5">
        <v>0.1</v>
      </c>
      <c r="E28441" s="5">
        <v>101.1</v>
      </c>
      <c r="F28441" s="5">
        <v>201.7</v>
      </c>
      <c r="G28441" s="5">
        <v>100.6</v>
      </c>
      <c r="H28441" s="5">
        <v>100.5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101.1</v>
      </c>
      <c r="D28442" s="5">
        <v>0.1</v>
      </c>
      <c r="E28442" s="5">
        <v>101.1</v>
      </c>
      <c r="F28442" s="5">
        <v>201.7</v>
      </c>
      <c r="G28442" s="5">
        <v>100.6</v>
      </c>
      <c r="H28442" s="5">
        <v>100.5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101.1</v>
      </c>
      <c r="D28443" s="5">
        <v>0.1</v>
      </c>
      <c r="E28443" s="5">
        <v>101.1</v>
      </c>
      <c r="F28443" s="5">
        <v>201.7</v>
      </c>
      <c r="G28443" s="5">
        <v>100.6</v>
      </c>
      <c r="H28443" s="5">
        <v>100.5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101.1</v>
      </c>
      <c r="D28444" s="5">
        <v>0.1</v>
      </c>
      <c r="E28444" s="5">
        <v>101.1</v>
      </c>
      <c r="F28444" s="5">
        <v>201.7</v>
      </c>
      <c r="G28444" s="5">
        <v>100.6</v>
      </c>
      <c r="H28444" s="5">
        <v>100.5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101.1</v>
      </c>
      <c r="D28445" s="5">
        <v>0.1</v>
      </c>
      <c r="E28445" s="5">
        <v>101.1</v>
      </c>
      <c r="F28445" s="5">
        <v>201.7</v>
      </c>
      <c r="G28445" s="5">
        <v>100.6</v>
      </c>
      <c r="H28445" s="5">
        <v>100.5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101.1</v>
      </c>
      <c r="D28446" s="5">
        <v>0.1</v>
      </c>
      <c r="E28446" s="5">
        <v>101.2</v>
      </c>
      <c r="F28446" s="5">
        <v>201.6</v>
      </c>
      <c r="G28446" s="5">
        <v>100.6</v>
      </c>
      <c r="H28446" s="5">
        <v>100.5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101.1</v>
      </c>
      <c r="D28447" s="5">
        <v>0.1</v>
      </c>
      <c r="E28447" s="5">
        <v>101.2</v>
      </c>
      <c r="F28447" s="5">
        <v>201.6</v>
      </c>
      <c r="G28447" s="5">
        <v>100.6</v>
      </c>
      <c r="H28447" s="5">
        <v>100.5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101.1</v>
      </c>
      <c r="D28448" s="5">
        <v>0.1</v>
      </c>
      <c r="E28448" s="5">
        <v>101.2</v>
      </c>
      <c r="F28448" s="5">
        <v>201.3</v>
      </c>
      <c r="G28448" s="5">
        <v>100.4</v>
      </c>
      <c r="H28448" s="5">
        <v>100.3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101.1</v>
      </c>
      <c r="D28449" s="5">
        <v>0.1</v>
      </c>
      <c r="E28449" s="5">
        <v>101.2</v>
      </c>
      <c r="F28449" s="5">
        <v>201.3</v>
      </c>
      <c r="G28449" s="5">
        <v>100.4</v>
      </c>
      <c r="H28449" s="5">
        <v>100.3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101.1</v>
      </c>
      <c r="D28450" s="5">
        <v>0.1</v>
      </c>
      <c r="E28450" s="5">
        <v>101.3</v>
      </c>
      <c r="F28450" s="5">
        <v>202</v>
      </c>
      <c r="G28450" s="5">
        <v>100.8</v>
      </c>
      <c r="H28450" s="5">
        <v>100.7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101.1</v>
      </c>
      <c r="D28451" s="5">
        <v>0.1</v>
      </c>
      <c r="E28451" s="5">
        <v>101.3</v>
      </c>
      <c r="F28451" s="5">
        <v>202</v>
      </c>
      <c r="G28451" s="5">
        <v>100.8</v>
      </c>
      <c r="H28451" s="5">
        <v>100.7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101.1</v>
      </c>
      <c r="D28452" s="5">
        <v>0.1</v>
      </c>
      <c r="E28452" s="5">
        <v>101.2</v>
      </c>
      <c r="F28452" s="5">
        <v>201.5</v>
      </c>
      <c r="G28452" s="5">
        <v>100.5</v>
      </c>
      <c r="H28452" s="5">
        <v>100.4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101.1</v>
      </c>
      <c r="D28453" s="5">
        <v>0.1</v>
      </c>
      <c r="E28453" s="5">
        <v>101.2</v>
      </c>
      <c r="F28453" s="5">
        <v>201.5</v>
      </c>
      <c r="G28453" s="5">
        <v>100.5</v>
      </c>
      <c r="H28453" s="5">
        <v>100.4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101.1</v>
      </c>
      <c r="D28454" s="5">
        <v>0.1</v>
      </c>
      <c r="E28454" s="5">
        <v>101.2</v>
      </c>
      <c r="F28454" s="5">
        <v>201.5</v>
      </c>
      <c r="G28454" s="5">
        <v>100.5</v>
      </c>
      <c r="H28454" s="5">
        <v>100.4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101.1</v>
      </c>
      <c r="D28455" s="5">
        <v>0.1</v>
      </c>
      <c r="E28455" s="5">
        <v>101.2</v>
      </c>
      <c r="F28455" s="5">
        <v>201.5</v>
      </c>
      <c r="G28455" s="5">
        <v>100.5</v>
      </c>
      <c r="H28455" s="5">
        <v>100.4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101</v>
      </c>
      <c r="D28456" s="5">
        <v>0.1</v>
      </c>
      <c r="E28456" s="5">
        <v>101.1</v>
      </c>
      <c r="F28456" s="5">
        <v>201.9</v>
      </c>
      <c r="G28456" s="5">
        <v>100.7</v>
      </c>
      <c r="H28456" s="5">
        <v>100.5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101</v>
      </c>
      <c r="D28457" s="5">
        <v>0.1</v>
      </c>
      <c r="E28457" s="5">
        <v>101.1</v>
      </c>
      <c r="F28457" s="5">
        <v>201.9</v>
      </c>
      <c r="G28457" s="5">
        <v>100.7</v>
      </c>
      <c r="H28457" s="5">
        <v>100.5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101.4</v>
      </c>
      <c r="D28458" s="5">
        <v>0.1</v>
      </c>
      <c r="E28458" s="5">
        <v>101.5</v>
      </c>
      <c r="F28458" s="5">
        <v>202.5</v>
      </c>
      <c r="G28458" s="5">
        <v>101</v>
      </c>
      <c r="H28458" s="5">
        <v>100.9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101.4</v>
      </c>
      <c r="D28459" s="5">
        <v>0.1</v>
      </c>
      <c r="E28459" s="5">
        <v>101.5</v>
      </c>
      <c r="F28459" s="5">
        <v>202.5</v>
      </c>
      <c r="G28459" s="5">
        <v>101</v>
      </c>
      <c r="H28459" s="5">
        <v>100.9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100.7</v>
      </c>
      <c r="D28460" s="5">
        <v>0.1</v>
      </c>
      <c r="E28460" s="5">
        <v>100.8</v>
      </c>
      <c r="F28460" s="5">
        <v>200.1</v>
      </c>
      <c r="G28460" s="5">
        <v>100</v>
      </c>
      <c r="H28460" s="5">
        <v>100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100.7</v>
      </c>
      <c r="D28461" s="5">
        <v>0.1</v>
      </c>
      <c r="E28461" s="5">
        <v>100.8</v>
      </c>
      <c r="F28461" s="5">
        <v>200.1</v>
      </c>
      <c r="G28461" s="5">
        <v>100</v>
      </c>
      <c r="H28461" s="5">
        <v>100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98.8</v>
      </c>
      <c r="D28462" s="5">
        <v>0.1</v>
      </c>
      <c r="E28462" s="5">
        <v>98.9</v>
      </c>
      <c r="F28462" s="5">
        <v>197</v>
      </c>
      <c r="G28462" s="5">
        <v>98.4</v>
      </c>
      <c r="H28462" s="5">
        <v>98.4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98.8</v>
      </c>
      <c r="D28463" s="5">
        <v>0.1</v>
      </c>
      <c r="E28463" s="5">
        <v>98.9</v>
      </c>
      <c r="F28463" s="5">
        <v>197</v>
      </c>
      <c r="G28463" s="5">
        <v>98.4</v>
      </c>
      <c r="H28463" s="5">
        <v>98.4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98.8</v>
      </c>
      <c r="D28464" s="5">
        <v>0.1</v>
      </c>
      <c r="E28464" s="5">
        <v>98.9</v>
      </c>
      <c r="F28464" s="5">
        <v>197</v>
      </c>
      <c r="G28464" s="5">
        <v>98.4</v>
      </c>
      <c r="H28464" s="5">
        <v>98.4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99.2</v>
      </c>
      <c r="D28465" s="5">
        <v>0.1</v>
      </c>
      <c r="E28465" s="5">
        <v>99.4</v>
      </c>
      <c r="F28465" s="5">
        <v>198.8</v>
      </c>
      <c r="G28465" s="5">
        <v>99.1</v>
      </c>
      <c r="H28465" s="5">
        <v>98.9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99.2</v>
      </c>
      <c r="D28466" s="5">
        <v>0.1</v>
      </c>
      <c r="E28466" s="5">
        <v>99.4</v>
      </c>
      <c r="F28466" s="5">
        <v>198.8</v>
      </c>
      <c r="G28466" s="5">
        <v>99.1</v>
      </c>
      <c r="H28466" s="5">
        <v>98.9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100.2</v>
      </c>
      <c r="D28467" s="5">
        <v>0.1</v>
      </c>
      <c r="E28467" s="5">
        <v>100.3</v>
      </c>
      <c r="F28467" s="5">
        <v>197.5</v>
      </c>
      <c r="G28467" s="5">
        <v>98.6</v>
      </c>
      <c r="H28467" s="5">
        <v>98.4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100.2</v>
      </c>
      <c r="D28468" s="5">
        <v>0.1</v>
      </c>
      <c r="E28468" s="5">
        <v>100.3</v>
      </c>
      <c r="F28468" s="5">
        <v>197.5</v>
      </c>
      <c r="G28468" s="5">
        <v>98.6</v>
      </c>
      <c r="H28468" s="5">
        <v>98.4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101.4</v>
      </c>
      <c r="D28469" s="5">
        <v>0.1</v>
      </c>
      <c r="E28469" s="5">
        <v>101.5</v>
      </c>
      <c r="F28469" s="5">
        <v>202.2</v>
      </c>
      <c r="G28469" s="5">
        <v>100.9</v>
      </c>
      <c r="H28469" s="5">
        <v>100.8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101.4</v>
      </c>
      <c r="D28470" s="5">
        <v>0.1</v>
      </c>
      <c r="E28470" s="5">
        <v>101.5</v>
      </c>
      <c r="F28470" s="5">
        <v>202.2</v>
      </c>
      <c r="G28470" s="5">
        <v>100.9</v>
      </c>
      <c r="H28470" s="5">
        <v>100.8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100.8</v>
      </c>
      <c r="D28471" s="5">
        <v>0.1</v>
      </c>
      <c r="E28471" s="5">
        <v>100.9</v>
      </c>
      <c r="F28471" s="5">
        <v>201</v>
      </c>
      <c r="G28471" s="5">
        <v>100.3</v>
      </c>
      <c r="H28471" s="5">
        <v>100.1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100.8</v>
      </c>
      <c r="D28472" s="5">
        <v>0.1</v>
      </c>
      <c r="E28472" s="5">
        <v>100.9</v>
      </c>
      <c r="F28472" s="5">
        <v>201</v>
      </c>
      <c r="G28472" s="5">
        <v>100.3</v>
      </c>
      <c r="H28472" s="5">
        <v>100.1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100.8</v>
      </c>
      <c r="D28473" s="5">
        <v>0.1</v>
      </c>
      <c r="E28473" s="5">
        <v>100.9</v>
      </c>
      <c r="F28473" s="5">
        <v>201</v>
      </c>
      <c r="G28473" s="5">
        <v>100.3</v>
      </c>
      <c r="H28473" s="5">
        <v>100.1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100.8</v>
      </c>
      <c r="D28474" s="5">
        <v>0.1</v>
      </c>
      <c r="E28474" s="5">
        <v>100.9</v>
      </c>
      <c r="F28474" s="5">
        <v>201</v>
      </c>
      <c r="G28474" s="5">
        <v>100.3</v>
      </c>
      <c r="H28474" s="5">
        <v>100.1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100.5</v>
      </c>
      <c r="D28475" s="5">
        <v>0.1</v>
      </c>
      <c r="E28475" s="5">
        <v>100.6</v>
      </c>
      <c r="F28475" s="5">
        <v>200.6</v>
      </c>
      <c r="G28475" s="5">
        <v>100.1</v>
      </c>
      <c r="H28475" s="5">
        <v>99.9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100.5</v>
      </c>
      <c r="D28476" s="5">
        <v>0.1</v>
      </c>
      <c r="E28476" s="5">
        <v>100.6</v>
      </c>
      <c r="F28476" s="5">
        <v>200.6</v>
      </c>
      <c r="G28476" s="5">
        <v>100.1</v>
      </c>
      <c r="H28476" s="5">
        <v>99.9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100.5</v>
      </c>
      <c r="D28477" s="5">
        <v>0.1</v>
      </c>
      <c r="E28477" s="5">
        <v>100.7</v>
      </c>
      <c r="F28477" s="5">
        <v>200.4</v>
      </c>
      <c r="G28477" s="5">
        <v>100</v>
      </c>
      <c r="H28477" s="5">
        <v>99.9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100.5</v>
      </c>
      <c r="D28478" s="5">
        <v>0.1</v>
      </c>
      <c r="E28478" s="5">
        <v>100.7</v>
      </c>
      <c r="F28478" s="5">
        <v>200.4</v>
      </c>
      <c r="G28478" s="5">
        <v>100</v>
      </c>
      <c r="H28478" s="5">
        <v>99.9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100.6</v>
      </c>
      <c r="D28479" s="5">
        <v>0.1</v>
      </c>
      <c r="E28479" s="5">
        <v>100.8</v>
      </c>
      <c r="F28479" s="5">
        <v>200.5</v>
      </c>
      <c r="G28479" s="5">
        <v>100.1</v>
      </c>
      <c r="H28479" s="5">
        <v>99.9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100.6</v>
      </c>
      <c r="D28480" s="5">
        <v>0.1</v>
      </c>
      <c r="E28480" s="5">
        <v>100.8</v>
      </c>
      <c r="F28480" s="5">
        <v>200.5</v>
      </c>
      <c r="G28480" s="5">
        <v>100.1</v>
      </c>
      <c r="H28480" s="5">
        <v>99.9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95.8</v>
      </c>
      <c r="D28481" s="5">
        <v>0.1</v>
      </c>
      <c r="E28481" s="5">
        <v>95.9</v>
      </c>
      <c r="F28481" s="5">
        <v>190.4</v>
      </c>
      <c r="G28481" s="5">
        <v>95</v>
      </c>
      <c r="H28481" s="5">
        <v>94.9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95.8</v>
      </c>
      <c r="D28482" s="5">
        <v>0.1</v>
      </c>
      <c r="E28482" s="5">
        <v>95.9</v>
      </c>
      <c r="F28482" s="5">
        <v>190.4</v>
      </c>
      <c r="G28482" s="5">
        <v>95</v>
      </c>
      <c r="H28482" s="5">
        <v>94.9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95.8</v>
      </c>
      <c r="D28483" s="5">
        <v>0.1</v>
      </c>
      <c r="E28483" s="5">
        <v>95.9</v>
      </c>
      <c r="F28483" s="5">
        <v>190.4</v>
      </c>
      <c r="G28483" s="5">
        <v>95</v>
      </c>
      <c r="H28483" s="5">
        <v>94.9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95.8</v>
      </c>
      <c r="D28484" s="5">
        <v>0.1</v>
      </c>
      <c r="E28484" s="5">
        <v>95.9</v>
      </c>
      <c r="F28484" s="5">
        <v>190.4</v>
      </c>
      <c r="G28484" s="5">
        <v>95</v>
      </c>
      <c r="H28484" s="5">
        <v>94.9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101</v>
      </c>
      <c r="D28485" s="5">
        <v>0.1</v>
      </c>
      <c r="E28485" s="5">
        <v>101.1</v>
      </c>
      <c r="F28485" s="5">
        <v>200.6</v>
      </c>
      <c r="G28485" s="5">
        <v>100.2</v>
      </c>
      <c r="H28485" s="5">
        <v>100.1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101</v>
      </c>
      <c r="D28486" s="5">
        <v>0.1</v>
      </c>
      <c r="E28486" s="5">
        <v>101.1</v>
      </c>
      <c r="F28486" s="5">
        <v>200.6</v>
      </c>
      <c r="G28486" s="5">
        <v>100.2</v>
      </c>
      <c r="H28486" s="5">
        <v>100.1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99.8</v>
      </c>
      <c r="D28487" s="5">
        <v>0.1</v>
      </c>
      <c r="E28487" s="5">
        <v>99.9</v>
      </c>
      <c r="F28487" s="5">
        <v>198.3</v>
      </c>
      <c r="G28487" s="5">
        <v>99</v>
      </c>
      <c r="H28487" s="5">
        <v>98.9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99.8</v>
      </c>
      <c r="D28488" s="5">
        <v>0.1</v>
      </c>
      <c r="E28488" s="5">
        <v>99.9</v>
      </c>
      <c r="F28488" s="5">
        <v>198.3</v>
      </c>
      <c r="G28488" s="5">
        <v>99</v>
      </c>
      <c r="H28488" s="5">
        <v>98.9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97.5</v>
      </c>
      <c r="D28489" s="5">
        <v>0.1</v>
      </c>
      <c r="E28489" s="5">
        <v>99.9</v>
      </c>
      <c r="F28489" s="5">
        <v>198.3</v>
      </c>
      <c r="G28489" s="5">
        <v>97.5</v>
      </c>
      <c r="H28489" s="5">
        <v>97.3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97.5</v>
      </c>
      <c r="D28490" s="5">
        <v>0.1</v>
      </c>
      <c r="E28490" s="5">
        <v>97.6</v>
      </c>
      <c r="F28490" s="5">
        <v>195.8</v>
      </c>
      <c r="G28490" s="5">
        <v>97.5</v>
      </c>
      <c r="H28490" s="5">
        <v>97.3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98.9</v>
      </c>
      <c r="D28491" s="5">
        <v>0.1</v>
      </c>
      <c r="E28491" s="5">
        <v>97.6</v>
      </c>
      <c r="F28491" s="5">
        <v>195.8</v>
      </c>
      <c r="G28491" s="5">
        <v>97.5</v>
      </c>
      <c r="H28491" s="5">
        <v>97.3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98.9</v>
      </c>
      <c r="D28492" s="5">
        <v>0.1</v>
      </c>
      <c r="E28492" s="5">
        <v>99</v>
      </c>
      <c r="F28492" s="5">
        <v>195.9</v>
      </c>
      <c r="G28492" s="5">
        <v>97.7</v>
      </c>
      <c r="H28492" s="5">
        <v>97.6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98.9</v>
      </c>
      <c r="D28493" s="5">
        <v>0.1</v>
      </c>
      <c r="E28493" s="5">
        <v>99</v>
      </c>
      <c r="F28493" s="5">
        <v>195.9</v>
      </c>
      <c r="G28493" s="5">
        <v>97.7</v>
      </c>
      <c r="H28493" s="5">
        <v>97.6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98.9</v>
      </c>
      <c r="D28494" s="5">
        <v>0.1</v>
      </c>
      <c r="E28494" s="5">
        <v>99</v>
      </c>
      <c r="F28494" s="5">
        <v>195.9</v>
      </c>
      <c r="G28494" s="5">
        <v>97.7</v>
      </c>
      <c r="H28494" s="5">
        <v>97.6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98.5</v>
      </c>
      <c r="D28495" s="5">
        <v>0.1</v>
      </c>
      <c r="E28495" s="5">
        <v>98.6</v>
      </c>
      <c r="F28495" s="5">
        <v>197.1</v>
      </c>
      <c r="G28495" s="5">
        <v>98.3</v>
      </c>
      <c r="H28495" s="5">
        <v>98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98.5</v>
      </c>
      <c r="D28496" s="5">
        <v>0.1</v>
      </c>
      <c r="E28496" s="5">
        <v>98.6</v>
      </c>
      <c r="F28496" s="5">
        <v>197.1</v>
      </c>
      <c r="G28496" s="5">
        <v>98.3</v>
      </c>
      <c r="H28496" s="5">
        <v>98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98.3</v>
      </c>
      <c r="D28497" s="5">
        <v>0.1</v>
      </c>
      <c r="E28497" s="5">
        <v>98.4</v>
      </c>
      <c r="F28497" s="5">
        <v>196.6</v>
      </c>
      <c r="G28497" s="5">
        <v>98</v>
      </c>
      <c r="H28497" s="5">
        <v>97.9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98.3</v>
      </c>
      <c r="D28498" s="5">
        <v>0.1</v>
      </c>
      <c r="E28498" s="5">
        <v>98.4</v>
      </c>
      <c r="F28498" s="5">
        <v>196.6</v>
      </c>
      <c r="G28498" s="5">
        <v>98</v>
      </c>
      <c r="H28498" s="5">
        <v>97.9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97.7</v>
      </c>
      <c r="D28499" s="5">
        <v>0.1</v>
      </c>
      <c r="E28499" s="5">
        <v>97.8</v>
      </c>
      <c r="F28499" s="5">
        <v>196.1</v>
      </c>
      <c r="G28499" s="5">
        <v>97.7</v>
      </c>
      <c r="H28499" s="5">
        <v>97.5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97.7</v>
      </c>
      <c r="D28500" s="5">
        <v>0.1</v>
      </c>
      <c r="E28500" s="5">
        <v>97.8</v>
      </c>
      <c r="F28500" s="5">
        <v>196.1</v>
      </c>
      <c r="G28500" s="5">
        <v>97.7</v>
      </c>
      <c r="H28500" s="5">
        <v>97.5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98.3</v>
      </c>
      <c r="D28501" s="5">
        <v>0.1</v>
      </c>
      <c r="E28501" s="5">
        <v>98.5</v>
      </c>
      <c r="F28501" s="5">
        <v>197.1</v>
      </c>
      <c r="G28501" s="5">
        <v>98.3</v>
      </c>
      <c r="H28501" s="5">
        <v>98.1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98.3</v>
      </c>
      <c r="D28502" s="5">
        <v>0.1</v>
      </c>
      <c r="E28502" s="5">
        <v>98.5</v>
      </c>
      <c r="F28502" s="5">
        <v>197.1</v>
      </c>
      <c r="G28502" s="5">
        <v>98.3</v>
      </c>
      <c r="H28502" s="5">
        <v>98.1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98.3</v>
      </c>
      <c r="D28503" s="5">
        <v>0.1</v>
      </c>
      <c r="E28503" s="5">
        <v>98.5</v>
      </c>
      <c r="F28503" s="5">
        <v>197.1</v>
      </c>
      <c r="G28503" s="5">
        <v>98.3</v>
      </c>
      <c r="H28503" s="5">
        <v>98.1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98.3</v>
      </c>
      <c r="D28504" s="5">
        <v>0.1</v>
      </c>
      <c r="E28504" s="5">
        <v>98.5</v>
      </c>
      <c r="F28504" s="5">
        <v>197.1</v>
      </c>
      <c r="G28504" s="5">
        <v>98.3</v>
      </c>
      <c r="H28504" s="5">
        <v>98.1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98.3</v>
      </c>
      <c r="D28505" s="5">
        <v>0.1</v>
      </c>
      <c r="E28505" s="5">
        <v>98.4</v>
      </c>
      <c r="F28505" s="5">
        <v>193.7</v>
      </c>
      <c r="G28505" s="5">
        <v>96.8</v>
      </c>
      <c r="H28505" s="5">
        <v>96.9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98.3</v>
      </c>
      <c r="D28506" s="5">
        <v>0.1</v>
      </c>
      <c r="E28506" s="5">
        <v>98.4</v>
      </c>
      <c r="F28506" s="5">
        <v>193.7</v>
      </c>
      <c r="G28506" s="5">
        <v>96.8</v>
      </c>
      <c r="H28506" s="5">
        <v>96.9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98.1</v>
      </c>
      <c r="D28507" s="5">
        <v>0.1</v>
      </c>
      <c r="E28507" s="5">
        <v>98.2</v>
      </c>
      <c r="F28507" s="5">
        <v>196.6</v>
      </c>
      <c r="G28507" s="5">
        <v>98</v>
      </c>
      <c r="H28507" s="5">
        <v>97.8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98.1</v>
      </c>
      <c r="D28508" s="5">
        <v>0.1</v>
      </c>
      <c r="E28508" s="5">
        <v>98.2</v>
      </c>
      <c r="F28508" s="5">
        <v>196.6</v>
      </c>
      <c r="G28508" s="5">
        <v>98</v>
      </c>
      <c r="H28508" s="5">
        <v>97.8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99.6</v>
      </c>
      <c r="D28509" s="5">
        <v>0.1</v>
      </c>
      <c r="E28509" s="5">
        <v>99.7</v>
      </c>
      <c r="F28509" s="5">
        <v>198.2</v>
      </c>
      <c r="G28509" s="5">
        <v>98.9</v>
      </c>
      <c r="H28509" s="5">
        <v>98.8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99.6</v>
      </c>
      <c r="D28510" s="5">
        <v>0.1</v>
      </c>
      <c r="E28510" s="5">
        <v>99.7</v>
      </c>
      <c r="F28510" s="5">
        <v>198.2</v>
      </c>
      <c r="G28510" s="5">
        <v>98.9</v>
      </c>
      <c r="H28510" s="5">
        <v>98.8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99.2</v>
      </c>
      <c r="D28511" s="5">
        <v>0.1</v>
      </c>
      <c r="E28511" s="5">
        <v>99.3</v>
      </c>
      <c r="F28511" s="5">
        <v>197.4</v>
      </c>
      <c r="G28511" s="5">
        <v>98.5</v>
      </c>
      <c r="H28511" s="5">
        <v>98.4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99.2</v>
      </c>
      <c r="D28512" s="5">
        <v>0.1</v>
      </c>
      <c r="E28512" s="5">
        <v>99.3</v>
      </c>
      <c r="F28512" s="5">
        <v>197.4</v>
      </c>
      <c r="G28512" s="5">
        <v>98.5</v>
      </c>
      <c r="H28512" s="5">
        <v>98.4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99.2</v>
      </c>
      <c r="D28513" s="5">
        <v>0.1</v>
      </c>
      <c r="E28513" s="5">
        <v>99.3</v>
      </c>
      <c r="F28513" s="5">
        <v>197.4</v>
      </c>
      <c r="G28513" s="5">
        <v>98.5</v>
      </c>
      <c r="H28513" s="5">
        <v>98.4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99.2</v>
      </c>
      <c r="D28514" s="5">
        <v>0.1</v>
      </c>
      <c r="E28514" s="5">
        <v>99.3</v>
      </c>
      <c r="F28514" s="5">
        <v>197.4</v>
      </c>
      <c r="G28514" s="5">
        <v>98.5</v>
      </c>
      <c r="H28514" s="5">
        <v>98.4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99.1</v>
      </c>
      <c r="D28515" s="5">
        <v>0.1</v>
      </c>
      <c r="E28515" s="5">
        <v>99.2</v>
      </c>
      <c r="F28515" s="5">
        <v>198.4</v>
      </c>
      <c r="G28515" s="5">
        <v>99</v>
      </c>
      <c r="H28515" s="5">
        <v>98.9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99.1</v>
      </c>
      <c r="D28516" s="5">
        <v>0.1</v>
      </c>
      <c r="E28516" s="5">
        <v>99.2</v>
      </c>
      <c r="F28516" s="5">
        <v>198.4</v>
      </c>
      <c r="G28516" s="5">
        <v>99</v>
      </c>
      <c r="H28516" s="5">
        <v>98.9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101.1</v>
      </c>
      <c r="D28517" s="5">
        <v>0.1</v>
      </c>
      <c r="E28517" s="5">
        <v>101.2</v>
      </c>
      <c r="F28517" s="5">
        <v>201.8</v>
      </c>
      <c r="G28517" s="5">
        <v>100.6</v>
      </c>
      <c r="H28517" s="5">
        <v>100.4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101.1</v>
      </c>
      <c r="D28518" s="5">
        <v>0.1</v>
      </c>
      <c r="E28518" s="5">
        <v>101.2</v>
      </c>
      <c r="F28518" s="5">
        <v>201.8</v>
      </c>
      <c r="G28518" s="5">
        <v>100.6</v>
      </c>
      <c r="H28518" s="5">
        <v>100.4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101.1</v>
      </c>
      <c r="D28519" s="5">
        <v>0.1</v>
      </c>
      <c r="E28519" s="5">
        <v>101.2</v>
      </c>
      <c r="F28519" s="5">
        <v>201.8</v>
      </c>
      <c r="G28519" s="5">
        <v>100.6</v>
      </c>
      <c r="H28519" s="5">
        <v>100.4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101.1</v>
      </c>
      <c r="D28520" s="5">
        <v>0.1</v>
      </c>
      <c r="E28520" s="5">
        <v>101.2</v>
      </c>
      <c r="F28520" s="5">
        <v>201.8</v>
      </c>
      <c r="G28520" s="5">
        <v>100.6</v>
      </c>
      <c r="H28520" s="5">
        <v>100.4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101.7</v>
      </c>
      <c r="D28521" s="5">
        <v>0.1</v>
      </c>
      <c r="E28521" s="5">
        <v>101.8</v>
      </c>
      <c r="F28521" s="5">
        <v>202.9</v>
      </c>
      <c r="G28521" s="5">
        <v>101.2</v>
      </c>
      <c r="H28521" s="5">
        <v>101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101.7</v>
      </c>
      <c r="D28522" s="5">
        <v>0.1</v>
      </c>
      <c r="E28522" s="5">
        <v>101.8</v>
      </c>
      <c r="F28522" s="5">
        <v>202.9</v>
      </c>
      <c r="G28522" s="5">
        <v>101.2</v>
      </c>
      <c r="H28522" s="5">
        <v>101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101.7</v>
      </c>
      <c r="D28523" s="5">
        <v>0.1</v>
      </c>
      <c r="E28523" s="5">
        <v>101.8</v>
      </c>
      <c r="F28523" s="5">
        <v>202.9</v>
      </c>
      <c r="G28523" s="5">
        <v>101.2</v>
      </c>
      <c r="H28523" s="5">
        <v>101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101.7</v>
      </c>
      <c r="D28524" s="5">
        <v>0.1</v>
      </c>
      <c r="E28524" s="5">
        <v>101.8</v>
      </c>
      <c r="F28524" s="5">
        <v>202.9</v>
      </c>
      <c r="G28524" s="5">
        <v>101.2</v>
      </c>
      <c r="H28524" s="5">
        <v>101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100.5</v>
      </c>
      <c r="D28525" s="5">
        <v>0.1</v>
      </c>
      <c r="E28525" s="5">
        <v>100.6</v>
      </c>
      <c r="F28525" s="5">
        <v>201.1</v>
      </c>
      <c r="G28525" s="5">
        <v>100.3</v>
      </c>
      <c r="H28525" s="5">
        <v>100.1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100.5</v>
      </c>
      <c r="D28526" s="5">
        <v>0.1</v>
      </c>
      <c r="E28526" s="5">
        <v>100.6</v>
      </c>
      <c r="F28526" s="5">
        <v>201.1</v>
      </c>
      <c r="G28526" s="5">
        <v>100.3</v>
      </c>
      <c r="H28526" s="5">
        <v>100.1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100.8</v>
      </c>
      <c r="D28527" s="5">
        <v>0.1</v>
      </c>
      <c r="E28527" s="5">
        <v>101</v>
      </c>
      <c r="F28527" s="5">
        <v>200.8</v>
      </c>
      <c r="G28527" s="5">
        <v>100.2</v>
      </c>
      <c r="H28527" s="5">
        <v>100.1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100.8</v>
      </c>
      <c r="D28528" s="5">
        <v>0.1</v>
      </c>
      <c r="E28528" s="5">
        <v>101</v>
      </c>
      <c r="F28528" s="5">
        <v>200.8</v>
      </c>
      <c r="G28528" s="5">
        <v>100.2</v>
      </c>
      <c r="H28528" s="5">
        <v>100.1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101.1</v>
      </c>
      <c r="D28529" s="5">
        <v>0.1</v>
      </c>
      <c r="E28529" s="5">
        <v>101.2</v>
      </c>
      <c r="F28529" s="5">
        <v>201.2</v>
      </c>
      <c r="G28529" s="5">
        <v>100.4</v>
      </c>
      <c r="H28529" s="5">
        <v>100.3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101.1</v>
      </c>
      <c r="D28530" s="5">
        <v>0.1</v>
      </c>
      <c r="E28530" s="5">
        <v>101.2</v>
      </c>
      <c r="F28530" s="5">
        <v>201.2</v>
      </c>
      <c r="G28530" s="5">
        <v>100.4</v>
      </c>
      <c r="H28530" s="5">
        <v>100.3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101.5</v>
      </c>
      <c r="D28531" s="5">
        <v>0.1</v>
      </c>
      <c r="E28531" s="5">
        <v>101.6</v>
      </c>
      <c r="F28531" s="5">
        <v>201.3</v>
      </c>
      <c r="G28531" s="5">
        <v>100.5</v>
      </c>
      <c r="H28531" s="5">
        <v>100.4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101.5</v>
      </c>
      <c r="D28532" s="5">
        <v>0.1</v>
      </c>
      <c r="E28532" s="5">
        <v>101.6</v>
      </c>
      <c r="F28532" s="5">
        <v>201.3</v>
      </c>
      <c r="G28532" s="5">
        <v>100.5</v>
      </c>
      <c r="H28532" s="5">
        <v>100.4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101.5</v>
      </c>
      <c r="D28533" s="5">
        <v>0.1</v>
      </c>
      <c r="E28533" s="5">
        <v>101.6</v>
      </c>
      <c r="F28533" s="5">
        <v>201.3</v>
      </c>
      <c r="G28533" s="5">
        <v>100.5</v>
      </c>
      <c r="H28533" s="5">
        <v>100.4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101.5</v>
      </c>
      <c r="D28534" s="5">
        <v>0.1</v>
      </c>
      <c r="E28534" s="5">
        <v>101.6</v>
      </c>
      <c r="F28534" s="5">
        <v>201.3</v>
      </c>
      <c r="G28534" s="5">
        <v>100.5</v>
      </c>
      <c r="H28534" s="5">
        <v>100.4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100.8</v>
      </c>
      <c r="D28535" s="5">
        <v>0.1</v>
      </c>
      <c r="E28535" s="5">
        <v>100.9</v>
      </c>
      <c r="F28535" s="5">
        <v>201.4</v>
      </c>
      <c r="G28535" s="5">
        <v>100.4</v>
      </c>
      <c r="H28535" s="5">
        <v>100.2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100.8</v>
      </c>
      <c r="D28536" s="5">
        <v>0.1</v>
      </c>
      <c r="E28536" s="5">
        <v>100.9</v>
      </c>
      <c r="F28536" s="5">
        <v>201.4</v>
      </c>
      <c r="G28536" s="5">
        <v>100.4</v>
      </c>
      <c r="H28536" s="5">
        <v>100.2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100.9</v>
      </c>
      <c r="D28537" s="5">
        <v>0.1</v>
      </c>
      <c r="E28537" s="5">
        <v>101</v>
      </c>
      <c r="F28537" s="5">
        <v>201.8</v>
      </c>
      <c r="G28537" s="5">
        <v>100.7</v>
      </c>
      <c r="H28537" s="5">
        <v>100.5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100.9</v>
      </c>
      <c r="D28538" s="5">
        <v>0.1</v>
      </c>
      <c r="E28538" s="5">
        <v>101</v>
      </c>
      <c r="F28538" s="5">
        <v>201.8</v>
      </c>
      <c r="G28538" s="5">
        <v>100.7</v>
      </c>
      <c r="H28538" s="5">
        <v>100.5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100.8</v>
      </c>
      <c r="D28539" s="5">
        <v>0.1</v>
      </c>
      <c r="E28539" s="5">
        <v>101</v>
      </c>
      <c r="F28539" s="5">
        <v>201.7</v>
      </c>
      <c r="G28539" s="5">
        <v>100.6</v>
      </c>
      <c r="H28539" s="5">
        <v>100.5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100.8</v>
      </c>
      <c r="D28540" s="5">
        <v>0.1</v>
      </c>
      <c r="E28540" s="5">
        <v>101</v>
      </c>
      <c r="F28540" s="5">
        <v>201.7</v>
      </c>
      <c r="G28540" s="5">
        <v>100.6</v>
      </c>
      <c r="H28540" s="5">
        <v>100.5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99.9</v>
      </c>
      <c r="D28541" s="5">
        <v>0.1</v>
      </c>
      <c r="E28541" s="5">
        <v>100</v>
      </c>
      <c r="F28541" s="5">
        <v>199.8</v>
      </c>
      <c r="G28541" s="5">
        <v>99.7</v>
      </c>
      <c r="H28541" s="5">
        <v>99.6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99.9</v>
      </c>
      <c r="D28542" s="5">
        <v>0.1</v>
      </c>
      <c r="E28542" s="5">
        <v>100</v>
      </c>
      <c r="F28542" s="5">
        <v>199.8</v>
      </c>
      <c r="G28542" s="5">
        <v>99.7</v>
      </c>
      <c r="H28542" s="5">
        <v>99.6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99.9</v>
      </c>
      <c r="D28543" s="5">
        <v>0.1</v>
      </c>
      <c r="E28543" s="5">
        <v>100</v>
      </c>
      <c r="F28543" s="5">
        <v>199.8</v>
      </c>
      <c r="G28543" s="5">
        <v>99.7</v>
      </c>
      <c r="H28543" s="5">
        <v>99.6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99.9</v>
      </c>
      <c r="D28544" s="5">
        <v>0.1</v>
      </c>
      <c r="E28544" s="5">
        <v>100</v>
      </c>
      <c r="F28544" s="5">
        <v>199.8</v>
      </c>
      <c r="G28544" s="5">
        <v>99.7</v>
      </c>
      <c r="H28544" s="5">
        <v>99.6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101.1</v>
      </c>
      <c r="D28545" s="5">
        <v>0.1</v>
      </c>
      <c r="E28545" s="5">
        <v>101.3</v>
      </c>
      <c r="F28545" s="5">
        <v>201.5</v>
      </c>
      <c r="G28545" s="5">
        <v>100.5</v>
      </c>
      <c r="H28545" s="5">
        <v>100.4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101.1</v>
      </c>
      <c r="D28546" s="5">
        <v>0.1</v>
      </c>
      <c r="E28546" s="5">
        <v>101.3</v>
      </c>
      <c r="F28546" s="5">
        <v>201.5</v>
      </c>
      <c r="G28546" s="5">
        <v>100.5</v>
      </c>
      <c r="H28546" s="5">
        <v>100.4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101</v>
      </c>
      <c r="D28547" s="5">
        <v>0.1</v>
      </c>
      <c r="E28547" s="5">
        <v>101.1</v>
      </c>
      <c r="F28547" s="5">
        <v>201.8</v>
      </c>
      <c r="G28547" s="5">
        <v>100.6</v>
      </c>
      <c r="H28547" s="5">
        <v>100.4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101</v>
      </c>
      <c r="D28548" s="5">
        <v>0.1</v>
      </c>
      <c r="E28548" s="5">
        <v>101.1</v>
      </c>
      <c r="F28548" s="5">
        <v>201.8</v>
      </c>
      <c r="G28548" s="5">
        <v>100.6</v>
      </c>
      <c r="H28548" s="5">
        <v>100.4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99.8</v>
      </c>
      <c r="D28549" s="5">
        <v>0.1</v>
      </c>
      <c r="E28549" s="5">
        <v>99.9</v>
      </c>
      <c r="F28549" s="5">
        <v>199.6</v>
      </c>
      <c r="G28549" s="5">
        <v>99.3</v>
      </c>
      <c r="H28549" s="5">
        <v>99.2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99.8</v>
      </c>
      <c r="D28550" s="5">
        <v>0.1</v>
      </c>
      <c r="E28550" s="5">
        <v>99.9</v>
      </c>
      <c r="F28550" s="5">
        <v>199.6</v>
      </c>
      <c r="G28550" s="5">
        <v>99.3</v>
      </c>
      <c r="H28550" s="5">
        <v>99.2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99.8</v>
      </c>
      <c r="D28551" s="5">
        <v>0.1</v>
      </c>
      <c r="E28551" s="5">
        <v>99.9</v>
      </c>
      <c r="F28551" s="5">
        <v>198.5</v>
      </c>
      <c r="G28551" s="5">
        <v>99.1</v>
      </c>
      <c r="H28551" s="5">
        <v>99.2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99.8</v>
      </c>
      <c r="D28552" s="5">
        <v>0.1</v>
      </c>
      <c r="E28552" s="5">
        <v>99.9</v>
      </c>
      <c r="F28552" s="5">
        <v>198.5</v>
      </c>
      <c r="G28552" s="5">
        <v>99.1</v>
      </c>
      <c r="H28552" s="5">
        <v>99.2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99.8</v>
      </c>
      <c r="D28553" s="5">
        <v>0.1</v>
      </c>
      <c r="E28553" s="5">
        <v>99.9</v>
      </c>
      <c r="F28553" s="5">
        <v>198.5</v>
      </c>
      <c r="G28553" s="5">
        <v>99.1</v>
      </c>
      <c r="H28553" s="5">
        <v>99.2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100.5</v>
      </c>
      <c r="D28554" s="5">
        <v>0.1</v>
      </c>
      <c r="E28554" s="5">
        <v>99.9</v>
      </c>
      <c r="F28554" s="5">
        <v>198.5</v>
      </c>
      <c r="G28554" s="5">
        <v>99.1</v>
      </c>
      <c r="H28554" s="5">
        <v>99.2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100.5</v>
      </c>
      <c r="D28555" s="5">
        <v>0.1</v>
      </c>
      <c r="E28555" s="5">
        <v>100.5</v>
      </c>
      <c r="F28555" s="5">
        <v>199.6</v>
      </c>
      <c r="G28555" s="5">
        <v>99.6</v>
      </c>
      <c r="H28555" s="5">
        <v>99.5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100.5</v>
      </c>
      <c r="D28556" s="5">
        <v>0.1</v>
      </c>
      <c r="E28556" s="5">
        <v>100.5</v>
      </c>
      <c r="F28556" s="5">
        <v>199.6</v>
      </c>
      <c r="G28556" s="5">
        <v>99.6</v>
      </c>
      <c r="H28556" s="5">
        <v>99.5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100.2</v>
      </c>
      <c r="D28557" s="5">
        <v>0.1</v>
      </c>
      <c r="E28557" s="5">
        <v>100.3</v>
      </c>
      <c r="F28557" s="5">
        <v>199.8</v>
      </c>
      <c r="G28557" s="5">
        <v>99.6</v>
      </c>
      <c r="H28557" s="5">
        <v>99.4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100.2</v>
      </c>
      <c r="D28558" s="5">
        <v>0.1</v>
      </c>
      <c r="E28558" s="5">
        <v>100.3</v>
      </c>
      <c r="F28558" s="5">
        <v>199.8</v>
      </c>
      <c r="G28558" s="5">
        <v>99.6</v>
      </c>
      <c r="H28558" s="5">
        <v>99.4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100.2</v>
      </c>
      <c r="D28559" s="5">
        <v>0.1</v>
      </c>
      <c r="E28559" s="5">
        <v>100.3</v>
      </c>
      <c r="F28559" s="5">
        <v>199.8</v>
      </c>
      <c r="G28559" s="5">
        <v>99.6</v>
      </c>
      <c r="H28559" s="5">
        <v>99.4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100.2</v>
      </c>
      <c r="D28560" s="5">
        <v>0.1</v>
      </c>
      <c r="E28560" s="5">
        <v>100.3</v>
      </c>
      <c r="F28560" s="5">
        <v>199.8</v>
      </c>
      <c r="G28560" s="5">
        <v>99.6</v>
      </c>
      <c r="H28560" s="5">
        <v>99.4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100.4</v>
      </c>
      <c r="D28561" s="5">
        <v>0.1</v>
      </c>
      <c r="E28561" s="5">
        <v>100.5</v>
      </c>
      <c r="F28561" s="5">
        <v>201.7</v>
      </c>
      <c r="G28561" s="5">
        <v>100.6</v>
      </c>
      <c r="H28561" s="5">
        <v>100.4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100.4</v>
      </c>
      <c r="D28562" s="5">
        <v>0.1</v>
      </c>
      <c r="E28562" s="5">
        <v>100.5</v>
      </c>
      <c r="F28562" s="5">
        <v>201.7</v>
      </c>
      <c r="G28562" s="5">
        <v>100.6</v>
      </c>
      <c r="H28562" s="5">
        <v>100.4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100.4</v>
      </c>
      <c r="D28563" s="5">
        <v>0.1</v>
      </c>
      <c r="E28563" s="5">
        <v>100.5</v>
      </c>
      <c r="F28563" s="5">
        <v>201.7</v>
      </c>
      <c r="G28563" s="5">
        <v>100.6</v>
      </c>
      <c r="H28563" s="5">
        <v>100.4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100.4</v>
      </c>
      <c r="D28564" s="5">
        <v>0.1</v>
      </c>
      <c r="E28564" s="5">
        <v>100.5</v>
      </c>
      <c r="F28564" s="5">
        <v>201.7</v>
      </c>
      <c r="G28564" s="5">
        <v>100.6</v>
      </c>
      <c r="H28564" s="5">
        <v>100.4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100.6</v>
      </c>
      <c r="D28565" s="5">
        <v>0.1</v>
      </c>
      <c r="E28565" s="5">
        <v>100.8</v>
      </c>
      <c r="F28565" s="5">
        <v>200.5</v>
      </c>
      <c r="G28565" s="5">
        <v>100</v>
      </c>
      <c r="H28565" s="5">
        <v>99.9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100.6</v>
      </c>
      <c r="D28566" s="5">
        <v>0.1</v>
      </c>
      <c r="E28566" s="5">
        <v>100.8</v>
      </c>
      <c r="F28566" s="5">
        <v>200.5</v>
      </c>
      <c r="G28566" s="5">
        <v>100</v>
      </c>
      <c r="H28566" s="5">
        <v>99.9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101.1</v>
      </c>
      <c r="D28567" s="5">
        <v>0.1</v>
      </c>
      <c r="E28567" s="5">
        <v>101.1</v>
      </c>
      <c r="F28567" s="5">
        <v>201.4</v>
      </c>
      <c r="G28567" s="5">
        <v>100.5</v>
      </c>
      <c r="H28567" s="5">
        <v>100.4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101.1</v>
      </c>
      <c r="D28568" s="5">
        <v>0.1</v>
      </c>
      <c r="E28568" s="5">
        <v>101.1</v>
      </c>
      <c r="F28568" s="5">
        <v>201.4</v>
      </c>
      <c r="G28568" s="5">
        <v>100.5</v>
      </c>
      <c r="H28568" s="5">
        <v>100.4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100.6</v>
      </c>
      <c r="D28569" s="5">
        <v>0.1</v>
      </c>
      <c r="E28569" s="5">
        <v>100.8</v>
      </c>
      <c r="F28569" s="5">
        <v>200.9</v>
      </c>
      <c r="G28569" s="5">
        <v>100.2</v>
      </c>
      <c r="H28569" s="5">
        <v>100.1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100.6</v>
      </c>
      <c r="D28570" s="5">
        <v>0.1</v>
      </c>
      <c r="E28570" s="5">
        <v>100.8</v>
      </c>
      <c r="F28570" s="5">
        <v>200.9</v>
      </c>
      <c r="G28570" s="5">
        <v>100.2</v>
      </c>
      <c r="H28570" s="5">
        <v>100.1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100.3</v>
      </c>
      <c r="D28571" s="5">
        <v>0.1</v>
      </c>
      <c r="E28571" s="5">
        <v>100.5</v>
      </c>
      <c r="F28571" s="5">
        <v>200.4</v>
      </c>
      <c r="G28571" s="5">
        <v>100</v>
      </c>
      <c r="H28571" s="5">
        <v>99.9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100.3</v>
      </c>
      <c r="D28572" s="5">
        <v>0.1</v>
      </c>
      <c r="E28572" s="5">
        <v>100.5</v>
      </c>
      <c r="F28572" s="5">
        <v>200.4</v>
      </c>
      <c r="G28572" s="5">
        <v>100</v>
      </c>
      <c r="H28572" s="5">
        <v>99.9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100.3</v>
      </c>
      <c r="D28573" s="5">
        <v>0.1</v>
      </c>
      <c r="E28573" s="5">
        <v>100.5</v>
      </c>
      <c r="F28573" s="5">
        <v>200.4</v>
      </c>
      <c r="G28573" s="5">
        <v>100</v>
      </c>
      <c r="H28573" s="5">
        <v>99.9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100.3</v>
      </c>
      <c r="D28574" s="5">
        <v>0.1</v>
      </c>
      <c r="E28574" s="5">
        <v>100.5</v>
      </c>
      <c r="F28574" s="5">
        <v>200.4</v>
      </c>
      <c r="G28574" s="5">
        <v>100</v>
      </c>
      <c r="H28574" s="5">
        <v>99.9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100.8</v>
      </c>
      <c r="D28575" s="5">
        <v>0.1</v>
      </c>
      <c r="E28575" s="5">
        <v>101</v>
      </c>
      <c r="F28575" s="5">
        <v>201.3</v>
      </c>
      <c r="G28575" s="5">
        <v>100.4</v>
      </c>
      <c r="H28575" s="5">
        <v>100.2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100.8</v>
      </c>
      <c r="D28576" s="5">
        <v>0.1</v>
      </c>
      <c r="E28576" s="5">
        <v>101</v>
      </c>
      <c r="F28576" s="5">
        <v>201.3</v>
      </c>
      <c r="G28576" s="5">
        <v>100.4</v>
      </c>
      <c r="H28576" s="5">
        <v>100.2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101.3</v>
      </c>
      <c r="D28577" s="5">
        <v>0.1</v>
      </c>
      <c r="E28577" s="5">
        <v>101.5</v>
      </c>
      <c r="F28577" s="5">
        <v>201.2</v>
      </c>
      <c r="G28577" s="5">
        <v>100.4</v>
      </c>
      <c r="H28577" s="5">
        <v>100.2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101.3</v>
      </c>
      <c r="D28578" s="5">
        <v>0.1</v>
      </c>
      <c r="E28578" s="5">
        <v>101.5</v>
      </c>
      <c r="F28578" s="5">
        <v>201.2</v>
      </c>
      <c r="G28578" s="5">
        <v>100.4</v>
      </c>
      <c r="H28578" s="5">
        <v>100.2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101.4</v>
      </c>
      <c r="D28579" s="5">
        <v>0.1</v>
      </c>
      <c r="E28579" s="5">
        <v>101.5</v>
      </c>
      <c r="F28579" s="5">
        <v>202.1</v>
      </c>
      <c r="G28579" s="5">
        <v>100.8</v>
      </c>
      <c r="H28579" s="5">
        <v>100.7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101.4</v>
      </c>
      <c r="D28580" s="5">
        <v>0.1</v>
      </c>
      <c r="E28580" s="5">
        <v>101.5</v>
      </c>
      <c r="F28580" s="5">
        <v>202.1</v>
      </c>
      <c r="G28580" s="5">
        <v>100.8</v>
      </c>
      <c r="H28580" s="5">
        <v>100.7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100.4</v>
      </c>
      <c r="D28581" s="5">
        <v>0.1</v>
      </c>
      <c r="E28581" s="5">
        <v>100.5</v>
      </c>
      <c r="F28581" s="5">
        <v>201.3</v>
      </c>
      <c r="G28581" s="5">
        <v>100.3</v>
      </c>
      <c r="H28581" s="5">
        <v>100.1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100.4</v>
      </c>
      <c r="D28582" s="5">
        <v>0.1</v>
      </c>
      <c r="E28582" s="5">
        <v>100.5</v>
      </c>
      <c r="F28582" s="5">
        <v>201.3</v>
      </c>
      <c r="G28582" s="5">
        <v>100.3</v>
      </c>
      <c r="H28582" s="5">
        <v>100.1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100.4</v>
      </c>
      <c r="D28583" s="5">
        <v>0.1</v>
      </c>
      <c r="E28583" s="5">
        <v>100.5</v>
      </c>
      <c r="F28583" s="5">
        <v>201.3</v>
      </c>
      <c r="G28583" s="5">
        <v>100.3</v>
      </c>
      <c r="H28583" s="5">
        <v>100.1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101.1</v>
      </c>
      <c r="D28584" s="5">
        <v>0.1</v>
      </c>
      <c r="E28584" s="5">
        <v>101.3</v>
      </c>
      <c r="F28584" s="5">
        <v>201.4</v>
      </c>
      <c r="G28584" s="5">
        <v>100.4</v>
      </c>
      <c r="H28584" s="5">
        <v>100.2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101.1</v>
      </c>
      <c r="D28585" s="5">
        <v>0.1</v>
      </c>
      <c r="E28585" s="5">
        <v>101.3</v>
      </c>
      <c r="F28585" s="5">
        <v>201.4</v>
      </c>
      <c r="G28585" s="5">
        <v>100.4</v>
      </c>
      <c r="H28585" s="5">
        <v>100.2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101.1</v>
      </c>
      <c r="D28586" s="5">
        <v>0.1</v>
      </c>
      <c r="E28586" s="5">
        <v>101.2</v>
      </c>
      <c r="F28586" s="5">
        <v>201.9</v>
      </c>
      <c r="G28586" s="5">
        <v>100.7</v>
      </c>
      <c r="H28586" s="5">
        <v>100.5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101.1</v>
      </c>
      <c r="D28587" s="5">
        <v>0.1</v>
      </c>
      <c r="E28587" s="5">
        <v>101.2</v>
      </c>
      <c r="F28587" s="5">
        <v>201.9</v>
      </c>
      <c r="G28587" s="5">
        <v>100.7</v>
      </c>
      <c r="H28587" s="5">
        <v>100.5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101.7</v>
      </c>
      <c r="D28588" s="5">
        <v>0.1</v>
      </c>
      <c r="E28588" s="5">
        <v>101.8</v>
      </c>
      <c r="F28588" s="5">
        <v>203.1</v>
      </c>
      <c r="G28588" s="5">
        <v>101.3</v>
      </c>
      <c r="H28588" s="5">
        <v>101.1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101.7</v>
      </c>
      <c r="D28589" s="5">
        <v>0.1</v>
      </c>
      <c r="E28589" s="5">
        <v>101.8</v>
      </c>
      <c r="F28589" s="5">
        <v>203.1</v>
      </c>
      <c r="G28589" s="5">
        <v>101.3</v>
      </c>
      <c r="H28589" s="5">
        <v>101.1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101.7</v>
      </c>
      <c r="D28590" s="5">
        <v>0.1</v>
      </c>
      <c r="E28590" s="5">
        <v>101.1</v>
      </c>
      <c r="F28590" s="5">
        <v>201.8</v>
      </c>
      <c r="G28590" s="5">
        <v>100.7</v>
      </c>
      <c r="H28590" s="5">
        <v>100.5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101</v>
      </c>
      <c r="D28591" s="5">
        <v>0.1</v>
      </c>
      <c r="E28591" s="5">
        <v>101.1</v>
      </c>
      <c r="F28591" s="5">
        <v>201.8</v>
      </c>
      <c r="G28591" s="5">
        <v>100.7</v>
      </c>
      <c r="H28591" s="5">
        <v>100.5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101</v>
      </c>
      <c r="D28592" s="5">
        <v>0.1</v>
      </c>
      <c r="E28592" s="5">
        <v>101.1</v>
      </c>
      <c r="F28592" s="5">
        <v>201.8</v>
      </c>
      <c r="G28592" s="5">
        <v>100.7</v>
      </c>
      <c r="H28592" s="5">
        <v>100.5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101</v>
      </c>
      <c r="D28593" s="5">
        <v>0.1</v>
      </c>
      <c r="E28593" s="5">
        <v>101.1</v>
      </c>
      <c r="F28593" s="5">
        <v>201.8</v>
      </c>
      <c r="G28593" s="5">
        <v>100.7</v>
      </c>
      <c r="H28593" s="5">
        <v>100.5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101.2</v>
      </c>
      <c r="D28594" s="5">
        <v>0.1</v>
      </c>
      <c r="E28594" s="5">
        <v>101.4</v>
      </c>
      <c r="F28594" s="5">
        <v>202.8</v>
      </c>
      <c r="G28594" s="5">
        <v>101.1</v>
      </c>
      <c r="H28594" s="5">
        <v>100.9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101.2</v>
      </c>
      <c r="D28595" s="5">
        <v>0.1</v>
      </c>
      <c r="E28595" s="5">
        <v>101.4</v>
      </c>
      <c r="F28595" s="5">
        <v>202.8</v>
      </c>
      <c r="G28595" s="5">
        <v>101.1</v>
      </c>
      <c r="H28595" s="5">
        <v>100.9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101.5</v>
      </c>
      <c r="D28596" s="5">
        <v>0.1</v>
      </c>
      <c r="E28596" s="5">
        <v>101.7</v>
      </c>
      <c r="F28596" s="5">
        <v>202</v>
      </c>
      <c r="G28596" s="5">
        <v>100.8</v>
      </c>
      <c r="H28596" s="5">
        <v>100.7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101.5</v>
      </c>
      <c r="D28597" s="5">
        <v>0.1</v>
      </c>
      <c r="E28597" s="5">
        <v>101.7</v>
      </c>
      <c r="F28597" s="5">
        <v>202</v>
      </c>
      <c r="G28597" s="5">
        <v>100.8</v>
      </c>
      <c r="H28597" s="5">
        <v>100.7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100.9</v>
      </c>
      <c r="D28598" s="5">
        <v>0.1</v>
      </c>
      <c r="E28598" s="5">
        <v>101.1</v>
      </c>
      <c r="F28598" s="5">
        <v>202</v>
      </c>
      <c r="G28598" s="5">
        <v>100.8</v>
      </c>
      <c r="H28598" s="5">
        <v>100.6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100.9</v>
      </c>
      <c r="D28599" s="5">
        <v>0.1</v>
      </c>
      <c r="E28599" s="5">
        <v>101.1</v>
      </c>
      <c r="F28599" s="5">
        <v>202</v>
      </c>
      <c r="G28599" s="5">
        <v>100.8</v>
      </c>
      <c r="H28599" s="5">
        <v>100.6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101.6</v>
      </c>
      <c r="D28600" s="5">
        <v>0.1</v>
      </c>
      <c r="E28600" s="5">
        <v>101.8</v>
      </c>
      <c r="F28600" s="5">
        <v>202.4</v>
      </c>
      <c r="G28600" s="5">
        <v>101</v>
      </c>
      <c r="H28600" s="5">
        <v>100.9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101.6</v>
      </c>
      <c r="D28601" s="5">
        <v>0.1</v>
      </c>
      <c r="E28601" s="5">
        <v>101.8</v>
      </c>
      <c r="F28601" s="5">
        <v>202.4</v>
      </c>
      <c r="G28601" s="5">
        <v>101</v>
      </c>
      <c r="H28601" s="5">
        <v>100.9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101.6</v>
      </c>
      <c r="D28602" s="5">
        <v>0.1</v>
      </c>
      <c r="E28602" s="5">
        <v>101.8</v>
      </c>
      <c r="F28602" s="5">
        <v>202.4</v>
      </c>
      <c r="G28602" s="5">
        <v>101</v>
      </c>
      <c r="H28602" s="5">
        <v>100.9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101.6</v>
      </c>
      <c r="D28603" s="5">
        <v>0.1</v>
      </c>
      <c r="E28603" s="5">
        <v>101.8</v>
      </c>
      <c r="F28603" s="5">
        <v>202.4</v>
      </c>
      <c r="G28603" s="5">
        <v>101</v>
      </c>
      <c r="H28603" s="5">
        <v>100.9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100</v>
      </c>
      <c r="D28604" s="5">
        <v>0.1</v>
      </c>
      <c r="E28604" s="5">
        <v>100.2</v>
      </c>
      <c r="F28604" s="5">
        <v>200.5</v>
      </c>
      <c r="G28604" s="5">
        <v>100</v>
      </c>
      <c r="H28604" s="5">
        <v>100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100</v>
      </c>
      <c r="D28605" s="5">
        <v>0.1</v>
      </c>
      <c r="E28605" s="5">
        <v>100.2</v>
      </c>
      <c r="F28605" s="5">
        <v>200.5</v>
      </c>
      <c r="G28605" s="5">
        <v>100</v>
      </c>
      <c r="H28605" s="5">
        <v>100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100.5</v>
      </c>
      <c r="D28606" s="5">
        <v>0.1</v>
      </c>
      <c r="E28606" s="5">
        <v>100.7</v>
      </c>
      <c r="F28606" s="5">
        <v>201</v>
      </c>
      <c r="G28606" s="5">
        <v>100.3</v>
      </c>
      <c r="H28606" s="5">
        <v>100.1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100.5</v>
      </c>
      <c r="D28607" s="5">
        <v>0.1</v>
      </c>
      <c r="E28607" s="5">
        <v>100.7</v>
      </c>
      <c r="F28607" s="5">
        <v>201</v>
      </c>
      <c r="G28607" s="5">
        <v>100.3</v>
      </c>
      <c r="H28607" s="5">
        <v>100.1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101.3</v>
      </c>
      <c r="D28608" s="5">
        <v>0.1</v>
      </c>
      <c r="E28608" s="5">
        <v>101.5</v>
      </c>
      <c r="F28608" s="5">
        <v>201.6</v>
      </c>
      <c r="G28608" s="5">
        <v>100.6</v>
      </c>
      <c r="H28608" s="5">
        <v>100.5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101.3</v>
      </c>
      <c r="D28609" s="5">
        <v>0.1</v>
      </c>
      <c r="E28609" s="5">
        <v>101.5</v>
      </c>
      <c r="F28609" s="5">
        <v>201.6</v>
      </c>
      <c r="G28609" s="5">
        <v>100.6</v>
      </c>
      <c r="H28609" s="5">
        <v>100.5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101.2</v>
      </c>
      <c r="D28610" s="5">
        <v>0.1</v>
      </c>
      <c r="E28610" s="5">
        <v>101.4</v>
      </c>
      <c r="F28610" s="5">
        <v>201.5</v>
      </c>
      <c r="G28610" s="5">
        <v>100.6</v>
      </c>
      <c r="H28610" s="5">
        <v>100.5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101.2</v>
      </c>
      <c r="D28611" s="5">
        <v>0.1</v>
      </c>
      <c r="E28611" s="5">
        <v>101.4</v>
      </c>
      <c r="F28611" s="5">
        <v>201.5</v>
      </c>
      <c r="G28611" s="5">
        <v>100.6</v>
      </c>
      <c r="H28611" s="5">
        <v>100.5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101.2</v>
      </c>
      <c r="D28612" s="5">
        <v>0.1</v>
      </c>
      <c r="E28612" s="5">
        <v>101.4</v>
      </c>
      <c r="F28612" s="5">
        <v>201.5</v>
      </c>
      <c r="G28612" s="5">
        <v>100.6</v>
      </c>
      <c r="H28612" s="5">
        <v>100.5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101.2</v>
      </c>
      <c r="D28613" s="5">
        <v>0.1</v>
      </c>
      <c r="E28613" s="5">
        <v>101.4</v>
      </c>
      <c r="F28613" s="5">
        <v>201.5</v>
      </c>
      <c r="G28613" s="5">
        <v>100.6</v>
      </c>
      <c r="H28613" s="5">
        <v>100.5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100.5</v>
      </c>
      <c r="D28614" s="5">
        <v>0.1</v>
      </c>
      <c r="E28614" s="5">
        <v>100.7</v>
      </c>
      <c r="F28614" s="5">
        <v>199.8</v>
      </c>
      <c r="G28614" s="5">
        <v>99.7</v>
      </c>
      <c r="H28614" s="5">
        <v>99.6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100.5</v>
      </c>
      <c r="D28615" s="5">
        <v>0.1</v>
      </c>
      <c r="E28615" s="5">
        <v>100.7</v>
      </c>
      <c r="F28615" s="5">
        <v>199.8</v>
      </c>
      <c r="G28615" s="5">
        <v>99.7</v>
      </c>
      <c r="H28615" s="5">
        <v>99.6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100.2</v>
      </c>
      <c r="D28616" s="5">
        <v>0.1</v>
      </c>
      <c r="E28616" s="5">
        <v>100.3</v>
      </c>
      <c r="F28616" s="5">
        <v>200.3</v>
      </c>
      <c r="G28616" s="5">
        <v>99.9</v>
      </c>
      <c r="H28616" s="5">
        <v>99.8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100.2</v>
      </c>
      <c r="D28617" s="5">
        <v>0.1</v>
      </c>
      <c r="E28617" s="5">
        <v>100.3</v>
      </c>
      <c r="F28617" s="5">
        <v>200.3</v>
      </c>
      <c r="G28617" s="5">
        <v>99.9</v>
      </c>
      <c r="H28617" s="5">
        <v>99.8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98.7</v>
      </c>
      <c r="D28618" s="5">
        <v>0.1</v>
      </c>
      <c r="E28618" s="5">
        <v>98.9</v>
      </c>
      <c r="F28618" s="5">
        <v>197</v>
      </c>
      <c r="G28618" s="5">
        <v>98.3</v>
      </c>
      <c r="H28618" s="5">
        <v>98.2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98.7</v>
      </c>
      <c r="D28619" s="5">
        <v>0.1</v>
      </c>
      <c r="E28619" s="5">
        <v>98.9</v>
      </c>
      <c r="F28619" s="5">
        <v>197</v>
      </c>
      <c r="G28619" s="5">
        <v>98.3</v>
      </c>
      <c r="H28619" s="5">
        <v>98.2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98.4</v>
      </c>
      <c r="D28620" s="5">
        <v>0.1</v>
      </c>
      <c r="E28620" s="5">
        <v>98.6</v>
      </c>
      <c r="F28620" s="5">
        <v>197</v>
      </c>
      <c r="G28620" s="5">
        <v>98.3</v>
      </c>
      <c r="H28620" s="5">
        <v>98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98.4</v>
      </c>
      <c r="D28621" s="5">
        <v>0.1</v>
      </c>
      <c r="E28621" s="5">
        <v>98.6</v>
      </c>
      <c r="F28621" s="5">
        <v>196.9</v>
      </c>
      <c r="G28621" s="5">
        <v>98.2</v>
      </c>
      <c r="H28621" s="5">
        <v>98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98.4</v>
      </c>
      <c r="D28622" s="5">
        <v>0.1</v>
      </c>
      <c r="E28622" s="5">
        <v>98.6</v>
      </c>
      <c r="F28622" s="5">
        <v>196.9</v>
      </c>
      <c r="G28622" s="5">
        <v>98.2</v>
      </c>
      <c r="H28622" s="5">
        <v>98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98.4</v>
      </c>
      <c r="D28623" s="5">
        <v>0.1</v>
      </c>
      <c r="E28623" s="5">
        <v>98.6</v>
      </c>
      <c r="F28623" s="5">
        <v>196.9</v>
      </c>
      <c r="G28623" s="5">
        <v>98.2</v>
      </c>
      <c r="H28623" s="5">
        <v>98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99.2</v>
      </c>
      <c r="D28624" s="5">
        <v>0.1</v>
      </c>
      <c r="E28624" s="5">
        <v>99.3</v>
      </c>
      <c r="F28624" s="5">
        <v>198.4</v>
      </c>
      <c r="G28624" s="5">
        <v>98.9</v>
      </c>
      <c r="H28624" s="5">
        <v>98.6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99.2</v>
      </c>
      <c r="D28625" s="5">
        <v>0.1</v>
      </c>
      <c r="E28625" s="5">
        <v>99.3</v>
      </c>
      <c r="F28625" s="5">
        <v>198.4</v>
      </c>
      <c r="G28625" s="5">
        <v>98.9</v>
      </c>
      <c r="H28625" s="5">
        <v>98.6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100.2</v>
      </c>
      <c r="D28626" s="5">
        <v>0.1</v>
      </c>
      <c r="E28626" s="5">
        <v>100.4</v>
      </c>
      <c r="F28626" s="5">
        <v>199.8</v>
      </c>
      <c r="G28626" s="5">
        <v>99.6</v>
      </c>
      <c r="H28626" s="5">
        <v>99.4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100.2</v>
      </c>
      <c r="D28627" s="5">
        <v>0.1</v>
      </c>
      <c r="E28627" s="5">
        <v>100.4</v>
      </c>
      <c r="F28627" s="5">
        <v>199.8</v>
      </c>
      <c r="G28627" s="5">
        <v>99.6</v>
      </c>
      <c r="H28627" s="5">
        <v>99.4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99.6</v>
      </c>
      <c r="D28628" s="5">
        <v>0.1</v>
      </c>
      <c r="E28628" s="5">
        <v>99.8</v>
      </c>
      <c r="F28628" s="5">
        <v>199</v>
      </c>
      <c r="G28628" s="5">
        <v>99.4</v>
      </c>
      <c r="H28628" s="5">
        <v>99.3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99.6</v>
      </c>
      <c r="D28629" s="5">
        <v>0.1</v>
      </c>
      <c r="E28629" s="5">
        <v>99.8</v>
      </c>
      <c r="F28629" s="5">
        <v>199</v>
      </c>
      <c r="G28629" s="5">
        <v>99.4</v>
      </c>
      <c r="H28629" s="5">
        <v>99.3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100.7</v>
      </c>
      <c r="D28630" s="5">
        <v>0.1</v>
      </c>
      <c r="E28630" s="5">
        <v>100.8</v>
      </c>
      <c r="F28630" s="5">
        <v>201.7</v>
      </c>
      <c r="G28630" s="5">
        <v>100.6</v>
      </c>
      <c r="H28630" s="5">
        <v>100.4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100.7</v>
      </c>
      <c r="D28631" s="5">
        <v>0.1</v>
      </c>
      <c r="E28631" s="5">
        <v>100.8</v>
      </c>
      <c r="F28631" s="5">
        <v>201.7</v>
      </c>
      <c r="G28631" s="5">
        <v>100.6</v>
      </c>
      <c r="H28631" s="5">
        <v>100.4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100.7</v>
      </c>
      <c r="D28632" s="5">
        <v>0.1</v>
      </c>
      <c r="E28632" s="5">
        <v>100.8</v>
      </c>
      <c r="F28632" s="5">
        <v>201.7</v>
      </c>
      <c r="G28632" s="5">
        <v>100.6</v>
      </c>
      <c r="H28632" s="5">
        <v>100.4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100.7</v>
      </c>
      <c r="D28633" s="5">
        <v>0.1</v>
      </c>
      <c r="E28633" s="5">
        <v>100.8</v>
      </c>
      <c r="F28633" s="5">
        <v>201.7</v>
      </c>
      <c r="G28633" s="5">
        <v>100.6</v>
      </c>
      <c r="H28633" s="5">
        <v>100.4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101.4</v>
      </c>
      <c r="D28634" s="5">
        <v>0.1</v>
      </c>
      <c r="E28634" s="5">
        <v>101.5</v>
      </c>
      <c r="F28634" s="5">
        <v>202.9</v>
      </c>
      <c r="G28634" s="5">
        <v>101.2</v>
      </c>
      <c r="H28634" s="5">
        <v>101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101.4</v>
      </c>
      <c r="D28635" s="5">
        <v>0.1</v>
      </c>
      <c r="E28635" s="5">
        <v>101.5</v>
      </c>
      <c r="F28635" s="5">
        <v>202.9</v>
      </c>
      <c r="G28635" s="5">
        <v>101.2</v>
      </c>
      <c r="H28635" s="5">
        <v>101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102.1</v>
      </c>
      <c r="D28636" s="5">
        <v>0.1</v>
      </c>
      <c r="E28636" s="5">
        <v>102.3</v>
      </c>
      <c r="F28636" s="5">
        <v>203.3</v>
      </c>
      <c r="G28636" s="5">
        <v>101.4</v>
      </c>
      <c r="H28636" s="5">
        <v>101.3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102.1</v>
      </c>
      <c r="D28637" s="5">
        <v>0.1</v>
      </c>
      <c r="E28637" s="5">
        <v>102.3</v>
      </c>
      <c r="F28637" s="5">
        <v>203.3</v>
      </c>
      <c r="G28637" s="5">
        <v>101.4</v>
      </c>
      <c r="H28637" s="5">
        <v>101.3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102.1</v>
      </c>
      <c r="D28638" s="5">
        <v>0.1</v>
      </c>
      <c r="E28638" s="5">
        <v>102.1</v>
      </c>
      <c r="F28638" s="5">
        <v>203.9</v>
      </c>
      <c r="G28638" s="5">
        <v>101.6</v>
      </c>
      <c r="H28638" s="5">
        <v>101.5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102.1</v>
      </c>
      <c r="D28639" s="5">
        <v>0.1</v>
      </c>
      <c r="E28639" s="5">
        <v>102.1</v>
      </c>
      <c r="F28639" s="5">
        <v>203.9</v>
      </c>
      <c r="G28639" s="5">
        <v>101.6</v>
      </c>
      <c r="H28639" s="5">
        <v>101.5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100.8</v>
      </c>
      <c r="D28640" s="5">
        <v>0.1</v>
      </c>
      <c r="E28640" s="5">
        <v>100.9</v>
      </c>
      <c r="F28640" s="5">
        <v>201.7</v>
      </c>
      <c r="G28640" s="5">
        <v>100.5</v>
      </c>
      <c r="H28640" s="5">
        <v>100.3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100.8</v>
      </c>
      <c r="D28641" s="5">
        <v>0.1</v>
      </c>
      <c r="E28641" s="5">
        <v>100.9</v>
      </c>
      <c r="F28641" s="5">
        <v>201.7</v>
      </c>
      <c r="G28641" s="5">
        <v>100.5</v>
      </c>
      <c r="H28641" s="5">
        <v>100.3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100.8</v>
      </c>
      <c r="D28642" s="5">
        <v>0.1</v>
      </c>
      <c r="E28642" s="5">
        <v>100.9</v>
      </c>
      <c r="F28642" s="5">
        <v>201.7</v>
      </c>
      <c r="G28642" s="5">
        <v>100.5</v>
      </c>
      <c r="H28642" s="5">
        <v>100.3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100.8</v>
      </c>
      <c r="D28643" s="5">
        <v>0.1</v>
      </c>
      <c r="E28643" s="5">
        <v>100.9</v>
      </c>
      <c r="F28643" s="5">
        <v>201.7</v>
      </c>
      <c r="G28643" s="5">
        <v>100.5</v>
      </c>
      <c r="H28643" s="5">
        <v>100.3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102.7</v>
      </c>
      <c r="D28644" s="5">
        <v>0.1</v>
      </c>
      <c r="E28644" s="5">
        <v>102.9</v>
      </c>
      <c r="F28644" s="5">
        <v>204.7</v>
      </c>
      <c r="G28644" s="5">
        <v>102.1</v>
      </c>
      <c r="H28644" s="5">
        <v>102.1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102.7</v>
      </c>
      <c r="D28645" s="5">
        <v>0.1</v>
      </c>
      <c r="E28645" s="5">
        <v>102.9</v>
      </c>
      <c r="F28645" s="5">
        <v>204.7</v>
      </c>
      <c r="G28645" s="5">
        <v>102.1</v>
      </c>
      <c r="H28645" s="5">
        <v>102.1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102.2</v>
      </c>
      <c r="D28646" s="5">
        <v>0.1</v>
      </c>
      <c r="E28646" s="5">
        <v>102.4</v>
      </c>
      <c r="F28646" s="5">
        <v>204.2</v>
      </c>
      <c r="G28646" s="5">
        <v>101.8</v>
      </c>
      <c r="H28646" s="5">
        <v>101.6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102.2</v>
      </c>
      <c r="D28647" s="5">
        <v>0.1</v>
      </c>
      <c r="E28647" s="5">
        <v>102.4</v>
      </c>
      <c r="F28647" s="5">
        <v>204.2</v>
      </c>
      <c r="G28647" s="5">
        <v>101.8</v>
      </c>
      <c r="H28647" s="5">
        <v>101.6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101.9</v>
      </c>
      <c r="D28648" s="5">
        <v>0.1</v>
      </c>
      <c r="E28648" s="5">
        <v>102.1</v>
      </c>
      <c r="F28648" s="5">
        <v>203.1</v>
      </c>
      <c r="G28648" s="5">
        <v>101.2</v>
      </c>
      <c r="H28648" s="5">
        <v>101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101.9</v>
      </c>
      <c r="D28649" s="5">
        <v>0.1</v>
      </c>
      <c r="E28649" s="5">
        <v>102.1</v>
      </c>
      <c r="F28649" s="5">
        <v>203.1</v>
      </c>
      <c r="G28649" s="5">
        <v>101.2</v>
      </c>
      <c r="H28649" s="5">
        <v>101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101.8</v>
      </c>
      <c r="D28650" s="5">
        <v>0.1</v>
      </c>
      <c r="E28650" s="5">
        <v>102</v>
      </c>
      <c r="F28650" s="5">
        <v>202.8</v>
      </c>
      <c r="G28650" s="5">
        <v>101.2</v>
      </c>
      <c r="H28650" s="5">
        <v>101.1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101.8</v>
      </c>
      <c r="D28651" s="5">
        <v>0.1</v>
      </c>
      <c r="E28651" s="5">
        <v>102</v>
      </c>
      <c r="F28651" s="5">
        <v>202.8</v>
      </c>
      <c r="G28651" s="5">
        <v>101.2</v>
      </c>
      <c r="H28651" s="5">
        <v>101.1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101.8</v>
      </c>
      <c r="D28652" s="5">
        <v>0.1</v>
      </c>
      <c r="E28652" s="5">
        <v>102</v>
      </c>
      <c r="F28652" s="5">
        <v>202.8</v>
      </c>
      <c r="G28652" s="5">
        <v>101.2</v>
      </c>
      <c r="H28652" s="5">
        <v>101.1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101.8</v>
      </c>
      <c r="D28653" s="5">
        <v>0.1</v>
      </c>
      <c r="E28653" s="5">
        <v>102</v>
      </c>
      <c r="F28653" s="5">
        <v>202.8</v>
      </c>
      <c r="G28653" s="5">
        <v>101.2</v>
      </c>
      <c r="H28653" s="5">
        <v>101.1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102.1</v>
      </c>
      <c r="D28654" s="5">
        <v>0.1</v>
      </c>
      <c r="E28654" s="5">
        <v>102.3</v>
      </c>
      <c r="F28654" s="5">
        <v>203.9</v>
      </c>
      <c r="G28654" s="5">
        <v>101.7</v>
      </c>
      <c r="H28654" s="5">
        <v>101.5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102.1</v>
      </c>
      <c r="D28655" s="5">
        <v>0.1</v>
      </c>
      <c r="E28655" s="5">
        <v>102.3</v>
      </c>
      <c r="F28655" s="5">
        <v>203.9</v>
      </c>
      <c r="G28655" s="5">
        <v>101.7</v>
      </c>
      <c r="H28655" s="5">
        <v>101.5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100.6</v>
      </c>
      <c r="D28656" s="5">
        <v>0.1</v>
      </c>
      <c r="E28656" s="5">
        <v>100.8</v>
      </c>
      <c r="F28656" s="5">
        <v>201.4</v>
      </c>
      <c r="G28656" s="5">
        <v>100.4</v>
      </c>
      <c r="H28656" s="5">
        <v>100.3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100.6</v>
      </c>
      <c r="D28657" s="5">
        <v>0.1</v>
      </c>
      <c r="E28657" s="5">
        <v>100.8</v>
      </c>
      <c r="F28657" s="5">
        <v>201.4</v>
      </c>
      <c r="G28657" s="5">
        <v>100.4</v>
      </c>
      <c r="H28657" s="5">
        <v>100.3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101</v>
      </c>
      <c r="D28658" s="5">
        <v>0.1</v>
      </c>
      <c r="E28658" s="5">
        <v>101.1</v>
      </c>
      <c r="F28658" s="5">
        <v>202.2</v>
      </c>
      <c r="G28658" s="5">
        <v>100.8</v>
      </c>
      <c r="H28658" s="5">
        <v>100.7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101</v>
      </c>
      <c r="D28659" s="5">
        <v>0.1</v>
      </c>
      <c r="E28659" s="5">
        <v>101.1</v>
      </c>
      <c r="F28659" s="5">
        <v>202.2</v>
      </c>
      <c r="G28659" s="5">
        <v>100.8</v>
      </c>
      <c r="H28659" s="5">
        <v>100.7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102.2</v>
      </c>
      <c r="D28660" s="5">
        <v>0.1</v>
      </c>
      <c r="E28660" s="5">
        <v>102.4</v>
      </c>
      <c r="F28660" s="5">
        <v>203.8</v>
      </c>
      <c r="G28660" s="5">
        <v>101.7</v>
      </c>
      <c r="H28660" s="5">
        <v>101.5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102.2</v>
      </c>
      <c r="D28661" s="5">
        <v>0.1</v>
      </c>
      <c r="E28661" s="5">
        <v>102.4</v>
      </c>
      <c r="F28661" s="5">
        <v>203.8</v>
      </c>
      <c r="G28661" s="5">
        <v>101.7</v>
      </c>
      <c r="H28661" s="5">
        <v>101.5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102.2</v>
      </c>
      <c r="D28662" s="5">
        <v>0.1</v>
      </c>
      <c r="E28662" s="5">
        <v>102.4</v>
      </c>
      <c r="F28662" s="5">
        <v>203.8</v>
      </c>
      <c r="G28662" s="5">
        <v>101.7</v>
      </c>
      <c r="H28662" s="5">
        <v>101.5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102.2</v>
      </c>
      <c r="D28663" s="5">
        <v>0.1</v>
      </c>
      <c r="E28663" s="5">
        <v>102.4</v>
      </c>
      <c r="F28663" s="5">
        <v>203.8</v>
      </c>
      <c r="G28663" s="5">
        <v>101.7</v>
      </c>
      <c r="H28663" s="5">
        <v>101.5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101.5</v>
      </c>
      <c r="D28664" s="5">
        <v>0.1</v>
      </c>
      <c r="E28664" s="5">
        <v>101.5</v>
      </c>
      <c r="F28664" s="5">
        <v>202.8</v>
      </c>
      <c r="G28664" s="5">
        <v>101.2</v>
      </c>
      <c r="H28664" s="5">
        <v>101.1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101.5</v>
      </c>
      <c r="D28665" s="5">
        <v>0.1</v>
      </c>
      <c r="E28665" s="5">
        <v>101.5</v>
      </c>
      <c r="F28665" s="5">
        <v>202.8</v>
      </c>
      <c r="G28665" s="5">
        <v>101.2</v>
      </c>
      <c r="H28665" s="5">
        <v>101.1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103</v>
      </c>
      <c r="D28666" s="5">
        <v>0.1</v>
      </c>
      <c r="E28666" s="5">
        <v>103.1</v>
      </c>
      <c r="F28666" s="5">
        <v>205.4</v>
      </c>
      <c r="G28666" s="5">
        <v>102.5</v>
      </c>
      <c r="H28666" s="5">
        <v>102.4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103</v>
      </c>
      <c r="D28667" s="5">
        <v>0.1</v>
      </c>
      <c r="E28667" s="5">
        <v>103.1</v>
      </c>
      <c r="F28667" s="5">
        <v>205.4</v>
      </c>
      <c r="G28667" s="5">
        <v>102.5</v>
      </c>
      <c r="H28667" s="5">
        <v>102.4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101.8</v>
      </c>
      <c r="D28668" s="5">
        <v>0.1</v>
      </c>
      <c r="E28668" s="5">
        <v>101.9</v>
      </c>
      <c r="F28668" s="5">
        <v>203.7</v>
      </c>
      <c r="G28668" s="5">
        <v>101.6</v>
      </c>
      <c r="H28668" s="5">
        <v>101.5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101.8</v>
      </c>
      <c r="D28669" s="5">
        <v>0.1</v>
      </c>
      <c r="E28669" s="5">
        <v>101.9</v>
      </c>
      <c r="F28669" s="5">
        <v>203.7</v>
      </c>
      <c r="G28669" s="5">
        <v>101.6</v>
      </c>
      <c r="H28669" s="5">
        <v>101.5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101.3</v>
      </c>
      <c r="D28670" s="5">
        <v>0.1</v>
      </c>
      <c r="E28670" s="5">
        <v>101.5</v>
      </c>
      <c r="F28670" s="5">
        <v>203.1</v>
      </c>
      <c r="G28670" s="5">
        <v>101.3</v>
      </c>
      <c r="H28670" s="5">
        <v>101.2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101.3</v>
      </c>
      <c r="D28671" s="5">
        <v>0.1</v>
      </c>
      <c r="E28671" s="5">
        <v>101.5</v>
      </c>
      <c r="F28671" s="5">
        <v>203.1</v>
      </c>
      <c r="G28671" s="5">
        <v>101.3</v>
      </c>
      <c r="H28671" s="5">
        <v>101.2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101.3</v>
      </c>
      <c r="D28672" s="5">
        <v>0.1</v>
      </c>
      <c r="E28672" s="5">
        <v>101.5</v>
      </c>
      <c r="F28672" s="5">
        <v>203.1</v>
      </c>
      <c r="G28672" s="5">
        <v>101.3</v>
      </c>
      <c r="H28672" s="5">
        <v>101.2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101.3</v>
      </c>
      <c r="D28673" s="5">
        <v>0.1</v>
      </c>
      <c r="E28673" s="5">
        <v>101.5</v>
      </c>
      <c r="F28673" s="5">
        <v>203.1</v>
      </c>
      <c r="G28673" s="5">
        <v>101.8</v>
      </c>
      <c r="H28673" s="5">
        <v>101.2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102.1</v>
      </c>
      <c r="D28674" s="5">
        <v>0.1</v>
      </c>
      <c r="E28674" s="5">
        <v>102.2</v>
      </c>
      <c r="F28674" s="5">
        <v>204.3</v>
      </c>
      <c r="G28674" s="5">
        <v>101.8</v>
      </c>
      <c r="H28674" s="5">
        <v>101.6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102.1</v>
      </c>
      <c r="D28675" s="5">
        <v>0.1</v>
      </c>
      <c r="E28675" s="5">
        <v>102.2</v>
      </c>
      <c r="F28675" s="5">
        <v>204.3</v>
      </c>
      <c r="G28675" s="5">
        <v>101.8</v>
      </c>
      <c r="H28675" s="5">
        <v>101.6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102.4</v>
      </c>
      <c r="D28676" s="5">
        <v>0.1</v>
      </c>
      <c r="E28676" s="5">
        <v>102.5</v>
      </c>
      <c r="F28676" s="5">
        <v>203.8</v>
      </c>
      <c r="G28676" s="5">
        <v>102.2</v>
      </c>
      <c r="H28676" s="5">
        <v>101.9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102.4</v>
      </c>
      <c r="D28677" s="5">
        <v>0.1</v>
      </c>
      <c r="E28677" s="5">
        <v>102.5</v>
      </c>
      <c r="F28677" s="5">
        <v>203.8</v>
      </c>
      <c r="G28677" s="5">
        <v>102.2</v>
      </c>
      <c r="H28677" s="5">
        <v>101.9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101.8</v>
      </c>
      <c r="D28678" s="5">
        <v>0.1</v>
      </c>
      <c r="E28678" s="5">
        <v>102</v>
      </c>
      <c r="F28678" s="5">
        <v>204.6</v>
      </c>
      <c r="G28678" s="5">
        <v>101.6</v>
      </c>
      <c r="H28678" s="5">
        <v>101.5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101.8</v>
      </c>
      <c r="D28679" s="5">
        <v>0.1</v>
      </c>
      <c r="E28679" s="5">
        <v>102</v>
      </c>
      <c r="F28679" s="5">
        <v>204.6</v>
      </c>
      <c r="G28679" s="5">
        <v>101.6</v>
      </c>
      <c r="H28679" s="5">
        <v>101.5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103.1</v>
      </c>
      <c r="D28680" s="5">
        <v>0.1</v>
      </c>
      <c r="E28680" s="5">
        <v>103.3</v>
      </c>
      <c r="F28680" s="5">
        <v>205.9</v>
      </c>
      <c r="G28680" s="5">
        <v>102.8</v>
      </c>
      <c r="H28680" s="5">
        <v>102.7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103.1</v>
      </c>
      <c r="D28681" s="5">
        <v>0.1</v>
      </c>
      <c r="E28681" s="5">
        <v>103.3</v>
      </c>
      <c r="F28681" s="5">
        <v>205.9</v>
      </c>
      <c r="G28681" s="5">
        <v>102.8</v>
      </c>
      <c r="H28681" s="5">
        <v>102.7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103.1</v>
      </c>
      <c r="D28682" s="5">
        <v>0.1</v>
      </c>
      <c r="E28682" s="5">
        <v>103.3</v>
      </c>
      <c r="F28682" s="5">
        <v>205.9</v>
      </c>
      <c r="G28682" s="5">
        <v>102.8</v>
      </c>
      <c r="H28682" s="5">
        <v>102.7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103.1</v>
      </c>
      <c r="D28683" s="5">
        <v>0.1</v>
      </c>
      <c r="E28683" s="5">
        <v>103.3</v>
      </c>
      <c r="F28683" s="5">
        <v>205.9</v>
      </c>
      <c r="G28683" s="5">
        <v>102.8</v>
      </c>
      <c r="H28683" s="5">
        <v>102.7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103.1</v>
      </c>
      <c r="D28684" s="5">
        <v>0.1</v>
      </c>
      <c r="E28684" s="5">
        <v>103.3</v>
      </c>
      <c r="F28684" s="5">
        <v>205.9</v>
      </c>
      <c r="G28684" s="5">
        <v>102.8</v>
      </c>
      <c r="H28684" s="5">
        <v>102.7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103.1</v>
      </c>
      <c r="D28685" s="5">
        <v>0.1</v>
      </c>
      <c r="E28685" s="5">
        <v>103.3</v>
      </c>
      <c r="F28685" s="5">
        <v>205.9</v>
      </c>
      <c r="G28685" s="5">
        <v>102.8</v>
      </c>
      <c r="H28685" s="5">
        <v>102.7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103.1</v>
      </c>
      <c r="D28686" s="5">
        <v>0.1</v>
      </c>
      <c r="E28686" s="5">
        <v>103.3</v>
      </c>
      <c r="F28686" s="5">
        <v>205.9</v>
      </c>
      <c r="G28686" s="5">
        <v>102.8</v>
      </c>
      <c r="H28686" s="5">
        <v>102.7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103.1</v>
      </c>
      <c r="D28687" s="5">
        <v>0.1</v>
      </c>
      <c r="E28687" s="5">
        <v>103.3</v>
      </c>
      <c r="F28687" s="5">
        <v>205.9</v>
      </c>
      <c r="G28687" s="5">
        <v>102.8</v>
      </c>
      <c r="H28687" s="5">
        <v>102.7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103.1</v>
      </c>
      <c r="D28688" s="5">
        <v>0.1</v>
      </c>
      <c r="E28688" s="5">
        <v>103.3</v>
      </c>
      <c r="F28688" s="5">
        <v>205.9</v>
      </c>
      <c r="G28688" s="5">
        <v>102.8</v>
      </c>
      <c r="H28688" s="5">
        <v>102.7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103.1</v>
      </c>
      <c r="D28689" s="5">
        <v>0.1</v>
      </c>
      <c r="E28689" s="5">
        <v>103.3</v>
      </c>
      <c r="F28689" s="5">
        <v>205.9</v>
      </c>
      <c r="G28689" s="5">
        <v>102.8</v>
      </c>
      <c r="H28689" s="5">
        <v>102.7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104</v>
      </c>
      <c r="D28690" s="5">
        <v>0.1</v>
      </c>
      <c r="E28690" s="5">
        <v>104.1</v>
      </c>
      <c r="F28690" s="5">
        <v>207.1</v>
      </c>
      <c r="G28690" s="5">
        <v>103.4</v>
      </c>
      <c r="H28690" s="5">
        <v>103.2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104</v>
      </c>
      <c r="D28691" s="5">
        <v>0.1</v>
      </c>
      <c r="E28691" s="5">
        <v>104.1</v>
      </c>
      <c r="F28691" s="5">
        <v>207.1</v>
      </c>
      <c r="G28691" s="5">
        <v>103.4</v>
      </c>
      <c r="H28691" s="5">
        <v>103.2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104</v>
      </c>
      <c r="D28692" s="5">
        <v>0.1</v>
      </c>
      <c r="E28692" s="5">
        <v>104.1</v>
      </c>
      <c r="F28692" s="5">
        <v>207.1</v>
      </c>
      <c r="G28692" s="5">
        <v>103.4</v>
      </c>
      <c r="H28692" s="5">
        <v>103.2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104</v>
      </c>
      <c r="D28693" s="5">
        <v>0.1</v>
      </c>
      <c r="E28693" s="5">
        <v>104.1</v>
      </c>
      <c r="F28693" s="5">
        <v>207.1</v>
      </c>
      <c r="G28693" s="5">
        <v>103.4</v>
      </c>
      <c r="H28693" s="5">
        <v>103.2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101.8</v>
      </c>
      <c r="D28694" s="5">
        <v>0.1</v>
      </c>
      <c r="E28694" s="5">
        <v>102</v>
      </c>
      <c r="F28694" s="5">
        <v>203.1</v>
      </c>
      <c r="G28694" s="5">
        <v>101.3</v>
      </c>
      <c r="H28694" s="5">
        <v>101.2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101.8</v>
      </c>
      <c r="D28695" s="5">
        <v>0.1</v>
      </c>
      <c r="E28695" s="5">
        <v>102</v>
      </c>
      <c r="F28695" s="5">
        <v>203.1</v>
      </c>
      <c r="G28695" s="5">
        <v>101.3</v>
      </c>
      <c r="H28695" s="5">
        <v>101.2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101.9</v>
      </c>
      <c r="D28696" s="5">
        <v>0.1</v>
      </c>
      <c r="E28696" s="5">
        <v>102</v>
      </c>
      <c r="F28696" s="5">
        <v>202.6</v>
      </c>
      <c r="G28696" s="5">
        <v>101.1</v>
      </c>
      <c r="H28696" s="5">
        <v>101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101.9</v>
      </c>
      <c r="D28697" s="5">
        <v>0.1</v>
      </c>
      <c r="E28697" s="5">
        <v>102</v>
      </c>
      <c r="F28697" s="5">
        <v>202.6</v>
      </c>
      <c r="G28697" s="5">
        <v>101.1</v>
      </c>
      <c r="H28697" s="5">
        <v>101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101.9</v>
      </c>
      <c r="D28698" s="5">
        <v>0.1</v>
      </c>
      <c r="E28698" s="5">
        <v>102.1</v>
      </c>
      <c r="F28698" s="5">
        <v>202.7</v>
      </c>
      <c r="G28698" s="5">
        <v>101.2</v>
      </c>
      <c r="H28698" s="5">
        <v>101.1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101.9</v>
      </c>
      <c r="D28699" s="5">
        <v>0.1</v>
      </c>
      <c r="E28699" s="5">
        <v>102.1</v>
      </c>
      <c r="F28699" s="5">
        <v>202.7</v>
      </c>
      <c r="G28699" s="5">
        <v>101.2</v>
      </c>
      <c r="H28699" s="5">
        <v>101.1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101.7</v>
      </c>
      <c r="D28700" s="5">
        <v>0.1</v>
      </c>
      <c r="E28700" s="5">
        <v>101.8</v>
      </c>
      <c r="F28700" s="5">
        <v>203.7</v>
      </c>
      <c r="G28700" s="5">
        <v>101.6</v>
      </c>
      <c r="H28700" s="5">
        <v>101.5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101.7</v>
      </c>
      <c r="D28701" s="5">
        <v>0.1</v>
      </c>
      <c r="E28701" s="5">
        <v>101.8</v>
      </c>
      <c r="F28701" s="5">
        <v>203.7</v>
      </c>
      <c r="G28701" s="5">
        <v>101.6</v>
      </c>
      <c r="H28701" s="5">
        <v>101.5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101.7</v>
      </c>
      <c r="D28702" s="5">
        <v>0.1</v>
      </c>
      <c r="E28702" s="5">
        <v>101.8</v>
      </c>
      <c r="F28702" s="5">
        <v>203.7</v>
      </c>
      <c r="G28702" s="5">
        <v>101.6</v>
      </c>
      <c r="H28702" s="5">
        <v>101.5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101.7</v>
      </c>
      <c r="D28703" s="5">
        <v>0.1</v>
      </c>
      <c r="E28703" s="5">
        <v>101.8</v>
      </c>
      <c r="F28703" s="5">
        <v>203.7</v>
      </c>
      <c r="G28703" s="5">
        <v>101.4</v>
      </c>
      <c r="H28703" s="5">
        <v>101.3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101.7</v>
      </c>
      <c r="D28704" s="5">
        <v>0.1</v>
      </c>
      <c r="E28704" s="5">
        <v>101.8</v>
      </c>
      <c r="F28704" s="5">
        <v>203.2</v>
      </c>
      <c r="G28704" s="5">
        <v>101.4</v>
      </c>
      <c r="H28704" s="5">
        <v>101.3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101.7</v>
      </c>
      <c r="D28705" s="5">
        <v>0.1</v>
      </c>
      <c r="E28705" s="5">
        <v>101.8</v>
      </c>
      <c r="F28705" s="5">
        <v>203.2</v>
      </c>
      <c r="G28705" s="5">
        <v>101.4</v>
      </c>
      <c r="H28705" s="5">
        <v>102.2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103.5</v>
      </c>
      <c r="D28706" s="5">
        <v>0.1</v>
      </c>
      <c r="E28706" s="5">
        <v>103.7</v>
      </c>
      <c r="F28706" s="5">
        <v>204.6</v>
      </c>
      <c r="G28706" s="5">
        <v>102.2</v>
      </c>
      <c r="H28706" s="5">
        <v>102.2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103.5</v>
      </c>
      <c r="D28707" s="5">
        <v>0.1</v>
      </c>
      <c r="E28707" s="5">
        <v>103.7</v>
      </c>
      <c r="F28707" s="5">
        <v>204.6</v>
      </c>
      <c r="G28707" s="5">
        <v>102.2</v>
      </c>
      <c r="H28707" s="5">
        <v>101.5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102.4</v>
      </c>
      <c r="D28708" s="5">
        <v>0.1</v>
      </c>
      <c r="E28708" s="5">
        <v>102.6</v>
      </c>
      <c r="F28708" s="5">
        <v>203.8</v>
      </c>
      <c r="G28708" s="5">
        <v>101.7</v>
      </c>
      <c r="H28708" s="5">
        <v>101.5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102.4</v>
      </c>
      <c r="D28709" s="5">
        <v>0.1</v>
      </c>
      <c r="E28709" s="5">
        <v>102.6</v>
      </c>
      <c r="F28709" s="5">
        <v>203.8</v>
      </c>
      <c r="G28709" s="5">
        <v>101.7</v>
      </c>
      <c r="H28709" s="5">
        <v>101.5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101.9</v>
      </c>
      <c r="D28710" s="5">
        <v>0.1</v>
      </c>
      <c r="E28710" s="5">
        <v>102.1</v>
      </c>
      <c r="F28710" s="5">
        <v>203.3</v>
      </c>
      <c r="G28710" s="5">
        <v>101.4</v>
      </c>
      <c r="H28710" s="5">
        <v>101.3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101.9</v>
      </c>
      <c r="D28711" s="5">
        <v>0.1</v>
      </c>
      <c r="E28711" s="5">
        <v>102.1</v>
      </c>
      <c r="F28711" s="5">
        <v>203.3</v>
      </c>
      <c r="G28711" s="5">
        <v>101.4</v>
      </c>
      <c r="H28711" s="5">
        <v>101.3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101.9</v>
      </c>
      <c r="D28712" s="5">
        <v>0.1</v>
      </c>
      <c r="E28712" s="5">
        <v>102.1</v>
      </c>
      <c r="F28712" s="5">
        <v>203.3</v>
      </c>
      <c r="G28712" s="5">
        <v>101.4</v>
      </c>
      <c r="H28712" s="5">
        <v>101.3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102.1</v>
      </c>
      <c r="D28713" s="5">
        <v>0.1</v>
      </c>
      <c r="E28713" s="5">
        <v>102.3</v>
      </c>
      <c r="F28713" s="5">
        <v>203.5</v>
      </c>
      <c r="G28713" s="5">
        <v>101.6</v>
      </c>
      <c r="H28713" s="5">
        <v>101.5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102.1</v>
      </c>
      <c r="D28714" s="5">
        <v>0.1</v>
      </c>
      <c r="E28714" s="5">
        <v>102.3</v>
      </c>
      <c r="F28714" s="5">
        <v>203.5</v>
      </c>
      <c r="G28714" s="5">
        <v>101.6</v>
      </c>
      <c r="H28714" s="5">
        <v>101.5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101.8</v>
      </c>
      <c r="D28715" s="5">
        <v>0.1</v>
      </c>
      <c r="E28715" s="5">
        <v>102</v>
      </c>
      <c r="F28715" s="5">
        <v>203.3</v>
      </c>
      <c r="G28715" s="5">
        <v>101.5</v>
      </c>
      <c r="H28715" s="5">
        <v>101.3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101.8</v>
      </c>
      <c r="D28716" s="5">
        <v>0.1</v>
      </c>
      <c r="E28716" s="5">
        <v>102</v>
      </c>
      <c r="F28716" s="5">
        <v>203.3</v>
      </c>
      <c r="G28716" s="5">
        <v>101.5</v>
      </c>
      <c r="H28716" s="5">
        <v>101.3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101.9</v>
      </c>
      <c r="D28717" s="5">
        <v>0.1</v>
      </c>
      <c r="E28717" s="5">
        <v>102.1</v>
      </c>
      <c r="F28717" s="5">
        <v>202.6</v>
      </c>
      <c r="G28717" s="5">
        <v>101.1</v>
      </c>
      <c r="H28717" s="5">
        <v>101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101.9</v>
      </c>
      <c r="D28718" s="5">
        <v>0.1</v>
      </c>
      <c r="E28718" s="5">
        <v>102.1</v>
      </c>
      <c r="F28718" s="5">
        <v>202.6</v>
      </c>
      <c r="G28718" s="5">
        <v>101.1</v>
      </c>
      <c r="H28718" s="5">
        <v>101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101.9</v>
      </c>
      <c r="D28719" s="5">
        <v>0.1</v>
      </c>
      <c r="E28719" s="5">
        <v>102</v>
      </c>
      <c r="F28719" s="5">
        <v>202.6</v>
      </c>
      <c r="G28719" s="5">
        <v>101.1</v>
      </c>
      <c r="H28719" s="5">
        <v>101.1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101.9</v>
      </c>
      <c r="D28720" s="5">
        <v>0.1</v>
      </c>
      <c r="E28720" s="5">
        <v>102</v>
      </c>
      <c r="F28720" s="5">
        <v>202.6</v>
      </c>
      <c r="G28720" s="5">
        <v>101.1</v>
      </c>
      <c r="H28720" s="5">
        <v>101.1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101.9</v>
      </c>
      <c r="D28721" s="5">
        <v>0.1</v>
      </c>
      <c r="E28721" s="5">
        <v>102</v>
      </c>
      <c r="F28721" s="5">
        <v>202.6</v>
      </c>
      <c r="G28721" s="5">
        <v>101.1</v>
      </c>
      <c r="H28721" s="5">
        <v>101.1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101.9</v>
      </c>
      <c r="D28722" s="5">
        <v>0.1</v>
      </c>
      <c r="E28722" s="5">
        <v>102</v>
      </c>
      <c r="F28722" s="5">
        <v>202.6</v>
      </c>
      <c r="G28722" s="5">
        <v>101.1</v>
      </c>
      <c r="H28722" s="5">
        <v>101.1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101.9</v>
      </c>
      <c r="D28723" s="5">
        <v>0.1</v>
      </c>
      <c r="E28723" s="5">
        <v>102.1</v>
      </c>
      <c r="F28723" s="5">
        <v>203.7</v>
      </c>
      <c r="G28723" s="5">
        <v>101.7</v>
      </c>
      <c r="H28723" s="5">
        <v>101.6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101.9</v>
      </c>
      <c r="D28724" s="5">
        <v>0.1</v>
      </c>
      <c r="E28724" s="5">
        <v>102.1</v>
      </c>
      <c r="F28724" s="5">
        <v>203.7</v>
      </c>
      <c r="G28724" s="5">
        <v>101.7</v>
      </c>
      <c r="H28724" s="5">
        <v>101.6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101.5</v>
      </c>
      <c r="D28725" s="5">
        <v>0.1</v>
      </c>
      <c r="E28725" s="5">
        <v>101.7</v>
      </c>
      <c r="F28725" s="5">
        <v>203.7</v>
      </c>
      <c r="G28725" s="5">
        <v>101.7</v>
      </c>
      <c r="H28725" s="5">
        <v>101.6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101.5</v>
      </c>
      <c r="D28726" s="5">
        <v>0.1</v>
      </c>
      <c r="E28726" s="5">
        <v>101.7</v>
      </c>
      <c r="F28726" s="5">
        <v>203.1</v>
      </c>
      <c r="G28726" s="5">
        <v>101.3</v>
      </c>
      <c r="H28726" s="5">
        <v>101.1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101.5</v>
      </c>
      <c r="D28727" s="5">
        <v>0.1</v>
      </c>
      <c r="E28727" s="5">
        <v>101.7</v>
      </c>
      <c r="F28727" s="5">
        <v>203.1</v>
      </c>
      <c r="G28727" s="5">
        <v>101.3</v>
      </c>
      <c r="H28727" s="5">
        <v>101.1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101.5</v>
      </c>
      <c r="D28728" s="5">
        <v>0.1</v>
      </c>
      <c r="E28728" s="5">
        <v>101.7</v>
      </c>
      <c r="F28728" s="5">
        <v>203.1</v>
      </c>
      <c r="G28728" s="5">
        <v>101.3</v>
      </c>
      <c r="H28728" s="5">
        <v>101.1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101.5</v>
      </c>
      <c r="D28729" s="5">
        <v>0.1</v>
      </c>
      <c r="E28729" s="5">
        <v>101.7</v>
      </c>
      <c r="F28729" s="5">
        <v>203.1</v>
      </c>
      <c r="G28729" s="5">
        <v>101.3</v>
      </c>
      <c r="H28729" s="5">
        <v>101.1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100.1</v>
      </c>
      <c r="D28730" s="5">
        <v>0.1</v>
      </c>
      <c r="E28730" s="5">
        <v>100.2</v>
      </c>
      <c r="F28730" s="5">
        <v>202.2</v>
      </c>
      <c r="G28730" s="5">
        <v>100.8</v>
      </c>
      <c r="H28730" s="5">
        <v>100.5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100.1</v>
      </c>
      <c r="D28731" s="5">
        <v>0.1</v>
      </c>
      <c r="E28731" s="5">
        <v>100.2</v>
      </c>
      <c r="F28731" s="5">
        <v>202.2</v>
      </c>
      <c r="G28731" s="5">
        <v>100.8</v>
      </c>
      <c r="H28731" s="5">
        <v>100.5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100.1</v>
      </c>
      <c r="D28732" s="5">
        <v>0.1</v>
      </c>
      <c r="E28732" s="5">
        <v>100.2</v>
      </c>
      <c r="F28732" s="5">
        <v>202.2</v>
      </c>
      <c r="G28732" s="5">
        <v>100.8</v>
      </c>
      <c r="H28732" s="5">
        <v>100.5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100.1</v>
      </c>
      <c r="D28733" s="5">
        <v>0.1</v>
      </c>
      <c r="E28733" s="5">
        <v>100.2</v>
      </c>
      <c r="F28733" s="5">
        <v>202.2</v>
      </c>
      <c r="G28733" s="5">
        <v>101.1</v>
      </c>
      <c r="H28733" s="5">
        <v>101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101.6</v>
      </c>
      <c r="D28734" s="5">
        <v>0.1</v>
      </c>
      <c r="E28734" s="5">
        <v>101.8</v>
      </c>
      <c r="F28734" s="5">
        <v>202.8</v>
      </c>
      <c r="G28734" s="5">
        <v>101.1</v>
      </c>
      <c r="H28734" s="5">
        <v>101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101.6</v>
      </c>
      <c r="D28735" s="5">
        <v>0.1</v>
      </c>
      <c r="E28735" s="5">
        <v>101.8</v>
      </c>
      <c r="F28735" s="5">
        <v>202.8</v>
      </c>
      <c r="G28735" s="5">
        <v>101.1</v>
      </c>
      <c r="H28735" s="5">
        <v>101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101.7</v>
      </c>
      <c r="D28736" s="5">
        <v>0.1</v>
      </c>
      <c r="E28736" s="5">
        <v>101.8</v>
      </c>
      <c r="F28736" s="5">
        <v>202.7</v>
      </c>
      <c r="G28736" s="5">
        <v>101.1</v>
      </c>
      <c r="H28736" s="5">
        <v>101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101.7</v>
      </c>
      <c r="D28737" s="5">
        <v>0.1</v>
      </c>
      <c r="E28737" s="5">
        <v>101.8</v>
      </c>
      <c r="F28737" s="5">
        <v>202.7</v>
      </c>
      <c r="G28737" s="5">
        <v>101.1</v>
      </c>
      <c r="H28737" s="5">
        <v>101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101.7</v>
      </c>
      <c r="D28738" s="5">
        <v>0.1</v>
      </c>
      <c r="E28738" s="5">
        <v>101.8</v>
      </c>
      <c r="F28738" s="5">
        <v>203.2</v>
      </c>
      <c r="G28738" s="5">
        <v>101.4</v>
      </c>
      <c r="H28738" s="5">
        <v>101.3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101.7</v>
      </c>
      <c r="D28739" s="5">
        <v>0.1</v>
      </c>
      <c r="E28739" s="5">
        <v>101.8</v>
      </c>
      <c r="F28739" s="5">
        <v>203.2</v>
      </c>
      <c r="G28739" s="5">
        <v>101.4</v>
      </c>
      <c r="H28739" s="5">
        <v>101.3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101.7</v>
      </c>
      <c r="D28740" s="5">
        <v>0.1</v>
      </c>
      <c r="E28740" s="5">
        <v>101.8</v>
      </c>
      <c r="F28740" s="5">
        <v>202.7</v>
      </c>
      <c r="G28740" s="5">
        <v>101.1</v>
      </c>
      <c r="H28740" s="5">
        <v>101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101.7</v>
      </c>
      <c r="D28741" s="5">
        <v>0.1</v>
      </c>
      <c r="E28741" s="5">
        <v>101.8</v>
      </c>
      <c r="F28741" s="5">
        <v>202.7</v>
      </c>
      <c r="G28741" s="5">
        <v>101.1</v>
      </c>
      <c r="H28741" s="5">
        <v>101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101.7</v>
      </c>
      <c r="D28742" s="5">
        <v>0.1</v>
      </c>
      <c r="E28742" s="5">
        <v>101.8</v>
      </c>
      <c r="F28742" s="5">
        <v>202.7</v>
      </c>
      <c r="G28742" s="5">
        <v>101.1</v>
      </c>
      <c r="H28742" s="5">
        <v>101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100.5</v>
      </c>
      <c r="D28743" s="5">
        <v>0.1</v>
      </c>
      <c r="E28743" s="5">
        <v>100.6</v>
      </c>
      <c r="F28743" s="5">
        <v>200.6</v>
      </c>
      <c r="G28743" s="5">
        <v>100.1</v>
      </c>
      <c r="H28743" s="5">
        <v>100.1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100.5</v>
      </c>
      <c r="D28744" s="5">
        <v>0.1</v>
      </c>
      <c r="E28744" s="5">
        <v>100.6</v>
      </c>
      <c r="F28744" s="5">
        <v>200.6</v>
      </c>
      <c r="G28744" s="5">
        <v>100.1</v>
      </c>
      <c r="H28744" s="5">
        <v>100.1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100.5</v>
      </c>
      <c r="D28745" s="5">
        <v>0.1</v>
      </c>
      <c r="E28745" s="5">
        <v>100.6</v>
      </c>
      <c r="F28745" s="5">
        <v>200.4</v>
      </c>
      <c r="G28745" s="5">
        <v>100</v>
      </c>
      <c r="H28745" s="5">
        <v>100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100.5</v>
      </c>
      <c r="D28746" s="5">
        <v>0.1</v>
      </c>
      <c r="E28746" s="5">
        <v>100.6</v>
      </c>
      <c r="F28746" s="5">
        <v>200.4</v>
      </c>
      <c r="G28746" s="5">
        <v>100</v>
      </c>
      <c r="H28746" s="5">
        <v>100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101.6</v>
      </c>
      <c r="D28747" s="5">
        <v>0.1</v>
      </c>
      <c r="E28747" s="5">
        <v>101.8</v>
      </c>
      <c r="F28747" s="5">
        <v>200.7</v>
      </c>
      <c r="G28747" s="5">
        <v>100.2</v>
      </c>
      <c r="H28747" s="5">
        <v>100.2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101.6</v>
      </c>
      <c r="D28748" s="5">
        <v>0.1</v>
      </c>
      <c r="E28748" s="5">
        <v>101.8</v>
      </c>
      <c r="F28748" s="5">
        <v>200.7</v>
      </c>
      <c r="G28748" s="5">
        <v>100.2</v>
      </c>
      <c r="H28748" s="5">
        <v>100.2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100.6</v>
      </c>
      <c r="D28749" s="5">
        <v>0.1</v>
      </c>
      <c r="E28749" s="5">
        <v>100.7</v>
      </c>
      <c r="F28749" s="5">
        <v>202.8</v>
      </c>
      <c r="G28749" s="5">
        <v>101.1</v>
      </c>
      <c r="H28749" s="5">
        <v>100.9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100.6</v>
      </c>
      <c r="D28750" s="5">
        <v>0.1</v>
      </c>
      <c r="E28750" s="5">
        <v>100.7</v>
      </c>
      <c r="F28750" s="5">
        <v>202.8</v>
      </c>
      <c r="G28750" s="5">
        <v>101.1</v>
      </c>
      <c r="H28750" s="5">
        <v>100.9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100.6</v>
      </c>
      <c r="D28751" s="5">
        <v>0.1</v>
      </c>
      <c r="E28751" s="5">
        <v>100.7</v>
      </c>
      <c r="F28751" s="5">
        <v>202.8</v>
      </c>
      <c r="G28751" s="5">
        <v>101.1</v>
      </c>
      <c r="H28751" s="5">
        <v>100.9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100.6</v>
      </c>
      <c r="D28752" s="5">
        <v>0.1</v>
      </c>
      <c r="E28752" s="5">
        <v>100.7</v>
      </c>
      <c r="F28752" s="5">
        <v>202.8</v>
      </c>
      <c r="G28752" s="5">
        <v>101.1</v>
      </c>
      <c r="H28752" s="5">
        <v>100.9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101.6</v>
      </c>
      <c r="D28753" s="5">
        <v>0.1</v>
      </c>
      <c r="E28753" s="5">
        <v>101.8</v>
      </c>
      <c r="F28753" s="5">
        <v>203.6</v>
      </c>
      <c r="G28753" s="5">
        <v>101.6</v>
      </c>
      <c r="H28753" s="5">
        <v>101.5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101.6</v>
      </c>
      <c r="D28754" s="5">
        <v>0.1</v>
      </c>
      <c r="E28754" s="5">
        <v>101.8</v>
      </c>
      <c r="F28754" s="5">
        <v>203.6</v>
      </c>
      <c r="G28754" s="5">
        <v>101.6</v>
      </c>
      <c r="H28754" s="5">
        <v>101.5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101.8</v>
      </c>
      <c r="D28755" s="5">
        <v>0.1</v>
      </c>
      <c r="E28755" s="5">
        <v>101.9</v>
      </c>
      <c r="F28755" s="5">
        <v>203.4</v>
      </c>
      <c r="G28755" s="5">
        <v>101.5</v>
      </c>
      <c r="H28755" s="5">
        <v>101.2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101.8</v>
      </c>
      <c r="D28756" s="5">
        <v>0.1</v>
      </c>
      <c r="E28756" s="5">
        <v>101.9</v>
      </c>
      <c r="F28756" s="5">
        <v>203.4</v>
      </c>
      <c r="G28756" s="5">
        <v>101.5</v>
      </c>
      <c r="H28756" s="5">
        <v>101.2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101.7</v>
      </c>
      <c r="D28757" s="5">
        <v>0.1</v>
      </c>
      <c r="E28757" s="5">
        <v>101.8</v>
      </c>
      <c r="F28757" s="5">
        <v>202.9</v>
      </c>
      <c r="G28757" s="5">
        <v>101.3</v>
      </c>
      <c r="H28757" s="5">
        <v>101.3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101.7</v>
      </c>
      <c r="D28758" s="5">
        <v>0.1</v>
      </c>
      <c r="E28758" s="5">
        <v>101.8</v>
      </c>
      <c r="F28758" s="5">
        <v>202.9</v>
      </c>
      <c r="G28758" s="5">
        <v>101.3</v>
      </c>
      <c r="H28758" s="5">
        <v>101.3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102.2</v>
      </c>
      <c r="D28759" s="5">
        <v>0.1</v>
      </c>
      <c r="E28759" s="5">
        <v>102.4</v>
      </c>
      <c r="F28759" s="5">
        <v>203.8</v>
      </c>
      <c r="G28759" s="5">
        <v>101.7</v>
      </c>
      <c r="H28759" s="5">
        <v>101.5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102.2</v>
      </c>
      <c r="D28760" s="5">
        <v>0.1</v>
      </c>
      <c r="E28760" s="5">
        <v>102.4</v>
      </c>
      <c r="F28760" s="5">
        <v>203.8</v>
      </c>
      <c r="G28760" s="5">
        <v>101.7</v>
      </c>
      <c r="H28760" s="5">
        <v>101.5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102.2</v>
      </c>
      <c r="D28761" s="5">
        <v>0.1</v>
      </c>
      <c r="E28761" s="5">
        <v>102.4</v>
      </c>
      <c r="F28761" s="5">
        <v>203.8</v>
      </c>
      <c r="G28761" s="5">
        <v>101.7</v>
      </c>
      <c r="H28761" s="5">
        <v>101.5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102.2</v>
      </c>
      <c r="D28762" s="5">
        <v>0.1</v>
      </c>
      <c r="E28762" s="5">
        <v>102.4</v>
      </c>
      <c r="F28762" s="5">
        <v>203.8</v>
      </c>
      <c r="G28762" s="5">
        <v>101.7</v>
      </c>
      <c r="H28762" s="5">
        <v>101.5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102.1</v>
      </c>
      <c r="D28763" s="5">
        <v>0.1</v>
      </c>
      <c r="E28763" s="5">
        <v>102.2</v>
      </c>
      <c r="F28763" s="5">
        <v>204</v>
      </c>
      <c r="G28763" s="5">
        <v>101.9</v>
      </c>
      <c r="H28763" s="5">
        <v>101.8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102.1</v>
      </c>
      <c r="D28764" s="5">
        <v>0.1</v>
      </c>
      <c r="E28764" s="5">
        <v>102.2</v>
      </c>
      <c r="F28764" s="5">
        <v>204</v>
      </c>
      <c r="G28764" s="5">
        <v>101.9</v>
      </c>
      <c r="H28764" s="5">
        <v>101.8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102.2</v>
      </c>
      <c r="D28765" s="5">
        <v>0.1</v>
      </c>
      <c r="E28765" s="5">
        <v>102.4</v>
      </c>
      <c r="F28765" s="5">
        <v>203.7</v>
      </c>
      <c r="G28765" s="5">
        <v>101.7</v>
      </c>
      <c r="H28765" s="5">
        <v>101.6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102.2</v>
      </c>
      <c r="D28766" s="5">
        <v>0.1</v>
      </c>
      <c r="E28766" s="5">
        <v>102.4</v>
      </c>
      <c r="F28766" s="5">
        <v>203.7</v>
      </c>
      <c r="G28766" s="5">
        <v>101.7</v>
      </c>
      <c r="H28766" s="5">
        <v>101.6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102.1</v>
      </c>
      <c r="D28767" s="5">
        <v>0.1</v>
      </c>
      <c r="E28767" s="5">
        <v>102.3</v>
      </c>
      <c r="F28767" s="5">
        <v>204.8</v>
      </c>
      <c r="G28767" s="5">
        <v>102.1</v>
      </c>
      <c r="H28767" s="5">
        <v>101.9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102.1</v>
      </c>
      <c r="D28768" s="5">
        <v>0.1</v>
      </c>
      <c r="E28768" s="5">
        <v>102.3</v>
      </c>
      <c r="F28768" s="5">
        <v>204.8</v>
      </c>
      <c r="G28768" s="5">
        <v>102.1</v>
      </c>
      <c r="H28768" s="5">
        <v>101.9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102.2</v>
      </c>
      <c r="D28769" s="5">
        <v>0.1</v>
      </c>
      <c r="E28769" s="5">
        <v>102.4</v>
      </c>
      <c r="F28769" s="5">
        <v>203.7</v>
      </c>
      <c r="G28769" s="5">
        <v>101.6</v>
      </c>
      <c r="H28769" s="5">
        <v>101.5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102.2</v>
      </c>
      <c r="D28770" s="5">
        <v>0.1</v>
      </c>
      <c r="E28770" s="5">
        <v>102.4</v>
      </c>
      <c r="F28770" s="5">
        <v>203.7</v>
      </c>
      <c r="G28770" s="5">
        <v>101.6</v>
      </c>
      <c r="H28770" s="5">
        <v>101.5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102.2</v>
      </c>
      <c r="D28771" s="5">
        <v>0.1</v>
      </c>
      <c r="E28771" s="5">
        <v>102.4</v>
      </c>
      <c r="F28771" s="5">
        <v>203.7</v>
      </c>
      <c r="G28771" s="5">
        <v>101.6</v>
      </c>
      <c r="H28771" s="5">
        <v>101.5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102.2</v>
      </c>
      <c r="D28772" s="5">
        <v>0.1</v>
      </c>
      <c r="E28772" s="5">
        <v>102.4</v>
      </c>
      <c r="F28772" s="5">
        <v>203.7</v>
      </c>
      <c r="G28772" s="5">
        <v>101.6</v>
      </c>
      <c r="H28772" s="5">
        <v>101.5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101.8</v>
      </c>
      <c r="D28773" s="5">
        <v>0.1</v>
      </c>
      <c r="E28773" s="5">
        <v>102</v>
      </c>
      <c r="F28773" s="5">
        <v>203.4</v>
      </c>
      <c r="G28773" s="5">
        <v>101.5</v>
      </c>
      <c r="H28773" s="5">
        <v>101.2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101.8</v>
      </c>
      <c r="D28774" s="5">
        <v>0.1</v>
      </c>
      <c r="E28774" s="5">
        <v>102</v>
      </c>
      <c r="F28774" s="5">
        <v>203.4</v>
      </c>
      <c r="G28774" s="5">
        <v>101.5</v>
      </c>
      <c r="H28774" s="5">
        <v>101.2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101.5</v>
      </c>
      <c r="D28775" s="5">
        <v>0.1</v>
      </c>
      <c r="E28775" s="5">
        <v>101.5</v>
      </c>
      <c r="F28775" s="5">
        <v>203</v>
      </c>
      <c r="G28775" s="5">
        <v>101.2</v>
      </c>
      <c r="H28775" s="5">
        <v>101.1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101.5</v>
      </c>
      <c r="D28776" s="5">
        <v>0.1</v>
      </c>
      <c r="E28776" s="5">
        <v>101.5</v>
      </c>
      <c r="F28776" s="5">
        <v>203</v>
      </c>
      <c r="G28776" s="5">
        <v>101.2</v>
      </c>
      <c r="H28776" s="5">
        <v>101.1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101.5</v>
      </c>
      <c r="D28777" s="5">
        <v>0.1</v>
      </c>
      <c r="E28777" s="5">
        <v>101.5</v>
      </c>
      <c r="F28777" s="5">
        <v>203</v>
      </c>
      <c r="G28777" s="5">
        <v>101.2</v>
      </c>
      <c r="H28777" s="5">
        <v>101.1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101.5</v>
      </c>
      <c r="D28778" s="5">
        <v>0.1</v>
      </c>
      <c r="E28778" s="5">
        <v>101.5</v>
      </c>
      <c r="F28778" s="5">
        <v>203</v>
      </c>
      <c r="G28778" s="5">
        <v>101.2</v>
      </c>
      <c r="H28778" s="5">
        <v>101.1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100.5</v>
      </c>
      <c r="D28779" s="5">
        <v>0.1</v>
      </c>
      <c r="E28779" s="5">
        <v>100.7</v>
      </c>
      <c r="F28779" s="5">
        <v>201.6</v>
      </c>
      <c r="G28779" s="5">
        <v>100.5</v>
      </c>
      <c r="H28779" s="5">
        <v>100.2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100.5</v>
      </c>
      <c r="D28780" s="5">
        <v>0.1</v>
      </c>
      <c r="E28780" s="5">
        <v>100.7</v>
      </c>
      <c r="F28780" s="5">
        <v>201.6</v>
      </c>
      <c r="G28780" s="5">
        <v>100.5</v>
      </c>
      <c r="H28780" s="5">
        <v>100.2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100.5</v>
      </c>
      <c r="D28781" s="5">
        <v>0.1</v>
      </c>
      <c r="E28781" s="5">
        <v>100.7</v>
      </c>
      <c r="F28781" s="5">
        <v>201.6</v>
      </c>
      <c r="G28781" s="5">
        <v>100.5</v>
      </c>
      <c r="H28781" s="5">
        <v>100.2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100.5</v>
      </c>
      <c r="D28782" s="5">
        <v>0.1</v>
      </c>
      <c r="E28782" s="5">
        <v>100.7</v>
      </c>
      <c r="F28782" s="5">
        <v>201.6</v>
      </c>
      <c r="G28782" s="5">
        <v>100.5</v>
      </c>
      <c r="H28782" s="5">
        <v>100.2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101.5</v>
      </c>
      <c r="D28783" s="5">
        <v>0.1</v>
      </c>
      <c r="E28783" s="5">
        <v>101.6</v>
      </c>
      <c r="F28783" s="5">
        <v>202</v>
      </c>
      <c r="G28783" s="5">
        <v>100.7</v>
      </c>
      <c r="H28783" s="5">
        <v>100.5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101.5</v>
      </c>
      <c r="D28784" s="5">
        <v>0.1</v>
      </c>
      <c r="E28784" s="5">
        <v>101.6</v>
      </c>
      <c r="F28784" s="5">
        <v>202</v>
      </c>
      <c r="G28784" s="5">
        <v>100.7</v>
      </c>
      <c r="H28784" s="5">
        <v>100.5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100.5</v>
      </c>
      <c r="D28785" s="5">
        <v>0.1</v>
      </c>
      <c r="E28785" s="5">
        <v>100.7</v>
      </c>
      <c r="F28785" s="5">
        <v>201.2</v>
      </c>
      <c r="G28785" s="5">
        <v>100.4</v>
      </c>
      <c r="H28785" s="5">
        <v>100.2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100.5</v>
      </c>
      <c r="D28786" s="5">
        <v>0.1</v>
      </c>
      <c r="E28786" s="5">
        <v>100.7</v>
      </c>
      <c r="F28786" s="5">
        <v>201.2</v>
      </c>
      <c r="G28786" s="5">
        <v>100.4</v>
      </c>
      <c r="H28786" s="5">
        <v>100.2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100.8</v>
      </c>
      <c r="D28787" s="5">
        <v>0.1</v>
      </c>
      <c r="E28787" s="5">
        <v>100.9</v>
      </c>
      <c r="F28787" s="5">
        <v>201</v>
      </c>
      <c r="G28787" s="5">
        <v>100.3</v>
      </c>
      <c r="H28787" s="5">
        <v>100.2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100.8</v>
      </c>
      <c r="D28788" s="5">
        <v>0.1</v>
      </c>
      <c r="E28788" s="5">
        <v>100.9</v>
      </c>
      <c r="F28788" s="5">
        <v>201</v>
      </c>
      <c r="G28788" s="5">
        <v>100.3</v>
      </c>
      <c r="H28788" s="5">
        <v>100.2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100.5</v>
      </c>
      <c r="D28789" s="5">
        <v>0.1</v>
      </c>
      <c r="E28789" s="5">
        <v>100.7</v>
      </c>
      <c r="F28789" s="5">
        <v>201.3</v>
      </c>
      <c r="G28789" s="5">
        <v>100.3</v>
      </c>
      <c r="H28789" s="5">
        <v>100.2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100.5</v>
      </c>
      <c r="D28790" s="5">
        <v>0.1</v>
      </c>
      <c r="E28790" s="5">
        <v>100.7</v>
      </c>
      <c r="F28790" s="5">
        <v>201.3</v>
      </c>
      <c r="G28790" s="5">
        <v>100.3</v>
      </c>
      <c r="H28790" s="5">
        <v>100.2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100.5</v>
      </c>
      <c r="D28791" s="5">
        <v>0.1</v>
      </c>
      <c r="E28791" s="5">
        <v>100.7</v>
      </c>
      <c r="F28791" s="5">
        <v>201.3</v>
      </c>
      <c r="G28791" s="5">
        <v>100.3</v>
      </c>
      <c r="H28791" s="5">
        <v>100.2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100.5</v>
      </c>
      <c r="D28792" s="5">
        <v>0.1</v>
      </c>
      <c r="E28792" s="5">
        <v>100.7</v>
      </c>
      <c r="F28792" s="5">
        <v>201.3</v>
      </c>
      <c r="G28792" s="5">
        <v>100.3</v>
      </c>
      <c r="H28792" s="5">
        <v>100.2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100.5</v>
      </c>
      <c r="D28793" s="5">
        <v>0.1</v>
      </c>
      <c r="E28793" s="5">
        <v>100.6</v>
      </c>
      <c r="F28793" s="5">
        <v>201.6</v>
      </c>
      <c r="G28793" s="5">
        <v>100.6</v>
      </c>
      <c r="H28793" s="5">
        <v>100.4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100.5</v>
      </c>
      <c r="D28794" s="5">
        <v>0.1</v>
      </c>
      <c r="E28794" s="5">
        <v>100.6</v>
      </c>
      <c r="F28794" s="5">
        <v>201.6</v>
      </c>
      <c r="G28794" s="5">
        <v>100.6</v>
      </c>
      <c r="H28794" s="5">
        <v>100.4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101.4</v>
      </c>
      <c r="D28795" s="5">
        <v>0.1</v>
      </c>
      <c r="E28795" s="5">
        <v>101.5</v>
      </c>
      <c r="F28795" s="5">
        <v>201.8</v>
      </c>
      <c r="G28795" s="5">
        <v>100.6</v>
      </c>
      <c r="H28795" s="5">
        <v>100.4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101.4</v>
      </c>
      <c r="D28796" s="5">
        <v>0.1</v>
      </c>
      <c r="E28796" s="5">
        <v>101.5</v>
      </c>
      <c r="F28796" s="5">
        <v>201.8</v>
      </c>
      <c r="G28796" s="5">
        <v>100.6</v>
      </c>
      <c r="H28796" s="5">
        <v>100.4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101.3</v>
      </c>
      <c r="D28797" s="5">
        <v>0.1</v>
      </c>
      <c r="E28797" s="5">
        <v>101.5</v>
      </c>
      <c r="F28797" s="5">
        <v>201.6</v>
      </c>
      <c r="G28797" s="5">
        <v>100.5</v>
      </c>
      <c r="H28797" s="5">
        <v>100.3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101.3</v>
      </c>
      <c r="D28798" s="5">
        <v>0.1</v>
      </c>
      <c r="E28798" s="5">
        <v>101.5</v>
      </c>
      <c r="F28798" s="5">
        <v>201.6</v>
      </c>
      <c r="G28798" s="5">
        <v>100.5</v>
      </c>
      <c r="H28798" s="5">
        <v>100.3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101.1</v>
      </c>
      <c r="D28799" s="5">
        <v>0.1</v>
      </c>
      <c r="E28799" s="5">
        <v>101.3</v>
      </c>
      <c r="F28799" s="5">
        <v>201.4</v>
      </c>
      <c r="G28799" s="5">
        <v>100.4</v>
      </c>
      <c r="H28799" s="5">
        <v>100.3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101.1</v>
      </c>
      <c r="D28800" s="5">
        <v>0.1</v>
      </c>
      <c r="E28800" s="5">
        <v>101.3</v>
      </c>
      <c r="F28800" s="5">
        <v>201.4</v>
      </c>
      <c r="G28800" s="5">
        <v>100.4</v>
      </c>
      <c r="H28800" s="5">
        <v>100.3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101.1</v>
      </c>
      <c r="D28801" s="5">
        <v>0.1</v>
      </c>
      <c r="E28801" s="5">
        <v>101.3</v>
      </c>
      <c r="F28801" s="5">
        <v>201.4</v>
      </c>
      <c r="G28801" s="5">
        <v>100.4</v>
      </c>
      <c r="H28801" s="5">
        <v>100.3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101.1</v>
      </c>
      <c r="D28802" s="5">
        <v>0.1</v>
      </c>
      <c r="E28802" s="5">
        <v>101.3</v>
      </c>
      <c r="F28802" s="5">
        <v>201.4</v>
      </c>
      <c r="G28802" s="5">
        <v>100.4</v>
      </c>
      <c r="H28802" s="5">
        <v>100.3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101.1</v>
      </c>
      <c r="D28803" s="5">
        <v>0.1</v>
      </c>
      <c r="E28803" s="5">
        <v>101.2</v>
      </c>
      <c r="F28803" s="5">
        <v>201.6</v>
      </c>
      <c r="G28803" s="5">
        <v>100.6</v>
      </c>
      <c r="H28803" s="5">
        <v>100.5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101.1</v>
      </c>
      <c r="D28804" s="5">
        <v>0.1</v>
      </c>
      <c r="E28804" s="5">
        <v>101.2</v>
      </c>
      <c r="F28804" s="5">
        <v>201.6</v>
      </c>
      <c r="G28804" s="5">
        <v>100.6</v>
      </c>
      <c r="H28804" s="5">
        <v>100.5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101.3</v>
      </c>
      <c r="D28805" s="5">
        <v>0.1</v>
      </c>
      <c r="E28805" s="5">
        <v>101.5</v>
      </c>
      <c r="F28805" s="5">
        <v>202.4</v>
      </c>
      <c r="G28805" s="5">
        <v>100.9</v>
      </c>
      <c r="H28805" s="5">
        <v>100.8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101.3</v>
      </c>
      <c r="D28806" s="5">
        <v>0.1</v>
      </c>
      <c r="E28806" s="5">
        <v>101.5</v>
      </c>
      <c r="F28806" s="5">
        <v>202.4</v>
      </c>
      <c r="G28806" s="5">
        <v>100.9</v>
      </c>
      <c r="H28806" s="5">
        <v>100.8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101.3</v>
      </c>
      <c r="D28807" s="5">
        <v>0.1</v>
      </c>
      <c r="E28807" s="5">
        <v>101.5</v>
      </c>
      <c r="F28807" s="5">
        <v>200.7</v>
      </c>
      <c r="G28807" s="5">
        <v>100.3</v>
      </c>
      <c r="H28807" s="5">
        <v>100.3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101.3</v>
      </c>
      <c r="D28808" s="5">
        <v>0.1</v>
      </c>
      <c r="E28808" s="5">
        <v>101.5</v>
      </c>
      <c r="F28808" s="5">
        <v>200.7</v>
      </c>
      <c r="G28808" s="5">
        <v>100.3</v>
      </c>
      <c r="H28808" s="5">
        <v>100.3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101.5</v>
      </c>
      <c r="D28809" s="5">
        <v>0.1</v>
      </c>
      <c r="E28809" s="5">
        <v>101.6</v>
      </c>
      <c r="F28809" s="5">
        <v>202.2</v>
      </c>
      <c r="G28809" s="5">
        <v>100.9</v>
      </c>
      <c r="H28809" s="5">
        <v>100.7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101.5</v>
      </c>
      <c r="D28810" s="5">
        <v>0.1</v>
      </c>
      <c r="E28810" s="5">
        <v>101.6</v>
      </c>
      <c r="F28810" s="5">
        <v>202.2</v>
      </c>
      <c r="G28810" s="5">
        <v>100.9</v>
      </c>
      <c r="H28810" s="5">
        <v>100.7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101.5</v>
      </c>
      <c r="D28811" s="5">
        <v>0.1</v>
      </c>
      <c r="E28811" s="5">
        <v>101.6</v>
      </c>
      <c r="F28811" s="5">
        <v>202.2</v>
      </c>
      <c r="G28811" s="5">
        <v>100.9</v>
      </c>
      <c r="H28811" s="5">
        <v>100.7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101.5</v>
      </c>
      <c r="D28812" s="5">
        <v>0.1</v>
      </c>
      <c r="E28812" s="5">
        <v>101.6</v>
      </c>
      <c r="F28812" s="5">
        <v>202.2</v>
      </c>
      <c r="G28812" s="5">
        <v>100.9</v>
      </c>
      <c r="H28812" s="5">
        <v>100.7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101.5</v>
      </c>
      <c r="D28813" s="5">
        <v>0.1</v>
      </c>
      <c r="E28813" s="5">
        <v>101.6</v>
      </c>
      <c r="F28813" s="5">
        <v>202.2</v>
      </c>
      <c r="G28813" s="5">
        <v>100.9</v>
      </c>
      <c r="H28813" s="5">
        <v>100.7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101.5</v>
      </c>
      <c r="D28814" s="5">
        <v>0.1</v>
      </c>
      <c r="E28814" s="5">
        <v>101.6</v>
      </c>
      <c r="F28814" s="5">
        <v>202.2</v>
      </c>
      <c r="G28814" s="5">
        <v>100.9</v>
      </c>
      <c r="H28814" s="5">
        <v>100.7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101.5</v>
      </c>
      <c r="D28815" s="5">
        <v>0.1</v>
      </c>
      <c r="E28815" s="5">
        <v>101.7</v>
      </c>
      <c r="F28815" s="5">
        <v>201.8</v>
      </c>
      <c r="G28815" s="5">
        <v>100.7</v>
      </c>
      <c r="H28815" s="5">
        <v>100.7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101.5</v>
      </c>
      <c r="D28816" s="5">
        <v>0.1</v>
      </c>
      <c r="E28816" s="5">
        <v>101.7</v>
      </c>
      <c r="F28816" s="5">
        <v>201.8</v>
      </c>
      <c r="G28816" s="5">
        <v>100.7</v>
      </c>
      <c r="H28816" s="5">
        <v>100.7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102.1</v>
      </c>
      <c r="D28817" s="5">
        <v>0.1</v>
      </c>
      <c r="E28817" s="5">
        <v>102.2</v>
      </c>
      <c r="F28817" s="5">
        <v>204.4</v>
      </c>
      <c r="G28817" s="5">
        <v>102</v>
      </c>
      <c r="H28817" s="5">
        <v>101.8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102.1</v>
      </c>
      <c r="D28818" s="5">
        <v>0.1</v>
      </c>
      <c r="E28818" s="5">
        <v>102.2</v>
      </c>
      <c r="F28818" s="5">
        <v>204.4</v>
      </c>
      <c r="G28818" s="5">
        <v>102</v>
      </c>
      <c r="H28818" s="5">
        <v>101.8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103.2</v>
      </c>
      <c r="D28819" s="5">
        <v>0.1</v>
      </c>
      <c r="E28819" s="5">
        <v>103.4</v>
      </c>
      <c r="F28819" s="5">
        <v>206.2</v>
      </c>
      <c r="G28819" s="5">
        <v>102.9</v>
      </c>
      <c r="H28819" s="5">
        <v>102.7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103.2</v>
      </c>
      <c r="D28820" s="5">
        <v>0.1</v>
      </c>
      <c r="E28820" s="5">
        <v>103.4</v>
      </c>
      <c r="F28820" s="5">
        <v>206.2</v>
      </c>
      <c r="G28820" s="5">
        <v>102.9</v>
      </c>
      <c r="H28820" s="5">
        <v>102.7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103.2</v>
      </c>
      <c r="D28821" s="5">
        <v>0.1</v>
      </c>
      <c r="E28821" s="5">
        <v>103.4</v>
      </c>
      <c r="F28821" s="5">
        <v>206.2</v>
      </c>
      <c r="G28821" s="5">
        <v>102.9</v>
      </c>
      <c r="H28821" s="5">
        <v>102.7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103.2</v>
      </c>
      <c r="D28822" s="5">
        <v>0.1</v>
      </c>
      <c r="E28822" s="5">
        <v>103.4</v>
      </c>
      <c r="F28822" s="5">
        <v>206.2</v>
      </c>
      <c r="G28822" s="5">
        <v>102.9</v>
      </c>
      <c r="H28822" s="5">
        <v>102.7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103.1</v>
      </c>
      <c r="D28823" s="5">
        <v>0.1</v>
      </c>
      <c r="E28823" s="5">
        <v>103.3</v>
      </c>
      <c r="F28823" s="5">
        <v>206</v>
      </c>
      <c r="G28823" s="5">
        <v>102.8</v>
      </c>
      <c r="H28823" s="5">
        <v>102.7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103.1</v>
      </c>
      <c r="D28824" s="5">
        <v>0.1</v>
      </c>
      <c r="E28824" s="5">
        <v>103.3</v>
      </c>
      <c r="F28824" s="5">
        <v>206</v>
      </c>
      <c r="G28824" s="5">
        <v>102.8</v>
      </c>
      <c r="H28824" s="5">
        <v>102.7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102.7</v>
      </c>
      <c r="D28825" s="5">
        <v>0.1</v>
      </c>
      <c r="E28825" s="5">
        <v>102.9</v>
      </c>
      <c r="F28825" s="5">
        <v>205</v>
      </c>
      <c r="G28825" s="5">
        <v>102.3</v>
      </c>
      <c r="H28825" s="5">
        <v>102.2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102.7</v>
      </c>
      <c r="D28826" s="5">
        <v>0.1</v>
      </c>
      <c r="E28826" s="5">
        <v>102.9</v>
      </c>
      <c r="F28826" s="5">
        <v>205</v>
      </c>
      <c r="G28826" s="5">
        <v>102.3</v>
      </c>
      <c r="H28826" s="5">
        <v>102.2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103.3</v>
      </c>
      <c r="D28827" s="5">
        <v>0.1</v>
      </c>
      <c r="E28827" s="5">
        <v>103.4</v>
      </c>
      <c r="F28827" s="5">
        <v>206.3</v>
      </c>
      <c r="G28827" s="5">
        <v>102.9</v>
      </c>
      <c r="H28827" s="5">
        <v>102.8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103.3</v>
      </c>
      <c r="D28828" s="5">
        <v>0.1</v>
      </c>
      <c r="E28828" s="5">
        <v>103.4</v>
      </c>
      <c r="F28828" s="5">
        <v>206.3</v>
      </c>
      <c r="G28828" s="5">
        <v>102.9</v>
      </c>
      <c r="H28828" s="5">
        <v>102.8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103.4</v>
      </c>
      <c r="D28829" s="5">
        <v>0.1</v>
      </c>
      <c r="E28829" s="5">
        <v>103.5</v>
      </c>
      <c r="F28829" s="5">
        <v>206.8</v>
      </c>
      <c r="G28829" s="5">
        <v>103.1</v>
      </c>
      <c r="H28829" s="5">
        <v>103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103.4</v>
      </c>
      <c r="D28830" s="5">
        <v>0.1</v>
      </c>
      <c r="E28830" s="5">
        <v>103.5</v>
      </c>
      <c r="F28830" s="5">
        <v>206.8</v>
      </c>
      <c r="G28830" s="5">
        <v>103.1</v>
      </c>
      <c r="H28830" s="5">
        <v>103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103.4</v>
      </c>
      <c r="D28831" s="5">
        <v>0.1</v>
      </c>
      <c r="E28831" s="5">
        <v>103.5</v>
      </c>
      <c r="F28831" s="5">
        <v>206.8</v>
      </c>
      <c r="G28831" s="5">
        <v>103.1</v>
      </c>
      <c r="H28831" s="5">
        <v>103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103.4</v>
      </c>
      <c r="D28832" s="5">
        <v>0.1</v>
      </c>
      <c r="E28832" s="5">
        <v>104</v>
      </c>
      <c r="F28832" s="5">
        <v>206.7</v>
      </c>
      <c r="G28832" s="5">
        <v>103.1</v>
      </c>
      <c r="H28832" s="5">
        <v>103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103.9</v>
      </c>
      <c r="D28833" s="5">
        <v>0.1</v>
      </c>
      <c r="E28833" s="5">
        <v>104</v>
      </c>
      <c r="F28833" s="5">
        <v>206.7</v>
      </c>
      <c r="G28833" s="5">
        <v>103.1</v>
      </c>
      <c r="H28833" s="5">
        <v>103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103.9</v>
      </c>
      <c r="D28834" s="5">
        <v>0.1</v>
      </c>
      <c r="E28834" s="5">
        <v>104.5</v>
      </c>
      <c r="F28834" s="5">
        <v>207.9</v>
      </c>
      <c r="G28834" s="5">
        <v>103.7</v>
      </c>
      <c r="H28834" s="5">
        <v>103.6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104.4</v>
      </c>
      <c r="D28835" s="5">
        <v>0.1</v>
      </c>
      <c r="E28835" s="5">
        <v>104.5</v>
      </c>
      <c r="F28835" s="5">
        <v>207.9</v>
      </c>
      <c r="G28835" s="5">
        <v>103.7</v>
      </c>
      <c r="H28835" s="5">
        <v>103.6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104.4</v>
      </c>
      <c r="D28836" s="5">
        <v>0.1</v>
      </c>
      <c r="E28836" s="5">
        <v>104.5</v>
      </c>
      <c r="F28836" s="5">
        <v>205.8</v>
      </c>
      <c r="G28836" s="5">
        <v>102.6</v>
      </c>
      <c r="H28836" s="5">
        <v>102.5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103.1</v>
      </c>
      <c r="D28837" s="5">
        <v>0.1</v>
      </c>
      <c r="E28837" s="5">
        <v>103.3</v>
      </c>
      <c r="F28837" s="5">
        <v>205.8</v>
      </c>
      <c r="G28837" s="5">
        <v>102.6</v>
      </c>
      <c r="H28837" s="5">
        <v>102.5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103.1</v>
      </c>
      <c r="D28838" s="5">
        <v>0.1</v>
      </c>
      <c r="E28838" s="5">
        <v>103.3</v>
      </c>
      <c r="F28838" s="5">
        <v>205.8</v>
      </c>
      <c r="G28838" s="5">
        <v>102.6</v>
      </c>
      <c r="H28838" s="5">
        <v>103.3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104.1</v>
      </c>
      <c r="D28839" s="5">
        <v>0.1</v>
      </c>
      <c r="E28839" s="5">
        <v>104.3</v>
      </c>
      <c r="F28839" s="5">
        <v>207.3</v>
      </c>
      <c r="G28839" s="5">
        <v>103.4</v>
      </c>
      <c r="H28839" s="5">
        <v>103.3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104.1</v>
      </c>
      <c r="D28840" s="5">
        <v>0.1</v>
      </c>
      <c r="E28840" s="5">
        <v>104.3</v>
      </c>
      <c r="F28840" s="5">
        <v>207.3</v>
      </c>
      <c r="G28840" s="5">
        <v>103.4</v>
      </c>
      <c r="H28840" s="5">
        <v>103.3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104.1</v>
      </c>
      <c r="D28841" s="5">
        <v>0.1</v>
      </c>
      <c r="E28841" s="5">
        <v>104.3</v>
      </c>
      <c r="F28841" s="5">
        <v>207.3</v>
      </c>
      <c r="G28841" s="5">
        <v>103.4</v>
      </c>
      <c r="H28841" s="5">
        <v>103.3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102.1</v>
      </c>
      <c r="D28842" s="5">
        <v>0.1</v>
      </c>
      <c r="E28842" s="5">
        <v>102.2</v>
      </c>
      <c r="F28842" s="5">
        <v>204.7</v>
      </c>
      <c r="G28842" s="5">
        <v>102.1</v>
      </c>
      <c r="H28842" s="5">
        <v>101.9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102.1</v>
      </c>
      <c r="D28843" s="5">
        <v>0.1</v>
      </c>
      <c r="E28843" s="5">
        <v>102.2</v>
      </c>
      <c r="F28843" s="5">
        <v>204.7</v>
      </c>
      <c r="G28843" s="5">
        <v>102.1</v>
      </c>
      <c r="H28843" s="5">
        <v>101.9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102.4</v>
      </c>
      <c r="D28844" s="5">
        <v>0.1</v>
      </c>
      <c r="E28844" s="5">
        <v>102.6</v>
      </c>
      <c r="F28844" s="5">
        <v>204.9</v>
      </c>
      <c r="G28844" s="5">
        <v>102.3</v>
      </c>
      <c r="H28844" s="5">
        <v>102.2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102.4</v>
      </c>
      <c r="D28845" s="5">
        <v>0.1</v>
      </c>
      <c r="E28845" s="5">
        <v>102.6</v>
      </c>
      <c r="F28845" s="5">
        <v>204.9</v>
      </c>
      <c r="G28845" s="5">
        <v>102.3</v>
      </c>
      <c r="H28845" s="5">
        <v>102.2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102.7</v>
      </c>
      <c r="D28846" s="5">
        <v>0.1</v>
      </c>
      <c r="E28846" s="5">
        <v>102.9</v>
      </c>
      <c r="F28846" s="5">
        <v>204.8</v>
      </c>
      <c r="G28846" s="5">
        <v>102.2</v>
      </c>
      <c r="H28846" s="5">
        <v>102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102.7</v>
      </c>
      <c r="D28847" s="5">
        <v>0.1</v>
      </c>
      <c r="E28847" s="5">
        <v>102.9</v>
      </c>
      <c r="F28847" s="5">
        <v>204.8</v>
      </c>
      <c r="G28847" s="5">
        <v>102.2</v>
      </c>
      <c r="H28847" s="5">
        <v>102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102.6</v>
      </c>
      <c r="D28848" s="5">
        <v>0.1</v>
      </c>
      <c r="E28848" s="5">
        <v>102.7</v>
      </c>
      <c r="F28848" s="5">
        <v>204.4</v>
      </c>
      <c r="G28848" s="5">
        <v>102</v>
      </c>
      <c r="H28848" s="5">
        <v>101.9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102.6</v>
      </c>
      <c r="D28849" s="5">
        <v>0.1</v>
      </c>
      <c r="E28849" s="5">
        <v>102.7</v>
      </c>
      <c r="F28849" s="5">
        <v>204.4</v>
      </c>
      <c r="G28849" s="5">
        <v>102</v>
      </c>
      <c r="H28849" s="5">
        <v>101.9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102.6</v>
      </c>
      <c r="D28850" s="5">
        <v>0.1</v>
      </c>
      <c r="E28850" s="5">
        <v>102.7</v>
      </c>
      <c r="F28850" s="5">
        <v>204.4</v>
      </c>
      <c r="G28850" s="5">
        <v>102</v>
      </c>
      <c r="H28850" s="5">
        <v>101.9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102.6</v>
      </c>
      <c r="D28851" s="5">
        <v>0.1</v>
      </c>
      <c r="E28851" s="5">
        <v>102.7</v>
      </c>
      <c r="F28851" s="5">
        <v>204.4</v>
      </c>
      <c r="G28851" s="5">
        <v>102</v>
      </c>
      <c r="H28851" s="5">
        <v>101.9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100.6</v>
      </c>
      <c r="D28852" s="5">
        <v>0.1</v>
      </c>
      <c r="E28852" s="5">
        <v>100.8</v>
      </c>
      <c r="F28852" s="5">
        <v>201.2</v>
      </c>
      <c r="G28852" s="5">
        <v>100.5</v>
      </c>
      <c r="H28852" s="5">
        <v>100.5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100.6</v>
      </c>
      <c r="D28853" s="5">
        <v>0.1</v>
      </c>
      <c r="E28853" s="5">
        <v>100.8</v>
      </c>
      <c r="F28853" s="5">
        <v>201.2</v>
      </c>
      <c r="G28853" s="5">
        <v>100.5</v>
      </c>
      <c r="H28853" s="5">
        <v>100.5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101</v>
      </c>
      <c r="D28854" s="5">
        <v>0.1</v>
      </c>
      <c r="E28854" s="5">
        <v>101.1</v>
      </c>
      <c r="F28854" s="5">
        <v>202.8</v>
      </c>
      <c r="G28854" s="5">
        <v>100.6</v>
      </c>
      <c r="H28854" s="5">
        <v>99.9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101</v>
      </c>
      <c r="D28855" s="5">
        <v>0.1</v>
      </c>
      <c r="E28855" s="5">
        <v>101.1</v>
      </c>
      <c r="F28855" s="5">
        <v>202.8</v>
      </c>
      <c r="G28855" s="5">
        <v>100.6</v>
      </c>
      <c r="H28855" s="5">
        <v>99.9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102.4</v>
      </c>
      <c r="D28856" s="5">
        <v>0.1</v>
      </c>
      <c r="E28856" s="5">
        <v>102.5</v>
      </c>
      <c r="F28856" s="5">
        <v>202</v>
      </c>
      <c r="G28856" s="5">
        <v>101</v>
      </c>
      <c r="H28856" s="5">
        <v>101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102.4</v>
      </c>
      <c r="D28857" s="5">
        <v>0.1</v>
      </c>
      <c r="E28857" s="5">
        <v>102.5</v>
      </c>
      <c r="F28857" s="5">
        <v>202</v>
      </c>
      <c r="G28857" s="5">
        <v>101</v>
      </c>
      <c r="H28857" s="5">
        <v>101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97.3</v>
      </c>
      <c r="D28858" s="5">
        <v>0.1</v>
      </c>
      <c r="E28858" s="5">
        <v>97.5</v>
      </c>
      <c r="F28858" s="5">
        <v>198.6</v>
      </c>
      <c r="G28858" s="5">
        <v>98.6</v>
      </c>
      <c r="H28858" s="5">
        <v>98.1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97.3</v>
      </c>
      <c r="D28859" s="5">
        <v>0.1</v>
      </c>
      <c r="E28859" s="5">
        <v>97.5</v>
      </c>
      <c r="F28859" s="5">
        <v>198.6</v>
      </c>
      <c r="G28859" s="5">
        <v>98.6</v>
      </c>
      <c r="H28859" s="5">
        <v>98.1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97.3</v>
      </c>
      <c r="D28860" s="5">
        <v>0.1</v>
      </c>
      <c r="E28860" s="5">
        <v>97.5</v>
      </c>
      <c r="F28860" s="5">
        <v>198.6</v>
      </c>
      <c r="G28860" s="5">
        <v>98.6</v>
      </c>
      <c r="H28860" s="5">
        <v>98.1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97.3</v>
      </c>
      <c r="D28861" s="5">
        <v>0.1</v>
      </c>
      <c r="E28861" s="5">
        <v>97.5</v>
      </c>
      <c r="F28861" s="5">
        <v>198.6</v>
      </c>
      <c r="G28861" s="5">
        <v>98.6</v>
      </c>
      <c r="H28861" s="5">
        <v>98.1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97.5</v>
      </c>
      <c r="D28862" s="5">
        <v>0.1</v>
      </c>
      <c r="E28862" s="5">
        <v>97.6</v>
      </c>
      <c r="F28862" s="5">
        <v>195</v>
      </c>
      <c r="G28862" s="5">
        <v>97.3</v>
      </c>
      <c r="H28862" s="5">
        <v>98.1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97.5</v>
      </c>
      <c r="D28863" s="5">
        <v>0.1</v>
      </c>
      <c r="E28863" s="5">
        <v>97.6</v>
      </c>
      <c r="F28863" s="5">
        <v>195</v>
      </c>
      <c r="G28863" s="5">
        <v>97.3</v>
      </c>
      <c r="H28863" s="5">
        <v>97.1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102.1</v>
      </c>
      <c r="D28864" s="5">
        <v>0.1</v>
      </c>
      <c r="E28864" s="5">
        <v>97.6</v>
      </c>
      <c r="F28864" s="5">
        <v>195</v>
      </c>
      <c r="G28864" s="5">
        <v>97.3</v>
      </c>
      <c r="H28864" s="5">
        <v>97.1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102.1</v>
      </c>
      <c r="D28865" s="5">
        <v>0.1</v>
      </c>
      <c r="E28865" s="5">
        <v>102.1</v>
      </c>
      <c r="F28865" s="5">
        <v>194.1</v>
      </c>
      <c r="G28865" s="5">
        <v>97.1</v>
      </c>
      <c r="H28865" s="5">
        <v>97.2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102.1</v>
      </c>
      <c r="D28866" s="5">
        <v>0.1</v>
      </c>
      <c r="E28866" s="5">
        <v>102.1</v>
      </c>
      <c r="F28866" s="5">
        <v>194.1</v>
      </c>
      <c r="G28866" s="5">
        <v>97.1</v>
      </c>
      <c r="H28866" s="5">
        <v>97.2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98.2</v>
      </c>
      <c r="D28867" s="5">
        <v>0.1</v>
      </c>
      <c r="E28867" s="5">
        <v>98.3</v>
      </c>
      <c r="F28867" s="5">
        <v>195.5</v>
      </c>
      <c r="G28867" s="5">
        <v>97.4</v>
      </c>
      <c r="H28867" s="5">
        <v>97.2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98.2</v>
      </c>
      <c r="D28868" s="5">
        <v>0.1</v>
      </c>
      <c r="E28868" s="5">
        <v>98.3</v>
      </c>
      <c r="F28868" s="5">
        <v>195.5</v>
      </c>
      <c r="G28868" s="5">
        <v>97.4</v>
      </c>
      <c r="H28868" s="5">
        <v>97.2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97.4</v>
      </c>
      <c r="D28869" s="5">
        <v>0.1</v>
      </c>
      <c r="E28869" s="5">
        <v>97.6</v>
      </c>
      <c r="F28869" s="5">
        <v>193.9</v>
      </c>
      <c r="G28869" s="5">
        <v>96.8</v>
      </c>
      <c r="H28869" s="5">
        <v>96.6</v>
      </c>
      <c r="I28869" s="5">
        <v>0</v>
      </c>
      <c r="J28869" s="5">
        <v>0</v>
      </c>
      <c r="K28869" s="5">
        <v>0</v>
      </c>
    </row>
    <row r="28870" spans="1:11" x14ac:dyDescent="0.25">
      <c r="A28870" s="5">
        <f>28863</f>
      </c>
      <c r="B28870" s="5" t="s">
        <v>28878</v>
      </c>
      <c r="C28870" s="5">
        <v>97.4</v>
      </c>
      <c r="D28870" s="5">
        <v>0.1</v>
      </c>
      <c r="E28870" s="5">
        <v>97.6</v>
      </c>
      <c r="F28870" s="5">
        <v>193.9</v>
      </c>
      <c r="G28870" s="5">
        <v>96.8</v>
      </c>
      <c r="H28870" s="5">
        <v>96.6</v>
      </c>
      <c r="I28870" s="5">
        <v>0</v>
      </c>
      <c r="J28870" s="5">
        <v>0</v>
      </c>
      <c r="K28870" s="5">
        <v>0</v>
      </c>
    </row>
    <row r="28871" spans="1:11" x14ac:dyDescent="0.25">
      <c r="A28871" s="5">
        <f>28864</f>
      </c>
      <c r="B28871" s="5" t="s">
        <v>28879</v>
      </c>
      <c r="C28871" s="5">
        <v>97.4</v>
      </c>
      <c r="D28871" s="5">
        <v>0.1</v>
      </c>
      <c r="E28871" s="5">
        <v>97.6</v>
      </c>
      <c r="F28871" s="5">
        <v>193.9</v>
      </c>
      <c r="G28871" s="5">
        <v>96.8</v>
      </c>
      <c r="H28871" s="5">
        <v>96.6</v>
      </c>
      <c r="I28871" s="5">
        <v>0</v>
      </c>
      <c r="J28871" s="5">
        <v>0</v>
      </c>
      <c r="K28871" s="5">
        <v>0</v>
      </c>
    </row>
    <row r="28872" spans="1:11" x14ac:dyDescent="0.25">
      <c r="A28872" s="5">
        <f>28865</f>
      </c>
      <c r="B28872" s="5" t="s">
        <v>28880</v>
      </c>
      <c r="C28872" s="5">
        <v>102.2</v>
      </c>
      <c r="D28872" s="5">
        <v>0.1</v>
      </c>
      <c r="E28872" s="5">
        <v>102.4</v>
      </c>
      <c r="F28872" s="5">
        <v>204.4</v>
      </c>
      <c r="G28872" s="5">
        <v>102</v>
      </c>
      <c r="H28872" s="5">
        <v>101.8</v>
      </c>
      <c r="I28872" s="5">
        <v>0</v>
      </c>
      <c r="J28872" s="5">
        <v>0</v>
      </c>
      <c r="K28872" s="5">
        <v>0</v>
      </c>
    </row>
    <row r="28873" spans="1:11" x14ac:dyDescent="0.25">
      <c r="A28873" s="5">
        <f>28866</f>
      </c>
      <c r="B28873" s="5" t="s">
        <v>28881</v>
      </c>
      <c r="C28873" s="5">
        <v>102.2</v>
      </c>
      <c r="D28873" s="5">
        <v>0.1</v>
      </c>
      <c r="E28873" s="5">
        <v>102.4</v>
      </c>
      <c r="F28873" s="5">
        <v>204.4</v>
      </c>
      <c r="G28873" s="5">
        <v>102</v>
      </c>
      <c r="H28873" s="5">
        <v>101.8</v>
      </c>
      <c r="I28873" s="5">
        <v>0</v>
      </c>
      <c r="J28873" s="5">
        <v>0</v>
      </c>
      <c r="K28873" s="5">
        <v>0</v>
      </c>
    </row>
    <row r="28874" spans="1:11" x14ac:dyDescent="0.25">
      <c r="A28874" s="5">
        <f>28867</f>
      </c>
      <c r="B28874" s="5" t="s">
        <v>28882</v>
      </c>
      <c r="C28874" s="5">
        <v>102.2</v>
      </c>
      <c r="D28874" s="5">
        <v>0.1</v>
      </c>
      <c r="E28874" s="5">
        <v>102.5</v>
      </c>
      <c r="F28874" s="5">
        <v>204.3</v>
      </c>
      <c r="G28874" s="5">
        <v>102</v>
      </c>
      <c r="H28874" s="5">
        <v>101.9</v>
      </c>
      <c r="I28874" s="5">
        <v>0</v>
      </c>
      <c r="J28874" s="5">
        <v>0</v>
      </c>
      <c r="K28874" s="5">
        <v>0</v>
      </c>
    </row>
    <row r="28875" spans="1:11" x14ac:dyDescent="0.25">
      <c r="A28875" s="5">
        <f>28868</f>
      </c>
      <c r="B28875" s="5" t="s">
        <v>28883</v>
      </c>
      <c r="C28875" s="5">
        <v>102.4</v>
      </c>
      <c r="D28875" s="5">
        <v>0.1</v>
      </c>
      <c r="E28875" s="5">
        <v>102.5</v>
      </c>
      <c r="F28875" s="5">
        <v>204.3</v>
      </c>
      <c r="G28875" s="5">
        <v>102</v>
      </c>
      <c r="H28875" s="5">
        <v>101.9</v>
      </c>
      <c r="I28875" s="5">
        <v>0</v>
      </c>
      <c r="J28875" s="5">
        <v>0</v>
      </c>
      <c r="K28875" s="5">
        <v>0</v>
      </c>
    </row>
    <row r="28876" spans="1:11" x14ac:dyDescent="0.25">
      <c r="A28876" s="5">
        <f>28869</f>
      </c>
      <c r="B28876" s="5" t="s">
        <v>28884</v>
      </c>
      <c r="C28876" s="5">
        <v>102.4</v>
      </c>
      <c r="D28876" s="5">
        <v>0.1</v>
      </c>
      <c r="E28876" s="5">
        <v>102.5</v>
      </c>
      <c r="F28876" s="5">
        <v>204.3</v>
      </c>
      <c r="G28876" s="5">
        <v>100.1</v>
      </c>
      <c r="H28876" s="5">
        <v>100</v>
      </c>
      <c r="I28876" s="5">
        <v>0</v>
      </c>
      <c r="J28876" s="5">
        <v>0</v>
      </c>
      <c r="K28876" s="5">
        <v>0</v>
      </c>
    </row>
    <row r="28877" spans="1:11" x14ac:dyDescent="0.25">
      <c r="A28877" s="5">
        <f>28870</f>
      </c>
      <c r="B28877" s="5" t="s">
        <v>28885</v>
      </c>
      <c r="C28877" s="5">
        <v>100.4</v>
      </c>
      <c r="D28877" s="5">
        <v>0.1</v>
      </c>
      <c r="E28877" s="5">
        <v>100.5</v>
      </c>
      <c r="F28877" s="5">
        <v>200.6</v>
      </c>
      <c r="G28877" s="5">
        <v>100.1</v>
      </c>
      <c r="H28877" s="5">
        <v>100</v>
      </c>
      <c r="I28877" s="5">
        <v>0</v>
      </c>
      <c r="J28877" s="5">
        <v>0</v>
      </c>
      <c r="K28877" s="5">
        <v>0</v>
      </c>
    </row>
    <row r="28878" spans="1:11" x14ac:dyDescent="0.25">
      <c r="A28878" s="5">
        <f>28871</f>
      </c>
      <c r="B28878" s="5" t="s">
        <v>28886</v>
      </c>
      <c r="C28878" s="5">
        <v>100.4</v>
      </c>
      <c r="D28878" s="5">
        <v>0.1</v>
      </c>
      <c r="E28878" s="5">
        <v>100.5</v>
      </c>
      <c r="F28878" s="5">
        <v>200.6</v>
      </c>
      <c r="G28878" s="5">
        <v>100.1</v>
      </c>
      <c r="H28878" s="5">
        <v>100</v>
      </c>
      <c r="I28878" s="5">
        <v>0</v>
      </c>
      <c r="J28878" s="5">
        <v>0</v>
      </c>
      <c r="K28878" s="5">
        <v>0</v>
      </c>
    </row>
    <row r="28879" spans="1:11" x14ac:dyDescent="0.25">
      <c r="A28879" s="5">
        <f>28872</f>
      </c>
      <c r="B28879" s="5" t="s">
        <v>28887</v>
      </c>
      <c r="C28879" s="5">
        <v>99.9</v>
      </c>
      <c r="D28879" s="5">
        <v>0.1</v>
      </c>
      <c r="E28879" s="5">
        <v>100.1</v>
      </c>
      <c r="F28879" s="5">
        <v>198.5</v>
      </c>
      <c r="G28879" s="5">
        <v>99.1</v>
      </c>
      <c r="H28879" s="5">
        <v>99</v>
      </c>
      <c r="I28879" s="5">
        <v>0</v>
      </c>
      <c r="J28879" s="5">
        <v>0</v>
      </c>
      <c r="K28879" s="5">
        <v>0</v>
      </c>
    </row>
    <row r="28880" spans="1:11" x14ac:dyDescent="0.25">
      <c r="A28880" s="5">
        <f>28873</f>
      </c>
      <c r="B28880" s="5" t="s">
        <v>28888</v>
      </c>
      <c r="C28880" s="5">
        <v>99.9</v>
      </c>
      <c r="D28880" s="5">
        <v>0.1</v>
      </c>
      <c r="E28880" s="5">
        <v>100.1</v>
      </c>
      <c r="F28880" s="5">
        <v>198.5</v>
      </c>
      <c r="G28880" s="5">
        <v>99.1</v>
      </c>
      <c r="H28880" s="5">
        <v>99</v>
      </c>
      <c r="I28880" s="5">
        <v>0</v>
      </c>
      <c r="J28880" s="5">
        <v>0</v>
      </c>
      <c r="K28880" s="5">
        <v>0</v>
      </c>
    </row>
    <row r="28881" spans="1:11" x14ac:dyDescent="0.25">
      <c r="A28881" s="5">
        <f>28874</f>
      </c>
      <c r="B28881" s="5" t="s">
        <v>28889</v>
      </c>
      <c r="C28881" s="5">
        <v>99.9</v>
      </c>
      <c r="D28881" s="5">
        <v>0.1</v>
      </c>
      <c r="E28881" s="5">
        <v>100.1</v>
      </c>
      <c r="F28881" s="5">
        <v>198.5</v>
      </c>
      <c r="G28881" s="5">
        <v>99.1</v>
      </c>
      <c r="H28881" s="5">
        <v>99</v>
      </c>
      <c r="I28881" s="5">
        <v>0</v>
      </c>
      <c r="J28881" s="5">
        <v>0</v>
      </c>
      <c r="K28881" s="5">
        <v>0</v>
      </c>
    </row>
    <row r="28882" spans="1:11" x14ac:dyDescent="0.25">
      <c r="A28882" s="5">
        <f>28875</f>
      </c>
      <c r="B28882" s="5" t="s">
        <v>28890</v>
      </c>
      <c r="C28882" s="5">
        <v>96.8</v>
      </c>
      <c r="D28882" s="5">
        <v>0.1</v>
      </c>
      <c r="E28882" s="5">
        <v>97</v>
      </c>
      <c r="F28882" s="5">
        <v>192</v>
      </c>
      <c r="G28882" s="5">
        <v>95.2</v>
      </c>
      <c r="H28882" s="5">
        <v>95.1</v>
      </c>
      <c r="I28882" s="5">
        <v>0</v>
      </c>
      <c r="J28882" s="5">
        <v>0</v>
      </c>
      <c r="K28882" s="5">
        <v>0</v>
      </c>
    </row>
    <row r="28883" spans="1:11" x14ac:dyDescent="0.25">
      <c r="A28883" s="5">
        <f>28876</f>
      </c>
      <c r="B28883" s="5" t="s">
        <v>28891</v>
      </c>
      <c r="C28883" s="5">
        <v>96.8</v>
      </c>
      <c r="D28883" s="5">
        <v>0.1</v>
      </c>
      <c r="E28883" s="5">
        <v>97</v>
      </c>
      <c r="F28883" s="5">
        <v>192</v>
      </c>
      <c r="G28883" s="5">
        <v>95.2</v>
      </c>
      <c r="H28883" s="5">
        <v>95.1</v>
      </c>
      <c r="I28883" s="5">
        <v>0</v>
      </c>
      <c r="J28883" s="5">
        <v>0</v>
      </c>
      <c r="K28883" s="5">
        <v>0</v>
      </c>
    </row>
    <row r="28884" spans="1:11" x14ac:dyDescent="0.25">
      <c r="A28884" s="5">
        <f>28877</f>
      </c>
      <c r="B28884" s="5" t="s">
        <v>28892</v>
      </c>
      <c r="C28884" s="5">
        <v>99.5</v>
      </c>
      <c r="D28884" s="5">
        <v>0.1</v>
      </c>
      <c r="E28884" s="5">
        <v>99.6</v>
      </c>
      <c r="F28884" s="5">
        <v>193.5</v>
      </c>
      <c r="G28884" s="5">
        <v>96.9</v>
      </c>
      <c r="H28884" s="5">
        <v>98.2</v>
      </c>
      <c r="I28884" s="5">
        <v>0</v>
      </c>
      <c r="J28884" s="5">
        <v>0</v>
      </c>
      <c r="K28884" s="5">
        <v>0</v>
      </c>
    </row>
    <row r="28885" spans="1:11" x14ac:dyDescent="0.25">
      <c r="A28885" s="5">
        <f>28878</f>
      </c>
      <c r="B28885" s="5" t="s">
        <v>28893</v>
      </c>
      <c r="C28885" s="5">
        <v>99.5</v>
      </c>
      <c r="D28885" s="5">
        <v>0.1</v>
      </c>
      <c r="E28885" s="5">
        <v>99.6</v>
      </c>
      <c r="F28885" s="5">
        <v>193.5</v>
      </c>
      <c r="G28885" s="5">
        <v>96.9</v>
      </c>
      <c r="H28885" s="5">
        <v>98.2</v>
      </c>
      <c r="I28885" s="5">
        <v>0</v>
      </c>
      <c r="J28885" s="5">
        <v>0</v>
      </c>
      <c r="K28885" s="5">
        <v>0</v>
      </c>
    </row>
    <row r="28886" spans="1:11" x14ac:dyDescent="0.25">
      <c r="A28886" s="5">
        <f>28879</f>
      </c>
      <c r="B28886" s="5" t="s">
        <v>28894</v>
      </c>
      <c r="C28886" s="5">
        <v>93.6</v>
      </c>
      <c r="D28886" s="5">
        <v>0.1</v>
      </c>
      <c r="E28886" s="5">
        <v>93.7</v>
      </c>
      <c r="F28886" s="5">
        <v>186</v>
      </c>
      <c r="G28886" s="5">
        <v>93</v>
      </c>
      <c r="H28886" s="5">
        <v>93.5</v>
      </c>
      <c r="I28886" s="5">
        <v>0</v>
      </c>
      <c r="J28886" s="5">
        <v>0</v>
      </c>
      <c r="K28886" s="5">
        <v>0</v>
      </c>
    </row>
    <row r="28887" spans="1:11" x14ac:dyDescent="0.25">
      <c r="A28887" s="5">
        <f>28880</f>
      </c>
      <c r="B28887" s="5" t="s">
        <v>28895</v>
      </c>
      <c r="C28887" s="5">
        <v>93.6</v>
      </c>
      <c r="D28887" s="5">
        <v>0.1</v>
      </c>
      <c r="E28887" s="5">
        <v>93.7</v>
      </c>
      <c r="F28887" s="5">
        <v>186</v>
      </c>
      <c r="G28887" s="5">
        <v>93</v>
      </c>
      <c r="H28887" s="5">
        <v>93.5</v>
      </c>
      <c r="I28887" s="5">
        <v>0</v>
      </c>
      <c r="J28887" s="5">
        <v>0</v>
      </c>
      <c r="K28887" s="5">
        <v>0</v>
      </c>
    </row>
    <row r="28888" spans="1:11" x14ac:dyDescent="0.25">
      <c r="A28888" s="5">
        <f>28881</f>
      </c>
      <c r="B28888" s="5" t="s">
        <v>28896</v>
      </c>
      <c r="C28888" s="5">
        <v>96</v>
      </c>
      <c r="D28888" s="5">
        <v>0.1</v>
      </c>
      <c r="E28888" s="5">
        <v>96.1</v>
      </c>
      <c r="F28888" s="5">
        <v>193.3</v>
      </c>
      <c r="G28888" s="5">
        <v>96.3</v>
      </c>
      <c r="H28888" s="5">
        <v>96</v>
      </c>
      <c r="I28888" s="5">
        <v>0</v>
      </c>
      <c r="J28888" s="5">
        <v>0</v>
      </c>
      <c r="K28888" s="5">
        <v>0</v>
      </c>
    </row>
    <row r="28889" spans="1:11" x14ac:dyDescent="0.25">
      <c r="A28889" s="5">
        <f>28882</f>
      </c>
      <c r="B28889" s="5" t="s">
        <v>28897</v>
      </c>
      <c r="C28889" s="5">
        <v>96</v>
      </c>
      <c r="D28889" s="5">
        <v>0.1</v>
      </c>
      <c r="E28889" s="5">
        <v>96.1</v>
      </c>
      <c r="F28889" s="5">
        <v>193.3</v>
      </c>
      <c r="G28889" s="5">
        <v>96.3</v>
      </c>
      <c r="H28889" s="5">
        <v>96</v>
      </c>
      <c r="I28889" s="5">
        <v>0</v>
      </c>
      <c r="J28889" s="5">
        <v>0</v>
      </c>
      <c r="K28889" s="5">
        <v>0</v>
      </c>
    </row>
    <row r="28890" spans="1:11" x14ac:dyDescent="0.25">
      <c r="A28890" s="5">
        <f>28883</f>
      </c>
      <c r="B28890" s="5" t="s">
        <v>28898</v>
      </c>
      <c r="C28890" s="5">
        <v>96</v>
      </c>
      <c r="D28890" s="5">
        <v>0.1</v>
      </c>
      <c r="E28890" s="5">
        <v>96.1</v>
      </c>
      <c r="F28890" s="5">
        <v>193.3</v>
      </c>
      <c r="G28890" s="5">
        <v>96.3</v>
      </c>
      <c r="H28890" s="5">
        <v>96</v>
      </c>
      <c r="I28890" s="5">
        <v>0</v>
      </c>
      <c r="J28890" s="5">
        <v>0</v>
      </c>
      <c r="K28890" s="5">
        <v>0</v>
      </c>
    </row>
    <row r="28891" spans="1:11" x14ac:dyDescent="0.25">
      <c r="A28891" s="5">
        <f>28884</f>
      </c>
      <c r="B28891" s="5" t="s">
        <v>28899</v>
      </c>
      <c r="C28891" s="5">
        <v>96</v>
      </c>
      <c r="D28891" s="5">
        <v>0.1</v>
      </c>
      <c r="E28891" s="5">
        <v>96.1</v>
      </c>
      <c r="F28891" s="5">
        <v>193.3</v>
      </c>
      <c r="G28891" s="5">
        <v>96.3</v>
      </c>
      <c r="H28891" s="5">
        <v>96</v>
      </c>
      <c r="I28891" s="5">
        <v>0</v>
      </c>
      <c r="J28891" s="5">
        <v>0</v>
      </c>
      <c r="K28891" s="5">
        <v>0</v>
      </c>
    </row>
    <row r="28892" spans="1:11" x14ac:dyDescent="0.25">
      <c r="A28892" s="5">
        <f>28885</f>
      </c>
      <c r="B28892" s="5" t="s">
        <v>28900</v>
      </c>
      <c r="C28892" s="5">
        <v>95.6</v>
      </c>
      <c r="D28892" s="5">
        <v>0.1</v>
      </c>
      <c r="E28892" s="5">
        <v>95.7</v>
      </c>
      <c r="F28892" s="5">
        <v>190.5</v>
      </c>
      <c r="G28892" s="5">
        <v>95</v>
      </c>
      <c r="H28892" s="5">
        <v>94.7</v>
      </c>
      <c r="I28892" s="5">
        <v>0</v>
      </c>
      <c r="J28892" s="5">
        <v>0</v>
      </c>
      <c r="K28892" s="5">
        <v>0</v>
      </c>
    </row>
    <row r="28893" spans="1:11" x14ac:dyDescent="0.25">
      <c r="A28893" s="5">
        <f>28886</f>
      </c>
      <c r="B28893" s="5" t="s">
        <v>28901</v>
      </c>
      <c r="C28893" s="5">
        <v>95.6</v>
      </c>
      <c r="D28893" s="5">
        <v>0.1</v>
      </c>
      <c r="E28893" s="5">
        <v>95.7</v>
      </c>
      <c r="F28893" s="5">
        <v>190.5</v>
      </c>
      <c r="G28893" s="5">
        <v>95</v>
      </c>
      <c r="H28893" s="5">
        <v>94.7</v>
      </c>
      <c r="I28893" s="5">
        <v>0</v>
      </c>
      <c r="J28893" s="5">
        <v>0</v>
      </c>
      <c r="K28893" s="5">
        <v>0</v>
      </c>
    </row>
    <row r="28894" spans="1:11" x14ac:dyDescent="0.25">
      <c r="A28894" s="5">
        <f>28887</f>
      </c>
      <c r="B28894" s="5" t="s">
        <v>28902</v>
      </c>
      <c r="C28894" s="5">
        <v>93.3</v>
      </c>
      <c r="D28894" s="5">
        <v>0.1</v>
      </c>
      <c r="E28894" s="5">
        <v>93.5</v>
      </c>
      <c r="F28894" s="5">
        <v>186.4</v>
      </c>
      <c r="G28894" s="5">
        <v>93.1</v>
      </c>
      <c r="H28894" s="5">
        <v>93.1</v>
      </c>
      <c r="I28894" s="5">
        <v>0</v>
      </c>
      <c r="J28894" s="5">
        <v>0</v>
      </c>
      <c r="K28894" s="5">
        <v>0</v>
      </c>
    </row>
    <row r="28895" spans="1:11" x14ac:dyDescent="0.25">
      <c r="A28895" s="5">
        <f>28888</f>
      </c>
      <c r="B28895" s="5" t="s">
        <v>28903</v>
      </c>
      <c r="C28895" s="5">
        <v>93.3</v>
      </c>
      <c r="D28895" s="5">
        <v>0.1</v>
      </c>
      <c r="E28895" s="5">
        <v>93.5</v>
      </c>
      <c r="F28895" s="5">
        <v>186.4</v>
      </c>
      <c r="G28895" s="5">
        <v>93.1</v>
      </c>
      <c r="H28895" s="5">
        <v>93.1</v>
      </c>
      <c r="I28895" s="5">
        <v>0</v>
      </c>
      <c r="J28895" s="5">
        <v>0</v>
      </c>
      <c r="K28895" s="5">
        <v>0</v>
      </c>
    </row>
    <row r="28896" spans="1:11" x14ac:dyDescent="0.25">
      <c r="A28896" s="5">
        <f>28889</f>
      </c>
      <c r="B28896" s="5" t="s">
        <v>28904</v>
      </c>
      <c r="C28896" s="5">
        <v>94.4</v>
      </c>
      <c r="D28896" s="5">
        <v>0.1</v>
      </c>
      <c r="E28896" s="5">
        <v>94.5</v>
      </c>
      <c r="F28896" s="5">
        <v>189.7</v>
      </c>
      <c r="G28896" s="5">
        <v>94.4</v>
      </c>
      <c r="H28896" s="5">
        <v>94.2</v>
      </c>
      <c r="I28896" s="5">
        <v>0</v>
      </c>
      <c r="J28896" s="5">
        <v>0</v>
      </c>
      <c r="K28896" s="5">
        <v>0</v>
      </c>
    </row>
    <row r="28897" spans="1:11" x14ac:dyDescent="0.25">
      <c r="A28897" s="5">
        <f>28890</f>
      </c>
      <c r="B28897" s="5" t="s">
        <v>28905</v>
      </c>
      <c r="C28897" s="5">
        <v>94.4</v>
      </c>
      <c r="D28897" s="5">
        <v>0.1</v>
      </c>
      <c r="E28897" s="5">
        <v>94.5</v>
      </c>
      <c r="F28897" s="5">
        <v>189.7</v>
      </c>
      <c r="G28897" s="5">
        <v>94.4</v>
      </c>
      <c r="H28897" s="5">
        <v>94.2</v>
      </c>
      <c r="I28897" s="5">
        <v>0</v>
      </c>
      <c r="J28897" s="5">
        <v>0</v>
      </c>
      <c r="K28897" s="5">
        <v>0</v>
      </c>
    </row>
    <row r="28898" spans="1:11" x14ac:dyDescent="0.25">
      <c r="A28898" s="5">
        <f>28891</f>
      </c>
      <c r="B28898" s="5" t="s">
        <v>28906</v>
      </c>
      <c r="C28898" s="5">
        <v>94.7</v>
      </c>
      <c r="D28898" s="5">
        <v>0.1</v>
      </c>
      <c r="E28898" s="5">
        <v>94.8</v>
      </c>
      <c r="F28898" s="5">
        <v>188.7</v>
      </c>
      <c r="G28898" s="5">
        <v>94.3</v>
      </c>
      <c r="H28898" s="5">
        <v>94.3</v>
      </c>
      <c r="I28898" s="5">
        <v>0</v>
      </c>
      <c r="J28898" s="5">
        <v>0</v>
      </c>
      <c r="K28898" s="5">
        <v>0</v>
      </c>
    </row>
    <row r="28899" spans="1:11" x14ac:dyDescent="0.25">
      <c r="A28899" s="5">
        <f>28892</f>
      </c>
      <c r="B28899" s="5" t="s">
        <v>28907</v>
      </c>
      <c r="C28899" s="5">
        <v>94.7</v>
      </c>
      <c r="D28899" s="5">
        <v>0.1</v>
      </c>
      <c r="E28899" s="5">
        <v>94.8</v>
      </c>
      <c r="F28899" s="5">
        <v>188.7</v>
      </c>
      <c r="G28899" s="5">
        <v>94.3</v>
      </c>
      <c r="H28899" s="5">
        <v>94.3</v>
      </c>
      <c r="I28899" s="5">
        <v>0</v>
      </c>
      <c r="J28899" s="5">
        <v>0</v>
      </c>
      <c r="K28899" s="5">
        <v>0</v>
      </c>
    </row>
    <row r="28900" spans="1:11" x14ac:dyDescent="0.25">
      <c r="A28900" s="5">
        <f>28893</f>
      </c>
      <c r="B28900" s="5" t="s">
        <v>28908</v>
      </c>
      <c r="C28900" s="5">
        <v>94.7</v>
      </c>
      <c r="D28900" s="5">
        <v>0.1</v>
      </c>
      <c r="E28900" s="5">
        <v>94.8</v>
      </c>
      <c r="F28900" s="5">
        <v>188.7</v>
      </c>
      <c r="G28900" s="5">
        <v>94.3</v>
      </c>
      <c r="H28900" s="5">
        <v>94.3</v>
      </c>
      <c r="I28900" s="5">
        <v>0</v>
      </c>
      <c r="J28900" s="5">
        <v>0</v>
      </c>
      <c r="K28900" s="5">
        <v>0</v>
      </c>
    </row>
    <row r="28901" spans="1:11" x14ac:dyDescent="0.25">
      <c r="A28901" s="5">
        <f>28894</f>
      </c>
      <c r="B28901" s="5" t="s">
        <v>28909</v>
      </c>
      <c r="C28901" s="5">
        <v>94.7</v>
      </c>
      <c r="D28901" s="5">
        <v>0.1</v>
      </c>
      <c r="E28901" s="5">
        <v>94.8</v>
      </c>
      <c r="F28901" s="5">
        <v>188.7</v>
      </c>
      <c r="G28901" s="5">
        <v>94.3</v>
      </c>
      <c r="H28901" s="5">
        <v>94.3</v>
      </c>
      <c r="I28901" s="5">
        <v>0</v>
      </c>
      <c r="J28901" s="5">
        <v>0</v>
      </c>
      <c r="K28901" s="5">
        <v>0</v>
      </c>
    </row>
    <row r="28902" spans="1:11" x14ac:dyDescent="0.25">
      <c r="A28902" s="5">
        <f>28895</f>
      </c>
      <c r="B28902" s="5" t="s">
        <v>28910</v>
      </c>
      <c r="C28902" s="5">
        <v>102.7</v>
      </c>
      <c r="D28902" s="5">
        <v>0.1</v>
      </c>
      <c r="E28902" s="5">
        <v>102.8</v>
      </c>
      <c r="F28902" s="5">
        <v>202.5</v>
      </c>
      <c r="G28902" s="5">
        <v>100.9</v>
      </c>
      <c r="H28902" s="5">
        <v>100.9</v>
      </c>
      <c r="I28902" s="5">
        <v>0</v>
      </c>
      <c r="J28902" s="5">
        <v>0</v>
      </c>
      <c r="K28902" s="5">
        <v>0</v>
      </c>
    </row>
    <row r="28903" spans="1:11" x14ac:dyDescent="0.25">
      <c r="A28903" s="5">
        <f>28896</f>
      </c>
      <c r="B28903" s="5" t="s">
        <v>28911</v>
      </c>
      <c r="C28903" s="5">
        <v>102.7</v>
      </c>
      <c r="D28903" s="5">
        <v>0.1</v>
      </c>
      <c r="E28903" s="5">
        <v>102.8</v>
      </c>
      <c r="F28903" s="5">
        <v>202.5</v>
      </c>
      <c r="G28903" s="5">
        <v>100.9</v>
      </c>
      <c r="H28903" s="5">
        <v>100.9</v>
      </c>
      <c r="I28903" s="5">
        <v>0</v>
      </c>
      <c r="J28903" s="5">
        <v>0</v>
      </c>
      <c r="K28903" s="5">
        <v>0</v>
      </c>
    </row>
    <row r="28904" spans="1:11" x14ac:dyDescent="0.25">
      <c r="A28904" s="5">
        <f>28897</f>
      </c>
      <c r="B28904" s="5" t="s">
        <v>28912</v>
      </c>
      <c r="C28904" s="5">
        <v>99.1</v>
      </c>
      <c r="D28904" s="5">
        <v>0.1</v>
      </c>
      <c r="E28904" s="5">
        <v>99.2</v>
      </c>
      <c r="F28904" s="5">
        <v>198.2</v>
      </c>
      <c r="G28904" s="5">
        <v>98.9</v>
      </c>
      <c r="H28904" s="5">
        <v>98.7</v>
      </c>
      <c r="I28904" s="5">
        <v>0</v>
      </c>
      <c r="J28904" s="5">
        <v>0</v>
      </c>
      <c r="K28904" s="5">
        <v>0</v>
      </c>
    </row>
    <row r="28905" spans="1:11" x14ac:dyDescent="0.25">
      <c r="A28905" s="5">
        <f>28898</f>
      </c>
      <c r="B28905" s="5" t="s">
        <v>28913</v>
      </c>
      <c r="C28905" s="5">
        <v>99.1</v>
      </c>
      <c r="D28905" s="5">
        <v>0.1</v>
      </c>
      <c r="E28905" s="5">
        <v>99.2</v>
      </c>
      <c r="F28905" s="5">
        <v>198.2</v>
      </c>
      <c r="G28905" s="5">
        <v>98.9</v>
      </c>
      <c r="H28905" s="5">
        <v>98.7</v>
      </c>
      <c r="I28905" s="5">
        <v>0</v>
      </c>
      <c r="J28905" s="5">
        <v>0</v>
      </c>
      <c r="K28905" s="5">
        <v>0</v>
      </c>
    </row>
    <row r="28906" spans="1:11" x14ac:dyDescent="0.25">
      <c r="A28906" s="5">
        <f>28899</f>
      </c>
      <c r="B28906" s="5" t="s">
        <v>28914</v>
      </c>
      <c r="C28906" s="5">
        <v>100.2</v>
      </c>
      <c r="D28906" s="5">
        <v>0.1</v>
      </c>
      <c r="E28906" s="5">
        <v>100.3</v>
      </c>
      <c r="F28906" s="5">
        <v>199</v>
      </c>
      <c r="G28906" s="5">
        <v>99.3</v>
      </c>
      <c r="H28906" s="5">
        <v>99.1</v>
      </c>
      <c r="I28906" s="5">
        <v>0</v>
      </c>
      <c r="J28906" s="5">
        <v>0</v>
      </c>
      <c r="K28906" s="5">
        <v>0</v>
      </c>
    </row>
    <row r="28907" spans="1:11" x14ac:dyDescent="0.25">
      <c r="A28907" s="5">
        <f>28900</f>
      </c>
      <c r="B28907" s="5" t="s">
        <v>28915</v>
      </c>
      <c r="C28907" s="5">
        <v>100.2</v>
      </c>
      <c r="D28907" s="5">
        <v>0.1</v>
      </c>
      <c r="E28907" s="5">
        <v>100.3</v>
      </c>
      <c r="F28907" s="5">
        <v>199</v>
      </c>
      <c r="G28907" s="5">
        <v>99.3</v>
      </c>
      <c r="H28907" s="5">
        <v>99.1</v>
      </c>
      <c r="I28907" s="5">
        <v>0</v>
      </c>
      <c r="J28907" s="5">
        <v>0</v>
      </c>
      <c r="K28907" s="5">
        <v>0</v>
      </c>
    </row>
    <row r="28908" spans="1:11" x14ac:dyDescent="0.25">
      <c r="A28908" s="5">
        <f>28901</f>
      </c>
      <c r="B28908" s="5" t="s">
        <v>28916</v>
      </c>
      <c r="C28908" s="5">
        <v>100.2</v>
      </c>
      <c r="D28908" s="5">
        <v>0.1</v>
      </c>
      <c r="E28908" s="5">
        <v>100.3</v>
      </c>
      <c r="F28908" s="5">
        <v>198.6</v>
      </c>
      <c r="G28908" s="5">
        <v>99</v>
      </c>
      <c r="H28908" s="5">
        <v>98.8</v>
      </c>
      <c r="I28908" s="5">
        <v>0</v>
      </c>
      <c r="J28908" s="5">
        <v>0</v>
      </c>
      <c r="K28908" s="5">
        <v>0</v>
      </c>
    </row>
    <row r="28909" spans="1:11" x14ac:dyDescent="0.25">
      <c r="A28909" s="5">
        <f>28902</f>
      </c>
      <c r="B28909" s="5" t="s">
        <v>28917</v>
      </c>
      <c r="C28909" s="5">
        <v>100.2</v>
      </c>
      <c r="D28909" s="5">
        <v>0.1</v>
      </c>
      <c r="E28909" s="5">
        <v>100.3</v>
      </c>
      <c r="F28909" s="5">
        <v>198.6</v>
      </c>
      <c r="G28909" s="5">
        <v>99</v>
      </c>
      <c r="H28909" s="5">
        <v>98.8</v>
      </c>
      <c r="I28909" s="5">
        <v>0</v>
      </c>
      <c r="J28909" s="5">
        <v>0</v>
      </c>
      <c r="K28909" s="5">
        <v>0</v>
      </c>
    </row>
    <row r="28910" spans="1:11" x14ac:dyDescent="0.25">
      <c r="A28910" s="5">
        <f>28903</f>
      </c>
      <c r="B28910" s="5" t="s">
        <v>28918</v>
      </c>
      <c r="C28910" s="5">
        <v>100.2</v>
      </c>
      <c r="D28910" s="5">
        <v>0.1</v>
      </c>
      <c r="E28910" s="5">
        <v>100.3</v>
      </c>
      <c r="F28910" s="5">
        <v>198.6</v>
      </c>
      <c r="G28910" s="5">
        <v>99</v>
      </c>
      <c r="H28910" s="5">
        <v>98.8</v>
      </c>
      <c r="I28910" s="5">
        <v>0</v>
      </c>
      <c r="J28910" s="5">
        <v>0</v>
      </c>
      <c r="K28910" s="5">
        <v>0</v>
      </c>
    </row>
    <row r="28911" spans="1:11" x14ac:dyDescent="0.25">
      <c r="A28911" s="5">
        <f>28904</f>
      </c>
      <c r="B28911" s="5" t="s">
        <v>28919</v>
      </c>
      <c r="C28911" s="5">
        <v>100.2</v>
      </c>
      <c r="D28911" s="5">
        <v>0.1</v>
      </c>
      <c r="E28911" s="5">
        <v>100.3</v>
      </c>
      <c r="F28911" s="5">
        <v>198.6</v>
      </c>
      <c r="G28911" s="5">
        <v>99</v>
      </c>
      <c r="H28911" s="5">
        <v>98.8</v>
      </c>
      <c r="I28911" s="5">
        <v>0</v>
      </c>
      <c r="J28911" s="5">
        <v>0</v>
      </c>
      <c r="K28911" s="5">
        <v>0</v>
      </c>
    </row>
    <row r="28912" spans="1:11" x14ac:dyDescent="0.25">
      <c r="A28912" s="5">
        <f>28905</f>
      </c>
      <c r="B28912" s="5" t="s">
        <v>28920</v>
      </c>
      <c r="C28912" s="5">
        <v>99.4</v>
      </c>
      <c r="D28912" s="5">
        <v>0.1</v>
      </c>
      <c r="E28912" s="5">
        <v>99.5</v>
      </c>
      <c r="F28912" s="5">
        <v>198.7</v>
      </c>
      <c r="G28912" s="5">
        <v>99.1</v>
      </c>
      <c r="H28912" s="5">
        <v>99</v>
      </c>
      <c r="I28912" s="5">
        <v>0</v>
      </c>
      <c r="J28912" s="5">
        <v>0</v>
      </c>
      <c r="K28912" s="5">
        <v>0</v>
      </c>
    </row>
    <row r="28913" spans="1:11" x14ac:dyDescent="0.25">
      <c r="A28913" s="5">
        <f>28906</f>
      </c>
      <c r="B28913" s="5" t="s">
        <v>28921</v>
      </c>
      <c r="C28913" s="5">
        <v>99.4</v>
      </c>
      <c r="D28913" s="5">
        <v>0.1</v>
      </c>
      <c r="E28913" s="5">
        <v>99.5</v>
      </c>
      <c r="F28913" s="5">
        <v>198.7</v>
      </c>
      <c r="G28913" s="5">
        <v>99.1</v>
      </c>
      <c r="H28913" s="5">
        <v>99</v>
      </c>
      <c r="I28913" s="5">
        <v>0</v>
      </c>
      <c r="J28913" s="5">
        <v>0</v>
      </c>
      <c r="K28913" s="5">
        <v>0</v>
      </c>
    </row>
    <row r="28914" spans="1:11" x14ac:dyDescent="0.25">
      <c r="A28914" s="5">
        <f>28907</f>
      </c>
      <c r="B28914" s="5" t="s">
        <v>28922</v>
      </c>
      <c r="C28914" s="5">
        <v>93.6</v>
      </c>
      <c r="D28914" s="5">
        <v>0.1</v>
      </c>
      <c r="E28914" s="5">
        <v>93.7</v>
      </c>
      <c r="F28914" s="5">
        <v>189.6</v>
      </c>
      <c r="G28914" s="5">
        <v>94.3</v>
      </c>
      <c r="H28914" s="5">
        <v>93.9</v>
      </c>
      <c r="I28914" s="5">
        <v>0</v>
      </c>
      <c r="J28914" s="5">
        <v>0</v>
      </c>
      <c r="K28914" s="5">
        <v>0</v>
      </c>
    </row>
    <row r="28915" spans="1:11" x14ac:dyDescent="0.25">
      <c r="A28915" s="5">
        <f>28908</f>
      </c>
      <c r="B28915" s="5" t="s">
        <v>28923</v>
      </c>
      <c r="C28915" s="5">
        <v>93.6</v>
      </c>
      <c r="D28915" s="5">
        <v>0.1</v>
      </c>
      <c r="E28915" s="5">
        <v>93.7</v>
      </c>
      <c r="F28915" s="5">
        <v>189.6</v>
      </c>
      <c r="G28915" s="5">
        <v>94.3</v>
      </c>
      <c r="H28915" s="5">
        <v>93.9</v>
      </c>
      <c r="I28915" s="5">
        <v>0</v>
      </c>
      <c r="J28915" s="5">
        <v>0</v>
      </c>
      <c r="K28915" s="5">
        <v>0</v>
      </c>
    </row>
    <row r="28916" spans="1:11" x14ac:dyDescent="0.25">
      <c r="A28916" s="5">
        <f>28909</f>
      </c>
      <c r="B28916" s="5" t="s">
        <v>28924</v>
      </c>
      <c r="C28916" s="5">
        <v>92.9</v>
      </c>
      <c r="D28916" s="5">
        <v>0.1</v>
      </c>
      <c r="E28916" s="5">
        <v>92.9</v>
      </c>
      <c r="F28916" s="5">
        <v>186</v>
      </c>
      <c r="G28916" s="5">
        <v>92.7</v>
      </c>
      <c r="H28916" s="5">
        <v>92.4</v>
      </c>
      <c r="I28916" s="5">
        <v>0</v>
      </c>
      <c r="J28916" s="5">
        <v>0</v>
      </c>
      <c r="K28916" s="5">
        <v>0</v>
      </c>
    </row>
    <row r="28917" spans="1:11" x14ac:dyDescent="0.25">
      <c r="A28917" s="5">
        <f>28910</f>
      </c>
      <c r="B28917" s="5" t="s">
        <v>28925</v>
      </c>
      <c r="C28917" s="5">
        <v>92.9</v>
      </c>
      <c r="D28917" s="5">
        <v>0.1</v>
      </c>
      <c r="E28917" s="5">
        <v>92.9</v>
      </c>
      <c r="F28917" s="5">
        <v>186</v>
      </c>
      <c r="G28917" s="5">
        <v>92.7</v>
      </c>
      <c r="H28917" s="5">
        <v>92.4</v>
      </c>
      <c r="I28917" s="5">
        <v>0</v>
      </c>
      <c r="J28917" s="5">
        <v>0</v>
      </c>
      <c r="K28917" s="5">
        <v>0</v>
      </c>
    </row>
    <row r="28918" spans="1:11" x14ac:dyDescent="0.25">
      <c r="A28918" s="5">
        <f>28911</f>
      </c>
      <c r="B28918" s="5" t="s">
        <v>28926</v>
      </c>
      <c r="C28918" s="5">
        <v>99.7</v>
      </c>
      <c r="D28918" s="5">
        <v>0.1</v>
      </c>
      <c r="E28918" s="5">
        <v>99.9</v>
      </c>
      <c r="F28918" s="5">
        <v>197.5</v>
      </c>
      <c r="G28918" s="5">
        <v>98.7</v>
      </c>
      <c r="H28918" s="5">
        <v>98.7</v>
      </c>
      <c r="I28918" s="5">
        <v>0</v>
      </c>
      <c r="J28918" s="5">
        <v>0</v>
      </c>
      <c r="K28918" s="5">
        <v>0</v>
      </c>
    </row>
    <row r="28919" spans="1:11" x14ac:dyDescent="0.25">
      <c r="A28919" s="5">
        <f>28912</f>
      </c>
      <c r="B28919" s="5" t="s">
        <v>28927</v>
      </c>
      <c r="C28919" s="5">
        <v>99.7</v>
      </c>
      <c r="D28919" s="5">
        <v>0.1</v>
      </c>
      <c r="E28919" s="5">
        <v>99.9</v>
      </c>
      <c r="F28919" s="5">
        <v>197.5</v>
      </c>
      <c r="G28919" s="5">
        <v>98.7</v>
      </c>
      <c r="H28919" s="5">
        <v>98.7</v>
      </c>
      <c r="I28919" s="5">
        <v>0</v>
      </c>
      <c r="J28919" s="5">
        <v>0</v>
      </c>
      <c r="K28919" s="5">
        <v>0</v>
      </c>
    </row>
    <row r="28920" spans="1:11" x14ac:dyDescent="0.25">
      <c r="A28920" s="5">
        <f>28913</f>
      </c>
      <c r="B28920" s="5" t="s">
        <v>28928</v>
      </c>
      <c r="C28920" s="5">
        <v>99.7</v>
      </c>
      <c r="D28920" s="5">
        <v>0.1</v>
      </c>
      <c r="E28920" s="5">
        <v>99.9</v>
      </c>
      <c r="F28920" s="5">
        <v>197.5</v>
      </c>
      <c r="G28920" s="5">
        <v>98.7</v>
      </c>
      <c r="H28920" s="5">
        <v>98.7</v>
      </c>
      <c r="I28920" s="5">
        <v>0</v>
      </c>
      <c r="J28920" s="5">
        <v>0</v>
      </c>
      <c r="K28920" s="5">
        <v>0</v>
      </c>
    </row>
    <row r="28921" spans="1:11" x14ac:dyDescent="0.25">
      <c r="A28921" s="5">
        <f>28914</f>
      </c>
      <c r="B28921" s="5" t="s">
        <v>28929</v>
      </c>
      <c r="C28921" s="5">
        <v>99.7</v>
      </c>
      <c r="D28921" s="5">
        <v>0.1</v>
      </c>
      <c r="E28921" s="5">
        <v>99.9</v>
      </c>
      <c r="F28921" s="5">
        <v>197.5</v>
      </c>
      <c r="G28921" s="5">
        <v>98.7</v>
      </c>
      <c r="H28921" s="5">
        <v>98.7</v>
      </c>
      <c r="I28921" s="5">
        <v>0</v>
      </c>
      <c r="J28921" s="5">
        <v>0</v>
      </c>
      <c r="K28921" s="5">
        <v>0</v>
      </c>
    </row>
    <row r="28922" spans="1:11" x14ac:dyDescent="0.25">
      <c r="A28922" s="5">
        <f>28915</f>
      </c>
      <c r="B28922" s="5" t="s">
        <v>28930</v>
      </c>
      <c r="C28922" s="5">
        <v>99.2</v>
      </c>
      <c r="D28922" s="5">
        <v>0.1</v>
      </c>
      <c r="E28922" s="5">
        <v>99.3</v>
      </c>
      <c r="F28922" s="5">
        <v>198.8</v>
      </c>
      <c r="G28922" s="5">
        <v>99</v>
      </c>
      <c r="H28922" s="5">
        <v>98.9</v>
      </c>
      <c r="I28922" s="5">
        <v>0</v>
      </c>
      <c r="J28922" s="5">
        <v>0</v>
      </c>
      <c r="K28922" s="5">
        <v>0</v>
      </c>
    </row>
    <row r="28923" spans="1:11" x14ac:dyDescent="0.25">
      <c r="A28923" s="5">
        <f>28916</f>
      </c>
      <c r="B28923" s="5" t="s">
        <v>28931</v>
      </c>
      <c r="C28923" s="5">
        <v>99.2</v>
      </c>
      <c r="D28923" s="5">
        <v>0.1</v>
      </c>
      <c r="E28923" s="5">
        <v>99.3</v>
      </c>
      <c r="F28923" s="5">
        <v>198.8</v>
      </c>
      <c r="G28923" s="5">
        <v>99</v>
      </c>
      <c r="H28923" s="5">
        <v>98.9</v>
      </c>
      <c r="I28923" s="5">
        <v>0</v>
      </c>
      <c r="J28923" s="5">
        <v>0</v>
      </c>
      <c r="K28923" s="5">
        <v>0</v>
      </c>
    </row>
    <row r="28924" spans="1:11" x14ac:dyDescent="0.25">
      <c r="A28924" s="5">
        <f>28917</f>
      </c>
      <c r="B28924" s="5" t="s">
        <v>28932</v>
      </c>
      <c r="C28924" s="5">
        <v>99</v>
      </c>
      <c r="D28924" s="5">
        <v>0.1</v>
      </c>
      <c r="E28924" s="5">
        <v>99.2</v>
      </c>
      <c r="F28924" s="5">
        <v>198</v>
      </c>
      <c r="G28924" s="5">
        <v>98.8</v>
      </c>
      <c r="H28924" s="5">
        <v>98.6</v>
      </c>
      <c r="I28924" s="5">
        <v>0</v>
      </c>
      <c r="J28924" s="5">
        <v>0</v>
      </c>
      <c r="K28924" s="5">
        <v>0</v>
      </c>
    </row>
    <row r="28925" spans="1:11" x14ac:dyDescent="0.25">
      <c r="A28925" s="5">
        <f>28918</f>
      </c>
      <c r="B28925" s="5" t="s">
        <v>28933</v>
      </c>
      <c r="C28925" s="5">
        <v>99</v>
      </c>
      <c r="D28925" s="5">
        <v>0.1</v>
      </c>
      <c r="E28925" s="5">
        <v>99.2</v>
      </c>
      <c r="F28925" s="5">
        <v>198</v>
      </c>
      <c r="G28925" s="5">
        <v>98.8</v>
      </c>
      <c r="H28925" s="5">
        <v>98.6</v>
      </c>
      <c r="I28925" s="5">
        <v>0</v>
      </c>
      <c r="J28925" s="5">
        <v>0</v>
      </c>
      <c r="K28925" s="5">
        <v>0</v>
      </c>
    </row>
    <row r="28926" spans="1:11" x14ac:dyDescent="0.25">
      <c r="A28926" s="5">
        <f>28919</f>
      </c>
      <c r="B28926" s="5" t="s">
        <v>28934</v>
      </c>
      <c r="C28926" s="5">
        <v>92.9</v>
      </c>
      <c r="D28926" s="5">
        <v>0.1</v>
      </c>
      <c r="E28926" s="5">
        <v>93.1</v>
      </c>
      <c r="F28926" s="5">
        <v>193.1</v>
      </c>
      <c r="G28926" s="5">
        <v>96.5</v>
      </c>
      <c r="H28926" s="5">
        <v>96.4</v>
      </c>
      <c r="I28926" s="5">
        <v>0</v>
      </c>
      <c r="J28926" s="5">
        <v>0</v>
      </c>
      <c r="K28926" s="5">
        <v>0</v>
      </c>
    </row>
    <row r="28927" spans="1:11" x14ac:dyDescent="0.25">
      <c r="A28927" s="5">
        <f>28920</f>
      </c>
      <c r="B28927" s="5" t="s">
        <v>28935</v>
      </c>
      <c r="C28927" s="5">
        <v>92.9</v>
      </c>
      <c r="D28927" s="5">
        <v>0.1</v>
      </c>
      <c r="E28927" s="5">
        <v>93.1</v>
      </c>
      <c r="F28927" s="5">
        <v>193.1</v>
      </c>
      <c r="G28927" s="5">
        <v>96.5</v>
      </c>
      <c r="H28927" s="5">
        <v>96.4</v>
      </c>
      <c r="I28927" s="5">
        <v>0</v>
      </c>
      <c r="J28927" s="5">
        <v>0</v>
      </c>
      <c r="K28927" s="5">
        <v>0</v>
      </c>
    </row>
    <row r="28928" spans="1:11" x14ac:dyDescent="0.25">
      <c r="A28928" s="5">
        <f>28921</f>
      </c>
      <c r="B28928" s="5" t="s">
        <v>28936</v>
      </c>
      <c r="C28928" s="5">
        <v>99.7</v>
      </c>
      <c r="D28928" s="5">
        <v>0.1</v>
      </c>
      <c r="E28928" s="5">
        <v>99.9</v>
      </c>
      <c r="F28928" s="5">
        <v>195.2</v>
      </c>
      <c r="G28928" s="5">
        <v>97.3</v>
      </c>
      <c r="H28928" s="5">
        <v>97.2</v>
      </c>
      <c r="I28928" s="5">
        <v>0</v>
      </c>
      <c r="J28928" s="5">
        <v>0</v>
      </c>
      <c r="K28928" s="5">
        <v>0</v>
      </c>
    </row>
    <row r="28929" spans="1:11" x14ac:dyDescent="0.25">
      <c r="A28929" s="5">
        <f>28922</f>
      </c>
      <c r="B28929" s="5" t="s">
        <v>28937</v>
      </c>
      <c r="C28929" s="5">
        <v>99.7</v>
      </c>
      <c r="D28929" s="5">
        <v>0.1</v>
      </c>
      <c r="E28929" s="5">
        <v>99.9</v>
      </c>
      <c r="F28929" s="5">
        <v>195.2</v>
      </c>
      <c r="G28929" s="5">
        <v>97.3</v>
      </c>
      <c r="H28929" s="5">
        <v>97.2</v>
      </c>
      <c r="I28929" s="5">
        <v>0</v>
      </c>
      <c r="J28929" s="5">
        <v>0</v>
      </c>
      <c r="K28929" s="5">
        <v>0</v>
      </c>
    </row>
    <row r="28930" spans="1:11" x14ac:dyDescent="0.25">
      <c r="A28930" s="5">
        <f>28923</f>
      </c>
      <c r="B28930" s="5" t="s">
        <v>28938</v>
      </c>
      <c r="C28930" s="5">
        <v>99.7</v>
      </c>
      <c r="D28930" s="5">
        <v>0.1</v>
      </c>
      <c r="E28930" s="5">
        <v>99.9</v>
      </c>
      <c r="F28930" s="5">
        <v>195.2</v>
      </c>
      <c r="G28930" s="5">
        <v>97.3</v>
      </c>
      <c r="H28930" s="5">
        <v>97.2</v>
      </c>
      <c r="I28930" s="5">
        <v>0</v>
      </c>
      <c r="J28930" s="5">
        <v>0</v>
      </c>
      <c r="K28930" s="5">
        <v>0</v>
      </c>
    </row>
    <row r="28931" spans="1:11" x14ac:dyDescent="0.25">
      <c r="A28931" s="5">
        <f>28924</f>
      </c>
      <c r="B28931" s="5" t="s">
        <v>28939</v>
      </c>
      <c r="C28931" s="5">
        <v>99.7</v>
      </c>
      <c r="D28931" s="5">
        <v>0.1</v>
      </c>
      <c r="E28931" s="5">
        <v>99.9</v>
      </c>
      <c r="F28931" s="5">
        <v>195.2</v>
      </c>
      <c r="G28931" s="5">
        <v>97.3</v>
      </c>
      <c r="H28931" s="5">
        <v>97.2</v>
      </c>
      <c r="I28931" s="5">
        <v>0</v>
      </c>
      <c r="J28931" s="5">
        <v>0</v>
      </c>
      <c r="K28931" s="5">
        <v>0</v>
      </c>
    </row>
    <row r="28932" spans="1:11" x14ac:dyDescent="0.25">
      <c r="A28932" s="5">
        <f>28925</f>
      </c>
      <c r="B28932" s="5" t="s">
        <v>28940</v>
      </c>
      <c r="C28932" s="5">
        <v>98.5</v>
      </c>
      <c r="D28932" s="5">
        <v>0.1</v>
      </c>
      <c r="E28932" s="5">
        <v>98.6</v>
      </c>
      <c r="F28932" s="5">
        <v>197.1</v>
      </c>
      <c r="G28932" s="5">
        <v>98.3</v>
      </c>
      <c r="H28932" s="5">
        <v>98.2</v>
      </c>
      <c r="I28932" s="5">
        <v>0</v>
      </c>
      <c r="J28932" s="5">
        <v>0</v>
      </c>
      <c r="K28932" s="5">
        <v>0</v>
      </c>
    </row>
    <row r="28933" spans="1:11" x14ac:dyDescent="0.25">
      <c r="A28933" s="5">
        <f>28926</f>
      </c>
      <c r="B28933" s="5" t="s">
        <v>28941</v>
      </c>
      <c r="C28933" s="5">
        <v>98.5</v>
      </c>
      <c r="D28933" s="5">
        <v>0.1</v>
      </c>
      <c r="E28933" s="5">
        <v>98.6</v>
      </c>
      <c r="F28933" s="5">
        <v>197.1</v>
      </c>
      <c r="G28933" s="5">
        <v>98.3</v>
      </c>
      <c r="H28933" s="5">
        <v>98.2</v>
      </c>
      <c r="I28933" s="5">
        <v>0</v>
      </c>
      <c r="J28933" s="5">
        <v>0</v>
      </c>
      <c r="K28933" s="5">
        <v>0</v>
      </c>
    </row>
    <row r="28934" spans="1:11" x14ac:dyDescent="0.25">
      <c r="A28934" s="5">
        <f>28927</f>
      </c>
      <c r="B28934" s="5" t="s">
        <v>28942</v>
      </c>
      <c r="C28934" s="5">
        <v>99.2</v>
      </c>
      <c r="D28934" s="5">
        <v>0.1</v>
      </c>
      <c r="E28934" s="5">
        <v>99.4</v>
      </c>
      <c r="F28934" s="5">
        <v>198.3</v>
      </c>
      <c r="G28934" s="5">
        <v>98.8</v>
      </c>
      <c r="H28934" s="5">
        <v>98.7</v>
      </c>
      <c r="I28934" s="5">
        <v>0</v>
      </c>
      <c r="J28934" s="5">
        <v>0</v>
      </c>
      <c r="K28934" s="5">
        <v>0</v>
      </c>
    </row>
    <row r="28935" spans="1:11" x14ac:dyDescent="0.25">
      <c r="A28935" s="5">
        <f>28928</f>
      </c>
      <c r="B28935" s="5" t="s">
        <v>28943</v>
      </c>
      <c r="C28935" s="5">
        <v>99.2</v>
      </c>
      <c r="D28935" s="5">
        <v>0.1</v>
      </c>
      <c r="E28935" s="5">
        <v>99.4</v>
      </c>
      <c r="F28935" s="5">
        <v>198.3</v>
      </c>
      <c r="G28935" s="5">
        <v>98.8</v>
      </c>
      <c r="H28935" s="5">
        <v>98.7</v>
      </c>
      <c r="I28935" s="5">
        <v>0</v>
      </c>
      <c r="J28935" s="5">
        <v>0</v>
      </c>
      <c r="K28935" s="5">
        <v>0</v>
      </c>
    </row>
    <row r="28936" spans="1:11" x14ac:dyDescent="0.25">
      <c r="A28936" s="5">
        <f>28929</f>
      </c>
      <c r="B28936" s="5" t="s">
        <v>28944</v>
      </c>
      <c r="C28936" s="5">
        <v>100</v>
      </c>
      <c r="D28936" s="5">
        <v>0.1</v>
      </c>
      <c r="E28936" s="5">
        <v>100.2</v>
      </c>
      <c r="F28936" s="5">
        <v>199.1</v>
      </c>
      <c r="G28936" s="5">
        <v>99.3</v>
      </c>
      <c r="H28936" s="5">
        <v>99.2</v>
      </c>
      <c r="I28936" s="5">
        <v>0</v>
      </c>
      <c r="J28936" s="5">
        <v>0</v>
      </c>
      <c r="K28936" s="5">
        <v>0</v>
      </c>
    </row>
    <row r="28937" spans="1:11" x14ac:dyDescent="0.25">
      <c r="A28937" s="5">
        <f>28930</f>
      </c>
      <c r="B28937" s="5" t="s">
        <v>28945</v>
      </c>
      <c r="C28937" s="5">
        <v>100</v>
      </c>
      <c r="D28937" s="5">
        <v>0.1</v>
      </c>
      <c r="E28937" s="5">
        <v>100.2</v>
      </c>
      <c r="F28937" s="5">
        <v>199.1</v>
      </c>
      <c r="G28937" s="5">
        <v>99.3</v>
      </c>
      <c r="H28937" s="5">
        <v>99.2</v>
      </c>
      <c r="I28937" s="5">
        <v>0</v>
      </c>
      <c r="J28937" s="5">
        <v>0</v>
      </c>
      <c r="K28937" s="5">
        <v>0</v>
      </c>
    </row>
    <row r="28938" spans="1:11" x14ac:dyDescent="0.25">
      <c r="A28938" s="5">
        <f>28931</f>
      </c>
      <c r="B28938" s="5" t="s">
        <v>28946</v>
      </c>
      <c r="C28938" s="5">
        <v>99.6</v>
      </c>
      <c r="D28938" s="5">
        <v>0.1</v>
      </c>
      <c r="E28938" s="5">
        <v>99.7</v>
      </c>
      <c r="F28938" s="5">
        <v>198.7</v>
      </c>
      <c r="G28938" s="5">
        <v>99.1</v>
      </c>
      <c r="H28938" s="5">
        <v>98.9</v>
      </c>
      <c r="I28938" s="5">
        <v>0</v>
      </c>
      <c r="J28938" s="5">
        <v>0</v>
      </c>
      <c r="K28938" s="5">
        <v>0</v>
      </c>
    </row>
    <row r="28939" spans="1:11" x14ac:dyDescent="0.25">
      <c r="A28939" s="5">
        <f>28932</f>
      </c>
      <c r="B28939" s="5" t="s">
        <v>28947</v>
      </c>
      <c r="C28939" s="5">
        <v>99.6</v>
      </c>
      <c r="D28939" s="5">
        <v>0.1</v>
      </c>
      <c r="E28939" s="5">
        <v>99.7</v>
      </c>
      <c r="F28939" s="5">
        <v>198.7</v>
      </c>
      <c r="G28939" s="5">
        <v>99.1</v>
      </c>
      <c r="H28939" s="5">
        <v>98.9</v>
      </c>
      <c r="I28939" s="5">
        <v>0</v>
      </c>
      <c r="J28939" s="5">
        <v>0</v>
      </c>
      <c r="K28939" s="5">
        <v>0</v>
      </c>
    </row>
    <row r="28940" spans="1:11" x14ac:dyDescent="0.25">
      <c r="A28940" s="5">
        <f>28933</f>
      </c>
      <c r="B28940" s="5" t="s">
        <v>28948</v>
      </c>
      <c r="C28940" s="5">
        <v>99.6</v>
      </c>
      <c r="D28940" s="5">
        <v>0.1</v>
      </c>
      <c r="E28940" s="5">
        <v>99.7</v>
      </c>
      <c r="F28940" s="5">
        <v>198.7</v>
      </c>
      <c r="G28940" s="5">
        <v>99.1</v>
      </c>
      <c r="H28940" s="5">
        <v>98.9</v>
      </c>
      <c r="I28940" s="5">
        <v>0</v>
      </c>
      <c r="J28940" s="5">
        <v>0</v>
      </c>
      <c r="K28940" s="5">
        <v>0</v>
      </c>
    </row>
    <row r="28941" spans="1:11" x14ac:dyDescent="0.25">
      <c r="A28941" s="5">
        <f>28934</f>
      </c>
      <c r="B28941" s="5" t="s">
        <v>28949</v>
      </c>
      <c r="C28941" s="5">
        <v>99.6</v>
      </c>
      <c r="D28941" s="5">
        <v>0.1</v>
      </c>
      <c r="E28941" s="5">
        <v>99.7</v>
      </c>
      <c r="F28941" s="5">
        <v>198.7</v>
      </c>
      <c r="G28941" s="5">
        <v>99.1</v>
      </c>
      <c r="H28941" s="5">
        <v>98.9</v>
      </c>
      <c r="I28941" s="5">
        <v>0</v>
      </c>
      <c r="J28941" s="5">
        <v>0</v>
      </c>
      <c r="K28941" s="5">
        <v>0</v>
      </c>
    </row>
    <row r="28942" spans="1:11" x14ac:dyDescent="0.25">
      <c r="A28942" s="5">
        <f>28935</f>
      </c>
      <c r="B28942" s="5" t="s">
        <v>28950</v>
      </c>
      <c r="C28942" s="5">
        <v>99.2</v>
      </c>
      <c r="D28942" s="5">
        <v>0.1</v>
      </c>
      <c r="E28942" s="5">
        <v>99.4</v>
      </c>
      <c r="F28942" s="5">
        <v>198.3</v>
      </c>
      <c r="G28942" s="5">
        <v>99.2</v>
      </c>
      <c r="H28942" s="5">
        <v>99.2</v>
      </c>
      <c r="I28942" s="5">
        <v>0</v>
      </c>
      <c r="J28942" s="5">
        <v>0</v>
      </c>
      <c r="K28942" s="5">
        <v>0</v>
      </c>
    </row>
    <row r="28943" spans="1:11" x14ac:dyDescent="0.25">
      <c r="A28943" s="5">
        <f>28936</f>
      </c>
      <c r="B28943" s="5" t="s">
        <v>28951</v>
      </c>
      <c r="C28943" s="5">
        <v>99.2</v>
      </c>
      <c r="D28943" s="5">
        <v>0.1</v>
      </c>
      <c r="E28943" s="5">
        <v>99.4</v>
      </c>
      <c r="F28943" s="5">
        <v>198.3</v>
      </c>
      <c r="G28943" s="5">
        <v>99.2</v>
      </c>
      <c r="H28943" s="5">
        <v>99.2</v>
      </c>
      <c r="I28943" s="5">
        <v>0</v>
      </c>
      <c r="J28943" s="5">
        <v>0</v>
      </c>
      <c r="K28943" s="5">
        <v>0</v>
      </c>
    </row>
    <row r="28944" spans="1:11" x14ac:dyDescent="0.25">
      <c r="A28944" s="5">
        <f>28937</f>
      </c>
      <c r="B28944" s="5" t="s">
        <v>28952</v>
      </c>
      <c r="C28944" s="5">
        <v>99.8</v>
      </c>
      <c r="D28944" s="5">
        <v>0.1</v>
      </c>
      <c r="E28944" s="5">
        <v>99.9</v>
      </c>
      <c r="F28944" s="5">
        <v>199.2</v>
      </c>
      <c r="G28944" s="5">
        <v>99.3</v>
      </c>
      <c r="H28944" s="5">
        <v>99</v>
      </c>
      <c r="I28944" s="5">
        <v>0</v>
      </c>
      <c r="J28944" s="5">
        <v>0</v>
      </c>
      <c r="K28944" s="5">
        <v>0</v>
      </c>
    </row>
    <row r="28945" spans="1:11" x14ac:dyDescent="0.25">
      <c r="A28945" s="5">
        <f>28938</f>
      </c>
      <c r="B28945" s="5" t="s">
        <v>28953</v>
      </c>
      <c r="C28945" s="5">
        <v>99.8</v>
      </c>
      <c r="D28945" s="5">
        <v>0.1</v>
      </c>
      <c r="E28945" s="5">
        <v>99.9</v>
      </c>
      <c r="F28945" s="5">
        <v>199.2</v>
      </c>
      <c r="G28945" s="5">
        <v>99.3</v>
      </c>
      <c r="H28945" s="5">
        <v>99</v>
      </c>
      <c r="I28945" s="5">
        <v>0</v>
      </c>
      <c r="J28945" s="5">
        <v>0</v>
      </c>
      <c r="K28945" s="5">
        <v>0</v>
      </c>
    </row>
    <row r="28946" spans="1:11" x14ac:dyDescent="0.25">
      <c r="A28946" s="5">
        <f>28939</f>
      </c>
      <c r="B28946" s="5" t="s">
        <v>28954</v>
      </c>
      <c r="C28946" s="5">
        <v>99.7</v>
      </c>
      <c r="D28946" s="5">
        <v>0.1</v>
      </c>
      <c r="E28946" s="5">
        <v>99.9</v>
      </c>
      <c r="F28946" s="5">
        <v>199.9</v>
      </c>
      <c r="G28946" s="5">
        <v>99.7</v>
      </c>
      <c r="H28946" s="5">
        <v>99.6</v>
      </c>
      <c r="I28946" s="5">
        <v>0</v>
      </c>
      <c r="J28946" s="5">
        <v>0</v>
      </c>
      <c r="K28946" s="5">
        <v>0</v>
      </c>
    </row>
    <row r="28947" spans="1:11" x14ac:dyDescent="0.25">
      <c r="A28947" s="5">
        <f>28940</f>
      </c>
      <c r="B28947" s="5" t="s">
        <v>28955</v>
      </c>
      <c r="C28947" s="5">
        <v>99.7</v>
      </c>
      <c r="D28947" s="5">
        <v>0.1</v>
      </c>
      <c r="E28947" s="5">
        <v>99.9</v>
      </c>
      <c r="F28947" s="5">
        <v>199.9</v>
      </c>
      <c r="G28947" s="5">
        <v>99.7</v>
      </c>
      <c r="H28947" s="5">
        <v>99.6</v>
      </c>
      <c r="I28947" s="5">
        <v>0</v>
      </c>
      <c r="J28947" s="5">
        <v>0</v>
      </c>
      <c r="K28947" s="5">
        <v>0</v>
      </c>
    </row>
    <row r="28948" spans="1:11" x14ac:dyDescent="0.25">
      <c r="A28948" s="5">
        <f>28941</f>
      </c>
      <c r="B28948" s="5" t="s">
        <v>28956</v>
      </c>
      <c r="C28948" s="5">
        <v>99.7</v>
      </c>
      <c r="D28948" s="5">
        <v>0.1</v>
      </c>
      <c r="E28948" s="5">
        <v>99.9</v>
      </c>
      <c r="F28948" s="5">
        <v>199.9</v>
      </c>
      <c r="G28948" s="5">
        <v>99.7</v>
      </c>
      <c r="H28948" s="5">
        <v>99.6</v>
      </c>
      <c r="I28948" s="5">
        <v>0</v>
      </c>
      <c r="J28948" s="5">
        <v>0</v>
      </c>
      <c r="K28948" s="5">
        <v>0</v>
      </c>
    </row>
    <row r="28949" spans="1:11" x14ac:dyDescent="0.25">
      <c r="A28949" s="5">
        <f>28942</f>
      </c>
      <c r="B28949" s="5" t="s">
        <v>28957</v>
      </c>
      <c r="C28949" s="5">
        <v>99.7</v>
      </c>
      <c r="D28949" s="5">
        <v>0.1</v>
      </c>
      <c r="E28949" s="5">
        <v>99.9</v>
      </c>
      <c r="F28949" s="5">
        <v>199.9</v>
      </c>
      <c r="G28949" s="5">
        <v>99.7</v>
      </c>
      <c r="H28949" s="5">
        <v>99.6</v>
      </c>
      <c r="I28949" s="5">
        <v>0</v>
      </c>
      <c r="J28949" s="5">
        <v>0</v>
      </c>
      <c r="K28949" s="5">
        <v>0</v>
      </c>
    </row>
    <row r="28950" spans="1:11" x14ac:dyDescent="0.25">
      <c r="A28950" s="5">
        <f>28943</f>
      </c>
      <c r="B28950" s="5" t="s">
        <v>28958</v>
      </c>
      <c r="C28950" s="5">
        <v>99.7</v>
      </c>
      <c r="D28950" s="5">
        <v>0.1</v>
      </c>
      <c r="E28950" s="5">
        <v>99.9</v>
      </c>
      <c r="F28950" s="5">
        <v>199.9</v>
      </c>
      <c r="G28950" s="5">
        <v>99.7</v>
      </c>
      <c r="H28950" s="5">
        <v>99.6</v>
      </c>
      <c r="I28950" s="5">
        <v>0</v>
      </c>
      <c r="J28950" s="5">
        <v>0</v>
      </c>
      <c r="K28950" s="5">
        <v>0</v>
      </c>
    </row>
    <row r="28951" spans="1:11" x14ac:dyDescent="0.25">
      <c r="A28951" s="5">
        <f>28944</f>
      </c>
      <c r="B28951" s="5" t="s">
        <v>28959</v>
      </c>
      <c r="C28951" s="5">
        <v>99.7</v>
      </c>
      <c r="D28951" s="5">
        <v>0.1</v>
      </c>
      <c r="E28951" s="5">
        <v>99.9</v>
      </c>
      <c r="F28951" s="5">
        <v>199.9</v>
      </c>
      <c r="G28951" s="5">
        <v>99.7</v>
      </c>
      <c r="H28951" s="5">
        <v>99.6</v>
      </c>
      <c r="I28951" s="5">
        <v>0</v>
      </c>
      <c r="J28951" s="5">
        <v>0</v>
      </c>
      <c r="K28951" s="5">
        <v>0</v>
      </c>
    </row>
    <row r="28952" spans="1:11" x14ac:dyDescent="0.25">
      <c r="A28952" s="5">
        <f>28945</f>
      </c>
      <c r="B28952" s="5" t="s">
        <v>28960</v>
      </c>
      <c r="C28952" s="5">
        <v>99.9</v>
      </c>
      <c r="D28952" s="5">
        <v>0.1</v>
      </c>
      <c r="E28952" s="5">
        <v>100</v>
      </c>
      <c r="F28952" s="5">
        <v>198</v>
      </c>
      <c r="G28952" s="5">
        <v>98.8</v>
      </c>
      <c r="H28952" s="5">
        <v>98.6</v>
      </c>
      <c r="I28952" s="5">
        <v>0</v>
      </c>
      <c r="J28952" s="5">
        <v>0</v>
      </c>
      <c r="K28952" s="5">
        <v>0</v>
      </c>
    </row>
    <row r="28953" spans="1:11" x14ac:dyDescent="0.25">
      <c r="A28953" s="5">
        <f>28946</f>
      </c>
      <c r="B28953" s="5" t="s">
        <v>28961</v>
      </c>
      <c r="C28953" s="5">
        <v>99.9</v>
      </c>
      <c r="D28953" s="5">
        <v>0.1</v>
      </c>
      <c r="E28953" s="5">
        <v>100</v>
      </c>
      <c r="F28953" s="5">
        <v>198</v>
      </c>
      <c r="G28953" s="5">
        <v>98.8</v>
      </c>
      <c r="H28953" s="5">
        <v>98.6</v>
      </c>
      <c r="I28953" s="5">
        <v>0</v>
      </c>
      <c r="J28953" s="5">
        <v>0</v>
      </c>
      <c r="K28953" s="5">
        <v>0</v>
      </c>
    </row>
    <row r="28954" spans="1:11" x14ac:dyDescent="0.25">
      <c r="A28954" s="5">
        <f>28947</f>
      </c>
      <c r="B28954" s="5" t="s">
        <v>28962</v>
      </c>
      <c r="C28954" s="5">
        <v>99.7</v>
      </c>
      <c r="D28954" s="5">
        <v>0.1</v>
      </c>
      <c r="E28954" s="5">
        <v>99.9</v>
      </c>
      <c r="F28954" s="5">
        <v>198.5</v>
      </c>
      <c r="G28954" s="5">
        <v>98.9</v>
      </c>
      <c r="H28954" s="5">
        <v>98.7</v>
      </c>
      <c r="I28954" s="5">
        <v>0</v>
      </c>
      <c r="J28954" s="5">
        <v>0</v>
      </c>
      <c r="K28954" s="5">
        <v>0</v>
      </c>
    </row>
    <row r="28955" spans="1:11" x14ac:dyDescent="0.25">
      <c r="A28955" s="5">
        <f>28948</f>
      </c>
      <c r="B28955" s="5" t="s">
        <v>28963</v>
      </c>
      <c r="C28955" s="5">
        <v>99.7</v>
      </c>
      <c r="D28955" s="5">
        <v>0.1</v>
      </c>
      <c r="E28955" s="5">
        <v>99.9</v>
      </c>
      <c r="F28955" s="5">
        <v>198.5</v>
      </c>
      <c r="G28955" s="5">
        <v>98.9</v>
      </c>
      <c r="H28955" s="5">
        <v>98.7</v>
      </c>
      <c r="I28955" s="5">
        <v>0</v>
      </c>
      <c r="J28955" s="5">
        <v>0</v>
      </c>
      <c r="K28955" s="5">
        <v>0</v>
      </c>
    </row>
    <row r="28956" spans="1:11" x14ac:dyDescent="0.25">
      <c r="A28956" s="5">
        <f>28949</f>
      </c>
      <c r="B28956" s="5" t="s">
        <v>28964</v>
      </c>
      <c r="C28956" s="5">
        <v>99.2</v>
      </c>
      <c r="D28956" s="5">
        <v>0.1</v>
      </c>
      <c r="E28956" s="5">
        <v>99.3</v>
      </c>
      <c r="F28956" s="5">
        <v>198</v>
      </c>
      <c r="G28956" s="5">
        <v>98.8</v>
      </c>
      <c r="H28956" s="5">
        <v>98.7</v>
      </c>
      <c r="I28956" s="5">
        <v>0</v>
      </c>
      <c r="J28956" s="5">
        <v>0</v>
      </c>
      <c r="K28956" s="5">
        <v>0</v>
      </c>
    </row>
    <row r="28957" spans="1:11" x14ac:dyDescent="0.25">
      <c r="A28957" s="5">
        <f>28950</f>
      </c>
      <c r="B28957" s="5" t="s">
        <v>28965</v>
      </c>
      <c r="C28957" s="5">
        <v>99.2</v>
      </c>
      <c r="D28957" s="5">
        <v>0.1</v>
      </c>
      <c r="E28957" s="5">
        <v>99.3</v>
      </c>
      <c r="F28957" s="5">
        <v>198</v>
      </c>
      <c r="G28957" s="5">
        <v>98.8</v>
      </c>
      <c r="H28957" s="5">
        <v>98.7</v>
      </c>
      <c r="I28957" s="5">
        <v>0</v>
      </c>
      <c r="J28957" s="5">
        <v>0</v>
      </c>
      <c r="K28957" s="5">
        <v>0</v>
      </c>
    </row>
    <row r="28958" spans="1:11" x14ac:dyDescent="0.25">
      <c r="A28958" s="5">
        <f>28951</f>
      </c>
      <c r="B28958" s="5" t="s">
        <v>28966</v>
      </c>
      <c r="C28958" s="5">
        <v>99.7</v>
      </c>
      <c r="D28958" s="5">
        <v>0.1</v>
      </c>
      <c r="E28958" s="5">
        <v>99.9</v>
      </c>
      <c r="F28958" s="5">
        <v>198.6</v>
      </c>
      <c r="G28958" s="5">
        <v>99.1</v>
      </c>
      <c r="H28958" s="5">
        <v>99</v>
      </c>
      <c r="I28958" s="5">
        <v>0</v>
      </c>
      <c r="J28958" s="5">
        <v>0</v>
      </c>
      <c r="K28958" s="5">
        <v>0</v>
      </c>
    </row>
    <row r="28959" spans="1:11" x14ac:dyDescent="0.25">
      <c r="A28959" s="5">
        <f>28952</f>
      </c>
      <c r="B28959" s="5" t="s">
        <v>28967</v>
      </c>
      <c r="C28959" s="5">
        <v>99.7</v>
      </c>
      <c r="D28959" s="5">
        <v>0.1</v>
      </c>
      <c r="E28959" s="5">
        <v>99.9</v>
      </c>
      <c r="F28959" s="5">
        <v>198.6</v>
      </c>
      <c r="G28959" s="5">
        <v>99.1</v>
      </c>
      <c r="H28959" s="5">
        <v>99</v>
      </c>
      <c r="I28959" s="5">
        <v>0</v>
      </c>
      <c r="J28959" s="5">
        <v>0</v>
      </c>
      <c r="K28959" s="5">
        <v>0</v>
      </c>
    </row>
    <row r="28960" spans="1:11" x14ac:dyDescent="0.25">
      <c r="A28960" s="5">
        <f>28953</f>
      </c>
      <c r="B28960" s="5" t="s">
        <v>28968</v>
      </c>
      <c r="C28960" s="5">
        <v>99.7</v>
      </c>
      <c r="D28960" s="5">
        <v>0.1</v>
      </c>
      <c r="E28960" s="5">
        <v>99.9</v>
      </c>
      <c r="F28960" s="5">
        <v>198.6</v>
      </c>
      <c r="G28960" s="5">
        <v>99.1</v>
      </c>
      <c r="H28960" s="5">
        <v>99</v>
      </c>
      <c r="I28960" s="5">
        <v>0</v>
      </c>
      <c r="J28960" s="5">
        <v>0</v>
      </c>
      <c r="K28960" s="5">
        <v>0</v>
      </c>
    </row>
    <row r="28961" spans="1:11" x14ac:dyDescent="0.25">
      <c r="A28961" s="5">
        <f>28954</f>
      </c>
      <c r="B28961" s="5" t="s">
        <v>28969</v>
      </c>
      <c r="C28961" s="5">
        <v>99.7</v>
      </c>
      <c r="D28961" s="5">
        <v>0.1</v>
      </c>
      <c r="E28961" s="5">
        <v>99.9</v>
      </c>
      <c r="F28961" s="5">
        <v>198.6</v>
      </c>
      <c r="G28961" s="5">
        <v>99.1</v>
      </c>
      <c r="H28961" s="5">
        <v>99</v>
      </c>
      <c r="I28961" s="5">
        <v>0</v>
      </c>
      <c r="J28961" s="5">
        <v>0</v>
      </c>
      <c r="K28961" s="5">
        <v>0</v>
      </c>
    </row>
    <row r="28962" spans="1:11" x14ac:dyDescent="0.25">
      <c r="A28962" s="5">
        <f>28955</f>
      </c>
      <c r="B28962" s="5" t="s">
        <v>28970</v>
      </c>
      <c r="C28962" s="5">
        <v>99.2</v>
      </c>
      <c r="D28962" s="5">
        <v>0.1</v>
      </c>
      <c r="E28962" s="5">
        <v>99.3</v>
      </c>
      <c r="F28962" s="5">
        <v>197.2</v>
      </c>
      <c r="G28962" s="5">
        <v>98.3</v>
      </c>
      <c r="H28962" s="5">
        <v>98.2</v>
      </c>
      <c r="I28962" s="5">
        <v>0</v>
      </c>
      <c r="J28962" s="5">
        <v>0</v>
      </c>
      <c r="K28962" s="5">
        <v>0</v>
      </c>
    </row>
    <row r="28963" spans="1:11" x14ac:dyDescent="0.25">
      <c r="A28963" s="5">
        <f>28956</f>
      </c>
      <c r="B28963" s="5" t="s">
        <v>28971</v>
      </c>
      <c r="C28963" s="5">
        <v>99.2</v>
      </c>
      <c r="D28963" s="5">
        <v>0.1</v>
      </c>
      <c r="E28963" s="5">
        <v>99.3</v>
      </c>
      <c r="F28963" s="5">
        <v>197.2</v>
      </c>
      <c r="G28963" s="5">
        <v>98.3</v>
      </c>
      <c r="H28963" s="5">
        <v>98.2</v>
      </c>
      <c r="I28963" s="5">
        <v>0</v>
      </c>
      <c r="J28963" s="5">
        <v>0</v>
      </c>
      <c r="K28963" s="5">
        <v>0</v>
      </c>
    </row>
    <row r="28964" spans="1:11" x14ac:dyDescent="0.25">
      <c r="A28964" s="5">
        <f>28957</f>
      </c>
      <c r="B28964" s="5" t="s">
        <v>28972</v>
      </c>
      <c r="C28964" s="5">
        <v>99.1</v>
      </c>
      <c r="D28964" s="5">
        <v>0.1</v>
      </c>
      <c r="E28964" s="5">
        <v>99.2</v>
      </c>
      <c r="F28964" s="5">
        <v>198.1</v>
      </c>
      <c r="G28964" s="5">
        <v>98.9</v>
      </c>
      <c r="H28964" s="5">
        <v>98.7</v>
      </c>
      <c r="I28964" s="5">
        <v>0</v>
      </c>
      <c r="J28964" s="5">
        <v>0</v>
      </c>
      <c r="K28964" s="5">
        <v>0</v>
      </c>
    </row>
    <row r="28965" spans="1:11" x14ac:dyDescent="0.25">
      <c r="A28965" s="5">
        <f>28958</f>
      </c>
      <c r="B28965" s="5" t="s">
        <v>28973</v>
      </c>
      <c r="C28965" s="5">
        <v>99.1</v>
      </c>
      <c r="D28965" s="5">
        <v>0.1</v>
      </c>
      <c r="E28965" s="5">
        <v>99.2</v>
      </c>
      <c r="F28965" s="5">
        <v>198.1</v>
      </c>
      <c r="G28965" s="5">
        <v>98.9</v>
      </c>
      <c r="H28965" s="5">
        <v>98.7</v>
      </c>
      <c r="I28965" s="5">
        <v>0</v>
      </c>
      <c r="J28965" s="5">
        <v>0</v>
      </c>
      <c r="K28965" s="5">
        <v>0</v>
      </c>
    </row>
    <row r="28966" spans="1:11" x14ac:dyDescent="0.25">
      <c r="A28966" s="5">
        <f>28959</f>
      </c>
      <c r="B28966" s="5" t="s">
        <v>28974</v>
      </c>
      <c r="C28966" s="5">
        <v>99</v>
      </c>
      <c r="D28966" s="5">
        <v>0.1</v>
      </c>
      <c r="E28966" s="5">
        <v>99.2</v>
      </c>
      <c r="F28966" s="5">
        <v>198</v>
      </c>
      <c r="G28966" s="5">
        <v>98.8</v>
      </c>
      <c r="H28966" s="5">
        <v>98.6</v>
      </c>
      <c r="I28966" s="5">
        <v>0</v>
      </c>
      <c r="J28966" s="5">
        <v>0</v>
      </c>
      <c r="K28966" s="5">
        <v>0</v>
      </c>
    </row>
    <row r="28967" spans="1:11" x14ac:dyDescent="0.25">
      <c r="A28967" s="5">
        <f>28960</f>
      </c>
      <c r="B28967" s="5" t="s">
        <v>28975</v>
      </c>
      <c r="C28967" s="5">
        <v>99</v>
      </c>
      <c r="D28967" s="5">
        <v>0.1</v>
      </c>
      <c r="E28967" s="5">
        <v>99.2</v>
      </c>
      <c r="F28967" s="5">
        <v>198</v>
      </c>
      <c r="G28967" s="5">
        <v>98.8</v>
      </c>
      <c r="H28967" s="5">
        <v>98.6</v>
      </c>
      <c r="I28967" s="5">
        <v>0</v>
      </c>
      <c r="J28967" s="5">
        <v>0</v>
      </c>
      <c r="K28967" s="5">
        <v>0</v>
      </c>
    </row>
    <row r="28968" spans="1:11" x14ac:dyDescent="0.25">
      <c r="A28968" s="5">
        <f>28961</f>
      </c>
      <c r="B28968" s="5" t="s">
        <v>28976</v>
      </c>
      <c r="C28968" s="5">
        <v>98.8</v>
      </c>
      <c r="D28968" s="5">
        <v>0.1</v>
      </c>
      <c r="E28968" s="5">
        <v>98.9</v>
      </c>
      <c r="F28968" s="5">
        <v>198</v>
      </c>
      <c r="G28968" s="5">
        <v>98.7</v>
      </c>
      <c r="H28968" s="5">
        <v>98.5</v>
      </c>
      <c r="I28968" s="5">
        <v>0</v>
      </c>
      <c r="J28968" s="5">
        <v>0</v>
      </c>
      <c r="K28968" s="5">
        <v>0</v>
      </c>
    </row>
    <row r="28969" spans="1:11" x14ac:dyDescent="0.25">
      <c r="A28969" s="5">
        <f>28962</f>
      </c>
      <c r="B28969" s="5" t="s">
        <v>28977</v>
      </c>
      <c r="C28969" s="5">
        <v>98.8</v>
      </c>
      <c r="D28969" s="5">
        <v>0.1</v>
      </c>
      <c r="E28969" s="5">
        <v>98.9</v>
      </c>
      <c r="F28969" s="5">
        <v>198</v>
      </c>
      <c r="G28969" s="5">
        <v>98.7</v>
      </c>
      <c r="H28969" s="5">
        <v>98.5</v>
      </c>
      <c r="I28969" s="5">
        <v>0</v>
      </c>
      <c r="J28969" s="5">
        <v>0</v>
      </c>
      <c r="K28969" s="5">
        <v>0</v>
      </c>
    </row>
    <row r="28970" spans="1:11" x14ac:dyDescent="0.25">
      <c r="A28970" s="5">
        <f>28963</f>
      </c>
      <c r="B28970" s="5" t="s">
        <v>28978</v>
      </c>
      <c r="C28970" s="5">
        <v>98.8</v>
      </c>
      <c r="D28970" s="5">
        <v>0.1</v>
      </c>
      <c r="E28970" s="5">
        <v>98.9</v>
      </c>
      <c r="F28970" s="5">
        <v>198</v>
      </c>
      <c r="G28970" s="5">
        <v>98.7</v>
      </c>
      <c r="H28970" s="5">
        <v>98.5</v>
      </c>
      <c r="I28970" s="5">
        <v>0</v>
      </c>
      <c r="J28970" s="5">
        <v>0</v>
      </c>
      <c r="K28970" s="5">
        <v>0</v>
      </c>
    </row>
    <row r="28971" spans="1:11" x14ac:dyDescent="0.25">
      <c r="A28971" s="5">
        <f>28964</f>
      </c>
      <c r="B28971" s="5" t="s">
        <v>28979</v>
      </c>
      <c r="C28971" s="5">
        <v>98.8</v>
      </c>
      <c r="D28971" s="5">
        <v>0.1</v>
      </c>
      <c r="E28971" s="5">
        <v>98.9</v>
      </c>
      <c r="F28971" s="5">
        <v>198</v>
      </c>
      <c r="G28971" s="5">
        <v>98.7</v>
      </c>
      <c r="H28971" s="5">
        <v>98.8</v>
      </c>
      <c r="I28971" s="5">
        <v>0</v>
      </c>
      <c r="J28971" s="5">
        <v>0</v>
      </c>
      <c r="K28971" s="5">
        <v>0</v>
      </c>
    </row>
    <row r="28972" spans="1:11" x14ac:dyDescent="0.25">
      <c r="A28972" s="5">
        <f>28965</f>
      </c>
      <c r="B28972" s="5" t="s">
        <v>28980</v>
      </c>
      <c r="C28972" s="5">
        <v>98.9</v>
      </c>
      <c r="D28972" s="5">
        <v>0.1</v>
      </c>
      <c r="E28972" s="5">
        <v>99.1</v>
      </c>
      <c r="F28972" s="5">
        <v>198.3</v>
      </c>
      <c r="G28972" s="5">
        <v>98.9</v>
      </c>
      <c r="H28972" s="5">
        <v>98.8</v>
      </c>
      <c r="I28972" s="5">
        <v>0</v>
      </c>
      <c r="J28972" s="5">
        <v>0</v>
      </c>
      <c r="K28972" s="5">
        <v>0</v>
      </c>
    </row>
    <row r="28973" spans="1:11" x14ac:dyDescent="0.25">
      <c r="A28973" s="5">
        <f>28966</f>
      </c>
      <c r="B28973" s="5" t="s">
        <v>28981</v>
      </c>
      <c r="C28973" s="5">
        <v>98.9</v>
      </c>
      <c r="D28973" s="5">
        <v>0.1</v>
      </c>
      <c r="E28973" s="5">
        <v>99.1</v>
      </c>
      <c r="F28973" s="5">
        <v>198.3</v>
      </c>
      <c r="G28973" s="5">
        <v>98.9</v>
      </c>
      <c r="H28973" s="5">
        <v>98.8</v>
      </c>
      <c r="I28973" s="5">
        <v>0</v>
      </c>
      <c r="J28973" s="5">
        <v>0</v>
      </c>
      <c r="K28973" s="5">
        <v>0</v>
      </c>
    </row>
    <row r="28974" spans="1:11" x14ac:dyDescent="0.25">
      <c r="A28974" s="5">
        <f>28967</f>
      </c>
      <c r="B28974" s="5" t="s">
        <v>28982</v>
      </c>
      <c r="C28974" s="5">
        <v>99.4</v>
      </c>
      <c r="D28974" s="5">
        <v>0.1</v>
      </c>
      <c r="E28974" s="5">
        <v>99.5</v>
      </c>
      <c r="F28974" s="5">
        <v>199.2</v>
      </c>
      <c r="G28974" s="5">
        <v>99.4</v>
      </c>
      <c r="H28974" s="5">
        <v>99.2</v>
      </c>
      <c r="I28974" s="5">
        <v>0</v>
      </c>
      <c r="J28974" s="5">
        <v>0</v>
      </c>
      <c r="K28974" s="5">
        <v>0</v>
      </c>
    </row>
    <row r="28975" spans="1:11" x14ac:dyDescent="0.25">
      <c r="A28975" s="5">
        <f>28968</f>
      </c>
      <c r="B28975" s="5" t="s">
        <v>28983</v>
      </c>
      <c r="C28975" s="5">
        <v>99.4</v>
      </c>
      <c r="D28975" s="5">
        <v>0.1</v>
      </c>
      <c r="E28975" s="5">
        <v>99.5</v>
      </c>
      <c r="F28975" s="5">
        <v>199.2</v>
      </c>
      <c r="G28975" s="5">
        <v>99.4</v>
      </c>
      <c r="H28975" s="5">
        <v>99</v>
      </c>
      <c r="I28975" s="5">
        <v>0</v>
      </c>
      <c r="J28975" s="5">
        <v>0</v>
      </c>
      <c r="K28975" s="5">
        <v>0</v>
      </c>
    </row>
    <row r="28976" spans="1:11" x14ac:dyDescent="0.25">
      <c r="A28976" s="5">
        <f>28969</f>
      </c>
      <c r="B28976" s="5" t="s">
        <v>28984</v>
      </c>
      <c r="C28976" s="5">
        <v>99.4</v>
      </c>
      <c r="D28976" s="5">
        <v>0.1</v>
      </c>
      <c r="E28976" s="5">
        <v>99.5</v>
      </c>
      <c r="F28976" s="5">
        <v>198.7</v>
      </c>
      <c r="G28976" s="5">
        <v>99.2</v>
      </c>
      <c r="H28976" s="5">
        <v>99</v>
      </c>
      <c r="I28976" s="5">
        <v>0</v>
      </c>
      <c r="J28976" s="5">
        <v>0</v>
      </c>
      <c r="K28976" s="5">
        <v>0</v>
      </c>
    </row>
    <row r="28977" spans="1:11" x14ac:dyDescent="0.25">
      <c r="A28977" s="5">
        <f>28970</f>
      </c>
      <c r="B28977" s="5" t="s">
        <v>28985</v>
      </c>
      <c r="C28977" s="5">
        <v>99.4</v>
      </c>
      <c r="D28977" s="5">
        <v>0.1</v>
      </c>
      <c r="E28977" s="5">
        <v>99.5</v>
      </c>
      <c r="F28977" s="5">
        <v>198.7</v>
      </c>
      <c r="G28977" s="5">
        <v>99.2</v>
      </c>
      <c r="H28977" s="5">
        <v>99</v>
      </c>
      <c r="I28977" s="5">
        <v>0</v>
      </c>
      <c r="J28977" s="5">
        <v>0</v>
      </c>
      <c r="K28977" s="5">
        <v>0</v>
      </c>
    </row>
    <row r="28978" spans="1:11" x14ac:dyDescent="0.25">
      <c r="A28978" s="5">
        <f>28971</f>
      </c>
      <c r="B28978" s="5" t="s">
        <v>28986</v>
      </c>
      <c r="C28978" s="5">
        <v>99.2</v>
      </c>
      <c r="D28978" s="5">
        <v>0.1</v>
      </c>
      <c r="E28978" s="5">
        <v>99.4</v>
      </c>
      <c r="F28978" s="5">
        <v>198.4</v>
      </c>
      <c r="G28978" s="5">
        <v>99</v>
      </c>
      <c r="H28978" s="5">
        <v>98.9</v>
      </c>
      <c r="I28978" s="5">
        <v>0</v>
      </c>
      <c r="J28978" s="5">
        <v>0</v>
      </c>
      <c r="K28978" s="5">
        <v>0</v>
      </c>
    </row>
    <row r="28979" spans="1:11" x14ac:dyDescent="0.25">
      <c r="A28979" s="5">
        <f>28972</f>
      </c>
      <c r="B28979" s="5" t="s">
        <v>28987</v>
      </c>
      <c r="C28979" s="5">
        <v>99.2</v>
      </c>
      <c r="D28979" s="5">
        <v>0.1</v>
      </c>
      <c r="E28979" s="5">
        <v>99.4</v>
      </c>
      <c r="F28979" s="5">
        <v>198.4</v>
      </c>
      <c r="G28979" s="5">
        <v>99</v>
      </c>
      <c r="H28979" s="5">
        <v>98.9</v>
      </c>
      <c r="I28979" s="5">
        <v>0</v>
      </c>
      <c r="J28979" s="5">
        <v>0</v>
      </c>
      <c r="K28979" s="5">
        <v>0</v>
      </c>
    </row>
    <row r="28980" spans="1:11" x14ac:dyDescent="0.25">
      <c r="A28980" s="5">
        <f>28973</f>
      </c>
      <c r="B28980" s="5" t="s">
        <v>28988</v>
      </c>
      <c r="C28980" s="5">
        <v>99.2</v>
      </c>
      <c r="D28980" s="5">
        <v>0.1</v>
      </c>
      <c r="E28980" s="5">
        <v>99.4</v>
      </c>
      <c r="F28980" s="5">
        <v>198.4</v>
      </c>
      <c r="G28980" s="5">
        <v>99</v>
      </c>
      <c r="H28980" s="5">
        <v>98.9</v>
      </c>
      <c r="I28980" s="5">
        <v>0</v>
      </c>
      <c r="J28980" s="5">
        <v>0</v>
      </c>
      <c r="K28980" s="5">
        <v>0</v>
      </c>
    </row>
    <row r="28981" spans="1:11" x14ac:dyDescent="0.25">
      <c r="A28981" s="5">
        <f>28974</f>
      </c>
      <c r="B28981" s="5" t="s">
        <v>28989</v>
      </c>
      <c r="C28981" s="5">
        <v>99.2</v>
      </c>
      <c r="D28981" s="5">
        <v>0.1</v>
      </c>
      <c r="E28981" s="5">
        <v>99.3</v>
      </c>
      <c r="F28981" s="5">
        <v>198.3</v>
      </c>
      <c r="G28981" s="5">
        <v>98.9</v>
      </c>
      <c r="H28981" s="5">
        <v>98.7</v>
      </c>
      <c r="I28981" s="5">
        <v>0</v>
      </c>
      <c r="J28981" s="5">
        <v>0</v>
      </c>
      <c r="K28981" s="5">
        <v>0</v>
      </c>
    </row>
    <row r="28982" spans="1:11" x14ac:dyDescent="0.25">
      <c r="A28982" s="5">
        <f>28975</f>
      </c>
      <c r="B28982" s="5" t="s">
        <v>28990</v>
      </c>
      <c r="C28982" s="5">
        <v>99.2</v>
      </c>
      <c r="D28982" s="5">
        <v>0.1</v>
      </c>
      <c r="E28982" s="5">
        <v>99.3</v>
      </c>
      <c r="F28982" s="5">
        <v>198.3</v>
      </c>
      <c r="G28982" s="5">
        <v>98.9</v>
      </c>
      <c r="H28982" s="5">
        <v>98.7</v>
      </c>
      <c r="I28982" s="5">
        <v>0</v>
      </c>
      <c r="J28982" s="5">
        <v>0</v>
      </c>
      <c r="K28982" s="5">
        <v>0</v>
      </c>
    </row>
    <row r="28983" spans="1:11" x14ac:dyDescent="0.25">
      <c r="A28983" s="5">
        <f>28976</f>
      </c>
      <c r="B28983" s="5" t="s">
        <v>28991</v>
      </c>
      <c r="C28983" s="5">
        <v>97.9</v>
      </c>
      <c r="D28983" s="5">
        <v>0.1</v>
      </c>
      <c r="E28983" s="5">
        <v>98</v>
      </c>
      <c r="F28983" s="5">
        <v>195.2</v>
      </c>
      <c r="G28983" s="5">
        <v>97.6</v>
      </c>
      <c r="H28983" s="5">
        <v>97.7</v>
      </c>
      <c r="I28983" s="5">
        <v>0</v>
      </c>
      <c r="J28983" s="5">
        <v>0</v>
      </c>
      <c r="K28983" s="5">
        <v>0</v>
      </c>
    </row>
    <row r="28984" spans="1:11" x14ac:dyDescent="0.25">
      <c r="A28984" s="5">
        <f>28977</f>
      </c>
      <c r="B28984" s="5" t="s">
        <v>28992</v>
      </c>
      <c r="C28984" s="5">
        <v>97.9</v>
      </c>
      <c r="D28984" s="5">
        <v>0.1</v>
      </c>
      <c r="E28984" s="5">
        <v>98</v>
      </c>
      <c r="F28984" s="5">
        <v>195.2</v>
      </c>
      <c r="G28984" s="5">
        <v>97.6</v>
      </c>
      <c r="H28984" s="5">
        <v>97.7</v>
      </c>
      <c r="I28984" s="5">
        <v>0</v>
      </c>
      <c r="J28984" s="5">
        <v>0</v>
      </c>
      <c r="K28984" s="5">
        <v>0</v>
      </c>
    </row>
    <row r="28985" spans="1:11" x14ac:dyDescent="0.25">
      <c r="A28985" s="5">
        <f>28978</f>
      </c>
      <c r="B28985" s="5" t="s">
        <v>28993</v>
      </c>
      <c r="C28985" s="5">
        <v>98.9</v>
      </c>
      <c r="D28985" s="5">
        <v>0.1</v>
      </c>
      <c r="E28985" s="5">
        <v>98.9</v>
      </c>
      <c r="F28985" s="5">
        <v>195.9</v>
      </c>
      <c r="G28985" s="5">
        <v>97.9</v>
      </c>
      <c r="H28985" s="5">
        <v>97.9</v>
      </c>
      <c r="I28985" s="5">
        <v>0</v>
      </c>
      <c r="J28985" s="5">
        <v>0</v>
      </c>
      <c r="K28985" s="5">
        <v>0</v>
      </c>
    </row>
    <row r="28986" spans="1:11" x14ac:dyDescent="0.25">
      <c r="A28986" s="5">
        <f>28979</f>
      </c>
      <c r="B28986" s="5" t="s">
        <v>28994</v>
      </c>
      <c r="C28986" s="5">
        <v>98.9</v>
      </c>
      <c r="D28986" s="5">
        <v>0.1</v>
      </c>
      <c r="E28986" s="5">
        <v>98.9</v>
      </c>
      <c r="F28986" s="5">
        <v>195.9</v>
      </c>
      <c r="G28986" s="5">
        <v>97.9</v>
      </c>
      <c r="H28986" s="5">
        <v>97.9</v>
      </c>
      <c r="I28986" s="5">
        <v>0</v>
      </c>
      <c r="J28986" s="5">
        <v>0</v>
      </c>
      <c r="K28986" s="5">
        <v>0</v>
      </c>
    </row>
    <row r="28987" spans="1:11" x14ac:dyDescent="0.25">
      <c r="A28987" s="5">
        <f>28980</f>
      </c>
      <c r="B28987" s="5" t="s">
        <v>28995</v>
      </c>
      <c r="C28987" s="5">
        <v>98</v>
      </c>
      <c r="D28987" s="5">
        <v>0.1</v>
      </c>
      <c r="E28987" s="5">
        <v>98.1</v>
      </c>
      <c r="F28987" s="5">
        <v>195.4</v>
      </c>
      <c r="G28987" s="5">
        <v>97.5</v>
      </c>
      <c r="H28987" s="5">
        <v>97.4</v>
      </c>
      <c r="I28987" s="5">
        <v>0</v>
      </c>
      <c r="J28987" s="5">
        <v>0</v>
      </c>
      <c r="K28987" s="5">
        <v>0</v>
      </c>
    </row>
    <row r="28988" spans="1:11" x14ac:dyDescent="0.25">
      <c r="A28988" s="5">
        <f>28981</f>
      </c>
      <c r="B28988" s="5" t="s">
        <v>28996</v>
      </c>
      <c r="C28988" s="5">
        <v>98</v>
      </c>
      <c r="D28988" s="5">
        <v>0.1</v>
      </c>
      <c r="E28988" s="5">
        <v>98.1</v>
      </c>
      <c r="F28988" s="5">
        <v>195.4</v>
      </c>
      <c r="G28988" s="5">
        <v>97.5</v>
      </c>
      <c r="H28988" s="5">
        <v>97.4</v>
      </c>
      <c r="I28988" s="5">
        <v>0</v>
      </c>
      <c r="J28988" s="5">
        <v>0</v>
      </c>
      <c r="K28988" s="5">
        <v>0</v>
      </c>
    </row>
    <row r="28989" spans="1:11" x14ac:dyDescent="0.25">
      <c r="A28989" s="5">
        <f>28982</f>
      </c>
      <c r="B28989" s="5" t="s">
        <v>28997</v>
      </c>
      <c r="C28989" s="5">
        <v>98</v>
      </c>
      <c r="D28989" s="5">
        <v>0.1</v>
      </c>
      <c r="E28989" s="5">
        <v>98.1</v>
      </c>
      <c r="F28989" s="5">
        <v>195.4</v>
      </c>
      <c r="G28989" s="5">
        <v>97.5</v>
      </c>
      <c r="H28989" s="5">
        <v>97.4</v>
      </c>
      <c r="I28989" s="5">
        <v>0</v>
      </c>
      <c r="J28989" s="5">
        <v>0</v>
      </c>
      <c r="K28989" s="5">
        <v>0</v>
      </c>
    </row>
    <row r="28990" spans="1:11" x14ac:dyDescent="0.25">
      <c r="A28990" s="5">
        <f>28983</f>
      </c>
      <c r="B28990" s="5" t="s">
        <v>28998</v>
      </c>
      <c r="C28990" s="5">
        <v>98</v>
      </c>
      <c r="D28990" s="5">
        <v>0.1</v>
      </c>
      <c r="E28990" s="5">
        <v>98.1</v>
      </c>
      <c r="F28990" s="5">
        <v>195.4</v>
      </c>
      <c r="G28990" s="5">
        <v>97.5</v>
      </c>
      <c r="H28990" s="5">
        <v>97.4</v>
      </c>
      <c r="I28990" s="5">
        <v>0</v>
      </c>
      <c r="J28990" s="5">
        <v>0</v>
      </c>
      <c r="K28990" s="5">
        <v>0</v>
      </c>
    </row>
    <row r="28991" spans="1:11" x14ac:dyDescent="0.25">
      <c r="A28991" s="5">
        <f>28984</f>
      </c>
      <c r="B28991" s="5" t="s">
        <v>28999</v>
      </c>
      <c r="C28991" s="5">
        <v>92.5</v>
      </c>
      <c r="D28991" s="5">
        <v>0.1</v>
      </c>
      <c r="E28991" s="5">
        <v>92.5</v>
      </c>
      <c r="F28991" s="5">
        <v>186.2</v>
      </c>
      <c r="G28991" s="5">
        <v>92.9</v>
      </c>
      <c r="H28991" s="5">
        <v>92.7</v>
      </c>
      <c r="I28991" s="5">
        <v>0</v>
      </c>
      <c r="J28991" s="5">
        <v>0</v>
      </c>
      <c r="K28991" s="5">
        <v>0</v>
      </c>
    </row>
    <row r="28992" spans="1:11" x14ac:dyDescent="0.25">
      <c r="A28992" s="5">
        <f>28985</f>
      </c>
      <c r="B28992" s="5" t="s">
        <v>29000</v>
      </c>
      <c r="C28992" s="5">
        <v>92.5</v>
      </c>
      <c r="D28992" s="5">
        <v>0.1</v>
      </c>
      <c r="E28992" s="5">
        <v>92.5</v>
      </c>
      <c r="F28992" s="5">
        <v>186.2</v>
      </c>
      <c r="G28992" s="5">
        <v>92.9</v>
      </c>
      <c r="H28992" s="5">
        <v>92.7</v>
      </c>
      <c r="I28992" s="5">
        <v>0</v>
      </c>
      <c r="J28992" s="5">
        <v>0</v>
      </c>
      <c r="K28992" s="5">
        <v>0</v>
      </c>
    </row>
    <row r="28993" spans="1:11" x14ac:dyDescent="0.25">
      <c r="A28993" s="5">
        <f>28986</f>
      </c>
      <c r="B28993" s="5" t="s">
        <v>29001</v>
      </c>
      <c r="C28993" s="5">
        <v>92.7</v>
      </c>
      <c r="D28993" s="5">
        <v>0.1</v>
      </c>
      <c r="E28993" s="5">
        <v>92.9</v>
      </c>
      <c r="F28993" s="5">
        <v>185.1</v>
      </c>
      <c r="G28993" s="5">
        <v>92.9</v>
      </c>
      <c r="H28993" s="5">
        <v>92.7</v>
      </c>
      <c r="I28993" s="5">
        <v>0</v>
      </c>
      <c r="J28993" s="5">
        <v>0</v>
      </c>
      <c r="K28993" s="5">
        <v>0</v>
      </c>
    </row>
    <row r="28994" spans="1:11" x14ac:dyDescent="0.25">
      <c r="A28994" s="5">
        <f>28987</f>
      </c>
      <c r="B28994" s="5" t="s">
        <v>29002</v>
      </c>
      <c r="C28994" s="5">
        <v>92.7</v>
      </c>
      <c r="D28994" s="5">
        <v>0.1</v>
      </c>
      <c r="E28994" s="5">
        <v>92.9</v>
      </c>
      <c r="F28994" s="5">
        <v>185.1</v>
      </c>
      <c r="G28994" s="5">
        <v>92.9</v>
      </c>
      <c r="H28994" s="5">
        <v>93.1</v>
      </c>
      <c r="I28994" s="5">
        <v>0</v>
      </c>
      <c r="J28994" s="5">
        <v>0</v>
      </c>
      <c r="K28994" s="5">
        <v>0</v>
      </c>
    </row>
    <row r="28995" spans="1:11" x14ac:dyDescent="0.25">
      <c r="A28995" s="5">
        <f>28988</f>
      </c>
      <c r="B28995" s="5" t="s">
        <v>29003</v>
      </c>
      <c r="C28995" s="5">
        <v>91.8</v>
      </c>
      <c r="D28995" s="5">
        <v>0.1</v>
      </c>
      <c r="E28995" s="5">
        <v>91.9</v>
      </c>
      <c r="F28995" s="5">
        <v>183.5</v>
      </c>
      <c r="G28995" s="5">
        <v>92.9</v>
      </c>
      <c r="H28995" s="5">
        <v>93.1</v>
      </c>
      <c r="I28995" s="5">
        <v>0</v>
      </c>
      <c r="J28995" s="5">
        <v>0</v>
      </c>
      <c r="K28995" s="5">
        <v>0</v>
      </c>
    </row>
    <row r="28996" spans="1:11" x14ac:dyDescent="0.25">
      <c r="A28996" s="5">
        <f>28989</f>
      </c>
      <c r="B28996" s="5" t="s">
        <v>29004</v>
      </c>
      <c r="C28996" s="5">
        <v>91.8</v>
      </c>
      <c r="D28996" s="5">
        <v>0.1</v>
      </c>
      <c r="E28996" s="5">
        <v>91.9</v>
      </c>
      <c r="F28996" s="5">
        <v>183.5</v>
      </c>
      <c r="G28996" s="5">
        <v>91.5</v>
      </c>
      <c r="H28996" s="5">
        <v>91.6</v>
      </c>
      <c r="I28996" s="5">
        <v>0</v>
      </c>
      <c r="J28996" s="5">
        <v>0</v>
      </c>
      <c r="K28996" s="5">
        <v>0</v>
      </c>
    </row>
    <row r="28997" spans="1:11" x14ac:dyDescent="0.25">
      <c r="A28997" s="5">
        <f>28990</f>
      </c>
      <c r="B28997" s="5" t="s">
        <v>29005</v>
      </c>
      <c r="C28997" s="5">
        <v>99.5</v>
      </c>
      <c r="D28997" s="5">
        <v>0.1</v>
      </c>
      <c r="E28997" s="5">
        <v>91.9</v>
      </c>
      <c r="F28997" s="5">
        <v>183.5</v>
      </c>
      <c r="G28997" s="5">
        <v>91.5</v>
      </c>
      <c r="H28997" s="5">
        <v>91.6</v>
      </c>
      <c r="I28997" s="5">
        <v>0</v>
      </c>
      <c r="J28997" s="5">
        <v>0</v>
      </c>
      <c r="K28997" s="5">
        <v>0</v>
      </c>
    </row>
    <row r="28998" spans="1:11" x14ac:dyDescent="0.25">
      <c r="A28998" s="5">
        <f>28991</f>
      </c>
      <c r="B28998" s="5" t="s">
        <v>29006</v>
      </c>
      <c r="C28998" s="5">
        <v>99.5</v>
      </c>
      <c r="D28998" s="5">
        <v>0.1</v>
      </c>
      <c r="E28998" s="5">
        <v>99.6</v>
      </c>
      <c r="F28998" s="5">
        <v>199</v>
      </c>
      <c r="G28998" s="5">
        <v>99.3</v>
      </c>
      <c r="H28998" s="5">
        <v>99.2</v>
      </c>
      <c r="I28998" s="5">
        <v>0</v>
      </c>
      <c r="J28998" s="5">
        <v>0</v>
      </c>
      <c r="K28998" s="5">
        <v>0</v>
      </c>
    </row>
    <row r="28999" spans="1:11" x14ac:dyDescent="0.25">
      <c r="A28999" s="5">
        <f>28992</f>
      </c>
      <c r="B28999" s="5" t="s">
        <v>29007</v>
      </c>
      <c r="C28999" s="5">
        <v>99.5</v>
      </c>
      <c r="D28999" s="5">
        <v>0.1</v>
      </c>
      <c r="E28999" s="5">
        <v>99.6</v>
      </c>
      <c r="F28999" s="5">
        <v>199</v>
      </c>
      <c r="G28999" s="5">
        <v>99.3</v>
      </c>
      <c r="H28999" s="5">
        <v>99.2</v>
      </c>
      <c r="I28999" s="5">
        <v>0</v>
      </c>
      <c r="J28999" s="5">
        <v>0</v>
      </c>
      <c r="K28999" s="5">
        <v>0</v>
      </c>
    </row>
    <row r="29000" spans="1:11" x14ac:dyDescent="0.25">
      <c r="A29000" s="5">
        <f>28993</f>
      </c>
      <c r="B29000" s="5" t="s">
        <v>29008</v>
      </c>
      <c r="C29000" s="5">
        <v>99.5</v>
      </c>
      <c r="D29000" s="5">
        <v>0.1</v>
      </c>
      <c r="E29000" s="5">
        <v>99.6</v>
      </c>
      <c r="F29000" s="5">
        <v>199</v>
      </c>
      <c r="G29000" s="5">
        <v>99.3</v>
      </c>
      <c r="H29000" s="5">
        <v>99.2</v>
      </c>
      <c r="I29000" s="5">
        <v>0</v>
      </c>
      <c r="J29000" s="5">
        <v>0</v>
      </c>
      <c r="K29000" s="5">
        <v>0</v>
      </c>
    </row>
    <row r="29001" spans="1:11" x14ac:dyDescent="0.25">
      <c r="A29001" s="5">
        <f>28994</f>
      </c>
      <c r="B29001" s="5" t="s">
        <v>29009</v>
      </c>
      <c r="C29001" s="5">
        <v>99.5</v>
      </c>
      <c r="D29001" s="5">
        <v>0.1</v>
      </c>
      <c r="E29001" s="5">
        <v>99.6</v>
      </c>
      <c r="F29001" s="5">
        <v>199</v>
      </c>
      <c r="G29001" s="5">
        <v>99.3</v>
      </c>
      <c r="H29001" s="5">
        <v>99.2</v>
      </c>
      <c r="I29001" s="5">
        <v>0</v>
      </c>
      <c r="J29001" s="5">
        <v>0</v>
      </c>
      <c r="K29001" s="5">
        <v>0</v>
      </c>
    </row>
    <row r="29002" spans="1:11" x14ac:dyDescent="0.25">
      <c r="A29002" s="5">
        <f>28995</f>
      </c>
      <c r="B29002" s="5" t="s">
        <v>29010</v>
      </c>
      <c r="C29002" s="5">
        <v>95.1</v>
      </c>
      <c r="D29002" s="5">
        <v>0.1</v>
      </c>
      <c r="E29002" s="5">
        <v>95.1</v>
      </c>
      <c r="F29002" s="5">
        <v>190.1</v>
      </c>
      <c r="G29002" s="5">
        <v>95.5</v>
      </c>
      <c r="H29002" s="5">
        <v>96</v>
      </c>
      <c r="I29002" s="5">
        <v>0</v>
      </c>
      <c r="J29002" s="5">
        <v>0</v>
      </c>
      <c r="K29002" s="5">
        <v>0</v>
      </c>
    </row>
    <row r="29003" spans="1:11" x14ac:dyDescent="0.25">
      <c r="A29003" s="5">
        <f>28996</f>
      </c>
      <c r="B29003" s="5" t="s">
        <v>29011</v>
      </c>
      <c r="C29003" s="5">
        <v>95.1</v>
      </c>
      <c r="D29003" s="5">
        <v>0.1</v>
      </c>
      <c r="E29003" s="5">
        <v>95.1</v>
      </c>
      <c r="F29003" s="5">
        <v>190.1</v>
      </c>
      <c r="G29003" s="5">
        <v>95.5</v>
      </c>
      <c r="H29003" s="5">
        <v>96</v>
      </c>
      <c r="I29003" s="5">
        <v>0</v>
      </c>
      <c r="J29003" s="5">
        <v>0</v>
      </c>
      <c r="K29003" s="5">
        <v>0</v>
      </c>
    </row>
    <row r="29004" spans="1:11" x14ac:dyDescent="0.25">
      <c r="A29004" s="5">
        <f>28997</f>
      </c>
      <c r="B29004" s="5" t="s">
        <v>29012</v>
      </c>
      <c r="C29004" s="5">
        <v>101.2</v>
      </c>
      <c r="D29004" s="5">
        <v>0.1</v>
      </c>
      <c r="E29004" s="5">
        <v>101.4</v>
      </c>
      <c r="F29004" s="5">
        <v>201.6</v>
      </c>
      <c r="G29004" s="5">
        <v>100.7</v>
      </c>
      <c r="H29004" s="5">
        <v>100.7</v>
      </c>
      <c r="I29004" s="5">
        <v>0</v>
      </c>
      <c r="J29004" s="5">
        <v>0</v>
      </c>
      <c r="K29004" s="5">
        <v>0</v>
      </c>
    </row>
    <row r="29005" spans="1:11" x14ac:dyDescent="0.25">
      <c r="A29005" s="5">
        <f>28998</f>
      </c>
      <c r="B29005" s="5" t="s">
        <v>29013</v>
      </c>
      <c r="C29005" s="5">
        <v>101.2</v>
      </c>
      <c r="D29005" s="5">
        <v>0.1</v>
      </c>
      <c r="E29005" s="5">
        <v>101.4</v>
      </c>
      <c r="F29005" s="5">
        <v>201.6</v>
      </c>
      <c r="G29005" s="5">
        <v>100.7</v>
      </c>
      <c r="H29005" s="5">
        <v>100.7</v>
      </c>
      <c r="I29005" s="5">
        <v>0</v>
      </c>
      <c r="J29005" s="5">
        <v>0</v>
      </c>
      <c r="K29005" s="5">
        <v>0</v>
      </c>
    </row>
    <row r="29006" spans="1:11" x14ac:dyDescent="0.25">
      <c r="A29006" s="5">
        <f>28999</f>
      </c>
      <c r="B29006" s="5" t="s">
        <v>29014</v>
      </c>
      <c r="C29006" s="5">
        <v>102</v>
      </c>
      <c r="D29006" s="5">
        <v>0.1</v>
      </c>
      <c r="E29006" s="5">
        <v>102.1</v>
      </c>
      <c r="F29006" s="5">
        <v>202.2</v>
      </c>
      <c r="G29006" s="5">
        <v>101</v>
      </c>
      <c r="H29006" s="5">
        <v>101</v>
      </c>
      <c r="I29006" s="5">
        <v>0</v>
      </c>
      <c r="J29006" s="5">
        <v>0</v>
      </c>
      <c r="K29006" s="5">
        <v>0</v>
      </c>
    </row>
    <row r="29007" spans="1:11" x14ac:dyDescent="0.25">
      <c r="A29007" s="5">
        <f>29000</f>
      </c>
      <c r="B29007" s="5" t="s">
        <v>29015</v>
      </c>
      <c r="C29007" s="5">
        <v>102</v>
      </c>
      <c r="D29007" s="5">
        <v>0.1</v>
      </c>
      <c r="E29007" s="5">
        <v>102.1</v>
      </c>
      <c r="F29007" s="5">
        <v>202.2</v>
      </c>
      <c r="G29007" s="5">
        <v>101</v>
      </c>
      <c r="H29007" s="5">
        <v>101</v>
      </c>
      <c r="I29007" s="5">
        <v>0</v>
      </c>
      <c r="J29007" s="5">
        <v>0</v>
      </c>
      <c r="K29007" s="5">
        <v>0</v>
      </c>
    </row>
    <row r="29008" spans="1:11" x14ac:dyDescent="0.25">
      <c r="A29008" s="5">
        <f>29001</f>
      </c>
      <c r="B29008" s="5" t="s">
        <v>29016</v>
      </c>
      <c r="C29008" s="5">
        <v>94.2</v>
      </c>
      <c r="D29008" s="5">
        <v>0.1</v>
      </c>
      <c r="E29008" s="5">
        <v>94.3</v>
      </c>
      <c r="F29008" s="5">
        <v>187.9</v>
      </c>
      <c r="G29008" s="5">
        <v>93.7</v>
      </c>
      <c r="H29008" s="5">
        <v>93.5</v>
      </c>
      <c r="I29008" s="5">
        <v>0</v>
      </c>
      <c r="J29008" s="5">
        <v>0</v>
      </c>
      <c r="K29008" s="5">
        <v>0</v>
      </c>
    </row>
    <row r="29009" spans="1:11" x14ac:dyDescent="0.25">
      <c r="A29009" s="5">
        <f>29002</f>
      </c>
      <c r="B29009" s="5" t="s">
        <v>29017</v>
      </c>
      <c r="C29009" s="5">
        <v>94.2</v>
      </c>
      <c r="D29009" s="5">
        <v>0.1</v>
      </c>
      <c r="E29009" s="5">
        <v>94.3</v>
      </c>
      <c r="F29009" s="5">
        <v>187.9</v>
      </c>
      <c r="G29009" s="5">
        <v>93.7</v>
      </c>
      <c r="H29009" s="5">
        <v>93.5</v>
      </c>
      <c r="I29009" s="5">
        <v>0</v>
      </c>
      <c r="J29009" s="5">
        <v>0</v>
      </c>
      <c r="K29009" s="5">
        <v>0</v>
      </c>
    </row>
    <row r="29010" spans="1:11" x14ac:dyDescent="0.25">
      <c r="A29010" s="5">
        <f>29003</f>
      </c>
      <c r="B29010" s="5" t="s">
        <v>29018</v>
      </c>
      <c r="C29010" s="5">
        <v>94.2</v>
      </c>
      <c r="D29010" s="5">
        <v>0.1</v>
      </c>
      <c r="E29010" s="5">
        <v>94.3</v>
      </c>
      <c r="F29010" s="5">
        <v>187.9</v>
      </c>
      <c r="G29010" s="5">
        <v>93.7</v>
      </c>
      <c r="H29010" s="5">
        <v>93.5</v>
      </c>
      <c r="I29010" s="5">
        <v>0</v>
      </c>
      <c r="J29010" s="5">
        <v>0</v>
      </c>
      <c r="K29010" s="5">
        <v>0</v>
      </c>
    </row>
    <row r="29011" spans="1:11" x14ac:dyDescent="0.25">
      <c r="A29011" s="5">
        <f>29004</f>
      </c>
      <c r="B29011" s="5" t="s">
        <v>29019</v>
      </c>
      <c r="C29011" s="5">
        <v>100.8</v>
      </c>
      <c r="D29011" s="5">
        <v>0.1</v>
      </c>
      <c r="E29011" s="5">
        <v>101</v>
      </c>
      <c r="F29011" s="5">
        <v>202</v>
      </c>
      <c r="G29011" s="5">
        <v>101</v>
      </c>
      <c r="H29011" s="5">
        <v>100.9</v>
      </c>
      <c r="I29011" s="5">
        <v>0</v>
      </c>
      <c r="J29011" s="5">
        <v>0</v>
      </c>
      <c r="K29011" s="5">
        <v>0</v>
      </c>
    </row>
    <row r="29012" spans="1:11" x14ac:dyDescent="0.25">
      <c r="A29012" s="5">
        <f>29005</f>
      </c>
      <c r="B29012" s="5" t="s">
        <v>29020</v>
      </c>
      <c r="C29012" s="5">
        <v>100.8</v>
      </c>
      <c r="D29012" s="5">
        <v>0.1</v>
      </c>
      <c r="E29012" s="5">
        <v>101</v>
      </c>
      <c r="F29012" s="5">
        <v>202</v>
      </c>
      <c r="G29012" s="5">
        <v>101</v>
      </c>
      <c r="H29012" s="5">
        <v>100.9</v>
      </c>
      <c r="I29012" s="5">
        <v>0</v>
      </c>
      <c r="J29012" s="5">
        <v>0</v>
      </c>
      <c r="K29012" s="5">
        <v>0</v>
      </c>
    </row>
    <row r="29013" spans="1:11" x14ac:dyDescent="0.25">
      <c r="A29013" s="5">
        <f>29006</f>
      </c>
      <c r="B29013" s="5" t="s">
        <v>29021</v>
      </c>
      <c r="C29013" s="5">
        <v>101.1</v>
      </c>
      <c r="D29013" s="5">
        <v>0.1</v>
      </c>
      <c r="E29013" s="5">
        <v>101.3</v>
      </c>
      <c r="F29013" s="5">
        <v>200.5</v>
      </c>
      <c r="G29013" s="5">
        <v>98.8</v>
      </c>
      <c r="H29013" s="5">
        <v>98.3</v>
      </c>
      <c r="I29013" s="5">
        <v>0</v>
      </c>
      <c r="J29013" s="5">
        <v>0</v>
      </c>
      <c r="K29013" s="5">
        <v>0</v>
      </c>
    </row>
    <row r="29014" spans="1:11" x14ac:dyDescent="0.25">
      <c r="A29014" s="5">
        <f>29007</f>
      </c>
      <c r="B29014" s="5" t="s">
        <v>29022</v>
      </c>
      <c r="C29014" s="5">
        <v>101.1</v>
      </c>
      <c r="D29014" s="5">
        <v>0.1</v>
      </c>
      <c r="E29014" s="5">
        <v>101.3</v>
      </c>
      <c r="F29014" s="5">
        <v>200.5</v>
      </c>
      <c r="G29014" s="5">
        <v>98.8</v>
      </c>
      <c r="H29014" s="5">
        <v>98.3</v>
      </c>
      <c r="I29014" s="5">
        <v>0</v>
      </c>
      <c r="J29014" s="5">
        <v>0</v>
      </c>
      <c r="K29014" s="5">
        <v>0</v>
      </c>
    </row>
    <row r="29015" spans="1:11" x14ac:dyDescent="0.25">
      <c r="A29015" s="5">
        <f>29008</f>
      </c>
      <c r="B29015" s="5" t="s">
        <v>29023</v>
      </c>
      <c r="C29015" s="5">
        <v>95.8</v>
      </c>
      <c r="D29015" s="5">
        <v>0.1</v>
      </c>
      <c r="E29015" s="5">
        <v>96</v>
      </c>
      <c r="F29015" s="5">
        <v>191.6</v>
      </c>
      <c r="G29015" s="5">
        <v>95.6</v>
      </c>
      <c r="H29015" s="5">
        <v>95.4</v>
      </c>
      <c r="I29015" s="5">
        <v>0</v>
      </c>
      <c r="J29015" s="5">
        <v>0</v>
      </c>
      <c r="K29015" s="5">
        <v>0</v>
      </c>
    </row>
    <row r="29016" spans="1:11" x14ac:dyDescent="0.25">
      <c r="A29016" s="5">
        <f>29009</f>
      </c>
      <c r="B29016" s="5" t="s">
        <v>29024</v>
      </c>
      <c r="C29016" s="5">
        <v>95.8</v>
      </c>
      <c r="D29016" s="5">
        <v>0.1</v>
      </c>
      <c r="E29016" s="5">
        <v>96</v>
      </c>
      <c r="F29016" s="5">
        <v>191.6</v>
      </c>
      <c r="G29016" s="5">
        <v>95.6</v>
      </c>
      <c r="H29016" s="5">
        <v>95.4</v>
      </c>
      <c r="I29016" s="5">
        <v>0</v>
      </c>
      <c r="J29016" s="5">
        <v>0</v>
      </c>
      <c r="K29016" s="5">
        <v>0</v>
      </c>
    </row>
    <row r="29017" spans="1:11" x14ac:dyDescent="0.25">
      <c r="A29017" s="5">
        <f>29010</f>
      </c>
      <c r="B29017" s="5" t="s">
        <v>29025</v>
      </c>
      <c r="C29017" s="5">
        <v>95.8</v>
      </c>
      <c r="D29017" s="5">
        <v>0.1</v>
      </c>
      <c r="E29017" s="5">
        <v>93.2</v>
      </c>
      <c r="F29017" s="5">
        <v>186.4</v>
      </c>
      <c r="G29017" s="5">
        <v>92.9</v>
      </c>
      <c r="H29017" s="5">
        <v>92.8</v>
      </c>
      <c r="I29017" s="5">
        <v>0</v>
      </c>
      <c r="J29017" s="5">
        <v>0</v>
      </c>
      <c r="K29017" s="5">
        <v>0</v>
      </c>
    </row>
    <row r="29018" spans="1:11" x14ac:dyDescent="0.25">
      <c r="A29018" s="5">
        <f>29011</f>
      </c>
      <c r="B29018" s="5" t="s">
        <v>29026</v>
      </c>
      <c r="C29018" s="5">
        <v>93</v>
      </c>
      <c r="D29018" s="5">
        <v>0.1</v>
      </c>
      <c r="E29018" s="5">
        <v>93.2</v>
      </c>
      <c r="F29018" s="5">
        <v>186.4</v>
      </c>
      <c r="G29018" s="5">
        <v>92.9</v>
      </c>
      <c r="H29018" s="5">
        <v>92.8</v>
      </c>
      <c r="I29018" s="5">
        <v>0</v>
      </c>
      <c r="J29018" s="5">
        <v>0</v>
      </c>
      <c r="K29018" s="5">
        <v>0</v>
      </c>
    </row>
    <row r="29019" spans="1:11" x14ac:dyDescent="0.25">
      <c r="A29019" s="5">
        <f>29012</f>
      </c>
      <c r="B29019" s="5" t="s">
        <v>29027</v>
      </c>
      <c r="C29019" s="5">
        <v>93</v>
      </c>
      <c r="D29019" s="5">
        <v>0.1</v>
      </c>
      <c r="E29019" s="5">
        <v>93.2</v>
      </c>
      <c r="F29019" s="5">
        <v>186.4</v>
      </c>
      <c r="G29019" s="5">
        <v>92.9</v>
      </c>
      <c r="H29019" s="5">
        <v>92.8</v>
      </c>
      <c r="I29019" s="5">
        <v>0</v>
      </c>
      <c r="J29019" s="5">
        <v>0</v>
      </c>
      <c r="K29019" s="5">
        <v>0</v>
      </c>
    </row>
    <row r="29020" spans="1:11" x14ac:dyDescent="0.25">
      <c r="A29020" s="5">
        <f>29013</f>
      </c>
      <c r="B29020" s="5" t="s">
        <v>29028</v>
      </c>
      <c r="C29020" s="5">
        <v>93</v>
      </c>
      <c r="D29020" s="5">
        <v>0.1</v>
      </c>
      <c r="E29020" s="5">
        <v>93.2</v>
      </c>
      <c r="F29020" s="5">
        <v>186.4</v>
      </c>
      <c r="G29020" s="5">
        <v>92.9</v>
      </c>
      <c r="H29020" s="5">
        <v>92.8</v>
      </c>
      <c r="I29020" s="5">
        <v>0</v>
      </c>
      <c r="J29020" s="5">
        <v>0</v>
      </c>
      <c r="K29020" s="5">
        <v>0</v>
      </c>
    </row>
    <row r="29021" spans="1:11" x14ac:dyDescent="0.25">
      <c r="A29021" s="5">
        <f>29014</f>
      </c>
      <c r="B29021" s="5" t="s">
        <v>29029</v>
      </c>
      <c r="C29021" s="5">
        <v>101.1</v>
      </c>
      <c r="D29021" s="5">
        <v>0.1</v>
      </c>
      <c r="E29021" s="5">
        <v>101.1</v>
      </c>
      <c r="F29021" s="5">
        <v>199.7</v>
      </c>
      <c r="G29021" s="5">
        <v>99.8</v>
      </c>
      <c r="H29021" s="5">
        <v>99.9</v>
      </c>
      <c r="I29021" s="5">
        <v>0</v>
      </c>
      <c r="J29021" s="5">
        <v>0</v>
      </c>
      <c r="K29021" s="5">
        <v>0</v>
      </c>
    </row>
    <row r="29022" spans="1:11" x14ac:dyDescent="0.25">
      <c r="A29022" s="5">
        <f>29015</f>
      </c>
      <c r="B29022" s="5" t="s">
        <v>29030</v>
      </c>
      <c r="C29022" s="5">
        <v>101.1</v>
      </c>
      <c r="D29022" s="5">
        <v>0.1</v>
      </c>
      <c r="E29022" s="5">
        <v>101.1</v>
      </c>
      <c r="F29022" s="5">
        <v>199.7</v>
      </c>
      <c r="G29022" s="5">
        <v>99.8</v>
      </c>
      <c r="H29022" s="5">
        <v>99.9</v>
      </c>
      <c r="I29022" s="5">
        <v>0</v>
      </c>
      <c r="J29022" s="5">
        <v>0</v>
      </c>
      <c r="K29022" s="5">
        <v>0</v>
      </c>
    </row>
    <row r="29023" spans="1:11" x14ac:dyDescent="0.25">
      <c r="A29023" s="5">
        <f>29016</f>
      </c>
      <c r="B29023" s="5" t="s">
        <v>29031</v>
      </c>
      <c r="C29023" s="5">
        <v>97.6</v>
      </c>
      <c r="D29023" s="5">
        <v>0.1</v>
      </c>
      <c r="E29023" s="5">
        <v>97.8</v>
      </c>
      <c r="F29023" s="5">
        <v>196.3</v>
      </c>
      <c r="G29023" s="5">
        <v>97.7</v>
      </c>
      <c r="H29023" s="5">
        <v>97.4</v>
      </c>
      <c r="I29023" s="5">
        <v>0</v>
      </c>
      <c r="J29023" s="5">
        <v>0</v>
      </c>
      <c r="K29023" s="5">
        <v>0</v>
      </c>
    </row>
    <row r="29024" spans="1:11" x14ac:dyDescent="0.25">
      <c r="A29024" s="5">
        <f>29017</f>
      </c>
      <c r="B29024" s="5" t="s">
        <v>29032</v>
      </c>
      <c r="C29024" s="5">
        <v>97.6</v>
      </c>
      <c r="D29024" s="5">
        <v>0.1</v>
      </c>
      <c r="E29024" s="5">
        <v>97.8</v>
      </c>
      <c r="F29024" s="5">
        <v>196.3</v>
      </c>
      <c r="G29024" s="5">
        <v>97.7</v>
      </c>
      <c r="H29024" s="5">
        <v>97.4</v>
      </c>
      <c r="I29024" s="5">
        <v>0</v>
      </c>
      <c r="J29024" s="5">
        <v>0</v>
      </c>
      <c r="K29024" s="5">
        <v>0</v>
      </c>
    </row>
    <row r="29025" spans="1:11" x14ac:dyDescent="0.25">
      <c r="A29025" s="5">
        <f>29018</f>
      </c>
      <c r="B29025" s="5" t="s">
        <v>29033</v>
      </c>
      <c r="C29025" s="5">
        <v>97.1</v>
      </c>
      <c r="D29025" s="5">
        <v>0.1</v>
      </c>
      <c r="E29025" s="5">
        <v>97.2</v>
      </c>
      <c r="F29025" s="5">
        <v>193.2</v>
      </c>
      <c r="G29025" s="5">
        <v>96.2</v>
      </c>
      <c r="H29025" s="5">
        <v>96.1</v>
      </c>
      <c r="I29025" s="5">
        <v>0</v>
      </c>
      <c r="J29025" s="5">
        <v>0</v>
      </c>
      <c r="K29025" s="5">
        <v>0</v>
      </c>
    </row>
    <row r="29026" spans="1:11" x14ac:dyDescent="0.25">
      <c r="A29026" s="5">
        <f>29019</f>
      </c>
      <c r="B29026" s="5" t="s">
        <v>29034</v>
      </c>
      <c r="C29026" s="5">
        <v>97.1</v>
      </c>
      <c r="D29026" s="5">
        <v>0.1</v>
      </c>
      <c r="E29026" s="5">
        <v>97.2</v>
      </c>
      <c r="F29026" s="5">
        <v>193.2</v>
      </c>
      <c r="G29026" s="5">
        <v>96.2</v>
      </c>
      <c r="H29026" s="5">
        <v>96.1</v>
      </c>
      <c r="I29026" s="5">
        <v>0</v>
      </c>
      <c r="J29026" s="5">
        <v>0</v>
      </c>
      <c r="K29026" s="5">
        <v>0</v>
      </c>
    </row>
    <row r="29027" spans="1:11" x14ac:dyDescent="0.25">
      <c r="A29027" s="5">
        <f>29020</f>
      </c>
      <c r="B29027" s="5" t="s">
        <v>29035</v>
      </c>
      <c r="C29027" s="5">
        <v>96.4</v>
      </c>
      <c r="D29027" s="5">
        <v>0.1</v>
      </c>
      <c r="E29027" s="5">
        <v>96.5</v>
      </c>
      <c r="F29027" s="5">
        <v>192.2</v>
      </c>
      <c r="G29027" s="5">
        <v>96</v>
      </c>
      <c r="H29027" s="5">
        <v>95.9</v>
      </c>
      <c r="I29027" s="5">
        <v>0</v>
      </c>
      <c r="J29027" s="5">
        <v>0</v>
      </c>
      <c r="K29027" s="5">
        <v>0</v>
      </c>
    </row>
    <row r="29028" spans="1:11" x14ac:dyDescent="0.25">
      <c r="A29028" s="5">
        <f>29021</f>
      </c>
      <c r="B29028" s="5" t="s">
        <v>29036</v>
      </c>
      <c r="C29028" s="5">
        <v>96.4</v>
      </c>
      <c r="D29028" s="5">
        <v>0.1</v>
      </c>
      <c r="E29028" s="5">
        <v>96.5</v>
      </c>
      <c r="F29028" s="5">
        <v>192.2</v>
      </c>
      <c r="G29028" s="5">
        <v>96</v>
      </c>
      <c r="H29028" s="5">
        <v>95.9</v>
      </c>
      <c r="I29028" s="5">
        <v>0</v>
      </c>
      <c r="J29028" s="5">
        <v>0</v>
      </c>
      <c r="K29028" s="5">
        <v>0</v>
      </c>
    </row>
    <row r="29029" spans="1:11" x14ac:dyDescent="0.25">
      <c r="A29029" s="5">
        <f>29022</f>
      </c>
      <c r="B29029" s="5" t="s">
        <v>29037</v>
      </c>
      <c r="C29029" s="5">
        <v>96.4</v>
      </c>
      <c r="D29029" s="5">
        <v>0.1</v>
      </c>
      <c r="E29029" s="5">
        <v>96.5</v>
      </c>
      <c r="F29029" s="5">
        <v>192.2</v>
      </c>
      <c r="G29029" s="5">
        <v>96</v>
      </c>
      <c r="H29029" s="5">
        <v>95.9</v>
      </c>
      <c r="I29029" s="5">
        <v>0</v>
      </c>
      <c r="J29029" s="5">
        <v>0</v>
      </c>
      <c r="K29029" s="5">
        <v>0</v>
      </c>
    </row>
    <row r="29030" spans="1:11" x14ac:dyDescent="0.25">
      <c r="A29030" s="5">
        <f>29023</f>
      </c>
      <c r="B29030" s="5" t="s">
        <v>29038</v>
      </c>
      <c r="C29030" s="5">
        <v>96.4</v>
      </c>
      <c r="D29030" s="5">
        <v>0.1</v>
      </c>
      <c r="E29030" s="5">
        <v>96.5</v>
      </c>
      <c r="F29030" s="5">
        <v>192.2</v>
      </c>
      <c r="G29030" s="5">
        <v>96</v>
      </c>
      <c r="H29030" s="5">
        <v>95.9</v>
      </c>
      <c r="I29030" s="5">
        <v>0</v>
      </c>
      <c r="J29030" s="5">
        <v>0</v>
      </c>
      <c r="K29030" s="5">
        <v>0</v>
      </c>
    </row>
    <row r="29031" spans="1:11" x14ac:dyDescent="0.25">
      <c r="A29031" s="5">
        <f>29024</f>
      </c>
      <c r="B29031" s="5" t="s">
        <v>29039</v>
      </c>
      <c r="C29031" s="5">
        <v>100.4</v>
      </c>
      <c r="D29031" s="5">
        <v>0.1</v>
      </c>
      <c r="E29031" s="5">
        <v>100.5</v>
      </c>
      <c r="F29031" s="5">
        <v>199.3</v>
      </c>
      <c r="G29031" s="5">
        <v>99.5</v>
      </c>
      <c r="H29031" s="5">
        <v>99.4</v>
      </c>
      <c r="I29031" s="5">
        <v>0</v>
      </c>
      <c r="J29031" s="5">
        <v>0</v>
      </c>
      <c r="K29031" s="5">
        <v>0</v>
      </c>
    </row>
    <row r="29032" spans="1:11" x14ac:dyDescent="0.25">
      <c r="A29032" s="5">
        <f>29025</f>
      </c>
      <c r="B29032" s="5" t="s">
        <v>29040</v>
      </c>
      <c r="C29032" s="5">
        <v>100.4</v>
      </c>
      <c r="D29032" s="5">
        <v>0.1</v>
      </c>
      <c r="E29032" s="5">
        <v>100.5</v>
      </c>
      <c r="F29032" s="5">
        <v>199.3</v>
      </c>
      <c r="G29032" s="5">
        <v>99.5</v>
      </c>
      <c r="H29032" s="5">
        <v>99.4</v>
      </c>
      <c r="I29032" s="5">
        <v>0</v>
      </c>
      <c r="J29032" s="5">
        <v>0</v>
      </c>
      <c r="K29032" s="5">
        <v>0</v>
      </c>
    </row>
    <row r="29033" spans="1:11" x14ac:dyDescent="0.25">
      <c r="A29033" s="5">
        <f>29026</f>
      </c>
      <c r="B29033" s="5" t="s">
        <v>29041</v>
      </c>
      <c r="C29033" s="5">
        <v>100.3</v>
      </c>
      <c r="D29033" s="5">
        <v>0.1</v>
      </c>
      <c r="E29033" s="5">
        <v>100.5</v>
      </c>
      <c r="F29033" s="5">
        <v>199.9</v>
      </c>
      <c r="G29033" s="5">
        <v>99.8</v>
      </c>
      <c r="H29033" s="5">
        <v>99.8</v>
      </c>
      <c r="I29033" s="5">
        <v>0</v>
      </c>
      <c r="J29033" s="5">
        <v>0</v>
      </c>
      <c r="K29033" s="5">
        <v>0</v>
      </c>
    </row>
    <row r="29034" spans="1:11" x14ac:dyDescent="0.25">
      <c r="A29034" s="5">
        <f>29027</f>
      </c>
      <c r="B29034" s="5" t="s">
        <v>29042</v>
      </c>
      <c r="C29034" s="5">
        <v>100.3</v>
      </c>
      <c r="D29034" s="5">
        <v>0.1</v>
      </c>
      <c r="E29034" s="5">
        <v>100.5</v>
      </c>
      <c r="F29034" s="5">
        <v>199.9</v>
      </c>
      <c r="G29034" s="5">
        <v>99.8</v>
      </c>
      <c r="H29034" s="5">
        <v>99.8</v>
      </c>
      <c r="I29034" s="5">
        <v>0</v>
      </c>
      <c r="J29034" s="5">
        <v>0</v>
      </c>
      <c r="K29034" s="5">
        <v>0</v>
      </c>
    </row>
    <row r="29035" spans="1:11" x14ac:dyDescent="0.25">
      <c r="A29035" s="5">
        <f>29028</f>
      </c>
      <c r="B29035" s="5" t="s">
        <v>29043</v>
      </c>
      <c r="C29035" s="5">
        <v>100</v>
      </c>
      <c r="D29035" s="5">
        <v>0.1</v>
      </c>
      <c r="E29035" s="5">
        <v>100.2</v>
      </c>
      <c r="F29035" s="5">
        <v>199.4</v>
      </c>
      <c r="G29035" s="5">
        <v>99.4</v>
      </c>
      <c r="H29035" s="5">
        <v>99.3</v>
      </c>
      <c r="I29035" s="5">
        <v>0</v>
      </c>
      <c r="J29035" s="5">
        <v>0</v>
      </c>
      <c r="K29035" s="5">
        <v>0</v>
      </c>
    </row>
    <row r="29036" spans="1:11" x14ac:dyDescent="0.25">
      <c r="A29036" s="5">
        <f>29029</f>
      </c>
      <c r="B29036" s="5" t="s">
        <v>29044</v>
      </c>
      <c r="C29036" s="5">
        <v>100</v>
      </c>
      <c r="D29036" s="5">
        <v>0.1</v>
      </c>
      <c r="E29036" s="5">
        <v>100.2</v>
      </c>
      <c r="F29036" s="5">
        <v>199.4</v>
      </c>
      <c r="G29036" s="5">
        <v>99.4</v>
      </c>
      <c r="H29036" s="5">
        <v>99.3</v>
      </c>
      <c r="I29036" s="5">
        <v>0</v>
      </c>
      <c r="J29036" s="5">
        <v>0</v>
      </c>
      <c r="K29036" s="5">
        <v>0</v>
      </c>
    </row>
    <row r="29037" spans="1:11" x14ac:dyDescent="0.25">
      <c r="A29037" s="5">
        <f>29030</f>
      </c>
      <c r="B29037" s="5" t="s">
        <v>29045</v>
      </c>
      <c r="C29037" s="5">
        <v>99.9</v>
      </c>
      <c r="D29037" s="5">
        <v>0.1</v>
      </c>
      <c r="E29037" s="5">
        <v>100.1</v>
      </c>
      <c r="F29037" s="5">
        <v>199.6</v>
      </c>
      <c r="G29037" s="5">
        <v>99.6</v>
      </c>
      <c r="H29037" s="5">
        <v>99.5</v>
      </c>
      <c r="I29037" s="5">
        <v>0</v>
      </c>
      <c r="J29037" s="5">
        <v>0</v>
      </c>
      <c r="K29037" s="5">
        <v>0</v>
      </c>
    </row>
    <row r="29038" spans="1:11" x14ac:dyDescent="0.25">
      <c r="A29038" s="5">
        <f>29031</f>
      </c>
      <c r="B29038" s="5" t="s">
        <v>29046</v>
      </c>
      <c r="C29038" s="5">
        <v>99.9</v>
      </c>
      <c r="D29038" s="5">
        <v>0.1</v>
      </c>
      <c r="E29038" s="5">
        <v>100.1</v>
      </c>
      <c r="F29038" s="5">
        <v>199.6</v>
      </c>
      <c r="G29038" s="5">
        <v>99.6</v>
      </c>
      <c r="H29038" s="5">
        <v>99.5</v>
      </c>
      <c r="I29038" s="5">
        <v>0</v>
      </c>
      <c r="J29038" s="5">
        <v>0</v>
      </c>
      <c r="K29038" s="5">
        <v>0</v>
      </c>
    </row>
    <row r="29039" spans="1:11" x14ac:dyDescent="0.25">
      <c r="A29039" s="5">
        <f>29032</f>
      </c>
      <c r="B29039" s="5" t="s">
        <v>29047</v>
      </c>
      <c r="C29039" s="5">
        <v>99.9</v>
      </c>
      <c r="D29039" s="5">
        <v>0.1</v>
      </c>
      <c r="E29039" s="5">
        <v>100.1</v>
      </c>
      <c r="F29039" s="5">
        <v>199.6</v>
      </c>
      <c r="G29039" s="5">
        <v>99.6</v>
      </c>
      <c r="H29039" s="5">
        <v>99.5</v>
      </c>
      <c r="I29039" s="5">
        <v>0</v>
      </c>
      <c r="J29039" s="5">
        <v>0</v>
      </c>
      <c r="K29039" s="5">
        <v>0</v>
      </c>
    </row>
    <row r="29040" spans="1:11" x14ac:dyDescent="0.25">
      <c r="A29040" s="5">
        <f>29033</f>
      </c>
      <c r="B29040" s="5" t="s">
        <v>29048</v>
      </c>
      <c r="C29040" s="5">
        <v>99.9</v>
      </c>
      <c r="D29040" s="5">
        <v>0.1</v>
      </c>
      <c r="E29040" s="5">
        <v>100.1</v>
      </c>
      <c r="F29040" s="5">
        <v>199.6</v>
      </c>
      <c r="G29040" s="5">
        <v>99.6</v>
      </c>
      <c r="H29040" s="5">
        <v>99.5</v>
      </c>
      <c r="I29040" s="5">
        <v>0</v>
      </c>
      <c r="J29040" s="5">
        <v>0</v>
      </c>
      <c r="K29040" s="5">
        <v>0</v>
      </c>
    </row>
    <row r="29041" spans="1:11" x14ac:dyDescent="0.25">
      <c r="A29041" s="5">
        <f>29034</f>
      </c>
      <c r="B29041" s="5" t="s">
        <v>29049</v>
      </c>
      <c r="C29041" s="5">
        <v>99.7</v>
      </c>
      <c r="D29041" s="5">
        <v>0.1</v>
      </c>
      <c r="E29041" s="5">
        <v>99.9</v>
      </c>
      <c r="F29041" s="5">
        <v>198.9</v>
      </c>
      <c r="G29041" s="5">
        <v>99.1</v>
      </c>
      <c r="H29041" s="5">
        <v>98.9</v>
      </c>
      <c r="I29041" s="5">
        <v>0</v>
      </c>
      <c r="J29041" s="5">
        <v>0</v>
      </c>
      <c r="K29041" s="5">
        <v>0</v>
      </c>
    </row>
    <row r="29042" spans="1:11" x14ac:dyDescent="0.25">
      <c r="A29042" s="5">
        <f>29035</f>
      </c>
      <c r="B29042" s="5" t="s">
        <v>29050</v>
      </c>
      <c r="C29042" s="5">
        <v>99.7</v>
      </c>
      <c r="D29042" s="5">
        <v>0.1</v>
      </c>
      <c r="E29042" s="5">
        <v>99.9</v>
      </c>
      <c r="F29042" s="5">
        <v>198.9</v>
      </c>
      <c r="G29042" s="5">
        <v>99.1</v>
      </c>
      <c r="H29042" s="5">
        <v>98.9</v>
      </c>
      <c r="I29042" s="5">
        <v>0</v>
      </c>
      <c r="J29042" s="5">
        <v>0</v>
      </c>
      <c r="K29042" s="5">
        <v>0</v>
      </c>
    </row>
    <row r="29043" spans="1:11" x14ac:dyDescent="0.25">
      <c r="A29043" s="5">
        <f>29036</f>
      </c>
      <c r="B29043" s="5" t="s">
        <v>29051</v>
      </c>
      <c r="C29043" s="5">
        <v>99</v>
      </c>
      <c r="D29043" s="5">
        <v>0.1</v>
      </c>
      <c r="E29043" s="5">
        <v>99.2</v>
      </c>
      <c r="F29043" s="5">
        <v>197.8</v>
      </c>
      <c r="G29043" s="5">
        <v>98.7</v>
      </c>
      <c r="H29043" s="5">
        <v>98.5</v>
      </c>
      <c r="I29043" s="5">
        <v>0</v>
      </c>
      <c r="J29043" s="5">
        <v>0</v>
      </c>
      <c r="K29043" s="5">
        <v>0</v>
      </c>
    </row>
    <row r="29044" spans="1:11" x14ac:dyDescent="0.25">
      <c r="A29044" s="5">
        <f>29037</f>
      </c>
      <c r="B29044" s="5" t="s">
        <v>29052</v>
      </c>
      <c r="C29044" s="5">
        <v>99</v>
      </c>
      <c r="D29044" s="5">
        <v>0.1</v>
      </c>
      <c r="E29044" s="5">
        <v>99.2</v>
      </c>
      <c r="F29044" s="5">
        <v>197.8</v>
      </c>
      <c r="G29044" s="5">
        <v>98.7</v>
      </c>
      <c r="H29044" s="5">
        <v>98.5</v>
      </c>
      <c r="I29044" s="5">
        <v>0</v>
      </c>
      <c r="J29044" s="5">
        <v>0</v>
      </c>
      <c r="K29044" s="5">
        <v>0</v>
      </c>
    </row>
    <row r="29045" spans="1:11" x14ac:dyDescent="0.25">
      <c r="A29045" s="5">
        <f>29038</f>
      </c>
      <c r="B29045" s="5" t="s">
        <v>29053</v>
      </c>
      <c r="C29045" s="5">
        <v>98.3</v>
      </c>
      <c r="D29045" s="5">
        <v>0.1</v>
      </c>
      <c r="E29045" s="5">
        <v>98.5</v>
      </c>
      <c r="F29045" s="5">
        <v>196.8</v>
      </c>
      <c r="G29045" s="5">
        <v>98.2</v>
      </c>
      <c r="H29045" s="5">
        <v>98.1</v>
      </c>
      <c r="I29045" s="5">
        <v>0</v>
      </c>
      <c r="J29045" s="5">
        <v>0</v>
      </c>
      <c r="K29045" s="5">
        <v>0</v>
      </c>
    </row>
    <row r="29046" spans="1:11" x14ac:dyDescent="0.25">
      <c r="A29046" s="5">
        <f>29039</f>
      </c>
      <c r="B29046" s="5" t="s">
        <v>29054</v>
      </c>
      <c r="C29046" s="5">
        <v>98.3</v>
      </c>
      <c r="D29046" s="5">
        <v>0.1</v>
      </c>
      <c r="E29046" s="5">
        <v>98.5</v>
      </c>
      <c r="F29046" s="5">
        <v>196.8</v>
      </c>
      <c r="G29046" s="5">
        <v>98.2</v>
      </c>
      <c r="H29046" s="5">
        <v>98.1</v>
      </c>
      <c r="I29046" s="5">
        <v>0</v>
      </c>
      <c r="J29046" s="5">
        <v>0</v>
      </c>
      <c r="K29046" s="5">
        <v>0</v>
      </c>
    </row>
    <row r="29047" spans="1:11" x14ac:dyDescent="0.25">
      <c r="A29047" s="5">
        <f>29040</f>
      </c>
      <c r="B29047" s="5" t="s">
        <v>29055</v>
      </c>
      <c r="C29047" s="5">
        <v>98.9</v>
      </c>
      <c r="D29047" s="5">
        <v>0.1</v>
      </c>
      <c r="E29047" s="5">
        <v>99</v>
      </c>
      <c r="F29047" s="5">
        <v>197.1</v>
      </c>
      <c r="G29047" s="5">
        <v>98.3</v>
      </c>
      <c r="H29047" s="5">
        <v>98.1</v>
      </c>
      <c r="I29047" s="5">
        <v>0</v>
      </c>
      <c r="J29047" s="5">
        <v>0</v>
      </c>
      <c r="K29047" s="5">
        <v>0</v>
      </c>
    </row>
    <row r="29048" spans="1:11" x14ac:dyDescent="0.25">
      <c r="A29048" s="5">
        <f>29041</f>
      </c>
      <c r="B29048" s="5" t="s">
        <v>29056</v>
      </c>
      <c r="C29048" s="5">
        <v>98.9</v>
      </c>
      <c r="D29048" s="5">
        <v>0.1</v>
      </c>
      <c r="E29048" s="5">
        <v>99</v>
      </c>
      <c r="F29048" s="5">
        <v>197.1</v>
      </c>
      <c r="G29048" s="5">
        <v>98.3</v>
      </c>
      <c r="H29048" s="5">
        <v>98.1</v>
      </c>
      <c r="I29048" s="5">
        <v>0</v>
      </c>
      <c r="J29048" s="5">
        <v>0</v>
      </c>
      <c r="K29048" s="5">
        <v>0</v>
      </c>
    </row>
    <row r="29049" spans="1:11" x14ac:dyDescent="0.25">
      <c r="A29049" s="5">
        <f>29042</f>
      </c>
      <c r="B29049" s="5" t="s">
        <v>29057</v>
      </c>
      <c r="C29049" s="5">
        <v>98.9</v>
      </c>
      <c r="D29049" s="5">
        <v>0.1</v>
      </c>
      <c r="E29049" s="5">
        <v>99</v>
      </c>
      <c r="F29049" s="5">
        <v>197.1</v>
      </c>
      <c r="G29049" s="5">
        <v>98.3</v>
      </c>
      <c r="H29049" s="5">
        <v>98.1</v>
      </c>
      <c r="I29049" s="5">
        <v>0</v>
      </c>
      <c r="J29049" s="5">
        <v>0</v>
      </c>
      <c r="K29049" s="5">
        <v>0</v>
      </c>
    </row>
    <row r="29050" spans="1:11" x14ac:dyDescent="0.25">
      <c r="A29050" s="5">
        <f>29043</f>
      </c>
      <c r="B29050" s="5" t="s">
        <v>29058</v>
      </c>
      <c r="C29050" s="5">
        <v>98.9</v>
      </c>
      <c r="D29050" s="5">
        <v>0.1</v>
      </c>
      <c r="E29050" s="5">
        <v>99</v>
      </c>
      <c r="F29050" s="5">
        <v>197.1</v>
      </c>
      <c r="G29050" s="5">
        <v>98.3</v>
      </c>
      <c r="H29050" s="5">
        <v>98.1</v>
      </c>
      <c r="I29050" s="5">
        <v>0</v>
      </c>
      <c r="J29050" s="5">
        <v>0</v>
      </c>
      <c r="K29050" s="5">
        <v>0</v>
      </c>
    </row>
    <row r="29051" spans="1:11" x14ac:dyDescent="0.25">
      <c r="A29051" s="5">
        <f>29044</f>
      </c>
      <c r="B29051" s="5" t="s">
        <v>29059</v>
      </c>
      <c r="C29051" s="5">
        <v>97.9</v>
      </c>
      <c r="D29051" s="5">
        <v>0.1</v>
      </c>
      <c r="E29051" s="5">
        <v>98</v>
      </c>
      <c r="F29051" s="5">
        <v>196.6</v>
      </c>
      <c r="G29051" s="5">
        <v>98</v>
      </c>
      <c r="H29051" s="5">
        <v>97.9</v>
      </c>
      <c r="I29051" s="5">
        <v>0</v>
      </c>
      <c r="J29051" s="5">
        <v>0</v>
      </c>
      <c r="K29051" s="5">
        <v>0</v>
      </c>
    </row>
    <row r="29052" spans="1:11" x14ac:dyDescent="0.25">
      <c r="A29052" s="5">
        <f>29045</f>
      </c>
      <c r="B29052" s="5" t="s">
        <v>29060</v>
      </c>
      <c r="C29052" s="5">
        <v>97.9</v>
      </c>
      <c r="D29052" s="5">
        <v>0.1</v>
      </c>
      <c r="E29052" s="5">
        <v>98</v>
      </c>
      <c r="F29052" s="5">
        <v>196.6</v>
      </c>
      <c r="G29052" s="5">
        <v>98</v>
      </c>
      <c r="H29052" s="5">
        <v>97.9</v>
      </c>
      <c r="I29052" s="5">
        <v>0</v>
      </c>
      <c r="J29052" s="5">
        <v>0</v>
      </c>
      <c r="K29052" s="5">
        <v>0</v>
      </c>
    </row>
    <row r="29053" spans="1:11" x14ac:dyDescent="0.25">
      <c r="A29053" s="5">
        <f>29046</f>
      </c>
      <c r="B29053" s="5" t="s">
        <v>29061</v>
      </c>
      <c r="C29053" s="5">
        <v>98.5</v>
      </c>
      <c r="D29053" s="5">
        <v>0.1</v>
      </c>
      <c r="E29053" s="5">
        <v>98.6</v>
      </c>
      <c r="F29053" s="5">
        <v>196.7</v>
      </c>
      <c r="G29053" s="5">
        <v>98.1</v>
      </c>
      <c r="H29053" s="5">
        <v>98</v>
      </c>
      <c r="I29053" s="5">
        <v>0</v>
      </c>
      <c r="J29053" s="5">
        <v>0</v>
      </c>
      <c r="K29053" s="5">
        <v>0</v>
      </c>
    </row>
    <row r="29054" spans="1:11" x14ac:dyDescent="0.25">
      <c r="A29054" s="5">
        <f>29047</f>
      </c>
      <c r="B29054" s="5" t="s">
        <v>29062</v>
      </c>
      <c r="C29054" s="5">
        <v>98.5</v>
      </c>
      <c r="D29054" s="5">
        <v>0.1</v>
      </c>
      <c r="E29054" s="5">
        <v>98.6</v>
      </c>
      <c r="F29054" s="5">
        <v>196.7</v>
      </c>
      <c r="G29054" s="5">
        <v>98.1</v>
      </c>
      <c r="H29054" s="5">
        <v>98</v>
      </c>
      <c r="I29054" s="5">
        <v>0</v>
      </c>
      <c r="J29054" s="5">
        <v>0</v>
      </c>
      <c r="K29054" s="5">
        <v>0</v>
      </c>
    </row>
    <row r="29055" spans="1:11" x14ac:dyDescent="0.25">
      <c r="A29055" s="5">
        <f>29048</f>
      </c>
      <c r="B29055" s="5" t="s">
        <v>29063</v>
      </c>
      <c r="C29055" s="5">
        <v>98.7</v>
      </c>
      <c r="D29055" s="5">
        <v>0.1</v>
      </c>
      <c r="E29055" s="5">
        <v>98.8</v>
      </c>
      <c r="F29055" s="5">
        <v>197.3</v>
      </c>
      <c r="G29055" s="5">
        <v>98.4</v>
      </c>
      <c r="H29055" s="5">
        <v>98.2</v>
      </c>
      <c r="I29055" s="5">
        <v>0</v>
      </c>
      <c r="J29055" s="5">
        <v>0</v>
      </c>
      <c r="K29055" s="5">
        <v>0</v>
      </c>
    </row>
    <row r="29056" spans="1:11" x14ac:dyDescent="0.25">
      <c r="A29056" s="5">
        <f>29049</f>
      </c>
      <c r="B29056" s="5" t="s">
        <v>29064</v>
      </c>
      <c r="C29056" s="5">
        <v>98.7</v>
      </c>
      <c r="D29056" s="5">
        <v>0.1</v>
      </c>
      <c r="E29056" s="5">
        <v>98.8</v>
      </c>
      <c r="F29056" s="5">
        <v>197.3</v>
      </c>
      <c r="G29056" s="5">
        <v>98.4</v>
      </c>
      <c r="H29056" s="5">
        <v>98.2</v>
      </c>
      <c r="I29056" s="5">
        <v>0</v>
      </c>
      <c r="J29056" s="5">
        <v>0</v>
      </c>
      <c r="K29056" s="5">
        <v>0</v>
      </c>
    </row>
    <row r="29057" spans="1:11" x14ac:dyDescent="0.25">
      <c r="A29057" s="5">
        <f>29050</f>
      </c>
      <c r="B29057" s="5" t="s">
        <v>29065</v>
      </c>
      <c r="C29057" s="5">
        <v>99.2</v>
      </c>
      <c r="D29057" s="5">
        <v>0.1</v>
      </c>
      <c r="E29057" s="5">
        <v>99.3</v>
      </c>
      <c r="F29057" s="5">
        <v>197.6</v>
      </c>
      <c r="G29057" s="5">
        <v>98.5</v>
      </c>
      <c r="H29057" s="5">
        <v>98.3</v>
      </c>
      <c r="I29057" s="5">
        <v>0</v>
      </c>
      <c r="J29057" s="5">
        <v>0</v>
      </c>
      <c r="K29057" s="5">
        <v>0</v>
      </c>
    </row>
    <row r="29058" spans="1:11" x14ac:dyDescent="0.25">
      <c r="A29058" s="5">
        <f>29051</f>
      </c>
      <c r="B29058" s="5" t="s">
        <v>29066</v>
      </c>
      <c r="C29058" s="5">
        <v>99.2</v>
      </c>
      <c r="D29058" s="5">
        <v>0.1</v>
      </c>
      <c r="E29058" s="5">
        <v>99.3</v>
      </c>
      <c r="F29058" s="5">
        <v>197.6</v>
      </c>
      <c r="G29058" s="5">
        <v>98.5</v>
      </c>
      <c r="H29058" s="5">
        <v>98.3</v>
      </c>
      <c r="I29058" s="5">
        <v>0</v>
      </c>
      <c r="J29058" s="5">
        <v>0</v>
      </c>
      <c r="K29058" s="5">
        <v>0</v>
      </c>
    </row>
    <row r="29059" spans="1:11" x14ac:dyDescent="0.25">
      <c r="A29059" s="5">
        <f>29052</f>
      </c>
      <c r="B29059" s="5" t="s">
        <v>29067</v>
      </c>
      <c r="C29059" s="5">
        <v>99.2</v>
      </c>
      <c r="D29059" s="5">
        <v>0.1</v>
      </c>
      <c r="E29059" s="5">
        <v>99.3</v>
      </c>
      <c r="F29059" s="5">
        <v>197.6</v>
      </c>
      <c r="G29059" s="5">
        <v>98.5</v>
      </c>
      <c r="H29059" s="5">
        <v>98.3</v>
      </c>
      <c r="I29059" s="5">
        <v>0</v>
      </c>
      <c r="J29059" s="5">
        <v>0</v>
      </c>
      <c r="K29059" s="5">
        <v>0</v>
      </c>
    </row>
    <row r="29060" spans="1:11" x14ac:dyDescent="0.25">
      <c r="A29060" s="5">
        <f>29053</f>
      </c>
      <c r="B29060" s="5" t="s">
        <v>29068</v>
      </c>
      <c r="C29060" s="5">
        <v>99.2</v>
      </c>
      <c r="D29060" s="5">
        <v>0.1</v>
      </c>
      <c r="E29060" s="5">
        <v>99.3</v>
      </c>
      <c r="F29060" s="5">
        <v>197.6</v>
      </c>
      <c r="G29060" s="5">
        <v>98.5</v>
      </c>
      <c r="H29060" s="5">
        <v>98.3</v>
      </c>
      <c r="I29060" s="5">
        <v>0</v>
      </c>
      <c r="J29060" s="5">
        <v>0</v>
      </c>
      <c r="K29060" s="5">
        <v>0</v>
      </c>
    </row>
    <row r="29061" spans="1:11" x14ac:dyDescent="0.25">
      <c r="A29061" s="5">
        <f>29054</f>
      </c>
      <c r="B29061" s="5" t="s">
        <v>29069</v>
      </c>
      <c r="C29061" s="5">
        <v>100.5</v>
      </c>
      <c r="D29061" s="5">
        <v>0.1</v>
      </c>
      <c r="E29061" s="5">
        <v>100.6</v>
      </c>
      <c r="F29061" s="5">
        <v>200.8</v>
      </c>
      <c r="G29061" s="5">
        <v>100.2</v>
      </c>
      <c r="H29061" s="5">
        <v>100</v>
      </c>
      <c r="I29061" s="5">
        <v>0</v>
      </c>
      <c r="J29061" s="5">
        <v>0</v>
      </c>
      <c r="K29061" s="5">
        <v>0</v>
      </c>
    </row>
    <row r="29062" spans="1:11" x14ac:dyDescent="0.25">
      <c r="A29062" s="5">
        <f>29055</f>
      </c>
      <c r="B29062" s="5" t="s">
        <v>29070</v>
      </c>
      <c r="C29062" s="5">
        <v>100.5</v>
      </c>
      <c r="D29062" s="5">
        <v>0.1</v>
      </c>
      <c r="E29062" s="5">
        <v>100.6</v>
      </c>
      <c r="F29062" s="5">
        <v>200.8</v>
      </c>
      <c r="G29062" s="5">
        <v>100.2</v>
      </c>
      <c r="H29062" s="5">
        <v>100</v>
      </c>
      <c r="I29062" s="5">
        <v>0</v>
      </c>
      <c r="J29062" s="5">
        <v>0</v>
      </c>
      <c r="K29062" s="5">
        <v>0</v>
      </c>
    </row>
    <row r="29063" spans="1:11" x14ac:dyDescent="0.25">
      <c r="A29063" s="5">
        <f>29056</f>
      </c>
      <c r="B29063" s="5" t="s">
        <v>29071</v>
      </c>
      <c r="C29063" s="5">
        <v>101.3</v>
      </c>
      <c r="D29063" s="5">
        <v>0.1</v>
      </c>
      <c r="E29063" s="5">
        <v>101.5</v>
      </c>
      <c r="F29063" s="5">
        <v>202.2</v>
      </c>
      <c r="G29063" s="5">
        <v>100.9</v>
      </c>
      <c r="H29063" s="5">
        <v>100.8</v>
      </c>
      <c r="I29063" s="5">
        <v>0</v>
      </c>
      <c r="J29063" s="5">
        <v>0</v>
      </c>
      <c r="K29063" s="5">
        <v>0</v>
      </c>
    </row>
    <row r="29064" spans="1:11" x14ac:dyDescent="0.25">
      <c r="A29064" s="5">
        <f>29057</f>
      </c>
      <c r="B29064" s="5" t="s">
        <v>29072</v>
      </c>
      <c r="C29064" s="5">
        <v>101.3</v>
      </c>
      <c r="D29064" s="5">
        <v>0.1</v>
      </c>
      <c r="E29064" s="5">
        <v>101.5</v>
      </c>
      <c r="F29064" s="5">
        <v>202.2</v>
      </c>
      <c r="G29064" s="5">
        <v>100.9</v>
      </c>
      <c r="H29064" s="5">
        <v>100.8</v>
      </c>
      <c r="I29064" s="5">
        <v>0</v>
      </c>
      <c r="J29064" s="5">
        <v>0</v>
      </c>
      <c r="K29064" s="5">
        <v>0</v>
      </c>
    </row>
    <row r="29065" spans="1:11" x14ac:dyDescent="0.25">
      <c r="A29065" s="5">
        <f>29058</f>
      </c>
      <c r="B29065" s="5" t="s">
        <v>29073</v>
      </c>
      <c r="C29065" s="5">
        <v>100.5</v>
      </c>
      <c r="D29065" s="5">
        <v>0.1</v>
      </c>
      <c r="E29065" s="5">
        <v>100.7</v>
      </c>
      <c r="F29065" s="5">
        <v>201.7</v>
      </c>
      <c r="G29065" s="5">
        <v>100.4</v>
      </c>
      <c r="H29065" s="5">
        <v>100.4</v>
      </c>
      <c r="I29065" s="5">
        <v>0</v>
      </c>
      <c r="J29065" s="5">
        <v>0</v>
      </c>
      <c r="K29065" s="5">
        <v>0</v>
      </c>
    </row>
    <row r="29066" spans="1:11" x14ac:dyDescent="0.25">
      <c r="A29066" s="5">
        <f>29059</f>
      </c>
      <c r="B29066" s="5" t="s">
        <v>29074</v>
      </c>
      <c r="C29066" s="5">
        <v>100.5</v>
      </c>
      <c r="D29066" s="5">
        <v>0.1</v>
      </c>
      <c r="E29066" s="5">
        <v>100.7</v>
      </c>
      <c r="F29066" s="5">
        <v>201.7</v>
      </c>
      <c r="G29066" s="5">
        <v>100.4</v>
      </c>
      <c r="H29066" s="5">
        <v>100.4</v>
      </c>
      <c r="I29066" s="5">
        <v>0</v>
      </c>
      <c r="J29066" s="5">
        <v>0</v>
      </c>
      <c r="K29066" s="5">
        <v>0</v>
      </c>
    </row>
    <row r="29067" spans="1:11" x14ac:dyDescent="0.25">
      <c r="A29067" s="5">
        <f>29060</f>
      </c>
      <c r="B29067" s="5" t="s">
        <v>29075</v>
      </c>
      <c r="C29067" s="5">
        <v>101.5</v>
      </c>
      <c r="D29067" s="5">
        <v>0.1</v>
      </c>
      <c r="E29067" s="5">
        <v>101.7</v>
      </c>
      <c r="F29067" s="5">
        <v>202.2</v>
      </c>
      <c r="G29067" s="5">
        <v>100.9</v>
      </c>
      <c r="H29067" s="5">
        <v>100.8</v>
      </c>
      <c r="I29067" s="5">
        <v>0</v>
      </c>
      <c r="J29067" s="5">
        <v>0</v>
      </c>
      <c r="K29067" s="5">
        <v>0</v>
      </c>
    </row>
    <row r="29068" spans="1:11" x14ac:dyDescent="0.25">
      <c r="A29068" s="5">
        <f>29061</f>
      </c>
      <c r="B29068" s="5" t="s">
        <v>29076</v>
      </c>
      <c r="C29068" s="5">
        <v>101.5</v>
      </c>
      <c r="D29068" s="5">
        <v>0.1</v>
      </c>
      <c r="E29068" s="5">
        <v>101.7</v>
      </c>
      <c r="F29068" s="5">
        <v>202.2</v>
      </c>
      <c r="G29068" s="5">
        <v>100.9</v>
      </c>
      <c r="H29068" s="5">
        <v>100.8</v>
      </c>
      <c r="I29068" s="5">
        <v>0</v>
      </c>
      <c r="J29068" s="5">
        <v>0</v>
      </c>
      <c r="K29068" s="5">
        <v>0</v>
      </c>
    </row>
    <row r="29069" spans="1:11" x14ac:dyDescent="0.25">
      <c r="A29069" s="5">
        <f>29062</f>
      </c>
      <c r="B29069" s="5" t="s">
        <v>29077</v>
      </c>
      <c r="C29069" s="5">
        <v>101.5</v>
      </c>
      <c r="D29069" s="5">
        <v>0.1</v>
      </c>
      <c r="E29069" s="5">
        <v>101.7</v>
      </c>
      <c r="F29069" s="5">
        <v>202.2</v>
      </c>
      <c r="G29069" s="5">
        <v>100.9</v>
      </c>
      <c r="H29069" s="5">
        <v>100.8</v>
      </c>
      <c r="I29069" s="5">
        <v>0</v>
      </c>
      <c r="J29069" s="5">
        <v>0</v>
      </c>
      <c r="K29069" s="5">
        <v>0</v>
      </c>
    </row>
    <row r="29070" spans="1:11" x14ac:dyDescent="0.25">
      <c r="A29070" s="5">
        <f>29063</f>
      </c>
      <c r="B29070" s="5" t="s">
        <v>29078</v>
      </c>
      <c r="C29070" s="5">
        <v>101.5</v>
      </c>
      <c r="D29070" s="5">
        <v>0.1</v>
      </c>
      <c r="E29070" s="5">
        <v>101.7</v>
      </c>
      <c r="F29070" s="5">
        <v>202.2</v>
      </c>
      <c r="G29070" s="5">
        <v>100.9</v>
      </c>
      <c r="H29070" s="5">
        <v>100.8</v>
      </c>
      <c r="I29070" s="5">
        <v>0</v>
      </c>
      <c r="J29070" s="5">
        <v>0</v>
      </c>
      <c r="K29070" s="5">
        <v>0</v>
      </c>
    </row>
    <row r="29071" spans="1:11" x14ac:dyDescent="0.25">
      <c r="A29071" s="5">
        <f>29064</f>
      </c>
      <c r="B29071" s="5" t="s">
        <v>29079</v>
      </c>
      <c r="C29071" s="5">
        <v>100.9</v>
      </c>
      <c r="D29071" s="5">
        <v>0.1</v>
      </c>
      <c r="E29071" s="5">
        <v>101</v>
      </c>
      <c r="F29071" s="5">
        <v>199.8</v>
      </c>
      <c r="G29071" s="5">
        <v>99.7</v>
      </c>
      <c r="H29071" s="5">
        <v>99.6</v>
      </c>
      <c r="I29071" s="5">
        <v>0</v>
      </c>
      <c r="J29071" s="5">
        <v>0</v>
      </c>
      <c r="K29071" s="5">
        <v>0</v>
      </c>
    </row>
    <row r="29072" spans="1:11" x14ac:dyDescent="0.25">
      <c r="A29072" s="5">
        <f>29065</f>
      </c>
      <c r="B29072" s="5" t="s">
        <v>29080</v>
      </c>
      <c r="C29072" s="5">
        <v>100.9</v>
      </c>
      <c r="D29072" s="5">
        <v>0.1</v>
      </c>
      <c r="E29072" s="5">
        <v>101</v>
      </c>
      <c r="F29072" s="5">
        <v>199.8</v>
      </c>
      <c r="G29072" s="5">
        <v>99.7</v>
      </c>
      <c r="H29072" s="5">
        <v>99.6</v>
      </c>
      <c r="I29072" s="5">
        <v>0</v>
      </c>
      <c r="J29072" s="5">
        <v>0</v>
      </c>
      <c r="K29072" s="5">
        <v>0</v>
      </c>
    </row>
    <row r="29073" spans="1:11" x14ac:dyDescent="0.25">
      <c r="A29073" s="5">
        <f>29066</f>
      </c>
      <c r="B29073" s="5" t="s">
        <v>29081</v>
      </c>
      <c r="C29073" s="5">
        <v>100</v>
      </c>
      <c r="D29073" s="5">
        <v>0.1</v>
      </c>
      <c r="E29073" s="5">
        <v>100.2</v>
      </c>
      <c r="F29073" s="5">
        <v>200</v>
      </c>
      <c r="G29073" s="5">
        <v>99.9</v>
      </c>
      <c r="H29073" s="5">
        <v>99.8</v>
      </c>
      <c r="I29073" s="5">
        <v>0</v>
      </c>
      <c r="J29073" s="5">
        <v>0</v>
      </c>
      <c r="K29073" s="5">
        <v>0</v>
      </c>
    </row>
    <row r="29074" spans="1:11" x14ac:dyDescent="0.25">
      <c r="A29074" s="5">
        <f>29067</f>
      </c>
      <c r="B29074" s="5" t="s">
        <v>29082</v>
      </c>
      <c r="C29074" s="5">
        <v>100</v>
      </c>
      <c r="D29074" s="5">
        <v>0.1</v>
      </c>
      <c r="E29074" s="5">
        <v>100.2</v>
      </c>
      <c r="F29074" s="5">
        <v>200</v>
      </c>
      <c r="G29074" s="5">
        <v>99.9</v>
      </c>
      <c r="H29074" s="5">
        <v>99.8</v>
      </c>
      <c r="I29074" s="5">
        <v>0</v>
      </c>
      <c r="J29074" s="5">
        <v>0</v>
      </c>
      <c r="K29074" s="5">
        <v>0</v>
      </c>
    </row>
    <row r="29075" spans="1:11" x14ac:dyDescent="0.25">
      <c r="A29075" s="5">
        <f>29068</f>
      </c>
      <c r="B29075" s="5" t="s">
        <v>29083</v>
      </c>
      <c r="C29075" s="5">
        <v>100.7</v>
      </c>
      <c r="D29075" s="5">
        <v>0.1</v>
      </c>
      <c r="E29075" s="5">
        <v>100.8</v>
      </c>
      <c r="F29075" s="5">
        <v>200.9</v>
      </c>
      <c r="G29075" s="5">
        <v>100.2</v>
      </c>
      <c r="H29075" s="5">
        <v>99.8</v>
      </c>
      <c r="I29075" s="5">
        <v>0</v>
      </c>
      <c r="J29075" s="5">
        <v>0</v>
      </c>
      <c r="K29075" s="5">
        <v>0</v>
      </c>
    </row>
    <row r="29076" spans="1:11" x14ac:dyDescent="0.25">
      <c r="A29076" s="5">
        <f>29069</f>
      </c>
      <c r="B29076" s="5" t="s">
        <v>29084</v>
      </c>
      <c r="C29076" s="5">
        <v>100.7</v>
      </c>
      <c r="D29076" s="5">
        <v>0.1</v>
      </c>
      <c r="E29076" s="5">
        <v>100.8</v>
      </c>
      <c r="F29076" s="5">
        <v>200.9</v>
      </c>
      <c r="G29076" s="5">
        <v>100.2</v>
      </c>
      <c r="H29076" s="5">
        <v>99.8</v>
      </c>
      <c r="I29076" s="5">
        <v>0</v>
      </c>
      <c r="J29076" s="5">
        <v>0</v>
      </c>
      <c r="K29076" s="5">
        <v>0</v>
      </c>
    </row>
    <row r="29077" spans="1:11" x14ac:dyDescent="0.25">
      <c r="A29077" s="5">
        <f>29070</f>
      </c>
      <c r="B29077" s="5" t="s">
        <v>29085</v>
      </c>
      <c r="C29077" s="5">
        <v>100</v>
      </c>
      <c r="D29077" s="5">
        <v>0.1</v>
      </c>
      <c r="E29077" s="5">
        <v>100.1</v>
      </c>
      <c r="F29077" s="5">
        <v>199.8</v>
      </c>
      <c r="G29077" s="5">
        <v>99.7</v>
      </c>
      <c r="H29077" s="5">
        <v>99.5</v>
      </c>
      <c r="I29077" s="5">
        <v>0</v>
      </c>
      <c r="J29077" s="5">
        <v>0</v>
      </c>
      <c r="K29077" s="5">
        <v>0</v>
      </c>
    </row>
    <row r="29078" spans="1:11" x14ac:dyDescent="0.25">
      <c r="A29078" s="5">
        <f>29071</f>
      </c>
      <c r="B29078" s="5" t="s">
        <v>29086</v>
      </c>
      <c r="C29078" s="5">
        <v>100</v>
      </c>
      <c r="D29078" s="5">
        <v>0.1</v>
      </c>
      <c r="E29078" s="5">
        <v>100.1</v>
      </c>
      <c r="F29078" s="5">
        <v>199.8</v>
      </c>
      <c r="G29078" s="5">
        <v>99.7</v>
      </c>
      <c r="H29078" s="5">
        <v>99.5</v>
      </c>
      <c r="I29078" s="5">
        <v>0</v>
      </c>
      <c r="J29078" s="5">
        <v>0</v>
      </c>
      <c r="K29078" s="5">
        <v>0</v>
      </c>
    </row>
    <row r="29079" spans="1:11" x14ac:dyDescent="0.25">
      <c r="A29079" s="5">
        <f>29072</f>
      </c>
      <c r="B29079" s="5" t="s">
        <v>29087</v>
      </c>
      <c r="C29079" s="5">
        <v>100</v>
      </c>
      <c r="D29079" s="5">
        <v>0.1</v>
      </c>
      <c r="E29079" s="5">
        <v>100.1</v>
      </c>
      <c r="F29079" s="5">
        <v>199.8</v>
      </c>
      <c r="G29079" s="5">
        <v>99.7</v>
      </c>
      <c r="H29079" s="5">
        <v>99.5</v>
      </c>
      <c r="I29079" s="5">
        <v>0</v>
      </c>
      <c r="J29079" s="5">
        <v>0</v>
      </c>
      <c r="K29079" s="5">
        <v>0</v>
      </c>
    </row>
    <row r="29080" spans="1:11" x14ac:dyDescent="0.25">
      <c r="A29080" s="5">
        <f>29073</f>
      </c>
      <c r="B29080" s="5" t="s">
        <v>29088</v>
      </c>
      <c r="C29080" s="5">
        <v>100</v>
      </c>
      <c r="D29080" s="5">
        <v>0.1</v>
      </c>
      <c r="E29080" s="5">
        <v>100.1</v>
      </c>
      <c r="F29080" s="5">
        <v>199.8</v>
      </c>
      <c r="G29080" s="5">
        <v>99.7</v>
      </c>
      <c r="H29080" s="5">
        <v>99.5</v>
      </c>
      <c r="I29080" s="5">
        <v>0</v>
      </c>
      <c r="J29080" s="5">
        <v>0</v>
      </c>
      <c r="K29080" s="5">
        <v>0</v>
      </c>
    </row>
    <row r="29081" spans="1:11" x14ac:dyDescent="0.25">
      <c r="A29081" s="5">
        <f>29074</f>
      </c>
      <c r="B29081" s="5" t="s">
        <v>29089</v>
      </c>
      <c r="C29081" s="5">
        <v>100.7</v>
      </c>
      <c r="D29081" s="5">
        <v>0.1</v>
      </c>
      <c r="E29081" s="5">
        <v>100.8</v>
      </c>
      <c r="F29081" s="5">
        <v>199.4</v>
      </c>
      <c r="G29081" s="5">
        <v>99.6</v>
      </c>
      <c r="H29081" s="5">
        <v>99.5</v>
      </c>
      <c r="I29081" s="5">
        <v>0</v>
      </c>
      <c r="J29081" s="5">
        <v>0</v>
      </c>
      <c r="K29081" s="5">
        <v>0</v>
      </c>
    </row>
    <row r="29082" spans="1:11" x14ac:dyDescent="0.25">
      <c r="A29082" s="5">
        <f>29075</f>
      </c>
      <c r="B29082" s="5" t="s">
        <v>29090</v>
      </c>
      <c r="C29082" s="5">
        <v>100.7</v>
      </c>
      <c r="D29082" s="5">
        <v>0.1</v>
      </c>
      <c r="E29082" s="5">
        <v>100.8</v>
      </c>
      <c r="F29082" s="5">
        <v>199.4</v>
      </c>
      <c r="G29082" s="5">
        <v>99.6</v>
      </c>
      <c r="H29082" s="5">
        <v>99.5</v>
      </c>
      <c r="I29082" s="5">
        <v>0</v>
      </c>
      <c r="J29082" s="5">
        <v>0</v>
      </c>
      <c r="K29082" s="5">
        <v>0</v>
      </c>
    </row>
    <row r="29083" spans="1:11" x14ac:dyDescent="0.25">
      <c r="A29083" s="5">
        <f>29076</f>
      </c>
      <c r="B29083" s="5" t="s">
        <v>29091</v>
      </c>
      <c r="C29083" s="5">
        <v>101.1</v>
      </c>
      <c r="D29083" s="5">
        <v>0.1</v>
      </c>
      <c r="E29083" s="5">
        <v>101.3</v>
      </c>
      <c r="F29083" s="5">
        <v>201.6</v>
      </c>
      <c r="G29083" s="5">
        <v>100.7</v>
      </c>
      <c r="H29083" s="5">
        <v>100.6</v>
      </c>
      <c r="I29083" s="5">
        <v>0</v>
      </c>
      <c r="J29083" s="5">
        <v>0</v>
      </c>
      <c r="K29083" s="5">
        <v>0</v>
      </c>
    </row>
    <row r="29084" spans="1:11" x14ac:dyDescent="0.25">
      <c r="A29084" s="5">
        <f>29077</f>
      </c>
      <c r="B29084" s="5" t="s">
        <v>29092</v>
      </c>
      <c r="C29084" s="5">
        <v>101.1</v>
      </c>
      <c r="D29084" s="5">
        <v>0.1</v>
      </c>
      <c r="E29084" s="5">
        <v>101.3</v>
      </c>
      <c r="F29084" s="5">
        <v>201.6</v>
      </c>
      <c r="G29084" s="5">
        <v>100.7</v>
      </c>
      <c r="H29084" s="5">
        <v>100.6</v>
      </c>
      <c r="I29084" s="5">
        <v>0</v>
      </c>
      <c r="J29084" s="5">
        <v>0</v>
      </c>
      <c r="K29084" s="5">
        <v>0</v>
      </c>
    </row>
    <row r="29085" spans="1:11" x14ac:dyDescent="0.25">
      <c r="A29085" s="5">
        <f>29078</f>
      </c>
      <c r="B29085" s="5" t="s">
        <v>29093</v>
      </c>
      <c r="C29085" s="5">
        <v>100.8</v>
      </c>
      <c r="D29085" s="5">
        <v>0.1</v>
      </c>
      <c r="E29085" s="5">
        <v>100.9</v>
      </c>
      <c r="F29085" s="5">
        <v>201.3</v>
      </c>
      <c r="G29085" s="5">
        <v>100.3</v>
      </c>
      <c r="H29085" s="5">
        <v>100.1</v>
      </c>
      <c r="I29085" s="5">
        <v>0</v>
      </c>
      <c r="J29085" s="5">
        <v>0</v>
      </c>
      <c r="K29085" s="5">
        <v>0</v>
      </c>
    </row>
    <row r="29086" spans="1:11" x14ac:dyDescent="0.25">
      <c r="A29086" s="5">
        <f>29079</f>
      </c>
      <c r="B29086" s="5" t="s">
        <v>29094</v>
      </c>
      <c r="C29086" s="5">
        <v>100.8</v>
      </c>
      <c r="D29086" s="5">
        <v>0.1</v>
      </c>
      <c r="E29086" s="5">
        <v>100.9</v>
      </c>
      <c r="F29086" s="5">
        <v>201.3</v>
      </c>
      <c r="G29086" s="5">
        <v>100.3</v>
      </c>
      <c r="H29086" s="5">
        <v>100.1</v>
      </c>
      <c r="I29086" s="5">
        <v>0</v>
      </c>
      <c r="J29086" s="5">
        <v>0</v>
      </c>
      <c r="K29086" s="5">
        <v>0</v>
      </c>
    </row>
    <row r="29087" spans="1:11" x14ac:dyDescent="0.25">
      <c r="A29087" s="5">
        <f>29080</f>
      </c>
      <c r="B29087" s="5" t="s">
        <v>29095</v>
      </c>
      <c r="C29087" s="5">
        <v>101.5</v>
      </c>
      <c r="D29087" s="5">
        <v>0.1</v>
      </c>
      <c r="E29087" s="5">
        <v>101.6</v>
      </c>
      <c r="F29087" s="5">
        <v>202.8</v>
      </c>
      <c r="G29087" s="5">
        <v>101.2</v>
      </c>
      <c r="H29087" s="5">
        <v>101</v>
      </c>
      <c r="I29087" s="5">
        <v>0</v>
      </c>
      <c r="J29087" s="5">
        <v>0</v>
      </c>
      <c r="K29087" s="5">
        <v>0</v>
      </c>
    </row>
    <row r="29088" spans="1:11" x14ac:dyDescent="0.25">
      <c r="A29088" s="5">
        <f>29081</f>
      </c>
      <c r="B29088" s="5" t="s">
        <v>29096</v>
      </c>
      <c r="C29088" s="5">
        <v>101.5</v>
      </c>
      <c r="D29088" s="5">
        <v>0.1</v>
      </c>
      <c r="E29088" s="5">
        <v>101.6</v>
      </c>
      <c r="F29088" s="5">
        <v>202.8</v>
      </c>
      <c r="G29088" s="5">
        <v>101.2</v>
      </c>
      <c r="H29088" s="5">
        <v>101</v>
      </c>
      <c r="I29088" s="5">
        <v>0</v>
      </c>
      <c r="J29088" s="5">
        <v>0</v>
      </c>
      <c r="K29088" s="5">
        <v>0</v>
      </c>
    </row>
    <row r="29089" spans="1:11" x14ac:dyDescent="0.25">
      <c r="A29089" s="5">
        <f>29082</f>
      </c>
      <c r="B29089" s="5" t="s">
        <v>29097</v>
      </c>
      <c r="C29089" s="5">
        <v>101.5</v>
      </c>
      <c r="D29089" s="5">
        <v>0.1</v>
      </c>
      <c r="E29089" s="5">
        <v>101.6</v>
      </c>
      <c r="F29089" s="5">
        <v>202.8</v>
      </c>
      <c r="G29089" s="5">
        <v>101.2</v>
      </c>
      <c r="H29089" s="5">
        <v>101</v>
      </c>
      <c r="I29089" s="5">
        <v>0</v>
      </c>
      <c r="J29089" s="5">
        <v>0</v>
      </c>
      <c r="K29089" s="5">
        <v>0</v>
      </c>
    </row>
    <row r="29090" spans="1:11" x14ac:dyDescent="0.25">
      <c r="A29090" s="5">
        <f>29083</f>
      </c>
      <c r="B29090" s="5" t="s">
        <v>29098</v>
      </c>
      <c r="C29090" s="5">
        <v>101.5</v>
      </c>
      <c r="D29090" s="5">
        <v>0.1</v>
      </c>
      <c r="E29090" s="5">
        <v>101.6</v>
      </c>
      <c r="F29090" s="5">
        <v>202.8</v>
      </c>
      <c r="G29090" s="5">
        <v>101.2</v>
      </c>
      <c r="H29090" s="5">
        <v>101</v>
      </c>
      <c r="I29090" s="5">
        <v>0</v>
      </c>
      <c r="J29090" s="5">
        <v>0</v>
      </c>
      <c r="K29090" s="5">
        <v>0</v>
      </c>
    </row>
    <row r="29091" spans="1:11" x14ac:dyDescent="0.25">
      <c r="A29091" s="5">
        <f>29084</f>
      </c>
      <c r="B29091" s="5" t="s">
        <v>29099</v>
      </c>
      <c r="C29091" s="5">
        <v>101.1</v>
      </c>
      <c r="D29091" s="5">
        <v>0.1</v>
      </c>
      <c r="E29091" s="5">
        <v>101.3</v>
      </c>
      <c r="F29091" s="5">
        <v>202.5</v>
      </c>
      <c r="G29091" s="5">
        <v>101.3</v>
      </c>
      <c r="H29091" s="5">
        <v>101.1</v>
      </c>
      <c r="I29091" s="5">
        <v>0</v>
      </c>
      <c r="J29091" s="5">
        <v>0</v>
      </c>
      <c r="K29091" s="5">
        <v>0</v>
      </c>
    </row>
    <row r="29092" spans="1:11" x14ac:dyDescent="0.25">
      <c r="A29092" s="5">
        <f>29085</f>
      </c>
      <c r="B29092" s="5" t="s">
        <v>29100</v>
      </c>
      <c r="C29092" s="5">
        <v>101.1</v>
      </c>
      <c r="D29092" s="5">
        <v>0.1</v>
      </c>
      <c r="E29092" s="5">
        <v>101.3</v>
      </c>
      <c r="F29092" s="5">
        <v>202.5</v>
      </c>
      <c r="G29092" s="5">
        <v>101.3</v>
      </c>
      <c r="H29092" s="5">
        <v>101.1</v>
      </c>
      <c r="I29092" s="5">
        <v>0</v>
      </c>
      <c r="J29092" s="5">
        <v>0</v>
      </c>
      <c r="K29092" s="5">
        <v>0</v>
      </c>
    </row>
    <row r="29093" spans="1:11" x14ac:dyDescent="0.25">
      <c r="A29093" s="5">
        <f>29086</f>
      </c>
      <c r="B29093" s="5" t="s">
        <v>29101</v>
      </c>
      <c r="C29093" s="5">
        <v>101.3</v>
      </c>
      <c r="D29093" s="5">
        <v>0.1</v>
      </c>
      <c r="E29093" s="5">
        <v>101.5</v>
      </c>
      <c r="F29093" s="5">
        <v>202.5</v>
      </c>
      <c r="G29093" s="5">
        <v>101.1</v>
      </c>
      <c r="H29093" s="5">
        <v>101</v>
      </c>
      <c r="I29093" s="5">
        <v>0</v>
      </c>
      <c r="J29093" s="5">
        <v>0</v>
      </c>
      <c r="K29093" s="5">
        <v>0</v>
      </c>
    </row>
    <row r="29094" spans="1:11" x14ac:dyDescent="0.25">
      <c r="A29094" s="5">
        <f>29087</f>
      </c>
      <c r="B29094" s="5" t="s">
        <v>29102</v>
      </c>
      <c r="C29094" s="5">
        <v>101.3</v>
      </c>
      <c r="D29094" s="5">
        <v>0.1</v>
      </c>
      <c r="E29094" s="5">
        <v>101.5</v>
      </c>
      <c r="F29094" s="5">
        <v>202.5</v>
      </c>
      <c r="G29094" s="5">
        <v>101.1</v>
      </c>
      <c r="H29094" s="5">
        <v>101</v>
      </c>
      <c r="I29094" s="5">
        <v>0</v>
      </c>
      <c r="J29094" s="5">
        <v>0</v>
      </c>
      <c r="K29094" s="5">
        <v>0</v>
      </c>
    </row>
    <row r="29095" spans="1:11" x14ac:dyDescent="0.25">
      <c r="A29095" s="5">
        <f>29088</f>
      </c>
      <c r="B29095" s="5" t="s">
        <v>29103</v>
      </c>
      <c r="C29095" s="5">
        <v>101.1</v>
      </c>
      <c r="D29095" s="5">
        <v>0.1</v>
      </c>
      <c r="E29095" s="5">
        <v>101.2</v>
      </c>
      <c r="F29095" s="5">
        <v>202</v>
      </c>
      <c r="G29095" s="5">
        <v>100.9</v>
      </c>
      <c r="H29095" s="5">
        <v>101</v>
      </c>
      <c r="I29095" s="5">
        <v>0</v>
      </c>
      <c r="J29095" s="5">
        <v>0</v>
      </c>
      <c r="K29095" s="5">
        <v>0</v>
      </c>
    </row>
    <row r="29096" spans="1:11" x14ac:dyDescent="0.25">
      <c r="A29096" s="5">
        <f>29089</f>
      </c>
      <c r="B29096" s="5" t="s">
        <v>29104</v>
      </c>
      <c r="C29096" s="5">
        <v>101.1</v>
      </c>
      <c r="D29096" s="5">
        <v>0.1</v>
      </c>
      <c r="E29096" s="5">
        <v>101.2</v>
      </c>
      <c r="F29096" s="5">
        <v>202</v>
      </c>
      <c r="G29096" s="5">
        <v>100.9</v>
      </c>
      <c r="H29096" s="5">
        <v>101</v>
      </c>
      <c r="I29096" s="5">
        <v>0</v>
      </c>
      <c r="J29096" s="5">
        <v>0</v>
      </c>
      <c r="K29096" s="5">
        <v>0</v>
      </c>
    </row>
    <row r="29097" spans="1:11" x14ac:dyDescent="0.25">
      <c r="A29097" s="5">
        <f>29090</f>
      </c>
      <c r="B29097" s="5" t="s">
        <v>29105</v>
      </c>
      <c r="C29097" s="5">
        <v>100.5</v>
      </c>
      <c r="D29097" s="5">
        <v>0.1</v>
      </c>
      <c r="E29097" s="5">
        <v>100.7</v>
      </c>
      <c r="F29097" s="5">
        <v>201.4</v>
      </c>
      <c r="G29097" s="5">
        <v>100.5</v>
      </c>
      <c r="H29097" s="5">
        <v>100.3</v>
      </c>
      <c r="I29097" s="5">
        <v>0</v>
      </c>
      <c r="J29097" s="5">
        <v>0</v>
      </c>
      <c r="K29097" s="5">
        <v>0</v>
      </c>
    </row>
    <row r="29098" spans="1:11" x14ac:dyDescent="0.25">
      <c r="A29098" s="5">
        <f>29091</f>
      </c>
      <c r="B29098" s="5" t="s">
        <v>29106</v>
      </c>
      <c r="C29098" s="5">
        <v>100.5</v>
      </c>
      <c r="D29098" s="5">
        <v>0.1</v>
      </c>
      <c r="E29098" s="5">
        <v>100.7</v>
      </c>
      <c r="F29098" s="5">
        <v>201.4</v>
      </c>
      <c r="G29098" s="5">
        <v>100.5</v>
      </c>
      <c r="H29098" s="5">
        <v>100.3</v>
      </c>
      <c r="I29098" s="5">
        <v>0</v>
      </c>
      <c r="J29098" s="5">
        <v>0</v>
      </c>
      <c r="K29098" s="5">
        <v>0</v>
      </c>
    </row>
    <row r="29099" spans="1:11" x14ac:dyDescent="0.25">
      <c r="A29099" s="5">
        <f>29092</f>
      </c>
      <c r="B29099" s="5" t="s">
        <v>29107</v>
      </c>
      <c r="C29099" s="5">
        <v>100.5</v>
      </c>
      <c r="D29099" s="5">
        <v>0.1</v>
      </c>
      <c r="E29099" s="5">
        <v>100.7</v>
      </c>
      <c r="F29099" s="5">
        <v>201.4</v>
      </c>
      <c r="G29099" s="5">
        <v>100.5</v>
      </c>
      <c r="H29099" s="5">
        <v>100.3</v>
      </c>
      <c r="I29099" s="5">
        <v>0</v>
      </c>
      <c r="J29099" s="5">
        <v>0</v>
      </c>
      <c r="K29099" s="5">
        <v>0</v>
      </c>
    </row>
    <row r="29100" spans="1:11" x14ac:dyDescent="0.25">
      <c r="A29100" s="5">
        <f>29093</f>
      </c>
      <c r="B29100" s="5" t="s">
        <v>29108</v>
      </c>
      <c r="C29100" s="5">
        <v>100.5</v>
      </c>
      <c r="D29100" s="5">
        <v>0.1</v>
      </c>
      <c r="E29100" s="5">
        <v>100.7</v>
      </c>
      <c r="F29100" s="5">
        <v>201.4</v>
      </c>
      <c r="G29100" s="5">
        <v>100.5</v>
      </c>
      <c r="H29100" s="5">
        <v>100.3</v>
      </c>
      <c r="I29100" s="5">
        <v>0</v>
      </c>
      <c r="J29100" s="5">
        <v>0</v>
      </c>
      <c r="K29100" s="5">
        <v>0</v>
      </c>
    </row>
    <row r="29101" spans="1:11" x14ac:dyDescent="0.25">
      <c r="A29101" s="5">
        <f>29094</f>
      </c>
      <c r="B29101" s="5" t="s">
        <v>29109</v>
      </c>
      <c r="C29101" s="5">
        <v>101.2</v>
      </c>
      <c r="D29101" s="5">
        <v>0.1</v>
      </c>
      <c r="E29101" s="5">
        <v>101.4</v>
      </c>
      <c r="F29101" s="5">
        <v>202.2</v>
      </c>
      <c r="G29101" s="5">
        <v>100.9</v>
      </c>
      <c r="H29101" s="5">
        <v>100.7</v>
      </c>
      <c r="I29101" s="5">
        <v>0</v>
      </c>
      <c r="J29101" s="5">
        <v>0</v>
      </c>
      <c r="K29101" s="5">
        <v>0</v>
      </c>
    </row>
    <row r="29102" spans="1:11" x14ac:dyDescent="0.25">
      <c r="A29102" s="5">
        <f>29095</f>
      </c>
      <c r="B29102" s="5" t="s">
        <v>29110</v>
      </c>
      <c r="C29102" s="5">
        <v>101.2</v>
      </c>
      <c r="D29102" s="5">
        <v>0.1</v>
      </c>
      <c r="E29102" s="5">
        <v>101.4</v>
      </c>
      <c r="F29102" s="5">
        <v>202.2</v>
      </c>
      <c r="G29102" s="5">
        <v>100.9</v>
      </c>
      <c r="H29102" s="5">
        <v>100.7</v>
      </c>
      <c r="I29102" s="5">
        <v>0</v>
      </c>
      <c r="J29102" s="5">
        <v>0</v>
      </c>
      <c r="K29102" s="5">
        <v>0</v>
      </c>
    </row>
    <row r="29103" spans="1:11" x14ac:dyDescent="0.25">
      <c r="A29103" s="5">
        <f>29096</f>
      </c>
      <c r="B29103" s="5" t="s">
        <v>29111</v>
      </c>
      <c r="C29103" s="5">
        <v>101.1</v>
      </c>
      <c r="D29103" s="5">
        <v>0.1</v>
      </c>
      <c r="E29103" s="5">
        <v>101.3</v>
      </c>
      <c r="F29103" s="5">
        <v>202.7</v>
      </c>
      <c r="G29103" s="5">
        <v>101.2</v>
      </c>
      <c r="H29103" s="5">
        <v>101</v>
      </c>
      <c r="I29103" s="5">
        <v>0</v>
      </c>
      <c r="J29103" s="5">
        <v>0</v>
      </c>
      <c r="K29103" s="5">
        <v>0</v>
      </c>
    </row>
    <row r="29104" spans="1:11" x14ac:dyDescent="0.25">
      <c r="A29104" s="5">
        <f>29097</f>
      </c>
      <c r="B29104" s="5" t="s">
        <v>29112</v>
      </c>
      <c r="C29104" s="5">
        <v>101.1</v>
      </c>
      <c r="D29104" s="5">
        <v>0.1</v>
      </c>
      <c r="E29104" s="5">
        <v>101.3</v>
      </c>
      <c r="F29104" s="5">
        <v>202.7</v>
      </c>
      <c r="G29104" s="5">
        <v>101.2</v>
      </c>
      <c r="H29104" s="5">
        <v>101</v>
      </c>
      <c r="I29104" s="5">
        <v>0</v>
      </c>
      <c r="J29104" s="5">
        <v>0</v>
      </c>
      <c r="K29104" s="5">
        <v>0</v>
      </c>
    </row>
    <row r="29105" spans="1:11" x14ac:dyDescent="0.25">
      <c r="A29105" s="5">
        <f>29098</f>
      </c>
      <c r="B29105" s="5" t="s">
        <v>29113</v>
      </c>
      <c r="C29105" s="5">
        <v>101.3</v>
      </c>
      <c r="D29105" s="5">
        <v>0.1</v>
      </c>
      <c r="E29105" s="5">
        <v>101.5</v>
      </c>
      <c r="F29105" s="5">
        <v>203</v>
      </c>
      <c r="G29105" s="5">
        <v>101.3</v>
      </c>
      <c r="H29105" s="5">
        <v>101.2</v>
      </c>
      <c r="I29105" s="5">
        <v>0</v>
      </c>
      <c r="J29105" s="5">
        <v>0</v>
      </c>
      <c r="K29105" s="5">
        <v>0</v>
      </c>
    </row>
    <row r="29106" spans="1:11" x14ac:dyDescent="0.25">
      <c r="A29106" s="5">
        <f>29099</f>
      </c>
      <c r="B29106" s="5" t="s">
        <v>29114</v>
      </c>
      <c r="C29106" s="5">
        <v>101.3</v>
      </c>
      <c r="D29106" s="5">
        <v>0.1</v>
      </c>
      <c r="E29106" s="5">
        <v>101.5</v>
      </c>
      <c r="F29106" s="5">
        <v>203</v>
      </c>
      <c r="G29106" s="5">
        <v>101.3</v>
      </c>
      <c r="H29106" s="5">
        <v>101.2</v>
      </c>
      <c r="I29106" s="5">
        <v>0</v>
      </c>
      <c r="J29106" s="5">
        <v>0</v>
      </c>
      <c r="K29106" s="5">
        <v>0</v>
      </c>
    </row>
    <row r="29107" spans="1:11" x14ac:dyDescent="0.25">
      <c r="A29107" s="5">
        <f>29100</f>
      </c>
      <c r="B29107" s="5" t="s">
        <v>29115</v>
      </c>
      <c r="C29107" s="5">
        <v>101.3</v>
      </c>
      <c r="D29107" s="5">
        <v>0.1</v>
      </c>
      <c r="E29107" s="5">
        <v>101.5</v>
      </c>
      <c r="F29107" s="5">
        <v>202.6</v>
      </c>
      <c r="G29107" s="5">
        <v>101</v>
      </c>
      <c r="H29107" s="5">
        <v>101</v>
      </c>
      <c r="I29107" s="5">
        <v>0</v>
      </c>
      <c r="J29107" s="5">
        <v>0</v>
      </c>
      <c r="K29107" s="5">
        <v>0</v>
      </c>
    </row>
    <row r="29108" spans="1:11" x14ac:dyDescent="0.25">
      <c r="A29108" s="5">
        <f>29101</f>
      </c>
      <c r="B29108" s="5" t="s">
        <v>29116</v>
      </c>
      <c r="C29108" s="5">
        <v>101.3</v>
      </c>
      <c r="D29108" s="5">
        <v>0.1</v>
      </c>
      <c r="E29108" s="5">
        <v>101.5</v>
      </c>
      <c r="F29108" s="5">
        <v>202.6</v>
      </c>
      <c r="G29108" s="5">
        <v>101</v>
      </c>
      <c r="H29108" s="5">
        <v>101</v>
      </c>
      <c r="I29108" s="5">
        <v>0</v>
      </c>
      <c r="J29108" s="5">
        <v>0</v>
      </c>
      <c r="K29108" s="5">
        <v>0</v>
      </c>
    </row>
    <row r="29109" spans="1:11" x14ac:dyDescent="0.25">
      <c r="A29109" s="5">
        <f>29102</f>
      </c>
      <c r="B29109" s="5" t="s">
        <v>29117</v>
      </c>
      <c r="C29109" s="5">
        <v>101.3</v>
      </c>
      <c r="D29109" s="5">
        <v>0.1</v>
      </c>
      <c r="E29109" s="5">
        <v>101.5</v>
      </c>
      <c r="F29109" s="5">
        <v>202.6</v>
      </c>
      <c r="G29109" s="5">
        <v>101</v>
      </c>
      <c r="H29109" s="5">
        <v>101</v>
      </c>
      <c r="I29109" s="5">
        <v>0</v>
      </c>
      <c r="J29109" s="5">
        <v>0</v>
      </c>
      <c r="K29109" s="5">
        <v>0</v>
      </c>
    </row>
    <row r="29110" spans="1:11" x14ac:dyDescent="0.25">
      <c r="A29110" s="5">
        <f>29103</f>
      </c>
      <c r="B29110" s="5" t="s">
        <v>29118</v>
      </c>
      <c r="C29110" s="5">
        <v>101.5</v>
      </c>
      <c r="D29110" s="5">
        <v>0.1</v>
      </c>
      <c r="E29110" s="5">
        <v>101.5</v>
      </c>
      <c r="F29110" s="5">
        <v>202.3</v>
      </c>
      <c r="G29110" s="5">
        <v>100.9</v>
      </c>
      <c r="H29110" s="5">
        <v>100.7</v>
      </c>
      <c r="I29110" s="5">
        <v>0</v>
      </c>
      <c r="J29110" s="5">
        <v>0</v>
      </c>
      <c r="K29110" s="5">
        <v>0</v>
      </c>
    </row>
    <row r="29111" spans="1:11" x14ac:dyDescent="0.25">
      <c r="A29111" s="5">
        <f>29104</f>
      </c>
      <c r="B29111" s="5" t="s">
        <v>29119</v>
      </c>
      <c r="C29111" s="5">
        <v>101.5</v>
      </c>
      <c r="D29111" s="5">
        <v>0.1</v>
      </c>
      <c r="E29111" s="5">
        <v>101.5</v>
      </c>
      <c r="F29111" s="5">
        <v>202.3</v>
      </c>
      <c r="G29111" s="5">
        <v>100.9</v>
      </c>
      <c r="H29111" s="5">
        <v>100.7</v>
      </c>
      <c r="I29111" s="5">
        <v>0</v>
      </c>
      <c r="J29111" s="5">
        <v>0</v>
      </c>
      <c r="K29111" s="5">
        <v>0</v>
      </c>
    </row>
    <row r="29112" spans="1:11" x14ac:dyDescent="0.25">
      <c r="A29112" s="5">
        <f>29105</f>
      </c>
      <c r="B29112" s="5" t="s">
        <v>29120</v>
      </c>
      <c r="C29112" s="5">
        <v>101.2</v>
      </c>
      <c r="D29112" s="5">
        <v>0.1</v>
      </c>
      <c r="E29112" s="5">
        <v>101.4</v>
      </c>
      <c r="F29112" s="5">
        <v>202.3</v>
      </c>
      <c r="G29112" s="5">
        <v>101</v>
      </c>
      <c r="H29112" s="5">
        <v>101</v>
      </c>
      <c r="I29112" s="5">
        <v>0</v>
      </c>
      <c r="J29112" s="5">
        <v>0</v>
      </c>
      <c r="K29112" s="5">
        <v>0</v>
      </c>
    </row>
    <row r="29113" spans="1:11" x14ac:dyDescent="0.25">
      <c r="A29113" s="5">
        <f>29106</f>
      </c>
      <c r="B29113" s="5" t="s">
        <v>29121</v>
      </c>
      <c r="C29113" s="5">
        <v>101.2</v>
      </c>
      <c r="D29113" s="5">
        <v>0.1</v>
      </c>
      <c r="E29113" s="5">
        <v>101.4</v>
      </c>
      <c r="F29113" s="5">
        <v>202.3</v>
      </c>
      <c r="G29113" s="5">
        <v>101</v>
      </c>
      <c r="H29113" s="5">
        <v>101</v>
      </c>
      <c r="I29113" s="5">
        <v>0</v>
      </c>
      <c r="J29113" s="5">
        <v>0</v>
      </c>
      <c r="K29113" s="5">
        <v>0</v>
      </c>
    </row>
    <row r="29114" spans="1:11" x14ac:dyDescent="0.25">
      <c r="A29114" s="5">
        <f>29107</f>
      </c>
      <c r="B29114" s="5" t="s">
        <v>29122</v>
      </c>
      <c r="C29114" s="5">
        <v>102.4</v>
      </c>
      <c r="D29114" s="5">
        <v>0.1</v>
      </c>
      <c r="E29114" s="5">
        <v>102.5</v>
      </c>
      <c r="F29114" s="5">
        <v>203.9</v>
      </c>
      <c r="G29114" s="5">
        <v>101.8</v>
      </c>
      <c r="H29114" s="5">
        <v>101.6</v>
      </c>
      <c r="I29114" s="5">
        <v>0</v>
      </c>
      <c r="J29114" s="5">
        <v>0</v>
      </c>
      <c r="K29114" s="5">
        <v>0</v>
      </c>
    </row>
    <row r="29115" spans="1:11" x14ac:dyDescent="0.25">
      <c r="A29115" s="5">
        <f>29108</f>
      </c>
      <c r="B29115" s="5" t="s">
        <v>29123</v>
      </c>
      <c r="C29115" s="5">
        <v>102.4</v>
      </c>
      <c r="D29115" s="5">
        <v>0.1</v>
      </c>
      <c r="E29115" s="5">
        <v>102.5</v>
      </c>
      <c r="F29115" s="5">
        <v>203.9</v>
      </c>
      <c r="G29115" s="5">
        <v>101.8</v>
      </c>
      <c r="H29115" s="5">
        <v>101.6</v>
      </c>
      <c r="I29115" s="5">
        <v>0</v>
      </c>
      <c r="J29115" s="5">
        <v>0</v>
      </c>
      <c r="K29115" s="5">
        <v>0</v>
      </c>
    </row>
    <row r="29116" spans="1:11" x14ac:dyDescent="0.25">
      <c r="A29116" s="5">
        <f>29109</f>
      </c>
      <c r="B29116" s="5" t="s">
        <v>29124</v>
      </c>
      <c r="C29116" s="5">
        <v>101.6</v>
      </c>
      <c r="D29116" s="5">
        <v>0.1</v>
      </c>
      <c r="E29116" s="5">
        <v>101.8</v>
      </c>
      <c r="F29116" s="5">
        <v>202.3</v>
      </c>
      <c r="G29116" s="5">
        <v>100.9</v>
      </c>
      <c r="H29116" s="5">
        <v>100.7</v>
      </c>
      <c r="I29116" s="5">
        <v>0</v>
      </c>
      <c r="J29116" s="5">
        <v>0</v>
      </c>
      <c r="K29116" s="5">
        <v>0</v>
      </c>
    </row>
    <row r="29117" spans="1:11" x14ac:dyDescent="0.25">
      <c r="A29117" s="5">
        <f>29110</f>
      </c>
      <c r="B29117" s="5" t="s">
        <v>29125</v>
      </c>
      <c r="C29117" s="5">
        <v>101.6</v>
      </c>
      <c r="D29117" s="5">
        <v>0.1</v>
      </c>
      <c r="E29117" s="5">
        <v>101.8</v>
      </c>
      <c r="F29117" s="5">
        <v>202.3</v>
      </c>
      <c r="G29117" s="5">
        <v>100.9</v>
      </c>
      <c r="H29117" s="5">
        <v>100.7</v>
      </c>
      <c r="I29117" s="5">
        <v>0</v>
      </c>
      <c r="J29117" s="5">
        <v>0</v>
      </c>
      <c r="K29117" s="5">
        <v>0</v>
      </c>
    </row>
    <row r="29118" spans="1:11" x14ac:dyDescent="0.25">
      <c r="A29118" s="5">
        <f>29111</f>
      </c>
      <c r="B29118" s="5" t="s">
        <v>29126</v>
      </c>
      <c r="C29118" s="5">
        <v>101.6</v>
      </c>
      <c r="D29118" s="5">
        <v>0.1</v>
      </c>
      <c r="E29118" s="5">
        <v>101.8</v>
      </c>
      <c r="F29118" s="5">
        <v>202.3</v>
      </c>
      <c r="G29118" s="5">
        <v>100.9</v>
      </c>
      <c r="H29118" s="5">
        <v>100.7</v>
      </c>
      <c r="I29118" s="5">
        <v>0</v>
      </c>
      <c r="J29118" s="5">
        <v>0</v>
      </c>
      <c r="K29118" s="5">
        <v>0</v>
      </c>
    </row>
    <row r="29119" spans="1:11" x14ac:dyDescent="0.25">
      <c r="A29119" s="5">
        <f>29112</f>
      </c>
      <c r="B29119" s="5" t="s">
        <v>29127</v>
      </c>
      <c r="C29119" s="5">
        <v>101.6</v>
      </c>
      <c r="D29119" s="5">
        <v>0.1</v>
      </c>
      <c r="E29119" s="5">
        <v>101.8</v>
      </c>
      <c r="F29119" s="5">
        <v>202.3</v>
      </c>
      <c r="G29119" s="5">
        <v>100.9</v>
      </c>
      <c r="H29119" s="5">
        <v>100.7</v>
      </c>
      <c r="I29119" s="5">
        <v>0</v>
      </c>
      <c r="J29119" s="5">
        <v>0</v>
      </c>
      <c r="K29119" s="5">
        <v>0</v>
      </c>
    </row>
    <row r="29120" spans="1:11" x14ac:dyDescent="0.25">
      <c r="A29120" s="5">
        <f>29113</f>
      </c>
      <c r="B29120" s="5" t="s">
        <v>29128</v>
      </c>
      <c r="C29120" s="5">
        <v>101.2</v>
      </c>
      <c r="D29120" s="5">
        <v>0.1</v>
      </c>
      <c r="E29120" s="5">
        <v>101.4</v>
      </c>
      <c r="F29120" s="5">
        <v>201.9</v>
      </c>
      <c r="G29120" s="5">
        <v>100.7</v>
      </c>
      <c r="H29120" s="5">
        <v>100.7</v>
      </c>
      <c r="I29120" s="5">
        <v>0</v>
      </c>
      <c r="J29120" s="5">
        <v>0</v>
      </c>
      <c r="K29120" s="5">
        <v>0</v>
      </c>
    </row>
    <row r="29121" spans="1:11" x14ac:dyDescent="0.25">
      <c r="A29121" s="5">
        <f>29114</f>
      </c>
      <c r="B29121" s="5" t="s">
        <v>29129</v>
      </c>
      <c r="C29121" s="5">
        <v>101.2</v>
      </c>
      <c r="D29121" s="5">
        <v>0.1</v>
      </c>
      <c r="E29121" s="5">
        <v>101.4</v>
      </c>
      <c r="F29121" s="5">
        <v>201.9</v>
      </c>
      <c r="G29121" s="5">
        <v>100.7</v>
      </c>
      <c r="H29121" s="5">
        <v>100.6</v>
      </c>
      <c r="I29121" s="5">
        <v>0</v>
      </c>
      <c r="J29121" s="5">
        <v>0</v>
      </c>
      <c r="K29121" s="5">
        <v>0</v>
      </c>
    </row>
    <row r="29122" spans="1:11" x14ac:dyDescent="0.25">
      <c r="A29122" s="5">
        <f>29115</f>
      </c>
      <c r="B29122" s="5" t="s">
        <v>29130</v>
      </c>
      <c r="C29122" s="5">
        <v>101.5</v>
      </c>
      <c r="D29122" s="5">
        <v>0.1</v>
      </c>
      <c r="E29122" s="5">
        <v>101.6</v>
      </c>
      <c r="F29122" s="5">
        <v>203.2</v>
      </c>
      <c r="G29122" s="5">
        <v>100.7</v>
      </c>
      <c r="H29122" s="5">
        <v>100.6</v>
      </c>
      <c r="I29122" s="5">
        <v>0</v>
      </c>
      <c r="J29122" s="5">
        <v>0</v>
      </c>
      <c r="K29122" s="5">
        <v>0</v>
      </c>
    </row>
    <row r="29123" spans="1:11" x14ac:dyDescent="0.25">
      <c r="A29123" s="5">
        <f>29116</f>
      </c>
      <c r="B29123" s="5" t="s">
        <v>29131</v>
      </c>
      <c r="C29123" s="5">
        <v>101.5</v>
      </c>
      <c r="D29123" s="5">
        <v>0.1</v>
      </c>
      <c r="E29123" s="5">
        <v>101.6</v>
      </c>
      <c r="F29123" s="5">
        <v>203.2</v>
      </c>
      <c r="G29123" s="5">
        <v>101.4</v>
      </c>
      <c r="H29123" s="5">
        <v>101.2</v>
      </c>
      <c r="I29123" s="5">
        <v>0</v>
      </c>
      <c r="J29123" s="5">
        <v>0</v>
      </c>
      <c r="K29123" s="5">
        <v>0</v>
      </c>
    </row>
    <row r="29124" spans="1:11" x14ac:dyDescent="0.25">
      <c r="A29124" s="5">
        <f>29117</f>
      </c>
      <c r="B29124" s="5" t="s">
        <v>29132</v>
      </c>
      <c r="C29124" s="5">
        <v>102.1</v>
      </c>
      <c r="D29124" s="5">
        <v>0.1</v>
      </c>
      <c r="E29124" s="5">
        <v>102.2</v>
      </c>
      <c r="F29124" s="5">
        <v>203.2</v>
      </c>
      <c r="G29124" s="5">
        <v>101.4</v>
      </c>
      <c r="H29124" s="5">
        <v>101.2</v>
      </c>
      <c r="I29124" s="5">
        <v>0</v>
      </c>
      <c r="J29124" s="5">
        <v>0</v>
      </c>
      <c r="K29124" s="5">
        <v>0</v>
      </c>
    </row>
    <row r="29125" spans="1:11" x14ac:dyDescent="0.25">
      <c r="A29125" s="5">
        <f>29118</f>
      </c>
      <c r="B29125" s="5" t="s">
        <v>29133</v>
      </c>
      <c r="C29125" s="5">
        <v>102.1</v>
      </c>
      <c r="D29125" s="5">
        <v>0.1</v>
      </c>
      <c r="E29125" s="5">
        <v>102.2</v>
      </c>
      <c r="F29125" s="5">
        <v>203.8</v>
      </c>
      <c r="G29125" s="5">
        <v>101.6</v>
      </c>
      <c r="H29125" s="5">
        <v>101.5</v>
      </c>
      <c r="I29125" s="5">
        <v>0</v>
      </c>
      <c r="J29125" s="5">
        <v>0</v>
      </c>
      <c r="K29125" s="5">
        <v>0</v>
      </c>
    </row>
    <row r="29126" spans="1:11" x14ac:dyDescent="0.25">
      <c r="A29126" s="5">
        <f>29119</f>
      </c>
      <c r="B29126" s="5" t="s">
        <v>29134</v>
      </c>
      <c r="C29126" s="5">
        <v>101.5</v>
      </c>
      <c r="D29126" s="5">
        <v>0.1</v>
      </c>
      <c r="E29126" s="5">
        <v>102.2</v>
      </c>
      <c r="F29126" s="5">
        <v>203.8</v>
      </c>
      <c r="G29126" s="5">
        <v>101.6</v>
      </c>
      <c r="H29126" s="5">
        <v>101.5</v>
      </c>
      <c r="I29126" s="5">
        <v>0</v>
      </c>
      <c r="J29126" s="5">
        <v>0</v>
      </c>
      <c r="K29126" s="5">
        <v>0</v>
      </c>
    </row>
    <row r="29127" spans="1:11" x14ac:dyDescent="0.25">
      <c r="A29127" s="5">
        <f>29120</f>
      </c>
      <c r="B29127" s="5" t="s">
        <v>29135</v>
      </c>
      <c r="C29127" s="5">
        <v>101.5</v>
      </c>
      <c r="D29127" s="5">
        <v>0.1</v>
      </c>
      <c r="E29127" s="5">
        <v>101.7</v>
      </c>
      <c r="F29127" s="5">
        <v>203</v>
      </c>
      <c r="G29127" s="5">
        <v>101.2</v>
      </c>
      <c r="H29127" s="5">
        <v>101.3</v>
      </c>
      <c r="I29127" s="5">
        <v>0</v>
      </c>
      <c r="J29127" s="5">
        <v>0</v>
      </c>
      <c r="K29127" s="5">
        <v>0</v>
      </c>
    </row>
    <row r="29128" spans="1:11" x14ac:dyDescent="0.25">
      <c r="A29128" s="5">
        <f>29121</f>
      </c>
      <c r="B29128" s="5" t="s">
        <v>29136</v>
      </c>
      <c r="C29128" s="5">
        <v>101.5</v>
      </c>
      <c r="D29128" s="5">
        <v>0.1</v>
      </c>
      <c r="E29128" s="5">
        <v>101.7</v>
      </c>
      <c r="F29128" s="5">
        <v>203</v>
      </c>
      <c r="G29128" s="5">
        <v>101.2</v>
      </c>
      <c r="H29128" s="5">
        <v>101.3</v>
      </c>
      <c r="I29128" s="5">
        <v>0</v>
      </c>
      <c r="J29128" s="5">
        <v>0</v>
      </c>
      <c r="K29128" s="5">
        <v>0</v>
      </c>
    </row>
    <row r="29129" spans="1:11" x14ac:dyDescent="0.25">
      <c r="A29129" s="5">
        <f>29122</f>
      </c>
      <c r="B29129" s="5" t="s">
        <v>29137</v>
      </c>
      <c r="C29129" s="5">
        <v>101.5</v>
      </c>
      <c r="D29129" s="5">
        <v>0.1</v>
      </c>
      <c r="E29129" s="5">
        <v>101.7</v>
      </c>
      <c r="F29129" s="5">
        <v>203</v>
      </c>
      <c r="G29129" s="5">
        <v>101.2</v>
      </c>
      <c r="H29129" s="5">
        <v>101.3</v>
      </c>
      <c r="I29129" s="5">
        <v>0</v>
      </c>
      <c r="J29129" s="5">
        <v>0</v>
      </c>
      <c r="K29129" s="5">
        <v>0</v>
      </c>
    </row>
    <row r="29130" spans="1:11" x14ac:dyDescent="0.25">
      <c r="A29130" s="5">
        <f>29123</f>
      </c>
      <c r="B29130" s="5" t="s">
        <v>29138</v>
      </c>
      <c r="C29130" s="5">
        <v>101.5</v>
      </c>
      <c r="D29130" s="5">
        <v>0.1</v>
      </c>
      <c r="E29130" s="5">
        <v>101.7</v>
      </c>
      <c r="F29130" s="5">
        <v>203</v>
      </c>
      <c r="G29130" s="5">
        <v>101.2</v>
      </c>
      <c r="H29130" s="5">
        <v>100</v>
      </c>
      <c r="I29130" s="5">
        <v>0</v>
      </c>
      <c r="J29130" s="5">
        <v>0</v>
      </c>
      <c r="K29130" s="5">
        <v>0</v>
      </c>
    </row>
    <row r="29131" spans="1:11" x14ac:dyDescent="0.25">
      <c r="A29131" s="5">
        <f>29124</f>
      </c>
      <c r="B29131" s="5" t="s">
        <v>29139</v>
      </c>
      <c r="C29131" s="5">
        <v>100.8</v>
      </c>
      <c r="D29131" s="5">
        <v>0.1</v>
      </c>
      <c r="E29131" s="5">
        <v>101</v>
      </c>
      <c r="F29131" s="5">
        <v>200.9</v>
      </c>
      <c r="G29131" s="5">
        <v>100.2</v>
      </c>
      <c r="H29131" s="5">
        <v>100</v>
      </c>
      <c r="I29131" s="5">
        <v>0</v>
      </c>
      <c r="J29131" s="5">
        <v>0</v>
      </c>
      <c r="K29131" s="5">
        <v>0</v>
      </c>
    </row>
    <row r="29132" spans="1:11" x14ac:dyDescent="0.25">
      <c r="A29132" s="5">
        <f>29125</f>
      </c>
      <c r="B29132" s="5" t="s">
        <v>29140</v>
      </c>
      <c r="C29132" s="5">
        <v>100.8</v>
      </c>
      <c r="D29132" s="5">
        <v>0.1</v>
      </c>
      <c r="E29132" s="5">
        <v>101</v>
      </c>
      <c r="F29132" s="5">
        <v>200.9</v>
      </c>
      <c r="G29132" s="5">
        <v>100.2</v>
      </c>
      <c r="H29132" s="5">
        <v>100</v>
      </c>
      <c r="I29132" s="5">
        <v>0</v>
      </c>
      <c r="J29132" s="5">
        <v>0</v>
      </c>
      <c r="K29132" s="5">
        <v>0</v>
      </c>
    </row>
    <row r="29133" spans="1:11" x14ac:dyDescent="0.25">
      <c r="A29133" s="5">
        <f>29126</f>
      </c>
      <c r="B29133" s="5" t="s">
        <v>29141</v>
      </c>
      <c r="C29133" s="5">
        <v>100.2</v>
      </c>
      <c r="D29133" s="5">
        <v>0.1</v>
      </c>
      <c r="E29133" s="5">
        <v>100.4</v>
      </c>
      <c r="F29133" s="5">
        <v>200</v>
      </c>
      <c r="G29133" s="5">
        <v>99.7</v>
      </c>
      <c r="H29133" s="5">
        <v>99.5</v>
      </c>
      <c r="I29133" s="5">
        <v>0</v>
      </c>
      <c r="J29133" s="5">
        <v>0</v>
      </c>
      <c r="K29133" s="5">
        <v>0</v>
      </c>
    </row>
    <row r="29134" spans="1:11" x14ac:dyDescent="0.25">
      <c r="A29134" s="5">
        <f>29127</f>
      </c>
      <c r="B29134" s="5" t="s">
        <v>29142</v>
      </c>
      <c r="C29134" s="5">
        <v>100.2</v>
      </c>
      <c r="D29134" s="5">
        <v>0.1</v>
      </c>
      <c r="E29134" s="5">
        <v>100.4</v>
      </c>
      <c r="F29134" s="5">
        <v>200</v>
      </c>
      <c r="G29134" s="5">
        <v>99.7</v>
      </c>
      <c r="H29134" s="5">
        <v>99.5</v>
      </c>
      <c r="I29134" s="5">
        <v>0</v>
      </c>
      <c r="J29134" s="5">
        <v>0</v>
      </c>
      <c r="K29134" s="5">
        <v>0</v>
      </c>
    </row>
    <row r="29135" spans="1:11" x14ac:dyDescent="0.25">
      <c r="A29135" s="5">
        <f>29128</f>
      </c>
      <c r="B29135" s="5" t="s">
        <v>29143</v>
      </c>
      <c r="C29135" s="5">
        <v>99.8</v>
      </c>
      <c r="D29135" s="5">
        <v>0.1</v>
      </c>
      <c r="E29135" s="5">
        <v>99.9</v>
      </c>
      <c r="F29135" s="5">
        <v>199.6</v>
      </c>
      <c r="G29135" s="5">
        <v>99.5</v>
      </c>
      <c r="H29135" s="5">
        <v>99.3</v>
      </c>
      <c r="I29135" s="5">
        <v>0</v>
      </c>
      <c r="J29135" s="5">
        <v>0</v>
      </c>
      <c r="K29135" s="5">
        <v>0</v>
      </c>
    </row>
    <row r="29136" spans="1:11" x14ac:dyDescent="0.25">
      <c r="A29136" s="5">
        <f>29129</f>
      </c>
      <c r="B29136" s="5" t="s">
        <v>29144</v>
      </c>
      <c r="C29136" s="5">
        <v>99.8</v>
      </c>
      <c r="D29136" s="5">
        <v>0.1</v>
      </c>
      <c r="E29136" s="5">
        <v>99.9</v>
      </c>
      <c r="F29136" s="5">
        <v>199.6</v>
      </c>
      <c r="G29136" s="5">
        <v>99.5</v>
      </c>
      <c r="H29136" s="5">
        <v>99.3</v>
      </c>
      <c r="I29136" s="5">
        <v>0</v>
      </c>
      <c r="J29136" s="5">
        <v>0</v>
      </c>
      <c r="K29136" s="5">
        <v>0</v>
      </c>
    </row>
    <row r="29137" spans="1:11" x14ac:dyDescent="0.25">
      <c r="A29137" s="5">
        <f>29130</f>
      </c>
      <c r="B29137" s="5" t="s">
        <v>29145</v>
      </c>
      <c r="C29137" s="5">
        <v>99.3</v>
      </c>
      <c r="D29137" s="5">
        <v>0.1</v>
      </c>
      <c r="E29137" s="5">
        <v>99.4</v>
      </c>
      <c r="F29137" s="5">
        <v>199</v>
      </c>
      <c r="G29137" s="5">
        <v>99.3</v>
      </c>
      <c r="H29137" s="5">
        <v>99.2</v>
      </c>
      <c r="I29137" s="5">
        <v>0</v>
      </c>
      <c r="J29137" s="5">
        <v>0</v>
      </c>
      <c r="K29137" s="5">
        <v>0</v>
      </c>
    </row>
    <row r="29138" spans="1:11" x14ac:dyDescent="0.25">
      <c r="A29138" s="5">
        <f>29131</f>
      </c>
      <c r="B29138" s="5" t="s">
        <v>29146</v>
      </c>
      <c r="C29138" s="5">
        <v>99.3</v>
      </c>
      <c r="D29138" s="5">
        <v>0.1</v>
      </c>
      <c r="E29138" s="5">
        <v>99.4</v>
      </c>
      <c r="F29138" s="5">
        <v>199</v>
      </c>
      <c r="G29138" s="5">
        <v>99.3</v>
      </c>
      <c r="H29138" s="5">
        <v>99.2</v>
      </c>
      <c r="I29138" s="5">
        <v>0</v>
      </c>
      <c r="J29138" s="5">
        <v>0</v>
      </c>
      <c r="K29138" s="5">
        <v>0</v>
      </c>
    </row>
    <row r="29139" spans="1:11" x14ac:dyDescent="0.25">
      <c r="A29139" s="5">
        <f>29132</f>
      </c>
      <c r="B29139" s="5" t="s">
        <v>29147</v>
      </c>
      <c r="C29139" s="5">
        <v>99.3</v>
      </c>
      <c r="D29139" s="5">
        <v>0.1</v>
      </c>
      <c r="E29139" s="5">
        <v>99.4</v>
      </c>
      <c r="F29139" s="5">
        <v>199</v>
      </c>
      <c r="G29139" s="5">
        <v>99.3</v>
      </c>
      <c r="H29139" s="5">
        <v>99.2</v>
      </c>
      <c r="I29139" s="5">
        <v>0</v>
      </c>
      <c r="J29139" s="5">
        <v>0</v>
      </c>
      <c r="K29139" s="5">
        <v>0</v>
      </c>
    </row>
    <row r="29140" spans="1:11" x14ac:dyDescent="0.25">
      <c r="A29140" s="5">
        <f>29133</f>
      </c>
      <c r="B29140" s="5" t="s">
        <v>29148</v>
      </c>
      <c r="C29140" s="5">
        <v>99.4</v>
      </c>
      <c r="D29140" s="5">
        <v>0.1</v>
      </c>
      <c r="E29140" s="5">
        <v>99.5</v>
      </c>
      <c r="F29140" s="5">
        <v>198.6</v>
      </c>
      <c r="G29140" s="5">
        <v>99.1</v>
      </c>
      <c r="H29140" s="5">
        <v>99</v>
      </c>
      <c r="I29140" s="5">
        <v>0</v>
      </c>
      <c r="J29140" s="5">
        <v>0</v>
      </c>
      <c r="K29140" s="5">
        <v>0</v>
      </c>
    </row>
    <row r="29141" spans="1:11" x14ac:dyDescent="0.25">
      <c r="A29141" s="5">
        <f>29134</f>
      </c>
      <c r="B29141" s="5" t="s">
        <v>29149</v>
      </c>
      <c r="C29141" s="5">
        <v>99.4</v>
      </c>
      <c r="D29141" s="5">
        <v>0.1</v>
      </c>
      <c r="E29141" s="5">
        <v>99.5</v>
      </c>
      <c r="F29141" s="5">
        <v>198.6</v>
      </c>
      <c r="G29141" s="5">
        <v>99.1</v>
      </c>
      <c r="H29141" s="5">
        <v>99</v>
      </c>
      <c r="I29141" s="5">
        <v>0</v>
      </c>
      <c r="J29141" s="5">
        <v>0</v>
      </c>
      <c r="K29141" s="5">
        <v>0</v>
      </c>
    </row>
    <row r="29142" spans="1:11" x14ac:dyDescent="0.25">
      <c r="A29142" s="5">
        <f>29135</f>
      </c>
      <c r="B29142" s="5" t="s">
        <v>29150</v>
      </c>
      <c r="C29142" s="5">
        <v>99.9</v>
      </c>
      <c r="D29142" s="5">
        <v>0.1</v>
      </c>
      <c r="E29142" s="5">
        <v>100.1</v>
      </c>
      <c r="F29142" s="5">
        <v>198.9</v>
      </c>
      <c r="G29142" s="5">
        <v>99.3</v>
      </c>
      <c r="H29142" s="5">
        <v>99.1</v>
      </c>
      <c r="I29142" s="5">
        <v>0</v>
      </c>
      <c r="J29142" s="5">
        <v>0</v>
      </c>
      <c r="K29142" s="5">
        <v>0</v>
      </c>
    </row>
    <row r="29143" spans="1:11" x14ac:dyDescent="0.25">
      <c r="A29143" s="5">
        <f>29136</f>
      </c>
      <c r="B29143" s="5" t="s">
        <v>29151</v>
      </c>
      <c r="C29143" s="5">
        <v>99.9</v>
      </c>
      <c r="D29143" s="5">
        <v>0.1</v>
      </c>
      <c r="E29143" s="5">
        <v>100.1</v>
      </c>
      <c r="F29143" s="5">
        <v>198.9</v>
      </c>
      <c r="G29143" s="5">
        <v>99.3</v>
      </c>
      <c r="H29143" s="5">
        <v>99.1</v>
      </c>
      <c r="I29143" s="5">
        <v>0</v>
      </c>
      <c r="J29143" s="5">
        <v>0</v>
      </c>
      <c r="K29143" s="5">
        <v>0</v>
      </c>
    </row>
    <row r="29144" spans="1:11" x14ac:dyDescent="0.25">
      <c r="A29144" s="5">
        <f>29137</f>
      </c>
      <c r="B29144" s="5" t="s">
        <v>29152</v>
      </c>
      <c r="C29144" s="5">
        <v>99.4</v>
      </c>
      <c r="D29144" s="5">
        <v>0.1</v>
      </c>
      <c r="E29144" s="5">
        <v>99.5</v>
      </c>
      <c r="F29144" s="5">
        <v>198.9</v>
      </c>
      <c r="G29144" s="5">
        <v>99.1</v>
      </c>
      <c r="H29144" s="5">
        <v>98.9</v>
      </c>
      <c r="I29144" s="5">
        <v>0</v>
      </c>
      <c r="J29144" s="5">
        <v>0</v>
      </c>
      <c r="K29144" s="5">
        <v>0</v>
      </c>
    </row>
    <row r="29145" spans="1:11" x14ac:dyDescent="0.25">
      <c r="A29145" s="5">
        <f>29138</f>
      </c>
      <c r="B29145" s="5" t="s">
        <v>29153</v>
      </c>
      <c r="C29145" s="5">
        <v>99.4</v>
      </c>
      <c r="D29145" s="5">
        <v>0.1</v>
      </c>
      <c r="E29145" s="5">
        <v>99.5</v>
      </c>
      <c r="F29145" s="5">
        <v>198.9</v>
      </c>
      <c r="G29145" s="5">
        <v>99.1</v>
      </c>
      <c r="H29145" s="5">
        <v>98.9</v>
      </c>
      <c r="I29145" s="5">
        <v>0</v>
      </c>
      <c r="J29145" s="5">
        <v>0</v>
      </c>
      <c r="K29145" s="5">
        <v>0</v>
      </c>
    </row>
    <row r="29146" spans="1:11" x14ac:dyDescent="0.25">
      <c r="A29146" s="5">
        <f>29139</f>
      </c>
      <c r="B29146" s="5" t="s">
        <v>29154</v>
      </c>
      <c r="C29146" s="5">
        <v>99.4</v>
      </c>
      <c r="D29146" s="5">
        <v>0.1</v>
      </c>
      <c r="E29146" s="5">
        <v>99.8</v>
      </c>
      <c r="F29146" s="5">
        <v>199</v>
      </c>
      <c r="G29146" s="5">
        <v>99.3</v>
      </c>
      <c r="H29146" s="5">
        <v>99.2</v>
      </c>
      <c r="I29146" s="5">
        <v>0</v>
      </c>
      <c r="J29146" s="5">
        <v>0</v>
      </c>
      <c r="K29146" s="5">
        <v>0</v>
      </c>
    </row>
    <row r="29147" spans="1:11" x14ac:dyDescent="0.25">
      <c r="A29147" s="5">
        <f>29140</f>
      </c>
      <c r="B29147" s="5" t="s">
        <v>29155</v>
      </c>
      <c r="C29147" s="5">
        <v>99.6</v>
      </c>
      <c r="D29147" s="5">
        <v>0.1</v>
      </c>
      <c r="E29147" s="5">
        <v>99.8</v>
      </c>
      <c r="F29147" s="5">
        <v>199</v>
      </c>
      <c r="G29147" s="5">
        <v>99.3</v>
      </c>
      <c r="H29147" s="5">
        <v>99.2</v>
      </c>
      <c r="I29147" s="5">
        <v>0</v>
      </c>
      <c r="J29147" s="5">
        <v>0</v>
      </c>
      <c r="K29147" s="5">
        <v>0</v>
      </c>
    </row>
    <row r="29148" spans="1:11" x14ac:dyDescent="0.25">
      <c r="A29148" s="5">
        <f>29141</f>
      </c>
      <c r="B29148" s="5" t="s">
        <v>29156</v>
      </c>
      <c r="C29148" s="5">
        <v>99.6</v>
      </c>
      <c r="D29148" s="5">
        <v>0.1</v>
      </c>
      <c r="E29148" s="5">
        <v>99.8</v>
      </c>
      <c r="F29148" s="5">
        <v>199</v>
      </c>
      <c r="G29148" s="5">
        <v>99.3</v>
      </c>
      <c r="H29148" s="5">
        <v>99.2</v>
      </c>
      <c r="I29148" s="5">
        <v>0</v>
      </c>
      <c r="J29148" s="5">
        <v>0</v>
      </c>
      <c r="K29148" s="5">
        <v>0</v>
      </c>
    </row>
    <row r="29149" spans="1:11" x14ac:dyDescent="0.25">
      <c r="A29149" s="5">
        <f>29142</f>
      </c>
      <c r="B29149" s="5" t="s">
        <v>29157</v>
      </c>
      <c r="C29149" s="5">
        <v>99.6</v>
      </c>
      <c r="D29149" s="5">
        <v>0.1</v>
      </c>
      <c r="E29149" s="5">
        <v>99.8</v>
      </c>
      <c r="F29149" s="5">
        <v>199</v>
      </c>
      <c r="G29149" s="5">
        <v>99.3</v>
      </c>
      <c r="H29149" s="5">
        <v>99.2</v>
      </c>
      <c r="I29149" s="5">
        <v>0</v>
      </c>
      <c r="J29149" s="5">
        <v>0</v>
      </c>
      <c r="K29149" s="5">
        <v>0</v>
      </c>
    </row>
    <row r="29150" spans="1:11" x14ac:dyDescent="0.25">
      <c r="A29150" s="5">
        <f>29143</f>
      </c>
      <c r="B29150" s="5" t="s">
        <v>29158</v>
      </c>
      <c r="C29150" s="5">
        <v>100.1</v>
      </c>
      <c r="D29150" s="5">
        <v>0.1</v>
      </c>
      <c r="E29150" s="5">
        <v>100.2</v>
      </c>
      <c r="F29150" s="5">
        <v>199.8</v>
      </c>
      <c r="G29150" s="5">
        <v>99.7</v>
      </c>
      <c r="H29150" s="5">
        <v>99.7</v>
      </c>
      <c r="I29150" s="5">
        <v>0</v>
      </c>
      <c r="J29150" s="5">
        <v>0</v>
      </c>
      <c r="K29150" s="5">
        <v>0</v>
      </c>
    </row>
    <row r="29151" spans="1:11" x14ac:dyDescent="0.25">
      <c r="A29151" s="5">
        <f>29144</f>
      </c>
      <c r="B29151" s="5" t="s">
        <v>29159</v>
      </c>
      <c r="C29151" s="5">
        <v>100.1</v>
      </c>
      <c r="D29151" s="5">
        <v>0.1</v>
      </c>
      <c r="E29151" s="5">
        <v>100.2</v>
      </c>
      <c r="F29151" s="5">
        <v>199.8</v>
      </c>
      <c r="G29151" s="5">
        <v>99.7</v>
      </c>
      <c r="H29151" s="5">
        <v>99.7</v>
      </c>
      <c r="I29151" s="5">
        <v>0</v>
      </c>
      <c r="J29151" s="5">
        <v>0</v>
      </c>
      <c r="K29151" s="5">
        <v>0</v>
      </c>
    </row>
    <row r="29152" spans="1:11" x14ac:dyDescent="0.25">
      <c r="A29152" s="5">
        <f>29145</f>
      </c>
      <c r="B29152" s="5" t="s">
        <v>29160</v>
      </c>
      <c r="C29152" s="5">
        <v>99.9</v>
      </c>
      <c r="D29152" s="5">
        <v>0.1</v>
      </c>
      <c r="E29152" s="5">
        <v>100</v>
      </c>
      <c r="F29152" s="5">
        <v>199.2</v>
      </c>
      <c r="G29152" s="5">
        <v>99.4</v>
      </c>
      <c r="H29152" s="5">
        <v>99.2</v>
      </c>
      <c r="I29152" s="5">
        <v>0</v>
      </c>
      <c r="J29152" s="5">
        <v>0</v>
      </c>
      <c r="K29152" s="5">
        <v>0</v>
      </c>
    </row>
    <row r="29153" spans="1:11" x14ac:dyDescent="0.25">
      <c r="A29153" s="5">
        <f>29146</f>
      </c>
      <c r="B29153" s="5" t="s">
        <v>29161</v>
      </c>
      <c r="C29153" s="5">
        <v>99.9</v>
      </c>
      <c r="D29153" s="5">
        <v>0.1</v>
      </c>
      <c r="E29153" s="5">
        <v>100</v>
      </c>
      <c r="F29153" s="5">
        <v>199.2</v>
      </c>
      <c r="G29153" s="5">
        <v>99.4</v>
      </c>
      <c r="H29153" s="5">
        <v>99.2</v>
      </c>
      <c r="I29153" s="5">
        <v>0</v>
      </c>
      <c r="J29153" s="5">
        <v>0</v>
      </c>
      <c r="K29153" s="5">
        <v>0</v>
      </c>
    </row>
    <row r="29154" spans="1:11" x14ac:dyDescent="0.25">
      <c r="A29154" s="5">
        <f>29147</f>
      </c>
      <c r="B29154" s="5" t="s">
        <v>29162</v>
      </c>
      <c r="C29154" s="5">
        <v>99.9</v>
      </c>
      <c r="D29154" s="5">
        <v>0.1</v>
      </c>
      <c r="E29154" s="5">
        <v>100.1</v>
      </c>
      <c r="F29154" s="5">
        <v>199.6</v>
      </c>
      <c r="G29154" s="5">
        <v>99.5</v>
      </c>
      <c r="H29154" s="5">
        <v>99.4</v>
      </c>
      <c r="I29154" s="5">
        <v>0</v>
      </c>
      <c r="J29154" s="5">
        <v>0</v>
      </c>
      <c r="K29154" s="5">
        <v>0</v>
      </c>
    </row>
    <row r="29155" spans="1:11" x14ac:dyDescent="0.25">
      <c r="A29155" s="5">
        <f>29148</f>
      </c>
      <c r="B29155" s="5" t="s">
        <v>29163</v>
      </c>
      <c r="C29155" s="5">
        <v>99.9</v>
      </c>
      <c r="D29155" s="5">
        <v>0.1</v>
      </c>
      <c r="E29155" s="5">
        <v>100.1</v>
      </c>
      <c r="F29155" s="5">
        <v>199.6</v>
      </c>
      <c r="G29155" s="5">
        <v>99.5</v>
      </c>
      <c r="H29155" s="5">
        <v>99.4</v>
      </c>
      <c r="I29155" s="5">
        <v>0</v>
      </c>
      <c r="J29155" s="5">
        <v>0</v>
      </c>
      <c r="K29155" s="5">
        <v>0</v>
      </c>
    </row>
    <row r="29156" spans="1:11" x14ac:dyDescent="0.25">
      <c r="A29156" s="5">
        <f>29149</f>
      </c>
      <c r="B29156" s="5" t="s">
        <v>29164</v>
      </c>
      <c r="C29156" s="5">
        <v>99.7</v>
      </c>
      <c r="D29156" s="5">
        <v>0.1</v>
      </c>
      <c r="E29156" s="5">
        <v>99.9</v>
      </c>
      <c r="F29156" s="5">
        <v>199.4</v>
      </c>
      <c r="G29156" s="5">
        <v>99.5</v>
      </c>
      <c r="H29156" s="5">
        <v>99.3</v>
      </c>
      <c r="I29156" s="5">
        <v>0</v>
      </c>
      <c r="J29156" s="5">
        <v>0</v>
      </c>
      <c r="K29156" s="5">
        <v>0</v>
      </c>
    </row>
    <row r="29157" spans="1:11" x14ac:dyDescent="0.25">
      <c r="A29157" s="5">
        <f>29150</f>
      </c>
      <c r="B29157" s="5" t="s">
        <v>29165</v>
      </c>
      <c r="C29157" s="5">
        <v>99.7</v>
      </c>
      <c r="D29157" s="5">
        <v>0.1</v>
      </c>
      <c r="E29157" s="5">
        <v>99.9</v>
      </c>
      <c r="F29157" s="5">
        <v>199.4</v>
      </c>
      <c r="G29157" s="5">
        <v>99.5</v>
      </c>
      <c r="H29157" s="5">
        <v>99.3</v>
      </c>
      <c r="I29157" s="5">
        <v>0</v>
      </c>
      <c r="J29157" s="5">
        <v>0</v>
      </c>
      <c r="K29157" s="5">
        <v>0</v>
      </c>
    </row>
    <row r="29158" spans="1:11" x14ac:dyDescent="0.25">
      <c r="A29158" s="5">
        <f>29151</f>
      </c>
      <c r="B29158" s="5" t="s">
        <v>29166</v>
      </c>
      <c r="C29158" s="5">
        <v>99.7</v>
      </c>
      <c r="D29158" s="5">
        <v>0.1</v>
      </c>
      <c r="E29158" s="5">
        <v>99.9</v>
      </c>
      <c r="F29158" s="5">
        <v>199.4</v>
      </c>
      <c r="G29158" s="5">
        <v>99.5</v>
      </c>
      <c r="H29158" s="5">
        <v>99.3</v>
      </c>
      <c r="I29158" s="5">
        <v>0</v>
      </c>
      <c r="J29158" s="5">
        <v>0</v>
      </c>
      <c r="K29158" s="5">
        <v>0</v>
      </c>
    </row>
    <row r="29159" spans="1:11" x14ac:dyDescent="0.25">
      <c r="A29159" s="5">
        <f>29152</f>
      </c>
      <c r="B29159" s="5" t="s">
        <v>29167</v>
      </c>
      <c r="C29159" s="5">
        <v>99.7</v>
      </c>
      <c r="D29159" s="5">
        <v>0.1</v>
      </c>
      <c r="E29159" s="5">
        <v>99.9</v>
      </c>
      <c r="F29159" s="5">
        <v>199.4</v>
      </c>
      <c r="G29159" s="5">
        <v>99.5</v>
      </c>
      <c r="H29159" s="5">
        <v>99.3</v>
      </c>
      <c r="I29159" s="5">
        <v>0</v>
      </c>
      <c r="J29159" s="5">
        <v>0</v>
      </c>
      <c r="K29159" s="5">
        <v>0</v>
      </c>
    </row>
    <row r="29160" spans="1:11" x14ac:dyDescent="0.25">
      <c r="A29160" s="5">
        <f>29153</f>
      </c>
      <c r="B29160" s="5" t="s">
        <v>29168</v>
      </c>
      <c r="C29160" s="5">
        <v>99.9</v>
      </c>
      <c r="D29160" s="5">
        <v>0.1</v>
      </c>
      <c r="E29160" s="5">
        <v>100</v>
      </c>
      <c r="F29160" s="5">
        <v>199.1</v>
      </c>
      <c r="G29160" s="5">
        <v>99.3</v>
      </c>
      <c r="H29160" s="5">
        <v>99.2</v>
      </c>
      <c r="I29160" s="5">
        <v>0</v>
      </c>
      <c r="J29160" s="5">
        <v>0</v>
      </c>
      <c r="K29160" s="5">
        <v>0</v>
      </c>
    </row>
    <row r="29161" spans="1:11" x14ac:dyDescent="0.25">
      <c r="A29161" s="5">
        <f>29154</f>
      </c>
      <c r="B29161" s="5" t="s">
        <v>29169</v>
      </c>
      <c r="C29161" s="5">
        <v>99.9</v>
      </c>
      <c r="D29161" s="5">
        <v>0.1</v>
      </c>
      <c r="E29161" s="5">
        <v>100</v>
      </c>
      <c r="F29161" s="5">
        <v>199.1</v>
      </c>
      <c r="G29161" s="5">
        <v>99.3</v>
      </c>
      <c r="H29161" s="5">
        <v>99.2</v>
      </c>
      <c r="I29161" s="5">
        <v>0</v>
      </c>
      <c r="J29161" s="5">
        <v>0</v>
      </c>
      <c r="K29161" s="5">
        <v>0</v>
      </c>
    </row>
    <row r="29162" spans="1:11" x14ac:dyDescent="0.25">
      <c r="A29162" s="5">
        <f>29155</f>
      </c>
      <c r="B29162" s="5" t="s">
        <v>29170</v>
      </c>
      <c r="C29162" s="5">
        <v>99.5</v>
      </c>
      <c r="D29162" s="5">
        <v>0.1</v>
      </c>
      <c r="E29162" s="5">
        <v>99.7</v>
      </c>
      <c r="F29162" s="5">
        <v>199.2</v>
      </c>
      <c r="G29162" s="5">
        <v>99.4</v>
      </c>
      <c r="H29162" s="5">
        <v>99.2</v>
      </c>
      <c r="I29162" s="5">
        <v>0</v>
      </c>
      <c r="J29162" s="5">
        <v>0</v>
      </c>
      <c r="K29162" s="5">
        <v>0</v>
      </c>
    </row>
    <row r="29163" spans="1:11" x14ac:dyDescent="0.25">
      <c r="A29163" s="5">
        <f>29156</f>
      </c>
      <c r="B29163" s="5" t="s">
        <v>29171</v>
      </c>
      <c r="C29163" s="5">
        <v>99.5</v>
      </c>
      <c r="D29163" s="5">
        <v>0.1</v>
      </c>
      <c r="E29163" s="5">
        <v>99.7</v>
      </c>
      <c r="F29163" s="5">
        <v>199.2</v>
      </c>
      <c r="G29163" s="5">
        <v>99.4</v>
      </c>
      <c r="H29163" s="5">
        <v>99.2</v>
      </c>
      <c r="I29163" s="5">
        <v>0</v>
      </c>
      <c r="J29163" s="5">
        <v>0</v>
      </c>
      <c r="K29163" s="5">
        <v>0</v>
      </c>
    </row>
    <row r="29164" spans="1:11" x14ac:dyDescent="0.25">
      <c r="A29164" s="5">
        <f>29157</f>
      </c>
      <c r="B29164" s="5" t="s">
        <v>29172</v>
      </c>
      <c r="C29164" s="5">
        <v>99.9</v>
      </c>
      <c r="D29164" s="5">
        <v>0.1</v>
      </c>
      <c r="E29164" s="5">
        <v>100</v>
      </c>
      <c r="F29164" s="5">
        <v>199.3</v>
      </c>
      <c r="G29164" s="5">
        <v>99.3</v>
      </c>
      <c r="H29164" s="5">
        <v>99.2</v>
      </c>
      <c r="I29164" s="5">
        <v>0</v>
      </c>
      <c r="J29164" s="5">
        <v>0</v>
      </c>
      <c r="K29164" s="5">
        <v>0</v>
      </c>
    </row>
    <row r="29165" spans="1:11" x14ac:dyDescent="0.25">
      <c r="A29165" s="5">
        <f>29158</f>
      </c>
      <c r="B29165" s="5" t="s">
        <v>29173</v>
      </c>
      <c r="C29165" s="5">
        <v>99.9</v>
      </c>
      <c r="D29165" s="5">
        <v>0.1</v>
      </c>
      <c r="E29165" s="5">
        <v>100</v>
      </c>
      <c r="F29165" s="5">
        <v>199.3</v>
      </c>
      <c r="G29165" s="5">
        <v>99.3</v>
      </c>
      <c r="H29165" s="5">
        <v>99.2</v>
      </c>
      <c r="I29165" s="5">
        <v>0</v>
      </c>
      <c r="J29165" s="5">
        <v>0</v>
      </c>
      <c r="K29165" s="5">
        <v>0</v>
      </c>
    </row>
    <row r="29166" spans="1:11" x14ac:dyDescent="0.25">
      <c r="A29166" s="5">
        <f>29159</f>
      </c>
      <c r="B29166" s="5" t="s">
        <v>29174</v>
      </c>
      <c r="C29166" s="5">
        <v>99.7</v>
      </c>
      <c r="D29166" s="5">
        <v>0.1</v>
      </c>
      <c r="E29166" s="5">
        <v>99.9</v>
      </c>
      <c r="F29166" s="5">
        <v>199.4</v>
      </c>
      <c r="G29166" s="5">
        <v>99.5</v>
      </c>
      <c r="H29166" s="5">
        <v>99.3</v>
      </c>
      <c r="I29166" s="5">
        <v>0</v>
      </c>
      <c r="J29166" s="5">
        <v>0</v>
      </c>
      <c r="K29166" s="5">
        <v>0</v>
      </c>
    </row>
    <row r="29167" spans="1:11" x14ac:dyDescent="0.25">
      <c r="A29167" s="5">
        <f>29160</f>
      </c>
      <c r="B29167" s="5" t="s">
        <v>29175</v>
      </c>
      <c r="C29167" s="5">
        <v>99.7</v>
      </c>
      <c r="D29167" s="5">
        <v>0.1</v>
      </c>
      <c r="E29167" s="5">
        <v>99.9</v>
      </c>
      <c r="F29167" s="5">
        <v>199.4</v>
      </c>
      <c r="G29167" s="5">
        <v>99.5</v>
      </c>
      <c r="H29167" s="5">
        <v>99.3</v>
      </c>
      <c r="I29167" s="5">
        <v>0</v>
      </c>
      <c r="J29167" s="5">
        <v>0</v>
      </c>
      <c r="K29167" s="5">
        <v>0</v>
      </c>
    </row>
    <row r="29168" spans="1:11" x14ac:dyDescent="0.25">
      <c r="A29168" s="5">
        <f>29161</f>
      </c>
      <c r="B29168" s="5" t="s">
        <v>29176</v>
      </c>
      <c r="C29168" s="5">
        <v>99.7</v>
      </c>
      <c r="D29168" s="5">
        <v>0.1</v>
      </c>
      <c r="E29168" s="5">
        <v>99.9</v>
      </c>
      <c r="F29168" s="5">
        <v>199.4</v>
      </c>
      <c r="G29168" s="5">
        <v>99.5</v>
      </c>
      <c r="H29168" s="5">
        <v>99.3</v>
      </c>
      <c r="I29168" s="5">
        <v>0</v>
      </c>
      <c r="J29168" s="5">
        <v>0</v>
      </c>
      <c r="K29168" s="5">
        <v>0</v>
      </c>
    </row>
    <row r="29169" spans="1:11" x14ac:dyDescent="0.25">
      <c r="A29169" s="5">
        <f>29162</f>
      </c>
      <c r="B29169" s="5" t="s">
        <v>29177</v>
      </c>
      <c r="C29169" s="5">
        <v>99.7</v>
      </c>
      <c r="D29169" s="5">
        <v>0.1</v>
      </c>
      <c r="E29169" s="5">
        <v>99.9</v>
      </c>
      <c r="F29169" s="5">
        <v>199.4</v>
      </c>
      <c r="G29169" s="5">
        <v>99.5</v>
      </c>
      <c r="H29169" s="5">
        <v>99.3</v>
      </c>
      <c r="I29169" s="5">
        <v>0</v>
      </c>
      <c r="J29169" s="5">
        <v>0</v>
      </c>
      <c r="K29169" s="5">
        <v>0</v>
      </c>
    </row>
    <row r="29170" spans="1:11" x14ac:dyDescent="0.25">
      <c r="A29170" s="5">
        <f>29163</f>
      </c>
      <c r="B29170" s="5" t="s">
        <v>29178</v>
      </c>
      <c r="C29170" s="5">
        <v>100.2</v>
      </c>
      <c r="D29170" s="5">
        <v>0.1</v>
      </c>
      <c r="E29170" s="5">
        <v>100.4</v>
      </c>
      <c r="F29170" s="5">
        <v>200.2</v>
      </c>
      <c r="G29170" s="5">
        <v>99.9</v>
      </c>
      <c r="H29170" s="5">
        <v>99.7</v>
      </c>
      <c r="I29170" s="5">
        <v>0</v>
      </c>
      <c r="J29170" s="5">
        <v>0</v>
      </c>
      <c r="K29170" s="5">
        <v>0</v>
      </c>
    </row>
    <row r="29171" spans="1:11" x14ac:dyDescent="0.25">
      <c r="A29171" s="5">
        <f>29164</f>
      </c>
      <c r="B29171" s="5" t="s">
        <v>29179</v>
      </c>
      <c r="C29171" s="5">
        <v>100.2</v>
      </c>
      <c r="D29171" s="5">
        <v>0.1</v>
      </c>
      <c r="E29171" s="5">
        <v>100.4</v>
      </c>
      <c r="F29171" s="5">
        <v>200.2</v>
      </c>
      <c r="G29171" s="5">
        <v>99.9</v>
      </c>
      <c r="H29171" s="5">
        <v>99.7</v>
      </c>
      <c r="I29171" s="5">
        <v>0</v>
      </c>
      <c r="J29171" s="5">
        <v>0</v>
      </c>
      <c r="K29171" s="5">
        <v>0</v>
      </c>
    </row>
    <row r="29172" spans="1:11" x14ac:dyDescent="0.25">
      <c r="A29172" s="5">
        <f>29165</f>
      </c>
      <c r="B29172" s="5" t="s">
        <v>29180</v>
      </c>
      <c r="C29172" s="5">
        <v>100.1</v>
      </c>
      <c r="D29172" s="5">
        <v>0.1</v>
      </c>
      <c r="E29172" s="5">
        <v>100.2</v>
      </c>
      <c r="F29172" s="5">
        <v>199.6</v>
      </c>
      <c r="G29172" s="5">
        <v>99.6</v>
      </c>
      <c r="H29172" s="5">
        <v>99.5</v>
      </c>
      <c r="I29172" s="5">
        <v>0</v>
      </c>
      <c r="J29172" s="5">
        <v>0</v>
      </c>
      <c r="K29172" s="5">
        <v>0</v>
      </c>
    </row>
    <row r="29173" spans="1:11" x14ac:dyDescent="0.25">
      <c r="A29173" s="5">
        <f>29166</f>
      </c>
      <c r="B29173" s="5" t="s">
        <v>29181</v>
      </c>
      <c r="C29173" s="5">
        <v>100.1</v>
      </c>
      <c r="D29173" s="5">
        <v>0.1</v>
      </c>
      <c r="E29173" s="5">
        <v>100.2</v>
      </c>
      <c r="F29173" s="5">
        <v>199.6</v>
      </c>
      <c r="G29173" s="5">
        <v>99.6</v>
      </c>
      <c r="H29173" s="5">
        <v>99.5</v>
      </c>
      <c r="I29173" s="5">
        <v>0</v>
      </c>
      <c r="J29173" s="5">
        <v>0</v>
      </c>
      <c r="K29173" s="5">
        <v>0</v>
      </c>
    </row>
    <row r="29174" spans="1:11" x14ac:dyDescent="0.25">
      <c r="A29174" s="5">
        <f>29167</f>
      </c>
      <c r="B29174" s="5" t="s">
        <v>29182</v>
      </c>
      <c r="C29174" s="5">
        <v>100.3</v>
      </c>
      <c r="D29174" s="5">
        <v>0.1</v>
      </c>
      <c r="E29174" s="5">
        <v>100.4</v>
      </c>
      <c r="F29174" s="5">
        <v>200</v>
      </c>
      <c r="G29174" s="5">
        <v>99.8</v>
      </c>
      <c r="H29174" s="5">
        <v>99.8</v>
      </c>
      <c r="I29174" s="5">
        <v>0</v>
      </c>
      <c r="J29174" s="5">
        <v>0</v>
      </c>
      <c r="K29174" s="5">
        <v>0</v>
      </c>
    </row>
    <row r="29175" spans="1:11" x14ac:dyDescent="0.25">
      <c r="A29175" s="5">
        <f>29168</f>
      </c>
      <c r="B29175" s="5" t="s">
        <v>29183</v>
      </c>
      <c r="C29175" s="5">
        <v>100.3</v>
      </c>
      <c r="D29175" s="5">
        <v>0.1</v>
      </c>
      <c r="E29175" s="5">
        <v>100.4</v>
      </c>
      <c r="F29175" s="5">
        <v>200</v>
      </c>
      <c r="G29175" s="5">
        <v>99.8</v>
      </c>
      <c r="H29175" s="5">
        <v>99.8</v>
      </c>
      <c r="I29175" s="5">
        <v>0</v>
      </c>
      <c r="J29175" s="5">
        <v>0</v>
      </c>
      <c r="K29175" s="5">
        <v>0</v>
      </c>
    </row>
    <row r="29176" spans="1:11" x14ac:dyDescent="0.25">
      <c r="A29176" s="5">
        <f>29169</f>
      </c>
      <c r="B29176" s="5" t="s">
        <v>29184</v>
      </c>
      <c r="C29176" s="5">
        <v>99.8</v>
      </c>
      <c r="D29176" s="5">
        <v>0.1</v>
      </c>
      <c r="E29176" s="5">
        <v>99.9</v>
      </c>
      <c r="F29176" s="5">
        <v>199.2</v>
      </c>
      <c r="G29176" s="5">
        <v>99.4</v>
      </c>
      <c r="H29176" s="5">
        <v>99.3</v>
      </c>
      <c r="I29176" s="5">
        <v>0</v>
      </c>
      <c r="J29176" s="5">
        <v>0</v>
      </c>
      <c r="K29176" s="5">
        <v>0</v>
      </c>
    </row>
    <row r="29177" spans="1:11" x14ac:dyDescent="0.25">
      <c r="A29177" s="5">
        <f>29170</f>
      </c>
      <c r="B29177" s="5" t="s">
        <v>29185</v>
      </c>
      <c r="C29177" s="5">
        <v>99.8</v>
      </c>
      <c r="D29177" s="5">
        <v>0.1</v>
      </c>
      <c r="E29177" s="5">
        <v>99.9</v>
      </c>
      <c r="F29177" s="5">
        <v>199.2</v>
      </c>
      <c r="G29177" s="5">
        <v>99.4</v>
      </c>
      <c r="H29177" s="5">
        <v>99.3</v>
      </c>
      <c r="I29177" s="5">
        <v>0</v>
      </c>
      <c r="J29177" s="5">
        <v>0</v>
      </c>
      <c r="K29177" s="5">
        <v>0</v>
      </c>
    </row>
    <row r="29178" spans="1:11" x14ac:dyDescent="0.25">
      <c r="A29178" s="5">
        <f>29171</f>
      </c>
      <c r="B29178" s="5" t="s">
        <v>29186</v>
      </c>
      <c r="C29178" s="5">
        <v>99.8</v>
      </c>
      <c r="D29178" s="5">
        <v>0.1</v>
      </c>
      <c r="E29178" s="5">
        <v>99.9</v>
      </c>
      <c r="F29178" s="5">
        <v>199.2</v>
      </c>
      <c r="G29178" s="5">
        <v>99.4</v>
      </c>
      <c r="H29178" s="5">
        <v>99.3</v>
      </c>
      <c r="I29178" s="5">
        <v>0</v>
      </c>
      <c r="J29178" s="5">
        <v>0</v>
      </c>
      <c r="K29178" s="5">
        <v>0</v>
      </c>
    </row>
    <row r="29179" spans="1:11" x14ac:dyDescent="0.25">
      <c r="A29179" s="5">
        <f>29172</f>
      </c>
      <c r="B29179" s="5" t="s">
        <v>29187</v>
      </c>
      <c r="C29179" s="5">
        <v>99.8</v>
      </c>
      <c r="D29179" s="5">
        <v>0.1</v>
      </c>
      <c r="E29179" s="5">
        <v>99.9</v>
      </c>
      <c r="F29179" s="5">
        <v>199.2</v>
      </c>
      <c r="G29179" s="5">
        <v>99.4</v>
      </c>
      <c r="H29179" s="5">
        <v>99.3</v>
      </c>
      <c r="I29179" s="5">
        <v>0</v>
      </c>
      <c r="J29179" s="5">
        <v>0</v>
      </c>
      <c r="K29179" s="5">
        <v>0</v>
      </c>
    </row>
    <row r="29180" spans="1:11" x14ac:dyDescent="0.25">
      <c r="A29180" s="5">
        <f>29173</f>
      </c>
      <c r="B29180" s="5" t="s">
        <v>29188</v>
      </c>
      <c r="C29180" s="5">
        <v>99.4</v>
      </c>
      <c r="D29180" s="5">
        <v>0.1</v>
      </c>
      <c r="E29180" s="5">
        <v>99.5</v>
      </c>
      <c r="F29180" s="5">
        <v>199.5</v>
      </c>
      <c r="G29180" s="5">
        <v>99.5</v>
      </c>
      <c r="H29180" s="5">
        <v>99.3</v>
      </c>
      <c r="I29180" s="5">
        <v>0</v>
      </c>
      <c r="J29180" s="5">
        <v>0</v>
      </c>
      <c r="K29180" s="5">
        <v>0</v>
      </c>
    </row>
    <row r="29181" spans="1:11" x14ac:dyDescent="0.25">
      <c r="A29181" s="5">
        <f>29174</f>
      </c>
      <c r="B29181" s="5" t="s">
        <v>29189</v>
      </c>
      <c r="C29181" s="5">
        <v>99.4</v>
      </c>
      <c r="D29181" s="5">
        <v>0.1</v>
      </c>
      <c r="E29181" s="5">
        <v>99.5</v>
      </c>
      <c r="F29181" s="5">
        <v>199.5</v>
      </c>
      <c r="G29181" s="5">
        <v>99.5</v>
      </c>
      <c r="H29181" s="5">
        <v>99.3</v>
      </c>
      <c r="I29181" s="5">
        <v>0</v>
      </c>
      <c r="J29181" s="5">
        <v>0</v>
      </c>
      <c r="K29181" s="5">
        <v>0</v>
      </c>
    </row>
    <row r="29182" spans="1:11" x14ac:dyDescent="0.25">
      <c r="A29182" s="5">
        <f>29175</f>
      </c>
      <c r="B29182" s="5" t="s">
        <v>29190</v>
      </c>
      <c r="C29182" s="5">
        <v>100.1</v>
      </c>
      <c r="D29182" s="5">
        <v>0.1</v>
      </c>
      <c r="E29182" s="5">
        <v>100.2</v>
      </c>
      <c r="F29182" s="5">
        <v>199.9</v>
      </c>
      <c r="G29182" s="5">
        <v>99.7</v>
      </c>
      <c r="H29182" s="5">
        <v>99.6</v>
      </c>
      <c r="I29182" s="5">
        <v>0</v>
      </c>
      <c r="J29182" s="5">
        <v>0</v>
      </c>
      <c r="K29182" s="5">
        <v>0</v>
      </c>
    </row>
    <row r="29183" spans="1:11" x14ac:dyDescent="0.25">
      <c r="A29183" s="5">
        <f>29176</f>
      </c>
      <c r="B29183" s="5" t="s">
        <v>29191</v>
      </c>
      <c r="C29183" s="5">
        <v>100.1</v>
      </c>
      <c r="D29183" s="5">
        <v>0.1</v>
      </c>
      <c r="E29183" s="5">
        <v>100.2</v>
      </c>
      <c r="F29183" s="5">
        <v>199.9</v>
      </c>
      <c r="G29183" s="5">
        <v>99.7</v>
      </c>
      <c r="H29183" s="5">
        <v>99.6</v>
      </c>
      <c r="I29183" s="5">
        <v>0</v>
      </c>
      <c r="J29183" s="5">
        <v>0</v>
      </c>
      <c r="K29183" s="5">
        <v>0</v>
      </c>
    </row>
    <row r="29184" spans="1:11" x14ac:dyDescent="0.25">
      <c r="A29184" s="5">
        <f>29177</f>
      </c>
      <c r="B29184" s="5" t="s">
        <v>29192</v>
      </c>
      <c r="C29184" s="5">
        <v>99.8</v>
      </c>
      <c r="D29184" s="5">
        <v>0.1</v>
      </c>
      <c r="E29184" s="5">
        <v>99.9</v>
      </c>
      <c r="F29184" s="5">
        <v>199.2</v>
      </c>
      <c r="G29184" s="5">
        <v>99.5</v>
      </c>
      <c r="H29184" s="5">
        <v>99.4</v>
      </c>
      <c r="I29184" s="5">
        <v>0</v>
      </c>
      <c r="J29184" s="5">
        <v>0</v>
      </c>
      <c r="K29184" s="5">
        <v>0</v>
      </c>
    </row>
    <row r="29185" spans="1:11" x14ac:dyDescent="0.25">
      <c r="A29185" s="5">
        <f>29178</f>
      </c>
      <c r="B29185" s="5" t="s">
        <v>29193</v>
      </c>
      <c r="C29185" s="5">
        <v>99.8</v>
      </c>
      <c r="D29185" s="5">
        <v>0.1</v>
      </c>
      <c r="E29185" s="5">
        <v>99.9</v>
      </c>
      <c r="F29185" s="5">
        <v>199.2</v>
      </c>
      <c r="G29185" s="5">
        <v>99.5</v>
      </c>
      <c r="H29185" s="5">
        <v>99.4</v>
      </c>
      <c r="I29185" s="5">
        <v>0</v>
      </c>
      <c r="J29185" s="5">
        <v>0</v>
      </c>
      <c r="K29185" s="5">
        <v>0</v>
      </c>
    </row>
    <row r="29186" spans="1:11" x14ac:dyDescent="0.25">
      <c r="A29186" s="5">
        <f>29179</f>
      </c>
      <c r="B29186" s="5" t="s">
        <v>29194</v>
      </c>
      <c r="C29186" s="5">
        <v>100</v>
      </c>
      <c r="D29186" s="5">
        <v>0.1</v>
      </c>
      <c r="E29186" s="5">
        <v>100.2</v>
      </c>
      <c r="F29186" s="5">
        <v>199.2</v>
      </c>
      <c r="G29186" s="5">
        <v>99.4</v>
      </c>
      <c r="H29186" s="5">
        <v>99.2</v>
      </c>
      <c r="I29186" s="5">
        <v>0</v>
      </c>
      <c r="J29186" s="5">
        <v>0</v>
      </c>
      <c r="K29186" s="5">
        <v>0</v>
      </c>
    </row>
    <row r="29187" spans="1:11" x14ac:dyDescent="0.25">
      <c r="A29187" s="5">
        <f>29180</f>
      </c>
      <c r="B29187" s="5" t="s">
        <v>29195</v>
      </c>
      <c r="C29187" s="5">
        <v>100</v>
      </c>
      <c r="D29187" s="5">
        <v>0.1</v>
      </c>
      <c r="E29187" s="5">
        <v>100.2</v>
      </c>
      <c r="F29187" s="5">
        <v>199.2</v>
      </c>
      <c r="G29187" s="5">
        <v>99.4</v>
      </c>
      <c r="H29187" s="5">
        <v>99.2</v>
      </c>
      <c r="I29187" s="5">
        <v>0</v>
      </c>
      <c r="J29187" s="5">
        <v>0</v>
      </c>
      <c r="K29187" s="5">
        <v>0</v>
      </c>
    </row>
    <row r="29188" spans="1:11" x14ac:dyDescent="0.25">
      <c r="A29188" s="5">
        <f>29181</f>
      </c>
      <c r="B29188" s="5" t="s">
        <v>29196</v>
      </c>
      <c r="C29188" s="5">
        <v>100</v>
      </c>
      <c r="D29188" s="5">
        <v>0.1</v>
      </c>
      <c r="E29188" s="5">
        <v>100.2</v>
      </c>
      <c r="F29188" s="5">
        <v>199.2</v>
      </c>
      <c r="G29188" s="5">
        <v>99.4</v>
      </c>
      <c r="H29188" s="5">
        <v>99.2</v>
      </c>
      <c r="I29188" s="5">
        <v>0</v>
      </c>
      <c r="J29188" s="5">
        <v>0</v>
      </c>
      <c r="K29188" s="5">
        <v>0</v>
      </c>
    </row>
    <row r="29189" spans="1:11" x14ac:dyDescent="0.25">
      <c r="A29189" s="5">
        <f>29182</f>
      </c>
      <c r="B29189" s="5" t="s">
        <v>29197</v>
      </c>
      <c r="C29189" s="5">
        <v>100</v>
      </c>
      <c r="D29189" s="5">
        <v>0.1</v>
      </c>
      <c r="E29189" s="5">
        <v>100.2</v>
      </c>
      <c r="F29189" s="5">
        <v>199.2</v>
      </c>
      <c r="G29189" s="5">
        <v>99.4</v>
      </c>
      <c r="H29189" s="5">
        <v>99.2</v>
      </c>
      <c r="I29189" s="5">
        <v>0</v>
      </c>
      <c r="J29189" s="5">
        <v>0</v>
      </c>
      <c r="K29189" s="5">
        <v>0</v>
      </c>
    </row>
    <row r="29190" spans="1:11" x14ac:dyDescent="0.25">
      <c r="A29190" s="5">
        <f>29183</f>
      </c>
      <c r="B29190" s="5" t="s">
        <v>29198</v>
      </c>
      <c r="C29190" s="5">
        <v>99.9</v>
      </c>
      <c r="D29190" s="5">
        <v>0.1</v>
      </c>
      <c r="E29190" s="5">
        <v>99.9</v>
      </c>
      <c r="F29190" s="5">
        <v>199</v>
      </c>
      <c r="G29190" s="5">
        <v>99.3</v>
      </c>
      <c r="H29190" s="5">
        <v>99.1</v>
      </c>
      <c r="I29190" s="5">
        <v>0</v>
      </c>
      <c r="J29190" s="5">
        <v>0</v>
      </c>
      <c r="K29190" s="5">
        <v>0</v>
      </c>
    </row>
    <row r="29191" spans="1:11" x14ac:dyDescent="0.25">
      <c r="A29191" s="5">
        <f>29184</f>
      </c>
      <c r="B29191" s="5" t="s">
        <v>29199</v>
      </c>
      <c r="C29191" s="5">
        <v>99.9</v>
      </c>
      <c r="D29191" s="5">
        <v>0.1</v>
      </c>
      <c r="E29191" s="5">
        <v>99.9</v>
      </c>
      <c r="F29191" s="5">
        <v>199</v>
      </c>
      <c r="G29191" s="5">
        <v>99.3</v>
      </c>
      <c r="H29191" s="5">
        <v>99.1</v>
      </c>
      <c r="I29191" s="5">
        <v>0</v>
      </c>
      <c r="J29191" s="5">
        <v>0</v>
      </c>
      <c r="K29191" s="5">
        <v>0</v>
      </c>
    </row>
    <row r="29192" spans="1:11" x14ac:dyDescent="0.25">
      <c r="A29192" s="5">
        <f>29185</f>
      </c>
      <c r="B29192" s="5" t="s">
        <v>29200</v>
      </c>
      <c r="C29192" s="5">
        <v>99.9</v>
      </c>
      <c r="D29192" s="5">
        <v>0.1</v>
      </c>
      <c r="E29192" s="5">
        <v>100.1</v>
      </c>
      <c r="F29192" s="5">
        <v>200.1</v>
      </c>
      <c r="G29192" s="5">
        <v>99.9</v>
      </c>
      <c r="H29192" s="5">
        <v>99.8</v>
      </c>
      <c r="I29192" s="5">
        <v>0</v>
      </c>
      <c r="J29192" s="5">
        <v>0</v>
      </c>
      <c r="K29192" s="5">
        <v>0</v>
      </c>
    </row>
    <row r="29193" spans="1:11" x14ac:dyDescent="0.25">
      <c r="A29193" s="5">
        <f>29186</f>
      </c>
      <c r="B29193" s="5" t="s">
        <v>29201</v>
      </c>
      <c r="C29193" s="5">
        <v>99.9</v>
      </c>
      <c r="D29193" s="5">
        <v>0.1</v>
      </c>
      <c r="E29193" s="5">
        <v>100.1</v>
      </c>
      <c r="F29193" s="5">
        <v>200.1</v>
      </c>
      <c r="G29193" s="5">
        <v>99.9</v>
      </c>
      <c r="H29193" s="5">
        <v>99.8</v>
      </c>
      <c r="I29193" s="5">
        <v>0</v>
      </c>
      <c r="J29193" s="5">
        <v>0</v>
      </c>
      <c r="K29193" s="5">
        <v>0</v>
      </c>
    </row>
    <row r="29194" spans="1:11" x14ac:dyDescent="0.25">
      <c r="A29194" s="5">
        <f>29187</f>
      </c>
      <c r="B29194" s="5" t="s">
        <v>29202</v>
      </c>
      <c r="C29194" s="5">
        <v>99.4</v>
      </c>
      <c r="D29194" s="5">
        <v>0.1</v>
      </c>
      <c r="E29194" s="5">
        <v>99.5</v>
      </c>
      <c r="F29194" s="5">
        <v>199.3</v>
      </c>
      <c r="G29194" s="5">
        <v>99.5</v>
      </c>
      <c r="H29194" s="5">
        <v>99.3</v>
      </c>
      <c r="I29194" s="5">
        <v>0</v>
      </c>
      <c r="J29194" s="5">
        <v>0</v>
      </c>
      <c r="K29194" s="5">
        <v>0</v>
      </c>
    </row>
    <row r="29195" spans="1:11" x14ac:dyDescent="0.25">
      <c r="A29195" s="5">
        <f>29188</f>
      </c>
      <c r="B29195" s="5" t="s">
        <v>29203</v>
      </c>
      <c r="C29195" s="5">
        <v>99.4</v>
      </c>
      <c r="D29195" s="5">
        <v>0.1</v>
      </c>
      <c r="E29195" s="5">
        <v>99.5</v>
      </c>
      <c r="F29195" s="5">
        <v>199.3</v>
      </c>
      <c r="G29195" s="5">
        <v>99.5</v>
      </c>
      <c r="H29195" s="5">
        <v>99.3</v>
      </c>
      <c r="I29195" s="5">
        <v>0</v>
      </c>
      <c r="J29195" s="5">
        <v>0</v>
      </c>
      <c r="K29195" s="5">
        <v>0</v>
      </c>
    </row>
    <row r="29196" spans="1:11" x14ac:dyDescent="0.25">
      <c r="A29196" s="5">
        <f>29189</f>
      </c>
      <c r="B29196" s="5" t="s">
        <v>29204</v>
      </c>
      <c r="C29196" s="5">
        <v>99.9</v>
      </c>
      <c r="D29196" s="5">
        <v>0.1</v>
      </c>
      <c r="E29196" s="5">
        <v>100</v>
      </c>
      <c r="F29196" s="5">
        <v>198.5</v>
      </c>
      <c r="G29196" s="5">
        <v>98.9</v>
      </c>
      <c r="H29196" s="5">
        <v>98.8</v>
      </c>
      <c r="I29196" s="5">
        <v>0</v>
      </c>
      <c r="J29196" s="5">
        <v>0</v>
      </c>
      <c r="K29196" s="5">
        <v>0</v>
      </c>
    </row>
    <row r="29197" spans="1:11" x14ac:dyDescent="0.25">
      <c r="A29197" s="5">
        <f>29190</f>
      </c>
      <c r="B29197" s="5" t="s">
        <v>29205</v>
      </c>
      <c r="C29197" s="5">
        <v>99.9</v>
      </c>
      <c r="D29197" s="5">
        <v>0.1</v>
      </c>
      <c r="E29197" s="5">
        <v>100</v>
      </c>
      <c r="F29197" s="5">
        <v>198.5</v>
      </c>
      <c r="G29197" s="5">
        <v>98.9</v>
      </c>
      <c r="H29197" s="5">
        <v>98.8</v>
      </c>
      <c r="I29197" s="5">
        <v>0</v>
      </c>
      <c r="J29197" s="5">
        <v>0</v>
      </c>
      <c r="K29197" s="5">
        <v>0</v>
      </c>
    </row>
    <row r="29198" spans="1:11" x14ac:dyDescent="0.25">
      <c r="A29198" s="5">
        <f>29191</f>
      </c>
      <c r="B29198" s="5" t="s">
        <v>29206</v>
      </c>
      <c r="C29198" s="5">
        <v>99.9</v>
      </c>
      <c r="D29198" s="5">
        <v>0.1</v>
      </c>
      <c r="E29198" s="5">
        <v>100</v>
      </c>
      <c r="F29198" s="5">
        <v>198.5</v>
      </c>
      <c r="G29198" s="5">
        <v>98.9</v>
      </c>
      <c r="H29198" s="5">
        <v>98.8</v>
      </c>
      <c r="I29198" s="5">
        <v>0</v>
      </c>
      <c r="J29198" s="5">
        <v>0</v>
      </c>
      <c r="K29198" s="5">
        <v>0</v>
      </c>
    </row>
    <row r="29199" spans="1:11" x14ac:dyDescent="0.25">
      <c r="A29199" s="5">
        <f>29192</f>
      </c>
      <c r="B29199" s="5" t="s">
        <v>29207</v>
      </c>
      <c r="C29199" s="5">
        <v>99.9</v>
      </c>
      <c r="D29199" s="5">
        <v>0.1</v>
      </c>
      <c r="E29199" s="5">
        <v>100</v>
      </c>
      <c r="F29199" s="5">
        <v>198.5</v>
      </c>
      <c r="G29199" s="5">
        <v>98.9</v>
      </c>
      <c r="H29199" s="5">
        <v>98.8</v>
      </c>
      <c r="I29199" s="5">
        <v>0</v>
      </c>
      <c r="J29199" s="5">
        <v>0</v>
      </c>
      <c r="K29199" s="5">
        <v>0</v>
      </c>
    </row>
    <row r="29200" spans="1:11" x14ac:dyDescent="0.25">
      <c r="A29200" s="5">
        <f>29193</f>
      </c>
      <c r="B29200" s="5" t="s">
        <v>29208</v>
      </c>
      <c r="C29200" s="5">
        <v>100.2</v>
      </c>
      <c r="D29200" s="5">
        <v>0.1</v>
      </c>
      <c r="E29200" s="5">
        <v>100.3</v>
      </c>
      <c r="F29200" s="5">
        <v>200.5</v>
      </c>
      <c r="G29200" s="5">
        <v>100.1</v>
      </c>
      <c r="H29200" s="5">
        <v>99.9</v>
      </c>
      <c r="I29200" s="5">
        <v>0</v>
      </c>
      <c r="J29200" s="5">
        <v>0</v>
      </c>
      <c r="K29200" s="5">
        <v>0</v>
      </c>
    </row>
    <row r="29201" spans="1:11" x14ac:dyDescent="0.25">
      <c r="A29201" s="5">
        <f>29194</f>
      </c>
      <c r="B29201" s="5" t="s">
        <v>29209</v>
      </c>
      <c r="C29201" s="5">
        <v>100.2</v>
      </c>
      <c r="D29201" s="5">
        <v>0.1</v>
      </c>
      <c r="E29201" s="5">
        <v>100.3</v>
      </c>
      <c r="F29201" s="5">
        <v>200.5</v>
      </c>
      <c r="G29201" s="5">
        <v>100.1</v>
      </c>
      <c r="H29201" s="5">
        <v>99.9</v>
      </c>
      <c r="I29201" s="5">
        <v>0</v>
      </c>
      <c r="J29201" s="5">
        <v>0</v>
      </c>
      <c r="K29201" s="5">
        <v>0</v>
      </c>
    </row>
    <row r="29202" spans="1:11" x14ac:dyDescent="0.25">
      <c r="A29202" s="5">
        <f>29195</f>
      </c>
      <c r="B29202" s="5" t="s">
        <v>29210</v>
      </c>
      <c r="C29202" s="5">
        <v>101.6</v>
      </c>
      <c r="D29202" s="5">
        <v>0.1</v>
      </c>
      <c r="E29202" s="5">
        <v>101.8</v>
      </c>
      <c r="F29202" s="5">
        <v>201.5</v>
      </c>
      <c r="G29202" s="5">
        <v>100.6</v>
      </c>
      <c r="H29202" s="5">
        <v>100.4</v>
      </c>
      <c r="I29202" s="5">
        <v>0</v>
      </c>
      <c r="J29202" s="5">
        <v>0</v>
      </c>
      <c r="K29202" s="5">
        <v>0</v>
      </c>
    </row>
    <row r="29203" spans="1:11" x14ac:dyDescent="0.25">
      <c r="A29203" s="5">
        <f>29196</f>
      </c>
      <c r="B29203" s="5" t="s">
        <v>29211</v>
      </c>
      <c r="C29203" s="5">
        <v>101.6</v>
      </c>
      <c r="D29203" s="5">
        <v>0.1</v>
      </c>
      <c r="E29203" s="5">
        <v>101.8</v>
      </c>
      <c r="F29203" s="5">
        <v>201.5</v>
      </c>
      <c r="G29203" s="5">
        <v>100.6</v>
      </c>
      <c r="H29203" s="5">
        <v>100.4</v>
      </c>
      <c r="I29203" s="5">
        <v>0</v>
      </c>
      <c r="J29203" s="5">
        <v>0</v>
      </c>
      <c r="K29203" s="5">
        <v>0</v>
      </c>
    </row>
    <row r="29204" spans="1:11" x14ac:dyDescent="0.25">
      <c r="A29204" s="5">
        <f>29197</f>
      </c>
      <c r="B29204" s="5" t="s">
        <v>29212</v>
      </c>
      <c r="C29204" s="5">
        <v>101.6</v>
      </c>
      <c r="D29204" s="5">
        <v>0.1</v>
      </c>
      <c r="E29204" s="5">
        <v>101.7</v>
      </c>
      <c r="F29204" s="5">
        <v>200.9</v>
      </c>
      <c r="G29204" s="5">
        <v>100.2</v>
      </c>
      <c r="H29204" s="5">
        <v>100.1</v>
      </c>
      <c r="I29204" s="5">
        <v>0</v>
      </c>
      <c r="J29204" s="5">
        <v>0</v>
      </c>
      <c r="K29204" s="5">
        <v>0</v>
      </c>
    </row>
    <row r="29205" spans="1:11" x14ac:dyDescent="0.25">
      <c r="A29205" s="5">
        <f>29198</f>
      </c>
      <c r="B29205" s="5" t="s">
        <v>29213</v>
      </c>
      <c r="C29205" s="5">
        <v>101.6</v>
      </c>
      <c r="D29205" s="5">
        <v>0.1</v>
      </c>
      <c r="E29205" s="5">
        <v>101.7</v>
      </c>
      <c r="F29205" s="5">
        <v>200.9</v>
      </c>
      <c r="G29205" s="5">
        <v>100.2</v>
      </c>
      <c r="H29205" s="5">
        <v>100.1</v>
      </c>
      <c r="I29205" s="5">
        <v>0</v>
      </c>
      <c r="J29205" s="5">
        <v>0</v>
      </c>
      <c r="K29205" s="5">
        <v>0</v>
      </c>
    </row>
    <row r="29206" spans="1:11" x14ac:dyDescent="0.25">
      <c r="A29206" s="5">
        <f>29199</f>
      </c>
      <c r="B29206" s="5" t="s">
        <v>29214</v>
      </c>
      <c r="C29206" s="5">
        <v>101</v>
      </c>
      <c r="D29206" s="5">
        <v>0.1</v>
      </c>
      <c r="E29206" s="5">
        <v>101.1</v>
      </c>
      <c r="F29206" s="5">
        <v>201.7</v>
      </c>
      <c r="G29206" s="5">
        <v>100.6</v>
      </c>
      <c r="H29206" s="5">
        <v>100.4</v>
      </c>
      <c r="I29206" s="5">
        <v>0</v>
      </c>
      <c r="J29206" s="5">
        <v>0</v>
      </c>
      <c r="K29206" s="5">
        <v>0</v>
      </c>
    </row>
    <row r="29207" spans="1:11" x14ac:dyDescent="0.25">
      <c r="A29207" s="5">
        <f>29200</f>
      </c>
      <c r="B29207" s="5" t="s">
        <v>29215</v>
      </c>
      <c r="C29207" s="5">
        <v>101</v>
      </c>
      <c r="D29207" s="5">
        <v>0.1</v>
      </c>
      <c r="E29207" s="5">
        <v>101.1</v>
      </c>
      <c r="F29207" s="5">
        <v>201.7</v>
      </c>
      <c r="G29207" s="5">
        <v>100.6</v>
      </c>
      <c r="H29207" s="5">
        <v>100.4</v>
      </c>
      <c r="I29207" s="5">
        <v>0</v>
      </c>
      <c r="J29207" s="5">
        <v>0</v>
      </c>
      <c r="K29207" s="5">
        <v>0</v>
      </c>
    </row>
    <row r="29208" spans="1:11" x14ac:dyDescent="0.25">
      <c r="A29208" s="5">
        <f>29201</f>
      </c>
      <c r="B29208" s="5" t="s">
        <v>29216</v>
      </c>
      <c r="C29208" s="5">
        <v>101</v>
      </c>
      <c r="D29208" s="5">
        <v>0.1</v>
      </c>
      <c r="E29208" s="5">
        <v>101.1</v>
      </c>
      <c r="F29208" s="5">
        <v>201.7</v>
      </c>
      <c r="G29208" s="5">
        <v>100.6</v>
      </c>
      <c r="H29208" s="5">
        <v>100.4</v>
      </c>
      <c r="I29208" s="5">
        <v>0</v>
      </c>
      <c r="J29208" s="5">
        <v>0</v>
      </c>
      <c r="K29208" s="5">
        <v>0</v>
      </c>
    </row>
    <row r="29209" spans="1:11" x14ac:dyDescent="0.25">
      <c r="A29209" s="5">
        <f>29202</f>
      </c>
      <c r="B29209" s="5" t="s">
        <v>29217</v>
      </c>
      <c r="C29209" s="5">
        <v>101</v>
      </c>
      <c r="D29209" s="5">
        <v>0.1</v>
      </c>
      <c r="E29209" s="5">
        <v>101.1</v>
      </c>
      <c r="F29209" s="5">
        <v>201.7</v>
      </c>
      <c r="G29209" s="5">
        <v>100.6</v>
      </c>
      <c r="H29209" s="5">
        <v>100.4</v>
      </c>
      <c r="I29209" s="5">
        <v>0</v>
      </c>
      <c r="J29209" s="5">
        <v>0</v>
      </c>
      <c r="K29209" s="5">
        <v>0</v>
      </c>
    </row>
    <row r="29210" spans="1:11" x14ac:dyDescent="0.25">
      <c r="A29210" s="5">
        <f>29203</f>
      </c>
      <c r="B29210" s="5" t="s">
        <v>29218</v>
      </c>
      <c r="C29210" s="5">
        <v>98.9</v>
      </c>
      <c r="D29210" s="5">
        <v>0.1</v>
      </c>
      <c r="E29210" s="5">
        <v>99</v>
      </c>
      <c r="F29210" s="5">
        <v>196.2</v>
      </c>
      <c r="G29210" s="5">
        <v>97.9</v>
      </c>
      <c r="H29210" s="5">
        <v>97.9</v>
      </c>
      <c r="I29210" s="5">
        <v>0</v>
      </c>
      <c r="J29210" s="5">
        <v>0</v>
      </c>
      <c r="K29210" s="5">
        <v>0</v>
      </c>
    </row>
    <row r="29211" spans="1:11" x14ac:dyDescent="0.25">
      <c r="A29211" s="5">
        <f>29204</f>
      </c>
      <c r="B29211" s="5" t="s">
        <v>29219</v>
      </c>
      <c r="C29211" s="5">
        <v>98.9</v>
      </c>
      <c r="D29211" s="5">
        <v>0.1</v>
      </c>
      <c r="E29211" s="5">
        <v>99</v>
      </c>
      <c r="F29211" s="5">
        <v>196.2</v>
      </c>
      <c r="G29211" s="5">
        <v>97.9</v>
      </c>
      <c r="H29211" s="5">
        <v>97.9</v>
      </c>
      <c r="I29211" s="5">
        <v>0</v>
      </c>
      <c r="J29211" s="5">
        <v>0</v>
      </c>
      <c r="K29211" s="5">
        <v>0</v>
      </c>
    </row>
    <row r="29212" spans="1:11" x14ac:dyDescent="0.25">
      <c r="A29212" s="5">
        <f>29205</f>
      </c>
      <c r="B29212" s="5" t="s">
        <v>29220</v>
      </c>
      <c r="C29212" s="5">
        <v>100.4</v>
      </c>
      <c r="D29212" s="5">
        <v>0.1</v>
      </c>
      <c r="E29212" s="5">
        <v>100.5</v>
      </c>
      <c r="F29212" s="5">
        <v>197.7</v>
      </c>
      <c r="G29212" s="5">
        <v>98.8</v>
      </c>
      <c r="H29212" s="5">
        <v>98.7</v>
      </c>
      <c r="I29212" s="5">
        <v>0</v>
      </c>
      <c r="J29212" s="5">
        <v>0</v>
      </c>
      <c r="K29212" s="5">
        <v>0</v>
      </c>
    </row>
    <row r="29213" spans="1:11" x14ac:dyDescent="0.25">
      <c r="A29213" s="5">
        <f>29206</f>
      </c>
      <c r="B29213" s="5" t="s">
        <v>29221</v>
      </c>
      <c r="C29213" s="5">
        <v>100.4</v>
      </c>
      <c r="D29213" s="5">
        <v>0.1</v>
      </c>
      <c r="E29213" s="5">
        <v>100.5</v>
      </c>
      <c r="F29213" s="5">
        <v>197.7</v>
      </c>
      <c r="G29213" s="5">
        <v>98.8</v>
      </c>
      <c r="H29213" s="5">
        <v>98.7</v>
      </c>
      <c r="I29213" s="5">
        <v>0</v>
      </c>
      <c r="J29213" s="5">
        <v>0</v>
      </c>
      <c r="K29213" s="5">
        <v>0</v>
      </c>
    </row>
    <row r="29214" spans="1:11" x14ac:dyDescent="0.25">
      <c r="A29214" s="5">
        <f>29207</f>
      </c>
      <c r="B29214" s="5" t="s">
        <v>29222</v>
      </c>
      <c r="C29214" s="5">
        <v>95.7</v>
      </c>
      <c r="D29214" s="5">
        <v>0.1</v>
      </c>
      <c r="E29214" s="5">
        <v>95.8</v>
      </c>
      <c r="F29214" s="5">
        <v>193.5</v>
      </c>
      <c r="G29214" s="5">
        <v>96.5</v>
      </c>
      <c r="H29214" s="5">
        <v>96.3</v>
      </c>
      <c r="I29214" s="5">
        <v>0</v>
      </c>
      <c r="J29214" s="5">
        <v>0</v>
      </c>
      <c r="K29214" s="5">
        <v>0</v>
      </c>
    </row>
    <row r="29215" spans="1:11" x14ac:dyDescent="0.25">
      <c r="A29215" s="5">
        <f>29208</f>
      </c>
      <c r="B29215" s="5" t="s">
        <v>29223</v>
      </c>
      <c r="C29215" s="5">
        <v>95.7</v>
      </c>
      <c r="D29215" s="5">
        <v>0.1</v>
      </c>
      <c r="E29215" s="5">
        <v>95.8</v>
      </c>
      <c r="F29215" s="5">
        <v>193.5</v>
      </c>
      <c r="G29215" s="5">
        <v>96.5</v>
      </c>
      <c r="H29215" s="5">
        <v>96.3</v>
      </c>
      <c r="I29215" s="5">
        <v>0</v>
      </c>
      <c r="J29215" s="5">
        <v>0</v>
      </c>
      <c r="K29215" s="5">
        <v>0</v>
      </c>
    </row>
    <row r="29216" spans="1:11" x14ac:dyDescent="0.25">
      <c r="A29216" s="5">
        <f>29209</f>
      </c>
      <c r="B29216" s="5" t="s">
        <v>29224</v>
      </c>
      <c r="C29216" s="5">
        <v>95.7</v>
      </c>
      <c r="D29216" s="5">
        <v>0.1</v>
      </c>
      <c r="E29216" s="5">
        <v>95.9</v>
      </c>
      <c r="F29216" s="5">
        <v>191.5</v>
      </c>
      <c r="G29216" s="5">
        <v>95.6</v>
      </c>
      <c r="H29216" s="5">
        <v>95.5</v>
      </c>
      <c r="I29216" s="5">
        <v>0</v>
      </c>
      <c r="J29216" s="5">
        <v>0</v>
      </c>
      <c r="K29216" s="5">
        <v>0</v>
      </c>
    </row>
    <row r="29217" spans="1:11" x14ac:dyDescent="0.25">
      <c r="A29217" s="5">
        <f>29210</f>
      </c>
      <c r="B29217" s="5" t="s">
        <v>29225</v>
      </c>
      <c r="C29217" s="5">
        <v>95.7</v>
      </c>
      <c r="D29217" s="5">
        <v>0.1</v>
      </c>
      <c r="E29217" s="5">
        <v>95.9</v>
      </c>
      <c r="F29217" s="5">
        <v>191.5</v>
      </c>
      <c r="G29217" s="5">
        <v>95.6</v>
      </c>
      <c r="H29217" s="5">
        <v>95.5</v>
      </c>
      <c r="I29217" s="5">
        <v>0</v>
      </c>
      <c r="J29217" s="5">
        <v>0</v>
      </c>
      <c r="K29217" s="5">
        <v>0</v>
      </c>
    </row>
    <row r="29218" spans="1:11" x14ac:dyDescent="0.25">
      <c r="A29218" s="5">
        <f>29211</f>
      </c>
      <c r="B29218" s="5" t="s">
        <v>29226</v>
      </c>
      <c r="C29218" s="5">
        <v>95.7</v>
      </c>
      <c r="D29218" s="5">
        <v>0.1</v>
      </c>
      <c r="E29218" s="5">
        <v>95.9</v>
      </c>
      <c r="F29218" s="5">
        <v>191.5</v>
      </c>
      <c r="G29218" s="5">
        <v>95.6</v>
      </c>
      <c r="H29218" s="5">
        <v>95.5</v>
      </c>
      <c r="I29218" s="5">
        <v>0</v>
      </c>
      <c r="J29218" s="5">
        <v>0</v>
      </c>
      <c r="K29218" s="5">
        <v>0</v>
      </c>
    </row>
    <row r="29219" spans="1:11" x14ac:dyDescent="0.25">
      <c r="A29219" s="5">
        <f>29212</f>
      </c>
      <c r="B29219" s="5" t="s">
        <v>29227</v>
      </c>
      <c r="C29219" s="5">
        <v>95.7</v>
      </c>
      <c r="D29219" s="5">
        <v>0.1</v>
      </c>
      <c r="E29219" s="5">
        <v>95.9</v>
      </c>
      <c r="F29219" s="5">
        <v>191.5</v>
      </c>
      <c r="G29219" s="5">
        <v>94.5</v>
      </c>
      <c r="H29219" s="5">
        <v>94.4</v>
      </c>
      <c r="I29219" s="5">
        <v>0</v>
      </c>
      <c r="J29219" s="5">
        <v>0</v>
      </c>
      <c r="K29219" s="5">
        <v>0</v>
      </c>
    </row>
    <row r="29220" spans="1:11" x14ac:dyDescent="0.25">
      <c r="A29220" s="5">
        <f>29213</f>
      </c>
      <c r="B29220" s="5" t="s">
        <v>29228</v>
      </c>
      <c r="C29220" s="5">
        <v>99.9</v>
      </c>
      <c r="D29220" s="5">
        <v>0.1</v>
      </c>
      <c r="E29220" s="5">
        <v>100</v>
      </c>
      <c r="F29220" s="5">
        <v>190.8</v>
      </c>
      <c r="G29220" s="5">
        <v>94.5</v>
      </c>
      <c r="H29220" s="5">
        <v>94.4</v>
      </c>
      <c r="I29220" s="5">
        <v>0</v>
      </c>
      <c r="J29220" s="5">
        <v>0</v>
      </c>
      <c r="K29220" s="5">
        <v>0</v>
      </c>
    </row>
    <row r="29221" spans="1:11" x14ac:dyDescent="0.25">
      <c r="A29221" s="5">
        <f>29214</f>
      </c>
      <c r="B29221" s="5" t="s">
        <v>29229</v>
      </c>
      <c r="C29221" s="5">
        <v>99.9</v>
      </c>
      <c r="D29221" s="5">
        <v>0.1</v>
      </c>
      <c r="E29221" s="5">
        <v>100</v>
      </c>
      <c r="F29221" s="5">
        <v>190.8</v>
      </c>
      <c r="G29221" s="5">
        <v>94.5</v>
      </c>
      <c r="H29221" s="5">
        <v>95.1</v>
      </c>
      <c r="I29221" s="5">
        <v>0</v>
      </c>
      <c r="J29221" s="5">
        <v>0</v>
      </c>
      <c r="K29221" s="5">
        <v>0</v>
      </c>
    </row>
    <row r="29222" spans="1:11" x14ac:dyDescent="0.25">
      <c r="A29222" s="5">
        <f>29215</f>
      </c>
      <c r="B29222" s="5" t="s">
        <v>29230</v>
      </c>
      <c r="C29222" s="5">
        <v>96.7</v>
      </c>
      <c r="D29222" s="5">
        <v>0.1</v>
      </c>
      <c r="E29222" s="5">
        <v>96.8</v>
      </c>
      <c r="F29222" s="5">
        <v>192.6</v>
      </c>
      <c r="G29222" s="5">
        <v>95.4</v>
      </c>
      <c r="H29222" s="5">
        <v>95.1</v>
      </c>
      <c r="I29222" s="5">
        <v>0</v>
      </c>
      <c r="J29222" s="5">
        <v>0</v>
      </c>
      <c r="K29222" s="5">
        <v>0</v>
      </c>
    </row>
    <row r="29223" spans="1:11" x14ac:dyDescent="0.25">
      <c r="A29223" s="5">
        <f>29216</f>
      </c>
      <c r="B29223" s="5" t="s">
        <v>29231</v>
      </c>
      <c r="C29223" s="5">
        <v>96.7</v>
      </c>
      <c r="D29223" s="5">
        <v>0.1</v>
      </c>
      <c r="E29223" s="5">
        <v>96.8</v>
      </c>
      <c r="F29223" s="5">
        <v>192.6</v>
      </c>
      <c r="G29223" s="5">
        <v>95.4</v>
      </c>
      <c r="H29223" s="5">
        <v>95.1</v>
      </c>
      <c r="I29223" s="5">
        <v>0</v>
      </c>
      <c r="J29223" s="5">
        <v>0</v>
      </c>
      <c r="K29223" s="5">
        <v>0</v>
      </c>
    </row>
    <row r="29224" spans="1:11" x14ac:dyDescent="0.25">
      <c r="A29224" s="5">
        <f>29217</f>
      </c>
      <c r="B29224" s="5" t="s">
        <v>29232</v>
      </c>
      <c r="C29224" s="5">
        <v>95.9</v>
      </c>
      <c r="D29224" s="5">
        <v>0.1</v>
      </c>
      <c r="E29224" s="5">
        <v>96</v>
      </c>
      <c r="F29224" s="5">
        <v>192.1</v>
      </c>
      <c r="G29224" s="5">
        <v>96</v>
      </c>
      <c r="H29224" s="5">
        <v>96</v>
      </c>
      <c r="I29224" s="5">
        <v>0</v>
      </c>
      <c r="J29224" s="5">
        <v>0</v>
      </c>
      <c r="K29224" s="5">
        <v>0</v>
      </c>
    </row>
    <row r="29225" spans="1:11" x14ac:dyDescent="0.25">
      <c r="A29225" s="5">
        <f>29218</f>
      </c>
      <c r="B29225" s="5" t="s">
        <v>29233</v>
      </c>
      <c r="C29225" s="5">
        <v>95.9</v>
      </c>
      <c r="D29225" s="5">
        <v>0.1</v>
      </c>
      <c r="E29225" s="5">
        <v>96</v>
      </c>
      <c r="F29225" s="5">
        <v>192.1</v>
      </c>
      <c r="G29225" s="5">
        <v>96</v>
      </c>
      <c r="H29225" s="5">
        <v>96</v>
      </c>
      <c r="I29225" s="5">
        <v>0</v>
      </c>
      <c r="J29225" s="5">
        <v>0</v>
      </c>
      <c r="K29225" s="5">
        <v>0</v>
      </c>
    </row>
    <row r="29226" spans="1:11" x14ac:dyDescent="0.25">
      <c r="A29226" s="5">
        <f>29219</f>
      </c>
      <c r="B29226" s="5" t="s">
        <v>29234</v>
      </c>
      <c r="C29226" s="5">
        <v>97</v>
      </c>
      <c r="D29226" s="5">
        <v>0.1</v>
      </c>
      <c r="E29226" s="5">
        <v>97.2</v>
      </c>
      <c r="F29226" s="5">
        <v>193.9</v>
      </c>
      <c r="G29226" s="5">
        <v>96.6</v>
      </c>
      <c r="H29226" s="5">
        <v>96.5</v>
      </c>
      <c r="I29226" s="5">
        <v>0</v>
      </c>
      <c r="J29226" s="5">
        <v>0</v>
      </c>
      <c r="K29226" s="5">
        <v>0</v>
      </c>
    </row>
    <row r="29227" spans="1:11" x14ac:dyDescent="0.25">
      <c r="A29227" s="5">
        <f>29220</f>
      </c>
      <c r="B29227" s="5" t="s">
        <v>29235</v>
      </c>
      <c r="C29227" s="5">
        <v>97</v>
      </c>
      <c r="D29227" s="5">
        <v>0.1</v>
      </c>
      <c r="E29227" s="5">
        <v>97.2</v>
      </c>
      <c r="F29227" s="5">
        <v>193.9</v>
      </c>
      <c r="G29227" s="5">
        <v>96.6</v>
      </c>
      <c r="H29227" s="5">
        <v>96.5</v>
      </c>
      <c r="I29227" s="5">
        <v>0</v>
      </c>
      <c r="J29227" s="5">
        <v>0</v>
      </c>
      <c r="K29227" s="5">
        <v>0</v>
      </c>
    </row>
    <row r="29228" spans="1:11" x14ac:dyDescent="0.25">
      <c r="A29228" s="5">
        <f>29221</f>
      </c>
      <c r="B29228" s="5" t="s">
        <v>29236</v>
      </c>
      <c r="C29228" s="5">
        <v>97</v>
      </c>
      <c r="D29228" s="5">
        <v>0.1</v>
      </c>
      <c r="E29228" s="5">
        <v>97.2</v>
      </c>
      <c r="F29228" s="5">
        <v>193.9</v>
      </c>
      <c r="G29228" s="5">
        <v>96.6</v>
      </c>
      <c r="H29228" s="5">
        <v>96.5</v>
      </c>
      <c r="I29228" s="5">
        <v>0</v>
      </c>
      <c r="J29228" s="5">
        <v>0</v>
      </c>
      <c r="K29228" s="5">
        <v>0</v>
      </c>
    </row>
    <row r="29229" spans="1:11" x14ac:dyDescent="0.25">
      <c r="A29229" s="5">
        <f>29222</f>
      </c>
      <c r="B29229" s="5" t="s">
        <v>29237</v>
      </c>
      <c r="C29229" s="5">
        <v>93.8</v>
      </c>
      <c r="D29229" s="5">
        <v>0.1</v>
      </c>
      <c r="E29229" s="5">
        <v>93.9</v>
      </c>
      <c r="F29229" s="5">
        <v>189</v>
      </c>
      <c r="G29229" s="5">
        <v>94.2</v>
      </c>
      <c r="H29229" s="5">
        <v>94</v>
      </c>
      <c r="I29229" s="5">
        <v>0</v>
      </c>
      <c r="J29229" s="5">
        <v>0</v>
      </c>
      <c r="K29229" s="5">
        <v>0</v>
      </c>
    </row>
    <row r="29230" spans="1:11" x14ac:dyDescent="0.25">
      <c r="A29230" s="5">
        <f>29223</f>
      </c>
      <c r="B29230" s="5" t="s">
        <v>29238</v>
      </c>
      <c r="C29230" s="5">
        <v>93.8</v>
      </c>
      <c r="D29230" s="5">
        <v>0.1</v>
      </c>
      <c r="E29230" s="5">
        <v>93.9</v>
      </c>
      <c r="F29230" s="5">
        <v>189</v>
      </c>
      <c r="G29230" s="5">
        <v>94.2</v>
      </c>
      <c r="H29230" s="5">
        <v>94</v>
      </c>
      <c r="I29230" s="5">
        <v>0</v>
      </c>
      <c r="J29230" s="5">
        <v>0</v>
      </c>
      <c r="K29230" s="5">
        <v>0</v>
      </c>
    </row>
    <row r="29231" spans="1:11" x14ac:dyDescent="0.25">
      <c r="A29231" s="5">
        <f>29224</f>
      </c>
      <c r="B29231" s="5" t="s">
        <v>29239</v>
      </c>
      <c r="C29231" s="5">
        <v>100.3</v>
      </c>
      <c r="D29231" s="5">
        <v>0.1</v>
      </c>
      <c r="E29231" s="5">
        <v>100.5</v>
      </c>
      <c r="F29231" s="5">
        <v>200.6</v>
      </c>
      <c r="G29231" s="5">
        <v>100.1</v>
      </c>
      <c r="H29231" s="5">
        <v>99.9</v>
      </c>
      <c r="I29231" s="5">
        <v>0</v>
      </c>
      <c r="J29231" s="5">
        <v>0</v>
      </c>
      <c r="K29231" s="5">
        <v>0</v>
      </c>
    </row>
    <row r="29232" spans="1:11" x14ac:dyDescent="0.25">
      <c r="A29232" s="5">
        <f>29225</f>
      </c>
      <c r="B29232" s="5" t="s">
        <v>29240</v>
      </c>
      <c r="C29232" s="5">
        <v>100.3</v>
      </c>
      <c r="D29232" s="5">
        <v>0.1</v>
      </c>
      <c r="E29232" s="5">
        <v>100.5</v>
      </c>
      <c r="F29232" s="5">
        <v>200.6</v>
      </c>
      <c r="G29232" s="5">
        <v>100.1</v>
      </c>
      <c r="H29232" s="5">
        <v>99.9</v>
      </c>
      <c r="I29232" s="5">
        <v>0</v>
      </c>
      <c r="J29232" s="5">
        <v>0</v>
      </c>
      <c r="K29232" s="5">
        <v>0</v>
      </c>
    </row>
    <row r="29233" spans="1:11" x14ac:dyDescent="0.25">
      <c r="A29233" s="5">
        <f>29226</f>
      </c>
      <c r="B29233" s="5" t="s">
        <v>29241</v>
      </c>
      <c r="C29233" s="5">
        <v>96.2</v>
      </c>
      <c r="D29233" s="5">
        <v>0.1</v>
      </c>
      <c r="E29233" s="5">
        <v>96.4</v>
      </c>
      <c r="F29233" s="5">
        <v>193.3</v>
      </c>
      <c r="G29233" s="5">
        <v>96.4</v>
      </c>
      <c r="H29233" s="5">
        <v>96.2</v>
      </c>
      <c r="I29233" s="5">
        <v>0</v>
      </c>
      <c r="J29233" s="5">
        <v>0</v>
      </c>
      <c r="K29233" s="5">
        <v>0</v>
      </c>
    </row>
    <row r="29234" spans="1:11" x14ac:dyDescent="0.25">
      <c r="A29234" s="5">
        <f>29227</f>
      </c>
      <c r="B29234" s="5" t="s">
        <v>29242</v>
      </c>
      <c r="C29234" s="5">
        <v>96.2</v>
      </c>
      <c r="D29234" s="5">
        <v>0.1</v>
      </c>
      <c r="E29234" s="5">
        <v>96.4</v>
      </c>
      <c r="F29234" s="5">
        <v>193.3</v>
      </c>
      <c r="G29234" s="5">
        <v>96.4</v>
      </c>
      <c r="H29234" s="5">
        <v>96.2</v>
      </c>
      <c r="I29234" s="5">
        <v>0</v>
      </c>
      <c r="J29234" s="5">
        <v>0</v>
      </c>
      <c r="K29234" s="5">
        <v>0</v>
      </c>
    </row>
    <row r="29235" spans="1:11" x14ac:dyDescent="0.25">
      <c r="A29235" s="5">
        <f>29228</f>
      </c>
      <c r="B29235" s="5" t="s">
        <v>29243</v>
      </c>
      <c r="C29235" s="5">
        <v>95.6</v>
      </c>
      <c r="D29235" s="5">
        <v>0.1</v>
      </c>
      <c r="E29235" s="5">
        <v>95.7</v>
      </c>
      <c r="F29235" s="5">
        <v>192.4</v>
      </c>
      <c r="G29235" s="5">
        <v>96</v>
      </c>
      <c r="H29235" s="5">
        <v>95.9</v>
      </c>
      <c r="I29235" s="5">
        <v>0</v>
      </c>
      <c r="J29235" s="5">
        <v>0</v>
      </c>
      <c r="K29235" s="5">
        <v>0</v>
      </c>
    </row>
    <row r="29236" spans="1:11" x14ac:dyDescent="0.25">
      <c r="A29236" s="5">
        <f>29229</f>
      </c>
      <c r="B29236" s="5" t="s">
        <v>29244</v>
      </c>
      <c r="C29236" s="5">
        <v>95.6</v>
      </c>
      <c r="D29236" s="5">
        <v>0.1</v>
      </c>
      <c r="E29236" s="5">
        <v>95.7</v>
      </c>
      <c r="F29236" s="5">
        <v>192.4</v>
      </c>
      <c r="G29236" s="5">
        <v>96</v>
      </c>
      <c r="H29236" s="5">
        <v>95.9</v>
      </c>
      <c r="I29236" s="5">
        <v>0</v>
      </c>
      <c r="J29236" s="5">
        <v>0</v>
      </c>
      <c r="K29236" s="5">
        <v>0</v>
      </c>
    </row>
    <row r="29237" spans="1:11" x14ac:dyDescent="0.25">
      <c r="A29237" s="5">
        <f>29230</f>
      </c>
      <c r="B29237" s="5" t="s">
        <v>29245</v>
      </c>
      <c r="C29237" s="5">
        <v>95.6</v>
      </c>
      <c r="D29237" s="5">
        <v>0.1</v>
      </c>
      <c r="E29237" s="5">
        <v>95.7</v>
      </c>
      <c r="F29237" s="5">
        <v>192.4</v>
      </c>
      <c r="G29237" s="5">
        <v>96</v>
      </c>
      <c r="H29237" s="5">
        <v>95.9</v>
      </c>
      <c r="I29237" s="5">
        <v>0</v>
      </c>
      <c r="J29237" s="5">
        <v>0</v>
      </c>
      <c r="K29237" s="5">
        <v>0</v>
      </c>
    </row>
    <row r="29238" spans="1:11" x14ac:dyDescent="0.25">
      <c r="A29238" s="5">
        <f>29231</f>
      </c>
      <c r="B29238" s="5" t="s">
        <v>29246</v>
      </c>
      <c r="C29238" s="5">
        <v>95.6</v>
      </c>
      <c r="D29238" s="5">
        <v>0.1</v>
      </c>
      <c r="E29238" s="5">
        <v>95.7</v>
      </c>
      <c r="F29238" s="5">
        <v>192.4</v>
      </c>
      <c r="G29238" s="5">
        <v>96</v>
      </c>
      <c r="H29238" s="5">
        <v>95.9</v>
      </c>
      <c r="I29238" s="5">
        <v>0</v>
      </c>
      <c r="J29238" s="5">
        <v>0</v>
      </c>
      <c r="K29238" s="5">
        <v>0</v>
      </c>
    </row>
    <row r="29239" spans="1:11" x14ac:dyDescent="0.25">
      <c r="A29239" s="5">
        <f>29232</f>
      </c>
      <c r="B29239" s="5" t="s">
        <v>29247</v>
      </c>
      <c r="C29239" s="5">
        <v>100.9</v>
      </c>
      <c r="D29239" s="5">
        <v>0.1</v>
      </c>
      <c r="E29239" s="5">
        <v>95.7</v>
      </c>
      <c r="F29239" s="5">
        <v>192.4</v>
      </c>
      <c r="G29239" s="5">
        <v>96</v>
      </c>
      <c r="H29239" s="5">
        <v>95.9</v>
      </c>
      <c r="I29239" s="5">
        <v>0</v>
      </c>
      <c r="J29239" s="5">
        <v>0</v>
      </c>
      <c r="K29239" s="5">
        <v>0</v>
      </c>
    </row>
    <row r="29240" spans="1:11" x14ac:dyDescent="0.25">
      <c r="A29240" s="5">
        <f>29233</f>
      </c>
      <c r="B29240" s="5" t="s">
        <v>29248</v>
      </c>
      <c r="C29240" s="5">
        <v>100.9</v>
      </c>
      <c r="D29240" s="5">
        <v>0.1</v>
      </c>
      <c r="E29240" s="5">
        <v>101.1</v>
      </c>
      <c r="F29240" s="5">
        <v>201.2</v>
      </c>
      <c r="G29240" s="5">
        <v>100.4</v>
      </c>
      <c r="H29240" s="5">
        <v>100.3</v>
      </c>
      <c r="I29240" s="5">
        <v>0</v>
      </c>
      <c r="J29240" s="5">
        <v>0</v>
      </c>
      <c r="K29240" s="5">
        <v>0</v>
      </c>
    </row>
    <row r="29241" spans="1:11" x14ac:dyDescent="0.25">
      <c r="A29241" s="5">
        <f>29234</f>
      </c>
      <c r="B29241" s="5" t="s">
        <v>29249</v>
      </c>
      <c r="C29241" s="5">
        <v>100.9</v>
      </c>
      <c r="D29241" s="5">
        <v>0.1</v>
      </c>
      <c r="E29241" s="5">
        <v>101.1</v>
      </c>
      <c r="F29241" s="5">
        <v>201.2</v>
      </c>
      <c r="G29241" s="5">
        <v>100.4</v>
      </c>
      <c r="H29241" s="5">
        <v>100.3</v>
      </c>
      <c r="I29241" s="5">
        <v>0</v>
      </c>
      <c r="J29241" s="5">
        <v>0</v>
      </c>
      <c r="K29241" s="5">
        <v>0</v>
      </c>
    </row>
    <row r="29242" spans="1:11" x14ac:dyDescent="0.25">
      <c r="A29242" s="5">
        <f>29235</f>
      </c>
      <c r="B29242" s="5" t="s">
        <v>29250</v>
      </c>
      <c r="C29242" s="5">
        <v>94.8</v>
      </c>
      <c r="D29242" s="5">
        <v>0.1</v>
      </c>
      <c r="E29242" s="5">
        <v>95</v>
      </c>
      <c r="F29242" s="5">
        <v>202.2</v>
      </c>
      <c r="G29242" s="5">
        <v>100.9</v>
      </c>
      <c r="H29242" s="5">
        <v>100.7</v>
      </c>
      <c r="I29242" s="5">
        <v>0</v>
      </c>
      <c r="J29242" s="5">
        <v>0</v>
      </c>
      <c r="K29242" s="5">
        <v>0</v>
      </c>
    </row>
    <row r="29243" spans="1:11" x14ac:dyDescent="0.25">
      <c r="A29243" s="5">
        <f>29236</f>
      </c>
      <c r="B29243" s="5" t="s">
        <v>29251</v>
      </c>
      <c r="C29243" s="5">
        <v>94.8</v>
      </c>
      <c r="D29243" s="5">
        <v>0.1</v>
      </c>
      <c r="E29243" s="5">
        <v>95</v>
      </c>
      <c r="F29243" s="5">
        <v>202.2</v>
      </c>
      <c r="G29243" s="5">
        <v>100.9</v>
      </c>
      <c r="H29243" s="5">
        <v>100.7</v>
      </c>
      <c r="I29243" s="5">
        <v>0</v>
      </c>
      <c r="J29243" s="5">
        <v>0</v>
      </c>
      <c r="K29243" s="5">
        <v>0</v>
      </c>
    </row>
    <row r="29244" spans="1:11" x14ac:dyDescent="0.25">
      <c r="A29244" s="5">
        <f>29237</f>
      </c>
      <c r="B29244" s="5" t="s">
        <v>29252</v>
      </c>
      <c r="C29244" s="5">
        <v>95.4</v>
      </c>
      <c r="D29244" s="5">
        <v>0.1</v>
      </c>
      <c r="E29244" s="5">
        <v>95.5</v>
      </c>
      <c r="F29244" s="5">
        <v>194</v>
      </c>
      <c r="G29244" s="5">
        <v>97</v>
      </c>
      <c r="H29244" s="5">
        <v>96.9</v>
      </c>
      <c r="I29244" s="5">
        <v>0</v>
      </c>
      <c r="J29244" s="5">
        <v>0</v>
      </c>
      <c r="K29244" s="5">
        <v>0</v>
      </c>
    </row>
    <row r="29245" spans="1:11" x14ac:dyDescent="0.25">
      <c r="A29245" s="5">
        <f>29238</f>
      </c>
      <c r="B29245" s="5" t="s">
        <v>29253</v>
      </c>
      <c r="C29245" s="5">
        <v>95.4</v>
      </c>
      <c r="D29245" s="5">
        <v>0.1</v>
      </c>
      <c r="E29245" s="5">
        <v>95.5</v>
      </c>
      <c r="F29245" s="5">
        <v>194</v>
      </c>
      <c r="G29245" s="5">
        <v>97</v>
      </c>
      <c r="H29245" s="5">
        <v>96.9</v>
      </c>
      <c r="I29245" s="5">
        <v>0</v>
      </c>
      <c r="J29245" s="5">
        <v>0</v>
      </c>
      <c r="K29245" s="5">
        <v>0</v>
      </c>
    </row>
    <row r="29246" spans="1:11" x14ac:dyDescent="0.25">
      <c r="A29246" s="5">
        <f>29239</f>
      </c>
      <c r="B29246" s="5" t="s">
        <v>29254</v>
      </c>
      <c r="C29246" s="5">
        <v>96.9</v>
      </c>
      <c r="D29246" s="5">
        <v>0.1</v>
      </c>
      <c r="E29246" s="5">
        <v>97</v>
      </c>
      <c r="F29246" s="5">
        <v>192.7</v>
      </c>
      <c r="G29246" s="5">
        <v>95.8</v>
      </c>
      <c r="H29246" s="5">
        <v>95.2</v>
      </c>
      <c r="I29246" s="5">
        <v>0</v>
      </c>
      <c r="J29246" s="5">
        <v>0</v>
      </c>
      <c r="K29246" s="5">
        <v>0</v>
      </c>
    </row>
    <row r="29247" spans="1:11" x14ac:dyDescent="0.25">
      <c r="A29247" s="5">
        <f>29240</f>
      </c>
      <c r="B29247" s="5" t="s">
        <v>29255</v>
      </c>
      <c r="C29247" s="5">
        <v>96.9</v>
      </c>
      <c r="D29247" s="5">
        <v>0.1</v>
      </c>
      <c r="E29247" s="5">
        <v>97</v>
      </c>
      <c r="F29247" s="5">
        <v>192.7</v>
      </c>
      <c r="G29247" s="5">
        <v>95.8</v>
      </c>
      <c r="H29247" s="5">
        <v>95.2</v>
      </c>
      <c r="I29247" s="5">
        <v>0</v>
      </c>
      <c r="J29247" s="5">
        <v>0</v>
      </c>
      <c r="K29247" s="5">
        <v>0</v>
      </c>
    </row>
    <row r="29248" spans="1:11" x14ac:dyDescent="0.25">
      <c r="A29248" s="5">
        <f>29241</f>
      </c>
      <c r="B29248" s="5" t="s">
        <v>29256</v>
      </c>
      <c r="C29248" s="5">
        <v>96.9</v>
      </c>
      <c r="D29248" s="5">
        <v>0.1</v>
      </c>
      <c r="E29248" s="5">
        <v>97</v>
      </c>
      <c r="F29248" s="5">
        <v>192.7</v>
      </c>
      <c r="G29248" s="5">
        <v>95.8</v>
      </c>
      <c r="H29248" s="5">
        <v>95.2</v>
      </c>
      <c r="I29248" s="5">
        <v>0</v>
      </c>
      <c r="J29248" s="5">
        <v>0</v>
      </c>
      <c r="K29248" s="5">
        <v>0</v>
      </c>
    </row>
    <row r="29249" spans="1:11" x14ac:dyDescent="0.25">
      <c r="A29249" s="5">
        <f>29242</f>
      </c>
      <c r="B29249" s="5" t="s">
        <v>29257</v>
      </c>
      <c r="C29249" s="5">
        <v>96.9</v>
      </c>
      <c r="D29249" s="5">
        <v>0.1</v>
      </c>
      <c r="E29249" s="5">
        <v>97</v>
      </c>
      <c r="F29249" s="5">
        <v>192.7</v>
      </c>
      <c r="G29249" s="5">
        <v>95.8</v>
      </c>
      <c r="H29249" s="5">
        <v>95.2</v>
      </c>
      <c r="I29249" s="5">
        <v>0</v>
      </c>
      <c r="J29249" s="5">
        <v>0</v>
      </c>
      <c r="K29249" s="5">
        <v>0</v>
      </c>
    </row>
    <row r="29250" spans="1:11" x14ac:dyDescent="0.25">
      <c r="A29250" s="5">
        <f>29243</f>
      </c>
      <c r="B29250" s="5" t="s">
        <v>29258</v>
      </c>
      <c r="C29250" s="5">
        <v>93.8</v>
      </c>
      <c r="D29250" s="5">
        <v>0.1</v>
      </c>
      <c r="E29250" s="5">
        <v>94</v>
      </c>
      <c r="F29250" s="5">
        <v>189</v>
      </c>
      <c r="G29250" s="5">
        <v>94.2</v>
      </c>
      <c r="H29250" s="5">
        <v>94</v>
      </c>
      <c r="I29250" s="5">
        <v>0</v>
      </c>
      <c r="J29250" s="5">
        <v>0</v>
      </c>
      <c r="K29250" s="5">
        <v>0</v>
      </c>
    </row>
    <row r="29251" spans="1:11" x14ac:dyDescent="0.25">
      <c r="A29251" s="5">
        <f>29244</f>
      </c>
      <c r="B29251" s="5" t="s">
        <v>29259</v>
      </c>
      <c r="C29251" s="5">
        <v>93.8</v>
      </c>
      <c r="D29251" s="5">
        <v>0.1</v>
      </c>
      <c r="E29251" s="5">
        <v>94</v>
      </c>
      <c r="F29251" s="5">
        <v>189</v>
      </c>
      <c r="G29251" s="5">
        <v>94.2</v>
      </c>
      <c r="H29251" s="5">
        <v>94</v>
      </c>
      <c r="I29251" s="5">
        <v>0</v>
      </c>
      <c r="J29251" s="5">
        <v>0</v>
      </c>
      <c r="K29251" s="5">
        <v>0</v>
      </c>
    </row>
    <row r="29252" spans="1:11" x14ac:dyDescent="0.25">
      <c r="A29252" s="5">
        <f>29245</f>
      </c>
      <c r="B29252" s="5" t="s">
        <v>29260</v>
      </c>
      <c r="C29252" s="5">
        <v>93.8</v>
      </c>
      <c r="D29252" s="5">
        <v>0.1</v>
      </c>
      <c r="E29252" s="5">
        <v>93.9</v>
      </c>
      <c r="F29252" s="5">
        <v>190.7</v>
      </c>
      <c r="G29252" s="5">
        <v>95</v>
      </c>
      <c r="H29252" s="5">
        <v>94.7</v>
      </c>
      <c r="I29252" s="5">
        <v>0</v>
      </c>
      <c r="J29252" s="5">
        <v>0</v>
      </c>
      <c r="K29252" s="5">
        <v>0</v>
      </c>
    </row>
    <row r="29253" spans="1:11" x14ac:dyDescent="0.25">
      <c r="A29253" s="5">
        <f>29246</f>
      </c>
      <c r="B29253" s="5" t="s">
        <v>29261</v>
      </c>
      <c r="C29253" s="5">
        <v>93.8</v>
      </c>
      <c r="D29253" s="5">
        <v>0.1</v>
      </c>
      <c r="E29253" s="5">
        <v>93.9</v>
      </c>
      <c r="F29253" s="5">
        <v>190.7</v>
      </c>
      <c r="G29253" s="5">
        <v>95</v>
      </c>
      <c r="H29253" s="5">
        <v>94.7</v>
      </c>
      <c r="I29253" s="5">
        <v>0</v>
      </c>
      <c r="J29253" s="5">
        <v>0</v>
      </c>
      <c r="K29253" s="5">
        <v>0</v>
      </c>
    </row>
    <row r="29254" spans="1:11" x14ac:dyDescent="0.25">
      <c r="A29254" s="5">
        <f>29247</f>
      </c>
      <c r="B29254" s="5" t="s">
        <v>29262</v>
      </c>
      <c r="C29254" s="5">
        <v>93.3</v>
      </c>
      <c r="D29254" s="5">
        <v>0.1</v>
      </c>
      <c r="E29254" s="5">
        <v>93.4</v>
      </c>
      <c r="F29254" s="5">
        <v>189.4</v>
      </c>
      <c r="G29254" s="5">
        <v>94.3</v>
      </c>
      <c r="H29254" s="5">
        <v>94.1</v>
      </c>
      <c r="I29254" s="5">
        <v>0</v>
      </c>
      <c r="J29254" s="5">
        <v>0</v>
      </c>
      <c r="K29254" s="5">
        <v>0</v>
      </c>
    </row>
    <row r="29255" spans="1:11" x14ac:dyDescent="0.25">
      <c r="A29255" s="5">
        <f>29248</f>
      </c>
      <c r="B29255" s="5" t="s">
        <v>29263</v>
      </c>
      <c r="C29255" s="5">
        <v>93.3</v>
      </c>
      <c r="D29255" s="5">
        <v>0.1</v>
      </c>
      <c r="E29255" s="5">
        <v>93.4</v>
      </c>
      <c r="F29255" s="5">
        <v>189.4</v>
      </c>
      <c r="G29255" s="5">
        <v>94.3</v>
      </c>
      <c r="H29255" s="5">
        <v>94.1</v>
      </c>
      <c r="I29255" s="5">
        <v>0</v>
      </c>
      <c r="J29255" s="5">
        <v>0</v>
      </c>
      <c r="K29255" s="5">
        <v>0</v>
      </c>
    </row>
    <row r="29256" spans="1:11" x14ac:dyDescent="0.25">
      <c r="A29256" s="5">
        <f>29249</f>
      </c>
      <c r="B29256" s="5" t="s">
        <v>29264</v>
      </c>
      <c r="C29256" s="5">
        <v>100.4</v>
      </c>
      <c r="D29256" s="5">
        <v>0.1</v>
      </c>
      <c r="E29256" s="5">
        <v>100.5</v>
      </c>
      <c r="F29256" s="5">
        <v>200.5</v>
      </c>
      <c r="G29256" s="5">
        <v>100</v>
      </c>
      <c r="H29256" s="5">
        <v>99.9</v>
      </c>
      <c r="I29256" s="5">
        <v>0</v>
      </c>
      <c r="J29256" s="5">
        <v>0</v>
      </c>
      <c r="K29256" s="5">
        <v>0</v>
      </c>
    </row>
    <row r="29257" spans="1:11" x14ac:dyDescent="0.25">
      <c r="A29257" s="5">
        <f>29250</f>
      </c>
      <c r="B29257" s="5" t="s">
        <v>29265</v>
      </c>
      <c r="C29257" s="5">
        <v>100.4</v>
      </c>
      <c r="D29257" s="5">
        <v>0.1</v>
      </c>
      <c r="E29257" s="5">
        <v>100.5</v>
      </c>
      <c r="F29257" s="5">
        <v>200.5</v>
      </c>
      <c r="G29257" s="5">
        <v>100</v>
      </c>
      <c r="H29257" s="5">
        <v>99.9</v>
      </c>
      <c r="I29257" s="5">
        <v>0</v>
      </c>
      <c r="J29257" s="5">
        <v>0</v>
      </c>
      <c r="K29257" s="5">
        <v>0</v>
      </c>
    </row>
    <row r="29258" spans="1:11" x14ac:dyDescent="0.25">
      <c r="A29258" s="5">
        <f>29251</f>
      </c>
      <c r="B29258" s="5" t="s">
        <v>29266</v>
      </c>
      <c r="C29258" s="5">
        <v>100.4</v>
      </c>
      <c r="D29258" s="5">
        <v>0.1</v>
      </c>
      <c r="E29258" s="5">
        <v>100.5</v>
      </c>
      <c r="F29258" s="5">
        <v>200.5</v>
      </c>
      <c r="G29258" s="5">
        <v>100</v>
      </c>
      <c r="H29258" s="5">
        <v>99.9</v>
      </c>
      <c r="I29258" s="5">
        <v>0</v>
      </c>
      <c r="J29258" s="5">
        <v>0</v>
      </c>
      <c r="K29258" s="5">
        <v>0</v>
      </c>
    </row>
    <row r="29259" spans="1:11" x14ac:dyDescent="0.25">
      <c r="A29259" s="5">
        <f>29252</f>
      </c>
      <c r="B29259" s="5" t="s">
        <v>29267</v>
      </c>
      <c r="C29259" s="5">
        <v>100.1</v>
      </c>
      <c r="D29259" s="5">
        <v>0.1</v>
      </c>
      <c r="E29259" s="5">
        <v>100.2</v>
      </c>
      <c r="F29259" s="5">
        <v>199.7</v>
      </c>
      <c r="G29259" s="5">
        <v>99.7</v>
      </c>
      <c r="H29259" s="5">
        <v>99.6</v>
      </c>
      <c r="I29259" s="5">
        <v>0</v>
      </c>
      <c r="J29259" s="5">
        <v>0</v>
      </c>
      <c r="K29259" s="5">
        <v>0</v>
      </c>
    </row>
    <row r="29260" spans="1:11" x14ac:dyDescent="0.25">
      <c r="A29260" s="5">
        <f>29253</f>
      </c>
      <c r="B29260" s="5" t="s">
        <v>29268</v>
      </c>
      <c r="C29260" s="5">
        <v>100.1</v>
      </c>
      <c r="D29260" s="5">
        <v>0.1</v>
      </c>
      <c r="E29260" s="5">
        <v>100.2</v>
      </c>
      <c r="F29260" s="5">
        <v>199.7</v>
      </c>
      <c r="G29260" s="5">
        <v>99.7</v>
      </c>
      <c r="H29260" s="5">
        <v>99.6</v>
      </c>
      <c r="I29260" s="5">
        <v>0</v>
      </c>
      <c r="J29260" s="5">
        <v>0</v>
      </c>
      <c r="K29260" s="5">
        <v>0</v>
      </c>
    </row>
    <row r="29261" spans="1:11" x14ac:dyDescent="0.25">
      <c r="A29261" s="5">
        <f>29254</f>
      </c>
      <c r="B29261" s="5" t="s">
        <v>29269</v>
      </c>
      <c r="C29261" s="5">
        <v>100.2</v>
      </c>
      <c r="D29261" s="5">
        <v>0.1</v>
      </c>
      <c r="E29261" s="5">
        <v>100.4</v>
      </c>
      <c r="F29261" s="5">
        <v>195.3</v>
      </c>
      <c r="G29261" s="5">
        <v>99.3</v>
      </c>
      <c r="H29261" s="5">
        <v>99.1</v>
      </c>
      <c r="I29261" s="5">
        <v>0</v>
      </c>
      <c r="J29261" s="5">
        <v>0</v>
      </c>
      <c r="K29261" s="5">
        <v>0</v>
      </c>
    </row>
    <row r="29262" spans="1:11" x14ac:dyDescent="0.25">
      <c r="A29262" s="5">
        <f>29255</f>
      </c>
      <c r="B29262" s="5" t="s">
        <v>29270</v>
      </c>
      <c r="C29262" s="5">
        <v>100.2</v>
      </c>
      <c r="D29262" s="5">
        <v>0.1</v>
      </c>
      <c r="E29262" s="5">
        <v>100.4</v>
      </c>
      <c r="F29262" s="5">
        <v>195.3</v>
      </c>
      <c r="G29262" s="5">
        <v>99.3</v>
      </c>
      <c r="H29262" s="5">
        <v>99.1</v>
      </c>
      <c r="I29262" s="5">
        <v>0</v>
      </c>
      <c r="J29262" s="5">
        <v>0</v>
      </c>
      <c r="K29262" s="5">
        <v>0</v>
      </c>
    </row>
    <row r="29263" spans="1:11" x14ac:dyDescent="0.25">
      <c r="A29263" s="5">
        <f>29256</f>
      </c>
      <c r="B29263" s="5" t="s">
        <v>29271</v>
      </c>
      <c r="C29263" s="5">
        <v>95.2</v>
      </c>
      <c r="D29263" s="5">
        <v>0.1</v>
      </c>
      <c r="E29263" s="5">
        <v>95.4</v>
      </c>
      <c r="F29263" s="5">
        <v>190.1</v>
      </c>
      <c r="G29263" s="5">
        <v>95.2</v>
      </c>
      <c r="H29263" s="5">
        <v>96.1</v>
      </c>
      <c r="I29263" s="5">
        <v>0</v>
      </c>
      <c r="J29263" s="5">
        <v>0</v>
      </c>
      <c r="K29263" s="5">
        <v>0</v>
      </c>
    </row>
    <row r="29264" spans="1:11" x14ac:dyDescent="0.25">
      <c r="A29264" s="5">
        <f>29257</f>
      </c>
      <c r="B29264" s="5" t="s">
        <v>29272</v>
      </c>
      <c r="C29264" s="5">
        <v>95.2</v>
      </c>
      <c r="D29264" s="5">
        <v>0.1</v>
      </c>
      <c r="E29264" s="5">
        <v>95.4</v>
      </c>
      <c r="F29264" s="5">
        <v>190.1</v>
      </c>
      <c r="G29264" s="5">
        <v>95.2</v>
      </c>
      <c r="H29264" s="5">
        <v>96.1</v>
      </c>
      <c r="I29264" s="5">
        <v>0</v>
      </c>
      <c r="J29264" s="5">
        <v>0</v>
      </c>
      <c r="K29264" s="5">
        <v>0</v>
      </c>
    </row>
    <row r="29265" spans="1:11" x14ac:dyDescent="0.25">
      <c r="A29265" s="5">
        <f>29258</f>
      </c>
      <c r="B29265" s="5" t="s">
        <v>29273</v>
      </c>
      <c r="C29265" s="5">
        <v>94.8</v>
      </c>
      <c r="D29265" s="5">
        <v>0.1</v>
      </c>
      <c r="E29265" s="5">
        <v>95</v>
      </c>
      <c r="F29265" s="5">
        <v>189.1</v>
      </c>
      <c r="G29265" s="5">
        <v>94.3</v>
      </c>
      <c r="H29265" s="5">
        <v>94.1</v>
      </c>
      <c r="I29265" s="5">
        <v>0</v>
      </c>
      <c r="J29265" s="5">
        <v>0</v>
      </c>
      <c r="K29265" s="5">
        <v>0</v>
      </c>
    </row>
    <row r="29266" spans="1:11" x14ac:dyDescent="0.25">
      <c r="A29266" s="5">
        <f>29259</f>
      </c>
      <c r="B29266" s="5" t="s">
        <v>29274</v>
      </c>
      <c r="C29266" s="5">
        <v>94.8</v>
      </c>
      <c r="D29266" s="5">
        <v>0.1</v>
      </c>
      <c r="E29266" s="5">
        <v>95</v>
      </c>
      <c r="F29266" s="5">
        <v>189.1</v>
      </c>
      <c r="G29266" s="5">
        <v>94.3</v>
      </c>
      <c r="H29266" s="5">
        <v>94.1</v>
      </c>
      <c r="I29266" s="5">
        <v>0</v>
      </c>
      <c r="J29266" s="5">
        <v>0</v>
      </c>
      <c r="K29266" s="5">
        <v>0</v>
      </c>
    </row>
    <row r="29267" spans="1:11" x14ac:dyDescent="0.25">
      <c r="A29267" s="5">
        <f>29260</f>
      </c>
      <c r="B29267" s="5" t="s">
        <v>29275</v>
      </c>
      <c r="C29267" s="5">
        <v>94.8</v>
      </c>
      <c r="D29267" s="5">
        <v>0.1</v>
      </c>
      <c r="E29267" s="5">
        <v>95</v>
      </c>
      <c r="F29267" s="5">
        <v>189.1</v>
      </c>
      <c r="G29267" s="5">
        <v>94.3</v>
      </c>
      <c r="H29267" s="5">
        <v>94.1</v>
      </c>
      <c r="I29267" s="5">
        <v>0</v>
      </c>
      <c r="J29267" s="5">
        <v>0</v>
      </c>
      <c r="K29267" s="5">
        <v>0</v>
      </c>
    </row>
    <row r="29268" spans="1:11" x14ac:dyDescent="0.25">
      <c r="A29268" s="5">
        <f>29261</f>
      </c>
      <c r="B29268" s="5" t="s">
        <v>29276</v>
      </c>
      <c r="C29268" s="5">
        <v>94.8</v>
      </c>
      <c r="D29268" s="5">
        <v>0.1</v>
      </c>
      <c r="E29268" s="5">
        <v>95</v>
      </c>
      <c r="F29268" s="5">
        <v>189.1</v>
      </c>
      <c r="G29268" s="5">
        <v>94.3</v>
      </c>
      <c r="H29268" s="5">
        <v>94.1</v>
      </c>
      <c r="I29268" s="5">
        <v>0</v>
      </c>
      <c r="J29268" s="5">
        <v>0</v>
      </c>
      <c r="K29268" s="5">
        <v>0</v>
      </c>
    </row>
    <row r="29269" spans="1:11" x14ac:dyDescent="0.25">
      <c r="A29269" s="5">
        <f>29262</f>
      </c>
      <c r="B29269" s="5" t="s">
        <v>29277</v>
      </c>
      <c r="C29269" s="5">
        <v>96.1</v>
      </c>
      <c r="D29269" s="5">
        <v>0.1</v>
      </c>
      <c r="E29269" s="5">
        <v>96.3</v>
      </c>
      <c r="F29269" s="5">
        <v>194.1</v>
      </c>
      <c r="G29269" s="5">
        <v>96.7</v>
      </c>
      <c r="H29269" s="5">
        <v>96.5</v>
      </c>
      <c r="I29269" s="5">
        <v>0</v>
      </c>
      <c r="J29269" s="5">
        <v>0</v>
      </c>
      <c r="K29269" s="5">
        <v>0</v>
      </c>
    </row>
    <row r="29270" spans="1:11" x14ac:dyDescent="0.25">
      <c r="A29270" s="5">
        <f>29263</f>
      </c>
      <c r="B29270" s="5" t="s">
        <v>29278</v>
      </c>
      <c r="C29270" s="5">
        <v>96.1</v>
      </c>
      <c r="D29270" s="5">
        <v>0.1</v>
      </c>
      <c r="E29270" s="5">
        <v>96.3</v>
      </c>
      <c r="F29270" s="5">
        <v>194.1</v>
      </c>
      <c r="G29270" s="5">
        <v>96.7</v>
      </c>
      <c r="H29270" s="5">
        <v>96.5</v>
      </c>
      <c r="I29270" s="5">
        <v>0</v>
      </c>
      <c r="J29270" s="5">
        <v>0</v>
      </c>
      <c r="K29270" s="5">
        <v>0</v>
      </c>
    </row>
    <row r="29271" spans="1:11" x14ac:dyDescent="0.25">
      <c r="A29271" s="5">
        <f>29264</f>
      </c>
      <c r="B29271" s="5" t="s">
        <v>29279</v>
      </c>
      <c r="C29271" s="5">
        <v>94.3</v>
      </c>
      <c r="D29271" s="5">
        <v>0.1</v>
      </c>
      <c r="E29271" s="5">
        <v>94.4</v>
      </c>
      <c r="F29271" s="5">
        <v>190.7</v>
      </c>
      <c r="G29271" s="5">
        <v>95.1</v>
      </c>
      <c r="H29271" s="5">
        <v>94.9</v>
      </c>
      <c r="I29271" s="5">
        <v>0</v>
      </c>
      <c r="J29271" s="5">
        <v>0</v>
      </c>
      <c r="K29271" s="5">
        <v>0</v>
      </c>
    </row>
    <row r="29272" spans="1:11" x14ac:dyDescent="0.25">
      <c r="A29272" s="5">
        <f>29265</f>
      </c>
      <c r="B29272" s="5" t="s">
        <v>29280</v>
      </c>
      <c r="C29272" s="5">
        <v>94.3</v>
      </c>
      <c r="D29272" s="5">
        <v>0.1</v>
      </c>
      <c r="E29272" s="5">
        <v>94.4</v>
      </c>
      <c r="F29272" s="5">
        <v>190.7</v>
      </c>
      <c r="G29272" s="5">
        <v>95.1</v>
      </c>
      <c r="H29272" s="5">
        <v>94.9</v>
      </c>
      <c r="I29272" s="5">
        <v>0</v>
      </c>
      <c r="J29272" s="5">
        <v>0</v>
      </c>
      <c r="K29272" s="5">
        <v>0</v>
      </c>
    </row>
    <row r="29273" spans="1:11" x14ac:dyDescent="0.25">
      <c r="A29273" s="5">
        <f>29266</f>
      </c>
      <c r="B29273" s="5" t="s">
        <v>29281</v>
      </c>
      <c r="C29273" s="5">
        <v>93.5</v>
      </c>
      <c r="D29273" s="5">
        <v>0.1</v>
      </c>
      <c r="E29273" s="5">
        <v>93.6</v>
      </c>
      <c r="F29273" s="5">
        <v>187.2</v>
      </c>
      <c r="G29273" s="5">
        <v>93.4</v>
      </c>
      <c r="H29273" s="5">
        <v>93.2</v>
      </c>
      <c r="I29273" s="5">
        <v>0</v>
      </c>
      <c r="J29273" s="5">
        <v>0</v>
      </c>
      <c r="K29273" s="5">
        <v>0</v>
      </c>
    </row>
    <row r="29274" spans="1:11" x14ac:dyDescent="0.25">
      <c r="A29274" s="5">
        <f>29267</f>
      </c>
      <c r="B29274" s="5" t="s">
        <v>29282</v>
      </c>
      <c r="C29274" s="5">
        <v>93.5</v>
      </c>
      <c r="D29274" s="5">
        <v>0.1</v>
      </c>
      <c r="E29274" s="5">
        <v>93.6</v>
      </c>
      <c r="F29274" s="5">
        <v>187.2</v>
      </c>
      <c r="G29274" s="5">
        <v>93.4</v>
      </c>
      <c r="H29274" s="5">
        <v>93.2</v>
      </c>
      <c r="I29274" s="5">
        <v>0</v>
      </c>
      <c r="J29274" s="5">
        <v>0</v>
      </c>
      <c r="K29274" s="5">
        <v>0</v>
      </c>
    </row>
    <row r="29275" spans="1:11" x14ac:dyDescent="0.25">
      <c r="A29275" s="5">
        <f>29268</f>
      </c>
      <c r="B29275" s="5" t="s">
        <v>29283</v>
      </c>
      <c r="C29275" s="5">
        <v>92.3</v>
      </c>
      <c r="D29275" s="5">
        <v>0.1</v>
      </c>
      <c r="E29275" s="5">
        <v>92.4</v>
      </c>
      <c r="F29275" s="5">
        <v>185.4</v>
      </c>
      <c r="G29275" s="5">
        <v>92.5</v>
      </c>
      <c r="H29275" s="5">
        <v>92.4</v>
      </c>
      <c r="I29275" s="5">
        <v>0</v>
      </c>
      <c r="J29275" s="5">
        <v>0</v>
      </c>
      <c r="K29275" s="5">
        <v>0</v>
      </c>
    </row>
    <row r="29276" spans="1:11" x14ac:dyDescent="0.25">
      <c r="A29276" s="5">
        <f>29269</f>
      </c>
      <c r="B29276" s="5" t="s">
        <v>29284</v>
      </c>
      <c r="C29276" s="5">
        <v>92.3</v>
      </c>
      <c r="D29276" s="5">
        <v>0.1</v>
      </c>
      <c r="E29276" s="5">
        <v>92.4</v>
      </c>
      <c r="F29276" s="5">
        <v>185.4</v>
      </c>
      <c r="G29276" s="5">
        <v>92.5</v>
      </c>
      <c r="H29276" s="5">
        <v>92.4</v>
      </c>
      <c r="I29276" s="5">
        <v>0</v>
      </c>
      <c r="J29276" s="5">
        <v>0</v>
      </c>
      <c r="K29276" s="5">
        <v>0</v>
      </c>
    </row>
    <row r="29277" spans="1:11" x14ac:dyDescent="0.25">
      <c r="A29277" s="5">
        <f>29270</f>
      </c>
      <c r="B29277" s="5" t="s">
        <v>29285</v>
      </c>
      <c r="C29277" s="5">
        <v>92.3</v>
      </c>
      <c r="D29277" s="5">
        <v>0.1</v>
      </c>
      <c r="E29277" s="5">
        <v>92.4</v>
      </c>
      <c r="F29277" s="5">
        <v>185.4</v>
      </c>
      <c r="G29277" s="5">
        <v>92.5</v>
      </c>
      <c r="H29277" s="5">
        <v>92.4</v>
      </c>
      <c r="I29277" s="5">
        <v>0</v>
      </c>
      <c r="J29277" s="5">
        <v>0</v>
      </c>
      <c r="K29277" s="5">
        <v>0</v>
      </c>
    </row>
    <row r="29278" spans="1:11" x14ac:dyDescent="0.25">
      <c r="A29278" s="5">
        <f>29271</f>
      </c>
      <c r="B29278" s="5" t="s">
        <v>29286</v>
      </c>
      <c r="C29278" s="5">
        <v>92.3</v>
      </c>
      <c r="D29278" s="5">
        <v>0.1</v>
      </c>
      <c r="E29278" s="5">
        <v>92.4</v>
      </c>
      <c r="F29278" s="5">
        <v>185.4</v>
      </c>
      <c r="G29278" s="5">
        <v>92.5</v>
      </c>
      <c r="H29278" s="5">
        <v>92.4</v>
      </c>
      <c r="I29278" s="5">
        <v>0</v>
      </c>
      <c r="J29278" s="5">
        <v>0</v>
      </c>
      <c r="K29278" s="5">
        <v>0</v>
      </c>
    </row>
    <row r="29279" spans="1:11" x14ac:dyDescent="0.25">
      <c r="A29279" s="5">
        <f>29272</f>
      </c>
      <c r="B29279" s="5" t="s">
        <v>29287</v>
      </c>
      <c r="C29279" s="5">
        <v>99.3</v>
      </c>
      <c r="D29279" s="5">
        <v>0.1</v>
      </c>
      <c r="E29279" s="5">
        <v>99.5</v>
      </c>
      <c r="F29279" s="5">
        <v>191.7</v>
      </c>
      <c r="G29279" s="5">
        <v>95.6</v>
      </c>
      <c r="H29279" s="5">
        <v>97</v>
      </c>
      <c r="I29279" s="5">
        <v>0</v>
      </c>
      <c r="J29279" s="5">
        <v>0</v>
      </c>
      <c r="K29279" s="5">
        <v>0</v>
      </c>
    </row>
    <row r="29280" spans="1:11" x14ac:dyDescent="0.25">
      <c r="A29280" s="5">
        <f>29273</f>
      </c>
      <c r="B29280" s="5" t="s">
        <v>29288</v>
      </c>
      <c r="C29280" s="5">
        <v>99.3</v>
      </c>
      <c r="D29280" s="5">
        <v>0.1</v>
      </c>
      <c r="E29280" s="5">
        <v>99.5</v>
      </c>
      <c r="F29280" s="5">
        <v>191.7</v>
      </c>
      <c r="G29280" s="5">
        <v>95.6</v>
      </c>
      <c r="H29280" s="5">
        <v>97</v>
      </c>
      <c r="I29280" s="5">
        <v>0</v>
      </c>
      <c r="J29280" s="5">
        <v>0</v>
      </c>
      <c r="K29280" s="5">
        <v>0</v>
      </c>
    </row>
    <row r="29281" spans="1:11" x14ac:dyDescent="0.25">
      <c r="A29281" s="5">
        <f>29274</f>
      </c>
      <c r="B29281" s="5" t="s">
        <v>29289</v>
      </c>
      <c r="C29281" s="5">
        <v>102.5</v>
      </c>
      <c r="D29281" s="5">
        <v>0.1</v>
      </c>
      <c r="E29281" s="5">
        <v>102.6</v>
      </c>
      <c r="F29281" s="5">
        <v>203.6</v>
      </c>
      <c r="G29281" s="5">
        <v>101.5</v>
      </c>
      <c r="H29281" s="5">
        <v>101.3</v>
      </c>
      <c r="I29281" s="5">
        <v>0</v>
      </c>
      <c r="J29281" s="5">
        <v>0</v>
      </c>
      <c r="K29281" s="5">
        <v>0</v>
      </c>
    </row>
    <row r="29282" spans="1:11" x14ac:dyDescent="0.25">
      <c r="A29282" s="5">
        <f>29275</f>
      </c>
      <c r="B29282" s="5" t="s">
        <v>29290</v>
      </c>
      <c r="C29282" s="5">
        <v>102.5</v>
      </c>
      <c r="D29282" s="5">
        <v>0.1</v>
      </c>
      <c r="E29282" s="5">
        <v>102.6</v>
      </c>
      <c r="F29282" s="5">
        <v>203.6</v>
      </c>
      <c r="G29282" s="5">
        <v>101.5</v>
      </c>
      <c r="H29282" s="5">
        <v>101.3</v>
      </c>
      <c r="I29282" s="5">
        <v>0</v>
      </c>
      <c r="J29282" s="5">
        <v>0</v>
      </c>
      <c r="K29282" s="5">
        <v>0</v>
      </c>
    </row>
    <row r="29283" spans="1:11" x14ac:dyDescent="0.25">
      <c r="A29283" s="5">
        <f>29276</f>
      </c>
      <c r="B29283" s="5" t="s">
        <v>29291</v>
      </c>
      <c r="C29283" s="5">
        <v>96</v>
      </c>
      <c r="D29283" s="5">
        <v>0.1</v>
      </c>
      <c r="E29283" s="5">
        <v>96.1</v>
      </c>
      <c r="F29283" s="5">
        <v>191.5</v>
      </c>
      <c r="G29283" s="5">
        <v>95.6</v>
      </c>
      <c r="H29283" s="5">
        <v>95.4</v>
      </c>
      <c r="I29283" s="5">
        <v>0</v>
      </c>
      <c r="J29283" s="5">
        <v>0</v>
      </c>
      <c r="K29283" s="5">
        <v>0</v>
      </c>
    </row>
    <row r="29284" spans="1:11" x14ac:dyDescent="0.25">
      <c r="A29284" s="5">
        <f>29277</f>
      </c>
      <c r="B29284" s="5" t="s">
        <v>29292</v>
      </c>
      <c r="C29284" s="5">
        <v>96</v>
      </c>
      <c r="D29284" s="5">
        <v>0.1</v>
      </c>
      <c r="E29284" s="5">
        <v>96.1</v>
      </c>
      <c r="F29284" s="5">
        <v>191.5</v>
      </c>
      <c r="G29284" s="5">
        <v>95.6</v>
      </c>
      <c r="H29284" s="5">
        <v>95.4</v>
      </c>
      <c r="I29284" s="5">
        <v>0</v>
      </c>
      <c r="J29284" s="5">
        <v>0</v>
      </c>
      <c r="K29284" s="5">
        <v>0</v>
      </c>
    </row>
    <row r="29285" spans="1:11" x14ac:dyDescent="0.25">
      <c r="A29285" s="5">
        <f>29278</f>
      </c>
      <c r="B29285" s="5" t="s">
        <v>29293</v>
      </c>
      <c r="C29285" s="5">
        <v>93.8</v>
      </c>
      <c r="D29285" s="5">
        <v>0.1</v>
      </c>
      <c r="E29285" s="5">
        <v>93.9</v>
      </c>
      <c r="F29285" s="5">
        <v>187.1</v>
      </c>
      <c r="G29285" s="5">
        <v>93.3</v>
      </c>
      <c r="H29285" s="5">
        <v>93.2</v>
      </c>
      <c r="I29285" s="5">
        <v>0</v>
      </c>
      <c r="J29285" s="5">
        <v>0</v>
      </c>
      <c r="K29285" s="5">
        <v>0</v>
      </c>
    </row>
    <row r="29286" spans="1:11" x14ac:dyDescent="0.25">
      <c r="A29286" s="5">
        <f>29279</f>
      </c>
      <c r="B29286" s="5" t="s">
        <v>29294</v>
      </c>
      <c r="C29286" s="5">
        <v>93.8</v>
      </c>
      <c r="D29286" s="5">
        <v>0.1</v>
      </c>
      <c r="E29286" s="5">
        <v>93.9</v>
      </c>
      <c r="F29286" s="5">
        <v>187.1</v>
      </c>
      <c r="G29286" s="5">
        <v>93.3</v>
      </c>
      <c r="H29286" s="5">
        <v>93.2</v>
      </c>
      <c r="I29286" s="5">
        <v>0</v>
      </c>
      <c r="J29286" s="5">
        <v>0</v>
      </c>
      <c r="K29286" s="5">
        <v>0</v>
      </c>
    </row>
    <row r="29287" spans="1:11" x14ac:dyDescent="0.25">
      <c r="A29287" s="5">
        <f>29280</f>
      </c>
      <c r="B29287" s="5" t="s">
        <v>29295</v>
      </c>
      <c r="C29287" s="5">
        <v>93.8</v>
      </c>
      <c r="D29287" s="5">
        <v>0.1</v>
      </c>
      <c r="E29287" s="5">
        <v>93.9</v>
      </c>
      <c r="F29287" s="5">
        <v>187.1</v>
      </c>
      <c r="G29287" s="5">
        <v>93.3</v>
      </c>
      <c r="H29287" s="5">
        <v>93.2</v>
      </c>
      <c r="I29287" s="5">
        <v>0</v>
      </c>
      <c r="J29287" s="5">
        <v>0</v>
      </c>
      <c r="K29287" s="5">
        <v>0</v>
      </c>
    </row>
    <row r="29288" spans="1:11" x14ac:dyDescent="0.25">
      <c r="A29288" s="5">
        <f>29281</f>
      </c>
      <c r="B29288" s="5" t="s">
        <v>29296</v>
      </c>
      <c r="C29288" s="5">
        <v>93.8</v>
      </c>
      <c r="D29288" s="5">
        <v>0.1</v>
      </c>
      <c r="E29288" s="5">
        <v>93.9</v>
      </c>
      <c r="F29288" s="5">
        <v>187.1</v>
      </c>
      <c r="G29288" s="5">
        <v>93.3</v>
      </c>
      <c r="H29288" s="5">
        <v>93.2</v>
      </c>
      <c r="I29288" s="5">
        <v>0</v>
      </c>
      <c r="J29288" s="5">
        <v>0</v>
      </c>
      <c r="K29288" s="5">
        <v>0</v>
      </c>
    </row>
    <row r="29289" spans="1:11" x14ac:dyDescent="0.25">
      <c r="A29289" s="5">
        <f>29282</f>
      </c>
      <c r="B29289" s="5" t="s">
        <v>29297</v>
      </c>
      <c r="C29289" s="5">
        <v>96.6</v>
      </c>
      <c r="D29289" s="5">
        <v>0.1</v>
      </c>
      <c r="E29289" s="5">
        <v>96.7</v>
      </c>
      <c r="F29289" s="5">
        <v>194.2</v>
      </c>
      <c r="G29289" s="5">
        <v>96.9</v>
      </c>
      <c r="H29289" s="5">
        <v>96.7</v>
      </c>
      <c r="I29289" s="5">
        <v>0</v>
      </c>
      <c r="J29289" s="5">
        <v>0</v>
      </c>
      <c r="K29289" s="5">
        <v>0</v>
      </c>
    </row>
    <row r="29290" spans="1:11" x14ac:dyDescent="0.25">
      <c r="A29290" s="5">
        <f>29283</f>
      </c>
      <c r="B29290" s="5" t="s">
        <v>29298</v>
      </c>
      <c r="C29290" s="5">
        <v>96.6</v>
      </c>
      <c r="D29290" s="5">
        <v>0.1</v>
      </c>
      <c r="E29290" s="5">
        <v>96.7</v>
      </c>
      <c r="F29290" s="5">
        <v>194.2</v>
      </c>
      <c r="G29290" s="5">
        <v>96.9</v>
      </c>
      <c r="H29290" s="5">
        <v>96.7</v>
      </c>
      <c r="I29290" s="5">
        <v>0</v>
      </c>
      <c r="J29290" s="5">
        <v>0</v>
      </c>
      <c r="K29290" s="5">
        <v>0</v>
      </c>
    </row>
    <row r="29291" spans="1:11" x14ac:dyDescent="0.25">
      <c r="A29291" s="5">
        <f>29284</f>
      </c>
      <c r="B29291" s="5" t="s">
        <v>29299</v>
      </c>
      <c r="C29291" s="5">
        <v>96.2</v>
      </c>
      <c r="D29291" s="5">
        <v>0.1</v>
      </c>
      <c r="E29291" s="5">
        <v>96.3</v>
      </c>
      <c r="F29291" s="5">
        <v>192.6</v>
      </c>
      <c r="G29291" s="5">
        <v>96.1</v>
      </c>
      <c r="H29291" s="5">
        <v>95.9</v>
      </c>
      <c r="I29291" s="5">
        <v>0</v>
      </c>
      <c r="J29291" s="5">
        <v>0</v>
      </c>
      <c r="K29291" s="5">
        <v>0</v>
      </c>
    </row>
    <row r="29292" spans="1:11" x14ac:dyDescent="0.25">
      <c r="A29292" s="5">
        <f>29285</f>
      </c>
      <c r="B29292" s="5" t="s">
        <v>29300</v>
      </c>
      <c r="C29292" s="5">
        <v>96.2</v>
      </c>
      <c r="D29292" s="5">
        <v>0.1</v>
      </c>
      <c r="E29292" s="5">
        <v>96.3</v>
      </c>
      <c r="F29292" s="5">
        <v>192.6</v>
      </c>
      <c r="G29292" s="5">
        <v>96.1</v>
      </c>
      <c r="H29292" s="5">
        <v>95.9</v>
      </c>
      <c r="I29292" s="5">
        <v>0</v>
      </c>
      <c r="J29292" s="5">
        <v>0</v>
      </c>
      <c r="K29292" s="5">
        <v>0</v>
      </c>
    </row>
    <row r="29293" spans="1:11" x14ac:dyDescent="0.25">
      <c r="A29293" s="5">
        <f>29286</f>
      </c>
      <c r="B29293" s="5" t="s">
        <v>29301</v>
      </c>
      <c r="C29293" s="5">
        <v>95.6</v>
      </c>
      <c r="D29293" s="5">
        <v>0.1</v>
      </c>
      <c r="E29293" s="5">
        <v>95.7</v>
      </c>
      <c r="F29293" s="5">
        <v>191</v>
      </c>
      <c r="G29293" s="5">
        <v>95.3</v>
      </c>
      <c r="H29293" s="5">
        <v>95.2</v>
      </c>
      <c r="I29293" s="5">
        <v>0</v>
      </c>
      <c r="J29293" s="5">
        <v>0</v>
      </c>
      <c r="K29293" s="5">
        <v>0</v>
      </c>
    </row>
    <row r="29294" spans="1:11" x14ac:dyDescent="0.25">
      <c r="A29294" s="5">
        <f>29287</f>
      </c>
      <c r="B29294" s="5" t="s">
        <v>29302</v>
      </c>
      <c r="C29294" s="5">
        <v>95.6</v>
      </c>
      <c r="D29294" s="5">
        <v>0.1</v>
      </c>
      <c r="E29294" s="5">
        <v>95.7</v>
      </c>
      <c r="F29294" s="5">
        <v>191</v>
      </c>
      <c r="G29294" s="5">
        <v>95.3</v>
      </c>
      <c r="H29294" s="5">
        <v>95.2</v>
      </c>
      <c r="I29294" s="5">
        <v>0</v>
      </c>
      <c r="J29294" s="5">
        <v>0</v>
      </c>
      <c r="K29294" s="5">
        <v>0</v>
      </c>
    </row>
    <row r="29295" spans="1:11" x14ac:dyDescent="0.25">
      <c r="A29295" s="5">
        <f>29288</f>
      </c>
      <c r="B29295" s="5" t="s">
        <v>29303</v>
      </c>
      <c r="C29295" s="5">
        <v>96.9</v>
      </c>
      <c r="D29295" s="5">
        <v>0.1</v>
      </c>
      <c r="E29295" s="5">
        <v>97</v>
      </c>
      <c r="F29295" s="5">
        <v>193.3</v>
      </c>
      <c r="G29295" s="5">
        <v>95.7</v>
      </c>
      <c r="H29295" s="5">
        <v>95.6</v>
      </c>
      <c r="I29295" s="5">
        <v>0</v>
      </c>
      <c r="J29295" s="5">
        <v>0</v>
      </c>
      <c r="K29295" s="5">
        <v>0</v>
      </c>
    </row>
    <row r="29296" spans="1:11" x14ac:dyDescent="0.25">
      <c r="A29296" s="5">
        <f>29289</f>
      </c>
      <c r="B29296" s="5" t="s">
        <v>29304</v>
      </c>
      <c r="C29296" s="5">
        <v>96.9</v>
      </c>
      <c r="D29296" s="5">
        <v>0.1</v>
      </c>
      <c r="E29296" s="5">
        <v>97</v>
      </c>
      <c r="F29296" s="5">
        <v>193.3</v>
      </c>
      <c r="G29296" s="5">
        <v>95.7</v>
      </c>
      <c r="H29296" s="5">
        <v>95.6</v>
      </c>
      <c r="I29296" s="5">
        <v>0</v>
      </c>
      <c r="J29296" s="5">
        <v>0</v>
      </c>
      <c r="K29296" s="5">
        <v>0</v>
      </c>
    </row>
    <row r="29297" spans="1:11" x14ac:dyDescent="0.25">
      <c r="A29297" s="5">
        <f>29290</f>
      </c>
      <c r="B29297" s="5" t="s">
        <v>29305</v>
      </c>
      <c r="C29297" s="5">
        <v>96.9</v>
      </c>
      <c r="D29297" s="5">
        <v>0.1</v>
      </c>
      <c r="E29297" s="5">
        <v>97</v>
      </c>
      <c r="F29297" s="5">
        <v>193.3</v>
      </c>
      <c r="G29297" s="5">
        <v>95.7</v>
      </c>
      <c r="H29297" s="5">
        <v>95.6</v>
      </c>
      <c r="I29297" s="5">
        <v>0</v>
      </c>
      <c r="J29297" s="5">
        <v>0</v>
      </c>
      <c r="K29297" s="5">
        <v>0</v>
      </c>
    </row>
    <row r="29298" spans="1:11" x14ac:dyDescent="0.25">
      <c r="A29298" s="5">
        <f>29291</f>
      </c>
      <c r="B29298" s="5" t="s">
        <v>29306</v>
      </c>
      <c r="C29298" s="5">
        <v>96.9</v>
      </c>
      <c r="D29298" s="5">
        <v>0.1</v>
      </c>
      <c r="E29298" s="5">
        <v>97</v>
      </c>
      <c r="F29298" s="5">
        <v>193.3</v>
      </c>
      <c r="G29298" s="5">
        <v>95.7</v>
      </c>
      <c r="H29298" s="5">
        <v>95.6</v>
      </c>
      <c r="I29298" s="5">
        <v>0</v>
      </c>
      <c r="J29298" s="5">
        <v>0</v>
      </c>
      <c r="K29298" s="5">
        <v>0</v>
      </c>
    </row>
    <row r="29299" spans="1:11" x14ac:dyDescent="0.25">
      <c r="A29299" s="5">
        <f>29292</f>
      </c>
      <c r="B29299" s="5" t="s">
        <v>29307</v>
      </c>
      <c r="C29299" s="5">
        <v>95.8</v>
      </c>
      <c r="D29299" s="5">
        <v>0.1</v>
      </c>
      <c r="E29299" s="5">
        <v>96</v>
      </c>
      <c r="F29299" s="5">
        <v>190.8</v>
      </c>
      <c r="G29299" s="5">
        <v>95.2</v>
      </c>
      <c r="H29299" s="5">
        <v>95</v>
      </c>
      <c r="I29299" s="5">
        <v>0</v>
      </c>
      <c r="J29299" s="5">
        <v>0</v>
      </c>
      <c r="K29299" s="5">
        <v>0</v>
      </c>
    </row>
    <row r="29300" spans="1:11" x14ac:dyDescent="0.25">
      <c r="A29300" s="5">
        <f>29293</f>
      </c>
      <c r="B29300" s="5" t="s">
        <v>29308</v>
      </c>
      <c r="C29300" s="5">
        <v>95.8</v>
      </c>
      <c r="D29300" s="5">
        <v>0.1</v>
      </c>
      <c r="E29300" s="5">
        <v>96</v>
      </c>
      <c r="F29300" s="5">
        <v>190.8</v>
      </c>
      <c r="G29300" s="5">
        <v>95.2</v>
      </c>
      <c r="H29300" s="5">
        <v>95</v>
      </c>
      <c r="I29300" s="5">
        <v>0</v>
      </c>
      <c r="J29300" s="5">
        <v>0</v>
      </c>
      <c r="K29300" s="5">
        <v>0</v>
      </c>
    </row>
    <row r="29301" spans="1:11" x14ac:dyDescent="0.25">
      <c r="A29301" s="5">
        <f>29294</f>
      </c>
      <c r="B29301" s="5" t="s">
        <v>29309</v>
      </c>
      <c r="C29301" s="5">
        <v>100.4</v>
      </c>
      <c r="D29301" s="5">
        <v>0.1</v>
      </c>
      <c r="E29301" s="5">
        <v>100.5</v>
      </c>
      <c r="F29301" s="5">
        <v>195.2</v>
      </c>
      <c r="G29301" s="5">
        <v>97.4</v>
      </c>
      <c r="H29301" s="5">
        <v>97.2</v>
      </c>
      <c r="I29301" s="5">
        <v>0</v>
      </c>
      <c r="J29301" s="5">
        <v>0</v>
      </c>
      <c r="K29301" s="5">
        <v>0</v>
      </c>
    </row>
    <row r="29302" spans="1:11" x14ac:dyDescent="0.25">
      <c r="A29302" s="5">
        <f>29295</f>
      </c>
      <c r="B29302" s="5" t="s">
        <v>29310</v>
      </c>
      <c r="C29302" s="5">
        <v>100.4</v>
      </c>
      <c r="D29302" s="5">
        <v>0.1</v>
      </c>
      <c r="E29302" s="5">
        <v>100.5</v>
      </c>
      <c r="F29302" s="5">
        <v>195.2</v>
      </c>
      <c r="G29302" s="5">
        <v>97.4</v>
      </c>
      <c r="H29302" s="5">
        <v>97.2</v>
      </c>
      <c r="I29302" s="5">
        <v>0</v>
      </c>
      <c r="J29302" s="5">
        <v>0</v>
      </c>
      <c r="K29302" s="5">
        <v>0</v>
      </c>
    </row>
    <row r="29303" spans="1:11" x14ac:dyDescent="0.25">
      <c r="A29303" s="5">
        <f>29296</f>
      </c>
      <c r="B29303" s="5" t="s">
        <v>29311</v>
      </c>
      <c r="C29303" s="5">
        <v>94.3</v>
      </c>
      <c r="D29303" s="5">
        <v>0.1</v>
      </c>
      <c r="E29303" s="5">
        <v>94.5</v>
      </c>
      <c r="F29303" s="5">
        <v>190</v>
      </c>
      <c r="G29303" s="5">
        <v>94.8</v>
      </c>
      <c r="H29303" s="5">
        <v>94.7</v>
      </c>
      <c r="I29303" s="5">
        <v>0</v>
      </c>
      <c r="J29303" s="5">
        <v>0</v>
      </c>
      <c r="K29303" s="5">
        <v>0</v>
      </c>
    </row>
    <row r="29304" spans="1:11" x14ac:dyDescent="0.25">
      <c r="A29304" s="5">
        <f>29297</f>
      </c>
      <c r="B29304" s="5" t="s">
        <v>29312</v>
      </c>
      <c r="C29304" s="5">
        <v>94.3</v>
      </c>
      <c r="D29304" s="5">
        <v>0.1</v>
      </c>
      <c r="E29304" s="5">
        <v>94.5</v>
      </c>
      <c r="F29304" s="5">
        <v>190</v>
      </c>
      <c r="G29304" s="5">
        <v>94.8</v>
      </c>
      <c r="H29304" s="5">
        <v>94.7</v>
      </c>
      <c r="I29304" s="5">
        <v>0</v>
      </c>
      <c r="J29304" s="5">
        <v>0</v>
      </c>
      <c r="K29304" s="5">
        <v>0</v>
      </c>
    </row>
    <row r="29305" spans="1:11" x14ac:dyDescent="0.25">
      <c r="A29305" s="5">
        <f>29298</f>
      </c>
      <c r="B29305" s="5" t="s">
        <v>29313</v>
      </c>
      <c r="C29305" s="5">
        <v>100.7</v>
      </c>
      <c r="D29305" s="5">
        <v>0.1</v>
      </c>
      <c r="E29305" s="5">
        <v>100.8</v>
      </c>
      <c r="F29305" s="5">
        <v>195.2</v>
      </c>
      <c r="G29305" s="5">
        <v>96.9</v>
      </c>
      <c r="H29305" s="5">
        <v>96.6</v>
      </c>
      <c r="I29305" s="5">
        <v>0</v>
      </c>
      <c r="J29305" s="5">
        <v>0</v>
      </c>
      <c r="K29305" s="5">
        <v>0</v>
      </c>
    </row>
    <row r="29306" spans="1:11" x14ac:dyDescent="0.25">
      <c r="A29306" s="5">
        <f>29299</f>
      </c>
      <c r="B29306" s="5" t="s">
        <v>29314</v>
      </c>
      <c r="C29306" s="5">
        <v>100.7</v>
      </c>
      <c r="D29306" s="5">
        <v>0.1</v>
      </c>
      <c r="E29306" s="5">
        <v>100.8</v>
      </c>
      <c r="F29306" s="5">
        <v>195.2</v>
      </c>
      <c r="G29306" s="5">
        <v>96.9</v>
      </c>
      <c r="H29306" s="5">
        <v>96.6</v>
      </c>
      <c r="I29306" s="5">
        <v>0</v>
      </c>
      <c r="J29306" s="5">
        <v>0</v>
      </c>
      <c r="K29306" s="5">
        <v>0</v>
      </c>
    </row>
    <row r="29307" spans="1:11" x14ac:dyDescent="0.25">
      <c r="A29307" s="5">
        <f>29300</f>
      </c>
      <c r="B29307" s="5" t="s">
        <v>29315</v>
      </c>
      <c r="C29307" s="5">
        <v>100.7</v>
      </c>
      <c r="D29307" s="5">
        <v>0.1</v>
      </c>
      <c r="E29307" s="5">
        <v>100.8</v>
      </c>
      <c r="F29307" s="5">
        <v>195.2</v>
      </c>
      <c r="G29307" s="5">
        <v>96.9</v>
      </c>
      <c r="H29307" s="5">
        <v>96.6</v>
      </c>
      <c r="I29307" s="5">
        <v>0</v>
      </c>
      <c r="J29307" s="5">
        <v>0</v>
      </c>
      <c r="K29307" s="5">
        <v>0</v>
      </c>
    </row>
    <row r="29308" spans="1:11" x14ac:dyDescent="0.25">
      <c r="A29308" s="5">
        <f>29301</f>
      </c>
      <c r="B29308" s="5" t="s">
        <v>29316</v>
      </c>
      <c r="C29308" s="5">
        <v>100.7</v>
      </c>
      <c r="D29308" s="5">
        <v>0.1</v>
      </c>
      <c r="E29308" s="5">
        <v>100.8</v>
      </c>
      <c r="F29308" s="5">
        <v>195.2</v>
      </c>
      <c r="G29308" s="5">
        <v>96.9</v>
      </c>
      <c r="H29308" s="5">
        <v>96.6</v>
      </c>
      <c r="I29308" s="5">
        <v>0</v>
      </c>
      <c r="J29308" s="5">
        <v>0</v>
      </c>
      <c r="K29308" s="5">
        <v>0</v>
      </c>
    </row>
    <row r="29309" spans="1:11" x14ac:dyDescent="0.25">
      <c r="A29309" s="5">
        <f>29302</f>
      </c>
      <c r="B29309" s="5" t="s">
        <v>29317</v>
      </c>
      <c r="C29309" s="5">
        <v>96.4</v>
      </c>
      <c r="D29309" s="5">
        <v>0.1</v>
      </c>
      <c r="E29309" s="5">
        <v>96.6</v>
      </c>
      <c r="F29309" s="5">
        <v>192.6</v>
      </c>
      <c r="G29309" s="5">
        <v>96.1</v>
      </c>
      <c r="H29309" s="5">
        <v>96</v>
      </c>
      <c r="I29309" s="5">
        <v>0</v>
      </c>
      <c r="J29309" s="5">
        <v>0</v>
      </c>
      <c r="K29309" s="5">
        <v>0</v>
      </c>
    </row>
    <row r="29310" spans="1:11" x14ac:dyDescent="0.25">
      <c r="A29310" s="5">
        <f>29303</f>
      </c>
      <c r="B29310" s="5" t="s">
        <v>29318</v>
      </c>
      <c r="C29310" s="5">
        <v>96.4</v>
      </c>
      <c r="D29310" s="5">
        <v>0.1</v>
      </c>
      <c r="E29310" s="5">
        <v>96.6</v>
      </c>
      <c r="F29310" s="5">
        <v>192.6</v>
      </c>
      <c r="G29310" s="5">
        <v>96.1</v>
      </c>
      <c r="H29310" s="5">
        <v>96</v>
      </c>
      <c r="I29310" s="5">
        <v>0</v>
      </c>
      <c r="J29310" s="5">
        <v>0</v>
      </c>
      <c r="K29310" s="5">
        <v>0</v>
      </c>
    </row>
    <row r="29311" spans="1:11" x14ac:dyDescent="0.25">
      <c r="A29311" s="5">
        <f>29304</f>
      </c>
      <c r="B29311" s="5" t="s">
        <v>29319</v>
      </c>
      <c r="C29311" s="5">
        <v>99.9</v>
      </c>
      <c r="D29311" s="5">
        <v>0.1</v>
      </c>
      <c r="E29311" s="5">
        <v>99.9</v>
      </c>
      <c r="F29311" s="5">
        <v>200</v>
      </c>
      <c r="G29311" s="5">
        <v>99.8</v>
      </c>
      <c r="H29311" s="5">
        <v>99.6</v>
      </c>
      <c r="I29311" s="5">
        <v>0</v>
      </c>
      <c r="J29311" s="5">
        <v>0</v>
      </c>
      <c r="K29311" s="5">
        <v>0</v>
      </c>
    </row>
    <row r="29312" spans="1:11" x14ac:dyDescent="0.25">
      <c r="A29312" s="5">
        <f>29305</f>
      </c>
      <c r="B29312" s="5" t="s">
        <v>29320</v>
      </c>
      <c r="C29312" s="5">
        <v>99.9</v>
      </c>
      <c r="D29312" s="5">
        <v>0.1</v>
      </c>
      <c r="E29312" s="5">
        <v>99.9</v>
      </c>
      <c r="F29312" s="5">
        <v>200</v>
      </c>
      <c r="G29312" s="5">
        <v>99.8</v>
      </c>
      <c r="H29312" s="5">
        <v>99.6</v>
      </c>
      <c r="I29312" s="5">
        <v>0</v>
      </c>
      <c r="J29312" s="5">
        <v>0</v>
      </c>
      <c r="K29312" s="5">
        <v>0</v>
      </c>
    </row>
    <row r="29313" spans="1:11" x14ac:dyDescent="0.25">
      <c r="A29313" s="5">
        <f>29306</f>
      </c>
      <c r="B29313" s="5" t="s">
        <v>29321</v>
      </c>
      <c r="C29313" s="5">
        <v>96.2</v>
      </c>
      <c r="D29313" s="5">
        <v>0.1</v>
      </c>
      <c r="E29313" s="5">
        <v>96.4</v>
      </c>
      <c r="F29313" s="5">
        <v>194.7</v>
      </c>
      <c r="G29313" s="5">
        <v>97.1</v>
      </c>
      <c r="H29313" s="5">
        <v>96.9</v>
      </c>
      <c r="I29313" s="5">
        <v>0</v>
      </c>
      <c r="J29313" s="5">
        <v>0</v>
      </c>
      <c r="K29313" s="5">
        <v>0</v>
      </c>
    </row>
    <row r="29314" spans="1:11" x14ac:dyDescent="0.25">
      <c r="A29314" s="5">
        <f>29307</f>
      </c>
      <c r="B29314" s="5" t="s">
        <v>29322</v>
      </c>
      <c r="C29314" s="5">
        <v>96.2</v>
      </c>
      <c r="D29314" s="5">
        <v>0.1</v>
      </c>
      <c r="E29314" s="5">
        <v>96.4</v>
      </c>
      <c r="F29314" s="5">
        <v>194.7</v>
      </c>
      <c r="G29314" s="5">
        <v>97.1</v>
      </c>
      <c r="H29314" s="5">
        <v>96.9</v>
      </c>
      <c r="I29314" s="5">
        <v>0</v>
      </c>
      <c r="J29314" s="5">
        <v>0</v>
      </c>
      <c r="K29314" s="5">
        <v>0</v>
      </c>
    </row>
    <row r="29315" spans="1:11" x14ac:dyDescent="0.25">
      <c r="A29315" s="5">
        <f>29308</f>
      </c>
      <c r="B29315" s="5" t="s">
        <v>29323</v>
      </c>
      <c r="C29315" s="5">
        <v>95.7</v>
      </c>
      <c r="D29315" s="5">
        <v>0.1</v>
      </c>
      <c r="E29315" s="5">
        <v>95.8</v>
      </c>
      <c r="F29315" s="5">
        <v>191.8</v>
      </c>
      <c r="G29315" s="5">
        <v>96</v>
      </c>
      <c r="H29315" s="5">
        <v>95.8</v>
      </c>
      <c r="I29315" s="5">
        <v>0</v>
      </c>
      <c r="J29315" s="5">
        <v>0</v>
      </c>
      <c r="K29315" s="5">
        <v>0</v>
      </c>
    </row>
    <row r="29316" spans="1:11" x14ac:dyDescent="0.25">
      <c r="A29316" s="5">
        <f>29309</f>
      </c>
      <c r="B29316" s="5" t="s">
        <v>29324</v>
      </c>
      <c r="C29316" s="5">
        <v>95.7</v>
      </c>
      <c r="D29316" s="5">
        <v>0.1</v>
      </c>
      <c r="E29316" s="5">
        <v>95.8</v>
      </c>
      <c r="F29316" s="5">
        <v>191.8</v>
      </c>
      <c r="G29316" s="5">
        <v>96</v>
      </c>
      <c r="H29316" s="5">
        <v>95.8</v>
      </c>
      <c r="I29316" s="5">
        <v>0</v>
      </c>
      <c r="J29316" s="5">
        <v>0</v>
      </c>
      <c r="K29316" s="5">
        <v>0</v>
      </c>
    </row>
    <row r="29317" spans="1:11" x14ac:dyDescent="0.25">
      <c r="A29317" s="5">
        <f>29310</f>
      </c>
      <c r="B29317" s="5" t="s">
        <v>29325</v>
      </c>
      <c r="C29317" s="5">
        <v>95.7</v>
      </c>
      <c r="D29317" s="5">
        <v>0.1</v>
      </c>
      <c r="E29317" s="5">
        <v>95.8</v>
      </c>
      <c r="F29317" s="5">
        <v>191.8</v>
      </c>
      <c r="G29317" s="5">
        <v>96</v>
      </c>
      <c r="H29317" s="5">
        <v>95.8</v>
      </c>
      <c r="I29317" s="5">
        <v>0</v>
      </c>
      <c r="J29317" s="5">
        <v>0</v>
      </c>
      <c r="K29317" s="5">
        <v>0</v>
      </c>
    </row>
    <row r="29318" spans="1:11" x14ac:dyDescent="0.25">
      <c r="A29318" s="5">
        <f>29311</f>
      </c>
      <c r="B29318" s="5" t="s">
        <v>29326</v>
      </c>
      <c r="C29318" s="5">
        <v>95.7</v>
      </c>
      <c r="D29318" s="5">
        <v>0.1</v>
      </c>
      <c r="E29318" s="5">
        <v>95.8</v>
      </c>
      <c r="F29318" s="5">
        <v>191.8</v>
      </c>
      <c r="G29318" s="5">
        <v>96</v>
      </c>
      <c r="H29318" s="5">
        <v>95.8</v>
      </c>
      <c r="I29318" s="5">
        <v>0</v>
      </c>
      <c r="J29318" s="5">
        <v>0</v>
      </c>
      <c r="K29318" s="5">
        <v>0</v>
      </c>
    </row>
    <row r="29319" spans="1:11" x14ac:dyDescent="0.25">
      <c r="A29319" s="5">
        <f>29312</f>
      </c>
      <c r="B29319" s="5" t="s">
        <v>29327</v>
      </c>
      <c r="C29319" s="5">
        <v>96</v>
      </c>
      <c r="D29319" s="5">
        <v>0.1</v>
      </c>
      <c r="E29319" s="5">
        <v>96</v>
      </c>
      <c r="F29319" s="5">
        <v>189.2</v>
      </c>
      <c r="G29319" s="5">
        <v>94.4</v>
      </c>
      <c r="H29319" s="5">
        <v>94.2</v>
      </c>
      <c r="I29319" s="5">
        <v>0</v>
      </c>
      <c r="J29319" s="5">
        <v>0</v>
      </c>
      <c r="K29319" s="5">
        <v>0</v>
      </c>
    </row>
    <row r="29320" spans="1:11" x14ac:dyDescent="0.25">
      <c r="A29320" s="5">
        <f>29313</f>
      </c>
      <c r="B29320" s="5" t="s">
        <v>29328</v>
      </c>
      <c r="C29320" s="5">
        <v>96</v>
      </c>
      <c r="D29320" s="5">
        <v>0.1</v>
      </c>
      <c r="E29320" s="5">
        <v>96</v>
      </c>
      <c r="F29320" s="5">
        <v>189.2</v>
      </c>
      <c r="G29320" s="5">
        <v>94.4</v>
      </c>
      <c r="H29320" s="5">
        <v>94.2</v>
      </c>
      <c r="I29320" s="5">
        <v>0</v>
      </c>
      <c r="J29320" s="5">
        <v>0</v>
      </c>
      <c r="K29320" s="5">
        <v>0</v>
      </c>
    </row>
    <row r="29321" spans="1:11" x14ac:dyDescent="0.25">
      <c r="A29321" s="5">
        <f>29314</f>
      </c>
      <c r="B29321" s="5" t="s">
        <v>29329</v>
      </c>
      <c r="C29321" s="5">
        <v>94.5</v>
      </c>
      <c r="D29321" s="5">
        <v>0.1</v>
      </c>
      <c r="E29321" s="5">
        <v>94.6</v>
      </c>
      <c r="F29321" s="5">
        <v>188.5</v>
      </c>
      <c r="G29321" s="5">
        <v>94</v>
      </c>
      <c r="H29321" s="5">
        <v>93.9</v>
      </c>
      <c r="I29321" s="5">
        <v>0</v>
      </c>
      <c r="J29321" s="5">
        <v>0</v>
      </c>
      <c r="K29321" s="5">
        <v>0</v>
      </c>
    </row>
    <row r="29322" spans="1:11" x14ac:dyDescent="0.25">
      <c r="A29322" s="5">
        <f>29315</f>
      </c>
      <c r="B29322" s="5" t="s">
        <v>29330</v>
      </c>
      <c r="C29322" s="5">
        <v>94.5</v>
      </c>
      <c r="D29322" s="5">
        <v>0.1</v>
      </c>
      <c r="E29322" s="5">
        <v>94.6</v>
      </c>
      <c r="F29322" s="5">
        <v>188.5</v>
      </c>
      <c r="G29322" s="5">
        <v>94</v>
      </c>
      <c r="H29322" s="5">
        <v>93.9</v>
      </c>
      <c r="I29322" s="5">
        <v>0</v>
      </c>
      <c r="J29322" s="5">
        <v>0</v>
      </c>
      <c r="K29322" s="5">
        <v>0</v>
      </c>
    </row>
    <row r="29323" spans="1:11" x14ac:dyDescent="0.25">
      <c r="A29323" s="5">
        <f>29316</f>
      </c>
      <c r="B29323" s="5" t="s">
        <v>29331</v>
      </c>
      <c r="C29323" s="5">
        <v>94.4</v>
      </c>
      <c r="D29323" s="5">
        <v>0.1</v>
      </c>
      <c r="E29323" s="5">
        <v>94.5</v>
      </c>
      <c r="F29323" s="5">
        <v>187.5</v>
      </c>
      <c r="G29323" s="5">
        <v>93.6</v>
      </c>
      <c r="H29323" s="5">
        <v>93.4</v>
      </c>
      <c r="I29323" s="5">
        <v>0</v>
      </c>
      <c r="J29323" s="5">
        <v>0</v>
      </c>
      <c r="K29323" s="5">
        <v>0</v>
      </c>
    </row>
    <row r="29324" spans="1:11" x14ac:dyDescent="0.25">
      <c r="A29324" s="5">
        <f>29317</f>
      </c>
      <c r="B29324" s="5" t="s">
        <v>29332</v>
      </c>
      <c r="C29324" s="5">
        <v>94.4</v>
      </c>
      <c r="D29324" s="5">
        <v>0.1</v>
      </c>
      <c r="E29324" s="5">
        <v>94.5</v>
      </c>
      <c r="F29324" s="5">
        <v>187.5</v>
      </c>
      <c r="G29324" s="5">
        <v>93.6</v>
      </c>
      <c r="H29324" s="5">
        <v>93.4</v>
      </c>
      <c r="I29324" s="5">
        <v>0</v>
      </c>
      <c r="J29324" s="5">
        <v>0</v>
      </c>
      <c r="K29324" s="5">
        <v>0</v>
      </c>
    </row>
    <row r="29325" spans="1:11" x14ac:dyDescent="0.25">
      <c r="A29325" s="5">
        <f>29318</f>
      </c>
      <c r="B29325" s="5" t="s">
        <v>29333</v>
      </c>
      <c r="C29325" s="5">
        <v>101.6</v>
      </c>
      <c r="D29325" s="5">
        <v>0.1</v>
      </c>
      <c r="E29325" s="5">
        <v>101.8</v>
      </c>
      <c r="F29325" s="5">
        <v>199.5</v>
      </c>
      <c r="G29325" s="5">
        <v>99.2</v>
      </c>
      <c r="H29325" s="5">
        <v>98.9</v>
      </c>
      <c r="I29325" s="5">
        <v>0</v>
      </c>
      <c r="J29325" s="5">
        <v>0</v>
      </c>
      <c r="K29325" s="5">
        <v>0</v>
      </c>
    </row>
    <row r="29326" spans="1:11" x14ac:dyDescent="0.25">
      <c r="A29326" s="5">
        <f>29319</f>
      </c>
      <c r="B29326" s="5" t="s">
        <v>29334</v>
      </c>
      <c r="C29326" s="5">
        <v>101.6</v>
      </c>
      <c r="D29326" s="5">
        <v>0.1</v>
      </c>
      <c r="E29326" s="5">
        <v>101.8</v>
      </c>
      <c r="F29326" s="5">
        <v>199.5</v>
      </c>
      <c r="G29326" s="5">
        <v>99.2</v>
      </c>
      <c r="H29326" s="5">
        <v>98.9</v>
      </c>
      <c r="I29326" s="5">
        <v>0</v>
      </c>
      <c r="J29326" s="5">
        <v>0</v>
      </c>
      <c r="K29326" s="5">
        <v>0</v>
      </c>
    </row>
    <row r="29327" spans="1:11" x14ac:dyDescent="0.25">
      <c r="A29327" s="5">
        <f>29320</f>
      </c>
      <c r="B29327" s="5" t="s">
        <v>29335</v>
      </c>
      <c r="C29327" s="5">
        <v>101.6</v>
      </c>
      <c r="D29327" s="5">
        <v>0.1</v>
      </c>
      <c r="E29327" s="5">
        <v>101.8</v>
      </c>
      <c r="F29327" s="5">
        <v>199.5</v>
      </c>
      <c r="G29327" s="5">
        <v>99.2</v>
      </c>
      <c r="H29327" s="5">
        <v>98.9</v>
      </c>
      <c r="I29327" s="5">
        <v>0</v>
      </c>
      <c r="J29327" s="5">
        <v>0</v>
      </c>
      <c r="K29327" s="5">
        <v>0</v>
      </c>
    </row>
    <row r="29328" spans="1:11" x14ac:dyDescent="0.25">
      <c r="A29328" s="5">
        <f>29321</f>
      </c>
      <c r="B29328" s="5" t="s">
        <v>29336</v>
      </c>
      <c r="C29328" s="5">
        <v>101.6</v>
      </c>
      <c r="D29328" s="5">
        <v>0.1</v>
      </c>
      <c r="E29328" s="5">
        <v>101.8</v>
      </c>
      <c r="F29328" s="5">
        <v>199.5</v>
      </c>
      <c r="G29328" s="5">
        <v>99.2</v>
      </c>
      <c r="H29328" s="5">
        <v>98.9</v>
      </c>
      <c r="I29328" s="5">
        <v>0</v>
      </c>
      <c r="J29328" s="5">
        <v>0</v>
      </c>
      <c r="K29328" s="5">
        <v>0</v>
      </c>
    </row>
    <row r="29329" spans="1:11" x14ac:dyDescent="0.25">
      <c r="A29329" s="5">
        <f>29322</f>
      </c>
      <c r="B29329" s="5" t="s">
        <v>29337</v>
      </c>
      <c r="C29329" s="5">
        <v>100.8</v>
      </c>
      <c r="D29329" s="5">
        <v>0.1</v>
      </c>
      <c r="E29329" s="5">
        <v>100.8</v>
      </c>
      <c r="F29329" s="5">
        <v>196.7</v>
      </c>
      <c r="G29329" s="5">
        <v>98.3</v>
      </c>
      <c r="H29329" s="5">
        <v>98.4</v>
      </c>
      <c r="I29329" s="5">
        <v>0</v>
      </c>
      <c r="J29329" s="5">
        <v>0</v>
      </c>
      <c r="K29329" s="5">
        <v>0</v>
      </c>
    </row>
    <row r="29330" spans="1:11" x14ac:dyDescent="0.25">
      <c r="A29330" s="5">
        <f>29323</f>
      </c>
      <c r="B29330" s="5" t="s">
        <v>29338</v>
      </c>
      <c r="C29330" s="5">
        <v>100.8</v>
      </c>
      <c r="D29330" s="5">
        <v>0.1</v>
      </c>
      <c r="E29330" s="5">
        <v>100.8</v>
      </c>
      <c r="F29330" s="5">
        <v>196.7</v>
      </c>
      <c r="G29330" s="5">
        <v>98.3</v>
      </c>
      <c r="H29330" s="5">
        <v>98.4</v>
      </c>
      <c r="I29330" s="5">
        <v>0</v>
      </c>
      <c r="J29330" s="5">
        <v>0</v>
      </c>
      <c r="K29330" s="5">
        <v>0</v>
      </c>
    </row>
    <row r="29331" spans="1:11" x14ac:dyDescent="0.25">
      <c r="A29331" s="5">
        <f>29324</f>
      </c>
      <c r="B29331" s="5" t="s">
        <v>29339</v>
      </c>
      <c r="C29331" s="5">
        <v>99.5</v>
      </c>
      <c r="D29331" s="5">
        <v>0.1</v>
      </c>
      <c r="E29331" s="5">
        <v>99.7</v>
      </c>
      <c r="F29331" s="5">
        <v>193.6</v>
      </c>
      <c r="G29331" s="5">
        <v>96.6</v>
      </c>
      <c r="H29331" s="5">
        <v>96.4</v>
      </c>
      <c r="I29331" s="5">
        <v>0</v>
      </c>
      <c r="J29331" s="5">
        <v>0</v>
      </c>
      <c r="K29331" s="5">
        <v>0</v>
      </c>
    </row>
    <row r="29332" spans="1:11" x14ac:dyDescent="0.25">
      <c r="A29332" s="5">
        <f>29325</f>
      </c>
      <c r="B29332" s="5" t="s">
        <v>29340</v>
      </c>
      <c r="C29332" s="5">
        <v>99.5</v>
      </c>
      <c r="D29332" s="5">
        <v>0.1</v>
      </c>
      <c r="E29332" s="5">
        <v>99.7</v>
      </c>
      <c r="F29332" s="5">
        <v>193.6</v>
      </c>
      <c r="G29332" s="5">
        <v>96.6</v>
      </c>
      <c r="H29332" s="5">
        <v>96.4</v>
      </c>
      <c r="I29332" s="5">
        <v>0</v>
      </c>
      <c r="J29332" s="5">
        <v>0</v>
      </c>
      <c r="K29332" s="5">
        <v>0</v>
      </c>
    </row>
    <row r="29333" spans="1:11" x14ac:dyDescent="0.25">
      <c r="A29333" s="5">
        <f>29326</f>
      </c>
      <c r="B29333" s="5" t="s">
        <v>29341</v>
      </c>
      <c r="C29333" s="5">
        <v>96.5</v>
      </c>
      <c r="D29333" s="5">
        <v>0.1</v>
      </c>
      <c r="E29333" s="5">
        <v>96.7</v>
      </c>
      <c r="F29333" s="5">
        <v>192.3</v>
      </c>
      <c r="G29333" s="5">
        <v>96</v>
      </c>
      <c r="H29333" s="5">
        <v>95.9</v>
      </c>
      <c r="I29333" s="5">
        <v>0</v>
      </c>
      <c r="J29333" s="5">
        <v>0</v>
      </c>
      <c r="K29333" s="5">
        <v>0</v>
      </c>
    </row>
    <row r="29334" spans="1:11" x14ac:dyDescent="0.25">
      <c r="A29334" s="5">
        <f>29327</f>
      </c>
      <c r="B29334" s="5" t="s">
        <v>29342</v>
      </c>
      <c r="C29334" s="5">
        <v>96.5</v>
      </c>
      <c r="D29334" s="5">
        <v>0.1</v>
      </c>
      <c r="E29334" s="5">
        <v>96.7</v>
      </c>
      <c r="F29334" s="5">
        <v>192.3</v>
      </c>
      <c r="G29334" s="5">
        <v>96</v>
      </c>
      <c r="H29334" s="5">
        <v>95.9</v>
      </c>
      <c r="I29334" s="5">
        <v>0</v>
      </c>
      <c r="J29334" s="5">
        <v>0</v>
      </c>
      <c r="K29334" s="5">
        <v>0</v>
      </c>
    </row>
    <row r="29335" spans="1:11" x14ac:dyDescent="0.25">
      <c r="A29335" s="5">
        <f>29328</f>
      </c>
      <c r="B29335" s="5" t="s">
        <v>29343</v>
      </c>
      <c r="C29335" s="5">
        <v>96.7</v>
      </c>
      <c r="D29335" s="5">
        <v>0.1</v>
      </c>
      <c r="E29335" s="5">
        <v>96.9</v>
      </c>
      <c r="F29335" s="5">
        <v>191.2</v>
      </c>
      <c r="G29335" s="5">
        <v>95.4</v>
      </c>
      <c r="H29335" s="5">
        <v>95.4</v>
      </c>
      <c r="I29335" s="5">
        <v>0</v>
      </c>
      <c r="J29335" s="5">
        <v>0</v>
      </c>
      <c r="K29335" s="5">
        <v>0</v>
      </c>
    </row>
    <row r="29336" spans="1:11" x14ac:dyDescent="0.25">
      <c r="A29336" s="5">
        <f>29329</f>
      </c>
      <c r="B29336" s="5" t="s">
        <v>29344</v>
      </c>
      <c r="C29336" s="5">
        <v>96.7</v>
      </c>
      <c r="D29336" s="5">
        <v>0.1</v>
      </c>
      <c r="E29336" s="5">
        <v>96.9</v>
      </c>
      <c r="F29336" s="5">
        <v>191.2</v>
      </c>
      <c r="G29336" s="5">
        <v>95.4</v>
      </c>
      <c r="H29336" s="5">
        <v>95.4</v>
      </c>
      <c r="I29336" s="5">
        <v>0</v>
      </c>
      <c r="J29336" s="5">
        <v>0</v>
      </c>
      <c r="K29336" s="5">
        <v>0</v>
      </c>
    </row>
    <row r="29337" spans="1:11" x14ac:dyDescent="0.25">
      <c r="A29337" s="5">
        <f>29330</f>
      </c>
      <c r="B29337" s="5" t="s">
        <v>29345</v>
      </c>
      <c r="C29337" s="5">
        <v>96.7</v>
      </c>
      <c r="D29337" s="5">
        <v>0.1</v>
      </c>
      <c r="E29337" s="5">
        <v>96.9</v>
      </c>
      <c r="F29337" s="5">
        <v>191.2</v>
      </c>
      <c r="G29337" s="5">
        <v>95.4</v>
      </c>
      <c r="H29337" s="5">
        <v>95.4</v>
      </c>
      <c r="I29337" s="5">
        <v>0</v>
      </c>
      <c r="J29337" s="5">
        <v>0</v>
      </c>
      <c r="K29337" s="5">
        <v>0</v>
      </c>
    </row>
    <row r="29338" spans="1:11" x14ac:dyDescent="0.25">
      <c r="A29338" s="5">
        <f>29331</f>
      </c>
      <c r="B29338" s="5" t="s">
        <v>29346</v>
      </c>
      <c r="C29338" s="5">
        <v>96.7</v>
      </c>
      <c r="D29338" s="5">
        <v>0.1</v>
      </c>
      <c r="E29338" s="5">
        <v>96.9</v>
      </c>
      <c r="F29338" s="5">
        <v>191.2</v>
      </c>
      <c r="G29338" s="5">
        <v>95.4</v>
      </c>
      <c r="H29338" s="5">
        <v>95.4</v>
      </c>
      <c r="I29338" s="5">
        <v>0</v>
      </c>
      <c r="J29338" s="5">
        <v>0</v>
      </c>
      <c r="K29338" s="5">
        <v>0</v>
      </c>
    </row>
    <row r="29339" spans="1:11" x14ac:dyDescent="0.25">
      <c r="A29339" s="5">
        <f>29332</f>
      </c>
      <c r="B29339" s="5" t="s">
        <v>29347</v>
      </c>
      <c r="C29339" s="5">
        <v>100.5</v>
      </c>
      <c r="D29339" s="5">
        <v>0.1</v>
      </c>
      <c r="E29339" s="5">
        <v>100.5</v>
      </c>
      <c r="F29339" s="5">
        <v>200</v>
      </c>
      <c r="G29339" s="5">
        <v>99.8</v>
      </c>
      <c r="H29339" s="5">
        <v>99.7</v>
      </c>
      <c r="I29339" s="5">
        <v>0</v>
      </c>
      <c r="J29339" s="5">
        <v>0</v>
      </c>
      <c r="K29339" s="5">
        <v>0</v>
      </c>
    </row>
    <row r="29340" spans="1:11" x14ac:dyDescent="0.25">
      <c r="A29340" s="5">
        <f>29333</f>
      </c>
      <c r="B29340" s="5" t="s">
        <v>29348</v>
      </c>
      <c r="C29340" s="5">
        <v>100.5</v>
      </c>
      <c r="D29340" s="5">
        <v>0.1</v>
      </c>
      <c r="E29340" s="5">
        <v>100.5</v>
      </c>
      <c r="F29340" s="5">
        <v>200</v>
      </c>
      <c r="G29340" s="5">
        <v>99.8</v>
      </c>
      <c r="H29340" s="5">
        <v>99.7</v>
      </c>
      <c r="I29340" s="5">
        <v>0</v>
      </c>
      <c r="J29340" s="5">
        <v>0</v>
      </c>
      <c r="K29340" s="5">
        <v>0</v>
      </c>
    </row>
    <row r="29341" spans="1:11" x14ac:dyDescent="0.25">
      <c r="A29341" s="5">
        <f>29334</f>
      </c>
      <c r="B29341" s="5" t="s">
        <v>29349</v>
      </c>
      <c r="C29341" s="5">
        <v>100</v>
      </c>
      <c r="D29341" s="5">
        <v>0.1</v>
      </c>
      <c r="E29341" s="5">
        <v>100.2</v>
      </c>
      <c r="F29341" s="5">
        <v>199.5</v>
      </c>
      <c r="G29341" s="5">
        <v>99.6</v>
      </c>
      <c r="H29341" s="5">
        <v>99.4</v>
      </c>
      <c r="I29341" s="5">
        <v>0</v>
      </c>
      <c r="J29341" s="5">
        <v>0</v>
      </c>
      <c r="K29341" s="5">
        <v>0</v>
      </c>
    </row>
    <row r="29342" spans="1:11" x14ac:dyDescent="0.25">
      <c r="A29342" s="5">
        <f>29335</f>
      </c>
      <c r="B29342" s="5" t="s">
        <v>29350</v>
      </c>
      <c r="C29342" s="5">
        <v>100</v>
      </c>
      <c r="D29342" s="5">
        <v>0.1</v>
      </c>
      <c r="E29342" s="5">
        <v>100.2</v>
      </c>
      <c r="F29342" s="5">
        <v>199.5</v>
      </c>
      <c r="G29342" s="5">
        <v>99.6</v>
      </c>
      <c r="H29342" s="5">
        <v>99.4</v>
      </c>
      <c r="I29342" s="5">
        <v>0</v>
      </c>
      <c r="J29342" s="5">
        <v>0</v>
      </c>
      <c r="K29342" s="5">
        <v>0</v>
      </c>
    </row>
    <row r="29343" spans="1:11" x14ac:dyDescent="0.25">
      <c r="A29343" s="5">
        <f>29336</f>
      </c>
      <c r="B29343" s="5" t="s">
        <v>29351</v>
      </c>
      <c r="C29343" s="5">
        <v>100.4</v>
      </c>
      <c r="D29343" s="5">
        <v>0.1</v>
      </c>
      <c r="E29343" s="5">
        <v>100.5</v>
      </c>
      <c r="F29343" s="5">
        <v>200</v>
      </c>
      <c r="G29343" s="5">
        <v>99.8</v>
      </c>
      <c r="H29343" s="5">
        <v>99.6</v>
      </c>
      <c r="I29343" s="5">
        <v>0</v>
      </c>
      <c r="J29343" s="5">
        <v>0</v>
      </c>
      <c r="K29343" s="5">
        <v>0</v>
      </c>
    </row>
    <row r="29344" spans="1:11" x14ac:dyDescent="0.25">
      <c r="A29344" s="5">
        <f>29337</f>
      </c>
      <c r="B29344" s="5" t="s">
        <v>29352</v>
      </c>
      <c r="C29344" s="5">
        <v>100.4</v>
      </c>
      <c r="D29344" s="5">
        <v>0.1</v>
      </c>
      <c r="E29344" s="5">
        <v>100.5</v>
      </c>
      <c r="F29344" s="5">
        <v>200</v>
      </c>
      <c r="G29344" s="5">
        <v>99.8</v>
      </c>
      <c r="H29344" s="5">
        <v>99.6</v>
      </c>
      <c r="I29344" s="5">
        <v>0</v>
      </c>
      <c r="J29344" s="5">
        <v>0</v>
      </c>
      <c r="K29344" s="5">
        <v>0</v>
      </c>
    </row>
    <row r="29345" spans="1:11" x14ac:dyDescent="0.25">
      <c r="A29345" s="5">
        <f>29338</f>
      </c>
      <c r="B29345" s="5" t="s">
        <v>29353</v>
      </c>
      <c r="C29345" s="5">
        <v>100.4</v>
      </c>
      <c r="D29345" s="5">
        <v>0.1</v>
      </c>
      <c r="E29345" s="5">
        <v>100.5</v>
      </c>
      <c r="F29345" s="5">
        <v>199.6</v>
      </c>
      <c r="G29345" s="5">
        <v>99.6</v>
      </c>
      <c r="H29345" s="5">
        <v>99.5</v>
      </c>
      <c r="I29345" s="5">
        <v>0</v>
      </c>
      <c r="J29345" s="5">
        <v>0</v>
      </c>
      <c r="K29345" s="5">
        <v>0</v>
      </c>
    </row>
    <row r="29346" spans="1:11" x14ac:dyDescent="0.25">
      <c r="A29346" s="5">
        <f>29339</f>
      </c>
      <c r="B29346" s="5" t="s">
        <v>29354</v>
      </c>
      <c r="C29346" s="5">
        <v>100.4</v>
      </c>
      <c r="D29346" s="5">
        <v>0.1</v>
      </c>
      <c r="E29346" s="5">
        <v>100.5</v>
      </c>
      <c r="F29346" s="5">
        <v>199.6</v>
      </c>
      <c r="G29346" s="5">
        <v>99.6</v>
      </c>
      <c r="H29346" s="5">
        <v>99.5</v>
      </c>
      <c r="I29346" s="5">
        <v>0</v>
      </c>
      <c r="J29346" s="5">
        <v>0</v>
      </c>
      <c r="K29346" s="5">
        <v>0</v>
      </c>
    </row>
    <row r="29347" spans="1:11" x14ac:dyDescent="0.25">
      <c r="A29347" s="5">
        <f>29340</f>
      </c>
      <c r="B29347" s="5" t="s">
        <v>29355</v>
      </c>
      <c r="C29347" s="5">
        <v>100.4</v>
      </c>
      <c r="D29347" s="5">
        <v>0.1</v>
      </c>
      <c r="E29347" s="5">
        <v>100.5</v>
      </c>
      <c r="F29347" s="5">
        <v>199.6</v>
      </c>
      <c r="G29347" s="5">
        <v>99.6</v>
      </c>
      <c r="H29347" s="5">
        <v>99.5</v>
      </c>
      <c r="I29347" s="5">
        <v>0</v>
      </c>
      <c r="J29347" s="5">
        <v>0</v>
      </c>
      <c r="K29347" s="5">
        <v>0</v>
      </c>
    </row>
    <row r="29348" spans="1:11" x14ac:dyDescent="0.25">
      <c r="A29348" s="5">
        <f>29341</f>
      </c>
      <c r="B29348" s="5" t="s">
        <v>29356</v>
      </c>
      <c r="C29348" s="5">
        <v>100.4</v>
      </c>
      <c r="D29348" s="5">
        <v>0.1</v>
      </c>
      <c r="E29348" s="5">
        <v>100.5</v>
      </c>
      <c r="F29348" s="5">
        <v>199.6</v>
      </c>
      <c r="G29348" s="5">
        <v>99.6</v>
      </c>
      <c r="H29348" s="5">
        <v>99.5</v>
      </c>
      <c r="I29348" s="5">
        <v>0</v>
      </c>
      <c r="J29348" s="5">
        <v>0</v>
      </c>
      <c r="K29348" s="5">
        <v>0</v>
      </c>
    </row>
    <row r="29349" spans="1:11" x14ac:dyDescent="0.25">
      <c r="A29349" s="5">
        <f>29342</f>
      </c>
      <c r="B29349" s="5" t="s">
        <v>29357</v>
      </c>
      <c r="C29349" s="5">
        <v>101.1</v>
      </c>
      <c r="D29349" s="5">
        <v>0.1</v>
      </c>
      <c r="E29349" s="5">
        <v>101.2</v>
      </c>
      <c r="F29349" s="5">
        <v>201.9</v>
      </c>
      <c r="G29349" s="5">
        <v>100.8</v>
      </c>
      <c r="H29349" s="5">
        <v>100.6</v>
      </c>
      <c r="I29349" s="5">
        <v>0</v>
      </c>
      <c r="J29349" s="5">
        <v>0</v>
      </c>
      <c r="K29349" s="5">
        <v>0</v>
      </c>
    </row>
    <row r="29350" spans="1:11" x14ac:dyDescent="0.25">
      <c r="A29350" s="5">
        <f>29343</f>
      </c>
      <c r="B29350" s="5" t="s">
        <v>29358</v>
      </c>
      <c r="C29350" s="5">
        <v>101.1</v>
      </c>
      <c r="D29350" s="5">
        <v>0.1</v>
      </c>
      <c r="E29350" s="5">
        <v>101.2</v>
      </c>
      <c r="F29350" s="5">
        <v>201.9</v>
      </c>
      <c r="G29350" s="5">
        <v>100.8</v>
      </c>
      <c r="H29350" s="5">
        <v>100.6</v>
      </c>
      <c r="I29350" s="5">
        <v>0</v>
      </c>
      <c r="J29350" s="5">
        <v>0</v>
      </c>
      <c r="K29350" s="5">
        <v>0</v>
      </c>
    </row>
    <row r="29351" spans="1:11" x14ac:dyDescent="0.25">
      <c r="A29351" s="5">
        <f>29344</f>
      </c>
      <c r="B29351" s="5" t="s">
        <v>29359</v>
      </c>
      <c r="C29351" s="5">
        <v>101.1</v>
      </c>
      <c r="D29351" s="5">
        <v>0.1</v>
      </c>
      <c r="E29351" s="5">
        <v>101.2</v>
      </c>
      <c r="F29351" s="5">
        <v>202.6</v>
      </c>
      <c r="G29351" s="5">
        <v>101.1</v>
      </c>
      <c r="H29351" s="5">
        <v>101</v>
      </c>
      <c r="I29351" s="5">
        <v>0</v>
      </c>
      <c r="J29351" s="5">
        <v>0</v>
      </c>
      <c r="K29351" s="5">
        <v>0</v>
      </c>
    </row>
    <row r="29352" spans="1:11" x14ac:dyDescent="0.25">
      <c r="A29352" s="5">
        <f>29345</f>
      </c>
      <c r="B29352" s="5" t="s">
        <v>29360</v>
      </c>
      <c r="C29352" s="5">
        <v>101.1</v>
      </c>
      <c r="D29352" s="5">
        <v>0.1</v>
      </c>
      <c r="E29352" s="5">
        <v>101.2</v>
      </c>
      <c r="F29352" s="5">
        <v>202.6</v>
      </c>
      <c r="G29352" s="5">
        <v>101.1</v>
      </c>
      <c r="H29352" s="5">
        <v>101</v>
      </c>
      <c r="I29352" s="5">
        <v>0</v>
      </c>
      <c r="J29352" s="5">
        <v>0</v>
      </c>
      <c r="K29352" s="5">
        <v>0</v>
      </c>
    </row>
    <row r="29353" spans="1:11" x14ac:dyDescent="0.25">
      <c r="A29353" s="5">
        <f>29346</f>
      </c>
      <c r="B29353" s="5" t="s">
        <v>29361</v>
      </c>
      <c r="C29353" s="5">
        <v>101.1</v>
      </c>
      <c r="D29353" s="5">
        <v>0.1</v>
      </c>
      <c r="E29353" s="5">
        <v>101.2</v>
      </c>
      <c r="F29353" s="5">
        <v>202.4</v>
      </c>
      <c r="G29353" s="5">
        <v>101</v>
      </c>
      <c r="H29353" s="5">
        <v>100.8</v>
      </c>
      <c r="I29353" s="5">
        <v>0</v>
      </c>
      <c r="J29353" s="5">
        <v>0</v>
      </c>
      <c r="K29353" s="5">
        <v>0</v>
      </c>
    </row>
    <row r="29354" spans="1:11" x14ac:dyDescent="0.25">
      <c r="A29354" s="5">
        <f>29347</f>
      </c>
      <c r="B29354" s="5" t="s">
        <v>29362</v>
      </c>
      <c r="C29354" s="5">
        <v>101.1</v>
      </c>
      <c r="D29354" s="5">
        <v>0.1</v>
      </c>
      <c r="E29354" s="5">
        <v>101.2</v>
      </c>
      <c r="F29354" s="5">
        <v>202.4</v>
      </c>
      <c r="G29354" s="5">
        <v>101</v>
      </c>
      <c r="H29354" s="5">
        <v>100.8</v>
      </c>
      <c r="I29354" s="5">
        <v>0</v>
      </c>
      <c r="J29354" s="5">
        <v>0</v>
      </c>
      <c r="K29354" s="5">
        <v>0</v>
      </c>
    </row>
    <row r="29355" spans="1:11" x14ac:dyDescent="0.25">
      <c r="A29355" s="5">
        <f>29348</f>
      </c>
      <c r="B29355" s="5" t="s">
        <v>29363</v>
      </c>
      <c r="C29355" s="5">
        <v>101.8</v>
      </c>
      <c r="D29355" s="5">
        <v>0.1</v>
      </c>
      <c r="E29355" s="5">
        <v>101.9</v>
      </c>
      <c r="F29355" s="5">
        <v>202.9</v>
      </c>
      <c r="G29355" s="5">
        <v>101.3</v>
      </c>
      <c r="H29355" s="5">
        <v>101.2</v>
      </c>
      <c r="I29355" s="5">
        <v>0</v>
      </c>
      <c r="J29355" s="5">
        <v>0</v>
      </c>
      <c r="K29355" s="5">
        <v>0</v>
      </c>
    </row>
    <row r="29356" spans="1:11" x14ac:dyDescent="0.25">
      <c r="A29356" s="5">
        <f>29349</f>
      </c>
      <c r="B29356" s="5" t="s">
        <v>29364</v>
      </c>
      <c r="C29356" s="5">
        <v>101.8</v>
      </c>
      <c r="D29356" s="5">
        <v>0.1</v>
      </c>
      <c r="E29356" s="5">
        <v>101.9</v>
      </c>
      <c r="F29356" s="5">
        <v>202.9</v>
      </c>
      <c r="G29356" s="5">
        <v>101.3</v>
      </c>
      <c r="H29356" s="5">
        <v>101.2</v>
      </c>
      <c r="I29356" s="5">
        <v>0</v>
      </c>
      <c r="J29356" s="5">
        <v>0</v>
      </c>
      <c r="K29356" s="5">
        <v>0</v>
      </c>
    </row>
    <row r="29357" spans="1:11" x14ac:dyDescent="0.25">
      <c r="A29357" s="5">
        <f>29350</f>
      </c>
      <c r="B29357" s="5" t="s">
        <v>29365</v>
      </c>
      <c r="C29357" s="5">
        <v>101.8</v>
      </c>
      <c r="D29357" s="5">
        <v>0.1</v>
      </c>
      <c r="E29357" s="5">
        <v>101.9</v>
      </c>
      <c r="F29357" s="5">
        <v>202.9</v>
      </c>
      <c r="G29357" s="5">
        <v>101.3</v>
      </c>
      <c r="H29357" s="5">
        <v>101.2</v>
      </c>
      <c r="I29357" s="5">
        <v>0</v>
      </c>
      <c r="J29357" s="5">
        <v>0</v>
      </c>
      <c r="K29357" s="5">
        <v>0</v>
      </c>
    </row>
    <row r="29358" spans="1:11" x14ac:dyDescent="0.25">
      <c r="A29358" s="5">
        <f>29351</f>
      </c>
      <c r="B29358" s="5" t="s">
        <v>29366</v>
      </c>
      <c r="C29358" s="5">
        <v>101.8</v>
      </c>
      <c r="D29358" s="5">
        <v>0.1</v>
      </c>
      <c r="E29358" s="5">
        <v>101.9</v>
      </c>
      <c r="F29358" s="5">
        <v>202.9</v>
      </c>
      <c r="G29358" s="5">
        <v>101.3</v>
      </c>
      <c r="H29358" s="5">
        <v>101.2</v>
      </c>
      <c r="I29358" s="5">
        <v>0</v>
      </c>
      <c r="J29358" s="5">
        <v>0</v>
      </c>
      <c r="K29358" s="5">
        <v>0</v>
      </c>
    </row>
    <row r="29359" spans="1:11" x14ac:dyDescent="0.25">
      <c r="A29359" s="5">
        <f>29352</f>
      </c>
      <c r="B29359" s="5" t="s">
        <v>29367</v>
      </c>
      <c r="C29359" s="5">
        <v>101.5</v>
      </c>
      <c r="D29359" s="5">
        <v>0.1</v>
      </c>
      <c r="E29359" s="5">
        <v>101.6</v>
      </c>
      <c r="F29359" s="5">
        <v>202.4</v>
      </c>
      <c r="G29359" s="5">
        <v>101</v>
      </c>
      <c r="H29359" s="5">
        <v>100.9</v>
      </c>
      <c r="I29359" s="5">
        <v>0</v>
      </c>
      <c r="J29359" s="5">
        <v>0</v>
      </c>
      <c r="K29359" s="5">
        <v>0</v>
      </c>
    </row>
    <row r="29360" spans="1:11" x14ac:dyDescent="0.25">
      <c r="A29360" s="5">
        <f>29353</f>
      </c>
      <c r="B29360" s="5" t="s">
        <v>29368</v>
      </c>
      <c r="C29360" s="5">
        <v>101.5</v>
      </c>
      <c r="D29360" s="5">
        <v>0.1</v>
      </c>
      <c r="E29360" s="5">
        <v>101.6</v>
      </c>
      <c r="F29360" s="5">
        <v>202.4</v>
      </c>
      <c r="G29360" s="5">
        <v>101</v>
      </c>
      <c r="H29360" s="5">
        <v>100.9</v>
      </c>
      <c r="I29360" s="5">
        <v>0</v>
      </c>
      <c r="J29360" s="5">
        <v>0</v>
      </c>
      <c r="K29360" s="5">
        <v>0</v>
      </c>
    </row>
    <row r="29361" spans="1:11" x14ac:dyDescent="0.25">
      <c r="A29361" s="5">
        <f>29354</f>
      </c>
      <c r="B29361" s="5" t="s">
        <v>29369</v>
      </c>
      <c r="C29361" s="5">
        <v>101.8</v>
      </c>
      <c r="D29361" s="5">
        <v>0.1</v>
      </c>
      <c r="E29361" s="5">
        <v>101.9</v>
      </c>
      <c r="F29361" s="5">
        <v>203.1</v>
      </c>
      <c r="G29361" s="5">
        <v>101.3</v>
      </c>
      <c r="H29361" s="5">
        <v>101.2</v>
      </c>
      <c r="I29361" s="5">
        <v>0</v>
      </c>
      <c r="J29361" s="5">
        <v>0</v>
      </c>
      <c r="K29361" s="5">
        <v>0</v>
      </c>
    </row>
    <row r="29362" spans="1:11" x14ac:dyDescent="0.25">
      <c r="A29362" s="5">
        <f>29355</f>
      </c>
      <c r="B29362" s="5" t="s">
        <v>29370</v>
      </c>
      <c r="C29362" s="5">
        <v>101.8</v>
      </c>
      <c r="D29362" s="5">
        <v>0.1</v>
      </c>
      <c r="E29362" s="5">
        <v>101.9</v>
      </c>
      <c r="F29362" s="5">
        <v>203.1</v>
      </c>
      <c r="G29362" s="5">
        <v>101.3</v>
      </c>
      <c r="H29362" s="5">
        <v>101.2</v>
      </c>
      <c r="I29362" s="5">
        <v>0</v>
      </c>
      <c r="J29362" s="5">
        <v>0</v>
      </c>
      <c r="K29362" s="5">
        <v>0</v>
      </c>
    </row>
    <row r="29363" spans="1:11" x14ac:dyDescent="0.25">
      <c r="A29363" s="5">
        <f>29356</f>
      </c>
      <c r="B29363" s="5" t="s">
        <v>29371</v>
      </c>
      <c r="C29363" s="5">
        <v>101.3</v>
      </c>
      <c r="D29363" s="5">
        <v>0.1</v>
      </c>
      <c r="E29363" s="5">
        <v>101.5</v>
      </c>
      <c r="F29363" s="5">
        <v>201.9</v>
      </c>
      <c r="G29363" s="5">
        <v>100.8</v>
      </c>
      <c r="H29363" s="5">
        <v>100.6</v>
      </c>
      <c r="I29363" s="5">
        <v>0</v>
      </c>
      <c r="J29363" s="5">
        <v>0</v>
      </c>
      <c r="K29363" s="5">
        <v>0</v>
      </c>
    </row>
    <row r="29364" spans="1:11" x14ac:dyDescent="0.25">
      <c r="A29364" s="5">
        <f>29357</f>
      </c>
      <c r="B29364" s="5" t="s">
        <v>29372</v>
      </c>
      <c r="C29364" s="5">
        <v>101.3</v>
      </c>
      <c r="D29364" s="5">
        <v>0.1</v>
      </c>
      <c r="E29364" s="5">
        <v>101.5</v>
      </c>
      <c r="F29364" s="5">
        <v>201.9</v>
      </c>
      <c r="G29364" s="5">
        <v>100.8</v>
      </c>
      <c r="H29364" s="5">
        <v>100.6</v>
      </c>
      <c r="I29364" s="5">
        <v>0</v>
      </c>
      <c r="J29364" s="5">
        <v>0</v>
      </c>
      <c r="K29364" s="5">
        <v>0</v>
      </c>
    </row>
    <row r="29365" spans="1:11" x14ac:dyDescent="0.25">
      <c r="A29365" s="5">
        <f>29358</f>
      </c>
      <c r="B29365" s="5" t="s">
        <v>29373</v>
      </c>
      <c r="C29365" s="5">
        <v>100.8</v>
      </c>
      <c r="D29365" s="5">
        <v>0.1</v>
      </c>
      <c r="E29365" s="5">
        <v>100.9</v>
      </c>
      <c r="F29365" s="5">
        <v>201.8</v>
      </c>
      <c r="G29365" s="5">
        <v>100.7</v>
      </c>
      <c r="H29365" s="5">
        <v>100.5</v>
      </c>
      <c r="I29365" s="5">
        <v>0</v>
      </c>
      <c r="J29365" s="5">
        <v>0</v>
      </c>
      <c r="K29365" s="5">
        <v>0</v>
      </c>
    </row>
    <row r="29366" spans="1:11" x14ac:dyDescent="0.25">
      <c r="A29366" s="5">
        <f>29359</f>
      </c>
      <c r="B29366" s="5" t="s">
        <v>29374</v>
      </c>
      <c r="C29366" s="5">
        <v>100.8</v>
      </c>
      <c r="D29366" s="5">
        <v>0.1</v>
      </c>
      <c r="E29366" s="5">
        <v>100.9</v>
      </c>
      <c r="F29366" s="5">
        <v>201.8</v>
      </c>
      <c r="G29366" s="5">
        <v>100.7</v>
      </c>
      <c r="H29366" s="5">
        <v>100.5</v>
      </c>
      <c r="I29366" s="5">
        <v>0</v>
      </c>
      <c r="J29366" s="5">
        <v>0</v>
      </c>
      <c r="K29366" s="5">
        <v>0</v>
      </c>
    </row>
    <row r="29367" spans="1:11" x14ac:dyDescent="0.25">
      <c r="A29367" s="5">
        <f>29360</f>
      </c>
      <c r="B29367" s="5" t="s">
        <v>29375</v>
      </c>
      <c r="C29367" s="5">
        <v>100.8</v>
      </c>
      <c r="D29367" s="5">
        <v>0.1</v>
      </c>
      <c r="E29367" s="5">
        <v>100.9</v>
      </c>
      <c r="F29367" s="5">
        <v>201.8</v>
      </c>
      <c r="G29367" s="5">
        <v>100.7</v>
      </c>
      <c r="H29367" s="5">
        <v>100.5</v>
      </c>
      <c r="I29367" s="5">
        <v>0</v>
      </c>
      <c r="J29367" s="5">
        <v>0</v>
      </c>
      <c r="K29367" s="5">
        <v>0</v>
      </c>
    </row>
    <row r="29368" spans="1:11" x14ac:dyDescent="0.25">
      <c r="A29368" s="5">
        <f>29361</f>
      </c>
      <c r="B29368" s="5" t="s">
        <v>29376</v>
      </c>
      <c r="C29368" s="5">
        <v>100.8</v>
      </c>
      <c r="D29368" s="5">
        <v>0.1</v>
      </c>
      <c r="E29368" s="5">
        <v>98.4</v>
      </c>
      <c r="F29368" s="5">
        <v>196.6</v>
      </c>
      <c r="G29368" s="5">
        <v>98.1</v>
      </c>
      <c r="H29368" s="5">
        <v>97.9</v>
      </c>
      <c r="I29368" s="5">
        <v>0</v>
      </c>
      <c r="J29368" s="5">
        <v>0</v>
      </c>
      <c r="K29368" s="5">
        <v>0</v>
      </c>
    </row>
    <row r="29369" spans="1:11" x14ac:dyDescent="0.25">
      <c r="A29369" s="5">
        <f>29362</f>
      </c>
      <c r="B29369" s="5" t="s">
        <v>29377</v>
      </c>
      <c r="C29369" s="5">
        <v>98.3</v>
      </c>
      <c r="D29369" s="5">
        <v>0.1</v>
      </c>
      <c r="E29369" s="5">
        <v>98.4</v>
      </c>
      <c r="F29369" s="5">
        <v>196.6</v>
      </c>
      <c r="G29369" s="5">
        <v>98.1</v>
      </c>
      <c r="H29369" s="5">
        <v>97.9</v>
      </c>
      <c r="I29369" s="5">
        <v>0</v>
      </c>
      <c r="J29369" s="5">
        <v>0</v>
      </c>
      <c r="K29369" s="5">
        <v>0</v>
      </c>
    </row>
    <row r="29370" spans="1:11" x14ac:dyDescent="0.25">
      <c r="A29370" s="5">
        <f>29363</f>
      </c>
      <c r="B29370" s="5" t="s">
        <v>29378</v>
      </c>
      <c r="C29370" s="5">
        <v>98.3</v>
      </c>
      <c r="D29370" s="5">
        <v>0.1</v>
      </c>
      <c r="E29370" s="5">
        <v>98</v>
      </c>
      <c r="F29370" s="5">
        <v>192.7</v>
      </c>
      <c r="G29370" s="5">
        <v>96.2</v>
      </c>
      <c r="H29370" s="5">
        <v>96.2</v>
      </c>
      <c r="I29370" s="5">
        <v>0</v>
      </c>
      <c r="J29370" s="5">
        <v>0</v>
      </c>
      <c r="K29370" s="5">
        <v>0</v>
      </c>
    </row>
    <row r="29371" spans="1:11" x14ac:dyDescent="0.25">
      <c r="A29371" s="5">
        <f>29364</f>
      </c>
      <c r="B29371" s="5" t="s">
        <v>29379</v>
      </c>
      <c r="C29371" s="5">
        <v>97.9</v>
      </c>
      <c r="D29371" s="5">
        <v>0.1</v>
      </c>
      <c r="E29371" s="5">
        <v>98</v>
      </c>
      <c r="F29371" s="5">
        <v>192.7</v>
      </c>
      <c r="G29371" s="5">
        <v>96.2</v>
      </c>
      <c r="H29371" s="5">
        <v>96.2</v>
      </c>
      <c r="I29371" s="5">
        <v>0</v>
      </c>
      <c r="J29371" s="5">
        <v>0</v>
      </c>
      <c r="K29371" s="5">
        <v>0</v>
      </c>
    </row>
    <row r="29372" spans="1:11" x14ac:dyDescent="0.25">
      <c r="A29372" s="5">
        <f>29365</f>
      </c>
      <c r="B29372" s="5" t="s">
        <v>29380</v>
      </c>
      <c r="C29372" s="5">
        <v>97.9</v>
      </c>
      <c r="D29372" s="5">
        <v>0.1</v>
      </c>
      <c r="E29372" s="5">
        <v>95.5</v>
      </c>
      <c r="F29372" s="5">
        <v>191.3</v>
      </c>
      <c r="G29372" s="5">
        <v>95.4</v>
      </c>
      <c r="H29372" s="5">
        <v>95.3</v>
      </c>
      <c r="I29372" s="5">
        <v>0</v>
      </c>
      <c r="J29372" s="5">
        <v>0</v>
      </c>
      <c r="K29372" s="5">
        <v>0</v>
      </c>
    </row>
    <row r="29373" spans="1:11" x14ac:dyDescent="0.25">
      <c r="A29373" s="5">
        <f>29366</f>
      </c>
      <c r="B29373" s="5" t="s">
        <v>29381</v>
      </c>
      <c r="C29373" s="5">
        <v>95.4</v>
      </c>
      <c r="D29373" s="5">
        <v>0.1</v>
      </c>
      <c r="E29373" s="5">
        <v>95.5</v>
      </c>
      <c r="F29373" s="5">
        <v>191.3</v>
      </c>
      <c r="G29373" s="5">
        <v>95.4</v>
      </c>
      <c r="H29373" s="5">
        <v>95.3</v>
      </c>
      <c r="I29373" s="5">
        <v>0</v>
      </c>
      <c r="J29373" s="5">
        <v>0</v>
      </c>
      <c r="K29373" s="5">
        <v>0</v>
      </c>
    </row>
    <row r="29374" spans="1:11" x14ac:dyDescent="0.25">
      <c r="A29374" s="5">
        <f>29367</f>
      </c>
      <c r="B29374" s="5" t="s">
        <v>29382</v>
      </c>
      <c r="C29374" s="5">
        <v>95.4</v>
      </c>
      <c r="D29374" s="5">
        <v>0.1</v>
      </c>
      <c r="E29374" s="5">
        <v>95</v>
      </c>
      <c r="F29374" s="5">
        <v>198.1</v>
      </c>
      <c r="G29374" s="5">
        <v>98.6</v>
      </c>
      <c r="H29374" s="5">
        <v>98.3</v>
      </c>
      <c r="I29374" s="5">
        <v>0</v>
      </c>
      <c r="J29374" s="5">
        <v>0</v>
      </c>
      <c r="K29374" s="5">
        <v>0</v>
      </c>
    </row>
    <row r="29375" spans="1:11" x14ac:dyDescent="0.25">
      <c r="A29375" s="5">
        <f>29368</f>
      </c>
      <c r="B29375" s="5" t="s">
        <v>29383</v>
      </c>
      <c r="C29375" s="5">
        <v>94.8</v>
      </c>
      <c r="D29375" s="5">
        <v>0.1</v>
      </c>
      <c r="E29375" s="5">
        <v>95</v>
      </c>
      <c r="F29375" s="5">
        <v>198.1</v>
      </c>
      <c r="G29375" s="5">
        <v>98.6</v>
      </c>
      <c r="H29375" s="5">
        <v>98.3</v>
      </c>
      <c r="I29375" s="5">
        <v>0</v>
      </c>
      <c r="J29375" s="5">
        <v>0</v>
      </c>
      <c r="K29375" s="5">
        <v>0</v>
      </c>
    </row>
    <row r="29376" spans="1:11" x14ac:dyDescent="0.25">
      <c r="A29376" s="5">
        <f>29369</f>
      </c>
      <c r="B29376" s="5" t="s">
        <v>29384</v>
      </c>
      <c r="C29376" s="5">
        <v>94.8</v>
      </c>
      <c r="D29376" s="5">
        <v>0.1</v>
      </c>
      <c r="E29376" s="5">
        <v>95</v>
      </c>
      <c r="F29376" s="5">
        <v>198.1</v>
      </c>
      <c r="G29376" s="5">
        <v>98.6</v>
      </c>
      <c r="H29376" s="5">
        <v>98.3</v>
      </c>
      <c r="I29376" s="5">
        <v>0</v>
      </c>
      <c r="J29376" s="5">
        <v>0</v>
      </c>
      <c r="K29376" s="5">
        <v>0</v>
      </c>
    </row>
    <row r="29377" spans="1:11" x14ac:dyDescent="0.25">
      <c r="A29377" s="5">
        <f>29370</f>
      </c>
      <c r="B29377" s="5" t="s">
        <v>29385</v>
      </c>
      <c r="C29377" s="5">
        <v>94.8</v>
      </c>
      <c r="D29377" s="5">
        <v>0.1</v>
      </c>
      <c r="E29377" s="5">
        <v>95</v>
      </c>
      <c r="F29377" s="5">
        <v>198.1</v>
      </c>
      <c r="G29377" s="5">
        <v>98.6</v>
      </c>
      <c r="H29377" s="5">
        <v>98.3</v>
      </c>
      <c r="I29377" s="5">
        <v>0</v>
      </c>
      <c r="J29377" s="5">
        <v>0</v>
      </c>
      <c r="K29377" s="5">
        <v>0</v>
      </c>
    </row>
    <row r="29378" spans="1:11" x14ac:dyDescent="0.25">
      <c r="A29378" s="5">
        <f>29371</f>
      </c>
      <c r="B29378" s="5" t="s">
        <v>29386</v>
      </c>
      <c r="C29378" s="5">
        <v>96.6</v>
      </c>
      <c r="D29378" s="5">
        <v>0.1</v>
      </c>
      <c r="E29378" s="5">
        <v>96.7</v>
      </c>
      <c r="F29378" s="5">
        <v>192.5</v>
      </c>
      <c r="G29378" s="5">
        <v>96.1</v>
      </c>
      <c r="H29378" s="5">
        <v>96</v>
      </c>
      <c r="I29378" s="5">
        <v>0</v>
      </c>
      <c r="J29378" s="5">
        <v>0</v>
      </c>
      <c r="K29378" s="5">
        <v>0</v>
      </c>
    </row>
    <row r="29379" spans="1:11" x14ac:dyDescent="0.25">
      <c r="A29379" s="5">
        <f>29372</f>
      </c>
      <c r="B29379" s="5" t="s">
        <v>29387</v>
      </c>
      <c r="C29379" s="5">
        <v>96.6</v>
      </c>
      <c r="D29379" s="5">
        <v>0.1</v>
      </c>
      <c r="E29379" s="5">
        <v>96.7</v>
      </c>
      <c r="F29379" s="5">
        <v>192.5</v>
      </c>
      <c r="G29379" s="5">
        <v>96.1</v>
      </c>
      <c r="H29379" s="5">
        <v>96</v>
      </c>
      <c r="I29379" s="5">
        <v>0</v>
      </c>
      <c r="J29379" s="5">
        <v>0</v>
      </c>
      <c r="K29379" s="5">
        <v>0</v>
      </c>
    </row>
    <row r="29380" spans="1:11" x14ac:dyDescent="0.25">
      <c r="A29380" s="5">
        <f>29373</f>
      </c>
      <c r="B29380" s="5" t="s">
        <v>29388</v>
      </c>
      <c r="C29380" s="5">
        <v>96.1</v>
      </c>
      <c r="D29380" s="5">
        <v>0.1</v>
      </c>
      <c r="E29380" s="5">
        <v>96.3</v>
      </c>
      <c r="F29380" s="5">
        <v>191</v>
      </c>
      <c r="G29380" s="5">
        <v>95.3</v>
      </c>
      <c r="H29380" s="5">
        <v>95.2</v>
      </c>
      <c r="I29380" s="5">
        <v>0</v>
      </c>
      <c r="J29380" s="5">
        <v>0</v>
      </c>
      <c r="K29380" s="5">
        <v>0</v>
      </c>
    </row>
    <row r="29381" spans="1:11" x14ac:dyDescent="0.25">
      <c r="A29381" s="5">
        <f>29374</f>
      </c>
      <c r="B29381" s="5" t="s">
        <v>29389</v>
      </c>
      <c r="C29381" s="5">
        <v>96.1</v>
      </c>
      <c r="D29381" s="5">
        <v>0.1</v>
      </c>
      <c r="E29381" s="5">
        <v>96.3</v>
      </c>
      <c r="F29381" s="5">
        <v>191</v>
      </c>
      <c r="G29381" s="5">
        <v>95.3</v>
      </c>
      <c r="H29381" s="5">
        <v>95.2</v>
      </c>
      <c r="I29381" s="5">
        <v>0</v>
      </c>
      <c r="J29381" s="5">
        <v>0</v>
      </c>
      <c r="K29381" s="5">
        <v>0</v>
      </c>
    </row>
    <row r="29382" spans="1:11" x14ac:dyDescent="0.25">
      <c r="A29382" s="5">
        <f>29375</f>
      </c>
      <c r="B29382" s="5" t="s">
        <v>29390</v>
      </c>
      <c r="C29382" s="5">
        <v>100.8</v>
      </c>
      <c r="D29382" s="5">
        <v>0.1</v>
      </c>
      <c r="E29382" s="5">
        <v>101</v>
      </c>
      <c r="F29382" s="5">
        <v>201</v>
      </c>
      <c r="G29382" s="5">
        <v>100.4</v>
      </c>
      <c r="H29382" s="5">
        <v>100.2</v>
      </c>
      <c r="I29382" s="5">
        <v>0</v>
      </c>
      <c r="J29382" s="5">
        <v>0</v>
      </c>
      <c r="K29382" s="5">
        <v>0</v>
      </c>
    </row>
    <row r="29383" spans="1:11" x14ac:dyDescent="0.25">
      <c r="A29383" s="5">
        <f>29376</f>
      </c>
      <c r="B29383" s="5" t="s">
        <v>29391</v>
      </c>
      <c r="C29383" s="5">
        <v>100.8</v>
      </c>
      <c r="D29383" s="5">
        <v>0.1</v>
      </c>
      <c r="E29383" s="5">
        <v>101</v>
      </c>
      <c r="F29383" s="5">
        <v>201</v>
      </c>
      <c r="G29383" s="5">
        <v>100.4</v>
      </c>
      <c r="H29383" s="5">
        <v>100.2</v>
      </c>
      <c r="I29383" s="5">
        <v>0</v>
      </c>
      <c r="J29383" s="5">
        <v>0</v>
      </c>
      <c r="K29383" s="5">
        <v>0</v>
      </c>
    </row>
    <row r="29384" spans="1:11" x14ac:dyDescent="0.25">
      <c r="A29384" s="5">
        <f>29377</f>
      </c>
      <c r="B29384" s="5" t="s">
        <v>29392</v>
      </c>
      <c r="C29384" s="5">
        <v>97.9</v>
      </c>
      <c r="D29384" s="5">
        <v>0.1</v>
      </c>
      <c r="E29384" s="5">
        <v>98</v>
      </c>
      <c r="F29384" s="5">
        <v>195</v>
      </c>
      <c r="G29384" s="5">
        <v>100.4</v>
      </c>
      <c r="H29384" s="5">
        <v>100.2</v>
      </c>
      <c r="I29384" s="5">
        <v>0</v>
      </c>
      <c r="J29384" s="5">
        <v>0</v>
      </c>
      <c r="K29384" s="5">
        <v>0</v>
      </c>
    </row>
    <row r="29385" spans="1:11" x14ac:dyDescent="0.25">
      <c r="A29385" s="5">
        <f>29378</f>
      </c>
      <c r="B29385" s="5" t="s">
        <v>29393</v>
      </c>
      <c r="C29385" s="5">
        <v>97.9</v>
      </c>
      <c r="D29385" s="5">
        <v>0.1</v>
      </c>
      <c r="E29385" s="5">
        <v>98</v>
      </c>
      <c r="F29385" s="5">
        <v>195</v>
      </c>
      <c r="G29385" s="5">
        <v>97.3</v>
      </c>
      <c r="H29385" s="5">
        <v>97.2</v>
      </c>
      <c r="I29385" s="5">
        <v>0</v>
      </c>
      <c r="J29385" s="5">
        <v>0</v>
      </c>
      <c r="K29385" s="5">
        <v>0</v>
      </c>
    </row>
    <row r="29386" spans="1:11" x14ac:dyDescent="0.25">
      <c r="A29386" s="5">
        <f>29379</f>
      </c>
      <c r="B29386" s="5" t="s">
        <v>29394</v>
      </c>
      <c r="C29386" s="5">
        <v>97.9</v>
      </c>
      <c r="D29386" s="5">
        <v>0.1</v>
      </c>
      <c r="E29386" s="5">
        <v>98</v>
      </c>
      <c r="F29386" s="5">
        <v>195</v>
      </c>
      <c r="G29386" s="5">
        <v>97.3</v>
      </c>
      <c r="H29386" s="5">
        <v>97.2</v>
      </c>
      <c r="I29386" s="5">
        <v>0</v>
      </c>
      <c r="J29386" s="5">
        <v>0</v>
      </c>
      <c r="K29386" s="5">
        <v>0</v>
      </c>
    </row>
    <row r="29387" spans="1:11" x14ac:dyDescent="0.25">
      <c r="A29387" s="5">
        <f>29380</f>
      </c>
      <c r="B29387" s="5" t="s">
        <v>29395</v>
      </c>
      <c r="C29387" s="5">
        <v>97.9</v>
      </c>
      <c r="D29387" s="5">
        <v>0.1</v>
      </c>
      <c r="E29387" s="5">
        <v>98</v>
      </c>
      <c r="F29387" s="5">
        <v>195</v>
      </c>
      <c r="G29387" s="5">
        <v>97.3</v>
      </c>
      <c r="H29387" s="5">
        <v>97.2</v>
      </c>
      <c r="I29387" s="5">
        <v>0</v>
      </c>
      <c r="J29387" s="5">
        <v>0</v>
      </c>
      <c r="K29387" s="5">
        <v>0</v>
      </c>
    </row>
    <row r="29388" spans="1:11" x14ac:dyDescent="0.25">
      <c r="A29388" s="5">
        <f>29381</f>
      </c>
      <c r="B29388" s="5" t="s">
        <v>29396</v>
      </c>
      <c r="C29388" s="5">
        <v>96.8</v>
      </c>
      <c r="D29388" s="5">
        <v>0.1</v>
      </c>
      <c r="E29388" s="5">
        <v>97</v>
      </c>
      <c r="F29388" s="5">
        <v>189.3</v>
      </c>
      <c r="G29388" s="5">
        <v>97.3</v>
      </c>
      <c r="H29388" s="5">
        <v>97.2</v>
      </c>
      <c r="I29388" s="5">
        <v>0</v>
      </c>
      <c r="J29388" s="5">
        <v>0</v>
      </c>
      <c r="K29388" s="5">
        <v>0</v>
      </c>
    </row>
    <row r="29389" spans="1:11" x14ac:dyDescent="0.25">
      <c r="A29389" s="5">
        <f>29382</f>
      </c>
      <c r="B29389" s="5" t="s">
        <v>29397</v>
      </c>
      <c r="C29389" s="5">
        <v>96.8</v>
      </c>
      <c r="D29389" s="5">
        <v>0.1</v>
      </c>
      <c r="E29389" s="5">
        <v>97</v>
      </c>
      <c r="F29389" s="5">
        <v>189.3</v>
      </c>
      <c r="G29389" s="5">
        <v>94.5</v>
      </c>
      <c r="H29389" s="5">
        <v>94.4</v>
      </c>
      <c r="I29389" s="5">
        <v>0</v>
      </c>
      <c r="J29389" s="5">
        <v>0</v>
      </c>
      <c r="K29389" s="5">
        <v>0</v>
      </c>
    </row>
    <row r="29390" spans="1:11" x14ac:dyDescent="0.25">
      <c r="A29390" s="5">
        <f>29383</f>
      </c>
      <c r="B29390" s="5" t="s">
        <v>29398</v>
      </c>
      <c r="C29390" s="5">
        <v>96.7</v>
      </c>
      <c r="D29390" s="5">
        <v>0.1</v>
      </c>
      <c r="E29390" s="5">
        <v>97</v>
      </c>
      <c r="F29390" s="5">
        <v>189.3</v>
      </c>
      <c r="G29390" s="5">
        <v>94.5</v>
      </c>
      <c r="H29390" s="5">
        <v>94.4</v>
      </c>
      <c r="I29390" s="5">
        <v>0</v>
      </c>
      <c r="J29390" s="5">
        <v>0</v>
      </c>
      <c r="K29390" s="5">
        <v>0</v>
      </c>
    </row>
    <row r="29391" spans="1:11" x14ac:dyDescent="0.25">
      <c r="A29391" s="5">
        <f>29384</f>
      </c>
      <c r="B29391" s="5" t="s">
        <v>29399</v>
      </c>
      <c r="C29391" s="5">
        <v>96.7</v>
      </c>
      <c r="D29391" s="5">
        <v>0.1</v>
      </c>
      <c r="E29391" s="5">
        <v>96.9</v>
      </c>
      <c r="F29391" s="5">
        <v>189.2</v>
      </c>
      <c r="G29391" s="5">
        <v>94.5</v>
      </c>
      <c r="H29391" s="5">
        <v>94.4</v>
      </c>
      <c r="I29391" s="5">
        <v>0</v>
      </c>
      <c r="J29391" s="5">
        <v>0</v>
      </c>
      <c r="K29391" s="5">
        <v>0</v>
      </c>
    </row>
    <row r="29392" spans="1:11" x14ac:dyDescent="0.25">
      <c r="A29392" s="5">
        <f>29385</f>
      </c>
      <c r="B29392" s="5" t="s">
        <v>29400</v>
      </c>
      <c r="C29392" s="5">
        <v>96.7</v>
      </c>
      <c r="D29392" s="5">
        <v>0.1</v>
      </c>
      <c r="E29392" s="5">
        <v>96.9</v>
      </c>
      <c r="F29392" s="5">
        <v>189.2</v>
      </c>
      <c r="G29392" s="5">
        <v>94.5</v>
      </c>
      <c r="H29392" s="5">
        <v>94.4</v>
      </c>
      <c r="I29392" s="5">
        <v>0</v>
      </c>
      <c r="J29392" s="5">
        <v>0</v>
      </c>
      <c r="K29392" s="5">
        <v>0</v>
      </c>
    </row>
    <row r="29393" spans="1:11" x14ac:dyDescent="0.25">
      <c r="A29393" s="5">
        <f>29386</f>
      </c>
      <c r="B29393" s="5" t="s">
        <v>29401</v>
      </c>
      <c r="C29393" s="5">
        <v>96.6</v>
      </c>
      <c r="D29393" s="5">
        <v>0.1</v>
      </c>
      <c r="E29393" s="5">
        <v>96.7</v>
      </c>
      <c r="F29393" s="5">
        <v>190</v>
      </c>
      <c r="G29393" s="5">
        <v>94.8</v>
      </c>
      <c r="H29393" s="5">
        <v>94.6</v>
      </c>
      <c r="I29393" s="5">
        <v>0</v>
      </c>
      <c r="J29393" s="5">
        <v>0</v>
      </c>
      <c r="K29393" s="5">
        <v>0</v>
      </c>
    </row>
    <row r="29394" spans="1:11" x14ac:dyDescent="0.25">
      <c r="A29394" s="5">
        <f>29387</f>
      </c>
      <c r="B29394" s="5" t="s">
        <v>29402</v>
      </c>
      <c r="C29394" s="5">
        <v>96.6</v>
      </c>
      <c r="D29394" s="5">
        <v>0.1</v>
      </c>
      <c r="E29394" s="5">
        <v>96.7</v>
      </c>
      <c r="F29394" s="5">
        <v>190</v>
      </c>
      <c r="G29394" s="5">
        <v>94.8</v>
      </c>
      <c r="H29394" s="5">
        <v>94.6</v>
      </c>
      <c r="I29394" s="5">
        <v>0</v>
      </c>
      <c r="J29394" s="5">
        <v>0</v>
      </c>
      <c r="K29394" s="5">
        <v>0</v>
      </c>
    </row>
    <row r="29395" spans="1:11" x14ac:dyDescent="0.25">
      <c r="A29395" s="5">
        <f>29388</f>
      </c>
      <c r="B29395" s="5" t="s">
        <v>29403</v>
      </c>
      <c r="C29395" s="5">
        <v>95.7</v>
      </c>
      <c r="D29395" s="5">
        <v>0.1</v>
      </c>
      <c r="E29395" s="5">
        <v>95.8</v>
      </c>
      <c r="F29395" s="5">
        <v>191.4</v>
      </c>
      <c r="G29395" s="5">
        <v>95.8</v>
      </c>
      <c r="H29395" s="5">
        <v>95.9</v>
      </c>
      <c r="I29395" s="5">
        <v>0</v>
      </c>
      <c r="J29395" s="5">
        <v>0</v>
      </c>
      <c r="K29395" s="5">
        <v>0</v>
      </c>
    </row>
    <row r="29396" spans="1:11" x14ac:dyDescent="0.25">
      <c r="A29396" s="5">
        <f>29389</f>
      </c>
      <c r="B29396" s="5" t="s">
        <v>29404</v>
      </c>
      <c r="C29396" s="5">
        <v>95.7</v>
      </c>
      <c r="D29396" s="5">
        <v>0.1</v>
      </c>
      <c r="E29396" s="5">
        <v>95.8</v>
      </c>
      <c r="F29396" s="5">
        <v>191.4</v>
      </c>
      <c r="G29396" s="5">
        <v>95.8</v>
      </c>
      <c r="H29396" s="5">
        <v>95.9</v>
      </c>
      <c r="I29396" s="5">
        <v>0</v>
      </c>
      <c r="J29396" s="5">
        <v>0</v>
      </c>
      <c r="K29396" s="5">
        <v>0</v>
      </c>
    </row>
    <row r="29397" spans="1:11" x14ac:dyDescent="0.25">
      <c r="A29397" s="5">
        <f>29390</f>
      </c>
      <c r="B29397" s="5" t="s">
        <v>29405</v>
      </c>
      <c r="C29397" s="5">
        <v>95.7</v>
      </c>
      <c r="D29397" s="5">
        <v>0.1</v>
      </c>
      <c r="E29397" s="5">
        <v>95.8</v>
      </c>
      <c r="F29397" s="5">
        <v>191.4</v>
      </c>
      <c r="G29397" s="5">
        <v>95.8</v>
      </c>
      <c r="H29397" s="5">
        <v>95.9</v>
      </c>
      <c r="I29397" s="5">
        <v>0</v>
      </c>
      <c r="J29397" s="5">
        <v>0</v>
      </c>
      <c r="K29397" s="5">
        <v>0</v>
      </c>
    </row>
    <row r="29398" spans="1:11" x14ac:dyDescent="0.25">
      <c r="A29398" s="5">
        <f>29391</f>
      </c>
      <c r="B29398" s="5" t="s">
        <v>29406</v>
      </c>
      <c r="C29398" s="5">
        <v>99</v>
      </c>
      <c r="D29398" s="5">
        <v>0.1</v>
      </c>
      <c r="E29398" s="5">
        <v>99.2</v>
      </c>
      <c r="F29398" s="5">
        <v>196.4</v>
      </c>
      <c r="G29398" s="5">
        <v>98</v>
      </c>
      <c r="H29398" s="5">
        <v>97.9</v>
      </c>
      <c r="I29398" s="5">
        <v>0</v>
      </c>
      <c r="J29398" s="5">
        <v>0</v>
      </c>
      <c r="K29398" s="5">
        <v>0</v>
      </c>
    </row>
    <row r="29399" spans="1:11" x14ac:dyDescent="0.25">
      <c r="A29399" s="5">
        <f>29392</f>
      </c>
      <c r="B29399" s="5" t="s">
        <v>29407</v>
      </c>
      <c r="C29399" s="5">
        <v>99</v>
      </c>
      <c r="D29399" s="5">
        <v>0.1</v>
      </c>
      <c r="E29399" s="5">
        <v>99.2</v>
      </c>
      <c r="F29399" s="5">
        <v>196.4</v>
      </c>
      <c r="G29399" s="5">
        <v>98</v>
      </c>
      <c r="H29399" s="5">
        <v>97.9</v>
      </c>
      <c r="I29399" s="5">
        <v>0</v>
      </c>
      <c r="J29399" s="5">
        <v>0</v>
      </c>
      <c r="K29399" s="5">
        <v>0</v>
      </c>
    </row>
    <row r="29400" spans="1:11" x14ac:dyDescent="0.25">
      <c r="A29400" s="5">
        <f>29393</f>
      </c>
      <c r="B29400" s="5" t="s">
        <v>29408</v>
      </c>
      <c r="C29400" s="5">
        <v>103.9</v>
      </c>
      <c r="D29400" s="5">
        <v>0.1</v>
      </c>
      <c r="E29400" s="5">
        <v>104</v>
      </c>
      <c r="F29400" s="5">
        <v>205.2</v>
      </c>
      <c r="G29400" s="5">
        <v>102.5</v>
      </c>
      <c r="H29400" s="5">
        <v>102.4</v>
      </c>
      <c r="I29400" s="5">
        <v>0</v>
      </c>
      <c r="J29400" s="5">
        <v>0</v>
      </c>
      <c r="K29400" s="5">
        <v>0</v>
      </c>
    </row>
    <row r="29401" spans="1:11" x14ac:dyDescent="0.25">
      <c r="A29401" s="5">
        <f>29394</f>
      </c>
      <c r="B29401" s="5" t="s">
        <v>29409</v>
      </c>
      <c r="C29401" s="5">
        <v>103.9</v>
      </c>
      <c r="D29401" s="5">
        <v>0.1</v>
      </c>
      <c r="E29401" s="5">
        <v>104</v>
      </c>
      <c r="F29401" s="5">
        <v>205.2</v>
      </c>
      <c r="G29401" s="5">
        <v>102.5</v>
      </c>
      <c r="H29401" s="5">
        <v>102.4</v>
      </c>
      <c r="I29401" s="5">
        <v>0</v>
      </c>
      <c r="J29401" s="5">
        <v>0</v>
      </c>
      <c r="K29401" s="5">
        <v>0</v>
      </c>
    </row>
    <row r="29402" spans="1:11" x14ac:dyDescent="0.25">
      <c r="A29402" s="5">
        <f>29395</f>
      </c>
      <c r="B29402" s="5" t="s">
        <v>29410</v>
      </c>
      <c r="C29402" s="5">
        <v>101.2</v>
      </c>
      <c r="D29402" s="5">
        <v>0.1</v>
      </c>
      <c r="E29402" s="5">
        <v>101.3</v>
      </c>
      <c r="F29402" s="5">
        <v>205.5</v>
      </c>
      <c r="G29402" s="5">
        <v>102.5</v>
      </c>
      <c r="H29402" s="5">
        <v>102.3</v>
      </c>
      <c r="I29402" s="5">
        <v>0</v>
      </c>
      <c r="J29402" s="5">
        <v>0</v>
      </c>
      <c r="K29402" s="5">
        <v>0</v>
      </c>
    </row>
    <row r="29403" spans="1:11" x14ac:dyDescent="0.25">
      <c r="A29403" s="5">
        <f>29396</f>
      </c>
      <c r="B29403" s="5" t="s">
        <v>29411</v>
      </c>
      <c r="C29403" s="5">
        <v>101.2</v>
      </c>
      <c r="D29403" s="5">
        <v>0.1</v>
      </c>
      <c r="E29403" s="5">
        <v>101.3</v>
      </c>
      <c r="F29403" s="5">
        <v>205.5</v>
      </c>
      <c r="G29403" s="5">
        <v>102.5</v>
      </c>
      <c r="H29403" s="5">
        <v>102.3</v>
      </c>
      <c r="I29403" s="5">
        <v>0</v>
      </c>
      <c r="J29403" s="5">
        <v>0</v>
      </c>
      <c r="K29403" s="5">
        <v>0</v>
      </c>
    </row>
    <row r="29404" spans="1:11" x14ac:dyDescent="0.25">
      <c r="A29404" s="5">
        <f>29397</f>
      </c>
      <c r="B29404" s="5" t="s">
        <v>29412</v>
      </c>
      <c r="C29404" s="5">
        <v>97.3</v>
      </c>
      <c r="D29404" s="5">
        <v>0.1</v>
      </c>
      <c r="E29404" s="5">
        <v>97.5</v>
      </c>
      <c r="F29404" s="5">
        <v>194.5</v>
      </c>
      <c r="G29404" s="5">
        <v>97</v>
      </c>
      <c r="H29404" s="5">
        <v>96.8</v>
      </c>
      <c r="I29404" s="5">
        <v>0</v>
      </c>
      <c r="J29404" s="5">
        <v>0</v>
      </c>
      <c r="K29404" s="5">
        <v>0</v>
      </c>
    </row>
    <row r="29405" spans="1:11" x14ac:dyDescent="0.25">
      <c r="A29405" s="5">
        <f>29398</f>
      </c>
      <c r="B29405" s="5" t="s">
        <v>29413</v>
      </c>
      <c r="C29405" s="5">
        <v>97.3</v>
      </c>
      <c r="D29405" s="5">
        <v>0.1</v>
      </c>
      <c r="E29405" s="5">
        <v>97.5</v>
      </c>
      <c r="F29405" s="5">
        <v>194.5</v>
      </c>
      <c r="G29405" s="5">
        <v>97</v>
      </c>
      <c r="H29405" s="5">
        <v>96.8</v>
      </c>
      <c r="I29405" s="5">
        <v>0</v>
      </c>
      <c r="J29405" s="5">
        <v>0</v>
      </c>
      <c r="K29405" s="5">
        <v>0</v>
      </c>
    </row>
    <row r="29406" spans="1:11" x14ac:dyDescent="0.25">
      <c r="A29406" s="5">
        <f>29399</f>
      </c>
      <c r="B29406" s="5" t="s">
        <v>29414</v>
      </c>
      <c r="C29406" s="5">
        <v>97.3</v>
      </c>
      <c r="D29406" s="5">
        <v>0.1</v>
      </c>
      <c r="E29406" s="5">
        <v>97.5</v>
      </c>
      <c r="F29406" s="5">
        <v>194.5</v>
      </c>
      <c r="G29406" s="5">
        <v>97</v>
      </c>
      <c r="H29406" s="5">
        <v>96.8</v>
      </c>
      <c r="I29406" s="5">
        <v>0</v>
      </c>
      <c r="J29406" s="5">
        <v>0</v>
      </c>
      <c r="K29406" s="5">
        <v>0</v>
      </c>
    </row>
    <row r="29407" spans="1:11" x14ac:dyDescent="0.25">
      <c r="A29407" s="5">
        <f>29400</f>
      </c>
      <c r="B29407" s="5" t="s">
        <v>29415</v>
      </c>
      <c r="C29407" s="5">
        <v>97.3</v>
      </c>
      <c r="D29407" s="5">
        <v>0.1</v>
      </c>
      <c r="E29407" s="5">
        <v>97.5</v>
      </c>
      <c r="F29407" s="5">
        <v>194.5</v>
      </c>
      <c r="G29407" s="5">
        <v>97</v>
      </c>
      <c r="H29407" s="5">
        <v>96.8</v>
      </c>
      <c r="I29407" s="5">
        <v>0</v>
      </c>
      <c r="J29407" s="5">
        <v>0</v>
      </c>
      <c r="K29407" s="5">
        <v>0</v>
      </c>
    </row>
    <row r="29408" spans="1:11" x14ac:dyDescent="0.25">
      <c r="A29408" s="5">
        <f>29401</f>
      </c>
      <c r="B29408" s="5" t="s">
        <v>29416</v>
      </c>
      <c r="C29408" s="5">
        <v>94.5</v>
      </c>
      <c r="D29408" s="5">
        <v>0.1</v>
      </c>
      <c r="E29408" s="5">
        <v>94.6</v>
      </c>
      <c r="F29408" s="5">
        <v>192.3</v>
      </c>
      <c r="G29408" s="5">
        <v>95.9</v>
      </c>
      <c r="H29408" s="5">
        <v>95.6</v>
      </c>
      <c r="I29408" s="5">
        <v>0</v>
      </c>
      <c r="J29408" s="5">
        <v>0</v>
      </c>
      <c r="K29408" s="5">
        <v>0</v>
      </c>
    </row>
    <row r="29409" spans="1:11" x14ac:dyDescent="0.25">
      <c r="A29409" s="5">
        <f>29402</f>
      </c>
      <c r="B29409" s="5" t="s">
        <v>29417</v>
      </c>
      <c r="C29409" s="5">
        <v>94.5</v>
      </c>
      <c r="D29409" s="5">
        <v>0.1</v>
      </c>
      <c r="E29409" s="5">
        <v>94.6</v>
      </c>
      <c r="F29409" s="5">
        <v>192.3</v>
      </c>
      <c r="G29409" s="5">
        <v>95.9</v>
      </c>
      <c r="H29409" s="5">
        <v>95.6</v>
      </c>
      <c r="I29409" s="5">
        <v>0</v>
      </c>
      <c r="J29409" s="5">
        <v>0</v>
      </c>
      <c r="K29409" s="5">
        <v>0</v>
      </c>
    </row>
    <row r="29410" spans="1:11" x14ac:dyDescent="0.25">
      <c r="A29410" s="5">
        <f>29403</f>
      </c>
      <c r="B29410" s="5" t="s">
        <v>29418</v>
      </c>
      <c r="C29410" s="5">
        <v>96.2</v>
      </c>
      <c r="D29410" s="5">
        <v>0.1</v>
      </c>
      <c r="E29410" s="5">
        <v>96.4</v>
      </c>
      <c r="F29410" s="5">
        <v>191.9</v>
      </c>
      <c r="G29410" s="5">
        <v>96.8</v>
      </c>
      <c r="H29410" s="5">
        <v>98.2</v>
      </c>
      <c r="I29410" s="5">
        <v>0</v>
      </c>
      <c r="J29410" s="5">
        <v>0</v>
      </c>
      <c r="K29410" s="5">
        <v>0</v>
      </c>
    </row>
    <row r="29411" spans="1:11" x14ac:dyDescent="0.25">
      <c r="A29411" s="5">
        <f>29404</f>
      </c>
      <c r="B29411" s="5" t="s">
        <v>29419</v>
      </c>
      <c r="C29411" s="5">
        <v>96.2</v>
      </c>
      <c r="D29411" s="5">
        <v>0.1</v>
      </c>
      <c r="E29411" s="5">
        <v>96.4</v>
      </c>
      <c r="F29411" s="5">
        <v>191.9</v>
      </c>
      <c r="G29411" s="5">
        <v>96.8</v>
      </c>
      <c r="H29411" s="5">
        <v>98.2</v>
      </c>
      <c r="I29411" s="5">
        <v>0</v>
      </c>
      <c r="J29411" s="5">
        <v>0</v>
      </c>
      <c r="K29411" s="5">
        <v>0</v>
      </c>
    </row>
    <row r="29412" spans="1:11" x14ac:dyDescent="0.25">
      <c r="A29412" s="5">
        <f>29405</f>
      </c>
      <c r="B29412" s="5" t="s">
        <v>29420</v>
      </c>
      <c r="C29412" s="5">
        <v>96.9</v>
      </c>
      <c r="D29412" s="5">
        <v>0.1</v>
      </c>
      <c r="E29412" s="5">
        <v>97</v>
      </c>
      <c r="F29412" s="5">
        <v>194</v>
      </c>
      <c r="G29412" s="5">
        <v>96.7</v>
      </c>
      <c r="H29412" s="5">
        <v>96.8</v>
      </c>
      <c r="I29412" s="5">
        <v>0</v>
      </c>
      <c r="J29412" s="5">
        <v>0</v>
      </c>
      <c r="K29412" s="5">
        <v>0</v>
      </c>
    </row>
    <row r="29413" spans="1:11" x14ac:dyDescent="0.25">
      <c r="A29413" s="5">
        <f>29406</f>
      </c>
      <c r="B29413" s="5" t="s">
        <v>29421</v>
      </c>
      <c r="C29413" s="5">
        <v>96.9</v>
      </c>
      <c r="D29413" s="5">
        <v>0.1</v>
      </c>
      <c r="E29413" s="5">
        <v>97</v>
      </c>
      <c r="F29413" s="5">
        <v>194</v>
      </c>
      <c r="G29413" s="5">
        <v>96.7</v>
      </c>
      <c r="H29413" s="5">
        <v>96.8</v>
      </c>
      <c r="I29413" s="5">
        <v>0</v>
      </c>
      <c r="J29413" s="5">
        <v>0</v>
      </c>
      <c r="K29413" s="5">
        <v>0</v>
      </c>
    </row>
    <row r="29414" spans="1:11" x14ac:dyDescent="0.25">
      <c r="A29414" s="5">
        <f>29407</f>
      </c>
      <c r="B29414" s="5" t="s">
        <v>29422</v>
      </c>
      <c r="C29414" s="5">
        <v>97.5</v>
      </c>
      <c r="D29414" s="5">
        <v>0.1</v>
      </c>
      <c r="E29414" s="5">
        <v>97.6</v>
      </c>
      <c r="F29414" s="5">
        <v>193.9</v>
      </c>
      <c r="G29414" s="5">
        <v>96.7</v>
      </c>
      <c r="H29414" s="5">
        <v>96.5</v>
      </c>
      <c r="I29414" s="5">
        <v>0</v>
      </c>
      <c r="J29414" s="5">
        <v>0</v>
      </c>
      <c r="K29414" s="5">
        <v>0</v>
      </c>
    </row>
    <row r="29415" spans="1:11" x14ac:dyDescent="0.25">
      <c r="A29415" s="5">
        <f>29408</f>
      </c>
      <c r="B29415" s="5" t="s">
        <v>29423</v>
      </c>
      <c r="C29415" s="5">
        <v>97.5</v>
      </c>
      <c r="D29415" s="5">
        <v>0.1</v>
      </c>
      <c r="E29415" s="5">
        <v>97.6</v>
      </c>
      <c r="F29415" s="5">
        <v>193.9</v>
      </c>
      <c r="G29415" s="5">
        <v>96.7</v>
      </c>
      <c r="H29415" s="5">
        <v>96.5</v>
      </c>
      <c r="I29415" s="5">
        <v>0</v>
      </c>
      <c r="J29415" s="5">
        <v>0</v>
      </c>
      <c r="K29415" s="5">
        <v>0</v>
      </c>
    </row>
    <row r="29416" spans="1:11" x14ac:dyDescent="0.25">
      <c r="A29416" s="5">
        <f>29409</f>
      </c>
      <c r="B29416" s="5" t="s">
        <v>29424</v>
      </c>
      <c r="C29416" s="5">
        <v>97.5</v>
      </c>
      <c r="D29416" s="5">
        <v>0.1</v>
      </c>
      <c r="E29416" s="5">
        <v>97.6</v>
      </c>
      <c r="F29416" s="5">
        <v>193.9</v>
      </c>
      <c r="G29416" s="5">
        <v>96.7</v>
      </c>
      <c r="H29416" s="5">
        <v>96.5</v>
      </c>
      <c r="I29416" s="5">
        <v>0</v>
      </c>
      <c r="J29416" s="5">
        <v>0</v>
      </c>
      <c r="K29416" s="5">
        <v>0</v>
      </c>
    </row>
    <row r="29417" spans="1:11" x14ac:dyDescent="0.25">
      <c r="A29417" s="5">
        <f>29410</f>
      </c>
      <c r="B29417" s="5" t="s">
        <v>29425</v>
      </c>
      <c r="C29417" s="5">
        <v>97.5</v>
      </c>
      <c r="D29417" s="5">
        <v>0.1</v>
      </c>
      <c r="E29417" s="5">
        <v>97.6</v>
      </c>
      <c r="F29417" s="5">
        <v>193.9</v>
      </c>
      <c r="G29417" s="5">
        <v>96.7</v>
      </c>
      <c r="H29417" s="5">
        <v>96.5</v>
      </c>
      <c r="I29417" s="5">
        <v>0</v>
      </c>
      <c r="J29417" s="5">
        <v>0</v>
      </c>
      <c r="K29417" s="5">
        <v>0</v>
      </c>
    </row>
    <row r="29418" spans="1:11" x14ac:dyDescent="0.25">
      <c r="A29418" s="5">
        <f>29411</f>
      </c>
      <c r="B29418" s="5" t="s">
        <v>29426</v>
      </c>
      <c r="C29418" s="5">
        <v>93.8</v>
      </c>
      <c r="D29418" s="5">
        <v>0.1</v>
      </c>
      <c r="E29418" s="5">
        <v>94</v>
      </c>
      <c r="F29418" s="5">
        <v>188.8</v>
      </c>
      <c r="G29418" s="5">
        <v>94.1</v>
      </c>
      <c r="H29418" s="5">
        <v>94</v>
      </c>
      <c r="I29418" s="5">
        <v>0</v>
      </c>
      <c r="J29418" s="5">
        <v>0</v>
      </c>
      <c r="K29418" s="5">
        <v>0</v>
      </c>
    </row>
    <row r="29419" spans="1:11" x14ac:dyDescent="0.25">
      <c r="A29419" s="5">
        <f>29412</f>
      </c>
      <c r="B29419" s="5" t="s">
        <v>29427</v>
      </c>
      <c r="C29419" s="5">
        <v>93.8</v>
      </c>
      <c r="D29419" s="5">
        <v>0.1</v>
      </c>
      <c r="E29419" s="5">
        <v>94</v>
      </c>
      <c r="F29419" s="5">
        <v>188.8</v>
      </c>
      <c r="G29419" s="5">
        <v>94.1</v>
      </c>
      <c r="H29419" s="5">
        <v>94</v>
      </c>
      <c r="I29419" s="5">
        <v>0</v>
      </c>
      <c r="J29419" s="5">
        <v>0</v>
      </c>
      <c r="K29419" s="5">
        <v>0</v>
      </c>
    </row>
    <row r="29420" spans="1:11" x14ac:dyDescent="0.25">
      <c r="A29420" s="5">
        <f>29413</f>
      </c>
      <c r="B29420" s="5" t="s">
        <v>29428</v>
      </c>
      <c r="C29420" s="5">
        <v>93.7</v>
      </c>
      <c r="D29420" s="5">
        <v>0.1</v>
      </c>
      <c r="E29420" s="5">
        <v>93.8</v>
      </c>
      <c r="F29420" s="5">
        <v>189.2</v>
      </c>
      <c r="G29420" s="5">
        <v>94.3</v>
      </c>
      <c r="H29420" s="5">
        <v>94.1</v>
      </c>
      <c r="I29420" s="5">
        <v>0</v>
      </c>
      <c r="J29420" s="5">
        <v>0</v>
      </c>
      <c r="K29420" s="5">
        <v>0</v>
      </c>
    </row>
    <row r="29421" spans="1:11" x14ac:dyDescent="0.25">
      <c r="A29421" s="5">
        <f>29414</f>
      </c>
      <c r="B29421" s="5" t="s">
        <v>29429</v>
      </c>
      <c r="C29421" s="5">
        <v>93.7</v>
      </c>
      <c r="D29421" s="5">
        <v>0.1</v>
      </c>
      <c r="E29421" s="5">
        <v>93.8</v>
      </c>
      <c r="F29421" s="5">
        <v>189.2</v>
      </c>
      <c r="G29421" s="5">
        <v>94.3</v>
      </c>
      <c r="H29421" s="5">
        <v>94.1</v>
      </c>
      <c r="I29421" s="5">
        <v>0</v>
      </c>
      <c r="J29421" s="5">
        <v>0</v>
      </c>
      <c r="K29421" s="5">
        <v>0</v>
      </c>
    </row>
    <row r="29422" spans="1:11" x14ac:dyDescent="0.25">
      <c r="A29422" s="5">
        <f>29415</f>
      </c>
      <c r="B29422" s="5" t="s">
        <v>29430</v>
      </c>
      <c r="C29422" s="5">
        <v>94.2</v>
      </c>
      <c r="D29422" s="5">
        <v>0.1</v>
      </c>
      <c r="E29422" s="5">
        <v>94.4</v>
      </c>
      <c r="F29422" s="5">
        <v>195.7</v>
      </c>
      <c r="G29422" s="5">
        <v>97.4</v>
      </c>
      <c r="H29422" s="5">
        <v>96.9</v>
      </c>
      <c r="I29422" s="5">
        <v>0</v>
      </c>
      <c r="J29422" s="5">
        <v>0</v>
      </c>
      <c r="K29422" s="5">
        <v>0</v>
      </c>
    </row>
    <row r="29423" spans="1:11" x14ac:dyDescent="0.25">
      <c r="A29423" s="5">
        <f>29416</f>
      </c>
      <c r="B29423" s="5" t="s">
        <v>29431</v>
      </c>
      <c r="C29423" s="5">
        <v>94.2</v>
      </c>
      <c r="D29423" s="5">
        <v>0.1</v>
      </c>
      <c r="E29423" s="5">
        <v>94.4</v>
      </c>
      <c r="F29423" s="5">
        <v>195.7</v>
      </c>
      <c r="G29423" s="5">
        <v>97.4</v>
      </c>
      <c r="H29423" s="5">
        <v>96.9</v>
      </c>
      <c r="I29423" s="5">
        <v>0</v>
      </c>
      <c r="J29423" s="5">
        <v>0</v>
      </c>
      <c r="K29423" s="5">
        <v>0</v>
      </c>
    </row>
    <row r="29424" spans="1:11" x14ac:dyDescent="0.25">
      <c r="A29424" s="5">
        <f>29417</f>
      </c>
      <c r="B29424" s="5" t="s">
        <v>29432</v>
      </c>
      <c r="C29424" s="5">
        <v>95.5</v>
      </c>
      <c r="D29424" s="5">
        <v>0.1</v>
      </c>
      <c r="E29424" s="5">
        <v>95.7</v>
      </c>
      <c r="F29424" s="5">
        <v>193.1</v>
      </c>
      <c r="G29424" s="5">
        <v>96.3</v>
      </c>
      <c r="H29424" s="5">
        <v>96.1</v>
      </c>
      <c r="I29424" s="5">
        <v>0</v>
      </c>
      <c r="J29424" s="5">
        <v>0</v>
      </c>
      <c r="K29424" s="5">
        <v>0</v>
      </c>
    </row>
    <row r="29425" spans="1:11" x14ac:dyDescent="0.25">
      <c r="A29425" s="5">
        <f>29418</f>
      </c>
      <c r="B29425" s="5" t="s">
        <v>29433</v>
      </c>
      <c r="C29425" s="5">
        <v>95.5</v>
      </c>
      <c r="D29425" s="5">
        <v>0.1</v>
      </c>
      <c r="E29425" s="5">
        <v>95.7</v>
      </c>
      <c r="F29425" s="5">
        <v>193.1</v>
      </c>
      <c r="G29425" s="5">
        <v>96.3</v>
      </c>
      <c r="H29425" s="5">
        <v>96.1</v>
      </c>
      <c r="I29425" s="5">
        <v>0</v>
      </c>
      <c r="J29425" s="5">
        <v>0</v>
      </c>
      <c r="K29425" s="5">
        <v>0</v>
      </c>
    </row>
    <row r="29426" spans="1:11" x14ac:dyDescent="0.25">
      <c r="A29426" s="5">
        <f>29419</f>
      </c>
      <c r="B29426" s="5" t="s">
        <v>29434</v>
      </c>
      <c r="C29426" s="5">
        <v>95.5</v>
      </c>
      <c r="D29426" s="5">
        <v>0.1</v>
      </c>
      <c r="E29426" s="5">
        <v>95.7</v>
      </c>
      <c r="F29426" s="5">
        <v>193.1</v>
      </c>
      <c r="G29426" s="5">
        <v>96.3</v>
      </c>
      <c r="H29426" s="5">
        <v>96.1</v>
      </c>
      <c r="I29426" s="5">
        <v>0</v>
      </c>
      <c r="J29426" s="5">
        <v>0</v>
      </c>
      <c r="K29426" s="5">
        <v>0</v>
      </c>
    </row>
    <row r="29427" spans="1:11" x14ac:dyDescent="0.25">
      <c r="A29427" s="5">
        <f>29420</f>
      </c>
      <c r="B29427" s="5" t="s">
        <v>29435</v>
      </c>
      <c r="C29427" s="5">
        <v>95.5</v>
      </c>
      <c r="D29427" s="5">
        <v>0.1</v>
      </c>
      <c r="E29427" s="5">
        <v>95.7</v>
      </c>
      <c r="F29427" s="5">
        <v>193.1</v>
      </c>
      <c r="G29427" s="5">
        <v>96.3</v>
      </c>
      <c r="H29427" s="5">
        <v>96.1</v>
      </c>
      <c r="I29427" s="5">
        <v>0</v>
      </c>
      <c r="J29427" s="5">
        <v>0</v>
      </c>
      <c r="K29427" s="5">
        <v>0</v>
      </c>
    </row>
    <row r="29428" spans="1:11" x14ac:dyDescent="0.25">
      <c r="A29428" s="5">
        <f>29421</f>
      </c>
      <c r="B29428" s="5" t="s">
        <v>29436</v>
      </c>
      <c r="C29428" s="5">
        <v>101.3</v>
      </c>
      <c r="D29428" s="5">
        <v>0.1</v>
      </c>
      <c r="E29428" s="5">
        <v>101.5</v>
      </c>
      <c r="F29428" s="5">
        <v>202.1</v>
      </c>
      <c r="G29428" s="5">
        <v>100.8</v>
      </c>
      <c r="H29428" s="5">
        <v>100.6</v>
      </c>
      <c r="I29428" s="5">
        <v>0</v>
      </c>
      <c r="J29428" s="5">
        <v>0</v>
      </c>
      <c r="K29428" s="5">
        <v>0</v>
      </c>
    </row>
    <row r="29429" spans="1:11" x14ac:dyDescent="0.25">
      <c r="A29429" s="5">
        <f>29422</f>
      </c>
      <c r="B29429" s="5" t="s">
        <v>29437</v>
      </c>
      <c r="C29429" s="5">
        <v>101.3</v>
      </c>
      <c r="D29429" s="5">
        <v>0.1</v>
      </c>
      <c r="E29429" s="5">
        <v>101.5</v>
      </c>
      <c r="F29429" s="5">
        <v>202.1</v>
      </c>
      <c r="G29429" s="5">
        <v>100.8</v>
      </c>
      <c r="H29429" s="5">
        <v>100.6</v>
      </c>
      <c r="I29429" s="5">
        <v>0</v>
      </c>
      <c r="J29429" s="5">
        <v>0</v>
      </c>
      <c r="K29429" s="5">
        <v>0</v>
      </c>
    </row>
    <row r="29430" spans="1:11" x14ac:dyDescent="0.25">
      <c r="A29430" s="5">
        <f>29423</f>
      </c>
      <c r="B29430" s="5" t="s">
        <v>29438</v>
      </c>
      <c r="C29430" s="5">
        <v>100.8</v>
      </c>
      <c r="D29430" s="5">
        <v>0.1</v>
      </c>
      <c r="E29430" s="5">
        <v>100.9</v>
      </c>
      <c r="F29430" s="5">
        <v>201.5</v>
      </c>
      <c r="G29430" s="5">
        <v>100.5</v>
      </c>
      <c r="H29430" s="5">
        <v>100.4</v>
      </c>
      <c r="I29430" s="5">
        <v>0</v>
      </c>
      <c r="J29430" s="5">
        <v>0</v>
      </c>
      <c r="K29430" s="5">
        <v>0</v>
      </c>
    </row>
    <row r="29431" spans="1:11" x14ac:dyDescent="0.25">
      <c r="A29431" s="5">
        <f>29424</f>
      </c>
      <c r="B29431" s="5" t="s">
        <v>29439</v>
      </c>
      <c r="C29431" s="5">
        <v>100.8</v>
      </c>
      <c r="D29431" s="5">
        <v>0.1</v>
      </c>
      <c r="E29431" s="5">
        <v>100.9</v>
      </c>
      <c r="F29431" s="5">
        <v>201.5</v>
      </c>
      <c r="G29431" s="5">
        <v>100.5</v>
      </c>
      <c r="H29431" s="5">
        <v>100.4</v>
      </c>
      <c r="I29431" s="5">
        <v>0</v>
      </c>
      <c r="J29431" s="5">
        <v>0</v>
      </c>
      <c r="K29431" s="5">
        <v>0</v>
      </c>
    </row>
    <row r="29432" spans="1:11" x14ac:dyDescent="0.25">
      <c r="A29432" s="5">
        <f>29425</f>
      </c>
      <c r="B29432" s="5" t="s">
        <v>29440</v>
      </c>
      <c r="C29432" s="5">
        <v>101.1</v>
      </c>
      <c r="D29432" s="5">
        <v>0.1</v>
      </c>
      <c r="E29432" s="5">
        <v>101.2</v>
      </c>
      <c r="F29432" s="5">
        <v>201.9</v>
      </c>
      <c r="G29432" s="5">
        <v>100.7</v>
      </c>
      <c r="H29432" s="5">
        <v>100.6</v>
      </c>
      <c r="I29432" s="5">
        <v>0</v>
      </c>
      <c r="J29432" s="5">
        <v>0</v>
      </c>
      <c r="K29432" s="5">
        <v>0</v>
      </c>
    </row>
    <row r="29433" spans="1:11" x14ac:dyDescent="0.25">
      <c r="A29433" s="5">
        <f>29426</f>
      </c>
      <c r="B29433" s="5" t="s">
        <v>29441</v>
      </c>
      <c r="C29433" s="5">
        <v>101.1</v>
      </c>
      <c r="D29433" s="5">
        <v>0.1</v>
      </c>
      <c r="E29433" s="5">
        <v>101.2</v>
      </c>
      <c r="F29433" s="5">
        <v>201.9</v>
      </c>
      <c r="G29433" s="5">
        <v>100.7</v>
      </c>
      <c r="H29433" s="5">
        <v>100.6</v>
      </c>
      <c r="I29433" s="5">
        <v>0</v>
      </c>
      <c r="J29433" s="5">
        <v>0</v>
      </c>
      <c r="K29433" s="5">
        <v>0</v>
      </c>
    </row>
    <row r="29434" spans="1:11" x14ac:dyDescent="0.25">
      <c r="A29434" s="5">
        <f>29427</f>
      </c>
      <c r="B29434" s="5" t="s">
        <v>29442</v>
      </c>
      <c r="C29434" s="5">
        <v>101.5</v>
      </c>
      <c r="D29434" s="5">
        <v>0.1</v>
      </c>
      <c r="E29434" s="5">
        <v>101.5</v>
      </c>
      <c r="F29434" s="5">
        <v>201.8</v>
      </c>
      <c r="G29434" s="5">
        <v>100.7</v>
      </c>
      <c r="H29434" s="5">
        <v>100.5</v>
      </c>
      <c r="I29434" s="5">
        <v>0</v>
      </c>
      <c r="J29434" s="5">
        <v>0</v>
      </c>
      <c r="K29434" s="5">
        <v>0</v>
      </c>
    </row>
    <row r="29435" spans="1:11" x14ac:dyDescent="0.25">
      <c r="A29435" s="5">
        <f>29428</f>
      </c>
      <c r="B29435" s="5" t="s">
        <v>29443</v>
      </c>
      <c r="C29435" s="5">
        <v>101.5</v>
      </c>
      <c r="D29435" s="5">
        <v>0.1</v>
      </c>
      <c r="E29435" s="5">
        <v>101.5</v>
      </c>
      <c r="F29435" s="5">
        <v>201.8</v>
      </c>
      <c r="G29435" s="5">
        <v>100.7</v>
      </c>
      <c r="H29435" s="5">
        <v>100.5</v>
      </c>
      <c r="I29435" s="5">
        <v>0</v>
      </c>
      <c r="J29435" s="5">
        <v>0</v>
      </c>
      <c r="K29435" s="5">
        <v>0</v>
      </c>
    </row>
    <row r="29436" spans="1:11" x14ac:dyDescent="0.25">
      <c r="A29436" s="5">
        <f>29429</f>
      </c>
      <c r="B29436" s="5" t="s">
        <v>29444</v>
      </c>
      <c r="C29436" s="5">
        <v>101.5</v>
      </c>
      <c r="D29436" s="5">
        <v>0.1</v>
      </c>
      <c r="E29436" s="5">
        <v>101.5</v>
      </c>
      <c r="F29436" s="5">
        <v>201.8</v>
      </c>
      <c r="G29436" s="5">
        <v>100.7</v>
      </c>
      <c r="H29436" s="5">
        <v>100.5</v>
      </c>
      <c r="I29436" s="5">
        <v>0</v>
      </c>
      <c r="J29436" s="5">
        <v>0</v>
      </c>
      <c r="K29436" s="5">
        <v>0</v>
      </c>
    </row>
    <row r="29437" spans="1:11" x14ac:dyDescent="0.25">
      <c r="A29437" s="5">
        <f>29430</f>
      </c>
      <c r="B29437" s="5" t="s">
        <v>29445</v>
      </c>
      <c r="C29437" s="5">
        <v>101.5</v>
      </c>
      <c r="D29437" s="5">
        <v>0.1</v>
      </c>
      <c r="E29437" s="5">
        <v>101.5</v>
      </c>
      <c r="F29437" s="5">
        <v>201.8</v>
      </c>
      <c r="G29437" s="5">
        <v>100.7</v>
      </c>
      <c r="H29437" s="5">
        <v>100.5</v>
      </c>
      <c r="I29437" s="5">
        <v>0</v>
      </c>
      <c r="J29437" s="5">
        <v>0</v>
      </c>
      <c r="K29437" s="5">
        <v>0</v>
      </c>
    </row>
    <row r="29438" spans="1:11" x14ac:dyDescent="0.25">
      <c r="A29438" s="5">
        <f>29431</f>
      </c>
      <c r="B29438" s="5" t="s">
        <v>29446</v>
      </c>
      <c r="C29438" s="5">
        <v>100.6</v>
      </c>
      <c r="D29438" s="5">
        <v>0.1</v>
      </c>
      <c r="E29438" s="5">
        <v>100.8</v>
      </c>
      <c r="F29438" s="5">
        <v>201.6</v>
      </c>
      <c r="G29438" s="5">
        <v>100.6</v>
      </c>
      <c r="H29438" s="5">
        <v>100.4</v>
      </c>
      <c r="I29438" s="5">
        <v>0</v>
      </c>
      <c r="J29438" s="5">
        <v>0</v>
      </c>
      <c r="K29438" s="5">
        <v>0</v>
      </c>
    </row>
    <row r="29439" spans="1:11" x14ac:dyDescent="0.25">
      <c r="A29439" s="5">
        <f>29432</f>
      </c>
      <c r="B29439" s="5" t="s">
        <v>29447</v>
      </c>
      <c r="C29439" s="5">
        <v>100.6</v>
      </c>
      <c r="D29439" s="5">
        <v>0.1</v>
      </c>
      <c r="E29439" s="5">
        <v>100.8</v>
      </c>
      <c r="F29439" s="5">
        <v>201.6</v>
      </c>
      <c r="G29439" s="5">
        <v>100.6</v>
      </c>
      <c r="H29439" s="5">
        <v>100.4</v>
      </c>
      <c r="I29439" s="5">
        <v>0</v>
      </c>
      <c r="J29439" s="5">
        <v>0</v>
      </c>
      <c r="K29439" s="5">
        <v>0</v>
      </c>
    </row>
    <row r="29440" spans="1:11" x14ac:dyDescent="0.25">
      <c r="A29440" s="5">
        <f>29433</f>
      </c>
      <c r="B29440" s="5" t="s">
        <v>29448</v>
      </c>
      <c r="C29440" s="5">
        <v>100.8</v>
      </c>
      <c r="D29440" s="5">
        <v>0.1</v>
      </c>
      <c r="E29440" s="5">
        <v>100.9</v>
      </c>
      <c r="F29440" s="5">
        <v>201.4</v>
      </c>
      <c r="G29440" s="5">
        <v>100.5</v>
      </c>
      <c r="H29440" s="5">
        <v>100.3</v>
      </c>
      <c r="I29440" s="5">
        <v>0</v>
      </c>
      <c r="J29440" s="5">
        <v>0</v>
      </c>
      <c r="K29440" s="5">
        <v>0</v>
      </c>
    </row>
    <row r="29441" spans="1:11" x14ac:dyDescent="0.25">
      <c r="A29441" s="5">
        <f>29434</f>
      </c>
      <c r="B29441" s="5" t="s">
        <v>29449</v>
      </c>
      <c r="C29441" s="5">
        <v>100.8</v>
      </c>
      <c r="D29441" s="5">
        <v>0.1</v>
      </c>
      <c r="E29441" s="5">
        <v>100.9</v>
      </c>
      <c r="F29441" s="5">
        <v>201.4</v>
      </c>
      <c r="G29441" s="5">
        <v>100.5</v>
      </c>
      <c r="H29441" s="5">
        <v>100.3</v>
      </c>
      <c r="I29441" s="5">
        <v>0</v>
      </c>
      <c r="J29441" s="5">
        <v>0</v>
      </c>
      <c r="K29441" s="5">
        <v>0</v>
      </c>
    </row>
    <row r="29442" spans="1:11" x14ac:dyDescent="0.25">
      <c r="A29442" s="5">
        <f>29435</f>
      </c>
      <c r="B29442" s="5" t="s">
        <v>29450</v>
      </c>
      <c r="C29442" s="5">
        <v>100.3</v>
      </c>
      <c r="D29442" s="5">
        <v>0.1</v>
      </c>
      <c r="E29442" s="5">
        <v>100.5</v>
      </c>
      <c r="F29442" s="5">
        <v>200.9</v>
      </c>
      <c r="G29442" s="5">
        <v>100.2</v>
      </c>
      <c r="H29442" s="5">
        <v>100.1</v>
      </c>
      <c r="I29442" s="5">
        <v>0</v>
      </c>
      <c r="J29442" s="5">
        <v>0</v>
      </c>
      <c r="K29442" s="5">
        <v>0</v>
      </c>
    </row>
    <row r="29443" spans="1:11" x14ac:dyDescent="0.25">
      <c r="A29443" s="5">
        <f>29436</f>
      </c>
      <c r="B29443" s="5" t="s">
        <v>29451</v>
      </c>
      <c r="C29443" s="5">
        <v>100.3</v>
      </c>
      <c r="D29443" s="5">
        <v>0.1</v>
      </c>
      <c r="E29443" s="5">
        <v>100.5</v>
      </c>
      <c r="F29443" s="5">
        <v>200.9</v>
      </c>
      <c r="G29443" s="5">
        <v>100.2</v>
      </c>
      <c r="H29443" s="5">
        <v>100.1</v>
      </c>
      <c r="I29443" s="5">
        <v>0</v>
      </c>
      <c r="J29443" s="5">
        <v>0</v>
      </c>
      <c r="K29443" s="5">
        <v>0</v>
      </c>
    </row>
    <row r="29444" spans="1:11" x14ac:dyDescent="0.25">
      <c r="A29444" s="5">
        <f>29437</f>
      </c>
      <c r="B29444" s="5" t="s">
        <v>29452</v>
      </c>
      <c r="C29444" s="5">
        <v>99.4</v>
      </c>
      <c r="D29444" s="5">
        <v>0.1</v>
      </c>
      <c r="E29444" s="5">
        <v>99.5</v>
      </c>
      <c r="F29444" s="5">
        <v>193.1</v>
      </c>
      <c r="G29444" s="5">
        <v>96.5</v>
      </c>
      <c r="H29444" s="5">
        <v>96.5</v>
      </c>
      <c r="I29444" s="5">
        <v>0</v>
      </c>
      <c r="J29444" s="5">
        <v>0</v>
      </c>
      <c r="K29444" s="5">
        <v>0</v>
      </c>
    </row>
    <row r="29445" spans="1:11" x14ac:dyDescent="0.25">
      <c r="A29445" s="5">
        <f>29438</f>
      </c>
      <c r="B29445" s="5" t="s">
        <v>29453</v>
      </c>
      <c r="C29445" s="5">
        <v>99.4</v>
      </c>
      <c r="D29445" s="5">
        <v>0.1</v>
      </c>
      <c r="E29445" s="5">
        <v>99.5</v>
      </c>
      <c r="F29445" s="5">
        <v>193.1</v>
      </c>
      <c r="G29445" s="5">
        <v>96.5</v>
      </c>
      <c r="H29445" s="5">
        <v>96.5</v>
      </c>
      <c r="I29445" s="5">
        <v>0</v>
      </c>
      <c r="J29445" s="5">
        <v>0</v>
      </c>
      <c r="K29445" s="5">
        <v>0</v>
      </c>
    </row>
    <row r="29446" spans="1:11" x14ac:dyDescent="0.25">
      <c r="A29446" s="5">
        <f>29439</f>
      </c>
      <c r="B29446" s="5" t="s">
        <v>29454</v>
      </c>
      <c r="C29446" s="5">
        <v>99.4</v>
      </c>
      <c r="D29446" s="5">
        <v>0.1</v>
      </c>
      <c r="E29446" s="5">
        <v>99.5</v>
      </c>
      <c r="F29446" s="5">
        <v>193.1</v>
      </c>
      <c r="G29446" s="5">
        <v>96.5</v>
      </c>
      <c r="H29446" s="5">
        <v>96.5</v>
      </c>
      <c r="I29446" s="5">
        <v>0</v>
      </c>
      <c r="J29446" s="5">
        <v>0</v>
      </c>
      <c r="K29446" s="5">
        <v>0</v>
      </c>
    </row>
    <row r="29447" spans="1:11" x14ac:dyDescent="0.25">
      <c r="A29447" s="5">
        <f>29440</f>
      </c>
      <c r="B29447" s="5" t="s">
        <v>29455</v>
      </c>
      <c r="C29447" s="5">
        <v>99.4</v>
      </c>
      <c r="D29447" s="5">
        <v>0.1</v>
      </c>
      <c r="E29447" s="5">
        <v>99.5</v>
      </c>
      <c r="F29447" s="5">
        <v>193.1</v>
      </c>
      <c r="G29447" s="5">
        <v>96.5</v>
      </c>
      <c r="H29447" s="5">
        <v>96.5</v>
      </c>
      <c r="I29447" s="5">
        <v>0</v>
      </c>
      <c r="J29447" s="5">
        <v>0</v>
      </c>
      <c r="K29447" s="5">
        <v>0</v>
      </c>
    </row>
    <row r="29448" spans="1:11" x14ac:dyDescent="0.25">
      <c r="A29448" s="5">
        <f>29441</f>
      </c>
      <c r="B29448" s="5" t="s">
        <v>29456</v>
      </c>
      <c r="C29448" s="5">
        <v>99.7</v>
      </c>
      <c r="D29448" s="5">
        <v>0.1</v>
      </c>
      <c r="E29448" s="5">
        <v>99.8</v>
      </c>
      <c r="F29448" s="5">
        <v>199.4</v>
      </c>
      <c r="G29448" s="5">
        <v>99.5</v>
      </c>
      <c r="H29448" s="5">
        <v>99.4</v>
      </c>
      <c r="I29448" s="5">
        <v>0</v>
      </c>
      <c r="J29448" s="5">
        <v>0</v>
      </c>
      <c r="K29448" s="5">
        <v>0</v>
      </c>
    </row>
    <row r="29449" spans="1:11" x14ac:dyDescent="0.25">
      <c r="A29449" s="5">
        <f>29442</f>
      </c>
      <c r="B29449" s="5" t="s">
        <v>29457</v>
      </c>
      <c r="C29449" s="5">
        <v>99.7</v>
      </c>
      <c r="D29449" s="5">
        <v>0.1</v>
      </c>
      <c r="E29449" s="5">
        <v>99.8</v>
      </c>
      <c r="F29449" s="5">
        <v>199.4</v>
      </c>
      <c r="G29449" s="5">
        <v>99.5</v>
      </c>
      <c r="H29449" s="5">
        <v>99.4</v>
      </c>
      <c r="I29449" s="5">
        <v>0</v>
      </c>
      <c r="J29449" s="5">
        <v>0</v>
      </c>
      <c r="K29449" s="5">
        <v>0</v>
      </c>
    </row>
    <row r="29450" spans="1:11" x14ac:dyDescent="0.25">
      <c r="A29450" s="5">
        <f>29443</f>
      </c>
      <c r="B29450" s="5" t="s">
        <v>29458</v>
      </c>
      <c r="C29450" s="5">
        <v>100.8</v>
      </c>
      <c r="D29450" s="5">
        <v>0.1</v>
      </c>
      <c r="E29450" s="5">
        <v>100.9</v>
      </c>
      <c r="F29450" s="5">
        <v>200.7</v>
      </c>
      <c r="G29450" s="5">
        <v>100</v>
      </c>
      <c r="H29450" s="5">
        <v>99.6</v>
      </c>
      <c r="I29450" s="5">
        <v>0</v>
      </c>
      <c r="J29450" s="5">
        <v>0</v>
      </c>
      <c r="K29450" s="5">
        <v>0</v>
      </c>
    </row>
    <row r="29451" spans="1:11" x14ac:dyDescent="0.25">
      <c r="A29451" s="5">
        <f>29444</f>
      </c>
      <c r="B29451" s="5" t="s">
        <v>29459</v>
      </c>
      <c r="C29451" s="5">
        <v>100.8</v>
      </c>
      <c r="D29451" s="5">
        <v>0.1</v>
      </c>
      <c r="E29451" s="5">
        <v>100.9</v>
      </c>
      <c r="F29451" s="5">
        <v>200.7</v>
      </c>
      <c r="G29451" s="5">
        <v>100</v>
      </c>
      <c r="H29451" s="5">
        <v>99.6</v>
      </c>
      <c r="I29451" s="5">
        <v>0</v>
      </c>
      <c r="J29451" s="5">
        <v>0</v>
      </c>
      <c r="K29451" s="5">
        <v>0</v>
      </c>
    </row>
    <row r="29452" spans="1:11" x14ac:dyDescent="0.25">
      <c r="A29452" s="5">
        <f>29445</f>
      </c>
      <c r="B29452" s="5" t="s">
        <v>29460</v>
      </c>
      <c r="C29452" s="5">
        <v>99.8</v>
      </c>
      <c r="D29452" s="5">
        <v>0.1</v>
      </c>
      <c r="E29452" s="5">
        <v>99.9</v>
      </c>
      <c r="F29452" s="5">
        <v>198.6</v>
      </c>
      <c r="G29452" s="5">
        <v>99.1</v>
      </c>
      <c r="H29452" s="5">
        <v>98.9</v>
      </c>
      <c r="I29452" s="5">
        <v>0</v>
      </c>
      <c r="J29452" s="5">
        <v>0</v>
      </c>
      <c r="K29452" s="5">
        <v>0</v>
      </c>
    </row>
    <row r="29453" spans="1:11" x14ac:dyDescent="0.25">
      <c r="A29453" s="5">
        <f>29446</f>
      </c>
      <c r="B29453" s="5" t="s">
        <v>29461</v>
      </c>
      <c r="C29453" s="5">
        <v>99.8</v>
      </c>
      <c r="D29453" s="5">
        <v>0.1</v>
      </c>
      <c r="E29453" s="5">
        <v>99.9</v>
      </c>
      <c r="F29453" s="5">
        <v>198.6</v>
      </c>
      <c r="G29453" s="5">
        <v>99.1</v>
      </c>
      <c r="H29453" s="5">
        <v>98.9</v>
      </c>
      <c r="I29453" s="5">
        <v>0</v>
      </c>
      <c r="J29453" s="5">
        <v>0</v>
      </c>
      <c r="K29453" s="5">
        <v>0</v>
      </c>
    </row>
    <row r="29454" spans="1:11" x14ac:dyDescent="0.25">
      <c r="A29454" s="5">
        <f>29447</f>
      </c>
      <c r="B29454" s="5" t="s">
        <v>29462</v>
      </c>
      <c r="C29454" s="5">
        <v>96</v>
      </c>
      <c r="D29454" s="5">
        <v>0.1</v>
      </c>
      <c r="E29454" s="5">
        <v>96.2</v>
      </c>
      <c r="F29454" s="5">
        <v>192</v>
      </c>
      <c r="G29454" s="5">
        <v>95.7</v>
      </c>
      <c r="H29454" s="5">
        <v>95.5</v>
      </c>
      <c r="I29454" s="5">
        <v>0</v>
      </c>
      <c r="J29454" s="5">
        <v>0</v>
      </c>
      <c r="K29454" s="5">
        <v>0</v>
      </c>
    </row>
    <row r="29455" spans="1:11" x14ac:dyDescent="0.25">
      <c r="A29455" s="5">
        <f>29448</f>
      </c>
      <c r="B29455" s="5" t="s">
        <v>29463</v>
      </c>
      <c r="C29455" s="5">
        <v>96</v>
      </c>
      <c r="D29455" s="5">
        <v>0.1</v>
      </c>
      <c r="E29455" s="5">
        <v>96.2</v>
      </c>
      <c r="F29455" s="5">
        <v>192</v>
      </c>
      <c r="G29455" s="5">
        <v>95.7</v>
      </c>
      <c r="H29455" s="5">
        <v>95.5</v>
      </c>
      <c r="I29455" s="5">
        <v>0</v>
      </c>
      <c r="J29455" s="5">
        <v>0</v>
      </c>
      <c r="K29455" s="5">
        <v>0</v>
      </c>
    </row>
    <row r="29456" spans="1:11" x14ac:dyDescent="0.25">
      <c r="A29456" s="5">
        <f>29449</f>
      </c>
      <c r="B29456" s="5" t="s">
        <v>29464</v>
      </c>
      <c r="C29456" s="5">
        <v>96</v>
      </c>
      <c r="D29456" s="5">
        <v>0.1</v>
      </c>
      <c r="E29456" s="5">
        <v>96.2</v>
      </c>
      <c r="F29456" s="5">
        <v>192</v>
      </c>
      <c r="G29456" s="5">
        <v>95.7</v>
      </c>
      <c r="H29456" s="5">
        <v>95.5</v>
      </c>
      <c r="I29456" s="5">
        <v>0</v>
      </c>
      <c r="J29456" s="5">
        <v>0</v>
      </c>
      <c r="K29456" s="5">
        <v>0</v>
      </c>
    </row>
    <row r="29457" spans="1:11" x14ac:dyDescent="0.25">
      <c r="A29457" s="5">
        <f>29450</f>
      </c>
      <c r="B29457" s="5" t="s">
        <v>29465</v>
      </c>
      <c r="C29457" s="5">
        <v>96</v>
      </c>
      <c r="D29457" s="5">
        <v>0.1</v>
      </c>
      <c r="E29457" s="5">
        <v>96.2</v>
      </c>
      <c r="F29457" s="5">
        <v>192</v>
      </c>
      <c r="G29457" s="5">
        <v>95.7</v>
      </c>
      <c r="H29457" s="5">
        <v>95.5</v>
      </c>
      <c r="I29457" s="5">
        <v>0</v>
      </c>
      <c r="J29457" s="5">
        <v>0</v>
      </c>
      <c r="K29457" s="5">
        <v>0</v>
      </c>
    </row>
    <row r="29458" spans="1:11" x14ac:dyDescent="0.25">
      <c r="A29458" s="5">
        <f>29451</f>
      </c>
      <c r="B29458" s="5" t="s">
        <v>29466</v>
      </c>
      <c r="C29458" s="5">
        <v>96.4</v>
      </c>
      <c r="D29458" s="5">
        <v>0.1</v>
      </c>
      <c r="E29458" s="5">
        <v>96.4</v>
      </c>
      <c r="F29458" s="5">
        <v>200.5</v>
      </c>
      <c r="G29458" s="5">
        <v>100</v>
      </c>
      <c r="H29458" s="5">
        <v>99.9</v>
      </c>
      <c r="I29458" s="5">
        <v>0</v>
      </c>
      <c r="J29458" s="5">
        <v>0</v>
      </c>
      <c r="K29458" s="5">
        <v>0</v>
      </c>
    </row>
    <row r="29459" spans="1:11" x14ac:dyDescent="0.25">
      <c r="A29459" s="5">
        <f>29452</f>
      </c>
      <c r="B29459" s="5" t="s">
        <v>29467</v>
      </c>
      <c r="C29459" s="5">
        <v>96.4</v>
      </c>
      <c r="D29459" s="5">
        <v>0.1</v>
      </c>
      <c r="E29459" s="5">
        <v>96.4</v>
      </c>
      <c r="F29459" s="5">
        <v>200.5</v>
      </c>
      <c r="G29459" s="5">
        <v>100</v>
      </c>
      <c r="H29459" s="5">
        <v>99.9</v>
      </c>
      <c r="I29459" s="5">
        <v>0</v>
      </c>
      <c r="J29459" s="5">
        <v>0</v>
      </c>
      <c r="K29459" s="5">
        <v>0</v>
      </c>
    </row>
    <row r="29460" spans="1:11" x14ac:dyDescent="0.25">
      <c r="A29460" s="5">
        <f>29453</f>
      </c>
      <c r="B29460" s="5" t="s">
        <v>29468</v>
      </c>
      <c r="C29460" s="5">
        <v>95.3</v>
      </c>
      <c r="D29460" s="5">
        <v>0.1</v>
      </c>
      <c r="E29460" s="5">
        <v>95.4</v>
      </c>
      <c r="F29460" s="5">
        <v>196.1</v>
      </c>
      <c r="G29460" s="5">
        <v>97.8</v>
      </c>
      <c r="H29460" s="5">
        <v>97.7</v>
      </c>
      <c r="I29460" s="5">
        <v>0</v>
      </c>
      <c r="J29460" s="5">
        <v>0</v>
      </c>
      <c r="K29460" s="5">
        <v>0</v>
      </c>
    </row>
    <row r="29461" spans="1:11" x14ac:dyDescent="0.25">
      <c r="A29461" s="5">
        <f>29454</f>
      </c>
      <c r="B29461" s="5" t="s">
        <v>29469</v>
      </c>
      <c r="C29461" s="5">
        <v>95.3</v>
      </c>
      <c r="D29461" s="5">
        <v>0.1</v>
      </c>
      <c r="E29461" s="5">
        <v>95.4</v>
      </c>
      <c r="F29461" s="5">
        <v>196.1</v>
      </c>
      <c r="G29461" s="5">
        <v>97.8</v>
      </c>
      <c r="H29461" s="5">
        <v>97.7</v>
      </c>
      <c r="I29461" s="5">
        <v>0</v>
      </c>
      <c r="J29461" s="5">
        <v>0</v>
      </c>
      <c r="K29461" s="5">
        <v>0</v>
      </c>
    </row>
    <row r="29462" spans="1:11" x14ac:dyDescent="0.25">
      <c r="A29462" s="5">
        <f>29455</f>
      </c>
      <c r="B29462" s="5" t="s">
        <v>29470</v>
      </c>
      <c r="C29462" s="5">
        <v>97.3</v>
      </c>
      <c r="D29462" s="5">
        <v>0.1</v>
      </c>
      <c r="E29462" s="5">
        <v>97.4</v>
      </c>
      <c r="F29462" s="5">
        <v>189</v>
      </c>
      <c r="G29462" s="5">
        <v>94.4</v>
      </c>
      <c r="H29462" s="5">
        <v>94.3</v>
      </c>
      <c r="I29462" s="5">
        <v>0</v>
      </c>
      <c r="J29462" s="5">
        <v>0</v>
      </c>
      <c r="K29462" s="5">
        <v>0</v>
      </c>
    </row>
    <row r="29463" spans="1:11" x14ac:dyDescent="0.25">
      <c r="A29463" s="5">
        <f>29456</f>
      </c>
      <c r="B29463" s="5" t="s">
        <v>29471</v>
      </c>
      <c r="C29463" s="5">
        <v>97.3</v>
      </c>
      <c r="D29463" s="5">
        <v>0.1</v>
      </c>
      <c r="E29463" s="5">
        <v>97.4</v>
      </c>
      <c r="F29463" s="5">
        <v>189</v>
      </c>
      <c r="G29463" s="5">
        <v>94.4</v>
      </c>
      <c r="H29463" s="5">
        <v>94.3</v>
      </c>
      <c r="I29463" s="5">
        <v>0</v>
      </c>
      <c r="J29463" s="5">
        <v>0</v>
      </c>
      <c r="K29463" s="5">
        <v>0</v>
      </c>
    </row>
    <row r="29464" spans="1:11" x14ac:dyDescent="0.25">
      <c r="A29464" s="5">
        <f>29457</f>
      </c>
      <c r="B29464" s="5" t="s">
        <v>29472</v>
      </c>
      <c r="C29464" s="5">
        <v>96.7</v>
      </c>
      <c r="D29464" s="5">
        <v>0.1</v>
      </c>
      <c r="E29464" s="5">
        <v>96.8</v>
      </c>
      <c r="F29464" s="5">
        <v>191.8</v>
      </c>
      <c r="G29464" s="5">
        <v>95.7</v>
      </c>
      <c r="H29464" s="5">
        <v>95.5</v>
      </c>
      <c r="I29464" s="5">
        <v>0</v>
      </c>
      <c r="J29464" s="5">
        <v>0</v>
      </c>
      <c r="K29464" s="5">
        <v>0</v>
      </c>
    </row>
    <row r="29465" spans="1:11" x14ac:dyDescent="0.25">
      <c r="A29465" s="5">
        <f>29458</f>
      </c>
      <c r="B29465" s="5" t="s">
        <v>29473</v>
      </c>
      <c r="C29465" s="5">
        <v>96.7</v>
      </c>
      <c r="D29465" s="5">
        <v>0.1</v>
      </c>
      <c r="E29465" s="5">
        <v>96.8</v>
      </c>
      <c r="F29465" s="5">
        <v>191.8</v>
      </c>
      <c r="G29465" s="5">
        <v>95.7</v>
      </c>
      <c r="H29465" s="5">
        <v>95.5</v>
      </c>
      <c r="I29465" s="5">
        <v>0</v>
      </c>
      <c r="J29465" s="5">
        <v>0</v>
      </c>
      <c r="K29465" s="5">
        <v>0</v>
      </c>
    </row>
    <row r="29466" spans="1:11" x14ac:dyDescent="0.25">
      <c r="A29466" s="5">
        <f>29459</f>
      </c>
      <c r="B29466" s="5" t="s">
        <v>29474</v>
      </c>
      <c r="C29466" s="5">
        <v>96.7</v>
      </c>
      <c r="D29466" s="5">
        <v>0.1</v>
      </c>
      <c r="E29466" s="5">
        <v>96.8</v>
      </c>
      <c r="F29466" s="5">
        <v>191.8</v>
      </c>
      <c r="G29466" s="5">
        <v>95.7</v>
      </c>
      <c r="H29466" s="5">
        <v>95.5</v>
      </c>
      <c r="I29466" s="5">
        <v>0</v>
      </c>
      <c r="J29466" s="5">
        <v>0</v>
      </c>
      <c r="K29466" s="5">
        <v>0</v>
      </c>
    </row>
    <row r="29467" spans="1:11" x14ac:dyDescent="0.25">
      <c r="A29467" s="5">
        <f>29460</f>
      </c>
      <c r="B29467" s="5" t="s">
        <v>29475</v>
      </c>
      <c r="C29467" s="5">
        <v>96.7</v>
      </c>
      <c r="D29467" s="5">
        <v>0.1</v>
      </c>
      <c r="E29467" s="5">
        <v>96.8</v>
      </c>
      <c r="F29467" s="5">
        <v>191.8</v>
      </c>
      <c r="G29467" s="5">
        <v>95.7</v>
      </c>
      <c r="H29467" s="5">
        <v>95.5</v>
      </c>
      <c r="I29467" s="5">
        <v>0</v>
      </c>
      <c r="J29467" s="5">
        <v>0</v>
      </c>
      <c r="K29467" s="5">
        <v>0</v>
      </c>
    </row>
    <row r="29468" spans="1:11" x14ac:dyDescent="0.25">
      <c r="A29468" s="5">
        <f>29461</f>
      </c>
      <c r="B29468" s="5" t="s">
        <v>29476</v>
      </c>
      <c r="C29468" s="5">
        <v>102.1</v>
      </c>
      <c r="D29468" s="5">
        <v>0.1</v>
      </c>
      <c r="E29468" s="5">
        <v>102.3</v>
      </c>
      <c r="F29468" s="5">
        <v>198</v>
      </c>
      <c r="G29468" s="5">
        <v>99</v>
      </c>
      <c r="H29468" s="5">
        <v>99.2</v>
      </c>
      <c r="I29468" s="5">
        <v>0</v>
      </c>
      <c r="J29468" s="5">
        <v>0</v>
      </c>
      <c r="K29468" s="5">
        <v>0</v>
      </c>
    </row>
    <row r="29469" spans="1:11" x14ac:dyDescent="0.25">
      <c r="A29469" s="5">
        <f>29462</f>
      </c>
      <c r="B29469" s="5" t="s">
        <v>29477</v>
      </c>
      <c r="C29469" s="5">
        <v>102.1</v>
      </c>
      <c r="D29469" s="5">
        <v>0.1</v>
      </c>
      <c r="E29469" s="5">
        <v>102.3</v>
      </c>
      <c r="F29469" s="5">
        <v>198</v>
      </c>
      <c r="G29469" s="5">
        <v>99</v>
      </c>
      <c r="H29469" s="5">
        <v>99.2</v>
      </c>
      <c r="I29469" s="5">
        <v>0</v>
      </c>
      <c r="J29469" s="5">
        <v>0</v>
      </c>
      <c r="K29469" s="5">
        <v>0</v>
      </c>
    </row>
    <row r="29470" spans="1:11" x14ac:dyDescent="0.25">
      <c r="A29470" s="5">
        <f>29463</f>
      </c>
      <c r="B29470" s="5" t="s">
        <v>29478</v>
      </c>
      <c r="C29470" s="5">
        <v>96.7</v>
      </c>
      <c r="D29470" s="5">
        <v>0.1</v>
      </c>
      <c r="E29470" s="5">
        <v>96.7</v>
      </c>
      <c r="F29470" s="5">
        <v>193.1</v>
      </c>
      <c r="G29470" s="5">
        <v>96.3</v>
      </c>
      <c r="H29470" s="5">
        <v>96.2</v>
      </c>
      <c r="I29470" s="5">
        <v>0</v>
      </c>
      <c r="J29470" s="5">
        <v>0</v>
      </c>
      <c r="K29470" s="5">
        <v>0</v>
      </c>
    </row>
    <row r="29471" spans="1:11" x14ac:dyDescent="0.25">
      <c r="A29471" s="5">
        <f>29464</f>
      </c>
      <c r="B29471" s="5" t="s">
        <v>29479</v>
      </c>
      <c r="C29471" s="5">
        <v>96.7</v>
      </c>
      <c r="D29471" s="5">
        <v>0.1</v>
      </c>
      <c r="E29471" s="5">
        <v>96.7</v>
      </c>
      <c r="F29471" s="5">
        <v>193.1</v>
      </c>
      <c r="G29471" s="5">
        <v>96.3</v>
      </c>
      <c r="H29471" s="5">
        <v>96.2</v>
      </c>
      <c r="I29471" s="5">
        <v>0</v>
      </c>
      <c r="J29471" s="5">
        <v>0</v>
      </c>
      <c r="K29471" s="5">
        <v>0</v>
      </c>
    </row>
    <row r="29472" spans="1:11" x14ac:dyDescent="0.25">
      <c r="A29472" s="5">
        <f>29465</f>
      </c>
      <c r="B29472" s="5" t="s">
        <v>29480</v>
      </c>
      <c r="C29472" s="5">
        <v>100.8</v>
      </c>
      <c r="D29472" s="5">
        <v>0.1</v>
      </c>
      <c r="E29472" s="5">
        <v>101</v>
      </c>
      <c r="F29472" s="5">
        <v>193.6</v>
      </c>
      <c r="G29472" s="5">
        <v>96.8</v>
      </c>
      <c r="H29472" s="5">
        <v>97</v>
      </c>
      <c r="I29472" s="5">
        <v>0</v>
      </c>
      <c r="J29472" s="5">
        <v>0</v>
      </c>
      <c r="K29472" s="5">
        <v>0</v>
      </c>
    </row>
    <row r="29473" spans="1:11" x14ac:dyDescent="0.25">
      <c r="A29473" s="5">
        <f>29466</f>
      </c>
      <c r="B29473" s="5" t="s">
        <v>29481</v>
      </c>
      <c r="C29473" s="5">
        <v>100.8</v>
      </c>
      <c r="D29473" s="5">
        <v>0.1</v>
      </c>
      <c r="E29473" s="5">
        <v>101</v>
      </c>
      <c r="F29473" s="5">
        <v>193.6</v>
      </c>
      <c r="G29473" s="5">
        <v>96.8</v>
      </c>
      <c r="H29473" s="5">
        <v>97</v>
      </c>
      <c r="I29473" s="5">
        <v>0</v>
      </c>
      <c r="J29473" s="5">
        <v>0</v>
      </c>
      <c r="K29473" s="5">
        <v>0</v>
      </c>
    </row>
    <row r="29474" spans="1:11" x14ac:dyDescent="0.25">
      <c r="A29474" s="5">
        <f>29467</f>
      </c>
      <c r="B29474" s="5" t="s">
        <v>29482</v>
      </c>
      <c r="C29474" s="5">
        <v>102.8</v>
      </c>
      <c r="D29474" s="5">
        <v>0.1</v>
      </c>
      <c r="E29474" s="5">
        <v>103</v>
      </c>
      <c r="F29474" s="5">
        <v>204.3</v>
      </c>
      <c r="G29474" s="5">
        <v>102</v>
      </c>
      <c r="H29474" s="5">
        <v>101.9</v>
      </c>
      <c r="I29474" s="5">
        <v>0</v>
      </c>
      <c r="J29474" s="5">
        <v>0</v>
      </c>
      <c r="K29474" s="5">
        <v>0</v>
      </c>
    </row>
    <row r="29475" spans="1:11" x14ac:dyDescent="0.25">
      <c r="A29475" s="5">
        <f>29468</f>
      </c>
      <c r="B29475" s="5" t="s">
        <v>29483</v>
      </c>
      <c r="C29475" s="5">
        <v>102.8</v>
      </c>
      <c r="D29475" s="5">
        <v>0.1</v>
      </c>
      <c r="E29475" s="5">
        <v>103</v>
      </c>
      <c r="F29475" s="5">
        <v>204.3</v>
      </c>
      <c r="G29475" s="5">
        <v>102</v>
      </c>
      <c r="H29475" s="5">
        <v>101.9</v>
      </c>
      <c r="I29475" s="5">
        <v>0</v>
      </c>
      <c r="J29475" s="5">
        <v>0</v>
      </c>
      <c r="K29475" s="5">
        <v>0</v>
      </c>
    </row>
    <row r="29476" spans="1:11" x14ac:dyDescent="0.25">
      <c r="A29476" s="5">
        <f>29469</f>
      </c>
      <c r="B29476" s="5" t="s">
        <v>29484</v>
      </c>
      <c r="C29476" s="5">
        <v>102.8</v>
      </c>
      <c r="D29476" s="5">
        <v>0.1</v>
      </c>
      <c r="E29476" s="5">
        <v>103</v>
      </c>
      <c r="F29476" s="5">
        <v>204.3</v>
      </c>
      <c r="G29476" s="5">
        <v>102</v>
      </c>
      <c r="H29476" s="5">
        <v>101.9</v>
      </c>
      <c r="I29476" s="5">
        <v>0</v>
      </c>
      <c r="J29476" s="5">
        <v>0</v>
      </c>
      <c r="K29476" s="5">
        <v>0</v>
      </c>
    </row>
    <row r="29477" spans="1:11" x14ac:dyDescent="0.25">
      <c r="A29477" s="5">
        <f>29470</f>
      </c>
      <c r="B29477" s="5" t="s">
        <v>29485</v>
      </c>
      <c r="C29477" s="5">
        <v>102.7</v>
      </c>
      <c r="D29477" s="5">
        <v>0.1</v>
      </c>
      <c r="E29477" s="5">
        <v>102.9</v>
      </c>
      <c r="F29477" s="5">
        <v>205.1</v>
      </c>
      <c r="G29477" s="5">
        <v>102</v>
      </c>
      <c r="H29477" s="5">
        <v>101.9</v>
      </c>
      <c r="I29477" s="5">
        <v>0</v>
      </c>
      <c r="J29477" s="5">
        <v>0</v>
      </c>
      <c r="K29477" s="5">
        <v>0</v>
      </c>
    </row>
    <row r="29478" spans="1:11" x14ac:dyDescent="0.25">
      <c r="A29478" s="5">
        <f>29471</f>
      </c>
      <c r="B29478" s="5" t="s">
        <v>29486</v>
      </c>
      <c r="C29478" s="5">
        <v>102.7</v>
      </c>
      <c r="D29478" s="5">
        <v>0.1</v>
      </c>
      <c r="E29478" s="5">
        <v>102.9</v>
      </c>
      <c r="F29478" s="5">
        <v>205.1</v>
      </c>
      <c r="G29478" s="5">
        <v>102.4</v>
      </c>
      <c r="H29478" s="5">
        <v>102.3</v>
      </c>
      <c r="I29478" s="5">
        <v>0</v>
      </c>
      <c r="J29478" s="5">
        <v>0</v>
      </c>
      <c r="K29478" s="5">
        <v>0</v>
      </c>
    </row>
    <row r="29479" spans="1:11" x14ac:dyDescent="0.25">
      <c r="A29479" s="5">
        <f>29472</f>
      </c>
      <c r="B29479" s="5" t="s">
        <v>29487</v>
      </c>
      <c r="C29479" s="5">
        <v>102.6</v>
      </c>
      <c r="D29479" s="5">
        <v>0.1</v>
      </c>
      <c r="E29479" s="5">
        <v>102.9</v>
      </c>
      <c r="F29479" s="5">
        <v>205.1</v>
      </c>
      <c r="G29479" s="5">
        <v>102.4</v>
      </c>
      <c r="H29479" s="5">
        <v>102.3</v>
      </c>
      <c r="I29479" s="5">
        <v>0</v>
      </c>
      <c r="J29479" s="5">
        <v>0</v>
      </c>
      <c r="K29479" s="5">
        <v>0</v>
      </c>
    </row>
    <row r="29480" spans="1:11" x14ac:dyDescent="0.25">
      <c r="A29480" s="5">
        <f>29473</f>
      </c>
      <c r="B29480" s="5" t="s">
        <v>29488</v>
      </c>
      <c r="C29480" s="5">
        <v>102.6</v>
      </c>
      <c r="D29480" s="5">
        <v>0.1</v>
      </c>
      <c r="E29480" s="5">
        <v>102.7</v>
      </c>
      <c r="F29480" s="5">
        <v>204</v>
      </c>
      <c r="G29480" s="5">
        <v>101.8</v>
      </c>
      <c r="H29480" s="5">
        <v>101.7</v>
      </c>
      <c r="I29480" s="5">
        <v>0</v>
      </c>
      <c r="J29480" s="5">
        <v>0</v>
      </c>
      <c r="K29480" s="5">
        <v>0</v>
      </c>
    </row>
    <row r="29481" spans="1:11" x14ac:dyDescent="0.25">
      <c r="A29481" s="5">
        <f>29474</f>
      </c>
      <c r="B29481" s="5" t="s">
        <v>29489</v>
      </c>
      <c r="C29481" s="5">
        <v>102.6</v>
      </c>
      <c r="D29481" s="5">
        <v>0.1</v>
      </c>
      <c r="E29481" s="5">
        <v>102.7</v>
      </c>
      <c r="F29481" s="5">
        <v>204</v>
      </c>
      <c r="G29481" s="5">
        <v>101.8</v>
      </c>
      <c r="H29481" s="5">
        <v>101.7</v>
      </c>
      <c r="I29481" s="5">
        <v>0</v>
      </c>
      <c r="J29481" s="5">
        <v>0</v>
      </c>
      <c r="K29481" s="5">
        <v>0</v>
      </c>
    </row>
    <row r="29482" spans="1:11" x14ac:dyDescent="0.25">
      <c r="A29482" s="5">
        <f>29475</f>
      </c>
      <c r="B29482" s="5" t="s">
        <v>29490</v>
      </c>
      <c r="C29482" s="5">
        <v>98</v>
      </c>
      <c r="D29482" s="5">
        <v>0.1</v>
      </c>
      <c r="E29482" s="5">
        <v>98.1</v>
      </c>
      <c r="F29482" s="5">
        <v>197.4</v>
      </c>
      <c r="G29482" s="5">
        <v>98.3</v>
      </c>
      <c r="H29482" s="5">
        <v>98.1</v>
      </c>
      <c r="I29482" s="5">
        <v>0</v>
      </c>
      <c r="J29482" s="5">
        <v>0</v>
      </c>
      <c r="K29482" s="5">
        <v>0</v>
      </c>
    </row>
    <row r="29483" spans="1:11" x14ac:dyDescent="0.25">
      <c r="A29483" s="5">
        <f>29476</f>
      </c>
      <c r="B29483" s="5" t="s">
        <v>29491</v>
      </c>
      <c r="C29483" s="5">
        <v>98</v>
      </c>
      <c r="D29483" s="5">
        <v>0.1</v>
      </c>
      <c r="E29483" s="5">
        <v>98.1</v>
      </c>
      <c r="F29483" s="5">
        <v>197.4</v>
      </c>
      <c r="G29483" s="5">
        <v>98.3</v>
      </c>
      <c r="H29483" s="5">
        <v>98.1</v>
      </c>
      <c r="I29483" s="5">
        <v>0</v>
      </c>
      <c r="J29483" s="5">
        <v>0</v>
      </c>
      <c r="K29483" s="5">
        <v>0</v>
      </c>
    </row>
    <row r="29484" spans="1:11" x14ac:dyDescent="0.25">
      <c r="A29484" s="5">
        <f>29477</f>
      </c>
      <c r="B29484" s="5" t="s">
        <v>29492</v>
      </c>
      <c r="C29484" s="5">
        <v>97.4</v>
      </c>
      <c r="D29484" s="5">
        <v>0.1</v>
      </c>
      <c r="E29484" s="5">
        <v>97.5</v>
      </c>
      <c r="F29484" s="5">
        <v>194.7</v>
      </c>
      <c r="G29484" s="5">
        <v>97.2</v>
      </c>
      <c r="H29484" s="5">
        <v>97.1</v>
      </c>
      <c r="I29484" s="5">
        <v>0</v>
      </c>
      <c r="J29484" s="5">
        <v>0</v>
      </c>
      <c r="K29484" s="5">
        <v>0</v>
      </c>
    </row>
    <row r="29485" spans="1:11" x14ac:dyDescent="0.25">
      <c r="A29485" s="5">
        <f>29478</f>
      </c>
      <c r="B29485" s="5" t="s">
        <v>29493</v>
      </c>
      <c r="C29485" s="5">
        <v>97.4</v>
      </c>
      <c r="D29485" s="5">
        <v>0.1</v>
      </c>
      <c r="E29485" s="5">
        <v>97.5</v>
      </c>
      <c r="F29485" s="5">
        <v>194.7</v>
      </c>
      <c r="G29485" s="5">
        <v>97.2</v>
      </c>
      <c r="H29485" s="5">
        <v>97.1</v>
      </c>
      <c r="I29485" s="5">
        <v>0</v>
      </c>
      <c r="J29485" s="5">
        <v>0</v>
      </c>
      <c r="K29485" s="5">
        <v>0</v>
      </c>
    </row>
    <row r="29486" spans="1:11" x14ac:dyDescent="0.25">
      <c r="A29486" s="5">
        <f>29479</f>
      </c>
      <c r="B29486" s="5" t="s">
        <v>29494</v>
      </c>
      <c r="C29486" s="5">
        <v>97.4</v>
      </c>
      <c r="D29486" s="5">
        <v>0.1</v>
      </c>
      <c r="E29486" s="5">
        <v>97.5</v>
      </c>
      <c r="F29486" s="5">
        <v>194.7</v>
      </c>
      <c r="G29486" s="5">
        <v>97.2</v>
      </c>
      <c r="H29486" s="5">
        <v>97.1</v>
      </c>
      <c r="I29486" s="5">
        <v>0</v>
      </c>
      <c r="J29486" s="5">
        <v>0</v>
      </c>
      <c r="K29486" s="5">
        <v>0</v>
      </c>
    </row>
    <row r="29487" spans="1:11" x14ac:dyDescent="0.25">
      <c r="A29487" s="5">
        <f>29480</f>
      </c>
      <c r="B29487" s="5" t="s">
        <v>29495</v>
      </c>
      <c r="C29487" s="5">
        <v>97.4</v>
      </c>
      <c r="D29487" s="5">
        <v>0.1</v>
      </c>
      <c r="E29487" s="5">
        <v>97.5</v>
      </c>
      <c r="F29487" s="5">
        <v>194.7</v>
      </c>
      <c r="G29487" s="5">
        <v>97.2</v>
      </c>
      <c r="H29487" s="5">
        <v>97.1</v>
      </c>
      <c r="I29487" s="5">
        <v>0</v>
      </c>
      <c r="J29487" s="5">
        <v>0</v>
      </c>
      <c r="K29487" s="5">
        <v>0</v>
      </c>
    </row>
    <row r="29488" spans="1:11" x14ac:dyDescent="0.25">
      <c r="A29488" s="5">
        <f>29481</f>
      </c>
      <c r="B29488" s="5" t="s">
        <v>29496</v>
      </c>
      <c r="C29488" s="5">
        <v>97.3</v>
      </c>
      <c r="D29488" s="5">
        <v>0.1</v>
      </c>
      <c r="E29488" s="5">
        <v>97.3</v>
      </c>
      <c r="F29488" s="5">
        <v>197.4</v>
      </c>
      <c r="G29488" s="5">
        <v>98.4</v>
      </c>
      <c r="H29488" s="5">
        <v>98.2</v>
      </c>
      <c r="I29488" s="5">
        <v>0</v>
      </c>
      <c r="J29488" s="5">
        <v>0</v>
      </c>
      <c r="K29488" s="5">
        <v>0</v>
      </c>
    </row>
    <row r="29489" spans="1:11" x14ac:dyDescent="0.25">
      <c r="A29489" s="5">
        <f>29482</f>
      </c>
      <c r="B29489" s="5" t="s">
        <v>29497</v>
      </c>
      <c r="C29489" s="5">
        <v>97.3</v>
      </c>
      <c r="D29489" s="5">
        <v>0.1</v>
      </c>
      <c r="E29489" s="5">
        <v>97.3</v>
      </c>
      <c r="F29489" s="5">
        <v>197.4</v>
      </c>
      <c r="G29489" s="5">
        <v>98.4</v>
      </c>
      <c r="H29489" s="5">
        <v>98.2</v>
      </c>
      <c r="I29489" s="5">
        <v>0</v>
      </c>
      <c r="J29489" s="5">
        <v>0</v>
      </c>
      <c r="K29489" s="5">
        <v>0</v>
      </c>
    </row>
    <row r="29490" spans="1:11" x14ac:dyDescent="0.25">
      <c r="A29490" s="5">
        <f>29483</f>
      </c>
      <c r="B29490" s="5" t="s">
        <v>29498</v>
      </c>
      <c r="C29490" s="5">
        <v>102.6</v>
      </c>
      <c r="D29490" s="5">
        <v>0.1</v>
      </c>
      <c r="E29490" s="5">
        <v>102.7</v>
      </c>
      <c r="F29490" s="5">
        <v>204.1</v>
      </c>
      <c r="G29490" s="5">
        <v>101.9</v>
      </c>
      <c r="H29490" s="5">
        <v>101.8</v>
      </c>
      <c r="I29490" s="5">
        <v>0</v>
      </c>
      <c r="J29490" s="5">
        <v>0</v>
      </c>
      <c r="K29490" s="5">
        <v>0</v>
      </c>
    </row>
    <row r="29491" spans="1:11" x14ac:dyDescent="0.25">
      <c r="A29491" s="5">
        <f>29484</f>
      </c>
      <c r="B29491" s="5" t="s">
        <v>29499</v>
      </c>
      <c r="C29491" s="5">
        <v>102.6</v>
      </c>
      <c r="D29491" s="5">
        <v>0.1</v>
      </c>
      <c r="E29491" s="5">
        <v>102.7</v>
      </c>
      <c r="F29491" s="5">
        <v>204.1</v>
      </c>
      <c r="G29491" s="5">
        <v>101.9</v>
      </c>
      <c r="H29491" s="5">
        <v>101.8</v>
      </c>
      <c r="I29491" s="5">
        <v>0</v>
      </c>
      <c r="J29491" s="5">
        <v>0</v>
      </c>
      <c r="K29491" s="5">
        <v>0</v>
      </c>
    </row>
    <row r="29492" spans="1:11" x14ac:dyDescent="0.25">
      <c r="A29492" s="5">
        <f>29485</f>
      </c>
      <c r="B29492" s="5" t="s">
        <v>29500</v>
      </c>
      <c r="C29492" s="5">
        <v>97.3</v>
      </c>
      <c r="D29492" s="5">
        <v>0.1</v>
      </c>
      <c r="E29492" s="5">
        <v>97.3</v>
      </c>
      <c r="F29492" s="5">
        <v>194</v>
      </c>
      <c r="G29492" s="5">
        <v>96.8</v>
      </c>
      <c r="H29492" s="5">
        <v>96.7</v>
      </c>
      <c r="I29492" s="5">
        <v>0</v>
      </c>
      <c r="J29492" s="5">
        <v>0</v>
      </c>
      <c r="K29492" s="5">
        <v>0</v>
      </c>
    </row>
    <row r="29493" spans="1:11" x14ac:dyDescent="0.25">
      <c r="A29493" s="5">
        <f>29486</f>
      </c>
      <c r="B29493" s="5" t="s">
        <v>29501</v>
      </c>
      <c r="C29493" s="5">
        <v>97.3</v>
      </c>
      <c r="D29493" s="5">
        <v>0.1</v>
      </c>
      <c r="E29493" s="5">
        <v>97.3</v>
      </c>
      <c r="F29493" s="5">
        <v>194</v>
      </c>
      <c r="G29493" s="5">
        <v>96.8</v>
      </c>
      <c r="H29493" s="5">
        <v>96.7</v>
      </c>
      <c r="I29493" s="5">
        <v>0</v>
      </c>
      <c r="J29493" s="5">
        <v>0</v>
      </c>
      <c r="K29493" s="5">
        <v>0</v>
      </c>
    </row>
    <row r="29494" spans="1:11" x14ac:dyDescent="0.25">
      <c r="A29494" s="5">
        <f>29487</f>
      </c>
      <c r="B29494" s="5" t="s">
        <v>29502</v>
      </c>
      <c r="C29494" s="5">
        <v>102.9</v>
      </c>
      <c r="D29494" s="5">
        <v>0.1</v>
      </c>
      <c r="E29494" s="5">
        <v>103.1</v>
      </c>
      <c r="F29494" s="5">
        <v>204.9</v>
      </c>
      <c r="G29494" s="5">
        <v>102.3</v>
      </c>
      <c r="H29494" s="5">
        <v>102.2</v>
      </c>
      <c r="I29494" s="5">
        <v>0</v>
      </c>
      <c r="J29494" s="5">
        <v>0</v>
      </c>
      <c r="K29494" s="5">
        <v>0</v>
      </c>
    </row>
    <row r="29495" spans="1:11" x14ac:dyDescent="0.25">
      <c r="A29495" s="5">
        <f>29488</f>
      </c>
      <c r="B29495" s="5" t="s">
        <v>29503</v>
      </c>
      <c r="C29495" s="5">
        <v>102.9</v>
      </c>
      <c r="D29495" s="5">
        <v>0.1</v>
      </c>
      <c r="E29495" s="5">
        <v>103.1</v>
      </c>
      <c r="F29495" s="5">
        <v>204.9</v>
      </c>
      <c r="G29495" s="5">
        <v>102.3</v>
      </c>
      <c r="H29495" s="5">
        <v>102.2</v>
      </c>
      <c r="I29495" s="5">
        <v>0</v>
      </c>
      <c r="J29495" s="5">
        <v>0</v>
      </c>
      <c r="K29495" s="5">
        <v>0</v>
      </c>
    </row>
    <row r="29496" spans="1:11" x14ac:dyDescent="0.25">
      <c r="A29496" s="5">
        <f>29489</f>
      </c>
      <c r="B29496" s="5" t="s">
        <v>29504</v>
      </c>
      <c r="C29496" s="5">
        <v>102.9</v>
      </c>
      <c r="D29496" s="5">
        <v>0.1</v>
      </c>
      <c r="E29496" s="5">
        <v>103.1</v>
      </c>
      <c r="F29496" s="5">
        <v>204.9</v>
      </c>
      <c r="G29496" s="5">
        <v>102.3</v>
      </c>
      <c r="H29496" s="5">
        <v>102.2</v>
      </c>
      <c r="I29496" s="5">
        <v>0</v>
      </c>
      <c r="J29496" s="5">
        <v>0</v>
      </c>
      <c r="K29496" s="5">
        <v>0</v>
      </c>
    </row>
    <row r="29497" spans="1:11" x14ac:dyDescent="0.25">
      <c r="A29497" s="5">
        <f>29490</f>
      </c>
      <c r="B29497" s="5" t="s">
        <v>29505</v>
      </c>
      <c r="C29497" s="5">
        <v>102.9</v>
      </c>
      <c r="D29497" s="5">
        <v>0.1</v>
      </c>
      <c r="E29497" s="5">
        <v>103.1</v>
      </c>
      <c r="F29497" s="5">
        <v>204.9</v>
      </c>
      <c r="G29497" s="5">
        <v>102.3</v>
      </c>
      <c r="H29497" s="5">
        <v>102.2</v>
      </c>
      <c r="I29497" s="5">
        <v>0</v>
      </c>
      <c r="J29497" s="5">
        <v>0</v>
      </c>
      <c r="K29497" s="5">
        <v>0</v>
      </c>
    </row>
    <row r="29498" spans="1:11" x14ac:dyDescent="0.25">
      <c r="A29498" s="5">
        <f>29491</f>
      </c>
      <c r="B29498" s="5" t="s">
        <v>29506</v>
      </c>
      <c r="C29498" s="5">
        <v>96.9</v>
      </c>
      <c r="D29498" s="5">
        <v>0.1</v>
      </c>
      <c r="E29498" s="5">
        <v>97</v>
      </c>
      <c r="F29498" s="5">
        <v>194.6</v>
      </c>
      <c r="G29498" s="5">
        <v>97.1</v>
      </c>
      <c r="H29498" s="5">
        <v>96.9</v>
      </c>
      <c r="I29498" s="5">
        <v>0</v>
      </c>
      <c r="J29498" s="5">
        <v>0</v>
      </c>
      <c r="K29498" s="5">
        <v>0</v>
      </c>
    </row>
    <row r="29499" spans="1:11" x14ac:dyDescent="0.25">
      <c r="A29499" s="5">
        <f>29492</f>
      </c>
      <c r="B29499" s="5" t="s">
        <v>29507</v>
      </c>
      <c r="C29499" s="5">
        <v>96.9</v>
      </c>
      <c r="D29499" s="5">
        <v>0.1</v>
      </c>
      <c r="E29499" s="5">
        <v>97</v>
      </c>
      <c r="F29499" s="5">
        <v>194.6</v>
      </c>
      <c r="G29499" s="5">
        <v>97.1</v>
      </c>
      <c r="H29499" s="5">
        <v>96.9</v>
      </c>
      <c r="I29499" s="5">
        <v>0</v>
      </c>
      <c r="J29499" s="5">
        <v>0</v>
      </c>
      <c r="K29499" s="5">
        <v>0</v>
      </c>
    </row>
    <row r="29500" spans="1:11" x14ac:dyDescent="0.25">
      <c r="A29500" s="5">
        <f>29493</f>
      </c>
      <c r="B29500" s="5" t="s">
        <v>29508</v>
      </c>
      <c r="C29500" s="5">
        <v>97.3</v>
      </c>
      <c r="D29500" s="5">
        <v>0.1</v>
      </c>
      <c r="E29500" s="5">
        <v>97.4</v>
      </c>
      <c r="F29500" s="5">
        <v>194.2</v>
      </c>
      <c r="G29500" s="5">
        <v>96.9</v>
      </c>
      <c r="H29500" s="5">
        <v>96.7</v>
      </c>
      <c r="I29500" s="5">
        <v>0</v>
      </c>
      <c r="J29500" s="5">
        <v>0</v>
      </c>
      <c r="K29500" s="5">
        <v>0</v>
      </c>
    </row>
    <row r="29501" spans="1:11" x14ac:dyDescent="0.25">
      <c r="A29501" s="5">
        <f>29494</f>
      </c>
      <c r="B29501" s="5" t="s">
        <v>29509</v>
      </c>
      <c r="C29501" s="5">
        <v>97.3</v>
      </c>
      <c r="D29501" s="5">
        <v>0.1</v>
      </c>
      <c r="E29501" s="5">
        <v>97.4</v>
      </c>
      <c r="F29501" s="5">
        <v>194.2</v>
      </c>
      <c r="G29501" s="5">
        <v>96.9</v>
      </c>
      <c r="H29501" s="5">
        <v>96.7</v>
      </c>
      <c r="I29501" s="5">
        <v>0</v>
      </c>
      <c r="J29501" s="5">
        <v>0</v>
      </c>
      <c r="K29501" s="5">
        <v>0</v>
      </c>
    </row>
    <row r="29502" spans="1:11" x14ac:dyDescent="0.25">
      <c r="A29502" s="5">
        <f>29495</f>
      </c>
      <c r="B29502" s="5" t="s">
        <v>29510</v>
      </c>
      <c r="C29502" s="5">
        <v>97</v>
      </c>
      <c r="D29502" s="5">
        <v>0.1</v>
      </c>
      <c r="E29502" s="5">
        <v>97.1</v>
      </c>
      <c r="F29502" s="5">
        <v>193.5</v>
      </c>
      <c r="G29502" s="5">
        <v>96.5</v>
      </c>
      <c r="H29502" s="5">
        <v>96.3</v>
      </c>
      <c r="I29502" s="5">
        <v>0</v>
      </c>
      <c r="J29502" s="5">
        <v>0</v>
      </c>
      <c r="K29502" s="5">
        <v>0</v>
      </c>
    </row>
    <row r="29503" spans="1:11" x14ac:dyDescent="0.25">
      <c r="A29503" s="5">
        <f>29496</f>
      </c>
      <c r="B29503" s="5" t="s">
        <v>29511</v>
      </c>
      <c r="C29503" s="5">
        <v>97</v>
      </c>
      <c r="D29503" s="5">
        <v>0.1</v>
      </c>
      <c r="E29503" s="5">
        <v>97.1</v>
      </c>
      <c r="F29503" s="5">
        <v>193.5</v>
      </c>
      <c r="G29503" s="5">
        <v>96.5</v>
      </c>
      <c r="H29503" s="5">
        <v>96.3</v>
      </c>
      <c r="I29503" s="5">
        <v>0</v>
      </c>
      <c r="J29503" s="5">
        <v>0</v>
      </c>
      <c r="K29503" s="5">
        <v>0</v>
      </c>
    </row>
    <row r="29504" spans="1:11" x14ac:dyDescent="0.25">
      <c r="A29504" s="5">
        <f>29497</f>
      </c>
      <c r="B29504" s="5" t="s">
        <v>29512</v>
      </c>
      <c r="C29504" s="5">
        <v>98.5</v>
      </c>
      <c r="D29504" s="5">
        <v>0.1</v>
      </c>
      <c r="E29504" s="5">
        <v>98.6</v>
      </c>
      <c r="F29504" s="5">
        <v>195.4</v>
      </c>
      <c r="G29504" s="5">
        <v>97.5</v>
      </c>
      <c r="H29504" s="5">
        <v>97.3</v>
      </c>
      <c r="I29504" s="5">
        <v>0</v>
      </c>
      <c r="J29504" s="5">
        <v>0</v>
      </c>
      <c r="K29504" s="5">
        <v>0</v>
      </c>
    </row>
    <row r="29505" spans="1:11" x14ac:dyDescent="0.25">
      <c r="A29505" s="5">
        <f>29498</f>
      </c>
      <c r="B29505" s="5" t="s">
        <v>29513</v>
      </c>
      <c r="C29505" s="5">
        <v>98.5</v>
      </c>
      <c r="D29505" s="5">
        <v>0.1</v>
      </c>
      <c r="E29505" s="5">
        <v>98.6</v>
      </c>
      <c r="F29505" s="5">
        <v>195.4</v>
      </c>
      <c r="G29505" s="5">
        <v>97.5</v>
      </c>
      <c r="H29505" s="5">
        <v>97.3</v>
      </c>
      <c r="I29505" s="5">
        <v>0</v>
      </c>
      <c r="J29505" s="5">
        <v>0</v>
      </c>
      <c r="K29505" s="5">
        <v>0</v>
      </c>
    </row>
    <row r="29506" spans="1:11" x14ac:dyDescent="0.25">
      <c r="A29506" s="5">
        <f>29499</f>
      </c>
      <c r="B29506" s="5" t="s">
        <v>29514</v>
      </c>
      <c r="C29506" s="5">
        <v>98.5</v>
      </c>
      <c r="D29506" s="5">
        <v>0.1</v>
      </c>
      <c r="E29506" s="5">
        <v>98.6</v>
      </c>
      <c r="F29506" s="5">
        <v>195.4</v>
      </c>
      <c r="G29506" s="5">
        <v>97.5</v>
      </c>
      <c r="H29506" s="5">
        <v>97.3</v>
      </c>
      <c r="I29506" s="5">
        <v>0</v>
      </c>
      <c r="J29506" s="5">
        <v>0</v>
      </c>
      <c r="K29506" s="5">
        <v>0</v>
      </c>
    </row>
    <row r="29507" spans="1:11" x14ac:dyDescent="0.25">
      <c r="A29507" s="5">
        <f>29500</f>
      </c>
      <c r="B29507" s="5" t="s">
        <v>29515</v>
      </c>
      <c r="C29507" s="5">
        <v>97.9</v>
      </c>
      <c r="D29507" s="5">
        <v>0.1</v>
      </c>
      <c r="E29507" s="5">
        <v>98</v>
      </c>
      <c r="F29507" s="5">
        <v>195.6</v>
      </c>
      <c r="G29507" s="5">
        <v>97.6</v>
      </c>
      <c r="H29507" s="5">
        <v>97.4</v>
      </c>
      <c r="I29507" s="5">
        <v>0</v>
      </c>
      <c r="J29507" s="5">
        <v>0</v>
      </c>
      <c r="K29507" s="5">
        <v>0</v>
      </c>
    </row>
    <row r="29508" spans="1:11" x14ac:dyDescent="0.25">
      <c r="A29508" s="5">
        <f>29501</f>
      </c>
      <c r="B29508" s="5" t="s">
        <v>29516</v>
      </c>
      <c r="C29508" s="5">
        <v>97.9</v>
      </c>
      <c r="D29508" s="5">
        <v>0.1</v>
      </c>
      <c r="E29508" s="5">
        <v>98</v>
      </c>
      <c r="F29508" s="5">
        <v>195.6</v>
      </c>
      <c r="G29508" s="5">
        <v>97.6</v>
      </c>
      <c r="H29508" s="5">
        <v>97.4</v>
      </c>
      <c r="I29508" s="5">
        <v>0</v>
      </c>
      <c r="J29508" s="5">
        <v>0</v>
      </c>
      <c r="K29508" s="5">
        <v>0</v>
      </c>
    </row>
    <row r="29509" spans="1:11" x14ac:dyDescent="0.25">
      <c r="A29509" s="5">
        <f>29502</f>
      </c>
      <c r="B29509" s="5" t="s">
        <v>29517</v>
      </c>
      <c r="C29509" s="5">
        <v>98.5</v>
      </c>
      <c r="D29509" s="5">
        <v>0.1</v>
      </c>
      <c r="E29509" s="5">
        <v>98.6</v>
      </c>
      <c r="F29509" s="5">
        <v>194.2</v>
      </c>
      <c r="G29509" s="5">
        <v>97</v>
      </c>
      <c r="H29509" s="5">
        <v>96.9</v>
      </c>
      <c r="I29509" s="5">
        <v>0</v>
      </c>
      <c r="J29509" s="5">
        <v>0</v>
      </c>
      <c r="K29509" s="5">
        <v>0</v>
      </c>
    </row>
    <row r="29510" spans="1:11" x14ac:dyDescent="0.25">
      <c r="A29510" s="5">
        <f>29503</f>
      </c>
      <c r="B29510" s="5" t="s">
        <v>29518</v>
      </c>
      <c r="C29510" s="5">
        <v>98.5</v>
      </c>
      <c r="D29510" s="5">
        <v>0.1</v>
      </c>
      <c r="E29510" s="5">
        <v>98.6</v>
      </c>
      <c r="F29510" s="5">
        <v>194.2</v>
      </c>
      <c r="G29510" s="5">
        <v>97</v>
      </c>
      <c r="H29510" s="5">
        <v>96.9</v>
      </c>
      <c r="I29510" s="5">
        <v>0</v>
      </c>
      <c r="J29510" s="5">
        <v>0</v>
      </c>
      <c r="K29510" s="5">
        <v>0</v>
      </c>
    </row>
    <row r="29511" spans="1:11" x14ac:dyDescent="0.25">
      <c r="A29511" s="5">
        <f>29504</f>
      </c>
      <c r="B29511" s="5" t="s">
        <v>29519</v>
      </c>
      <c r="C29511" s="5">
        <v>97.8</v>
      </c>
      <c r="D29511" s="5">
        <v>0.1</v>
      </c>
      <c r="E29511" s="5">
        <v>98</v>
      </c>
      <c r="F29511" s="5">
        <v>195.5</v>
      </c>
      <c r="G29511" s="5">
        <v>97.6</v>
      </c>
      <c r="H29511" s="5">
        <v>97.4</v>
      </c>
      <c r="I29511" s="5">
        <v>0</v>
      </c>
      <c r="J29511" s="5">
        <v>0</v>
      </c>
      <c r="K29511" s="5">
        <v>0</v>
      </c>
    </row>
    <row r="29512" spans="1:11" x14ac:dyDescent="0.25">
      <c r="A29512" s="5">
        <f>29505</f>
      </c>
      <c r="B29512" s="5" t="s">
        <v>29520</v>
      </c>
      <c r="C29512" s="5">
        <v>97.8</v>
      </c>
      <c r="D29512" s="5">
        <v>0.1</v>
      </c>
      <c r="E29512" s="5">
        <v>98</v>
      </c>
      <c r="F29512" s="5">
        <v>195.5</v>
      </c>
      <c r="G29512" s="5">
        <v>97.6</v>
      </c>
      <c r="H29512" s="5">
        <v>97.4</v>
      </c>
      <c r="I29512" s="5">
        <v>0</v>
      </c>
      <c r="J29512" s="5">
        <v>0</v>
      </c>
      <c r="K29512" s="5">
        <v>0</v>
      </c>
    </row>
    <row r="29513" spans="1:11" x14ac:dyDescent="0.25">
      <c r="A29513" s="5">
        <f>29506</f>
      </c>
      <c r="B29513" s="5" t="s">
        <v>29521</v>
      </c>
      <c r="C29513" s="5">
        <v>103</v>
      </c>
      <c r="D29513" s="5">
        <v>0.1</v>
      </c>
      <c r="E29513" s="5">
        <v>103.1</v>
      </c>
      <c r="F29513" s="5">
        <v>205.5</v>
      </c>
      <c r="G29513" s="5">
        <v>102.6</v>
      </c>
      <c r="H29513" s="5">
        <v>102.4</v>
      </c>
      <c r="I29513" s="5">
        <v>0</v>
      </c>
      <c r="J29513" s="5">
        <v>0</v>
      </c>
      <c r="K29513" s="5">
        <v>0</v>
      </c>
    </row>
    <row r="29514" spans="1:11" x14ac:dyDescent="0.25">
      <c r="A29514" s="5">
        <f>29507</f>
      </c>
      <c r="B29514" s="5" t="s">
        <v>29522</v>
      </c>
      <c r="C29514" s="5">
        <v>103</v>
      </c>
      <c r="D29514" s="5">
        <v>0.1</v>
      </c>
      <c r="E29514" s="5">
        <v>103.1</v>
      </c>
      <c r="F29514" s="5">
        <v>205.5</v>
      </c>
      <c r="G29514" s="5">
        <v>102.6</v>
      </c>
      <c r="H29514" s="5">
        <v>102.4</v>
      </c>
      <c r="I29514" s="5">
        <v>0</v>
      </c>
      <c r="J29514" s="5">
        <v>0</v>
      </c>
      <c r="K29514" s="5">
        <v>0</v>
      </c>
    </row>
    <row r="29515" spans="1:11" x14ac:dyDescent="0.25">
      <c r="A29515" s="5">
        <f>29508</f>
      </c>
      <c r="B29515" s="5" t="s">
        <v>29523</v>
      </c>
      <c r="C29515" s="5">
        <v>103</v>
      </c>
      <c r="D29515" s="5">
        <v>0.1</v>
      </c>
      <c r="E29515" s="5">
        <v>103.1</v>
      </c>
      <c r="F29515" s="5">
        <v>205.5</v>
      </c>
      <c r="G29515" s="5">
        <v>102.6</v>
      </c>
      <c r="H29515" s="5">
        <v>102.4</v>
      </c>
      <c r="I29515" s="5">
        <v>0</v>
      </c>
      <c r="J29515" s="5">
        <v>0</v>
      </c>
      <c r="K29515" s="5">
        <v>0</v>
      </c>
    </row>
    <row r="29516" spans="1:11" x14ac:dyDescent="0.25">
      <c r="A29516" s="5">
        <f>29509</f>
      </c>
      <c r="B29516" s="5" t="s">
        <v>29524</v>
      </c>
      <c r="C29516" s="5">
        <v>103</v>
      </c>
      <c r="D29516" s="5">
        <v>0.1</v>
      </c>
      <c r="E29516" s="5">
        <v>103.1</v>
      </c>
      <c r="F29516" s="5">
        <v>205.5</v>
      </c>
      <c r="G29516" s="5">
        <v>102.6</v>
      </c>
      <c r="H29516" s="5">
        <v>102.4</v>
      </c>
      <c r="I29516" s="5">
        <v>0</v>
      </c>
      <c r="J29516" s="5">
        <v>0</v>
      </c>
      <c r="K29516" s="5">
        <v>0</v>
      </c>
    </row>
    <row r="29517" spans="1:11" x14ac:dyDescent="0.25">
      <c r="A29517" s="5">
        <f>29510</f>
      </c>
      <c r="B29517" s="5" t="s">
        <v>29525</v>
      </c>
      <c r="C29517" s="5">
        <v>104</v>
      </c>
      <c r="D29517" s="5">
        <v>0.1</v>
      </c>
      <c r="E29517" s="5">
        <v>104.1</v>
      </c>
      <c r="F29517" s="5">
        <v>206.1</v>
      </c>
      <c r="G29517" s="5">
        <v>102.9</v>
      </c>
      <c r="H29517" s="5">
        <v>102.8</v>
      </c>
      <c r="I29517" s="5">
        <v>0</v>
      </c>
      <c r="J29517" s="5">
        <v>0</v>
      </c>
      <c r="K29517" s="5">
        <v>0</v>
      </c>
    </row>
    <row r="29518" spans="1:11" x14ac:dyDescent="0.25">
      <c r="A29518" s="5">
        <f>29511</f>
      </c>
      <c r="B29518" s="5" t="s">
        <v>29526</v>
      </c>
      <c r="C29518" s="5">
        <v>104</v>
      </c>
      <c r="D29518" s="5">
        <v>0.1</v>
      </c>
      <c r="E29518" s="5">
        <v>104.1</v>
      </c>
      <c r="F29518" s="5">
        <v>206.1</v>
      </c>
      <c r="G29518" s="5">
        <v>102.9</v>
      </c>
      <c r="H29518" s="5">
        <v>102.8</v>
      </c>
      <c r="I29518" s="5">
        <v>0</v>
      </c>
      <c r="J29518" s="5">
        <v>0</v>
      </c>
      <c r="K29518" s="5">
        <v>0</v>
      </c>
    </row>
    <row r="29519" spans="1:11" x14ac:dyDescent="0.25">
      <c r="A29519" s="5">
        <f>29512</f>
      </c>
      <c r="B29519" s="5" t="s">
        <v>29527</v>
      </c>
      <c r="C29519" s="5">
        <v>98.3</v>
      </c>
      <c r="D29519" s="5">
        <v>0.1</v>
      </c>
      <c r="E29519" s="5">
        <v>98.3</v>
      </c>
      <c r="F29519" s="5">
        <v>194.2</v>
      </c>
      <c r="G29519" s="5">
        <v>96.9</v>
      </c>
      <c r="H29519" s="5">
        <v>96.8</v>
      </c>
      <c r="I29519" s="5">
        <v>0</v>
      </c>
      <c r="J29519" s="5">
        <v>0</v>
      </c>
      <c r="K29519" s="5">
        <v>0</v>
      </c>
    </row>
    <row r="29520" spans="1:11" x14ac:dyDescent="0.25">
      <c r="A29520" s="5">
        <f>29513</f>
      </c>
      <c r="B29520" s="5" t="s">
        <v>29528</v>
      </c>
      <c r="C29520" s="5">
        <v>98.3</v>
      </c>
      <c r="D29520" s="5">
        <v>0.1</v>
      </c>
      <c r="E29520" s="5">
        <v>98.3</v>
      </c>
      <c r="F29520" s="5">
        <v>194.2</v>
      </c>
      <c r="G29520" s="5">
        <v>96.9</v>
      </c>
      <c r="H29520" s="5">
        <v>96.8</v>
      </c>
      <c r="I29520" s="5">
        <v>0</v>
      </c>
      <c r="J29520" s="5">
        <v>0</v>
      </c>
      <c r="K29520" s="5">
        <v>0</v>
      </c>
    </row>
    <row r="29521" spans="1:11" x14ac:dyDescent="0.25">
      <c r="A29521" s="5">
        <f>29514</f>
      </c>
      <c r="B29521" s="5" t="s">
        <v>29529</v>
      </c>
      <c r="C29521" s="5">
        <v>98.5</v>
      </c>
      <c r="D29521" s="5">
        <v>0.1</v>
      </c>
      <c r="E29521" s="5">
        <v>98.6</v>
      </c>
      <c r="F29521" s="5">
        <v>196.1</v>
      </c>
      <c r="G29521" s="5">
        <v>97.9</v>
      </c>
      <c r="H29521" s="5">
        <v>96.8</v>
      </c>
      <c r="I29521" s="5">
        <v>0</v>
      </c>
      <c r="J29521" s="5">
        <v>0</v>
      </c>
      <c r="K29521" s="5">
        <v>0</v>
      </c>
    </row>
    <row r="29522" spans="1:11" x14ac:dyDescent="0.25">
      <c r="A29522" s="5">
        <f>29515</f>
      </c>
      <c r="B29522" s="5" t="s">
        <v>29530</v>
      </c>
      <c r="C29522" s="5">
        <v>98.5</v>
      </c>
      <c r="D29522" s="5">
        <v>0.1</v>
      </c>
      <c r="E29522" s="5">
        <v>98.6</v>
      </c>
      <c r="F29522" s="5">
        <v>196.1</v>
      </c>
      <c r="G29522" s="5">
        <v>97.9</v>
      </c>
      <c r="H29522" s="5">
        <v>97.8</v>
      </c>
      <c r="I29522" s="5">
        <v>0</v>
      </c>
      <c r="J29522" s="5">
        <v>0</v>
      </c>
      <c r="K29522" s="5">
        <v>0</v>
      </c>
    </row>
    <row r="29523" spans="1:11" x14ac:dyDescent="0.25">
      <c r="A29523" s="5">
        <f>29516</f>
      </c>
      <c r="B29523" s="5" t="s">
        <v>29531</v>
      </c>
      <c r="C29523" s="5">
        <v>98</v>
      </c>
      <c r="D29523" s="5">
        <v>0.1</v>
      </c>
      <c r="E29523" s="5">
        <v>98.6</v>
      </c>
      <c r="F29523" s="5">
        <v>196.1</v>
      </c>
      <c r="G29523" s="5">
        <v>97.9</v>
      </c>
      <c r="H29523" s="5">
        <v>97.8</v>
      </c>
      <c r="I29523" s="5">
        <v>0</v>
      </c>
      <c r="J29523" s="5">
        <v>0</v>
      </c>
      <c r="K29523" s="5">
        <v>0</v>
      </c>
    </row>
    <row r="29524" spans="1:11" x14ac:dyDescent="0.25">
      <c r="A29524" s="5">
        <f>29517</f>
      </c>
      <c r="B29524" s="5" t="s">
        <v>29532</v>
      </c>
      <c r="C29524" s="5">
        <v>98</v>
      </c>
      <c r="D29524" s="5">
        <v>0.1</v>
      </c>
      <c r="E29524" s="5">
        <v>98.2</v>
      </c>
      <c r="F29524" s="5">
        <v>195.8</v>
      </c>
      <c r="G29524" s="5">
        <v>97.7</v>
      </c>
      <c r="H29524" s="5">
        <v>97.5</v>
      </c>
      <c r="I29524" s="5">
        <v>0</v>
      </c>
      <c r="J29524" s="5">
        <v>0</v>
      </c>
      <c r="K29524" s="5">
        <v>0</v>
      </c>
    </row>
    <row r="29525" spans="1:11" x14ac:dyDescent="0.25">
      <c r="A29525" s="5">
        <f>29518</f>
      </c>
      <c r="B29525" s="5" t="s">
        <v>29533</v>
      </c>
      <c r="C29525" s="5">
        <v>98</v>
      </c>
      <c r="D29525" s="5">
        <v>0.1</v>
      </c>
      <c r="E29525" s="5">
        <v>98.2</v>
      </c>
      <c r="F29525" s="5">
        <v>195.8</v>
      </c>
      <c r="G29525" s="5">
        <v>97.7</v>
      </c>
      <c r="H29525" s="5">
        <v>97.5</v>
      </c>
      <c r="I29525" s="5">
        <v>0</v>
      </c>
      <c r="J29525" s="5">
        <v>0</v>
      </c>
      <c r="K29525" s="5">
        <v>0</v>
      </c>
    </row>
    <row r="29526" spans="1:11" x14ac:dyDescent="0.25">
      <c r="A29526" s="5">
        <f>29519</f>
      </c>
      <c r="B29526" s="5" t="s">
        <v>29534</v>
      </c>
      <c r="C29526" s="5">
        <v>98</v>
      </c>
      <c r="D29526" s="5">
        <v>0.1</v>
      </c>
      <c r="E29526" s="5">
        <v>98.2</v>
      </c>
      <c r="F29526" s="5">
        <v>195.8</v>
      </c>
      <c r="G29526" s="5">
        <v>97.7</v>
      </c>
      <c r="H29526" s="5">
        <v>97.5</v>
      </c>
      <c r="I29526" s="5">
        <v>0</v>
      </c>
      <c r="J29526" s="5">
        <v>0</v>
      </c>
      <c r="K29526" s="5">
        <v>0</v>
      </c>
    </row>
    <row r="29527" spans="1:11" x14ac:dyDescent="0.25">
      <c r="A29527" s="5">
        <f>29520</f>
      </c>
      <c r="B29527" s="5" t="s">
        <v>29535</v>
      </c>
      <c r="C29527" s="5">
        <v>102.7</v>
      </c>
      <c r="D29527" s="5">
        <v>0.1</v>
      </c>
      <c r="E29527" s="5">
        <v>102.8</v>
      </c>
      <c r="F29527" s="5">
        <v>205.8</v>
      </c>
      <c r="G29527" s="5">
        <v>102.7</v>
      </c>
      <c r="H29527" s="5">
        <v>102.5</v>
      </c>
      <c r="I29527" s="5">
        <v>0</v>
      </c>
      <c r="J29527" s="5">
        <v>0</v>
      </c>
      <c r="K29527" s="5">
        <v>0</v>
      </c>
    </row>
    <row r="29528" spans="1:11" x14ac:dyDescent="0.25">
      <c r="A29528" s="5">
        <f>29521</f>
      </c>
      <c r="B29528" s="5" t="s">
        <v>29536</v>
      </c>
      <c r="C29528" s="5">
        <v>102.7</v>
      </c>
      <c r="D29528" s="5">
        <v>0.1</v>
      </c>
      <c r="E29528" s="5">
        <v>102.8</v>
      </c>
      <c r="F29528" s="5">
        <v>205.8</v>
      </c>
      <c r="G29528" s="5">
        <v>102.7</v>
      </c>
      <c r="H29528" s="5">
        <v>102.5</v>
      </c>
      <c r="I29528" s="5">
        <v>0</v>
      </c>
      <c r="J29528" s="5">
        <v>0</v>
      </c>
      <c r="K29528" s="5">
        <v>0</v>
      </c>
    </row>
    <row r="29529" spans="1:11" x14ac:dyDescent="0.25">
      <c r="A29529" s="5">
        <f>29522</f>
      </c>
      <c r="B29529" s="5" t="s">
        <v>29537</v>
      </c>
      <c r="C29529" s="5">
        <v>96.8</v>
      </c>
      <c r="D29529" s="5">
        <v>0.1</v>
      </c>
      <c r="E29529" s="5">
        <v>96.9</v>
      </c>
      <c r="F29529" s="5">
        <v>195.5</v>
      </c>
      <c r="G29529" s="5">
        <v>97.5</v>
      </c>
      <c r="H29529" s="5">
        <v>97.2</v>
      </c>
      <c r="I29529" s="5">
        <v>0</v>
      </c>
      <c r="J29529" s="5">
        <v>0</v>
      </c>
      <c r="K29529" s="5">
        <v>0</v>
      </c>
    </row>
    <row r="29530" spans="1:11" x14ac:dyDescent="0.25">
      <c r="A29530" s="5">
        <f>29523</f>
      </c>
      <c r="B29530" s="5" t="s">
        <v>29538</v>
      </c>
      <c r="C29530" s="5">
        <v>96.8</v>
      </c>
      <c r="D29530" s="5">
        <v>0.1</v>
      </c>
      <c r="E29530" s="5">
        <v>96.9</v>
      </c>
      <c r="F29530" s="5">
        <v>195.5</v>
      </c>
      <c r="G29530" s="5">
        <v>97.5</v>
      </c>
      <c r="H29530" s="5">
        <v>97.2</v>
      </c>
      <c r="I29530" s="5">
        <v>0</v>
      </c>
      <c r="J29530" s="5">
        <v>0</v>
      </c>
      <c r="K29530" s="5">
        <v>0</v>
      </c>
    </row>
    <row r="29531" spans="1:11" x14ac:dyDescent="0.25">
      <c r="A29531" s="5">
        <f>29524</f>
      </c>
      <c r="B29531" s="5" t="s">
        <v>29539</v>
      </c>
      <c r="C29531" s="5">
        <v>96.8</v>
      </c>
      <c r="D29531" s="5">
        <v>0.1</v>
      </c>
      <c r="E29531" s="5">
        <v>98.5</v>
      </c>
      <c r="F29531" s="5">
        <v>195.8</v>
      </c>
      <c r="G29531" s="5">
        <v>97.7</v>
      </c>
      <c r="H29531" s="5">
        <v>97.5</v>
      </c>
      <c r="I29531" s="5">
        <v>0</v>
      </c>
      <c r="J29531" s="5">
        <v>0</v>
      </c>
      <c r="K29531" s="5">
        <v>0</v>
      </c>
    </row>
    <row r="29532" spans="1:11" x14ac:dyDescent="0.25">
      <c r="A29532" s="5">
        <f>29525</f>
      </c>
      <c r="B29532" s="5" t="s">
        <v>29540</v>
      </c>
      <c r="C29532" s="5">
        <v>98.3</v>
      </c>
      <c r="D29532" s="5">
        <v>0.1</v>
      </c>
      <c r="E29532" s="5">
        <v>98.5</v>
      </c>
      <c r="F29532" s="5">
        <v>195.8</v>
      </c>
      <c r="G29532" s="5">
        <v>97.7</v>
      </c>
      <c r="H29532" s="5">
        <v>97.5</v>
      </c>
      <c r="I29532" s="5">
        <v>0</v>
      </c>
      <c r="J29532" s="5">
        <v>0</v>
      </c>
      <c r="K29532" s="5">
        <v>0</v>
      </c>
    </row>
    <row r="29533" spans="1:11" x14ac:dyDescent="0.25">
      <c r="A29533" s="5">
        <f>29526</f>
      </c>
      <c r="B29533" s="5" t="s">
        <v>29541</v>
      </c>
      <c r="C29533" s="5">
        <v>98.3</v>
      </c>
      <c r="D29533" s="5">
        <v>0.1</v>
      </c>
      <c r="E29533" s="5">
        <v>98.5</v>
      </c>
      <c r="F29533" s="5">
        <v>195.9</v>
      </c>
      <c r="G29533" s="5">
        <v>97.6</v>
      </c>
      <c r="H29533" s="5">
        <v>97.4</v>
      </c>
      <c r="I29533" s="5">
        <v>0</v>
      </c>
      <c r="J29533" s="5">
        <v>0</v>
      </c>
      <c r="K29533" s="5">
        <v>0</v>
      </c>
    </row>
    <row r="29534" spans="1:11" x14ac:dyDescent="0.25">
      <c r="A29534" s="5">
        <f>29527</f>
      </c>
      <c r="B29534" s="5" t="s">
        <v>29542</v>
      </c>
      <c r="C29534" s="5">
        <v>97</v>
      </c>
      <c r="D29534" s="5">
        <v>0.1</v>
      </c>
      <c r="E29534" s="5">
        <v>97.2</v>
      </c>
      <c r="F29534" s="5">
        <v>195.9</v>
      </c>
      <c r="G29534" s="5">
        <v>97.6</v>
      </c>
      <c r="H29534" s="5">
        <v>97.4</v>
      </c>
      <c r="I29534" s="5">
        <v>0</v>
      </c>
      <c r="J29534" s="5">
        <v>0</v>
      </c>
      <c r="K29534" s="5">
        <v>0</v>
      </c>
    </row>
    <row r="29535" spans="1:11" x14ac:dyDescent="0.25">
      <c r="A29535" s="5">
        <f>29528</f>
      </c>
      <c r="B29535" s="5" t="s">
        <v>29543</v>
      </c>
      <c r="C29535" s="5">
        <v>97</v>
      </c>
      <c r="D29535" s="5">
        <v>0.1</v>
      </c>
      <c r="E29535" s="5">
        <v>97.2</v>
      </c>
      <c r="F29535" s="5">
        <v>195.9</v>
      </c>
      <c r="G29535" s="5">
        <v>97.6</v>
      </c>
      <c r="H29535" s="5">
        <v>97.4</v>
      </c>
      <c r="I29535" s="5">
        <v>0</v>
      </c>
      <c r="J29535" s="5">
        <v>0</v>
      </c>
      <c r="K29535" s="5">
        <v>0</v>
      </c>
    </row>
    <row r="29536" spans="1:11" x14ac:dyDescent="0.25">
      <c r="A29536" s="5">
        <f>29529</f>
      </c>
      <c r="B29536" s="5" t="s">
        <v>29544</v>
      </c>
      <c r="C29536" s="5">
        <v>97</v>
      </c>
      <c r="D29536" s="5">
        <v>0.1</v>
      </c>
      <c r="E29536" s="5">
        <v>97.2</v>
      </c>
      <c r="F29536" s="5">
        <v>195.9</v>
      </c>
      <c r="G29536" s="5">
        <v>97.6</v>
      </c>
      <c r="H29536" s="5">
        <v>97.4</v>
      </c>
      <c r="I29536" s="5">
        <v>0</v>
      </c>
      <c r="J29536" s="5">
        <v>0</v>
      </c>
      <c r="K29536" s="5">
        <v>0</v>
      </c>
    </row>
    <row r="29537" spans="1:11" x14ac:dyDescent="0.25">
      <c r="A29537" s="5">
        <f>29530</f>
      </c>
      <c r="B29537" s="5" t="s">
        <v>29545</v>
      </c>
      <c r="C29537" s="5">
        <v>101.4</v>
      </c>
      <c r="D29537" s="5">
        <v>0.1</v>
      </c>
      <c r="E29537" s="5">
        <v>101.5</v>
      </c>
      <c r="F29537" s="5">
        <v>195.8</v>
      </c>
      <c r="G29537" s="5">
        <v>97.6</v>
      </c>
      <c r="H29537" s="5">
        <v>97.3</v>
      </c>
      <c r="I29537" s="5">
        <v>0</v>
      </c>
      <c r="J29537" s="5">
        <v>0</v>
      </c>
      <c r="K29537" s="5">
        <v>0</v>
      </c>
    </row>
    <row r="29538" spans="1:11" x14ac:dyDescent="0.25">
      <c r="A29538" s="5">
        <f>29531</f>
      </c>
      <c r="B29538" s="5" t="s">
        <v>29546</v>
      </c>
      <c r="C29538" s="5">
        <v>101.4</v>
      </c>
      <c r="D29538" s="5">
        <v>0.1</v>
      </c>
      <c r="E29538" s="5">
        <v>101.5</v>
      </c>
      <c r="F29538" s="5">
        <v>195.8</v>
      </c>
      <c r="G29538" s="5">
        <v>97.6</v>
      </c>
      <c r="H29538" s="5">
        <v>97.3</v>
      </c>
      <c r="I29538" s="5">
        <v>0</v>
      </c>
      <c r="J29538" s="5">
        <v>0</v>
      </c>
      <c r="K29538" s="5">
        <v>0</v>
      </c>
    </row>
    <row r="29539" spans="1:11" x14ac:dyDescent="0.25">
      <c r="A29539" s="5">
        <f>29532</f>
      </c>
      <c r="B29539" s="5" t="s">
        <v>29547</v>
      </c>
      <c r="C29539" s="5">
        <v>98.3</v>
      </c>
      <c r="D29539" s="5">
        <v>0.1</v>
      </c>
      <c r="E29539" s="5">
        <v>98.5</v>
      </c>
      <c r="F29539" s="5">
        <v>193.5</v>
      </c>
      <c r="G29539" s="5">
        <v>96.5</v>
      </c>
      <c r="H29539" s="5">
        <v>96.4</v>
      </c>
      <c r="I29539" s="5">
        <v>0</v>
      </c>
      <c r="J29539" s="5">
        <v>0</v>
      </c>
      <c r="K29539" s="5">
        <v>0</v>
      </c>
    </row>
    <row r="29540" spans="1:11" x14ac:dyDescent="0.25">
      <c r="A29540" s="5">
        <f>29533</f>
      </c>
      <c r="B29540" s="5" t="s">
        <v>29548</v>
      </c>
      <c r="C29540" s="5">
        <v>98.3</v>
      </c>
      <c r="D29540" s="5">
        <v>0.1</v>
      </c>
      <c r="E29540" s="5">
        <v>98.5</v>
      </c>
      <c r="F29540" s="5">
        <v>193.5</v>
      </c>
      <c r="G29540" s="5">
        <v>96.5</v>
      </c>
      <c r="H29540" s="5">
        <v>96.4</v>
      </c>
      <c r="I29540" s="5">
        <v>0</v>
      </c>
      <c r="J29540" s="5">
        <v>0</v>
      </c>
      <c r="K29540" s="5">
        <v>0</v>
      </c>
    </row>
    <row r="29541" spans="1:11" x14ac:dyDescent="0.25">
      <c r="A29541" s="5">
        <f>29534</f>
      </c>
      <c r="B29541" s="5" t="s">
        <v>29549</v>
      </c>
      <c r="C29541" s="5">
        <v>98</v>
      </c>
      <c r="D29541" s="5">
        <v>0.1</v>
      </c>
      <c r="E29541" s="5">
        <v>98</v>
      </c>
      <c r="F29541" s="5">
        <v>196</v>
      </c>
      <c r="G29541" s="5">
        <v>97.5</v>
      </c>
      <c r="H29541" s="5">
        <v>97</v>
      </c>
      <c r="I29541" s="5">
        <v>0</v>
      </c>
      <c r="J29541" s="5">
        <v>0</v>
      </c>
      <c r="K29541" s="5">
        <v>0</v>
      </c>
    </row>
    <row r="29542" spans="1:11" x14ac:dyDescent="0.25">
      <c r="A29542" s="5">
        <f>29535</f>
      </c>
      <c r="B29542" s="5" t="s">
        <v>29550</v>
      </c>
      <c r="C29542" s="5">
        <v>98</v>
      </c>
      <c r="D29542" s="5">
        <v>0.1</v>
      </c>
      <c r="E29542" s="5">
        <v>98</v>
      </c>
      <c r="F29542" s="5">
        <v>196</v>
      </c>
      <c r="G29542" s="5">
        <v>97.5</v>
      </c>
      <c r="H29542" s="5">
        <v>97</v>
      </c>
      <c r="I29542" s="5">
        <v>0</v>
      </c>
      <c r="J29542" s="5">
        <v>0</v>
      </c>
      <c r="K29542" s="5">
        <v>0</v>
      </c>
    </row>
    <row r="29543" spans="1:11" x14ac:dyDescent="0.25">
      <c r="A29543" s="5">
        <f>29536</f>
      </c>
      <c r="B29543" s="5" t="s">
        <v>29551</v>
      </c>
      <c r="C29543" s="5">
        <v>96.7</v>
      </c>
      <c r="D29543" s="5">
        <v>0.1</v>
      </c>
      <c r="E29543" s="5">
        <v>96.8</v>
      </c>
      <c r="F29543" s="5">
        <v>193.3</v>
      </c>
      <c r="G29543" s="5">
        <v>96.4</v>
      </c>
      <c r="H29543" s="5">
        <v>96.3</v>
      </c>
      <c r="I29543" s="5">
        <v>0</v>
      </c>
      <c r="J29543" s="5">
        <v>0</v>
      </c>
      <c r="K29543" s="5">
        <v>0</v>
      </c>
    </row>
    <row r="29544" spans="1:11" x14ac:dyDescent="0.25">
      <c r="A29544" s="5">
        <f>29537</f>
      </c>
      <c r="B29544" s="5" t="s">
        <v>29552</v>
      </c>
      <c r="C29544" s="5">
        <v>96.7</v>
      </c>
      <c r="D29544" s="5">
        <v>0.1</v>
      </c>
      <c r="E29544" s="5">
        <v>96.8</v>
      </c>
      <c r="F29544" s="5">
        <v>193.3</v>
      </c>
      <c r="G29544" s="5">
        <v>96.4</v>
      </c>
      <c r="H29544" s="5">
        <v>96.3</v>
      </c>
      <c r="I29544" s="5">
        <v>0</v>
      </c>
      <c r="J29544" s="5">
        <v>0</v>
      </c>
      <c r="K29544" s="5">
        <v>0</v>
      </c>
    </row>
    <row r="29545" spans="1:11" x14ac:dyDescent="0.25">
      <c r="A29545" s="5">
        <f>29538</f>
      </c>
      <c r="B29545" s="5" t="s">
        <v>29553</v>
      </c>
      <c r="C29545" s="5">
        <v>96.7</v>
      </c>
      <c r="D29545" s="5">
        <v>0.1</v>
      </c>
      <c r="E29545" s="5">
        <v>96.8</v>
      </c>
      <c r="F29545" s="5">
        <v>193.3</v>
      </c>
      <c r="G29545" s="5">
        <v>96.4</v>
      </c>
      <c r="H29545" s="5">
        <v>96.3</v>
      </c>
      <c r="I29545" s="5">
        <v>0</v>
      </c>
      <c r="J29545" s="5">
        <v>0</v>
      </c>
      <c r="K29545" s="5">
        <v>0</v>
      </c>
    </row>
    <row r="29546" spans="1:11" x14ac:dyDescent="0.25">
      <c r="A29546" s="5">
        <f>29539</f>
      </c>
      <c r="B29546" s="5" t="s">
        <v>29554</v>
      </c>
      <c r="C29546" s="5">
        <v>96.7</v>
      </c>
      <c r="D29546" s="5">
        <v>0.1</v>
      </c>
      <c r="E29546" s="5">
        <v>96.8</v>
      </c>
      <c r="F29546" s="5">
        <v>193.3</v>
      </c>
      <c r="G29546" s="5">
        <v>96.4</v>
      </c>
      <c r="H29546" s="5">
        <v>96.3</v>
      </c>
      <c r="I29546" s="5">
        <v>0</v>
      </c>
      <c r="J29546" s="5">
        <v>0</v>
      </c>
      <c r="K29546" s="5">
        <v>0</v>
      </c>
    </row>
    <row r="29547" spans="1:11" x14ac:dyDescent="0.25">
      <c r="A29547" s="5">
        <f>29540</f>
      </c>
      <c r="B29547" s="5" t="s">
        <v>29555</v>
      </c>
      <c r="C29547" s="5">
        <v>96.7</v>
      </c>
      <c r="D29547" s="5">
        <v>0.1</v>
      </c>
      <c r="E29547" s="5">
        <v>96.9</v>
      </c>
      <c r="F29547" s="5">
        <v>192.6</v>
      </c>
      <c r="G29547" s="5">
        <v>96.1</v>
      </c>
      <c r="H29547" s="5">
        <v>96</v>
      </c>
      <c r="I29547" s="5">
        <v>0</v>
      </c>
      <c r="J29547" s="5">
        <v>0</v>
      </c>
      <c r="K29547" s="5">
        <v>0</v>
      </c>
    </row>
    <row r="29548" spans="1:11" x14ac:dyDescent="0.25">
      <c r="A29548" s="5">
        <f>29541</f>
      </c>
      <c r="B29548" s="5" t="s">
        <v>29556</v>
      </c>
      <c r="C29548" s="5">
        <v>96.7</v>
      </c>
      <c r="D29548" s="5">
        <v>0.1</v>
      </c>
      <c r="E29548" s="5">
        <v>96.9</v>
      </c>
      <c r="F29548" s="5">
        <v>192.6</v>
      </c>
      <c r="G29548" s="5">
        <v>96.1</v>
      </c>
      <c r="H29548" s="5">
        <v>96</v>
      </c>
      <c r="I29548" s="5">
        <v>0</v>
      </c>
      <c r="J29548" s="5">
        <v>0</v>
      </c>
      <c r="K29548" s="5">
        <v>0</v>
      </c>
    </row>
    <row r="29549" spans="1:11" x14ac:dyDescent="0.25">
      <c r="A29549" s="5">
        <f>29542</f>
      </c>
      <c r="B29549" s="5" t="s">
        <v>29557</v>
      </c>
      <c r="C29549" s="5">
        <v>97</v>
      </c>
      <c r="D29549" s="5">
        <v>0.1</v>
      </c>
      <c r="E29549" s="5">
        <v>97.1</v>
      </c>
      <c r="F29549" s="5">
        <v>194</v>
      </c>
      <c r="G29549" s="5">
        <v>96.8</v>
      </c>
      <c r="H29549" s="5">
        <v>96.6</v>
      </c>
      <c r="I29549" s="5">
        <v>0</v>
      </c>
      <c r="J29549" s="5">
        <v>0</v>
      </c>
      <c r="K29549" s="5">
        <v>0</v>
      </c>
    </row>
    <row r="29550" spans="1:11" x14ac:dyDescent="0.25">
      <c r="A29550" s="5">
        <f>29543</f>
      </c>
      <c r="B29550" s="5" t="s">
        <v>29558</v>
      </c>
      <c r="C29550" s="5">
        <v>97</v>
      </c>
      <c r="D29550" s="5">
        <v>0.1</v>
      </c>
      <c r="E29550" s="5">
        <v>97.1</v>
      </c>
      <c r="F29550" s="5">
        <v>194</v>
      </c>
      <c r="G29550" s="5">
        <v>96.8</v>
      </c>
      <c r="H29550" s="5">
        <v>96.6</v>
      </c>
      <c r="I29550" s="5">
        <v>0</v>
      </c>
      <c r="J29550" s="5">
        <v>0</v>
      </c>
      <c r="K29550" s="5">
        <v>0</v>
      </c>
    </row>
    <row r="29551" spans="1:11" x14ac:dyDescent="0.25">
      <c r="A29551" s="5">
        <f>29544</f>
      </c>
      <c r="B29551" s="5" t="s">
        <v>29559</v>
      </c>
      <c r="C29551" s="5">
        <v>95.4</v>
      </c>
      <c r="D29551" s="5">
        <v>0.1</v>
      </c>
      <c r="E29551" s="5">
        <v>95.6</v>
      </c>
      <c r="F29551" s="5">
        <v>192.1</v>
      </c>
      <c r="G29551" s="5">
        <v>95.8</v>
      </c>
      <c r="H29551" s="5">
        <v>95.6</v>
      </c>
      <c r="I29551" s="5">
        <v>0</v>
      </c>
      <c r="J29551" s="5">
        <v>0</v>
      </c>
      <c r="K29551" s="5">
        <v>0</v>
      </c>
    </row>
    <row r="29552" spans="1:11" x14ac:dyDescent="0.25">
      <c r="A29552" s="5">
        <f>29545</f>
      </c>
      <c r="B29552" s="5" t="s">
        <v>29560</v>
      </c>
      <c r="C29552" s="5">
        <v>95.4</v>
      </c>
      <c r="D29552" s="5">
        <v>0.1</v>
      </c>
      <c r="E29552" s="5">
        <v>95.6</v>
      </c>
      <c r="F29552" s="5">
        <v>192.1</v>
      </c>
      <c r="G29552" s="5">
        <v>95.8</v>
      </c>
      <c r="H29552" s="5">
        <v>95.6</v>
      </c>
      <c r="I29552" s="5">
        <v>0</v>
      </c>
      <c r="J29552" s="5">
        <v>0</v>
      </c>
      <c r="K29552" s="5">
        <v>0</v>
      </c>
    </row>
    <row r="29553" spans="1:11" x14ac:dyDescent="0.25">
      <c r="A29553" s="5">
        <f>29546</f>
      </c>
      <c r="B29553" s="5" t="s">
        <v>29561</v>
      </c>
      <c r="C29553" s="5">
        <v>96.3</v>
      </c>
      <c r="D29553" s="5">
        <v>0.1</v>
      </c>
      <c r="E29553" s="5">
        <v>96.4</v>
      </c>
      <c r="F29553" s="5">
        <v>199.4</v>
      </c>
      <c r="G29553" s="5">
        <v>99.1</v>
      </c>
      <c r="H29553" s="5">
        <v>98.7</v>
      </c>
      <c r="I29553" s="5">
        <v>0</v>
      </c>
      <c r="J29553" s="5">
        <v>0</v>
      </c>
      <c r="K29553" s="5">
        <v>0</v>
      </c>
    </row>
    <row r="29554" spans="1:11" x14ac:dyDescent="0.25">
      <c r="A29554" s="5">
        <f>29547</f>
      </c>
      <c r="B29554" s="5" t="s">
        <v>29562</v>
      </c>
      <c r="C29554" s="5">
        <v>96.3</v>
      </c>
      <c r="D29554" s="5">
        <v>0.1</v>
      </c>
      <c r="E29554" s="5">
        <v>96.4</v>
      </c>
      <c r="F29554" s="5">
        <v>199.4</v>
      </c>
      <c r="G29554" s="5">
        <v>99.1</v>
      </c>
      <c r="H29554" s="5">
        <v>98.7</v>
      </c>
      <c r="I29554" s="5">
        <v>0</v>
      </c>
      <c r="J29554" s="5">
        <v>0</v>
      </c>
      <c r="K29554" s="5">
        <v>0</v>
      </c>
    </row>
    <row r="29555" spans="1:11" x14ac:dyDescent="0.25">
      <c r="A29555" s="5">
        <f>29548</f>
      </c>
      <c r="B29555" s="5" t="s">
        <v>29563</v>
      </c>
      <c r="C29555" s="5">
        <v>96.3</v>
      </c>
      <c r="D29555" s="5">
        <v>0.1</v>
      </c>
      <c r="E29555" s="5">
        <v>96.4</v>
      </c>
      <c r="F29555" s="5">
        <v>199.4</v>
      </c>
      <c r="G29555" s="5">
        <v>99.1</v>
      </c>
      <c r="H29555" s="5">
        <v>98.7</v>
      </c>
      <c r="I29555" s="5">
        <v>0</v>
      </c>
      <c r="J29555" s="5">
        <v>0</v>
      </c>
      <c r="K29555" s="5">
        <v>0</v>
      </c>
    </row>
    <row r="29556" spans="1:11" x14ac:dyDescent="0.25">
      <c r="A29556" s="5">
        <f>29549</f>
      </c>
      <c r="B29556" s="5" t="s">
        <v>29564</v>
      </c>
      <c r="C29556" s="5">
        <v>96.3</v>
      </c>
      <c r="D29556" s="5">
        <v>0.1</v>
      </c>
      <c r="E29556" s="5">
        <v>96.4</v>
      </c>
      <c r="F29556" s="5">
        <v>199.4</v>
      </c>
      <c r="G29556" s="5">
        <v>99.1</v>
      </c>
      <c r="H29556" s="5">
        <v>98.7</v>
      </c>
      <c r="I29556" s="5">
        <v>0</v>
      </c>
      <c r="J29556" s="5">
        <v>0</v>
      </c>
      <c r="K29556" s="5">
        <v>0</v>
      </c>
    </row>
    <row r="29557" spans="1:11" x14ac:dyDescent="0.25">
      <c r="A29557" s="5">
        <f>29550</f>
      </c>
      <c r="B29557" s="5" t="s">
        <v>29565</v>
      </c>
      <c r="C29557" s="5">
        <v>103.7</v>
      </c>
      <c r="D29557" s="5">
        <v>0.1</v>
      </c>
      <c r="E29557" s="5">
        <v>103.9</v>
      </c>
      <c r="F29557" s="5">
        <v>201.7</v>
      </c>
      <c r="G29557" s="5">
        <v>100.4</v>
      </c>
      <c r="H29557" s="5">
        <v>100</v>
      </c>
      <c r="I29557" s="5">
        <v>0</v>
      </c>
      <c r="J29557" s="5">
        <v>0</v>
      </c>
      <c r="K29557" s="5">
        <v>0</v>
      </c>
    </row>
    <row r="29558" spans="1:11" x14ac:dyDescent="0.25">
      <c r="A29558" s="5">
        <f>29551</f>
      </c>
      <c r="B29558" s="5" t="s">
        <v>29566</v>
      </c>
      <c r="C29558" s="5">
        <v>103.7</v>
      </c>
      <c r="D29558" s="5">
        <v>0.1</v>
      </c>
      <c r="E29558" s="5">
        <v>103.9</v>
      </c>
      <c r="F29558" s="5">
        <v>201.7</v>
      </c>
      <c r="G29558" s="5">
        <v>100.4</v>
      </c>
      <c r="H29558" s="5">
        <v>100</v>
      </c>
      <c r="I29558" s="5">
        <v>0</v>
      </c>
      <c r="J29558" s="5">
        <v>0</v>
      </c>
      <c r="K29558" s="5">
        <v>0</v>
      </c>
    </row>
    <row r="29559" spans="1:11" x14ac:dyDescent="0.25">
      <c r="A29559" s="5">
        <f>29552</f>
      </c>
      <c r="B29559" s="5" t="s">
        <v>29567</v>
      </c>
      <c r="C29559" s="5">
        <v>101.5</v>
      </c>
      <c r="D29559" s="5">
        <v>0.1</v>
      </c>
      <c r="E29559" s="5">
        <v>101.6</v>
      </c>
      <c r="F29559" s="5">
        <v>202.9</v>
      </c>
      <c r="G29559" s="5">
        <v>101.2</v>
      </c>
      <c r="H29559" s="5">
        <v>101.1</v>
      </c>
      <c r="I29559" s="5">
        <v>0</v>
      </c>
      <c r="J29559" s="5">
        <v>0</v>
      </c>
      <c r="K29559" s="5">
        <v>0</v>
      </c>
    </row>
    <row r="29560" spans="1:11" x14ac:dyDescent="0.25">
      <c r="A29560" s="5">
        <f>29553</f>
      </c>
      <c r="B29560" s="5" t="s">
        <v>29568</v>
      </c>
      <c r="C29560" s="5">
        <v>101.5</v>
      </c>
      <c r="D29560" s="5">
        <v>0.1</v>
      </c>
      <c r="E29560" s="5">
        <v>101.6</v>
      </c>
      <c r="F29560" s="5">
        <v>202.9</v>
      </c>
      <c r="G29560" s="5">
        <v>101.2</v>
      </c>
      <c r="H29560" s="5">
        <v>101.1</v>
      </c>
      <c r="I29560" s="5">
        <v>0</v>
      </c>
      <c r="J29560" s="5">
        <v>0</v>
      </c>
      <c r="K29560" s="5">
        <v>0</v>
      </c>
    </row>
    <row r="29561" spans="1:11" x14ac:dyDescent="0.25">
      <c r="A29561" s="5">
        <f>29554</f>
      </c>
      <c r="B29561" s="5" t="s">
        <v>29569</v>
      </c>
      <c r="C29561" s="5">
        <v>101.1</v>
      </c>
      <c r="D29561" s="5">
        <v>0.1</v>
      </c>
      <c r="E29561" s="5">
        <v>101.2</v>
      </c>
      <c r="F29561" s="5">
        <v>202.8</v>
      </c>
      <c r="G29561" s="5">
        <v>101.2</v>
      </c>
      <c r="H29561" s="5">
        <v>101.1</v>
      </c>
      <c r="I29561" s="5">
        <v>0</v>
      </c>
      <c r="J29561" s="5">
        <v>0</v>
      </c>
      <c r="K29561" s="5">
        <v>0</v>
      </c>
    </row>
    <row r="29562" spans="1:11" x14ac:dyDescent="0.25">
      <c r="A29562" s="5">
        <f>29555</f>
      </c>
      <c r="B29562" s="5" t="s">
        <v>29570</v>
      </c>
      <c r="C29562" s="5">
        <v>101.1</v>
      </c>
      <c r="D29562" s="5">
        <v>0.1</v>
      </c>
      <c r="E29562" s="5">
        <v>101.2</v>
      </c>
      <c r="F29562" s="5">
        <v>202.8</v>
      </c>
      <c r="G29562" s="5">
        <v>101.2</v>
      </c>
      <c r="H29562" s="5">
        <v>101.1</v>
      </c>
      <c r="I29562" s="5">
        <v>0</v>
      </c>
      <c r="J29562" s="5">
        <v>0</v>
      </c>
      <c r="K29562" s="5">
        <v>0</v>
      </c>
    </row>
    <row r="29563" spans="1:11" x14ac:dyDescent="0.25">
      <c r="A29563" s="5">
        <f>29556</f>
      </c>
      <c r="B29563" s="5" t="s">
        <v>29571</v>
      </c>
      <c r="C29563" s="5">
        <v>100.7</v>
      </c>
      <c r="D29563" s="5">
        <v>0.1</v>
      </c>
      <c r="E29563" s="5">
        <v>100.8</v>
      </c>
      <c r="F29563" s="5">
        <v>202.1</v>
      </c>
      <c r="G29563" s="5">
        <v>100.8</v>
      </c>
      <c r="H29563" s="5">
        <v>100.7</v>
      </c>
      <c r="I29563" s="5">
        <v>0</v>
      </c>
      <c r="J29563" s="5">
        <v>0</v>
      </c>
      <c r="K29563" s="5">
        <v>0</v>
      </c>
    </row>
    <row r="29564" spans="1:11" x14ac:dyDescent="0.25">
      <c r="A29564" s="5">
        <f>29557</f>
      </c>
      <c r="B29564" s="5" t="s">
        <v>29572</v>
      </c>
      <c r="C29564" s="5">
        <v>100.7</v>
      </c>
      <c r="D29564" s="5">
        <v>0.1</v>
      </c>
      <c r="E29564" s="5">
        <v>100.8</v>
      </c>
      <c r="F29564" s="5">
        <v>202.1</v>
      </c>
      <c r="G29564" s="5">
        <v>100.8</v>
      </c>
      <c r="H29564" s="5">
        <v>100.7</v>
      </c>
      <c r="I29564" s="5">
        <v>0</v>
      </c>
      <c r="J29564" s="5">
        <v>0</v>
      </c>
      <c r="K29564" s="5">
        <v>0</v>
      </c>
    </row>
    <row r="29565" spans="1:11" x14ac:dyDescent="0.25">
      <c r="A29565" s="5">
        <f>29558</f>
      </c>
      <c r="B29565" s="5" t="s">
        <v>29573</v>
      </c>
      <c r="C29565" s="5">
        <v>100.7</v>
      </c>
      <c r="D29565" s="5">
        <v>0.1</v>
      </c>
      <c r="E29565" s="5">
        <v>100.8</v>
      </c>
      <c r="F29565" s="5">
        <v>202.1</v>
      </c>
      <c r="G29565" s="5">
        <v>100.8</v>
      </c>
      <c r="H29565" s="5">
        <v>100.7</v>
      </c>
      <c r="I29565" s="5">
        <v>0</v>
      </c>
      <c r="J29565" s="5">
        <v>0</v>
      </c>
      <c r="K29565" s="5">
        <v>0</v>
      </c>
    </row>
    <row r="29566" spans="1:11" x14ac:dyDescent="0.25">
      <c r="A29566" s="5">
        <f>29559</f>
      </c>
      <c r="B29566" s="5" t="s">
        <v>29574</v>
      </c>
      <c r="C29566" s="5">
        <v>100.7</v>
      </c>
      <c r="D29566" s="5">
        <v>0.1</v>
      </c>
      <c r="E29566" s="5">
        <v>100.8</v>
      </c>
      <c r="F29566" s="5">
        <v>202.1</v>
      </c>
      <c r="G29566" s="5">
        <v>100.8</v>
      </c>
      <c r="H29566" s="5">
        <v>100.7</v>
      </c>
      <c r="I29566" s="5">
        <v>0</v>
      </c>
      <c r="J29566" s="5">
        <v>0</v>
      </c>
      <c r="K29566" s="5">
        <v>0</v>
      </c>
    </row>
    <row r="29567" spans="1:11" x14ac:dyDescent="0.25">
      <c r="A29567" s="5">
        <f>29560</f>
      </c>
      <c r="B29567" s="5" t="s">
        <v>29575</v>
      </c>
      <c r="C29567" s="5">
        <v>96.7</v>
      </c>
      <c r="D29567" s="5">
        <v>0.1</v>
      </c>
      <c r="E29567" s="5">
        <v>96.9</v>
      </c>
      <c r="F29567" s="5">
        <v>193.5</v>
      </c>
      <c r="G29567" s="5">
        <v>96.5</v>
      </c>
      <c r="H29567" s="5">
        <v>96.3</v>
      </c>
      <c r="I29567" s="5">
        <v>0</v>
      </c>
      <c r="J29567" s="5">
        <v>0</v>
      </c>
      <c r="K29567" s="5">
        <v>0</v>
      </c>
    </row>
    <row r="29568" spans="1:11" x14ac:dyDescent="0.25">
      <c r="A29568" s="5">
        <f>29561</f>
      </c>
      <c r="B29568" s="5" t="s">
        <v>29576</v>
      </c>
      <c r="C29568" s="5">
        <v>96.7</v>
      </c>
      <c r="D29568" s="5">
        <v>0.1</v>
      </c>
      <c r="E29568" s="5">
        <v>96.9</v>
      </c>
      <c r="F29568" s="5">
        <v>193.5</v>
      </c>
      <c r="G29568" s="5">
        <v>96.5</v>
      </c>
      <c r="H29568" s="5">
        <v>96.3</v>
      </c>
      <c r="I29568" s="5">
        <v>0</v>
      </c>
      <c r="J29568" s="5">
        <v>0</v>
      </c>
      <c r="K29568" s="5">
        <v>0</v>
      </c>
    </row>
    <row r="29569" spans="1:11" x14ac:dyDescent="0.25">
      <c r="A29569" s="5">
        <f>29562</f>
      </c>
      <c r="B29569" s="5" t="s">
        <v>29577</v>
      </c>
      <c r="C29569" s="5">
        <v>96</v>
      </c>
      <c r="D29569" s="5">
        <v>0.1</v>
      </c>
      <c r="E29569" s="5">
        <v>96</v>
      </c>
      <c r="F29569" s="5">
        <v>192.5</v>
      </c>
      <c r="G29569" s="5">
        <v>96</v>
      </c>
      <c r="H29569" s="5">
        <v>95.8</v>
      </c>
      <c r="I29569" s="5">
        <v>0</v>
      </c>
      <c r="J29569" s="5">
        <v>0</v>
      </c>
      <c r="K29569" s="5">
        <v>0</v>
      </c>
    </row>
    <row r="29570" spans="1:11" x14ac:dyDescent="0.25">
      <c r="A29570" s="5">
        <f>29563</f>
      </c>
      <c r="B29570" s="5" t="s">
        <v>29578</v>
      </c>
      <c r="C29570" s="5">
        <v>96</v>
      </c>
      <c r="D29570" s="5">
        <v>0.1</v>
      </c>
      <c r="E29570" s="5">
        <v>96</v>
      </c>
      <c r="F29570" s="5">
        <v>192.5</v>
      </c>
      <c r="G29570" s="5">
        <v>96</v>
      </c>
      <c r="H29570" s="5">
        <v>95.8</v>
      </c>
      <c r="I29570" s="5">
        <v>0</v>
      </c>
      <c r="J29570" s="5">
        <v>0</v>
      </c>
      <c r="K29570" s="5">
        <v>0</v>
      </c>
    </row>
    <row r="29571" spans="1:11" x14ac:dyDescent="0.25">
      <c r="A29571" s="5">
        <f>29564</f>
      </c>
      <c r="B29571" s="5" t="s">
        <v>29579</v>
      </c>
      <c r="C29571" s="5">
        <v>97.3</v>
      </c>
      <c r="D29571" s="5">
        <v>0.1</v>
      </c>
      <c r="E29571" s="5">
        <v>97.4</v>
      </c>
      <c r="F29571" s="5">
        <v>194.1</v>
      </c>
      <c r="G29571" s="5">
        <v>96.8</v>
      </c>
      <c r="H29571" s="5">
        <v>96.7</v>
      </c>
      <c r="I29571" s="5">
        <v>0</v>
      </c>
      <c r="J29571" s="5">
        <v>0</v>
      </c>
      <c r="K29571" s="5">
        <v>0</v>
      </c>
    </row>
    <row r="29572" spans="1:11" x14ac:dyDescent="0.25">
      <c r="A29572" s="5">
        <f>29565</f>
      </c>
      <c r="B29572" s="5" t="s">
        <v>29580</v>
      </c>
      <c r="C29572" s="5">
        <v>97.3</v>
      </c>
      <c r="D29572" s="5">
        <v>0.1</v>
      </c>
      <c r="E29572" s="5">
        <v>97.4</v>
      </c>
      <c r="F29572" s="5">
        <v>194.1</v>
      </c>
      <c r="G29572" s="5">
        <v>96.8</v>
      </c>
      <c r="H29572" s="5">
        <v>96.7</v>
      </c>
      <c r="I29572" s="5">
        <v>0</v>
      </c>
      <c r="J29572" s="5">
        <v>0</v>
      </c>
      <c r="K29572" s="5">
        <v>0</v>
      </c>
    </row>
    <row r="29573" spans="1:11" x14ac:dyDescent="0.25">
      <c r="A29573" s="5">
        <f>29566</f>
      </c>
      <c r="B29573" s="5" t="s">
        <v>29581</v>
      </c>
      <c r="C29573" s="5">
        <v>100.7</v>
      </c>
      <c r="D29573" s="5">
        <v>0.1</v>
      </c>
      <c r="E29573" s="5">
        <v>100.8</v>
      </c>
      <c r="F29573" s="5">
        <v>201.2</v>
      </c>
      <c r="G29573" s="5">
        <v>100.4</v>
      </c>
      <c r="H29573" s="5">
        <v>100.2</v>
      </c>
      <c r="I29573" s="5">
        <v>0</v>
      </c>
      <c r="J29573" s="5">
        <v>0</v>
      </c>
      <c r="K29573" s="5">
        <v>0</v>
      </c>
    </row>
    <row r="29574" spans="1:11" x14ac:dyDescent="0.25">
      <c r="A29574" s="5">
        <f>29567</f>
      </c>
      <c r="B29574" s="5" t="s">
        <v>29582</v>
      </c>
      <c r="C29574" s="5">
        <v>100.7</v>
      </c>
      <c r="D29574" s="5">
        <v>0.1</v>
      </c>
      <c r="E29574" s="5">
        <v>100.8</v>
      </c>
      <c r="F29574" s="5">
        <v>201.2</v>
      </c>
      <c r="G29574" s="5">
        <v>100.4</v>
      </c>
      <c r="H29574" s="5">
        <v>100.2</v>
      </c>
      <c r="I29574" s="5">
        <v>0</v>
      </c>
      <c r="J29574" s="5">
        <v>0</v>
      </c>
      <c r="K29574" s="5">
        <v>0</v>
      </c>
    </row>
    <row r="29575" spans="1:11" x14ac:dyDescent="0.25">
      <c r="A29575" s="5">
        <f>29568</f>
      </c>
      <c r="B29575" s="5" t="s">
        <v>29583</v>
      </c>
      <c r="C29575" s="5">
        <v>100.7</v>
      </c>
      <c r="D29575" s="5">
        <v>0.1</v>
      </c>
      <c r="E29575" s="5">
        <v>100.8</v>
      </c>
      <c r="F29575" s="5">
        <v>201.2</v>
      </c>
      <c r="G29575" s="5">
        <v>100.4</v>
      </c>
      <c r="H29575" s="5">
        <v>100.2</v>
      </c>
      <c r="I29575" s="5">
        <v>0</v>
      </c>
      <c r="J29575" s="5">
        <v>0</v>
      </c>
      <c r="K29575" s="5">
        <v>0</v>
      </c>
    </row>
    <row r="29576" spans="1:11" x14ac:dyDescent="0.25">
      <c r="A29576" s="5">
        <f>29569</f>
      </c>
      <c r="B29576" s="5" t="s">
        <v>29584</v>
      </c>
      <c r="C29576" s="5">
        <v>100.7</v>
      </c>
      <c r="D29576" s="5">
        <v>0.1</v>
      </c>
      <c r="E29576" s="5">
        <v>100.8</v>
      </c>
      <c r="F29576" s="5">
        <v>201.2</v>
      </c>
      <c r="G29576" s="5">
        <v>100.4</v>
      </c>
      <c r="H29576" s="5">
        <v>100.2</v>
      </c>
      <c r="I29576" s="5">
        <v>0</v>
      </c>
      <c r="J29576" s="5">
        <v>0</v>
      </c>
      <c r="K29576" s="5">
        <v>0</v>
      </c>
    </row>
    <row r="29577" spans="1:11" x14ac:dyDescent="0.25">
      <c r="A29577" s="5">
        <f>29570</f>
      </c>
      <c r="B29577" s="5" t="s">
        <v>29585</v>
      </c>
      <c r="C29577" s="5">
        <v>100.9</v>
      </c>
      <c r="D29577" s="5">
        <v>0.1</v>
      </c>
      <c r="E29577" s="5">
        <v>101.1</v>
      </c>
      <c r="F29577" s="5">
        <v>201.7</v>
      </c>
      <c r="G29577" s="5">
        <v>100.6</v>
      </c>
      <c r="H29577" s="5">
        <v>100.5</v>
      </c>
      <c r="I29577" s="5">
        <v>0</v>
      </c>
      <c r="J29577" s="5">
        <v>0</v>
      </c>
      <c r="K29577" s="5">
        <v>0</v>
      </c>
    </row>
    <row r="29578" spans="1:11" x14ac:dyDescent="0.25">
      <c r="A29578" s="5">
        <f>29571</f>
      </c>
      <c r="B29578" s="5" t="s">
        <v>29586</v>
      </c>
      <c r="C29578" s="5">
        <v>100.9</v>
      </c>
      <c r="D29578" s="5">
        <v>0.1</v>
      </c>
      <c r="E29578" s="5">
        <v>101.1</v>
      </c>
      <c r="F29578" s="5">
        <v>201.7</v>
      </c>
      <c r="G29578" s="5">
        <v>100.6</v>
      </c>
      <c r="H29578" s="5">
        <v>100.5</v>
      </c>
      <c r="I29578" s="5">
        <v>0</v>
      </c>
      <c r="J29578" s="5">
        <v>0</v>
      </c>
      <c r="K29578" s="5">
        <v>0</v>
      </c>
    </row>
    <row r="29579" spans="1:11" x14ac:dyDescent="0.25">
      <c r="A29579" s="5">
        <f>29572</f>
      </c>
      <c r="B29579" s="5" t="s">
        <v>29587</v>
      </c>
      <c r="C29579" s="5">
        <v>102.8</v>
      </c>
      <c r="D29579" s="5">
        <v>0.1</v>
      </c>
      <c r="E29579" s="5">
        <v>102.9</v>
      </c>
      <c r="F29579" s="5">
        <v>205.6</v>
      </c>
      <c r="G29579" s="5">
        <v>102.6</v>
      </c>
      <c r="H29579" s="5">
        <v>102.4</v>
      </c>
      <c r="I29579" s="5">
        <v>0</v>
      </c>
      <c r="J29579" s="5">
        <v>0</v>
      </c>
      <c r="K29579" s="5">
        <v>0</v>
      </c>
    </row>
    <row r="29580" spans="1:11" x14ac:dyDescent="0.25">
      <c r="A29580" s="5">
        <f>29573</f>
      </c>
      <c r="B29580" s="5" t="s">
        <v>29588</v>
      </c>
      <c r="C29580" s="5">
        <v>102.8</v>
      </c>
      <c r="D29580" s="5">
        <v>0.1</v>
      </c>
      <c r="E29580" s="5">
        <v>102.9</v>
      </c>
      <c r="F29580" s="5">
        <v>205.6</v>
      </c>
      <c r="G29580" s="5">
        <v>102.6</v>
      </c>
      <c r="H29580" s="5">
        <v>102.4</v>
      </c>
      <c r="I29580" s="5">
        <v>0</v>
      </c>
      <c r="J29580" s="5">
        <v>0</v>
      </c>
      <c r="K29580" s="5">
        <v>0</v>
      </c>
    </row>
    <row r="29581" spans="1:11" x14ac:dyDescent="0.25">
      <c r="A29581" s="5">
        <f>29574</f>
      </c>
      <c r="B29581" s="5" t="s">
        <v>29589</v>
      </c>
      <c r="C29581" s="5">
        <v>95.8</v>
      </c>
      <c r="D29581" s="5">
        <v>0.1</v>
      </c>
      <c r="E29581" s="5">
        <v>96</v>
      </c>
      <c r="F29581" s="5">
        <v>201.7</v>
      </c>
      <c r="G29581" s="5">
        <v>100.9</v>
      </c>
      <c r="H29581" s="5">
        <v>101</v>
      </c>
      <c r="I29581" s="5">
        <v>0</v>
      </c>
      <c r="J29581" s="5">
        <v>0</v>
      </c>
      <c r="K29581" s="5">
        <v>0</v>
      </c>
    </row>
    <row r="29582" spans="1:11" x14ac:dyDescent="0.25">
      <c r="A29582" s="5">
        <f>29575</f>
      </c>
      <c r="B29582" s="5" t="s">
        <v>29590</v>
      </c>
      <c r="C29582" s="5">
        <v>95.8</v>
      </c>
      <c r="D29582" s="5">
        <v>0.1</v>
      </c>
      <c r="E29582" s="5">
        <v>96</v>
      </c>
      <c r="F29582" s="5">
        <v>201.7</v>
      </c>
      <c r="G29582" s="5">
        <v>100.9</v>
      </c>
      <c r="H29582" s="5">
        <v>101</v>
      </c>
      <c r="I29582" s="5">
        <v>0</v>
      </c>
      <c r="J29582" s="5">
        <v>0</v>
      </c>
      <c r="K29582" s="5">
        <v>0</v>
      </c>
    </row>
    <row r="29583" spans="1:11" x14ac:dyDescent="0.25">
      <c r="A29583" s="5">
        <f>29576</f>
      </c>
      <c r="B29583" s="5" t="s">
        <v>29591</v>
      </c>
      <c r="C29583" s="5">
        <v>95.2</v>
      </c>
      <c r="D29583" s="5">
        <v>0.1</v>
      </c>
      <c r="E29583" s="5">
        <v>95.3</v>
      </c>
      <c r="F29583" s="5">
        <v>190</v>
      </c>
      <c r="G29583" s="5">
        <v>94.8</v>
      </c>
      <c r="H29583" s="5">
        <v>94.6</v>
      </c>
      <c r="I29583" s="5">
        <v>0</v>
      </c>
      <c r="J29583" s="5">
        <v>0</v>
      </c>
      <c r="K29583" s="5">
        <v>0</v>
      </c>
    </row>
    <row r="29584" spans="1:11" x14ac:dyDescent="0.25">
      <c r="A29584" s="5">
        <f>29577</f>
      </c>
      <c r="B29584" s="5" t="s">
        <v>29592</v>
      </c>
      <c r="C29584" s="5">
        <v>95.2</v>
      </c>
      <c r="D29584" s="5">
        <v>0.1</v>
      </c>
      <c r="E29584" s="5">
        <v>95.3</v>
      </c>
      <c r="F29584" s="5">
        <v>190</v>
      </c>
      <c r="G29584" s="5">
        <v>94.8</v>
      </c>
      <c r="H29584" s="5">
        <v>94.6</v>
      </c>
      <c r="I29584" s="5">
        <v>0</v>
      </c>
      <c r="J29584" s="5">
        <v>0</v>
      </c>
      <c r="K29584" s="5">
        <v>0</v>
      </c>
    </row>
    <row r="29585" spans="1:11" x14ac:dyDescent="0.25">
      <c r="A29585" s="5">
        <f>29578</f>
      </c>
      <c r="B29585" s="5" t="s">
        <v>29593</v>
      </c>
      <c r="C29585" s="5">
        <v>95.2</v>
      </c>
      <c r="D29585" s="5">
        <v>0.1</v>
      </c>
      <c r="E29585" s="5">
        <v>95.3</v>
      </c>
      <c r="F29585" s="5">
        <v>190</v>
      </c>
      <c r="G29585" s="5">
        <v>94.8</v>
      </c>
      <c r="H29585" s="5">
        <v>94.6</v>
      </c>
      <c r="I29585" s="5">
        <v>0</v>
      </c>
      <c r="J29585" s="5">
        <v>0</v>
      </c>
      <c r="K29585" s="5">
        <v>0</v>
      </c>
    </row>
    <row r="29586" spans="1:11" x14ac:dyDescent="0.25">
      <c r="A29586" s="5">
        <f>29579</f>
      </c>
      <c r="B29586" s="5" t="s">
        <v>29594</v>
      </c>
      <c r="C29586" s="5">
        <v>95.2</v>
      </c>
      <c r="D29586" s="5">
        <v>0.1</v>
      </c>
      <c r="E29586" s="5">
        <v>95.3</v>
      </c>
      <c r="F29586" s="5">
        <v>190</v>
      </c>
      <c r="G29586" s="5">
        <v>94.8</v>
      </c>
      <c r="H29586" s="5">
        <v>94.6</v>
      </c>
      <c r="I29586" s="5">
        <v>0</v>
      </c>
      <c r="J29586" s="5">
        <v>0</v>
      </c>
      <c r="K29586" s="5">
        <v>0</v>
      </c>
    </row>
    <row r="29587" spans="1:11" x14ac:dyDescent="0.25">
      <c r="A29587" s="5">
        <f>29580</f>
      </c>
      <c r="B29587" s="5" t="s">
        <v>29595</v>
      </c>
      <c r="C29587" s="5">
        <v>97</v>
      </c>
      <c r="D29587" s="5">
        <v>0.1</v>
      </c>
      <c r="E29587" s="5">
        <v>97.2</v>
      </c>
      <c r="F29587" s="5">
        <v>191.6</v>
      </c>
      <c r="G29587" s="5">
        <v>95.6</v>
      </c>
      <c r="H29587" s="5">
        <v>95.4</v>
      </c>
      <c r="I29587" s="5">
        <v>0</v>
      </c>
      <c r="J29587" s="5">
        <v>0</v>
      </c>
      <c r="K29587" s="5">
        <v>0</v>
      </c>
    </row>
    <row r="29588" spans="1:11" x14ac:dyDescent="0.25">
      <c r="A29588" s="5">
        <f>29581</f>
      </c>
      <c r="B29588" s="5" t="s">
        <v>29596</v>
      </c>
      <c r="C29588" s="5">
        <v>97</v>
      </c>
      <c r="D29588" s="5">
        <v>0.1</v>
      </c>
      <c r="E29588" s="5">
        <v>97.2</v>
      </c>
      <c r="F29588" s="5">
        <v>191.6</v>
      </c>
      <c r="G29588" s="5">
        <v>95.6</v>
      </c>
      <c r="H29588" s="5">
        <v>95.4</v>
      </c>
      <c r="I29588" s="5">
        <v>0</v>
      </c>
      <c r="J29588" s="5">
        <v>0</v>
      </c>
      <c r="K29588" s="5">
        <v>0</v>
      </c>
    </row>
    <row r="29589" spans="1:11" x14ac:dyDescent="0.25">
      <c r="A29589" s="5">
        <f>29582</f>
      </c>
      <c r="B29589" s="5" t="s">
        <v>29597</v>
      </c>
      <c r="C29589" s="5">
        <v>94.8</v>
      </c>
      <c r="D29589" s="5">
        <v>0.1</v>
      </c>
      <c r="E29589" s="5">
        <v>94.8</v>
      </c>
      <c r="F29589" s="5">
        <v>188.9</v>
      </c>
      <c r="G29589" s="5">
        <v>94.2</v>
      </c>
      <c r="H29589" s="5">
        <v>94.1</v>
      </c>
      <c r="I29589" s="5">
        <v>0</v>
      </c>
      <c r="J29589" s="5">
        <v>0</v>
      </c>
      <c r="K29589" s="5">
        <v>0</v>
      </c>
    </row>
    <row r="29590" spans="1:11" x14ac:dyDescent="0.25">
      <c r="A29590" s="5">
        <f>29583</f>
      </c>
      <c r="B29590" s="5" t="s">
        <v>29598</v>
      </c>
      <c r="C29590" s="5">
        <v>94.8</v>
      </c>
      <c r="D29590" s="5">
        <v>0.1</v>
      </c>
      <c r="E29590" s="5">
        <v>94.8</v>
      </c>
      <c r="F29590" s="5">
        <v>188.9</v>
      </c>
      <c r="G29590" s="5">
        <v>94.2</v>
      </c>
      <c r="H29590" s="5">
        <v>94.1</v>
      </c>
      <c r="I29590" s="5">
        <v>0</v>
      </c>
      <c r="J29590" s="5">
        <v>0</v>
      </c>
      <c r="K29590" s="5">
        <v>0</v>
      </c>
    </row>
    <row r="29591" spans="1:11" x14ac:dyDescent="0.25">
      <c r="A29591" s="5">
        <f>29584</f>
      </c>
      <c r="B29591" s="5" t="s">
        <v>29599</v>
      </c>
      <c r="C29591" s="5">
        <v>95.7</v>
      </c>
      <c r="D29591" s="5">
        <v>0.1</v>
      </c>
      <c r="E29591" s="5">
        <v>95.9</v>
      </c>
      <c r="F29591" s="5">
        <v>189.4</v>
      </c>
      <c r="G29591" s="5">
        <v>94.4</v>
      </c>
      <c r="H29591" s="5">
        <v>94.2</v>
      </c>
      <c r="I29591" s="5">
        <v>0</v>
      </c>
      <c r="J29591" s="5">
        <v>0</v>
      </c>
      <c r="K29591" s="5">
        <v>0</v>
      </c>
    </row>
    <row r="29592" spans="1:11" x14ac:dyDescent="0.25">
      <c r="A29592" s="5">
        <f>29585</f>
      </c>
      <c r="B29592" s="5" t="s">
        <v>29600</v>
      </c>
      <c r="C29592" s="5">
        <v>95.7</v>
      </c>
      <c r="D29592" s="5">
        <v>0.1</v>
      </c>
      <c r="E29592" s="5">
        <v>95.9</v>
      </c>
      <c r="F29592" s="5">
        <v>189.4</v>
      </c>
      <c r="G29592" s="5">
        <v>94.4</v>
      </c>
      <c r="H29592" s="5">
        <v>94.2</v>
      </c>
      <c r="I29592" s="5">
        <v>0</v>
      </c>
      <c r="J29592" s="5">
        <v>0</v>
      </c>
      <c r="K29592" s="5">
        <v>0</v>
      </c>
    </row>
    <row r="29593" spans="1:11" x14ac:dyDescent="0.25">
      <c r="A29593" s="5">
        <f>29586</f>
      </c>
      <c r="B29593" s="5" t="s">
        <v>29601</v>
      </c>
      <c r="C29593" s="5">
        <v>95.4</v>
      </c>
      <c r="D29593" s="5">
        <v>0.1</v>
      </c>
      <c r="E29593" s="5">
        <v>95.5</v>
      </c>
      <c r="F29593" s="5">
        <v>187.1</v>
      </c>
      <c r="G29593" s="5">
        <v>93.3</v>
      </c>
      <c r="H29593" s="5">
        <v>93.1</v>
      </c>
      <c r="I29593" s="5">
        <v>0</v>
      </c>
      <c r="J29593" s="5">
        <v>0</v>
      </c>
      <c r="K29593" s="5">
        <v>0</v>
      </c>
    </row>
    <row r="29594" spans="1:11" x14ac:dyDescent="0.25">
      <c r="A29594" s="5">
        <f>29587</f>
      </c>
      <c r="B29594" s="5" t="s">
        <v>29602</v>
      </c>
      <c r="C29594" s="5">
        <v>95.4</v>
      </c>
      <c r="D29594" s="5">
        <v>0.1</v>
      </c>
      <c r="E29594" s="5">
        <v>95.5</v>
      </c>
      <c r="F29594" s="5">
        <v>187.1</v>
      </c>
      <c r="G29594" s="5">
        <v>93.3</v>
      </c>
      <c r="H29594" s="5">
        <v>93.1</v>
      </c>
      <c r="I29594" s="5">
        <v>0</v>
      </c>
      <c r="J29594" s="5">
        <v>0</v>
      </c>
      <c r="K29594" s="5">
        <v>0</v>
      </c>
    </row>
    <row r="29595" spans="1:11" x14ac:dyDescent="0.25">
      <c r="A29595" s="5">
        <f>29588</f>
      </c>
      <c r="B29595" s="5" t="s">
        <v>29603</v>
      </c>
      <c r="C29595" s="5">
        <v>95.4</v>
      </c>
      <c r="D29595" s="5">
        <v>0.1</v>
      </c>
      <c r="E29595" s="5">
        <v>95.5</v>
      </c>
      <c r="F29595" s="5">
        <v>187.1</v>
      </c>
      <c r="G29595" s="5">
        <v>93.3</v>
      </c>
      <c r="H29595" s="5">
        <v>93.1</v>
      </c>
      <c r="I29595" s="5">
        <v>0</v>
      </c>
      <c r="J29595" s="5">
        <v>0</v>
      </c>
      <c r="K29595" s="5">
        <v>0</v>
      </c>
    </row>
    <row r="29596" spans="1:11" x14ac:dyDescent="0.25">
      <c r="A29596" s="5">
        <f>29589</f>
      </c>
      <c r="B29596" s="5" t="s">
        <v>29604</v>
      </c>
      <c r="C29596" s="5">
        <v>95.4</v>
      </c>
      <c r="D29596" s="5">
        <v>0.1</v>
      </c>
      <c r="E29596" s="5">
        <v>95.5</v>
      </c>
      <c r="F29596" s="5">
        <v>187.1</v>
      </c>
      <c r="G29596" s="5">
        <v>93.3</v>
      </c>
      <c r="H29596" s="5">
        <v>93.1</v>
      </c>
      <c r="I29596" s="5">
        <v>0</v>
      </c>
      <c r="J29596" s="5">
        <v>0</v>
      </c>
      <c r="K29596" s="5">
        <v>0</v>
      </c>
    </row>
    <row r="29597" spans="1:11" x14ac:dyDescent="0.25">
      <c r="A29597" s="5">
        <f>29590</f>
      </c>
      <c r="B29597" s="5" t="s">
        <v>29605</v>
      </c>
      <c r="C29597" s="5">
        <v>94.9</v>
      </c>
      <c r="D29597" s="5">
        <v>0.1</v>
      </c>
      <c r="E29597" s="5">
        <v>95.1</v>
      </c>
      <c r="F29597" s="5">
        <v>190.9</v>
      </c>
      <c r="G29597" s="5">
        <v>95.2</v>
      </c>
      <c r="H29597" s="5">
        <v>95</v>
      </c>
      <c r="I29597" s="5">
        <v>0</v>
      </c>
      <c r="J29597" s="5">
        <v>0</v>
      </c>
      <c r="K29597" s="5">
        <v>0</v>
      </c>
    </row>
    <row r="29598" spans="1:11" x14ac:dyDescent="0.25">
      <c r="A29598" s="5">
        <f>29591</f>
      </c>
      <c r="B29598" s="5" t="s">
        <v>29606</v>
      </c>
      <c r="C29598" s="5">
        <v>94.9</v>
      </c>
      <c r="D29598" s="5">
        <v>0.1</v>
      </c>
      <c r="E29598" s="5">
        <v>95.1</v>
      </c>
      <c r="F29598" s="5">
        <v>190.9</v>
      </c>
      <c r="G29598" s="5">
        <v>95.2</v>
      </c>
      <c r="H29598" s="5">
        <v>95</v>
      </c>
      <c r="I29598" s="5">
        <v>0</v>
      </c>
      <c r="J29598" s="5">
        <v>0</v>
      </c>
      <c r="K29598" s="5">
        <v>0</v>
      </c>
    </row>
    <row r="29599" spans="1:11" x14ac:dyDescent="0.25">
      <c r="A29599" s="5">
        <f>29592</f>
      </c>
      <c r="B29599" s="5" t="s">
        <v>29607</v>
      </c>
      <c r="C29599" s="5">
        <v>93.8</v>
      </c>
      <c r="D29599" s="5">
        <v>0.1</v>
      </c>
      <c r="E29599" s="5">
        <v>93.9</v>
      </c>
      <c r="F29599" s="5">
        <v>187.7</v>
      </c>
      <c r="G29599" s="5">
        <v>93.6</v>
      </c>
      <c r="H29599" s="5">
        <v>93.4</v>
      </c>
      <c r="I29599" s="5">
        <v>0</v>
      </c>
      <c r="J29599" s="5">
        <v>0</v>
      </c>
      <c r="K29599" s="5">
        <v>0</v>
      </c>
    </row>
    <row r="29600" spans="1:11" x14ac:dyDescent="0.25">
      <c r="A29600" s="5">
        <f>29593</f>
      </c>
      <c r="B29600" s="5" t="s">
        <v>29608</v>
      </c>
      <c r="C29600" s="5">
        <v>93.8</v>
      </c>
      <c r="D29600" s="5">
        <v>0.1</v>
      </c>
      <c r="E29600" s="5">
        <v>93.9</v>
      </c>
      <c r="F29600" s="5">
        <v>187.7</v>
      </c>
      <c r="G29600" s="5">
        <v>93.6</v>
      </c>
      <c r="H29600" s="5">
        <v>93.4</v>
      </c>
      <c r="I29600" s="5">
        <v>0</v>
      </c>
      <c r="J29600" s="5">
        <v>0</v>
      </c>
      <c r="K29600" s="5">
        <v>0</v>
      </c>
    </row>
    <row r="29601" spans="1:11" x14ac:dyDescent="0.25">
      <c r="A29601" s="5">
        <f>29594</f>
      </c>
      <c r="B29601" s="5" t="s">
        <v>29609</v>
      </c>
      <c r="C29601" s="5">
        <v>94.5</v>
      </c>
      <c r="D29601" s="5">
        <v>0.1</v>
      </c>
      <c r="E29601" s="5">
        <v>94.6</v>
      </c>
      <c r="F29601" s="5">
        <v>189.6</v>
      </c>
      <c r="G29601" s="5">
        <v>94.5</v>
      </c>
      <c r="H29601" s="5">
        <v>94.4</v>
      </c>
      <c r="I29601" s="5">
        <v>0</v>
      </c>
      <c r="J29601" s="5">
        <v>0</v>
      </c>
      <c r="K29601" s="5">
        <v>0</v>
      </c>
    </row>
    <row r="29602" spans="1:11" x14ac:dyDescent="0.25">
      <c r="A29602" s="5">
        <f>29595</f>
      </c>
      <c r="B29602" s="5" t="s">
        <v>29610</v>
      </c>
      <c r="C29602" s="5">
        <v>94.5</v>
      </c>
      <c r="D29602" s="5">
        <v>0.1</v>
      </c>
      <c r="E29602" s="5">
        <v>94.6</v>
      </c>
      <c r="F29602" s="5">
        <v>189.6</v>
      </c>
      <c r="G29602" s="5">
        <v>94.5</v>
      </c>
      <c r="H29602" s="5">
        <v>94.4</v>
      </c>
      <c r="I29602" s="5">
        <v>0</v>
      </c>
      <c r="J29602" s="5">
        <v>0</v>
      </c>
      <c r="K29602" s="5">
        <v>0</v>
      </c>
    </row>
    <row r="29603" spans="1:11" x14ac:dyDescent="0.25">
      <c r="A29603" s="5">
        <f>29596</f>
      </c>
      <c r="B29603" s="5" t="s">
        <v>29611</v>
      </c>
      <c r="C29603" s="5">
        <v>94.2</v>
      </c>
      <c r="D29603" s="5">
        <v>0.1</v>
      </c>
      <c r="E29603" s="5">
        <v>94.4</v>
      </c>
      <c r="F29603" s="5">
        <v>188.5</v>
      </c>
      <c r="G29603" s="5">
        <v>94</v>
      </c>
      <c r="H29603" s="5">
        <v>93.9</v>
      </c>
      <c r="I29603" s="5">
        <v>0</v>
      </c>
      <c r="J29603" s="5">
        <v>0</v>
      </c>
      <c r="K29603" s="5">
        <v>0</v>
      </c>
    </row>
    <row r="29604" spans="1:11" x14ac:dyDescent="0.25">
      <c r="A29604" s="5">
        <f>29597</f>
      </c>
      <c r="B29604" s="5" t="s">
        <v>29612</v>
      </c>
      <c r="C29604" s="5">
        <v>94.2</v>
      </c>
      <c r="D29604" s="5">
        <v>0.1</v>
      </c>
      <c r="E29604" s="5">
        <v>94.4</v>
      </c>
      <c r="F29604" s="5">
        <v>188.5</v>
      </c>
      <c r="G29604" s="5">
        <v>94</v>
      </c>
      <c r="H29604" s="5">
        <v>93.9</v>
      </c>
      <c r="I29604" s="5">
        <v>0</v>
      </c>
      <c r="J29604" s="5">
        <v>0</v>
      </c>
      <c r="K29604" s="5">
        <v>0</v>
      </c>
    </row>
    <row r="29605" spans="1:11" x14ac:dyDescent="0.25">
      <c r="A29605" s="5">
        <f>29598</f>
      </c>
      <c r="B29605" s="5" t="s">
        <v>29613</v>
      </c>
      <c r="C29605" s="5">
        <v>94.2</v>
      </c>
      <c r="D29605" s="5">
        <v>0.1</v>
      </c>
      <c r="E29605" s="5">
        <v>94.4</v>
      </c>
      <c r="F29605" s="5">
        <v>188.5</v>
      </c>
      <c r="G29605" s="5">
        <v>94</v>
      </c>
      <c r="H29605" s="5">
        <v>93.9</v>
      </c>
      <c r="I29605" s="5">
        <v>0</v>
      </c>
      <c r="J29605" s="5">
        <v>0</v>
      </c>
      <c r="K29605" s="5">
        <v>0</v>
      </c>
    </row>
    <row r="29606" spans="1:11" x14ac:dyDescent="0.25">
      <c r="A29606" s="5">
        <f>29599</f>
      </c>
      <c r="B29606" s="5" t="s">
        <v>29614</v>
      </c>
      <c r="C29606" s="5">
        <v>94.2</v>
      </c>
      <c r="D29606" s="5">
        <v>0.1</v>
      </c>
      <c r="E29606" s="5">
        <v>94.4</v>
      </c>
      <c r="F29606" s="5">
        <v>188.5</v>
      </c>
      <c r="G29606" s="5">
        <v>94</v>
      </c>
      <c r="H29606" s="5">
        <v>93.9</v>
      </c>
      <c r="I29606" s="5">
        <v>0</v>
      </c>
      <c r="J29606" s="5">
        <v>0</v>
      </c>
      <c r="K29606" s="5">
        <v>0</v>
      </c>
    </row>
    <row r="29607" spans="1:11" x14ac:dyDescent="0.25">
      <c r="A29607" s="5">
        <f>29600</f>
      </c>
      <c r="B29607" s="5" t="s">
        <v>29615</v>
      </c>
      <c r="C29607" s="5">
        <v>94.3</v>
      </c>
      <c r="D29607" s="5">
        <v>0.1</v>
      </c>
      <c r="E29607" s="5">
        <v>94.4</v>
      </c>
      <c r="F29607" s="5">
        <v>193.8</v>
      </c>
      <c r="G29607" s="5">
        <v>96.6</v>
      </c>
      <c r="H29607" s="5">
        <v>96.4</v>
      </c>
      <c r="I29607" s="5">
        <v>0</v>
      </c>
      <c r="J29607" s="5">
        <v>0</v>
      </c>
      <c r="K29607" s="5">
        <v>0</v>
      </c>
    </row>
    <row r="29608" spans="1:11" x14ac:dyDescent="0.25">
      <c r="A29608" s="5">
        <f>29601</f>
      </c>
      <c r="B29608" s="5" t="s">
        <v>29616</v>
      </c>
      <c r="C29608" s="5">
        <v>94.3</v>
      </c>
      <c r="D29608" s="5">
        <v>0.1</v>
      </c>
      <c r="E29608" s="5">
        <v>94.4</v>
      </c>
      <c r="F29608" s="5">
        <v>193.8</v>
      </c>
      <c r="G29608" s="5">
        <v>96.6</v>
      </c>
      <c r="H29608" s="5">
        <v>96.4</v>
      </c>
      <c r="I29608" s="5">
        <v>0</v>
      </c>
      <c r="J29608" s="5">
        <v>0</v>
      </c>
      <c r="K29608" s="5">
        <v>0</v>
      </c>
    </row>
    <row r="29609" spans="1:11" x14ac:dyDescent="0.25">
      <c r="A29609" s="5">
        <f>29602</f>
      </c>
      <c r="B29609" s="5" t="s">
        <v>29617</v>
      </c>
      <c r="C29609" s="5">
        <v>99.6</v>
      </c>
      <c r="D29609" s="5">
        <v>0.1</v>
      </c>
      <c r="E29609" s="5">
        <v>99.8</v>
      </c>
      <c r="F29609" s="5">
        <v>190.6</v>
      </c>
      <c r="G29609" s="5">
        <v>95.2</v>
      </c>
      <c r="H29609" s="5">
        <v>95.2</v>
      </c>
      <c r="I29609" s="5">
        <v>0</v>
      </c>
      <c r="J29609" s="5">
        <v>0</v>
      </c>
      <c r="K29609" s="5">
        <v>0</v>
      </c>
    </row>
    <row r="29610" spans="1:11" x14ac:dyDescent="0.25">
      <c r="A29610" s="5">
        <f>29603</f>
      </c>
      <c r="B29610" s="5" t="s">
        <v>29618</v>
      </c>
      <c r="C29610" s="5">
        <v>99.6</v>
      </c>
      <c r="D29610" s="5">
        <v>0.1</v>
      </c>
      <c r="E29610" s="5">
        <v>99.8</v>
      </c>
      <c r="F29610" s="5">
        <v>190.6</v>
      </c>
      <c r="G29610" s="5">
        <v>95.2</v>
      </c>
      <c r="H29610" s="5">
        <v>95.2</v>
      </c>
      <c r="I29610" s="5">
        <v>0</v>
      </c>
      <c r="J29610" s="5">
        <v>0</v>
      </c>
      <c r="K29610" s="5">
        <v>0</v>
      </c>
    </row>
    <row r="29611" spans="1:11" x14ac:dyDescent="0.25">
      <c r="A29611" s="5">
        <f>29604</f>
      </c>
      <c r="B29611" s="5" t="s">
        <v>29619</v>
      </c>
      <c r="C29611" s="5">
        <v>96.2</v>
      </c>
      <c r="D29611" s="5">
        <v>0.1</v>
      </c>
      <c r="E29611" s="5">
        <v>96.4</v>
      </c>
      <c r="F29611" s="5">
        <v>194.5</v>
      </c>
      <c r="G29611" s="5">
        <v>97</v>
      </c>
      <c r="H29611" s="5">
        <v>96.9</v>
      </c>
      <c r="I29611" s="5">
        <v>0</v>
      </c>
      <c r="J29611" s="5">
        <v>0</v>
      </c>
      <c r="K29611" s="5">
        <v>0</v>
      </c>
    </row>
    <row r="29612" spans="1:11" x14ac:dyDescent="0.25">
      <c r="A29612" s="5">
        <f>29605</f>
      </c>
      <c r="B29612" s="5" t="s">
        <v>29620</v>
      </c>
      <c r="C29612" s="5">
        <v>96.2</v>
      </c>
      <c r="D29612" s="5">
        <v>0.1</v>
      </c>
      <c r="E29612" s="5">
        <v>96.4</v>
      </c>
      <c r="F29612" s="5">
        <v>194.5</v>
      </c>
      <c r="G29612" s="5">
        <v>97</v>
      </c>
      <c r="H29612" s="5">
        <v>96.9</v>
      </c>
      <c r="I29612" s="5">
        <v>0</v>
      </c>
      <c r="J29612" s="5">
        <v>0</v>
      </c>
      <c r="K29612" s="5">
        <v>0</v>
      </c>
    </row>
    <row r="29613" spans="1:11" x14ac:dyDescent="0.25">
      <c r="A29613" s="5">
        <f>29606</f>
      </c>
      <c r="B29613" s="5" t="s">
        <v>29621</v>
      </c>
      <c r="C29613" s="5">
        <v>95.9</v>
      </c>
      <c r="D29613" s="5">
        <v>0.1</v>
      </c>
      <c r="E29613" s="5">
        <v>96</v>
      </c>
      <c r="F29613" s="5">
        <v>197</v>
      </c>
      <c r="G29613" s="5">
        <v>98.1</v>
      </c>
      <c r="H29613" s="5">
        <v>97.9</v>
      </c>
      <c r="I29613" s="5">
        <v>0</v>
      </c>
      <c r="J29613" s="5">
        <v>0</v>
      </c>
      <c r="K29613" s="5">
        <v>0</v>
      </c>
    </row>
    <row r="29614" spans="1:11" x14ac:dyDescent="0.25">
      <c r="A29614" s="5">
        <f>29607</f>
      </c>
      <c r="B29614" s="5" t="s">
        <v>29622</v>
      </c>
      <c r="C29614" s="5">
        <v>95.9</v>
      </c>
      <c r="D29614" s="5">
        <v>0.1</v>
      </c>
      <c r="E29614" s="5">
        <v>96</v>
      </c>
      <c r="F29614" s="5">
        <v>197</v>
      </c>
      <c r="G29614" s="5">
        <v>98.1</v>
      </c>
      <c r="H29614" s="5">
        <v>97.9</v>
      </c>
      <c r="I29614" s="5">
        <v>0</v>
      </c>
      <c r="J29614" s="5">
        <v>0</v>
      </c>
      <c r="K29614" s="5">
        <v>0</v>
      </c>
    </row>
    <row r="29615" spans="1:11" x14ac:dyDescent="0.25">
      <c r="A29615" s="5">
        <f>29608</f>
      </c>
      <c r="B29615" s="5" t="s">
        <v>29623</v>
      </c>
      <c r="C29615" s="5">
        <v>95.9</v>
      </c>
      <c r="D29615" s="5">
        <v>0.1</v>
      </c>
      <c r="E29615" s="5">
        <v>96</v>
      </c>
      <c r="F29615" s="5">
        <v>197</v>
      </c>
      <c r="G29615" s="5">
        <v>98.1</v>
      </c>
      <c r="H29615" s="5">
        <v>97.9</v>
      </c>
      <c r="I29615" s="5">
        <v>0</v>
      </c>
      <c r="J29615" s="5">
        <v>0</v>
      </c>
      <c r="K29615" s="5">
        <v>0</v>
      </c>
    </row>
    <row r="29616" spans="1:11" x14ac:dyDescent="0.25">
      <c r="A29616" s="5">
        <f>29609</f>
      </c>
      <c r="B29616" s="5" t="s">
        <v>29624</v>
      </c>
      <c r="C29616" s="5">
        <v>95.9</v>
      </c>
      <c r="D29616" s="5">
        <v>0.1</v>
      </c>
      <c r="E29616" s="5">
        <v>96</v>
      </c>
      <c r="F29616" s="5">
        <v>197</v>
      </c>
      <c r="G29616" s="5">
        <v>98.1</v>
      </c>
      <c r="H29616" s="5">
        <v>97.9</v>
      </c>
      <c r="I29616" s="5">
        <v>0</v>
      </c>
      <c r="J29616" s="5">
        <v>0</v>
      </c>
      <c r="K29616" s="5">
        <v>0</v>
      </c>
    </row>
    <row r="29617" spans="1:11" x14ac:dyDescent="0.25">
      <c r="A29617" s="5">
        <f>29610</f>
      </c>
      <c r="B29617" s="5" t="s">
        <v>29625</v>
      </c>
      <c r="C29617" s="5">
        <v>97.6</v>
      </c>
      <c r="D29617" s="5">
        <v>0.1</v>
      </c>
      <c r="E29617" s="5">
        <v>97.7</v>
      </c>
      <c r="F29617" s="5">
        <v>196.4</v>
      </c>
      <c r="G29617" s="5">
        <v>97.9</v>
      </c>
      <c r="H29617" s="5">
        <v>97.8</v>
      </c>
      <c r="I29617" s="5">
        <v>0</v>
      </c>
      <c r="J29617" s="5">
        <v>0</v>
      </c>
      <c r="K29617" s="5">
        <v>0</v>
      </c>
    </row>
    <row r="29618" spans="1:11" x14ac:dyDescent="0.25">
      <c r="A29618" s="5">
        <f>29611</f>
      </c>
      <c r="B29618" s="5" t="s">
        <v>29626</v>
      </c>
      <c r="C29618" s="5">
        <v>97.6</v>
      </c>
      <c r="D29618" s="5">
        <v>0.1</v>
      </c>
      <c r="E29618" s="5">
        <v>97.7</v>
      </c>
      <c r="F29618" s="5">
        <v>196.4</v>
      </c>
      <c r="G29618" s="5">
        <v>97.9</v>
      </c>
      <c r="H29618" s="5">
        <v>97.8</v>
      </c>
      <c r="I29618" s="5">
        <v>0</v>
      </c>
      <c r="J29618" s="5">
        <v>0</v>
      </c>
      <c r="K29618" s="5">
        <v>0</v>
      </c>
    </row>
    <row r="29619" spans="1:11" x14ac:dyDescent="0.25">
      <c r="A29619" s="5">
        <f>29612</f>
      </c>
      <c r="B29619" s="5" t="s">
        <v>29627</v>
      </c>
      <c r="C29619" s="5">
        <v>101.8</v>
      </c>
      <c r="D29619" s="5">
        <v>0.1</v>
      </c>
      <c r="E29619" s="5">
        <v>101.9</v>
      </c>
      <c r="F29619" s="5">
        <v>204.2</v>
      </c>
      <c r="G29619" s="5">
        <v>101.9</v>
      </c>
      <c r="H29619" s="5">
        <v>101.7</v>
      </c>
      <c r="I29619" s="5">
        <v>0</v>
      </c>
      <c r="J29619" s="5">
        <v>0</v>
      </c>
      <c r="K29619" s="5">
        <v>0</v>
      </c>
    </row>
    <row r="29620" spans="1:11" x14ac:dyDescent="0.25">
      <c r="A29620" s="5">
        <f>29613</f>
      </c>
      <c r="B29620" s="5" t="s">
        <v>29628</v>
      </c>
      <c r="C29620" s="5">
        <v>101.8</v>
      </c>
      <c r="D29620" s="5">
        <v>0.1</v>
      </c>
      <c r="E29620" s="5">
        <v>101.9</v>
      </c>
      <c r="F29620" s="5">
        <v>204.2</v>
      </c>
      <c r="G29620" s="5">
        <v>101.9</v>
      </c>
      <c r="H29620" s="5">
        <v>101.7</v>
      </c>
      <c r="I29620" s="5">
        <v>0</v>
      </c>
      <c r="J29620" s="5">
        <v>0</v>
      </c>
      <c r="K29620" s="5">
        <v>0</v>
      </c>
    </row>
    <row r="29621" spans="1:11" x14ac:dyDescent="0.25">
      <c r="A29621" s="5">
        <f>29614</f>
      </c>
      <c r="B29621" s="5" t="s">
        <v>29629</v>
      </c>
      <c r="C29621" s="5">
        <v>96.9</v>
      </c>
      <c r="D29621" s="5">
        <v>0.1</v>
      </c>
      <c r="E29621" s="5">
        <v>97</v>
      </c>
      <c r="F29621" s="5">
        <v>193.9</v>
      </c>
      <c r="G29621" s="5">
        <v>96.7</v>
      </c>
      <c r="H29621" s="5">
        <v>96.6</v>
      </c>
      <c r="I29621" s="5">
        <v>0</v>
      </c>
      <c r="J29621" s="5">
        <v>0</v>
      </c>
      <c r="K29621" s="5">
        <v>0</v>
      </c>
    </row>
    <row r="29622" spans="1:11" x14ac:dyDescent="0.25">
      <c r="A29622" s="5">
        <f>29615</f>
      </c>
      <c r="B29622" s="5" t="s">
        <v>29630</v>
      </c>
      <c r="C29622" s="5">
        <v>96.9</v>
      </c>
      <c r="D29622" s="5">
        <v>0.1</v>
      </c>
      <c r="E29622" s="5">
        <v>97</v>
      </c>
      <c r="F29622" s="5">
        <v>193.9</v>
      </c>
      <c r="G29622" s="5">
        <v>96.7</v>
      </c>
      <c r="H29622" s="5">
        <v>96.6</v>
      </c>
      <c r="I29622" s="5">
        <v>0</v>
      </c>
      <c r="J29622" s="5">
        <v>0</v>
      </c>
      <c r="K29622" s="5">
        <v>0</v>
      </c>
    </row>
    <row r="29623" spans="1:11" x14ac:dyDescent="0.25">
      <c r="A29623" s="5">
        <f>29616</f>
      </c>
      <c r="B29623" s="5" t="s">
        <v>29631</v>
      </c>
      <c r="C29623" s="5">
        <v>96.9</v>
      </c>
      <c r="D29623" s="5">
        <v>0.1</v>
      </c>
      <c r="E29623" s="5">
        <v>97</v>
      </c>
      <c r="F29623" s="5">
        <v>192.2</v>
      </c>
      <c r="G29623" s="5">
        <v>95.9</v>
      </c>
      <c r="H29623" s="5">
        <v>95.9</v>
      </c>
      <c r="I29623" s="5">
        <v>0</v>
      </c>
      <c r="J29623" s="5">
        <v>0</v>
      </c>
      <c r="K29623" s="5">
        <v>0</v>
      </c>
    </row>
    <row r="29624" spans="1:11" x14ac:dyDescent="0.25">
      <c r="A29624" s="5">
        <f>29617</f>
      </c>
      <c r="B29624" s="5" t="s">
        <v>29632</v>
      </c>
      <c r="C29624" s="5">
        <v>96.9</v>
      </c>
      <c r="D29624" s="5">
        <v>0.1</v>
      </c>
      <c r="E29624" s="5">
        <v>97</v>
      </c>
      <c r="F29624" s="5">
        <v>192.2</v>
      </c>
      <c r="G29624" s="5">
        <v>95.9</v>
      </c>
      <c r="H29624" s="5">
        <v>95.9</v>
      </c>
      <c r="I29624" s="5">
        <v>0</v>
      </c>
      <c r="J29624" s="5">
        <v>0</v>
      </c>
      <c r="K29624" s="5">
        <v>0</v>
      </c>
    </row>
    <row r="29625" spans="1:11" x14ac:dyDescent="0.25">
      <c r="A29625" s="5">
        <f>29618</f>
      </c>
      <c r="B29625" s="5" t="s">
        <v>29633</v>
      </c>
      <c r="C29625" s="5">
        <v>96.9</v>
      </c>
      <c r="D29625" s="5">
        <v>0.1</v>
      </c>
      <c r="E29625" s="5">
        <v>97</v>
      </c>
      <c r="F29625" s="5">
        <v>192.2</v>
      </c>
      <c r="G29625" s="5">
        <v>95.9</v>
      </c>
      <c r="H29625" s="5">
        <v>95.9</v>
      </c>
      <c r="I29625" s="5">
        <v>0</v>
      </c>
      <c r="J29625" s="5">
        <v>0</v>
      </c>
      <c r="K29625" s="5">
        <v>0</v>
      </c>
    </row>
    <row r="29626" spans="1:11" x14ac:dyDescent="0.25">
      <c r="A29626" s="5">
        <f>29619</f>
      </c>
      <c r="B29626" s="5" t="s">
        <v>29634</v>
      </c>
      <c r="C29626" s="5">
        <v>94.8</v>
      </c>
      <c r="D29626" s="5">
        <v>0.1</v>
      </c>
      <c r="E29626" s="5">
        <v>94.9</v>
      </c>
      <c r="F29626" s="5">
        <v>190.3</v>
      </c>
      <c r="G29626" s="5">
        <v>94.9</v>
      </c>
      <c r="H29626" s="5">
        <v>94.7</v>
      </c>
      <c r="I29626" s="5">
        <v>0</v>
      </c>
      <c r="J29626" s="5">
        <v>0</v>
      </c>
      <c r="K29626" s="5">
        <v>0</v>
      </c>
    </row>
    <row r="29627" spans="1:11" x14ac:dyDescent="0.25">
      <c r="A29627" s="5">
        <f>29620</f>
      </c>
      <c r="B29627" s="5" t="s">
        <v>29635</v>
      </c>
      <c r="C29627" s="5">
        <v>94.8</v>
      </c>
      <c r="D29627" s="5">
        <v>0.1</v>
      </c>
      <c r="E29627" s="5">
        <v>94.9</v>
      </c>
      <c r="F29627" s="5">
        <v>190.3</v>
      </c>
      <c r="G29627" s="5">
        <v>94.9</v>
      </c>
      <c r="H29627" s="5">
        <v>94.7</v>
      </c>
      <c r="I29627" s="5">
        <v>0</v>
      </c>
      <c r="J29627" s="5">
        <v>0</v>
      </c>
      <c r="K29627" s="5">
        <v>0</v>
      </c>
    </row>
    <row r="29628" spans="1:11" x14ac:dyDescent="0.25">
      <c r="A29628" s="5">
        <f>29621</f>
      </c>
      <c r="B29628" s="5" t="s">
        <v>29636</v>
      </c>
      <c r="C29628" s="5">
        <v>101.9</v>
      </c>
      <c r="D29628" s="5">
        <v>0.1</v>
      </c>
      <c r="E29628" s="5">
        <v>102.1</v>
      </c>
      <c r="F29628" s="5">
        <v>201.2</v>
      </c>
      <c r="G29628" s="5">
        <v>100.4</v>
      </c>
      <c r="H29628" s="5">
        <v>100.3</v>
      </c>
      <c r="I29628" s="5">
        <v>0</v>
      </c>
      <c r="J29628" s="5">
        <v>0</v>
      </c>
      <c r="K29628" s="5">
        <v>0</v>
      </c>
    </row>
    <row r="29629" spans="1:11" x14ac:dyDescent="0.25">
      <c r="A29629" s="5">
        <f>29622</f>
      </c>
      <c r="B29629" s="5" t="s">
        <v>29637</v>
      </c>
      <c r="C29629" s="5">
        <v>101.9</v>
      </c>
      <c r="D29629" s="5">
        <v>0.1</v>
      </c>
      <c r="E29629" s="5">
        <v>102.1</v>
      </c>
      <c r="F29629" s="5">
        <v>201.2</v>
      </c>
      <c r="G29629" s="5">
        <v>100.4</v>
      </c>
      <c r="H29629" s="5">
        <v>100.3</v>
      </c>
      <c r="I29629" s="5">
        <v>0</v>
      </c>
      <c r="J29629" s="5">
        <v>0</v>
      </c>
      <c r="K29629" s="5">
        <v>0</v>
      </c>
    </row>
    <row r="29630" spans="1:11" x14ac:dyDescent="0.25">
      <c r="A29630" s="5">
        <f>29623</f>
      </c>
      <c r="B29630" s="5" t="s">
        <v>29638</v>
      </c>
      <c r="C29630" s="5">
        <v>101.1</v>
      </c>
      <c r="D29630" s="5">
        <v>0.1</v>
      </c>
      <c r="E29630" s="5">
        <v>101.2</v>
      </c>
      <c r="F29630" s="5">
        <v>202.7</v>
      </c>
      <c r="G29630" s="5">
        <v>101.1</v>
      </c>
      <c r="H29630" s="5">
        <v>100.9</v>
      </c>
      <c r="I29630" s="5">
        <v>0</v>
      </c>
      <c r="J29630" s="5">
        <v>0</v>
      </c>
      <c r="K29630" s="5">
        <v>0</v>
      </c>
    </row>
    <row r="29631" spans="1:11" x14ac:dyDescent="0.25">
      <c r="A29631" s="5">
        <f>29624</f>
      </c>
      <c r="B29631" s="5" t="s">
        <v>29639</v>
      </c>
      <c r="C29631" s="5">
        <v>101.1</v>
      </c>
      <c r="D29631" s="5">
        <v>0.1</v>
      </c>
      <c r="E29631" s="5">
        <v>101.2</v>
      </c>
      <c r="F29631" s="5">
        <v>202.7</v>
      </c>
      <c r="G29631" s="5">
        <v>101.1</v>
      </c>
      <c r="H29631" s="5">
        <v>100.9</v>
      </c>
      <c r="I29631" s="5">
        <v>0</v>
      </c>
      <c r="J29631" s="5">
        <v>0</v>
      </c>
      <c r="K29631" s="5">
        <v>0</v>
      </c>
    </row>
    <row r="29632" spans="1:11" x14ac:dyDescent="0.25">
      <c r="A29632" s="5">
        <f>29625</f>
      </c>
      <c r="B29632" s="5" t="s">
        <v>29640</v>
      </c>
      <c r="C29632" s="5">
        <v>101.8</v>
      </c>
      <c r="D29632" s="5">
        <v>0.1</v>
      </c>
      <c r="E29632" s="5">
        <v>102</v>
      </c>
      <c r="F29632" s="5">
        <v>201.9</v>
      </c>
      <c r="G29632" s="5">
        <v>100.7</v>
      </c>
      <c r="H29632" s="5">
        <v>100.6</v>
      </c>
      <c r="I29632" s="5">
        <v>0</v>
      </c>
      <c r="J29632" s="5">
        <v>0</v>
      </c>
      <c r="K29632" s="5">
        <v>0</v>
      </c>
    </row>
    <row r="29633" spans="1:11" x14ac:dyDescent="0.25">
      <c r="A29633" s="5">
        <f>29626</f>
      </c>
      <c r="B29633" s="5" t="s">
        <v>29641</v>
      </c>
      <c r="C29633" s="5">
        <v>101.8</v>
      </c>
      <c r="D29633" s="5">
        <v>0.1</v>
      </c>
      <c r="E29633" s="5">
        <v>102</v>
      </c>
      <c r="F29633" s="5">
        <v>201.9</v>
      </c>
      <c r="G29633" s="5">
        <v>100.7</v>
      </c>
      <c r="H29633" s="5">
        <v>100.6</v>
      </c>
      <c r="I29633" s="5">
        <v>0</v>
      </c>
      <c r="J29633" s="5">
        <v>0</v>
      </c>
      <c r="K29633" s="5">
        <v>0</v>
      </c>
    </row>
    <row r="29634" spans="1:11" x14ac:dyDescent="0.25">
      <c r="A29634" s="5">
        <f>29627</f>
      </c>
      <c r="B29634" s="5" t="s">
        <v>29642</v>
      </c>
      <c r="C29634" s="5">
        <v>101.8</v>
      </c>
      <c r="D29634" s="5">
        <v>0.1</v>
      </c>
      <c r="E29634" s="5">
        <v>102</v>
      </c>
      <c r="F29634" s="5">
        <v>201.9</v>
      </c>
      <c r="G29634" s="5">
        <v>100.7</v>
      </c>
      <c r="H29634" s="5">
        <v>100.6</v>
      </c>
      <c r="I29634" s="5">
        <v>0</v>
      </c>
      <c r="J29634" s="5">
        <v>0</v>
      </c>
      <c r="K29634" s="5">
        <v>0</v>
      </c>
    </row>
    <row r="29635" spans="1:11" x14ac:dyDescent="0.25">
      <c r="A29635" s="5">
        <f>29628</f>
      </c>
      <c r="B29635" s="5" t="s">
        <v>29643</v>
      </c>
      <c r="C29635" s="5">
        <v>101.8</v>
      </c>
      <c r="D29635" s="5">
        <v>0.1</v>
      </c>
      <c r="E29635" s="5">
        <v>102</v>
      </c>
      <c r="F29635" s="5">
        <v>201.9</v>
      </c>
      <c r="G29635" s="5">
        <v>100.7</v>
      </c>
      <c r="H29635" s="5">
        <v>100.6</v>
      </c>
      <c r="I29635" s="5">
        <v>0</v>
      </c>
      <c r="J29635" s="5">
        <v>0</v>
      </c>
      <c r="K29635" s="5">
        <v>0</v>
      </c>
    </row>
    <row r="29636" spans="1:11" x14ac:dyDescent="0.25">
      <c r="A29636" s="5">
        <f>29629</f>
      </c>
      <c r="B29636" s="5" t="s">
        <v>29644</v>
      </c>
      <c r="C29636" s="5">
        <v>98.9</v>
      </c>
      <c r="D29636" s="5">
        <v>0.1</v>
      </c>
      <c r="E29636" s="5">
        <v>99.1</v>
      </c>
      <c r="F29636" s="5">
        <v>197.8</v>
      </c>
      <c r="G29636" s="5">
        <v>98.7</v>
      </c>
      <c r="H29636" s="5">
        <v>98.5</v>
      </c>
      <c r="I29636" s="5">
        <v>0</v>
      </c>
      <c r="J29636" s="5">
        <v>0</v>
      </c>
      <c r="K29636" s="5">
        <v>0</v>
      </c>
    </row>
    <row r="29637" spans="1:11" x14ac:dyDescent="0.25">
      <c r="A29637" s="5">
        <f>29630</f>
      </c>
      <c r="B29637" s="5" t="s">
        <v>29645</v>
      </c>
      <c r="C29637" s="5">
        <v>98.9</v>
      </c>
      <c r="D29637" s="5">
        <v>0.1</v>
      </c>
      <c r="E29637" s="5">
        <v>99.1</v>
      </c>
      <c r="F29637" s="5">
        <v>197.8</v>
      </c>
      <c r="G29637" s="5">
        <v>98.7</v>
      </c>
      <c r="H29637" s="5">
        <v>98.5</v>
      </c>
      <c r="I29637" s="5">
        <v>0</v>
      </c>
      <c r="J29637" s="5">
        <v>0</v>
      </c>
      <c r="K29637" s="5">
        <v>0</v>
      </c>
    </row>
    <row r="29638" spans="1:11" x14ac:dyDescent="0.25">
      <c r="A29638" s="5">
        <f>29631</f>
      </c>
      <c r="B29638" s="5" t="s">
        <v>29646</v>
      </c>
      <c r="C29638" s="5">
        <v>99.4</v>
      </c>
      <c r="D29638" s="5">
        <v>0.1</v>
      </c>
      <c r="E29638" s="5">
        <v>99.5</v>
      </c>
      <c r="F29638" s="5">
        <v>197.5</v>
      </c>
      <c r="G29638" s="5">
        <v>98.7</v>
      </c>
      <c r="H29638" s="5">
        <v>98.5</v>
      </c>
      <c r="I29638" s="5">
        <v>0</v>
      </c>
      <c r="J29638" s="5">
        <v>0</v>
      </c>
      <c r="K29638" s="5">
        <v>0</v>
      </c>
    </row>
    <row r="29639" spans="1:11" x14ac:dyDescent="0.25">
      <c r="A29639" s="5">
        <f>29632</f>
      </c>
      <c r="B29639" s="5" t="s">
        <v>29647</v>
      </c>
      <c r="C29639" s="5">
        <v>99.4</v>
      </c>
      <c r="D29639" s="5">
        <v>0.1</v>
      </c>
      <c r="E29639" s="5">
        <v>99.5</v>
      </c>
      <c r="F29639" s="5">
        <v>197.5</v>
      </c>
      <c r="G29639" s="5">
        <v>98.5</v>
      </c>
      <c r="H29639" s="5">
        <v>98.4</v>
      </c>
      <c r="I29639" s="5">
        <v>0</v>
      </c>
      <c r="J29639" s="5">
        <v>0</v>
      </c>
      <c r="K29639" s="5">
        <v>0</v>
      </c>
    </row>
    <row r="29640" spans="1:11" x14ac:dyDescent="0.25">
      <c r="A29640" s="5">
        <f>29633</f>
      </c>
      <c r="B29640" s="5" t="s">
        <v>29648</v>
      </c>
      <c r="C29640" s="5">
        <v>98.9</v>
      </c>
      <c r="D29640" s="5">
        <v>0.1</v>
      </c>
      <c r="E29640" s="5">
        <v>99.5</v>
      </c>
      <c r="F29640" s="5">
        <v>197.5</v>
      </c>
      <c r="G29640" s="5">
        <v>98.5</v>
      </c>
      <c r="H29640" s="5">
        <v>98.4</v>
      </c>
      <c r="I29640" s="5">
        <v>0</v>
      </c>
      <c r="J29640" s="5">
        <v>0</v>
      </c>
      <c r="K29640" s="5">
        <v>0</v>
      </c>
    </row>
    <row r="29641" spans="1:11" x14ac:dyDescent="0.25">
      <c r="A29641" s="5">
        <f>29634</f>
      </c>
      <c r="B29641" s="5" t="s">
        <v>29649</v>
      </c>
      <c r="C29641" s="5">
        <v>98.9</v>
      </c>
      <c r="D29641" s="5">
        <v>0.1</v>
      </c>
      <c r="E29641" s="5">
        <v>99.1</v>
      </c>
      <c r="F29641" s="5">
        <v>196.8</v>
      </c>
      <c r="G29641" s="5">
        <v>98.2</v>
      </c>
      <c r="H29641" s="5">
        <v>98.2</v>
      </c>
      <c r="I29641" s="5">
        <v>0</v>
      </c>
      <c r="J29641" s="5">
        <v>0</v>
      </c>
      <c r="K29641" s="5">
        <v>0</v>
      </c>
    </row>
    <row r="29642" spans="1:11" x14ac:dyDescent="0.25">
      <c r="A29642" s="5">
        <f>29635</f>
      </c>
      <c r="B29642" s="5" t="s">
        <v>29650</v>
      </c>
      <c r="C29642" s="5">
        <v>98.9</v>
      </c>
      <c r="D29642" s="5">
        <v>0.1</v>
      </c>
      <c r="E29642" s="5">
        <v>99.1</v>
      </c>
      <c r="F29642" s="5">
        <v>196.8</v>
      </c>
      <c r="G29642" s="5">
        <v>98.2</v>
      </c>
      <c r="H29642" s="5">
        <v>98.2</v>
      </c>
      <c r="I29642" s="5">
        <v>0</v>
      </c>
      <c r="J29642" s="5">
        <v>0</v>
      </c>
      <c r="K29642" s="5">
        <v>0</v>
      </c>
    </row>
    <row r="29643" spans="1:11" x14ac:dyDescent="0.25">
      <c r="A29643" s="5">
        <f>29636</f>
      </c>
      <c r="B29643" s="5" t="s">
        <v>29651</v>
      </c>
      <c r="C29643" s="5">
        <v>98.9</v>
      </c>
      <c r="D29643" s="5">
        <v>0.1</v>
      </c>
      <c r="E29643" s="5">
        <v>99.1</v>
      </c>
      <c r="F29643" s="5">
        <v>198</v>
      </c>
      <c r="G29643" s="5">
        <v>98.8</v>
      </c>
      <c r="H29643" s="5">
        <v>98.6</v>
      </c>
      <c r="I29643" s="5">
        <v>0</v>
      </c>
      <c r="J29643" s="5">
        <v>0</v>
      </c>
      <c r="K29643" s="5">
        <v>0</v>
      </c>
    </row>
    <row r="29644" spans="1:11" x14ac:dyDescent="0.25">
      <c r="A29644" s="5">
        <f>29637</f>
      </c>
      <c r="B29644" s="5" t="s">
        <v>29652</v>
      </c>
      <c r="C29644" s="5">
        <v>98.9</v>
      </c>
      <c r="D29644" s="5">
        <v>0.1</v>
      </c>
      <c r="E29644" s="5">
        <v>99.1</v>
      </c>
      <c r="F29644" s="5">
        <v>198</v>
      </c>
      <c r="G29644" s="5">
        <v>98.8</v>
      </c>
      <c r="H29644" s="5">
        <v>98.6</v>
      </c>
      <c r="I29644" s="5">
        <v>0</v>
      </c>
      <c r="J29644" s="5">
        <v>0</v>
      </c>
      <c r="K29644" s="5">
        <v>0</v>
      </c>
    </row>
    <row r="29645" spans="1:11" x14ac:dyDescent="0.25">
      <c r="A29645" s="5">
        <f>29638</f>
      </c>
      <c r="B29645" s="5" t="s">
        <v>29653</v>
      </c>
      <c r="C29645" s="5">
        <v>98.9</v>
      </c>
      <c r="D29645" s="5">
        <v>0.1</v>
      </c>
      <c r="E29645" s="5">
        <v>99.1</v>
      </c>
      <c r="F29645" s="5">
        <v>198</v>
      </c>
      <c r="G29645" s="5">
        <v>98.8</v>
      </c>
      <c r="H29645" s="5">
        <v>98.6</v>
      </c>
      <c r="I29645" s="5">
        <v>0</v>
      </c>
      <c r="J29645" s="5">
        <v>0</v>
      </c>
      <c r="K29645" s="5">
        <v>0</v>
      </c>
    </row>
    <row r="29646" spans="1:11" x14ac:dyDescent="0.25">
      <c r="A29646" s="5">
        <f>29639</f>
      </c>
      <c r="B29646" s="5" t="s">
        <v>29654</v>
      </c>
      <c r="C29646" s="5">
        <v>98.9</v>
      </c>
      <c r="D29646" s="5">
        <v>0.1</v>
      </c>
      <c r="E29646" s="5">
        <v>99.1</v>
      </c>
      <c r="F29646" s="5">
        <v>197.4</v>
      </c>
      <c r="G29646" s="5">
        <v>98.5</v>
      </c>
      <c r="H29646" s="5">
        <v>98.3</v>
      </c>
      <c r="I29646" s="5">
        <v>0</v>
      </c>
      <c r="J29646" s="5">
        <v>0</v>
      </c>
      <c r="K29646" s="5">
        <v>0</v>
      </c>
    </row>
    <row r="29647" spans="1:11" x14ac:dyDescent="0.25">
      <c r="A29647" s="5">
        <f>29640</f>
      </c>
      <c r="B29647" s="5" t="s">
        <v>29655</v>
      </c>
      <c r="C29647" s="5">
        <v>99.5</v>
      </c>
      <c r="D29647" s="5">
        <v>0.1</v>
      </c>
      <c r="E29647" s="5">
        <v>99.6</v>
      </c>
      <c r="F29647" s="5">
        <v>197.4</v>
      </c>
      <c r="G29647" s="5">
        <v>98.5</v>
      </c>
      <c r="H29647" s="5">
        <v>98.3</v>
      </c>
      <c r="I29647" s="5">
        <v>0</v>
      </c>
      <c r="J29647" s="5">
        <v>0</v>
      </c>
      <c r="K29647" s="5">
        <v>0</v>
      </c>
    </row>
    <row r="29648" spans="1:11" x14ac:dyDescent="0.25">
      <c r="A29648" s="5">
        <f>29641</f>
      </c>
      <c r="B29648" s="5" t="s">
        <v>29656</v>
      </c>
      <c r="C29648" s="5">
        <v>99.5</v>
      </c>
      <c r="D29648" s="5">
        <v>0.1</v>
      </c>
      <c r="E29648" s="5">
        <v>99.6</v>
      </c>
      <c r="F29648" s="5">
        <v>197.4</v>
      </c>
      <c r="G29648" s="5">
        <v>99.2</v>
      </c>
      <c r="H29648" s="5">
        <v>99</v>
      </c>
      <c r="I29648" s="5">
        <v>0</v>
      </c>
      <c r="J29648" s="5">
        <v>0</v>
      </c>
      <c r="K29648" s="5">
        <v>0</v>
      </c>
    </row>
    <row r="29649" spans="1:11" x14ac:dyDescent="0.25">
      <c r="A29649" s="5">
        <f>29642</f>
      </c>
      <c r="B29649" s="5" t="s">
        <v>29657</v>
      </c>
      <c r="C29649" s="5">
        <v>100</v>
      </c>
      <c r="D29649" s="5">
        <v>0.1</v>
      </c>
      <c r="E29649" s="5">
        <v>100.2</v>
      </c>
      <c r="F29649" s="5">
        <v>199</v>
      </c>
      <c r="G29649" s="5">
        <v>99.2</v>
      </c>
      <c r="H29649" s="5">
        <v>99</v>
      </c>
      <c r="I29649" s="5">
        <v>0</v>
      </c>
      <c r="J29649" s="5">
        <v>0</v>
      </c>
      <c r="K29649" s="5">
        <v>0</v>
      </c>
    </row>
    <row r="29650" spans="1:11" x14ac:dyDescent="0.25">
      <c r="A29650" s="5">
        <f>29643</f>
      </c>
      <c r="B29650" s="5" t="s">
        <v>29658</v>
      </c>
      <c r="C29650" s="5">
        <v>100</v>
      </c>
      <c r="D29650" s="5">
        <v>0.1</v>
      </c>
      <c r="E29650" s="5">
        <v>100.2</v>
      </c>
      <c r="F29650" s="5">
        <v>199</v>
      </c>
      <c r="G29650" s="5">
        <v>99.2</v>
      </c>
      <c r="H29650" s="5">
        <v>99</v>
      </c>
      <c r="I29650" s="5">
        <v>0</v>
      </c>
      <c r="J29650" s="5">
        <v>0</v>
      </c>
      <c r="K29650" s="5">
        <v>0</v>
      </c>
    </row>
    <row r="29651" spans="1:11" x14ac:dyDescent="0.25">
      <c r="A29651" s="5">
        <f>29644</f>
      </c>
      <c r="B29651" s="5" t="s">
        <v>29659</v>
      </c>
      <c r="C29651" s="5">
        <v>100.1</v>
      </c>
      <c r="D29651" s="5">
        <v>0.1</v>
      </c>
      <c r="E29651" s="5">
        <v>100.2</v>
      </c>
      <c r="F29651" s="5">
        <v>198.9</v>
      </c>
      <c r="G29651" s="5">
        <v>99.2</v>
      </c>
      <c r="H29651" s="5">
        <v>99.1</v>
      </c>
      <c r="I29651" s="5">
        <v>0</v>
      </c>
      <c r="J29651" s="5">
        <v>0</v>
      </c>
      <c r="K29651" s="5">
        <v>0</v>
      </c>
    </row>
    <row r="29652" spans="1:11" x14ac:dyDescent="0.25">
      <c r="A29652" s="5">
        <f>29645</f>
      </c>
      <c r="B29652" s="5" t="s">
        <v>29660</v>
      </c>
      <c r="C29652" s="5">
        <v>100.1</v>
      </c>
      <c r="D29652" s="5">
        <v>0.1</v>
      </c>
      <c r="E29652" s="5">
        <v>100.2</v>
      </c>
      <c r="F29652" s="5">
        <v>198.9</v>
      </c>
      <c r="G29652" s="5">
        <v>99.2</v>
      </c>
      <c r="H29652" s="5">
        <v>99.1</v>
      </c>
      <c r="I29652" s="5">
        <v>0</v>
      </c>
      <c r="J29652" s="5">
        <v>0</v>
      </c>
      <c r="K29652" s="5">
        <v>0</v>
      </c>
    </row>
    <row r="29653" spans="1:11" x14ac:dyDescent="0.25">
      <c r="A29653" s="5">
        <f>29646</f>
      </c>
      <c r="B29653" s="5" t="s">
        <v>29661</v>
      </c>
      <c r="C29653" s="5">
        <v>100.7</v>
      </c>
      <c r="D29653" s="5">
        <v>0.1</v>
      </c>
      <c r="E29653" s="5">
        <v>100.8</v>
      </c>
      <c r="F29653" s="5">
        <v>201.1</v>
      </c>
      <c r="G29653" s="5">
        <v>100.3</v>
      </c>
      <c r="H29653" s="5">
        <v>100.2</v>
      </c>
      <c r="I29653" s="5">
        <v>0</v>
      </c>
      <c r="J29653" s="5">
        <v>0</v>
      </c>
      <c r="K29653" s="5">
        <v>0</v>
      </c>
    </row>
    <row r="29654" spans="1:11" x14ac:dyDescent="0.25">
      <c r="A29654" s="5">
        <f>29647</f>
      </c>
      <c r="B29654" s="5" t="s">
        <v>29662</v>
      </c>
      <c r="C29654" s="5">
        <v>100.7</v>
      </c>
      <c r="D29654" s="5">
        <v>0.1</v>
      </c>
      <c r="E29654" s="5">
        <v>100.8</v>
      </c>
      <c r="F29654" s="5">
        <v>201.1</v>
      </c>
      <c r="G29654" s="5">
        <v>100.3</v>
      </c>
      <c r="H29654" s="5">
        <v>100.2</v>
      </c>
      <c r="I29654" s="5">
        <v>0</v>
      </c>
      <c r="J29654" s="5">
        <v>0</v>
      </c>
      <c r="K29654" s="5">
        <v>0</v>
      </c>
    </row>
    <row r="29655" spans="1:11" x14ac:dyDescent="0.25">
      <c r="A29655" s="5">
        <f>29648</f>
      </c>
      <c r="B29655" s="5" t="s">
        <v>29663</v>
      </c>
      <c r="C29655" s="5">
        <v>100.7</v>
      </c>
      <c r="D29655" s="5">
        <v>0.1</v>
      </c>
      <c r="E29655" s="5">
        <v>100.8</v>
      </c>
      <c r="F29655" s="5">
        <v>201.1</v>
      </c>
      <c r="G29655" s="5">
        <v>100.3</v>
      </c>
      <c r="H29655" s="5">
        <v>100.2</v>
      </c>
      <c r="I29655" s="5">
        <v>0</v>
      </c>
      <c r="J29655" s="5">
        <v>0</v>
      </c>
      <c r="K29655" s="5">
        <v>0</v>
      </c>
    </row>
    <row r="29656" spans="1:11" x14ac:dyDescent="0.25">
      <c r="A29656" s="5">
        <f>29649</f>
      </c>
      <c r="B29656" s="5" t="s">
        <v>29664</v>
      </c>
      <c r="C29656" s="5">
        <v>100.4</v>
      </c>
      <c r="D29656" s="5">
        <v>0.1</v>
      </c>
      <c r="E29656" s="5">
        <v>100.5</v>
      </c>
      <c r="F29656" s="5">
        <v>201</v>
      </c>
      <c r="G29656" s="5">
        <v>100.3</v>
      </c>
      <c r="H29656" s="5">
        <v>100.1</v>
      </c>
      <c r="I29656" s="5">
        <v>0</v>
      </c>
      <c r="J29656" s="5">
        <v>0</v>
      </c>
      <c r="K29656" s="5">
        <v>0</v>
      </c>
    </row>
    <row r="29657" spans="1:11" x14ac:dyDescent="0.25">
      <c r="A29657" s="5">
        <f>29650</f>
      </c>
      <c r="B29657" s="5" t="s">
        <v>29665</v>
      </c>
      <c r="C29657" s="5">
        <v>100.4</v>
      </c>
      <c r="D29657" s="5">
        <v>0.1</v>
      </c>
      <c r="E29657" s="5">
        <v>100.5</v>
      </c>
      <c r="F29657" s="5">
        <v>201</v>
      </c>
      <c r="G29657" s="5">
        <v>100.3</v>
      </c>
      <c r="H29657" s="5">
        <v>100.1</v>
      </c>
      <c r="I29657" s="5">
        <v>0</v>
      </c>
      <c r="J29657" s="5">
        <v>0</v>
      </c>
      <c r="K29657" s="5">
        <v>0</v>
      </c>
    </row>
    <row r="29658" spans="1:11" x14ac:dyDescent="0.25">
      <c r="A29658" s="5">
        <f>29651</f>
      </c>
      <c r="B29658" s="5" t="s">
        <v>29666</v>
      </c>
      <c r="C29658" s="5">
        <v>101</v>
      </c>
      <c r="D29658" s="5">
        <v>0.1</v>
      </c>
      <c r="E29658" s="5">
        <v>101.1</v>
      </c>
      <c r="F29658" s="5">
        <v>200.4</v>
      </c>
      <c r="G29658" s="5">
        <v>100</v>
      </c>
      <c r="H29658" s="5">
        <v>99.9</v>
      </c>
      <c r="I29658" s="5">
        <v>0</v>
      </c>
      <c r="J29658" s="5">
        <v>0</v>
      </c>
      <c r="K29658" s="5">
        <v>0</v>
      </c>
    </row>
    <row r="29659" spans="1:11" x14ac:dyDescent="0.25">
      <c r="A29659" s="5">
        <f>29652</f>
      </c>
      <c r="B29659" s="5" t="s">
        <v>29667</v>
      </c>
      <c r="C29659" s="5">
        <v>101</v>
      </c>
      <c r="D29659" s="5">
        <v>0.1</v>
      </c>
      <c r="E29659" s="5">
        <v>101.1</v>
      </c>
      <c r="F29659" s="5">
        <v>200.4</v>
      </c>
      <c r="G29659" s="5">
        <v>100</v>
      </c>
      <c r="H29659" s="5">
        <v>99.9</v>
      </c>
      <c r="I29659" s="5">
        <v>0</v>
      </c>
      <c r="J29659" s="5">
        <v>0</v>
      </c>
      <c r="K29659" s="5">
        <v>0</v>
      </c>
    </row>
    <row r="29660" spans="1:11" x14ac:dyDescent="0.25">
      <c r="A29660" s="5">
        <f>29653</f>
      </c>
      <c r="B29660" s="5" t="s">
        <v>29668</v>
      </c>
      <c r="C29660" s="5">
        <v>101.3</v>
      </c>
      <c r="D29660" s="5">
        <v>0.1</v>
      </c>
      <c r="E29660" s="5">
        <v>101.5</v>
      </c>
      <c r="F29660" s="5">
        <v>202</v>
      </c>
      <c r="G29660" s="5">
        <v>100.7</v>
      </c>
      <c r="H29660" s="5">
        <v>100.6</v>
      </c>
      <c r="I29660" s="5">
        <v>0</v>
      </c>
      <c r="J29660" s="5">
        <v>0</v>
      </c>
      <c r="K29660" s="5">
        <v>0</v>
      </c>
    </row>
    <row r="29661" spans="1:11" x14ac:dyDescent="0.25">
      <c r="A29661" s="5">
        <f>29654</f>
      </c>
      <c r="B29661" s="5" t="s">
        <v>29669</v>
      </c>
      <c r="C29661" s="5">
        <v>101.3</v>
      </c>
      <c r="D29661" s="5">
        <v>0.1</v>
      </c>
      <c r="E29661" s="5">
        <v>101.5</v>
      </c>
      <c r="F29661" s="5">
        <v>202</v>
      </c>
      <c r="G29661" s="5">
        <v>100.7</v>
      </c>
      <c r="H29661" s="5">
        <v>100.6</v>
      </c>
      <c r="I29661" s="5">
        <v>0</v>
      </c>
      <c r="J29661" s="5">
        <v>0</v>
      </c>
      <c r="K29661" s="5">
        <v>0</v>
      </c>
    </row>
    <row r="29662" spans="1:11" x14ac:dyDescent="0.25">
      <c r="A29662" s="5">
        <f>29655</f>
      </c>
      <c r="B29662" s="5" t="s">
        <v>29670</v>
      </c>
      <c r="C29662" s="5">
        <v>101.1</v>
      </c>
      <c r="D29662" s="5">
        <v>0.1</v>
      </c>
      <c r="E29662" s="5">
        <v>101.2</v>
      </c>
      <c r="F29662" s="5">
        <v>201.1</v>
      </c>
      <c r="G29662" s="5">
        <v>100.3</v>
      </c>
      <c r="H29662" s="5">
        <v>100.2</v>
      </c>
      <c r="I29662" s="5">
        <v>0</v>
      </c>
      <c r="J29662" s="5">
        <v>0</v>
      </c>
      <c r="K29662" s="5">
        <v>0</v>
      </c>
    </row>
    <row r="29663" spans="1:11" x14ac:dyDescent="0.25">
      <c r="A29663" s="5">
        <f>29656</f>
      </c>
      <c r="B29663" s="5" t="s">
        <v>29671</v>
      </c>
      <c r="C29663" s="5">
        <v>101.1</v>
      </c>
      <c r="D29663" s="5">
        <v>0.1</v>
      </c>
      <c r="E29663" s="5">
        <v>101.2</v>
      </c>
      <c r="F29663" s="5">
        <v>201.1</v>
      </c>
      <c r="G29663" s="5">
        <v>100.3</v>
      </c>
      <c r="H29663" s="5">
        <v>100.2</v>
      </c>
      <c r="I29663" s="5">
        <v>0</v>
      </c>
      <c r="J29663" s="5">
        <v>0</v>
      </c>
      <c r="K29663" s="5">
        <v>0</v>
      </c>
    </row>
    <row r="29664" spans="1:11" x14ac:dyDescent="0.25">
      <c r="A29664" s="5">
        <f>29657</f>
      </c>
      <c r="B29664" s="5" t="s">
        <v>29672</v>
      </c>
      <c r="C29664" s="5">
        <v>101.1</v>
      </c>
      <c r="D29664" s="5">
        <v>0.1</v>
      </c>
      <c r="E29664" s="5">
        <v>101.2</v>
      </c>
      <c r="F29664" s="5">
        <v>201.1</v>
      </c>
      <c r="G29664" s="5">
        <v>100.3</v>
      </c>
      <c r="H29664" s="5">
        <v>100.2</v>
      </c>
      <c r="I29664" s="5">
        <v>0</v>
      </c>
      <c r="J29664" s="5">
        <v>0</v>
      </c>
      <c r="K29664" s="5">
        <v>0</v>
      </c>
    </row>
    <row r="29665" spans="1:11" x14ac:dyDescent="0.25">
      <c r="A29665" s="5">
        <f>29658</f>
      </c>
      <c r="B29665" s="5" t="s">
        <v>29673</v>
      </c>
      <c r="C29665" s="5">
        <v>101.1</v>
      </c>
      <c r="D29665" s="5">
        <v>0.1</v>
      </c>
      <c r="E29665" s="5">
        <v>101.2</v>
      </c>
      <c r="F29665" s="5">
        <v>201.1</v>
      </c>
      <c r="G29665" s="5">
        <v>100.3</v>
      </c>
      <c r="H29665" s="5">
        <v>100.2</v>
      </c>
      <c r="I29665" s="5">
        <v>0</v>
      </c>
      <c r="J29665" s="5">
        <v>0</v>
      </c>
      <c r="K29665" s="5">
        <v>0</v>
      </c>
    </row>
    <row r="29666" spans="1:11" x14ac:dyDescent="0.25">
      <c r="A29666" s="5">
        <f>29659</f>
      </c>
      <c r="B29666" s="5" t="s">
        <v>29674</v>
      </c>
      <c r="C29666" s="5">
        <v>101.1</v>
      </c>
      <c r="D29666" s="5">
        <v>0.1</v>
      </c>
      <c r="E29666" s="5">
        <v>101.3</v>
      </c>
      <c r="F29666" s="5">
        <v>201</v>
      </c>
      <c r="G29666" s="5">
        <v>100.3</v>
      </c>
      <c r="H29666" s="5">
        <v>100.1</v>
      </c>
      <c r="I29666" s="5">
        <v>0</v>
      </c>
      <c r="J29666" s="5">
        <v>0</v>
      </c>
      <c r="K29666" s="5">
        <v>0</v>
      </c>
    </row>
    <row r="29667" spans="1:11" x14ac:dyDescent="0.25">
      <c r="A29667" s="5">
        <f>29660</f>
      </c>
      <c r="B29667" s="5" t="s">
        <v>29675</v>
      </c>
      <c r="C29667" s="5">
        <v>101.1</v>
      </c>
      <c r="D29667" s="5">
        <v>0.1</v>
      </c>
      <c r="E29667" s="5">
        <v>101.3</v>
      </c>
      <c r="F29667" s="5">
        <v>201</v>
      </c>
      <c r="G29667" s="5">
        <v>100.3</v>
      </c>
      <c r="H29667" s="5">
        <v>100.1</v>
      </c>
      <c r="I29667" s="5">
        <v>0</v>
      </c>
      <c r="J29667" s="5">
        <v>0</v>
      </c>
      <c r="K29667" s="5">
        <v>0</v>
      </c>
    </row>
    <row r="29668" spans="1:11" x14ac:dyDescent="0.25">
      <c r="A29668" s="5">
        <f>29661</f>
      </c>
      <c r="B29668" s="5" t="s">
        <v>29676</v>
      </c>
      <c r="C29668" s="5">
        <v>100.9</v>
      </c>
      <c r="D29668" s="5">
        <v>0.1</v>
      </c>
      <c r="E29668" s="5">
        <v>101.1</v>
      </c>
      <c r="F29668" s="5">
        <v>201</v>
      </c>
      <c r="G29668" s="5">
        <v>100.2</v>
      </c>
      <c r="H29668" s="5">
        <v>100.1</v>
      </c>
      <c r="I29668" s="5">
        <v>0</v>
      </c>
      <c r="J29668" s="5">
        <v>0</v>
      </c>
      <c r="K29668" s="5">
        <v>0</v>
      </c>
    </row>
    <row r="29669" spans="1:11" x14ac:dyDescent="0.25">
      <c r="A29669" s="5">
        <f>29662</f>
      </c>
      <c r="B29669" s="5" t="s">
        <v>29677</v>
      </c>
      <c r="C29669" s="5">
        <v>100.9</v>
      </c>
      <c r="D29669" s="5">
        <v>0.1</v>
      </c>
      <c r="E29669" s="5">
        <v>101.1</v>
      </c>
      <c r="F29669" s="5">
        <v>201</v>
      </c>
      <c r="G29669" s="5">
        <v>100.2</v>
      </c>
      <c r="H29669" s="5">
        <v>100.1</v>
      </c>
      <c r="I29669" s="5">
        <v>0</v>
      </c>
      <c r="J29669" s="5">
        <v>0</v>
      </c>
      <c r="K29669" s="5">
        <v>0</v>
      </c>
    </row>
    <row r="29670" spans="1:11" x14ac:dyDescent="0.25">
      <c r="A29670" s="5">
        <f>29663</f>
      </c>
      <c r="B29670" s="5" t="s">
        <v>29678</v>
      </c>
      <c r="C29670" s="5">
        <v>100.2</v>
      </c>
      <c r="D29670" s="5">
        <v>0.1</v>
      </c>
      <c r="E29670" s="5">
        <v>100.3</v>
      </c>
      <c r="F29670" s="5">
        <v>201.1</v>
      </c>
      <c r="G29670" s="5">
        <v>100.3</v>
      </c>
      <c r="H29670" s="5">
        <v>100.2</v>
      </c>
      <c r="I29670" s="5">
        <v>0</v>
      </c>
      <c r="J29670" s="5">
        <v>0</v>
      </c>
      <c r="K29670" s="5">
        <v>0</v>
      </c>
    </row>
    <row r="29671" spans="1:11" x14ac:dyDescent="0.25">
      <c r="A29671" s="5">
        <f>29664</f>
      </c>
      <c r="B29671" s="5" t="s">
        <v>29679</v>
      </c>
      <c r="C29671" s="5">
        <v>100.2</v>
      </c>
      <c r="D29671" s="5">
        <v>0.1</v>
      </c>
      <c r="E29671" s="5">
        <v>100.3</v>
      </c>
      <c r="F29671" s="5">
        <v>201.1</v>
      </c>
      <c r="G29671" s="5">
        <v>100.3</v>
      </c>
      <c r="H29671" s="5">
        <v>100.2</v>
      </c>
      <c r="I29671" s="5">
        <v>0</v>
      </c>
      <c r="J29671" s="5">
        <v>0</v>
      </c>
      <c r="K29671" s="5">
        <v>0</v>
      </c>
    </row>
    <row r="29672" spans="1:11" x14ac:dyDescent="0.25">
      <c r="A29672" s="5">
        <f>29665</f>
      </c>
      <c r="B29672" s="5" t="s">
        <v>29680</v>
      </c>
      <c r="C29672" s="5">
        <v>100.8</v>
      </c>
      <c r="D29672" s="5">
        <v>0.1</v>
      </c>
      <c r="E29672" s="5">
        <v>100.9</v>
      </c>
      <c r="F29672" s="5">
        <v>201.6</v>
      </c>
      <c r="G29672" s="5">
        <v>100.3</v>
      </c>
      <c r="H29672" s="5">
        <v>100</v>
      </c>
      <c r="I29672" s="5">
        <v>0</v>
      </c>
      <c r="J29672" s="5">
        <v>0</v>
      </c>
      <c r="K29672" s="5">
        <v>0</v>
      </c>
    </row>
    <row r="29673" spans="1:11" x14ac:dyDescent="0.25">
      <c r="A29673" s="5">
        <f>29666</f>
      </c>
      <c r="B29673" s="5" t="s">
        <v>29681</v>
      </c>
      <c r="C29673" s="5">
        <v>100.8</v>
      </c>
      <c r="D29673" s="5">
        <v>0.1</v>
      </c>
      <c r="E29673" s="5">
        <v>100.9</v>
      </c>
      <c r="F29673" s="5">
        <v>201.6</v>
      </c>
      <c r="G29673" s="5">
        <v>100.3</v>
      </c>
      <c r="H29673" s="5">
        <v>100</v>
      </c>
      <c r="I29673" s="5">
        <v>0</v>
      </c>
      <c r="J29673" s="5">
        <v>0</v>
      </c>
      <c r="K29673" s="5">
        <v>0</v>
      </c>
    </row>
    <row r="29674" spans="1:11" x14ac:dyDescent="0.25">
      <c r="A29674" s="5">
        <f>29667</f>
      </c>
      <c r="B29674" s="5" t="s">
        <v>29682</v>
      </c>
      <c r="C29674" s="5">
        <v>100.8</v>
      </c>
      <c r="D29674" s="5">
        <v>0.1</v>
      </c>
      <c r="E29674" s="5">
        <v>100.9</v>
      </c>
      <c r="F29674" s="5">
        <v>201.6</v>
      </c>
      <c r="G29674" s="5">
        <v>100.3</v>
      </c>
      <c r="H29674" s="5">
        <v>100</v>
      </c>
      <c r="I29674" s="5">
        <v>0</v>
      </c>
      <c r="J29674" s="5">
        <v>0</v>
      </c>
      <c r="K29674" s="5">
        <v>0</v>
      </c>
    </row>
    <row r="29675" spans="1:11" x14ac:dyDescent="0.25">
      <c r="A29675" s="5">
        <f>29668</f>
      </c>
      <c r="B29675" s="5" t="s">
        <v>29683</v>
      </c>
      <c r="C29675" s="5">
        <v>100.8</v>
      </c>
      <c r="D29675" s="5">
        <v>0.1</v>
      </c>
      <c r="E29675" s="5">
        <v>100.9</v>
      </c>
      <c r="F29675" s="5">
        <v>201.6</v>
      </c>
      <c r="G29675" s="5">
        <v>100.3</v>
      </c>
      <c r="H29675" s="5">
        <v>100</v>
      </c>
      <c r="I29675" s="5">
        <v>0</v>
      </c>
      <c r="J29675" s="5">
        <v>0</v>
      </c>
      <c r="K29675" s="5">
        <v>0</v>
      </c>
    </row>
    <row r="29676" spans="1:11" x14ac:dyDescent="0.25">
      <c r="A29676" s="5">
        <f>29669</f>
      </c>
      <c r="B29676" s="5" t="s">
        <v>29684</v>
      </c>
      <c r="C29676" s="5">
        <v>100.6</v>
      </c>
      <c r="D29676" s="5">
        <v>0.1</v>
      </c>
      <c r="E29676" s="5">
        <v>100.7</v>
      </c>
      <c r="F29676" s="5">
        <v>201.2</v>
      </c>
      <c r="G29676" s="5">
        <v>100.4</v>
      </c>
      <c r="H29676" s="5">
        <v>100.2</v>
      </c>
      <c r="I29676" s="5">
        <v>0</v>
      </c>
      <c r="J29676" s="5">
        <v>0</v>
      </c>
      <c r="K29676" s="5">
        <v>0</v>
      </c>
    </row>
    <row r="29677" spans="1:11" x14ac:dyDescent="0.25">
      <c r="A29677" s="5">
        <f>29670</f>
      </c>
      <c r="B29677" s="5" t="s">
        <v>29685</v>
      </c>
      <c r="C29677" s="5">
        <v>100.6</v>
      </c>
      <c r="D29677" s="5">
        <v>0.1</v>
      </c>
      <c r="E29677" s="5">
        <v>100.7</v>
      </c>
      <c r="F29677" s="5">
        <v>201.2</v>
      </c>
      <c r="G29677" s="5">
        <v>100.4</v>
      </c>
      <c r="H29677" s="5">
        <v>100.2</v>
      </c>
      <c r="I29677" s="5">
        <v>0</v>
      </c>
      <c r="J29677" s="5">
        <v>0</v>
      </c>
      <c r="K29677" s="5">
        <v>0</v>
      </c>
    </row>
    <row r="29678" spans="1:11" x14ac:dyDescent="0.25">
      <c r="A29678" s="5">
        <f>29671</f>
      </c>
      <c r="B29678" s="5" t="s">
        <v>29686</v>
      </c>
      <c r="C29678" s="5">
        <v>100.2</v>
      </c>
      <c r="D29678" s="5">
        <v>0.1</v>
      </c>
      <c r="E29678" s="5">
        <v>100.4</v>
      </c>
      <c r="F29678" s="5">
        <v>200.7</v>
      </c>
      <c r="G29678" s="5">
        <v>100.1</v>
      </c>
      <c r="H29678" s="5">
        <v>99.9</v>
      </c>
      <c r="I29678" s="5">
        <v>0</v>
      </c>
      <c r="J29678" s="5">
        <v>0</v>
      </c>
      <c r="K29678" s="5">
        <v>0</v>
      </c>
    </row>
    <row r="29679" spans="1:11" x14ac:dyDescent="0.25">
      <c r="A29679" s="5">
        <f>29672</f>
      </c>
      <c r="B29679" s="5" t="s">
        <v>29687</v>
      </c>
      <c r="C29679" s="5">
        <v>100.2</v>
      </c>
      <c r="D29679" s="5">
        <v>0.1</v>
      </c>
      <c r="E29679" s="5">
        <v>100.4</v>
      </c>
      <c r="F29679" s="5">
        <v>200.7</v>
      </c>
      <c r="G29679" s="5">
        <v>100.1</v>
      </c>
      <c r="H29679" s="5">
        <v>99.9</v>
      </c>
      <c r="I29679" s="5">
        <v>0</v>
      </c>
      <c r="J29679" s="5">
        <v>0</v>
      </c>
      <c r="K29679" s="5">
        <v>0</v>
      </c>
    </row>
    <row r="29680" spans="1:11" x14ac:dyDescent="0.25">
      <c r="A29680" s="5">
        <f>29673</f>
      </c>
      <c r="B29680" s="5" t="s">
        <v>29688</v>
      </c>
      <c r="C29680" s="5">
        <v>101.5</v>
      </c>
      <c r="D29680" s="5">
        <v>0.1</v>
      </c>
      <c r="E29680" s="5">
        <v>101.6</v>
      </c>
      <c r="F29680" s="5">
        <v>201.9</v>
      </c>
      <c r="G29680" s="5">
        <v>100.8</v>
      </c>
      <c r="H29680" s="5">
        <v>100.7</v>
      </c>
      <c r="I29680" s="5">
        <v>0</v>
      </c>
      <c r="J29680" s="5">
        <v>0</v>
      </c>
      <c r="K29680" s="5">
        <v>0</v>
      </c>
    </row>
    <row r="29681" spans="1:11" x14ac:dyDescent="0.25">
      <c r="A29681" s="5">
        <f>29674</f>
      </c>
      <c r="B29681" s="5" t="s">
        <v>29689</v>
      </c>
      <c r="C29681" s="5">
        <v>101.5</v>
      </c>
      <c r="D29681" s="5">
        <v>0.1</v>
      </c>
      <c r="E29681" s="5">
        <v>101.6</v>
      </c>
      <c r="F29681" s="5">
        <v>201.9</v>
      </c>
      <c r="G29681" s="5">
        <v>100.8</v>
      </c>
      <c r="H29681" s="5">
        <v>100.7</v>
      </c>
      <c r="I29681" s="5">
        <v>0</v>
      </c>
      <c r="J29681" s="5">
        <v>0</v>
      </c>
      <c r="K29681" s="5">
        <v>0</v>
      </c>
    </row>
    <row r="29682" spans="1:11" x14ac:dyDescent="0.25">
      <c r="A29682" s="5">
        <f>29675</f>
      </c>
      <c r="B29682" s="5" t="s">
        <v>29690</v>
      </c>
      <c r="C29682" s="5">
        <v>100.5</v>
      </c>
      <c r="D29682" s="5">
        <v>0.1</v>
      </c>
      <c r="E29682" s="5">
        <v>100.6</v>
      </c>
      <c r="F29682" s="5">
        <v>200.2</v>
      </c>
      <c r="G29682" s="5">
        <v>99.9</v>
      </c>
      <c r="H29682" s="5">
        <v>99.8</v>
      </c>
      <c r="I29682" s="5">
        <v>0</v>
      </c>
      <c r="J29682" s="5">
        <v>0</v>
      </c>
      <c r="K29682" s="5">
        <v>0</v>
      </c>
    </row>
    <row r="29683" spans="1:11" x14ac:dyDescent="0.25">
      <c r="A29683" s="5">
        <f>29676</f>
      </c>
      <c r="B29683" s="5" t="s">
        <v>29691</v>
      </c>
      <c r="C29683" s="5">
        <v>100.5</v>
      </c>
      <c r="D29683" s="5">
        <v>0.1</v>
      </c>
      <c r="E29683" s="5">
        <v>100.6</v>
      </c>
      <c r="F29683" s="5">
        <v>200.2</v>
      </c>
      <c r="G29683" s="5">
        <v>99.9</v>
      </c>
      <c r="H29683" s="5">
        <v>99.8</v>
      </c>
      <c r="I29683" s="5">
        <v>0</v>
      </c>
      <c r="J29683" s="5">
        <v>0</v>
      </c>
      <c r="K29683" s="5">
        <v>0</v>
      </c>
    </row>
    <row r="29684" spans="1:11" x14ac:dyDescent="0.25">
      <c r="A29684" s="5">
        <f>29677</f>
      </c>
      <c r="B29684" s="5" t="s">
        <v>29692</v>
      </c>
      <c r="C29684" s="5">
        <v>100.5</v>
      </c>
      <c r="D29684" s="5">
        <v>0.1</v>
      </c>
      <c r="E29684" s="5">
        <v>100.6</v>
      </c>
      <c r="F29684" s="5">
        <v>200.2</v>
      </c>
      <c r="G29684" s="5">
        <v>99.9</v>
      </c>
      <c r="H29684" s="5">
        <v>99.8</v>
      </c>
      <c r="I29684" s="5">
        <v>0</v>
      </c>
      <c r="J29684" s="5">
        <v>0</v>
      </c>
      <c r="K29684" s="5">
        <v>0</v>
      </c>
    </row>
    <row r="29685" spans="1:11" x14ac:dyDescent="0.25">
      <c r="A29685" s="5">
        <f>29678</f>
      </c>
      <c r="B29685" s="5" t="s">
        <v>29693</v>
      </c>
      <c r="C29685" s="5">
        <v>100.5</v>
      </c>
      <c r="D29685" s="5">
        <v>0.1</v>
      </c>
      <c r="E29685" s="5">
        <v>100.6</v>
      </c>
      <c r="F29685" s="5">
        <v>200.2</v>
      </c>
      <c r="G29685" s="5">
        <v>99.9</v>
      </c>
      <c r="H29685" s="5">
        <v>99.8</v>
      </c>
      <c r="I29685" s="5">
        <v>0</v>
      </c>
      <c r="J29685" s="5">
        <v>0</v>
      </c>
      <c r="K29685" s="5">
        <v>0</v>
      </c>
    </row>
    <row r="29686" spans="1:11" x14ac:dyDescent="0.25">
      <c r="A29686" s="5">
        <f>29679</f>
      </c>
      <c r="B29686" s="5" t="s">
        <v>29694</v>
      </c>
      <c r="C29686" s="5">
        <v>100.1</v>
      </c>
      <c r="D29686" s="5">
        <v>0.1</v>
      </c>
      <c r="E29686" s="5">
        <v>100.2</v>
      </c>
      <c r="F29686" s="5">
        <v>200.5</v>
      </c>
      <c r="G29686" s="5">
        <v>100.1</v>
      </c>
      <c r="H29686" s="5">
        <v>99.9</v>
      </c>
      <c r="I29686" s="5">
        <v>0</v>
      </c>
      <c r="J29686" s="5">
        <v>0</v>
      </c>
      <c r="K29686" s="5">
        <v>0</v>
      </c>
    </row>
    <row r="29687" spans="1:11" x14ac:dyDescent="0.25">
      <c r="A29687" s="5">
        <f>29680</f>
      </c>
      <c r="B29687" s="5" t="s">
        <v>29695</v>
      </c>
      <c r="C29687" s="5">
        <v>100.1</v>
      </c>
      <c r="D29687" s="5">
        <v>0.1</v>
      </c>
      <c r="E29687" s="5">
        <v>100.2</v>
      </c>
      <c r="F29687" s="5">
        <v>200.5</v>
      </c>
      <c r="G29687" s="5">
        <v>100.1</v>
      </c>
      <c r="H29687" s="5">
        <v>99.9</v>
      </c>
      <c r="I29687" s="5">
        <v>0</v>
      </c>
      <c r="J29687" s="5">
        <v>0</v>
      </c>
      <c r="K29687" s="5">
        <v>0</v>
      </c>
    </row>
    <row r="29688" spans="1:11" x14ac:dyDescent="0.25">
      <c r="A29688" s="5">
        <f>29681</f>
      </c>
      <c r="B29688" s="5" t="s">
        <v>29696</v>
      </c>
      <c r="C29688" s="5">
        <v>100.5</v>
      </c>
      <c r="D29688" s="5">
        <v>0.1</v>
      </c>
      <c r="E29688" s="5">
        <v>100.6</v>
      </c>
      <c r="F29688" s="5">
        <v>199.2</v>
      </c>
      <c r="G29688" s="5">
        <v>99.2</v>
      </c>
      <c r="H29688" s="5">
        <v>98.9</v>
      </c>
      <c r="I29688" s="5">
        <v>0</v>
      </c>
      <c r="J29688" s="5">
        <v>0</v>
      </c>
      <c r="K29688" s="5">
        <v>0</v>
      </c>
    </row>
    <row r="29689" spans="1:11" x14ac:dyDescent="0.25">
      <c r="A29689" s="5">
        <f>29682</f>
      </c>
      <c r="B29689" s="5" t="s">
        <v>29697</v>
      </c>
      <c r="C29689" s="5">
        <v>100.5</v>
      </c>
      <c r="D29689" s="5">
        <v>0.1</v>
      </c>
      <c r="E29689" s="5">
        <v>100.6</v>
      </c>
      <c r="F29689" s="5">
        <v>199.2</v>
      </c>
      <c r="G29689" s="5">
        <v>99.2</v>
      </c>
      <c r="H29689" s="5">
        <v>98.9</v>
      </c>
      <c r="I29689" s="5">
        <v>0</v>
      </c>
      <c r="J29689" s="5">
        <v>0</v>
      </c>
      <c r="K29689" s="5">
        <v>0</v>
      </c>
    </row>
    <row r="29690" spans="1:11" x14ac:dyDescent="0.25">
      <c r="A29690" s="5">
        <f>29683</f>
      </c>
      <c r="B29690" s="5" t="s">
        <v>29698</v>
      </c>
      <c r="C29690" s="5">
        <v>98.9</v>
      </c>
      <c r="D29690" s="5">
        <v>0.1</v>
      </c>
      <c r="E29690" s="5">
        <v>98.9</v>
      </c>
      <c r="F29690" s="5">
        <v>194.3</v>
      </c>
      <c r="G29690" s="5">
        <v>96.8</v>
      </c>
      <c r="H29690" s="5">
        <v>96.6</v>
      </c>
      <c r="I29690" s="5">
        <v>0</v>
      </c>
      <c r="J29690" s="5">
        <v>0</v>
      </c>
      <c r="K29690" s="5">
        <v>0</v>
      </c>
    </row>
    <row r="29691" spans="1:11" x14ac:dyDescent="0.25">
      <c r="A29691" s="5">
        <f>29684</f>
      </c>
      <c r="B29691" s="5" t="s">
        <v>29699</v>
      </c>
      <c r="C29691" s="5">
        <v>98.9</v>
      </c>
      <c r="D29691" s="5">
        <v>0.1</v>
      </c>
      <c r="E29691" s="5">
        <v>98.9</v>
      </c>
      <c r="F29691" s="5">
        <v>194.3</v>
      </c>
      <c r="G29691" s="5">
        <v>96.8</v>
      </c>
      <c r="H29691" s="5">
        <v>96.6</v>
      </c>
      <c r="I29691" s="5">
        <v>0</v>
      </c>
      <c r="J29691" s="5">
        <v>0</v>
      </c>
      <c r="K29691" s="5">
        <v>0</v>
      </c>
    </row>
    <row r="29692" spans="1:11" x14ac:dyDescent="0.25">
      <c r="A29692" s="5">
        <f>29685</f>
      </c>
      <c r="B29692" s="5" t="s">
        <v>29700</v>
      </c>
      <c r="C29692" s="5">
        <v>96</v>
      </c>
      <c r="D29692" s="5">
        <v>0.1</v>
      </c>
      <c r="E29692" s="5">
        <v>96.2</v>
      </c>
      <c r="F29692" s="5">
        <v>196.1</v>
      </c>
      <c r="G29692" s="5">
        <v>98.1</v>
      </c>
      <c r="H29692" s="5">
        <v>98.1</v>
      </c>
      <c r="I29692" s="5">
        <v>0</v>
      </c>
      <c r="J29692" s="5">
        <v>0</v>
      </c>
      <c r="K29692" s="5">
        <v>0</v>
      </c>
    </row>
    <row r="29693" spans="1:11" x14ac:dyDescent="0.25">
      <c r="A29693" s="5">
        <f>29686</f>
      </c>
      <c r="B29693" s="5" t="s">
        <v>29701</v>
      </c>
      <c r="C29693" s="5">
        <v>96</v>
      </c>
      <c r="D29693" s="5">
        <v>0.1</v>
      </c>
      <c r="E29693" s="5">
        <v>96.2</v>
      </c>
      <c r="F29693" s="5">
        <v>196.1</v>
      </c>
      <c r="G29693" s="5">
        <v>98.1</v>
      </c>
      <c r="H29693" s="5">
        <v>98.1</v>
      </c>
      <c r="I29693" s="5">
        <v>0</v>
      </c>
      <c r="J29693" s="5">
        <v>0</v>
      </c>
      <c r="K29693" s="5">
        <v>0</v>
      </c>
    </row>
    <row r="29694" spans="1:11" x14ac:dyDescent="0.25">
      <c r="A29694" s="5">
        <f>29687</f>
      </c>
      <c r="B29694" s="5" t="s">
        <v>29702</v>
      </c>
      <c r="C29694" s="5">
        <v>96</v>
      </c>
      <c r="D29694" s="5">
        <v>0.1</v>
      </c>
      <c r="E29694" s="5">
        <v>96.2</v>
      </c>
      <c r="F29694" s="5">
        <v>196.1</v>
      </c>
      <c r="G29694" s="5">
        <v>98.1</v>
      </c>
      <c r="H29694" s="5">
        <v>98.1</v>
      </c>
      <c r="I29694" s="5">
        <v>0</v>
      </c>
      <c r="J29694" s="5">
        <v>0</v>
      </c>
      <c r="K29694" s="5">
        <v>0</v>
      </c>
    </row>
    <row r="29695" spans="1:11" x14ac:dyDescent="0.25">
      <c r="A29695" s="5">
        <f>29688</f>
      </c>
      <c r="B29695" s="5" t="s">
        <v>29703</v>
      </c>
      <c r="C29695" s="5">
        <v>96</v>
      </c>
      <c r="D29695" s="5">
        <v>0.1</v>
      </c>
      <c r="E29695" s="5">
        <v>96.2</v>
      </c>
      <c r="F29695" s="5">
        <v>196.1</v>
      </c>
      <c r="G29695" s="5">
        <v>98.1</v>
      </c>
      <c r="H29695" s="5">
        <v>98.1</v>
      </c>
      <c r="I29695" s="5">
        <v>0</v>
      </c>
      <c r="J29695" s="5">
        <v>0</v>
      </c>
      <c r="K29695" s="5">
        <v>0</v>
      </c>
    </row>
    <row r="29696" spans="1:11" x14ac:dyDescent="0.25">
      <c r="A29696" s="5">
        <f>29689</f>
      </c>
      <c r="B29696" s="5" t="s">
        <v>29704</v>
      </c>
      <c r="C29696" s="5">
        <v>98.3</v>
      </c>
      <c r="D29696" s="5">
        <v>0.1</v>
      </c>
      <c r="E29696" s="5">
        <v>98.3</v>
      </c>
      <c r="F29696" s="5">
        <v>195.5</v>
      </c>
      <c r="G29696" s="5">
        <v>97.6</v>
      </c>
      <c r="H29696" s="5">
        <v>97.5</v>
      </c>
      <c r="I29696" s="5">
        <v>0</v>
      </c>
      <c r="J29696" s="5">
        <v>0</v>
      </c>
      <c r="K29696" s="5">
        <v>0</v>
      </c>
    </row>
    <row r="29697" spans="1:11" x14ac:dyDescent="0.25">
      <c r="A29697" s="5">
        <f>29690</f>
      </c>
      <c r="B29697" s="5" t="s">
        <v>29705</v>
      </c>
      <c r="C29697" s="5">
        <v>98.3</v>
      </c>
      <c r="D29697" s="5">
        <v>0.1</v>
      </c>
      <c r="E29697" s="5">
        <v>98.3</v>
      </c>
      <c r="F29697" s="5">
        <v>195.5</v>
      </c>
      <c r="G29697" s="5">
        <v>97.6</v>
      </c>
      <c r="H29697" s="5">
        <v>97.5</v>
      </c>
      <c r="I29697" s="5">
        <v>0</v>
      </c>
      <c r="J29697" s="5">
        <v>0</v>
      </c>
      <c r="K29697" s="5">
        <v>0</v>
      </c>
    </row>
    <row r="29698" spans="1:11" x14ac:dyDescent="0.25">
      <c r="A29698" s="5">
        <f>29691</f>
      </c>
      <c r="B29698" s="5" t="s">
        <v>29706</v>
      </c>
      <c r="C29698" s="5">
        <v>98.3</v>
      </c>
      <c r="D29698" s="5">
        <v>0.1</v>
      </c>
      <c r="E29698" s="5">
        <v>98.4</v>
      </c>
      <c r="F29698" s="5">
        <v>198.9</v>
      </c>
      <c r="G29698" s="5">
        <v>99.1</v>
      </c>
      <c r="H29698" s="5">
        <v>98.8</v>
      </c>
      <c r="I29698" s="5">
        <v>0</v>
      </c>
      <c r="J29698" s="5">
        <v>0</v>
      </c>
      <c r="K29698" s="5">
        <v>0</v>
      </c>
    </row>
    <row r="29699" spans="1:11" x14ac:dyDescent="0.25">
      <c r="A29699" s="5">
        <f>29692</f>
      </c>
      <c r="B29699" s="5" t="s">
        <v>29707</v>
      </c>
      <c r="C29699" s="5">
        <v>98.3</v>
      </c>
      <c r="D29699" s="5">
        <v>0.1</v>
      </c>
      <c r="E29699" s="5">
        <v>98.4</v>
      </c>
      <c r="F29699" s="5">
        <v>198.9</v>
      </c>
      <c r="G29699" s="5">
        <v>99.1</v>
      </c>
      <c r="H29699" s="5">
        <v>98.8</v>
      </c>
      <c r="I29699" s="5">
        <v>0</v>
      </c>
      <c r="J29699" s="5">
        <v>0</v>
      </c>
      <c r="K29699" s="5">
        <v>0</v>
      </c>
    </row>
    <row r="29700" spans="1:11" x14ac:dyDescent="0.25">
      <c r="A29700" s="5">
        <f>29693</f>
      </c>
      <c r="B29700" s="5" t="s">
        <v>29708</v>
      </c>
      <c r="C29700" s="5">
        <v>97.6</v>
      </c>
      <c r="D29700" s="5">
        <v>0.1</v>
      </c>
      <c r="E29700" s="5">
        <v>97.8</v>
      </c>
      <c r="F29700" s="5">
        <v>195.6</v>
      </c>
      <c r="G29700" s="5">
        <v>97.5</v>
      </c>
      <c r="H29700" s="5">
        <v>97.3</v>
      </c>
      <c r="I29700" s="5">
        <v>0</v>
      </c>
      <c r="J29700" s="5">
        <v>0</v>
      </c>
      <c r="K29700" s="5">
        <v>0</v>
      </c>
    </row>
    <row r="29701" spans="1:11" x14ac:dyDescent="0.25">
      <c r="A29701" s="5">
        <f>29694</f>
      </c>
      <c r="B29701" s="5" t="s">
        <v>29709</v>
      </c>
      <c r="C29701" s="5">
        <v>97.6</v>
      </c>
      <c r="D29701" s="5">
        <v>0.1</v>
      </c>
      <c r="E29701" s="5">
        <v>97.8</v>
      </c>
      <c r="F29701" s="5">
        <v>195.6</v>
      </c>
      <c r="G29701" s="5">
        <v>97.5</v>
      </c>
      <c r="H29701" s="5">
        <v>97.3</v>
      </c>
      <c r="I29701" s="5">
        <v>0</v>
      </c>
      <c r="J29701" s="5">
        <v>0</v>
      </c>
      <c r="K29701" s="5">
        <v>0</v>
      </c>
    </row>
    <row r="29702" spans="1:11" x14ac:dyDescent="0.25">
      <c r="A29702" s="5">
        <f>29695</f>
      </c>
      <c r="B29702" s="5" t="s">
        <v>29710</v>
      </c>
      <c r="C29702" s="5">
        <v>102.2</v>
      </c>
      <c r="D29702" s="5">
        <v>0.1</v>
      </c>
      <c r="E29702" s="5">
        <v>102.4</v>
      </c>
      <c r="F29702" s="5">
        <v>203.2</v>
      </c>
      <c r="G29702" s="5">
        <v>101.5</v>
      </c>
      <c r="H29702" s="5">
        <v>101.4</v>
      </c>
      <c r="I29702" s="5">
        <v>0</v>
      </c>
      <c r="J29702" s="5">
        <v>0</v>
      </c>
      <c r="K29702" s="5">
        <v>0</v>
      </c>
    </row>
    <row r="29703" spans="1:11" x14ac:dyDescent="0.25">
      <c r="A29703" s="5">
        <f>29696</f>
      </c>
      <c r="B29703" s="5" t="s">
        <v>29711</v>
      </c>
      <c r="C29703" s="5">
        <v>102.2</v>
      </c>
      <c r="D29703" s="5">
        <v>0.1</v>
      </c>
      <c r="E29703" s="5">
        <v>102.4</v>
      </c>
      <c r="F29703" s="5">
        <v>203.2</v>
      </c>
      <c r="G29703" s="5">
        <v>101.5</v>
      </c>
      <c r="H29703" s="5">
        <v>101.4</v>
      </c>
      <c r="I29703" s="5">
        <v>0</v>
      </c>
      <c r="J29703" s="5">
        <v>0</v>
      </c>
      <c r="K29703" s="5">
        <v>0</v>
      </c>
    </row>
    <row r="29704" spans="1:11" x14ac:dyDescent="0.25">
      <c r="A29704" s="5">
        <f>29697</f>
      </c>
      <c r="B29704" s="5" t="s">
        <v>29712</v>
      </c>
      <c r="C29704" s="5">
        <v>102.2</v>
      </c>
      <c r="D29704" s="5">
        <v>0.1</v>
      </c>
      <c r="E29704" s="5">
        <v>102.4</v>
      </c>
      <c r="F29704" s="5">
        <v>203.2</v>
      </c>
      <c r="G29704" s="5">
        <v>101.5</v>
      </c>
      <c r="H29704" s="5">
        <v>101.4</v>
      </c>
      <c r="I29704" s="5">
        <v>0</v>
      </c>
      <c r="J29704" s="5">
        <v>0</v>
      </c>
      <c r="K29704" s="5">
        <v>0</v>
      </c>
    </row>
    <row r="29705" spans="1:11" x14ac:dyDescent="0.25">
      <c r="A29705" s="5">
        <f>29698</f>
      </c>
      <c r="B29705" s="5" t="s">
        <v>29713</v>
      </c>
      <c r="C29705" s="5">
        <v>102.2</v>
      </c>
      <c r="D29705" s="5">
        <v>0.1</v>
      </c>
      <c r="E29705" s="5">
        <v>102.4</v>
      </c>
      <c r="F29705" s="5">
        <v>203.2</v>
      </c>
      <c r="G29705" s="5">
        <v>101.5</v>
      </c>
      <c r="H29705" s="5">
        <v>101.4</v>
      </c>
      <c r="I29705" s="5">
        <v>0</v>
      </c>
      <c r="J29705" s="5">
        <v>0</v>
      </c>
      <c r="K29705" s="5">
        <v>0</v>
      </c>
    </row>
    <row r="29706" spans="1:11" x14ac:dyDescent="0.25">
      <c r="A29706" s="5">
        <f>29699</f>
      </c>
      <c r="B29706" s="5" t="s">
        <v>29714</v>
      </c>
      <c r="C29706" s="5">
        <v>102.6</v>
      </c>
      <c r="D29706" s="5">
        <v>0.1</v>
      </c>
      <c r="E29706" s="5">
        <v>102.7</v>
      </c>
      <c r="F29706" s="5">
        <v>205.3</v>
      </c>
      <c r="G29706" s="5">
        <v>102.5</v>
      </c>
      <c r="H29706" s="5">
        <v>102.3</v>
      </c>
      <c r="I29706" s="5">
        <v>0</v>
      </c>
      <c r="J29706" s="5">
        <v>0</v>
      </c>
      <c r="K29706" s="5">
        <v>0</v>
      </c>
    </row>
    <row r="29707" spans="1:11" x14ac:dyDescent="0.25">
      <c r="A29707" s="5">
        <f>29700</f>
      </c>
      <c r="B29707" s="5" t="s">
        <v>29715</v>
      </c>
      <c r="C29707" s="5">
        <v>102.6</v>
      </c>
      <c r="D29707" s="5">
        <v>0.1</v>
      </c>
      <c r="E29707" s="5">
        <v>102.7</v>
      </c>
      <c r="F29707" s="5">
        <v>205.3</v>
      </c>
      <c r="G29707" s="5">
        <v>102.5</v>
      </c>
      <c r="H29707" s="5">
        <v>102.3</v>
      </c>
      <c r="I29707" s="5">
        <v>0</v>
      </c>
      <c r="J29707" s="5">
        <v>0</v>
      </c>
      <c r="K29707" s="5">
        <v>0</v>
      </c>
    </row>
    <row r="29708" spans="1:11" x14ac:dyDescent="0.25">
      <c r="A29708" s="5">
        <f>29701</f>
      </c>
      <c r="B29708" s="5" t="s">
        <v>29716</v>
      </c>
      <c r="C29708" s="5">
        <v>102.1</v>
      </c>
      <c r="D29708" s="5">
        <v>0.1</v>
      </c>
      <c r="E29708" s="5">
        <v>102.2</v>
      </c>
      <c r="F29708" s="5">
        <v>204.8</v>
      </c>
      <c r="G29708" s="5">
        <v>102.3</v>
      </c>
      <c r="H29708" s="5">
        <v>102.2</v>
      </c>
      <c r="I29708" s="5">
        <v>0</v>
      </c>
      <c r="J29708" s="5">
        <v>0</v>
      </c>
      <c r="K29708" s="5">
        <v>0</v>
      </c>
    </row>
    <row r="29709" spans="1:11" x14ac:dyDescent="0.25">
      <c r="A29709" s="5">
        <f>29702</f>
      </c>
      <c r="B29709" s="5" t="s">
        <v>29717</v>
      </c>
      <c r="C29709" s="5">
        <v>102.1</v>
      </c>
      <c r="D29709" s="5">
        <v>0.1</v>
      </c>
      <c r="E29709" s="5">
        <v>102.2</v>
      </c>
      <c r="F29709" s="5">
        <v>204.8</v>
      </c>
      <c r="G29709" s="5">
        <v>102.3</v>
      </c>
      <c r="H29709" s="5">
        <v>102.2</v>
      </c>
      <c r="I29709" s="5">
        <v>0</v>
      </c>
      <c r="J29709" s="5">
        <v>0</v>
      </c>
      <c r="K29709" s="5">
        <v>0</v>
      </c>
    </row>
    <row r="29710" spans="1:11" x14ac:dyDescent="0.25">
      <c r="A29710" s="5">
        <f>29703</f>
      </c>
      <c r="B29710" s="5" t="s">
        <v>29718</v>
      </c>
      <c r="C29710" s="5">
        <v>99.2</v>
      </c>
      <c r="D29710" s="5">
        <v>0.1</v>
      </c>
      <c r="E29710" s="5">
        <v>99.3</v>
      </c>
      <c r="F29710" s="5">
        <v>200.9</v>
      </c>
      <c r="G29710" s="5">
        <v>100.1</v>
      </c>
      <c r="H29710" s="5">
        <v>99.8</v>
      </c>
      <c r="I29710" s="5">
        <v>0</v>
      </c>
      <c r="J29710" s="5">
        <v>0</v>
      </c>
      <c r="K29710" s="5">
        <v>0</v>
      </c>
    </row>
    <row r="29711" spans="1:11" x14ac:dyDescent="0.25">
      <c r="A29711" s="5">
        <f>29704</f>
      </c>
      <c r="B29711" s="5" t="s">
        <v>29719</v>
      </c>
      <c r="C29711" s="5">
        <v>99.2</v>
      </c>
      <c r="D29711" s="5">
        <v>0.1</v>
      </c>
      <c r="E29711" s="5">
        <v>99.3</v>
      </c>
      <c r="F29711" s="5">
        <v>200.9</v>
      </c>
      <c r="G29711" s="5">
        <v>100.1</v>
      </c>
      <c r="H29711" s="5">
        <v>99.8</v>
      </c>
      <c r="I29711" s="5">
        <v>0</v>
      </c>
      <c r="J29711" s="5">
        <v>0</v>
      </c>
      <c r="K29711" s="5">
        <v>0</v>
      </c>
    </row>
    <row r="29712" spans="1:11" x14ac:dyDescent="0.25">
      <c r="A29712" s="5">
        <f>29705</f>
      </c>
      <c r="B29712" s="5" t="s">
        <v>29720</v>
      </c>
      <c r="C29712" s="5">
        <v>101.2</v>
      </c>
      <c r="D29712" s="5">
        <v>0.1</v>
      </c>
      <c r="E29712" s="5">
        <v>101.4</v>
      </c>
      <c r="F29712" s="5">
        <v>203.6</v>
      </c>
      <c r="G29712" s="5">
        <v>101.6</v>
      </c>
      <c r="H29712" s="5">
        <v>101.4</v>
      </c>
      <c r="I29712" s="5">
        <v>0</v>
      </c>
      <c r="J29712" s="5">
        <v>0</v>
      </c>
      <c r="K29712" s="5">
        <v>0</v>
      </c>
    </row>
    <row r="29713" spans="1:11" x14ac:dyDescent="0.25">
      <c r="A29713" s="5">
        <f>29706</f>
      </c>
      <c r="B29713" s="5" t="s">
        <v>29721</v>
      </c>
      <c r="C29713" s="5">
        <v>101.2</v>
      </c>
      <c r="D29713" s="5">
        <v>0.1</v>
      </c>
      <c r="E29713" s="5">
        <v>101.4</v>
      </c>
      <c r="F29713" s="5">
        <v>203.6</v>
      </c>
      <c r="G29713" s="5">
        <v>101.6</v>
      </c>
      <c r="H29713" s="5">
        <v>101.4</v>
      </c>
      <c r="I29713" s="5">
        <v>0</v>
      </c>
      <c r="J29713" s="5">
        <v>0</v>
      </c>
      <c r="K29713" s="5">
        <v>0</v>
      </c>
    </row>
    <row r="29714" spans="1:11" x14ac:dyDescent="0.25">
      <c r="A29714" s="5">
        <f>29707</f>
      </c>
      <c r="B29714" s="5" t="s">
        <v>29722</v>
      </c>
      <c r="C29714" s="5">
        <v>101.2</v>
      </c>
      <c r="D29714" s="5">
        <v>0.1</v>
      </c>
      <c r="E29714" s="5">
        <v>101.4</v>
      </c>
      <c r="F29714" s="5">
        <v>203.6</v>
      </c>
      <c r="G29714" s="5">
        <v>101.6</v>
      </c>
      <c r="H29714" s="5">
        <v>101.4</v>
      </c>
      <c r="I29714" s="5">
        <v>0</v>
      </c>
      <c r="J29714" s="5">
        <v>0</v>
      </c>
      <c r="K29714" s="5">
        <v>0</v>
      </c>
    </row>
    <row r="29715" spans="1:11" x14ac:dyDescent="0.25">
      <c r="A29715" s="5">
        <f>29708</f>
      </c>
      <c r="B29715" s="5" t="s">
        <v>29723</v>
      </c>
      <c r="C29715" s="5">
        <v>101.2</v>
      </c>
      <c r="D29715" s="5">
        <v>0.1</v>
      </c>
      <c r="E29715" s="5">
        <v>101.4</v>
      </c>
      <c r="F29715" s="5">
        <v>203.6</v>
      </c>
      <c r="G29715" s="5">
        <v>101.6</v>
      </c>
      <c r="H29715" s="5">
        <v>101.4</v>
      </c>
      <c r="I29715" s="5">
        <v>0</v>
      </c>
      <c r="J29715" s="5">
        <v>0</v>
      </c>
      <c r="K29715" s="5">
        <v>0</v>
      </c>
    </row>
    <row r="29716" spans="1:11" x14ac:dyDescent="0.25">
      <c r="A29716" s="5">
        <f>29709</f>
      </c>
      <c r="B29716" s="5" t="s">
        <v>29724</v>
      </c>
      <c r="C29716" s="5">
        <v>96.5</v>
      </c>
      <c r="D29716" s="5">
        <v>0.1</v>
      </c>
      <c r="E29716" s="5">
        <v>96.6</v>
      </c>
      <c r="F29716" s="5">
        <v>194.8</v>
      </c>
      <c r="G29716" s="5">
        <v>97.2</v>
      </c>
      <c r="H29716" s="5">
        <v>97</v>
      </c>
      <c r="I29716" s="5">
        <v>0</v>
      </c>
      <c r="J29716" s="5">
        <v>0</v>
      </c>
      <c r="K29716" s="5">
        <v>0</v>
      </c>
    </row>
    <row r="29717" spans="1:11" x14ac:dyDescent="0.25">
      <c r="A29717" s="5">
        <f>29710</f>
      </c>
      <c r="B29717" s="5" t="s">
        <v>29725</v>
      </c>
      <c r="C29717" s="5">
        <v>96.5</v>
      </c>
      <c r="D29717" s="5">
        <v>0.1</v>
      </c>
      <c r="E29717" s="5">
        <v>96.6</v>
      </c>
      <c r="F29717" s="5">
        <v>194.8</v>
      </c>
      <c r="G29717" s="5">
        <v>97.2</v>
      </c>
      <c r="H29717" s="5">
        <v>97</v>
      </c>
      <c r="I29717" s="5">
        <v>0</v>
      </c>
      <c r="J29717" s="5">
        <v>0</v>
      </c>
      <c r="K29717" s="5">
        <v>0</v>
      </c>
    </row>
    <row r="29718" spans="1:11" x14ac:dyDescent="0.25">
      <c r="A29718" s="5">
        <f>29711</f>
      </c>
      <c r="B29718" s="5" t="s">
        <v>29726</v>
      </c>
      <c r="C29718" s="5">
        <v>102.4</v>
      </c>
      <c r="D29718" s="5">
        <v>0.1</v>
      </c>
      <c r="E29718" s="5">
        <v>102.6</v>
      </c>
      <c r="F29718" s="5">
        <v>199.2</v>
      </c>
      <c r="G29718" s="5">
        <v>99.6</v>
      </c>
      <c r="H29718" s="5">
        <v>99.6</v>
      </c>
      <c r="I29718" s="5">
        <v>0</v>
      </c>
      <c r="J29718" s="5">
        <v>0</v>
      </c>
      <c r="K29718" s="5">
        <v>0</v>
      </c>
    </row>
    <row r="29719" spans="1:11" x14ac:dyDescent="0.25">
      <c r="A29719" s="5">
        <f>29712</f>
      </c>
      <c r="B29719" s="5" t="s">
        <v>29727</v>
      </c>
      <c r="C29719" s="5">
        <v>102.4</v>
      </c>
      <c r="D29719" s="5">
        <v>0.1</v>
      </c>
      <c r="E29719" s="5">
        <v>102.6</v>
      </c>
      <c r="F29719" s="5">
        <v>199.2</v>
      </c>
      <c r="G29719" s="5">
        <v>99.6</v>
      </c>
      <c r="H29719" s="5">
        <v>99.6</v>
      </c>
      <c r="I29719" s="5">
        <v>0</v>
      </c>
      <c r="J29719" s="5">
        <v>0</v>
      </c>
      <c r="K29719" s="5">
        <v>0</v>
      </c>
    </row>
    <row r="29720" spans="1:11" x14ac:dyDescent="0.25">
      <c r="A29720" s="5">
        <f>29713</f>
      </c>
      <c r="B29720" s="5" t="s">
        <v>29728</v>
      </c>
      <c r="C29720" s="5">
        <v>102.3</v>
      </c>
      <c r="D29720" s="5">
        <v>0.1</v>
      </c>
      <c r="E29720" s="5">
        <v>102.4</v>
      </c>
      <c r="F29720" s="5">
        <v>195.8</v>
      </c>
      <c r="G29720" s="5">
        <v>97.7</v>
      </c>
      <c r="H29720" s="5">
        <v>97.6</v>
      </c>
      <c r="I29720" s="5">
        <v>0</v>
      </c>
      <c r="J29720" s="5">
        <v>0</v>
      </c>
      <c r="K29720" s="5">
        <v>0</v>
      </c>
    </row>
    <row r="29721" spans="1:11" x14ac:dyDescent="0.25">
      <c r="A29721" s="5">
        <f>29714</f>
      </c>
      <c r="B29721" s="5" t="s">
        <v>29729</v>
      </c>
      <c r="C29721" s="5">
        <v>102.3</v>
      </c>
      <c r="D29721" s="5">
        <v>0.1</v>
      </c>
      <c r="E29721" s="5">
        <v>102.4</v>
      </c>
      <c r="F29721" s="5">
        <v>195.8</v>
      </c>
      <c r="G29721" s="5">
        <v>97.7</v>
      </c>
      <c r="H29721" s="5">
        <v>97.6</v>
      </c>
      <c r="I29721" s="5">
        <v>0</v>
      </c>
      <c r="J29721" s="5">
        <v>0</v>
      </c>
      <c r="K29721" s="5">
        <v>0</v>
      </c>
    </row>
    <row r="29722" spans="1:11" x14ac:dyDescent="0.25">
      <c r="A29722" s="5">
        <f>29715</f>
      </c>
      <c r="B29722" s="5" t="s">
        <v>29730</v>
      </c>
      <c r="C29722" s="5">
        <v>102.5</v>
      </c>
      <c r="D29722" s="5">
        <v>0.1</v>
      </c>
      <c r="E29722" s="5">
        <v>102.6</v>
      </c>
      <c r="F29722" s="5">
        <v>195.5</v>
      </c>
      <c r="G29722" s="5">
        <v>97.5</v>
      </c>
      <c r="H29722" s="5">
        <v>97.4</v>
      </c>
      <c r="I29722" s="5">
        <v>0</v>
      </c>
      <c r="J29722" s="5">
        <v>0</v>
      </c>
      <c r="K29722" s="5">
        <v>0</v>
      </c>
    </row>
    <row r="29723" spans="1:11" x14ac:dyDescent="0.25">
      <c r="A29723" s="5">
        <f>29716</f>
      </c>
      <c r="B29723" s="5" t="s">
        <v>29731</v>
      </c>
      <c r="C29723" s="5">
        <v>102.5</v>
      </c>
      <c r="D29723" s="5">
        <v>0.1</v>
      </c>
      <c r="E29723" s="5">
        <v>102.6</v>
      </c>
      <c r="F29723" s="5">
        <v>195.5</v>
      </c>
      <c r="G29723" s="5">
        <v>97.5</v>
      </c>
      <c r="H29723" s="5">
        <v>97.4</v>
      </c>
      <c r="I29723" s="5">
        <v>0</v>
      </c>
      <c r="J29723" s="5">
        <v>0</v>
      </c>
      <c r="K29723" s="5">
        <v>0</v>
      </c>
    </row>
    <row r="29724" spans="1:11" x14ac:dyDescent="0.25">
      <c r="A29724" s="5">
        <f>29717</f>
      </c>
      <c r="B29724" s="5" t="s">
        <v>29732</v>
      </c>
      <c r="C29724" s="5">
        <v>102.5</v>
      </c>
      <c r="D29724" s="5">
        <v>0.1</v>
      </c>
      <c r="E29724" s="5">
        <v>102.6</v>
      </c>
      <c r="F29724" s="5">
        <v>195.5</v>
      </c>
      <c r="G29724" s="5">
        <v>97.5</v>
      </c>
      <c r="H29724" s="5">
        <v>97.4</v>
      </c>
      <c r="I29724" s="5">
        <v>0</v>
      </c>
      <c r="J29724" s="5">
        <v>0</v>
      </c>
      <c r="K29724" s="5">
        <v>0</v>
      </c>
    </row>
    <row r="29725" spans="1:11" x14ac:dyDescent="0.25">
      <c r="A29725" s="5">
        <f>29718</f>
      </c>
      <c r="B29725" s="5" t="s">
        <v>29733</v>
      </c>
      <c r="C29725" s="5">
        <v>102.5</v>
      </c>
      <c r="D29725" s="5">
        <v>0.1</v>
      </c>
      <c r="E29725" s="5">
        <v>102.6</v>
      </c>
      <c r="F29725" s="5">
        <v>195.5</v>
      </c>
      <c r="G29725" s="5">
        <v>97.5</v>
      </c>
      <c r="H29725" s="5">
        <v>97.4</v>
      </c>
      <c r="I29725" s="5">
        <v>0</v>
      </c>
      <c r="J29725" s="5">
        <v>0</v>
      </c>
      <c r="K29725" s="5">
        <v>0</v>
      </c>
    </row>
    <row r="29726" spans="1:11" x14ac:dyDescent="0.25">
      <c r="A29726" s="5">
        <f>29719</f>
      </c>
      <c r="B29726" s="5" t="s">
        <v>29734</v>
      </c>
      <c r="C29726" s="5">
        <v>97.8</v>
      </c>
      <c r="D29726" s="5">
        <v>0.1</v>
      </c>
      <c r="E29726" s="5">
        <v>97.9</v>
      </c>
      <c r="F29726" s="5">
        <v>194.5</v>
      </c>
      <c r="G29726" s="5">
        <v>97.1</v>
      </c>
      <c r="H29726" s="5">
        <v>96.9</v>
      </c>
      <c r="I29726" s="5">
        <v>0</v>
      </c>
      <c r="J29726" s="5">
        <v>0</v>
      </c>
      <c r="K29726" s="5">
        <v>0</v>
      </c>
    </row>
    <row r="29727" spans="1:11" x14ac:dyDescent="0.25">
      <c r="A29727" s="5">
        <f>29720</f>
      </c>
      <c r="B29727" s="5" t="s">
        <v>29735</v>
      </c>
      <c r="C29727" s="5">
        <v>97.8</v>
      </c>
      <c r="D29727" s="5">
        <v>0.1</v>
      </c>
      <c r="E29727" s="5">
        <v>97.9</v>
      </c>
      <c r="F29727" s="5">
        <v>194.5</v>
      </c>
      <c r="G29727" s="5">
        <v>97.1</v>
      </c>
      <c r="H29727" s="5">
        <v>96.9</v>
      </c>
      <c r="I29727" s="5">
        <v>0</v>
      </c>
      <c r="J29727" s="5">
        <v>0</v>
      </c>
      <c r="K29727" s="5">
        <v>0</v>
      </c>
    </row>
    <row r="29728" spans="1:11" x14ac:dyDescent="0.25">
      <c r="A29728" s="5">
        <f>29721</f>
      </c>
      <c r="B29728" s="5" t="s">
        <v>29736</v>
      </c>
      <c r="C29728" s="5">
        <v>102.3</v>
      </c>
      <c r="D29728" s="5">
        <v>0.1</v>
      </c>
      <c r="E29728" s="5">
        <v>102.4</v>
      </c>
      <c r="F29728" s="5">
        <v>204.4</v>
      </c>
      <c r="G29728" s="5">
        <v>101.9</v>
      </c>
      <c r="H29728" s="5">
        <v>101.8</v>
      </c>
      <c r="I29728" s="5">
        <v>0</v>
      </c>
      <c r="J29728" s="5">
        <v>0</v>
      </c>
      <c r="K29728" s="5">
        <v>0</v>
      </c>
    </row>
    <row r="29729" spans="1:11" x14ac:dyDescent="0.25">
      <c r="A29729" s="5">
        <f>29722</f>
      </c>
      <c r="B29729" s="5" t="s">
        <v>29737</v>
      </c>
      <c r="C29729" s="5">
        <v>102.3</v>
      </c>
      <c r="D29729" s="5">
        <v>0.1</v>
      </c>
      <c r="E29729" s="5">
        <v>102.4</v>
      </c>
      <c r="F29729" s="5">
        <v>204.4</v>
      </c>
      <c r="G29729" s="5">
        <v>101.9</v>
      </c>
      <c r="H29729" s="5">
        <v>101.8</v>
      </c>
      <c r="I29729" s="5">
        <v>0</v>
      </c>
      <c r="J29729" s="5">
        <v>0</v>
      </c>
      <c r="K29729" s="5">
        <v>0</v>
      </c>
    </row>
    <row r="29730" spans="1:11" x14ac:dyDescent="0.25">
      <c r="A29730" s="5">
        <f>29723</f>
      </c>
      <c r="B29730" s="5" t="s">
        <v>29738</v>
      </c>
      <c r="C29730" s="5">
        <v>103</v>
      </c>
      <c r="D29730" s="5">
        <v>0.1</v>
      </c>
      <c r="E29730" s="5">
        <v>103.1</v>
      </c>
      <c r="F29730" s="5">
        <v>205.6</v>
      </c>
      <c r="G29730" s="5">
        <v>102.6</v>
      </c>
      <c r="H29730" s="5">
        <v>102.5</v>
      </c>
      <c r="I29730" s="5">
        <v>0</v>
      </c>
      <c r="J29730" s="5">
        <v>0</v>
      </c>
      <c r="K29730" s="5">
        <v>0</v>
      </c>
    </row>
    <row r="29731" spans="1:11" x14ac:dyDescent="0.25">
      <c r="A29731" s="5">
        <f>29724</f>
      </c>
      <c r="B29731" s="5" t="s">
        <v>29739</v>
      </c>
      <c r="C29731" s="5">
        <v>103</v>
      </c>
      <c r="D29731" s="5">
        <v>0.1</v>
      </c>
      <c r="E29731" s="5">
        <v>103.1</v>
      </c>
      <c r="F29731" s="5">
        <v>205.6</v>
      </c>
      <c r="G29731" s="5">
        <v>102.6</v>
      </c>
      <c r="H29731" s="5">
        <v>102.5</v>
      </c>
      <c r="I29731" s="5">
        <v>0</v>
      </c>
      <c r="J29731" s="5">
        <v>0</v>
      </c>
      <c r="K29731" s="5">
        <v>0</v>
      </c>
    </row>
    <row r="29732" spans="1:11" x14ac:dyDescent="0.25">
      <c r="A29732" s="5">
        <f>29725</f>
      </c>
      <c r="B29732" s="5" t="s">
        <v>29740</v>
      </c>
      <c r="C29732" s="5">
        <v>102.7</v>
      </c>
      <c r="D29732" s="5">
        <v>0.1</v>
      </c>
      <c r="E29732" s="5">
        <v>102.8</v>
      </c>
      <c r="F29732" s="5">
        <v>204.8</v>
      </c>
      <c r="G29732" s="5">
        <v>102.2</v>
      </c>
      <c r="H29732" s="5">
        <v>102</v>
      </c>
      <c r="I29732" s="5">
        <v>0</v>
      </c>
      <c r="J29732" s="5">
        <v>0</v>
      </c>
      <c r="K29732" s="5">
        <v>0</v>
      </c>
    </row>
    <row r="29733" spans="1:11" x14ac:dyDescent="0.25">
      <c r="A29733" s="5">
        <f>29726</f>
      </c>
      <c r="B29733" s="5" t="s">
        <v>29741</v>
      </c>
      <c r="C29733" s="5">
        <v>102.7</v>
      </c>
      <c r="D29733" s="5">
        <v>0.1</v>
      </c>
      <c r="E29733" s="5">
        <v>102.8</v>
      </c>
      <c r="F29733" s="5">
        <v>204.8</v>
      </c>
      <c r="G29733" s="5">
        <v>102.2</v>
      </c>
      <c r="H29733" s="5">
        <v>102</v>
      </c>
      <c r="I29733" s="5">
        <v>0</v>
      </c>
      <c r="J29733" s="5">
        <v>0</v>
      </c>
      <c r="K29733" s="5">
        <v>0</v>
      </c>
    </row>
    <row r="29734" spans="1:11" x14ac:dyDescent="0.25">
      <c r="A29734" s="5">
        <f>29727</f>
      </c>
      <c r="B29734" s="5" t="s">
        <v>29742</v>
      </c>
      <c r="C29734" s="5">
        <v>102.7</v>
      </c>
      <c r="D29734" s="5">
        <v>0.1</v>
      </c>
      <c r="E29734" s="5">
        <v>102.8</v>
      </c>
      <c r="F29734" s="5">
        <v>204.8</v>
      </c>
      <c r="G29734" s="5">
        <v>102.2</v>
      </c>
      <c r="H29734" s="5">
        <v>102</v>
      </c>
      <c r="I29734" s="5">
        <v>0</v>
      </c>
      <c r="J29734" s="5">
        <v>0</v>
      </c>
      <c r="K29734" s="5">
        <v>0</v>
      </c>
    </row>
    <row r="29735" spans="1:11" x14ac:dyDescent="0.25">
      <c r="A29735" s="5">
        <f>29728</f>
      </c>
      <c r="B29735" s="5" t="s">
        <v>29743</v>
      </c>
      <c r="C29735" s="5">
        <v>102.7</v>
      </c>
      <c r="D29735" s="5">
        <v>0.1</v>
      </c>
      <c r="E29735" s="5">
        <v>102.8</v>
      </c>
      <c r="F29735" s="5">
        <v>204.8</v>
      </c>
      <c r="G29735" s="5">
        <v>102.2</v>
      </c>
      <c r="H29735" s="5">
        <v>102</v>
      </c>
      <c r="I29735" s="5">
        <v>0</v>
      </c>
      <c r="J29735" s="5">
        <v>0</v>
      </c>
      <c r="K29735" s="5">
        <v>0</v>
      </c>
    </row>
    <row r="29736" spans="1:11" x14ac:dyDescent="0.25">
      <c r="A29736" s="5">
        <f>29729</f>
      </c>
      <c r="B29736" s="5" t="s">
        <v>29744</v>
      </c>
      <c r="C29736" s="5">
        <v>101.8</v>
      </c>
      <c r="D29736" s="5">
        <v>0.1</v>
      </c>
      <c r="E29736" s="5">
        <v>101.9</v>
      </c>
      <c r="F29736" s="5">
        <v>205.2</v>
      </c>
      <c r="G29736" s="5">
        <v>102.4</v>
      </c>
      <c r="H29736" s="5">
        <v>102.2</v>
      </c>
      <c r="I29736" s="5">
        <v>0</v>
      </c>
      <c r="J29736" s="5">
        <v>0</v>
      </c>
      <c r="K29736" s="5">
        <v>0</v>
      </c>
    </row>
    <row r="29737" spans="1:11" x14ac:dyDescent="0.25">
      <c r="A29737" s="5">
        <f>29730</f>
      </c>
      <c r="B29737" s="5" t="s">
        <v>29745</v>
      </c>
      <c r="C29737" s="5">
        <v>101.6</v>
      </c>
      <c r="D29737" s="5">
        <v>0.1</v>
      </c>
      <c r="E29737" s="5">
        <v>101.8</v>
      </c>
      <c r="F29737" s="5">
        <v>205.5</v>
      </c>
      <c r="G29737" s="5">
        <v>102.5</v>
      </c>
      <c r="H29737" s="5">
        <v>102.3</v>
      </c>
      <c r="I29737" s="5">
        <v>0</v>
      </c>
      <c r="J29737" s="5">
        <v>0</v>
      </c>
      <c r="K29737" s="5">
        <v>0</v>
      </c>
    </row>
    <row r="29738" spans="1:11" x14ac:dyDescent="0.25">
      <c r="A29738" s="5">
        <f>29731</f>
      </c>
      <c r="B29738" s="5" t="s">
        <v>29746</v>
      </c>
      <c r="C29738" s="5">
        <v>101.6</v>
      </c>
      <c r="D29738" s="5">
        <v>0.1</v>
      </c>
      <c r="E29738" s="5">
        <v>101.8</v>
      </c>
      <c r="F29738" s="5">
        <v>205.5</v>
      </c>
      <c r="G29738" s="5">
        <v>102.5</v>
      </c>
      <c r="H29738" s="5">
        <v>102.3</v>
      </c>
      <c r="I29738" s="5">
        <v>0</v>
      </c>
      <c r="J29738" s="5">
        <v>0</v>
      </c>
      <c r="K29738" s="5">
        <v>0</v>
      </c>
    </row>
    <row r="29739" spans="1:11" x14ac:dyDescent="0.25">
      <c r="A29739" s="5">
        <f>29732</f>
      </c>
      <c r="B29739" s="5" t="s">
        <v>29747</v>
      </c>
      <c r="C29739" s="5">
        <v>96.8</v>
      </c>
      <c r="D29739" s="5">
        <v>0.1</v>
      </c>
      <c r="E29739" s="5">
        <v>97</v>
      </c>
      <c r="F29739" s="5">
        <v>202.3</v>
      </c>
      <c r="G29739" s="5">
        <v>100.6</v>
      </c>
      <c r="H29739" s="5">
        <v>100.2</v>
      </c>
      <c r="I29739" s="5">
        <v>0</v>
      </c>
      <c r="J29739" s="5">
        <v>0</v>
      </c>
      <c r="K29739" s="5">
        <v>0</v>
      </c>
    </row>
    <row r="29740" spans="1:11" x14ac:dyDescent="0.25">
      <c r="A29740" s="5">
        <f>29733</f>
      </c>
      <c r="B29740" s="5" t="s">
        <v>29748</v>
      </c>
      <c r="C29740" s="5">
        <v>96.8</v>
      </c>
      <c r="D29740" s="5">
        <v>0.1</v>
      </c>
      <c r="E29740" s="5">
        <v>97</v>
      </c>
      <c r="F29740" s="5">
        <v>202.3</v>
      </c>
      <c r="G29740" s="5">
        <v>100.6</v>
      </c>
      <c r="H29740" s="5">
        <v>100.2</v>
      </c>
      <c r="I29740" s="5">
        <v>0</v>
      </c>
      <c r="J29740" s="5">
        <v>0</v>
      </c>
      <c r="K29740" s="5">
        <v>0</v>
      </c>
    </row>
    <row r="29741" spans="1:11" x14ac:dyDescent="0.25">
      <c r="A29741" s="5">
        <f>29734</f>
      </c>
      <c r="B29741" s="5" t="s">
        <v>29749</v>
      </c>
      <c r="C29741" s="5">
        <v>102.1</v>
      </c>
      <c r="D29741" s="5">
        <v>0.1</v>
      </c>
      <c r="E29741" s="5">
        <v>102.3</v>
      </c>
      <c r="F29741" s="5">
        <v>204.5</v>
      </c>
      <c r="G29741" s="5">
        <v>102</v>
      </c>
      <c r="H29741" s="5">
        <v>101.9</v>
      </c>
      <c r="I29741" s="5">
        <v>0</v>
      </c>
      <c r="J29741" s="5">
        <v>0</v>
      </c>
      <c r="K29741" s="5">
        <v>0</v>
      </c>
    </row>
    <row r="29742" spans="1:11" x14ac:dyDescent="0.25">
      <c r="A29742" s="5">
        <f>29735</f>
      </c>
      <c r="B29742" s="5" t="s">
        <v>29750</v>
      </c>
      <c r="C29742" s="5">
        <v>102.1</v>
      </c>
      <c r="D29742" s="5">
        <v>0.1</v>
      </c>
      <c r="E29742" s="5">
        <v>102.3</v>
      </c>
      <c r="F29742" s="5">
        <v>204.5</v>
      </c>
      <c r="G29742" s="5">
        <v>102</v>
      </c>
      <c r="H29742" s="5">
        <v>101.9</v>
      </c>
      <c r="I29742" s="5">
        <v>0</v>
      </c>
      <c r="J29742" s="5">
        <v>0</v>
      </c>
      <c r="K29742" s="5">
        <v>0</v>
      </c>
    </row>
    <row r="29743" spans="1:11" x14ac:dyDescent="0.25">
      <c r="A29743" s="5">
        <f>29736</f>
      </c>
      <c r="B29743" s="5" t="s">
        <v>29751</v>
      </c>
      <c r="C29743" s="5">
        <v>102.1</v>
      </c>
      <c r="D29743" s="5">
        <v>0.1</v>
      </c>
      <c r="E29743" s="5">
        <v>102.3</v>
      </c>
      <c r="F29743" s="5">
        <v>204.5</v>
      </c>
      <c r="G29743" s="5">
        <v>102</v>
      </c>
      <c r="H29743" s="5">
        <v>101.9</v>
      </c>
      <c r="I29743" s="5">
        <v>0</v>
      </c>
      <c r="J29743" s="5">
        <v>0</v>
      </c>
      <c r="K29743" s="5">
        <v>0</v>
      </c>
    </row>
    <row r="29744" spans="1:11" x14ac:dyDescent="0.25">
      <c r="A29744" s="5">
        <f>29737</f>
      </c>
      <c r="B29744" s="5" t="s">
        <v>29752</v>
      </c>
      <c r="C29744" s="5">
        <v>102.1</v>
      </c>
      <c r="D29744" s="5">
        <v>0.1</v>
      </c>
      <c r="E29744" s="5">
        <v>102.3</v>
      </c>
      <c r="F29744" s="5">
        <v>204.5</v>
      </c>
      <c r="G29744" s="5">
        <v>102.4</v>
      </c>
      <c r="H29744" s="5">
        <v>102.2</v>
      </c>
      <c r="I29744" s="5">
        <v>0</v>
      </c>
      <c r="J29744" s="5">
        <v>0</v>
      </c>
      <c r="K29744" s="5">
        <v>0</v>
      </c>
    </row>
    <row r="29745" spans="1:11" x14ac:dyDescent="0.25">
      <c r="A29745" s="5">
        <f>29738</f>
      </c>
      <c r="B29745" s="5" t="s">
        <v>29753</v>
      </c>
      <c r="C29745" s="5">
        <v>102.7</v>
      </c>
      <c r="D29745" s="5">
        <v>0.1</v>
      </c>
      <c r="E29745" s="5">
        <v>102.8</v>
      </c>
      <c r="F29745" s="5">
        <v>205.3</v>
      </c>
      <c r="G29745" s="5">
        <v>102.4</v>
      </c>
      <c r="H29745" s="5">
        <v>102.2</v>
      </c>
      <c r="I29745" s="5">
        <v>0</v>
      </c>
      <c r="J29745" s="5">
        <v>0</v>
      </c>
      <c r="K29745" s="5">
        <v>0</v>
      </c>
    </row>
    <row r="29746" spans="1:11" x14ac:dyDescent="0.25">
      <c r="A29746" s="5">
        <f>29739</f>
      </c>
      <c r="B29746" s="5" t="s">
        <v>29754</v>
      </c>
      <c r="C29746" s="5">
        <v>102.7</v>
      </c>
      <c r="D29746" s="5">
        <v>0.1</v>
      </c>
      <c r="E29746" s="5">
        <v>102.8</v>
      </c>
      <c r="F29746" s="5">
        <v>205.3</v>
      </c>
      <c r="G29746" s="5">
        <v>102.6</v>
      </c>
      <c r="H29746" s="5">
        <v>102.4</v>
      </c>
      <c r="I29746" s="5">
        <v>0</v>
      </c>
      <c r="J29746" s="5">
        <v>0</v>
      </c>
      <c r="K29746" s="5">
        <v>0</v>
      </c>
    </row>
    <row r="29747" spans="1:11" x14ac:dyDescent="0.25">
      <c r="A29747" s="5">
        <f>29740</f>
      </c>
      <c r="B29747" s="5" t="s">
        <v>29755</v>
      </c>
      <c r="C29747" s="5">
        <v>103.1</v>
      </c>
      <c r="D29747" s="5">
        <v>0.1</v>
      </c>
      <c r="E29747" s="5">
        <v>103.2</v>
      </c>
      <c r="F29747" s="5">
        <v>205.7</v>
      </c>
      <c r="G29747" s="5">
        <v>102.6</v>
      </c>
      <c r="H29747" s="5">
        <v>102.4</v>
      </c>
      <c r="I29747" s="5">
        <v>0</v>
      </c>
      <c r="J29747" s="5">
        <v>0</v>
      </c>
      <c r="K29747" s="5">
        <v>0</v>
      </c>
    </row>
    <row r="29748" spans="1:11" x14ac:dyDescent="0.25">
      <c r="A29748" s="5">
        <f>29741</f>
      </c>
      <c r="B29748" s="5" t="s">
        <v>29756</v>
      </c>
      <c r="C29748" s="5">
        <v>103.1</v>
      </c>
      <c r="D29748" s="5">
        <v>0.1</v>
      </c>
      <c r="E29748" s="5">
        <v>103.2</v>
      </c>
      <c r="F29748" s="5">
        <v>205.7</v>
      </c>
      <c r="G29748" s="5">
        <v>102.6</v>
      </c>
      <c r="H29748" s="5">
        <v>102.4</v>
      </c>
      <c r="I29748" s="5">
        <v>0</v>
      </c>
      <c r="J29748" s="5">
        <v>0</v>
      </c>
      <c r="K29748" s="5">
        <v>0</v>
      </c>
    </row>
    <row r="29749" spans="1:11" x14ac:dyDescent="0.25">
      <c r="A29749" s="5">
        <f>29742</f>
      </c>
      <c r="B29749" s="5" t="s">
        <v>29757</v>
      </c>
      <c r="C29749" s="5">
        <v>103.1</v>
      </c>
      <c r="D29749" s="5">
        <v>0.1</v>
      </c>
      <c r="E29749" s="5">
        <v>103.2</v>
      </c>
      <c r="F29749" s="5">
        <v>205.5</v>
      </c>
      <c r="G29749" s="5">
        <v>102.5</v>
      </c>
      <c r="H29749" s="5">
        <v>102.4</v>
      </c>
      <c r="I29749" s="5">
        <v>0</v>
      </c>
      <c r="J29749" s="5">
        <v>0</v>
      </c>
      <c r="K29749" s="5">
        <v>0</v>
      </c>
    </row>
    <row r="29750" spans="1:11" x14ac:dyDescent="0.25">
      <c r="A29750" s="5">
        <f>29743</f>
      </c>
      <c r="B29750" s="5" t="s">
        <v>29758</v>
      </c>
      <c r="C29750" s="5">
        <v>103.1</v>
      </c>
      <c r="D29750" s="5">
        <v>0.1</v>
      </c>
      <c r="E29750" s="5">
        <v>103.2</v>
      </c>
      <c r="F29750" s="5">
        <v>205.5</v>
      </c>
      <c r="G29750" s="5">
        <v>102.5</v>
      </c>
      <c r="H29750" s="5">
        <v>102.4</v>
      </c>
      <c r="I29750" s="5">
        <v>0</v>
      </c>
      <c r="J29750" s="5">
        <v>0</v>
      </c>
      <c r="K29750" s="5">
        <v>0</v>
      </c>
    </row>
    <row r="29751" spans="1:11" x14ac:dyDescent="0.25">
      <c r="A29751" s="5">
        <f>29744</f>
      </c>
      <c r="B29751" s="5" t="s">
        <v>29759</v>
      </c>
      <c r="C29751" s="5">
        <v>103.1</v>
      </c>
      <c r="D29751" s="5">
        <v>0.1</v>
      </c>
      <c r="E29751" s="5">
        <v>103.2</v>
      </c>
      <c r="F29751" s="5">
        <v>205.2</v>
      </c>
      <c r="G29751" s="5">
        <v>102.4</v>
      </c>
      <c r="H29751" s="5">
        <v>102.3</v>
      </c>
      <c r="I29751" s="5">
        <v>0</v>
      </c>
      <c r="J29751" s="5">
        <v>0</v>
      </c>
      <c r="K29751" s="5">
        <v>0</v>
      </c>
    </row>
    <row r="29752" spans="1:11" x14ac:dyDescent="0.25">
      <c r="A29752" s="5">
        <f>29745</f>
      </c>
      <c r="B29752" s="5" t="s">
        <v>29760</v>
      </c>
      <c r="C29752" s="5">
        <v>103.1</v>
      </c>
      <c r="D29752" s="5">
        <v>0.1</v>
      </c>
      <c r="E29752" s="5">
        <v>103.2</v>
      </c>
      <c r="F29752" s="5">
        <v>205.2</v>
      </c>
      <c r="G29752" s="5">
        <v>102.4</v>
      </c>
      <c r="H29752" s="5">
        <v>102.3</v>
      </c>
      <c r="I29752" s="5">
        <v>0</v>
      </c>
      <c r="J29752" s="5">
        <v>0</v>
      </c>
      <c r="K29752" s="5">
        <v>0</v>
      </c>
    </row>
    <row r="29753" spans="1:11" x14ac:dyDescent="0.25">
      <c r="A29753" s="5">
        <f>29746</f>
      </c>
      <c r="B29753" s="5" t="s">
        <v>29761</v>
      </c>
      <c r="C29753" s="5">
        <v>103.1</v>
      </c>
      <c r="D29753" s="5">
        <v>0.1</v>
      </c>
      <c r="E29753" s="5">
        <v>103.2</v>
      </c>
      <c r="F29753" s="5">
        <v>205.2</v>
      </c>
      <c r="G29753" s="5">
        <v>102.4</v>
      </c>
      <c r="H29753" s="5">
        <v>102.3</v>
      </c>
      <c r="I29753" s="5">
        <v>0</v>
      </c>
      <c r="J29753" s="5">
        <v>0</v>
      </c>
      <c r="K29753" s="5">
        <v>0</v>
      </c>
    </row>
    <row r="29754" spans="1:11" x14ac:dyDescent="0.25">
      <c r="A29754" s="5">
        <f>29747</f>
      </c>
      <c r="B29754" s="5" t="s">
        <v>29762</v>
      </c>
      <c r="C29754" s="5">
        <v>98.3</v>
      </c>
      <c r="D29754" s="5">
        <v>0.1</v>
      </c>
      <c r="E29754" s="5">
        <v>98.4</v>
      </c>
      <c r="F29754" s="5">
        <v>205</v>
      </c>
      <c r="G29754" s="5">
        <v>102.2</v>
      </c>
      <c r="H29754" s="5">
        <v>101.9</v>
      </c>
      <c r="I29754" s="5">
        <v>0</v>
      </c>
      <c r="J29754" s="5">
        <v>0</v>
      </c>
      <c r="K29754" s="5">
        <v>0</v>
      </c>
    </row>
    <row r="29755" spans="1:11" x14ac:dyDescent="0.25">
      <c r="A29755" s="5">
        <f>29748</f>
      </c>
      <c r="B29755" s="5" t="s">
        <v>29763</v>
      </c>
      <c r="C29755" s="5">
        <v>98.3</v>
      </c>
      <c r="D29755" s="5">
        <v>0.1</v>
      </c>
      <c r="E29755" s="5">
        <v>98.4</v>
      </c>
      <c r="F29755" s="5">
        <v>205</v>
      </c>
      <c r="G29755" s="5">
        <v>102.2</v>
      </c>
      <c r="H29755" s="5">
        <v>101.9</v>
      </c>
      <c r="I29755" s="5">
        <v>0</v>
      </c>
      <c r="J29755" s="5">
        <v>0</v>
      </c>
      <c r="K29755" s="5">
        <v>0</v>
      </c>
    </row>
    <row r="29756" spans="1:11" x14ac:dyDescent="0.25">
      <c r="A29756" s="5">
        <f>29749</f>
      </c>
      <c r="B29756" s="5" t="s">
        <v>29764</v>
      </c>
      <c r="C29756" s="5">
        <v>96.3</v>
      </c>
      <c r="D29756" s="5">
        <v>0.1</v>
      </c>
      <c r="E29756" s="5">
        <v>96.4</v>
      </c>
      <c r="F29756" s="5">
        <v>201.8</v>
      </c>
      <c r="G29756" s="5">
        <v>100.7</v>
      </c>
      <c r="H29756" s="5">
        <v>101.9</v>
      </c>
      <c r="I29756" s="5">
        <v>0</v>
      </c>
      <c r="J29756" s="5">
        <v>0</v>
      </c>
      <c r="K29756" s="5">
        <v>0</v>
      </c>
    </row>
    <row r="29757" spans="1:11" x14ac:dyDescent="0.25">
      <c r="A29757" s="5">
        <f>29750</f>
      </c>
      <c r="B29757" s="5" t="s">
        <v>29765</v>
      </c>
      <c r="C29757" s="5">
        <v>96.3</v>
      </c>
      <c r="D29757" s="5">
        <v>0.1</v>
      </c>
      <c r="E29757" s="5">
        <v>96.4</v>
      </c>
      <c r="F29757" s="5">
        <v>201.8</v>
      </c>
      <c r="G29757" s="5">
        <v>100.7</v>
      </c>
      <c r="H29757" s="5">
        <v>100.6</v>
      </c>
      <c r="I29757" s="5">
        <v>0</v>
      </c>
      <c r="J29757" s="5">
        <v>0</v>
      </c>
      <c r="K29757" s="5">
        <v>0</v>
      </c>
    </row>
    <row r="29758" spans="1:11" x14ac:dyDescent="0.25">
      <c r="A29758" s="5">
        <f>29751</f>
      </c>
      <c r="B29758" s="5" t="s">
        <v>29766</v>
      </c>
      <c r="C29758" s="5">
        <v>96.9</v>
      </c>
      <c r="D29758" s="5">
        <v>0.1</v>
      </c>
      <c r="E29758" s="5">
        <v>97</v>
      </c>
      <c r="F29758" s="5">
        <v>193.4</v>
      </c>
      <c r="G29758" s="5">
        <v>100.7</v>
      </c>
      <c r="H29758" s="5">
        <v>100.6</v>
      </c>
      <c r="I29758" s="5">
        <v>0</v>
      </c>
      <c r="J29758" s="5">
        <v>0</v>
      </c>
      <c r="K29758" s="5">
        <v>0</v>
      </c>
    </row>
    <row r="29759" spans="1:11" x14ac:dyDescent="0.25">
      <c r="A29759" s="5">
        <f>29752</f>
      </c>
      <c r="B29759" s="5" t="s">
        <v>29767</v>
      </c>
      <c r="C29759" s="5">
        <v>96.9</v>
      </c>
      <c r="D29759" s="5">
        <v>0.1</v>
      </c>
      <c r="E29759" s="5">
        <v>97</v>
      </c>
      <c r="F29759" s="5">
        <v>193.4</v>
      </c>
      <c r="G29759" s="5">
        <v>96.6</v>
      </c>
      <c r="H29759" s="5">
        <v>96.5</v>
      </c>
      <c r="I29759" s="5">
        <v>0</v>
      </c>
      <c r="J29759" s="5">
        <v>0</v>
      </c>
      <c r="K29759" s="5">
        <v>0</v>
      </c>
    </row>
    <row r="29760" spans="1:11" x14ac:dyDescent="0.25">
      <c r="A29760" s="5">
        <f>29753</f>
      </c>
      <c r="B29760" s="5" t="s">
        <v>29768</v>
      </c>
      <c r="C29760" s="5">
        <v>102.9</v>
      </c>
      <c r="D29760" s="5">
        <v>0.1</v>
      </c>
      <c r="E29760" s="5">
        <v>97</v>
      </c>
      <c r="F29760" s="5">
        <v>193.4</v>
      </c>
      <c r="G29760" s="5">
        <v>96.6</v>
      </c>
      <c r="H29760" s="5">
        <v>96.5</v>
      </c>
      <c r="I29760" s="5">
        <v>0</v>
      </c>
      <c r="J29760" s="5">
        <v>0</v>
      </c>
      <c r="K29760" s="5">
        <v>0</v>
      </c>
    </row>
    <row r="29761" spans="1:11" x14ac:dyDescent="0.25">
      <c r="A29761" s="5">
        <f>29754</f>
      </c>
      <c r="B29761" s="5" t="s">
        <v>29769</v>
      </c>
      <c r="C29761" s="5">
        <v>102.9</v>
      </c>
      <c r="D29761" s="5">
        <v>0.1</v>
      </c>
      <c r="E29761" s="5">
        <v>103.1</v>
      </c>
      <c r="F29761" s="5">
        <v>194.2</v>
      </c>
      <c r="G29761" s="5">
        <v>97</v>
      </c>
      <c r="H29761" s="5">
        <v>97.1</v>
      </c>
      <c r="I29761" s="5">
        <v>0</v>
      </c>
      <c r="J29761" s="5">
        <v>0</v>
      </c>
      <c r="K29761" s="5">
        <v>0</v>
      </c>
    </row>
    <row r="29762" spans="1:11" x14ac:dyDescent="0.25">
      <c r="A29762" s="5">
        <f>29755</f>
      </c>
      <c r="B29762" s="5" t="s">
        <v>29770</v>
      </c>
      <c r="C29762" s="5">
        <v>102.9</v>
      </c>
      <c r="D29762" s="5">
        <v>0.1</v>
      </c>
      <c r="E29762" s="5">
        <v>103.1</v>
      </c>
      <c r="F29762" s="5">
        <v>194.2</v>
      </c>
      <c r="G29762" s="5">
        <v>97</v>
      </c>
      <c r="H29762" s="5">
        <v>97.1</v>
      </c>
      <c r="I29762" s="5">
        <v>0</v>
      </c>
      <c r="J29762" s="5">
        <v>0</v>
      </c>
      <c r="K29762" s="5">
        <v>0</v>
      </c>
    </row>
    <row r="29763" spans="1:11" x14ac:dyDescent="0.25">
      <c r="A29763" s="5">
        <f>29756</f>
      </c>
      <c r="B29763" s="5" t="s">
        <v>29771</v>
      </c>
      <c r="C29763" s="5">
        <v>102.9</v>
      </c>
      <c r="D29763" s="5">
        <v>0.1</v>
      </c>
      <c r="E29763" s="5">
        <v>103.1</v>
      </c>
      <c r="F29763" s="5">
        <v>194.2</v>
      </c>
      <c r="G29763" s="5">
        <v>97</v>
      </c>
      <c r="H29763" s="5">
        <v>97.1</v>
      </c>
      <c r="I29763" s="5">
        <v>0</v>
      </c>
      <c r="J29763" s="5">
        <v>0</v>
      </c>
      <c r="K29763" s="5">
        <v>0</v>
      </c>
    </row>
    <row r="29764" spans="1:11" x14ac:dyDescent="0.25">
      <c r="A29764" s="5">
        <f>29757</f>
      </c>
      <c r="B29764" s="5" t="s">
        <v>29772</v>
      </c>
      <c r="C29764" s="5">
        <v>96.9</v>
      </c>
      <c r="D29764" s="5">
        <v>0.1</v>
      </c>
      <c r="E29764" s="5">
        <v>103.1</v>
      </c>
      <c r="F29764" s="5">
        <v>194.2</v>
      </c>
      <c r="G29764" s="5">
        <v>97</v>
      </c>
      <c r="H29764" s="5">
        <v>97.1</v>
      </c>
      <c r="I29764" s="5">
        <v>0</v>
      </c>
      <c r="J29764" s="5">
        <v>0</v>
      </c>
      <c r="K29764" s="5">
        <v>0</v>
      </c>
    </row>
    <row r="29765" spans="1:11" x14ac:dyDescent="0.25">
      <c r="A29765" s="5">
        <f>29758</f>
      </c>
      <c r="B29765" s="5" t="s">
        <v>29773</v>
      </c>
      <c r="C29765" s="5">
        <v>96.9</v>
      </c>
      <c r="D29765" s="5">
        <v>0.1</v>
      </c>
      <c r="E29765" s="5">
        <v>97</v>
      </c>
      <c r="F29765" s="5">
        <v>193.8</v>
      </c>
      <c r="G29765" s="5">
        <v>96.7</v>
      </c>
      <c r="H29765" s="5">
        <v>96.5</v>
      </c>
      <c r="I29765" s="5">
        <v>0</v>
      </c>
      <c r="J29765" s="5">
        <v>0</v>
      </c>
      <c r="K29765" s="5">
        <v>0</v>
      </c>
    </row>
    <row r="29766" spans="1:11" x14ac:dyDescent="0.25">
      <c r="A29766" s="5">
        <f>29759</f>
      </c>
      <c r="B29766" s="5" t="s">
        <v>29774</v>
      </c>
      <c r="C29766" s="5">
        <v>96.9</v>
      </c>
      <c r="D29766" s="5">
        <v>0.1</v>
      </c>
      <c r="E29766" s="5">
        <v>97</v>
      </c>
      <c r="F29766" s="5">
        <v>193.8</v>
      </c>
      <c r="G29766" s="5">
        <v>96.7</v>
      </c>
      <c r="H29766" s="5">
        <v>96.5</v>
      </c>
      <c r="I29766" s="5">
        <v>0</v>
      </c>
      <c r="J29766" s="5">
        <v>0</v>
      </c>
      <c r="K29766" s="5">
        <v>0</v>
      </c>
    </row>
    <row r="29767" spans="1:11" x14ac:dyDescent="0.25">
      <c r="A29767" s="5">
        <f>29760</f>
      </c>
      <c r="B29767" s="5" t="s">
        <v>29775</v>
      </c>
      <c r="C29767" s="5">
        <v>97.1</v>
      </c>
      <c r="D29767" s="5">
        <v>0.1</v>
      </c>
      <c r="E29767" s="5">
        <v>97.2</v>
      </c>
      <c r="F29767" s="5">
        <v>194.5</v>
      </c>
      <c r="G29767" s="5">
        <v>97</v>
      </c>
      <c r="H29767" s="5">
        <v>96.9</v>
      </c>
      <c r="I29767" s="5">
        <v>0</v>
      </c>
      <c r="J29767" s="5">
        <v>0</v>
      </c>
      <c r="K29767" s="5">
        <v>0</v>
      </c>
    </row>
    <row r="29768" spans="1:11" x14ac:dyDescent="0.25">
      <c r="A29768" s="5">
        <f>29761</f>
      </c>
      <c r="B29768" s="5" t="s">
        <v>29776</v>
      </c>
      <c r="C29768" s="5">
        <v>97.1</v>
      </c>
      <c r="D29768" s="5">
        <v>0.1</v>
      </c>
      <c r="E29768" s="5">
        <v>97.2</v>
      </c>
      <c r="F29768" s="5">
        <v>194.5</v>
      </c>
      <c r="G29768" s="5">
        <v>97</v>
      </c>
      <c r="H29768" s="5">
        <v>96.9</v>
      </c>
      <c r="I29768" s="5">
        <v>0</v>
      </c>
      <c r="J29768" s="5">
        <v>0</v>
      </c>
      <c r="K29768" s="5">
        <v>0</v>
      </c>
    </row>
    <row r="29769" spans="1:11" x14ac:dyDescent="0.25">
      <c r="A29769" s="5">
        <f>29762</f>
      </c>
      <c r="B29769" s="5" t="s">
        <v>29777</v>
      </c>
      <c r="C29769" s="5">
        <v>94.9</v>
      </c>
      <c r="D29769" s="5">
        <v>0.1</v>
      </c>
      <c r="E29769" s="5">
        <v>95.1</v>
      </c>
      <c r="F29769" s="5">
        <v>189.2</v>
      </c>
      <c r="G29769" s="5">
        <v>94.4</v>
      </c>
      <c r="H29769" s="5">
        <v>94.3</v>
      </c>
      <c r="I29769" s="5">
        <v>0</v>
      </c>
      <c r="J29769" s="5">
        <v>0</v>
      </c>
      <c r="K29769" s="5">
        <v>0</v>
      </c>
    </row>
    <row r="29770" spans="1:11" x14ac:dyDescent="0.25">
      <c r="A29770" s="5">
        <f>29763</f>
      </c>
      <c r="B29770" s="5" t="s">
        <v>29778</v>
      </c>
      <c r="C29770" s="5">
        <v>94.9</v>
      </c>
      <c r="D29770" s="5">
        <v>0.1</v>
      </c>
      <c r="E29770" s="5">
        <v>95.1</v>
      </c>
      <c r="F29770" s="5">
        <v>189.2</v>
      </c>
      <c r="G29770" s="5">
        <v>94.4</v>
      </c>
      <c r="H29770" s="5">
        <v>94.3</v>
      </c>
      <c r="I29770" s="5">
        <v>0</v>
      </c>
      <c r="J29770" s="5">
        <v>0</v>
      </c>
      <c r="K29770" s="5">
        <v>0</v>
      </c>
    </row>
    <row r="29771" spans="1:11" x14ac:dyDescent="0.25">
      <c r="A29771" s="5">
        <f>29764</f>
      </c>
      <c r="B29771" s="5" t="s">
        <v>29779</v>
      </c>
      <c r="C29771" s="5">
        <v>100.4</v>
      </c>
      <c r="D29771" s="5">
        <v>0.1</v>
      </c>
      <c r="E29771" s="5">
        <v>100.5</v>
      </c>
      <c r="F29771" s="5">
        <v>191.3</v>
      </c>
      <c r="G29771" s="5">
        <v>95.8</v>
      </c>
      <c r="H29771" s="5">
        <v>95.9</v>
      </c>
      <c r="I29771" s="5">
        <v>0</v>
      </c>
      <c r="J29771" s="5">
        <v>0</v>
      </c>
      <c r="K29771" s="5">
        <v>0</v>
      </c>
    </row>
    <row r="29772" spans="1:11" x14ac:dyDescent="0.25">
      <c r="A29772" s="5">
        <f>29765</f>
      </c>
      <c r="B29772" s="5" t="s">
        <v>29780</v>
      </c>
      <c r="C29772" s="5">
        <v>100.4</v>
      </c>
      <c r="D29772" s="5">
        <v>0.1</v>
      </c>
      <c r="E29772" s="5">
        <v>100.5</v>
      </c>
      <c r="F29772" s="5">
        <v>191.3</v>
      </c>
      <c r="G29772" s="5">
        <v>95.8</v>
      </c>
      <c r="H29772" s="5">
        <v>95.9</v>
      </c>
      <c r="I29772" s="5">
        <v>0</v>
      </c>
      <c r="J29772" s="5">
        <v>0</v>
      </c>
      <c r="K29772" s="5">
        <v>0</v>
      </c>
    </row>
    <row r="29773" spans="1:11" x14ac:dyDescent="0.25">
      <c r="A29773" s="5">
        <f>29766</f>
      </c>
      <c r="B29773" s="5" t="s">
        <v>29781</v>
      </c>
      <c r="C29773" s="5">
        <v>100.4</v>
      </c>
      <c r="D29773" s="5">
        <v>0.1</v>
      </c>
      <c r="E29773" s="5">
        <v>100.5</v>
      </c>
      <c r="F29773" s="5">
        <v>191.3</v>
      </c>
      <c r="G29773" s="5">
        <v>95.8</v>
      </c>
      <c r="H29773" s="5">
        <v>95.9</v>
      </c>
      <c r="I29773" s="5">
        <v>0</v>
      </c>
      <c r="J29773" s="5">
        <v>0</v>
      </c>
      <c r="K29773" s="5">
        <v>0</v>
      </c>
    </row>
    <row r="29774" spans="1:11" x14ac:dyDescent="0.25">
      <c r="A29774" s="5">
        <f>29767</f>
      </c>
      <c r="B29774" s="5" t="s">
        <v>29782</v>
      </c>
      <c r="C29774" s="5">
        <v>100.4</v>
      </c>
      <c r="D29774" s="5">
        <v>0.1</v>
      </c>
      <c r="E29774" s="5">
        <v>100.5</v>
      </c>
      <c r="F29774" s="5">
        <v>191.3</v>
      </c>
      <c r="G29774" s="5">
        <v>95.8</v>
      </c>
      <c r="H29774" s="5">
        <v>95.9</v>
      </c>
      <c r="I29774" s="5">
        <v>0</v>
      </c>
      <c r="J29774" s="5">
        <v>0</v>
      </c>
      <c r="K29774" s="5">
        <v>0</v>
      </c>
    </row>
    <row r="29775" spans="1:11" x14ac:dyDescent="0.25">
      <c r="A29775" s="5">
        <f>29768</f>
      </c>
      <c r="B29775" s="5" t="s">
        <v>29783</v>
      </c>
      <c r="C29775" s="5">
        <v>95.7</v>
      </c>
      <c r="D29775" s="5">
        <v>0.1</v>
      </c>
      <c r="E29775" s="5">
        <v>95.9</v>
      </c>
      <c r="F29775" s="5">
        <v>195.7</v>
      </c>
      <c r="G29775" s="5">
        <v>97.6</v>
      </c>
      <c r="H29775" s="5">
        <v>97.4</v>
      </c>
      <c r="I29775" s="5">
        <v>0</v>
      </c>
      <c r="J29775" s="5">
        <v>0</v>
      </c>
      <c r="K29775" s="5">
        <v>0</v>
      </c>
    </row>
    <row r="29776" spans="1:11" x14ac:dyDescent="0.25">
      <c r="A29776" s="5">
        <f>29769</f>
      </c>
      <c r="B29776" s="5" t="s">
        <v>29784</v>
      </c>
      <c r="C29776" s="5">
        <v>95.7</v>
      </c>
      <c r="D29776" s="5">
        <v>0.1</v>
      </c>
      <c r="E29776" s="5">
        <v>95.9</v>
      </c>
      <c r="F29776" s="5">
        <v>195.7</v>
      </c>
      <c r="G29776" s="5">
        <v>97.6</v>
      </c>
      <c r="H29776" s="5">
        <v>97.4</v>
      </c>
      <c r="I29776" s="5">
        <v>0</v>
      </c>
      <c r="J29776" s="5">
        <v>0</v>
      </c>
      <c r="K29776" s="5">
        <v>0</v>
      </c>
    </row>
    <row r="29777" spans="1:11" x14ac:dyDescent="0.25">
      <c r="A29777" s="5">
        <f>29770</f>
      </c>
      <c r="B29777" s="5" t="s">
        <v>29785</v>
      </c>
      <c r="C29777" s="5">
        <v>92.7</v>
      </c>
      <c r="D29777" s="5">
        <v>0.1</v>
      </c>
      <c r="E29777" s="5">
        <v>92.9</v>
      </c>
      <c r="F29777" s="5">
        <v>188.5</v>
      </c>
      <c r="G29777" s="5">
        <v>94</v>
      </c>
      <c r="H29777" s="5">
        <v>93.8</v>
      </c>
      <c r="I29777" s="5">
        <v>0</v>
      </c>
      <c r="J29777" s="5">
        <v>0</v>
      </c>
      <c r="K29777" s="5">
        <v>0</v>
      </c>
    </row>
    <row r="29778" spans="1:11" x14ac:dyDescent="0.25">
      <c r="A29778" s="5">
        <f>29771</f>
      </c>
      <c r="B29778" s="5" t="s">
        <v>29786</v>
      </c>
      <c r="C29778" s="5">
        <v>92.7</v>
      </c>
      <c r="D29778" s="5">
        <v>0.1</v>
      </c>
      <c r="E29778" s="5">
        <v>92.9</v>
      </c>
      <c r="F29778" s="5">
        <v>188.5</v>
      </c>
      <c r="G29778" s="5">
        <v>94</v>
      </c>
      <c r="H29778" s="5">
        <v>93.8</v>
      </c>
      <c r="I29778" s="5">
        <v>0</v>
      </c>
      <c r="J29778" s="5">
        <v>0</v>
      </c>
      <c r="K29778" s="5">
        <v>0</v>
      </c>
    </row>
    <row r="29779" spans="1:11" x14ac:dyDescent="0.25">
      <c r="A29779" s="5">
        <f>29772</f>
      </c>
      <c r="B29779" s="5" t="s">
        <v>29787</v>
      </c>
      <c r="C29779" s="5">
        <v>93.3</v>
      </c>
      <c r="D29779" s="5">
        <v>0.1</v>
      </c>
      <c r="E29779" s="5">
        <v>93.5</v>
      </c>
      <c r="F29779" s="5">
        <v>188.9</v>
      </c>
      <c r="G29779" s="5">
        <v>94.1</v>
      </c>
      <c r="H29779" s="5">
        <v>93.9</v>
      </c>
      <c r="I29779" s="5">
        <v>0</v>
      </c>
      <c r="J29779" s="5">
        <v>0</v>
      </c>
      <c r="K29779" s="5">
        <v>0</v>
      </c>
    </row>
    <row r="29780" spans="1:11" x14ac:dyDescent="0.25">
      <c r="A29780" s="5">
        <f>29773</f>
      </c>
      <c r="B29780" s="5" t="s">
        <v>29788</v>
      </c>
      <c r="C29780" s="5">
        <v>93.3</v>
      </c>
      <c r="D29780" s="5">
        <v>0.1</v>
      </c>
      <c r="E29780" s="5">
        <v>93.5</v>
      </c>
      <c r="F29780" s="5">
        <v>188.9</v>
      </c>
      <c r="G29780" s="5">
        <v>94.1</v>
      </c>
      <c r="H29780" s="5">
        <v>93.9</v>
      </c>
      <c r="I29780" s="5">
        <v>0</v>
      </c>
      <c r="J29780" s="5">
        <v>0</v>
      </c>
      <c r="K29780" s="5">
        <v>0</v>
      </c>
    </row>
    <row r="29781" spans="1:11" x14ac:dyDescent="0.25">
      <c r="A29781" s="5">
        <f>29774</f>
      </c>
      <c r="B29781" s="5" t="s">
        <v>29789</v>
      </c>
      <c r="C29781" s="5">
        <v>93.1</v>
      </c>
      <c r="D29781" s="5">
        <v>0.1</v>
      </c>
      <c r="E29781" s="5">
        <v>93.2</v>
      </c>
      <c r="F29781" s="5">
        <v>187.3</v>
      </c>
      <c r="G29781" s="5">
        <v>93.4</v>
      </c>
      <c r="H29781" s="5">
        <v>93.2</v>
      </c>
      <c r="I29781" s="5">
        <v>0</v>
      </c>
      <c r="J29781" s="5">
        <v>0</v>
      </c>
      <c r="K29781" s="5">
        <v>0</v>
      </c>
    </row>
    <row r="29782" spans="1:11" x14ac:dyDescent="0.25">
      <c r="A29782" s="5">
        <f>29775</f>
      </c>
      <c r="B29782" s="5" t="s">
        <v>29790</v>
      </c>
      <c r="C29782" s="5">
        <v>93.1</v>
      </c>
      <c r="D29782" s="5">
        <v>0.1</v>
      </c>
      <c r="E29782" s="5">
        <v>93.2</v>
      </c>
      <c r="F29782" s="5">
        <v>187.3</v>
      </c>
      <c r="G29782" s="5">
        <v>93.4</v>
      </c>
      <c r="H29782" s="5">
        <v>93.2</v>
      </c>
      <c r="I29782" s="5">
        <v>0</v>
      </c>
      <c r="J29782" s="5">
        <v>0</v>
      </c>
      <c r="K29782" s="5">
        <v>0</v>
      </c>
    </row>
    <row r="29783" spans="1:11" x14ac:dyDescent="0.25">
      <c r="A29783" s="5">
        <f>29776</f>
      </c>
      <c r="B29783" s="5" t="s">
        <v>29791</v>
      </c>
      <c r="C29783" s="5">
        <v>93.1</v>
      </c>
      <c r="D29783" s="5">
        <v>0.1</v>
      </c>
      <c r="E29783" s="5">
        <v>93.2</v>
      </c>
      <c r="F29783" s="5">
        <v>187.3</v>
      </c>
      <c r="G29783" s="5">
        <v>93.4</v>
      </c>
      <c r="H29783" s="5">
        <v>93.2</v>
      </c>
      <c r="I29783" s="5">
        <v>0</v>
      </c>
      <c r="J29783" s="5">
        <v>0</v>
      </c>
      <c r="K29783" s="5">
        <v>0</v>
      </c>
    </row>
    <row r="29784" spans="1:11" x14ac:dyDescent="0.25">
      <c r="A29784" s="5">
        <f>29777</f>
      </c>
      <c r="B29784" s="5" t="s">
        <v>29792</v>
      </c>
      <c r="C29784" s="5">
        <v>95</v>
      </c>
      <c r="D29784" s="5">
        <v>0.1</v>
      </c>
      <c r="E29784" s="5">
        <v>95.1</v>
      </c>
      <c r="F29784" s="5">
        <v>190.7</v>
      </c>
      <c r="G29784" s="5">
        <v>95.1</v>
      </c>
      <c r="H29784" s="5">
        <v>94.9</v>
      </c>
      <c r="I29784" s="5">
        <v>0</v>
      </c>
      <c r="J29784" s="5">
        <v>0</v>
      </c>
      <c r="K29784" s="5">
        <v>0</v>
      </c>
    </row>
    <row r="29785" spans="1:11" x14ac:dyDescent="0.25">
      <c r="A29785" s="5">
        <f>29778</f>
      </c>
      <c r="B29785" s="5" t="s">
        <v>29793</v>
      </c>
      <c r="C29785" s="5">
        <v>95</v>
      </c>
      <c r="D29785" s="5">
        <v>0.1</v>
      </c>
      <c r="E29785" s="5">
        <v>95.1</v>
      </c>
      <c r="F29785" s="5">
        <v>190.7</v>
      </c>
      <c r="G29785" s="5">
        <v>95.1</v>
      </c>
      <c r="H29785" s="5">
        <v>94.9</v>
      </c>
      <c r="I29785" s="5">
        <v>0</v>
      </c>
      <c r="J29785" s="5">
        <v>0</v>
      </c>
      <c r="K29785" s="5">
        <v>0</v>
      </c>
    </row>
    <row r="29786" spans="1:11" x14ac:dyDescent="0.25">
      <c r="A29786" s="5">
        <f>29779</f>
      </c>
      <c r="B29786" s="5" t="s">
        <v>29794</v>
      </c>
      <c r="C29786" s="5">
        <v>94.8</v>
      </c>
      <c r="D29786" s="5">
        <v>0.1</v>
      </c>
      <c r="E29786" s="5">
        <v>94.9</v>
      </c>
      <c r="F29786" s="5">
        <v>189.4</v>
      </c>
      <c r="G29786" s="5">
        <v>94.5</v>
      </c>
      <c r="H29786" s="5">
        <v>94.4</v>
      </c>
      <c r="I29786" s="5">
        <v>0</v>
      </c>
      <c r="J29786" s="5">
        <v>0</v>
      </c>
      <c r="K29786" s="5">
        <v>0</v>
      </c>
    </row>
    <row r="29787" spans="1:11" x14ac:dyDescent="0.25">
      <c r="A29787" s="5">
        <f>29780</f>
      </c>
      <c r="B29787" s="5" t="s">
        <v>29795</v>
      </c>
      <c r="C29787" s="5">
        <v>94.8</v>
      </c>
      <c r="D29787" s="5">
        <v>0.1</v>
      </c>
      <c r="E29787" s="5">
        <v>94.9</v>
      </c>
      <c r="F29787" s="5">
        <v>189.4</v>
      </c>
      <c r="G29787" s="5">
        <v>94.5</v>
      </c>
      <c r="H29787" s="5">
        <v>94.4</v>
      </c>
      <c r="I29787" s="5">
        <v>0</v>
      </c>
      <c r="J29787" s="5">
        <v>0</v>
      </c>
      <c r="K29787" s="5">
        <v>0</v>
      </c>
    </row>
    <row r="29788" spans="1:11" x14ac:dyDescent="0.25">
      <c r="A29788" s="5">
        <f>29781</f>
      </c>
      <c r="B29788" s="5" t="s">
        <v>29796</v>
      </c>
      <c r="C29788" s="5">
        <v>96</v>
      </c>
      <c r="D29788" s="5">
        <v>0.1</v>
      </c>
      <c r="E29788" s="5">
        <v>96</v>
      </c>
      <c r="F29788" s="5">
        <v>189.3</v>
      </c>
      <c r="G29788" s="5">
        <v>94.5</v>
      </c>
      <c r="H29788" s="5">
        <v>94.4</v>
      </c>
      <c r="I29788" s="5">
        <v>0</v>
      </c>
      <c r="J29788" s="5">
        <v>0</v>
      </c>
      <c r="K29788" s="5">
        <v>0</v>
      </c>
    </row>
    <row r="29789" spans="1:11" x14ac:dyDescent="0.25">
      <c r="A29789" s="5">
        <f>29782</f>
      </c>
      <c r="B29789" s="5" t="s">
        <v>29797</v>
      </c>
      <c r="C29789" s="5">
        <v>96</v>
      </c>
      <c r="D29789" s="5">
        <v>0.1</v>
      </c>
      <c r="E29789" s="5">
        <v>96</v>
      </c>
      <c r="F29789" s="5">
        <v>189.3</v>
      </c>
      <c r="G29789" s="5">
        <v>94.5</v>
      </c>
      <c r="H29789" s="5">
        <v>94.4</v>
      </c>
      <c r="I29789" s="5">
        <v>0</v>
      </c>
      <c r="J29789" s="5">
        <v>0</v>
      </c>
      <c r="K29789" s="5">
        <v>0</v>
      </c>
    </row>
    <row r="29790" spans="1:11" x14ac:dyDescent="0.25">
      <c r="A29790" s="5">
        <f>29783</f>
      </c>
      <c r="B29790" s="5" t="s">
        <v>29798</v>
      </c>
      <c r="C29790" s="5">
        <v>95.9</v>
      </c>
      <c r="D29790" s="5">
        <v>0.1</v>
      </c>
      <c r="E29790" s="5">
        <v>96</v>
      </c>
      <c r="F29790" s="5">
        <v>193.7</v>
      </c>
      <c r="G29790" s="5">
        <v>96.4</v>
      </c>
      <c r="H29790" s="5">
        <v>96.2</v>
      </c>
      <c r="I29790" s="5">
        <v>0</v>
      </c>
      <c r="J29790" s="5">
        <v>0</v>
      </c>
      <c r="K29790" s="5">
        <v>0</v>
      </c>
    </row>
    <row r="29791" spans="1:11" x14ac:dyDescent="0.25">
      <c r="A29791" s="5">
        <f>29784</f>
      </c>
      <c r="B29791" s="5" t="s">
        <v>29799</v>
      </c>
      <c r="C29791" s="5">
        <v>95.9</v>
      </c>
      <c r="D29791" s="5">
        <v>0.1</v>
      </c>
      <c r="E29791" s="5">
        <v>96</v>
      </c>
      <c r="F29791" s="5">
        <v>193.7</v>
      </c>
      <c r="G29791" s="5">
        <v>96.4</v>
      </c>
      <c r="H29791" s="5">
        <v>96.2</v>
      </c>
      <c r="I29791" s="5">
        <v>0</v>
      </c>
      <c r="J29791" s="5">
        <v>0</v>
      </c>
      <c r="K29791" s="5">
        <v>0</v>
      </c>
    </row>
    <row r="29792" spans="1:11" x14ac:dyDescent="0.25">
      <c r="A29792" s="5">
        <f>29785</f>
      </c>
      <c r="B29792" s="5" t="s">
        <v>29800</v>
      </c>
      <c r="C29792" s="5">
        <v>95.9</v>
      </c>
      <c r="D29792" s="5">
        <v>0.1</v>
      </c>
      <c r="E29792" s="5">
        <v>96</v>
      </c>
      <c r="F29792" s="5">
        <v>193.7</v>
      </c>
      <c r="G29792" s="5">
        <v>96.4</v>
      </c>
      <c r="H29792" s="5">
        <v>96.2</v>
      </c>
      <c r="I29792" s="5">
        <v>0</v>
      </c>
      <c r="J29792" s="5">
        <v>0</v>
      </c>
      <c r="K29792" s="5">
        <v>0</v>
      </c>
    </row>
    <row r="29793" spans="1:11" x14ac:dyDescent="0.25">
      <c r="A29793" s="5">
        <f>29786</f>
      </c>
      <c r="B29793" s="5" t="s">
        <v>29801</v>
      </c>
      <c r="C29793" s="5">
        <v>95.9</v>
      </c>
      <c r="D29793" s="5">
        <v>0.1</v>
      </c>
      <c r="E29793" s="5">
        <v>96</v>
      </c>
      <c r="F29793" s="5">
        <v>193.7</v>
      </c>
      <c r="G29793" s="5">
        <v>96.4</v>
      </c>
      <c r="H29793" s="5">
        <v>96.2</v>
      </c>
      <c r="I29793" s="5">
        <v>0</v>
      </c>
      <c r="J29793" s="5">
        <v>0</v>
      </c>
      <c r="K29793" s="5">
        <v>0</v>
      </c>
    </row>
    <row r="29794" spans="1:11" x14ac:dyDescent="0.25">
      <c r="A29794" s="5">
        <f>29787</f>
      </c>
      <c r="B29794" s="5" t="s">
        <v>29802</v>
      </c>
      <c r="C29794" s="5">
        <v>101.7</v>
      </c>
      <c r="D29794" s="5">
        <v>0.1</v>
      </c>
      <c r="E29794" s="5">
        <v>101.8</v>
      </c>
      <c r="F29794" s="5">
        <v>201.5</v>
      </c>
      <c r="G29794" s="5">
        <v>100.5</v>
      </c>
      <c r="H29794" s="5">
        <v>100.5</v>
      </c>
      <c r="I29794" s="5">
        <v>0</v>
      </c>
      <c r="J29794" s="5">
        <v>0</v>
      </c>
      <c r="K29794" s="5">
        <v>0</v>
      </c>
    </row>
    <row r="29795" spans="1:11" x14ac:dyDescent="0.25">
      <c r="A29795" s="5">
        <f>29788</f>
      </c>
      <c r="B29795" s="5" t="s">
        <v>29803</v>
      </c>
      <c r="C29795" s="5">
        <v>101.7</v>
      </c>
      <c r="D29795" s="5">
        <v>0.1</v>
      </c>
      <c r="E29795" s="5">
        <v>101.8</v>
      </c>
      <c r="F29795" s="5">
        <v>201.5</v>
      </c>
      <c r="G29795" s="5">
        <v>100.5</v>
      </c>
      <c r="H29795" s="5">
        <v>100.5</v>
      </c>
      <c r="I29795" s="5">
        <v>0</v>
      </c>
      <c r="J29795" s="5">
        <v>0</v>
      </c>
      <c r="K29795" s="5">
        <v>0</v>
      </c>
    </row>
    <row r="29796" spans="1:11" x14ac:dyDescent="0.25">
      <c r="A29796" s="5">
        <f>29789</f>
      </c>
      <c r="B29796" s="5" t="s">
        <v>29804</v>
      </c>
      <c r="C29796" s="5">
        <v>101.7</v>
      </c>
      <c r="D29796" s="5">
        <v>0.1</v>
      </c>
      <c r="E29796" s="5">
        <v>101.8</v>
      </c>
      <c r="F29796" s="5">
        <v>201.4</v>
      </c>
      <c r="G29796" s="5">
        <v>100.7</v>
      </c>
      <c r="H29796" s="5">
        <v>100.5</v>
      </c>
      <c r="I29796" s="5">
        <v>0</v>
      </c>
      <c r="J29796" s="5">
        <v>0</v>
      </c>
      <c r="K29796" s="5">
        <v>0</v>
      </c>
    </row>
    <row r="29797" spans="1:11" x14ac:dyDescent="0.25">
      <c r="A29797" s="5">
        <f>29790</f>
      </c>
      <c r="B29797" s="5" t="s">
        <v>29805</v>
      </c>
      <c r="C29797" s="5">
        <v>101.7</v>
      </c>
      <c r="D29797" s="5">
        <v>0.1</v>
      </c>
      <c r="E29797" s="5">
        <v>101.8</v>
      </c>
      <c r="F29797" s="5">
        <v>201.4</v>
      </c>
      <c r="G29797" s="5">
        <v>100.7</v>
      </c>
      <c r="H29797" s="5">
        <v>100.5</v>
      </c>
      <c r="I29797" s="5">
        <v>0</v>
      </c>
      <c r="J29797" s="5">
        <v>0</v>
      </c>
      <c r="K29797" s="5">
        <v>0</v>
      </c>
    </row>
    <row r="29798" spans="1:11" x14ac:dyDescent="0.25">
      <c r="A29798" s="5">
        <f>29791</f>
      </c>
      <c r="B29798" s="5" t="s">
        <v>29806</v>
      </c>
      <c r="C29798" s="5">
        <v>88.7</v>
      </c>
      <c r="D29798" s="5">
        <v>0.1</v>
      </c>
      <c r="E29798" s="5">
        <v>88.7</v>
      </c>
      <c r="F29798" s="5">
        <v>176.1</v>
      </c>
      <c r="G29798" s="5">
        <v>87.7</v>
      </c>
      <c r="H29798" s="5">
        <v>87.6</v>
      </c>
      <c r="I29798" s="5">
        <v>0</v>
      </c>
      <c r="J29798" s="5">
        <v>0</v>
      </c>
      <c r="K29798" s="5">
        <v>0</v>
      </c>
    </row>
    <row r="29799" spans="1:11" x14ac:dyDescent="0.25">
      <c r="A29799" s="5">
        <f>29792</f>
      </c>
      <c r="B29799" s="5" t="s">
        <v>29807</v>
      </c>
      <c r="C29799" s="5">
        <v>88.7</v>
      </c>
      <c r="D29799" s="5">
        <v>0.1</v>
      </c>
      <c r="E29799" s="5">
        <v>88.7</v>
      </c>
      <c r="F29799" s="5">
        <v>176.1</v>
      </c>
      <c r="G29799" s="5">
        <v>87.7</v>
      </c>
      <c r="H29799" s="5">
        <v>87.6</v>
      </c>
      <c r="I29799" s="5">
        <v>0</v>
      </c>
      <c r="J29799" s="5">
        <v>0</v>
      </c>
      <c r="K29799" s="5">
        <v>0</v>
      </c>
    </row>
    <row r="29800" spans="1:11" x14ac:dyDescent="0.25">
      <c r="A29800" s="5">
        <f>29793</f>
      </c>
      <c r="B29800" s="5" t="s">
        <v>29808</v>
      </c>
      <c r="C29800" s="5">
        <v>92.5</v>
      </c>
      <c r="D29800" s="5">
        <v>0.1</v>
      </c>
      <c r="E29800" s="5">
        <v>92.7</v>
      </c>
      <c r="F29800" s="5">
        <v>181.1</v>
      </c>
      <c r="G29800" s="5">
        <v>87.7</v>
      </c>
      <c r="H29800" s="5">
        <v>87.6</v>
      </c>
      <c r="I29800" s="5">
        <v>0</v>
      </c>
      <c r="J29800" s="5">
        <v>0</v>
      </c>
      <c r="K29800" s="5">
        <v>0</v>
      </c>
    </row>
    <row r="29801" spans="1:11" x14ac:dyDescent="0.25">
      <c r="A29801" s="5">
        <f>29794</f>
      </c>
      <c r="B29801" s="5" t="s">
        <v>29809</v>
      </c>
      <c r="C29801" s="5">
        <v>92.5</v>
      </c>
      <c r="D29801" s="5">
        <v>0.1</v>
      </c>
      <c r="E29801" s="5">
        <v>92.7</v>
      </c>
      <c r="F29801" s="5">
        <v>181.1</v>
      </c>
      <c r="G29801" s="5">
        <v>87.7</v>
      </c>
      <c r="H29801" s="5">
        <v>87.6</v>
      </c>
      <c r="I29801" s="5">
        <v>0</v>
      </c>
      <c r="J29801" s="5">
        <v>0</v>
      </c>
      <c r="K29801" s="5">
        <v>0</v>
      </c>
    </row>
    <row r="29802" spans="1:11" x14ac:dyDescent="0.25">
      <c r="A29802" s="5">
        <f>29795</f>
      </c>
      <c r="B29802" s="5" t="s">
        <v>29810</v>
      </c>
      <c r="C29802" s="5">
        <v>92.5</v>
      </c>
      <c r="D29802" s="5">
        <v>0.1</v>
      </c>
      <c r="E29802" s="5">
        <v>92.7</v>
      </c>
      <c r="F29802" s="5">
        <v>181.1</v>
      </c>
      <c r="G29802" s="5">
        <v>87.7</v>
      </c>
      <c r="H29802" s="5">
        <v>87.6</v>
      </c>
      <c r="I29802" s="5">
        <v>0</v>
      </c>
      <c r="J29802" s="5">
        <v>0</v>
      </c>
      <c r="K29802" s="5">
        <v>0</v>
      </c>
    </row>
    <row r="29803" spans="1:11" x14ac:dyDescent="0.25">
      <c r="A29803" s="5">
        <f>29796</f>
      </c>
      <c r="B29803" s="5" t="s">
        <v>29811</v>
      </c>
      <c r="C29803" s="5">
        <v>92.5</v>
      </c>
      <c r="D29803" s="5">
        <v>0.1</v>
      </c>
      <c r="E29803" s="5">
        <v>92.7</v>
      </c>
      <c r="F29803" s="5">
        <v>181.1</v>
      </c>
      <c r="G29803" s="5">
        <v>87.7</v>
      </c>
      <c r="H29803" s="5">
        <v>87.6</v>
      </c>
      <c r="I29803" s="5">
        <v>0</v>
      </c>
      <c r="J29803" s="5">
        <v>0</v>
      </c>
      <c r="K29803" s="5">
        <v>0</v>
      </c>
    </row>
    <row r="29804" spans="1:11" x14ac:dyDescent="0.25">
      <c r="A29804" s="5">
        <f>29797</f>
      </c>
      <c r="B29804" s="5" t="s">
        <v>29812</v>
      </c>
      <c r="C29804" s="5">
        <v>92.9</v>
      </c>
      <c r="D29804" s="5">
        <v>0.1</v>
      </c>
      <c r="E29804" s="5">
        <v>93</v>
      </c>
      <c r="F29804" s="5">
        <v>186.1</v>
      </c>
      <c r="G29804" s="5">
        <v>92.8</v>
      </c>
      <c r="H29804" s="5">
        <v>92.6</v>
      </c>
      <c r="I29804" s="5">
        <v>0</v>
      </c>
      <c r="J29804" s="5">
        <v>0</v>
      </c>
      <c r="K29804" s="5">
        <v>0</v>
      </c>
    </row>
    <row r="29805" spans="1:11" x14ac:dyDescent="0.25">
      <c r="A29805" s="5">
        <f>29798</f>
      </c>
      <c r="B29805" s="5" t="s">
        <v>29813</v>
      </c>
      <c r="C29805" s="5">
        <v>92.9</v>
      </c>
      <c r="D29805" s="5">
        <v>0.1</v>
      </c>
      <c r="E29805" s="5">
        <v>93</v>
      </c>
      <c r="F29805" s="5">
        <v>186.1</v>
      </c>
      <c r="G29805" s="5">
        <v>92.8</v>
      </c>
      <c r="H29805" s="5">
        <v>92.6</v>
      </c>
      <c r="I29805" s="5">
        <v>0</v>
      </c>
      <c r="J29805" s="5">
        <v>0</v>
      </c>
      <c r="K29805" s="5">
        <v>0</v>
      </c>
    </row>
    <row r="29806" spans="1:11" x14ac:dyDescent="0.25">
      <c r="A29806" s="5">
        <f>29799</f>
      </c>
      <c r="B29806" s="5" t="s">
        <v>29814</v>
      </c>
      <c r="C29806" s="5">
        <v>99.9</v>
      </c>
      <c r="D29806" s="5">
        <v>0.1</v>
      </c>
      <c r="E29806" s="5">
        <v>100</v>
      </c>
      <c r="F29806" s="5">
        <v>200</v>
      </c>
      <c r="G29806" s="5">
        <v>99.8</v>
      </c>
      <c r="H29806" s="5">
        <v>99.6</v>
      </c>
      <c r="I29806" s="5">
        <v>0</v>
      </c>
      <c r="J29806" s="5">
        <v>0</v>
      </c>
      <c r="K29806" s="5">
        <v>0</v>
      </c>
    </row>
    <row r="29807" spans="1:11" x14ac:dyDescent="0.25">
      <c r="A29807" s="5">
        <f>29800</f>
      </c>
      <c r="B29807" s="5" t="s">
        <v>29815</v>
      </c>
      <c r="C29807" s="5">
        <v>99.9</v>
      </c>
      <c r="D29807" s="5">
        <v>0.1</v>
      </c>
      <c r="E29807" s="5">
        <v>100</v>
      </c>
      <c r="F29807" s="5">
        <v>200</v>
      </c>
      <c r="G29807" s="5">
        <v>99.8</v>
      </c>
      <c r="H29807" s="5">
        <v>99.6</v>
      </c>
      <c r="I29807" s="5">
        <v>0</v>
      </c>
      <c r="J29807" s="5">
        <v>0</v>
      </c>
      <c r="K29807" s="5">
        <v>0</v>
      </c>
    </row>
    <row r="29808" spans="1:11" x14ac:dyDescent="0.25">
      <c r="A29808" s="5">
        <f>29801</f>
      </c>
      <c r="B29808" s="5" t="s">
        <v>29816</v>
      </c>
      <c r="C29808" s="5">
        <v>99.5</v>
      </c>
      <c r="D29808" s="5">
        <v>0.1</v>
      </c>
      <c r="E29808" s="5">
        <v>99.6</v>
      </c>
      <c r="F29808" s="5">
        <v>199</v>
      </c>
      <c r="G29808" s="5">
        <v>99.3</v>
      </c>
      <c r="H29808" s="5">
        <v>99.1</v>
      </c>
      <c r="I29808" s="5">
        <v>0</v>
      </c>
      <c r="J29808" s="5">
        <v>0</v>
      </c>
      <c r="K29808" s="5">
        <v>0</v>
      </c>
    </row>
    <row r="29809" spans="1:11" x14ac:dyDescent="0.25">
      <c r="A29809" s="5">
        <f>29802</f>
      </c>
      <c r="B29809" s="5" t="s">
        <v>29817</v>
      </c>
      <c r="C29809" s="5">
        <v>99.5</v>
      </c>
      <c r="D29809" s="5">
        <v>0.1</v>
      </c>
      <c r="E29809" s="5">
        <v>99.6</v>
      </c>
      <c r="F29809" s="5">
        <v>199</v>
      </c>
      <c r="G29809" s="5">
        <v>99.3</v>
      </c>
      <c r="H29809" s="5">
        <v>99.1</v>
      </c>
      <c r="I29809" s="5">
        <v>0</v>
      </c>
      <c r="J29809" s="5">
        <v>0</v>
      </c>
      <c r="K29809" s="5">
        <v>0</v>
      </c>
    </row>
    <row r="29810" spans="1:11" x14ac:dyDescent="0.25">
      <c r="A29810" s="5">
        <f>29803</f>
      </c>
      <c r="B29810" s="5" t="s">
        <v>29818</v>
      </c>
      <c r="C29810" s="5">
        <v>100.2</v>
      </c>
      <c r="D29810" s="5">
        <v>0.1</v>
      </c>
      <c r="E29810" s="5">
        <v>100.3</v>
      </c>
      <c r="F29810" s="5">
        <v>198.7</v>
      </c>
      <c r="G29810" s="5">
        <v>99.2</v>
      </c>
      <c r="H29810" s="5">
        <v>99.1</v>
      </c>
      <c r="I29810" s="5">
        <v>0</v>
      </c>
      <c r="J29810" s="5">
        <v>0</v>
      </c>
      <c r="K29810" s="5">
        <v>0</v>
      </c>
    </row>
    <row r="29811" spans="1:11" x14ac:dyDescent="0.25">
      <c r="A29811" s="5">
        <f>29804</f>
      </c>
      <c r="B29811" s="5" t="s">
        <v>29819</v>
      </c>
      <c r="C29811" s="5">
        <v>100.2</v>
      </c>
      <c r="D29811" s="5">
        <v>0.1</v>
      </c>
      <c r="E29811" s="5">
        <v>100.3</v>
      </c>
      <c r="F29811" s="5">
        <v>198.7</v>
      </c>
      <c r="G29811" s="5">
        <v>99.2</v>
      </c>
      <c r="H29811" s="5">
        <v>99.1</v>
      </c>
      <c r="I29811" s="5">
        <v>0</v>
      </c>
      <c r="J29811" s="5">
        <v>0</v>
      </c>
      <c r="K29811" s="5">
        <v>0</v>
      </c>
    </row>
    <row r="29812" spans="1:11" x14ac:dyDescent="0.25">
      <c r="A29812" s="5">
        <f>29805</f>
      </c>
      <c r="B29812" s="5" t="s">
        <v>29820</v>
      </c>
      <c r="C29812" s="5">
        <v>100.2</v>
      </c>
      <c r="D29812" s="5">
        <v>0.1</v>
      </c>
      <c r="E29812" s="5">
        <v>100.3</v>
      </c>
      <c r="F29812" s="5">
        <v>198.7</v>
      </c>
      <c r="G29812" s="5">
        <v>99.2</v>
      </c>
      <c r="H29812" s="5">
        <v>99.1</v>
      </c>
      <c r="I29812" s="5">
        <v>0</v>
      </c>
      <c r="J29812" s="5">
        <v>0</v>
      </c>
      <c r="K29812" s="5">
        <v>0</v>
      </c>
    </row>
    <row r="29813" spans="1:11" x14ac:dyDescent="0.25">
      <c r="A29813" s="5">
        <f>29806</f>
      </c>
      <c r="B29813" s="5" t="s">
        <v>29821</v>
      </c>
      <c r="C29813" s="5">
        <v>100.2</v>
      </c>
      <c r="D29813" s="5">
        <v>0.1</v>
      </c>
      <c r="E29813" s="5">
        <v>100.3</v>
      </c>
      <c r="F29813" s="5">
        <v>198.7</v>
      </c>
      <c r="G29813" s="5">
        <v>99.2</v>
      </c>
      <c r="H29813" s="5">
        <v>99.1</v>
      </c>
      <c r="I29813" s="5">
        <v>0</v>
      </c>
      <c r="J29813" s="5">
        <v>0</v>
      </c>
      <c r="K29813" s="5">
        <v>0</v>
      </c>
    </row>
    <row r="29814" spans="1:11" x14ac:dyDescent="0.25">
      <c r="A29814" s="5">
        <f>29807</f>
      </c>
      <c r="B29814" s="5" t="s">
        <v>29822</v>
      </c>
      <c r="C29814" s="5">
        <v>94.6</v>
      </c>
      <c r="D29814" s="5">
        <v>0.1</v>
      </c>
      <c r="E29814" s="5">
        <v>94.8</v>
      </c>
      <c r="F29814" s="5">
        <v>197.4</v>
      </c>
      <c r="G29814" s="5">
        <v>98.5</v>
      </c>
      <c r="H29814" s="5">
        <v>98.5</v>
      </c>
      <c r="I29814" s="5">
        <v>0</v>
      </c>
      <c r="J29814" s="5">
        <v>0</v>
      </c>
      <c r="K29814" s="5">
        <v>0</v>
      </c>
    </row>
    <row r="29815" spans="1:11" x14ac:dyDescent="0.25">
      <c r="A29815" s="5">
        <f>29808</f>
      </c>
      <c r="B29815" s="5" t="s">
        <v>29823</v>
      </c>
      <c r="C29815" s="5">
        <v>94.6</v>
      </c>
      <c r="D29815" s="5">
        <v>0.1</v>
      </c>
      <c r="E29815" s="5">
        <v>94.8</v>
      </c>
      <c r="F29815" s="5">
        <v>197.4</v>
      </c>
      <c r="G29815" s="5">
        <v>98.5</v>
      </c>
      <c r="H29815" s="5">
        <v>98.5</v>
      </c>
      <c r="I29815" s="5">
        <v>0</v>
      </c>
      <c r="J29815" s="5">
        <v>0</v>
      </c>
      <c r="K29815" s="5">
        <v>0</v>
      </c>
    </row>
    <row r="29816" spans="1:11" x14ac:dyDescent="0.25">
      <c r="A29816" s="5">
        <f>29809</f>
      </c>
      <c r="B29816" s="5" t="s">
        <v>29824</v>
      </c>
      <c r="C29816" s="5">
        <v>95.8</v>
      </c>
      <c r="D29816" s="5">
        <v>0.1</v>
      </c>
      <c r="E29816" s="5">
        <v>96</v>
      </c>
      <c r="F29816" s="5">
        <v>193.8</v>
      </c>
      <c r="G29816" s="5">
        <v>96.9</v>
      </c>
      <c r="H29816" s="5">
        <v>96.9</v>
      </c>
      <c r="I29816" s="5">
        <v>0</v>
      </c>
      <c r="J29816" s="5">
        <v>0</v>
      </c>
      <c r="K29816" s="5">
        <v>0</v>
      </c>
    </row>
    <row r="29817" spans="1:11" x14ac:dyDescent="0.25">
      <c r="A29817" s="5">
        <f>29810</f>
      </c>
      <c r="B29817" s="5" t="s">
        <v>29825</v>
      </c>
      <c r="C29817" s="5">
        <v>95.8</v>
      </c>
      <c r="D29817" s="5">
        <v>0.1</v>
      </c>
      <c r="E29817" s="5">
        <v>96</v>
      </c>
      <c r="F29817" s="5">
        <v>193.8</v>
      </c>
      <c r="G29817" s="5">
        <v>96.9</v>
      </c>
      <c r="H29817" s="5">
        <v>96.9</v>
      </c>
      <c r="I29817" s="5">
        <v>0</v>
      </c>
      <c r="J29817" s="5">
        <v>0</v>
      </c>
      <c r="K29817" s="5">
        <v>0</v>
      </c>
    </row>
    <row r="29818" spans="1:11" x14ac:dyDescent="0.25">
      <c r="A29818" s="5">
        <f>29811</f>
      </c>
      <c r="B29818" s="5" t="s">
        <v>29826</v>
      </c>
      <c r="C29818" s="5">
        <v>94.7</v>
      </c>
      <c r="D29818" s="5">
        <v>0.1</v>
      </c>
      <c r="E29818" s="5">
        <v>94.8</v>
      </c>
      <c r="F29818" s="5">
        <v>189.8</v>
      </c>
      <c r="G29818" s="5">
        <v>94.6</v>
      </c>
      <c r="H29818" s="5">
        <v>94.5</v>
      </c>
      <c r="I29818" s="5">
        <v>0</v>
      </c>
      <c r="J29818" s="5">
        <v>0</v>
      </c>
      <c r="K29818" s="5">
        <v>0</v>
      </c>
    </row>
    <row r="29819" spans="1:11" x14ac:dyDescent="0.25">
      <c r="A29819" s="5">
        <f>29812</f>
      </c>
      <c r="B29819" s="5" t="s">
        <v>29827</v>
      </c>
      <c r="C29819" s="5">
        <v>94.7</v>
      </c>
      <c r="D29819" s="5">
        <v>0.1</v>
      </c>
      <c r="E29819" s="5">
        <v>94.8</v>
      </c>
      <c r="F29819" s="5">
        <v>189.8</v>
      </c>
      <c r="G29819" s="5">
        <v>94.6</v>
      </c>
      <c r="H29819" s="5">
        <v>94.5</v>
      </c>
      <c r="I29819" s="5">
        <v>0</v>
      </c>
      <c r="J29819" s="5">
        <v>0</v>
      </c>
      <c r="K29819" s="5">
        <v>0</v>
      </c>
    </row>
    <row r="29820" spans="1:11" x14ac:dyDescent="0.25">
      <c r="A29820" s="5">
        <f>29813</f>
      </c>
      <c r="B29820" s="5" t="s">
        <v>29828</v>
      </c>
      <c r="C29820" s="5">
        <v>95.1</v>
      </c>
      <c r="D29820" s="5">
        <v>0.1</v>
      </c>
      <c r="E29820" s="5">
        <v>95.1</v>
      </c>
      <c r="F29820" s="5">
        <v>194.2</v>
      </c>
      <c r="G29820" s="5">
        <v>97.1</v>
      </c>
      <c r="H29820" s="5">
        <v>97.2</v>
      </c>
      <c r="I29820" s="5">
        <v>0</v>
      </c>
      <c r="J29820" s="5">
        <v>0</v>
      </c>
      <c r="K29820" s="5">
        <v>0</v>
      </c>
    </row>
    <row r="29821" spans="1:11" x14ac:dyDescent="0.25">
      <c r="A29821" s="5">
        <f>29814</f>
      </c>
      <c r="B29821" s="5" t="s">
        <v>29829</v>
      </c>
      <c r="C29821" s="5">
        <v>95.1</v>
      </c>
      <c r="D29821" s="5">
        <v>0.1</v>
      </c>
      <c r="E29821" s="5">
        <v>95.1</v>
      </c>
      <c r="F29821" s="5">
        <v>194.2</v>
      </c>
      <c r="G29821" s="5">
        <v>97.1</v>
      </c>
      <c r="H29821" s="5">
        <v>97.2</v>
      </c>
      <c r="I29821" s="5">
        <v>0</v>
      </c>
      <c r="J29821" s="5">
        <v>0</v>
      </c>
      <c r="K29821" s="5">
        <v>0</v>
      </c>
    </row>
    <row r="29822" spans="1:11" x14ac:dyDescent="0.25">
      <c r="A29822" s="5">
        <f>29815</f>
      </c>
      <c r="B29822" s="5" t="s">
        <v>29830</v>
      </c>
      <c r="C29822" s="5">
        <v>95.1</v>
      </c>
      <c r="D29822" s="5">
        <v>0.1</v>
      </c>
      <c r="E29822" s="5">
        <v>95.1</v>
      </c>
      <c r="F29822" s="5">
        <v>194.2</v>
      </c>
      <c r="G29822" s="5">
        <v>97.1</v>
      </c>
      <c r="H29822" s="5">
        <v>97.2</v>
      </c>
      <c r="I29822" s="5">
        <v>0</v>
      </c>
      <c r="J29822" s="5">
        <v>0</v>
      </c>
      <c r="K29822" s="5">
        <v>0</v>
      </c>
    </row>
    <row r="29823" spans="1:11" x14ac:dyDescent="0.25">
      <c r="A29823" s="5">
        <f>29816</f>
      </c>
      <c r="B29823" s="5" t="s">
        <v>29831</v>
      </c>
      <c r="C29823" s="5">
        <v>95.1</v>
      </c>
      <c r="D29823" s="5">
        <v>0.1</v>
      </c>
      <c r="E29823" s="5">
        <v>95.1</v>
      </c>
      <c r="F29823" s="5">
        <v>194.2</v>
      </c>
      <c r="G29823" s="5">
        <v>97.1</v>
      </c>
      <c r="H29823" s="5">
        <v>97.2</v>
      </c>
      <c r="I29823" s="5">
        <v>0</v>
      </c>
      <c r="J29823" s="5">
        <v>0</v>
      </c>
      <c r="K29823" s="5">
        <v>0</v>
      </c>
    </row>
    <row r="29824" spans="1:11" x14ac:dyDescent="0.25">
      <c r="A29824" s="5">
        <f>29817</f>
      </c>
      <c r="B29824" s="5" t="s">
        <v>29832</v>
      </c>
      <c r="C29824" s="5">
        <v>90.9</v>
      </c>
      <c r="D29824" s="5">
        <v>0.1</v>
      </c>
      <c r="E29824" s="5">
        <v>91</v>
      </c>
      <c r="F29824" s="5">
        <v>175.2</v>
      </c>
      <c r="G29824" s="5">
        <v>87.6</v>
      </c>
      <c r="H29824" s="5">
        <v>87.6</v>
      </c>
      <c r="I29824" s="5">
        <v>0</v>
      </c>
      <c r="J29824" s="5">
        <v>0</v>
      </c>
      <c r="K29824" s="5">
        <v>0</v>
      </c>
    </row>
    <row r="29825" spans="1:11" x14ac:dyDescent="0.25">
      <c r="A29825" s="5">
        <f>29818</f>
      </c>
      <c r="B29825" s="5" t="s">
        <v>29833</v>
      </c>
      <c r="C29825" s="5">
        <v>90.9</v>
      </c>
      <c r="D29825" s="5">
        <v>0.1</v>
      </c>
      <c r="E29825" s="5">
        <v>91</v>
      </c>
      <c r="F29825" s="5">
        <v>175.2</v>
      </c>
      <c r="G29825" s="5">
        <v>87.6</v>
      </c>
      <c r="H29825" s="5">
        <v>87.6</v>
      </c>
      <c r="I29825" s="5">
        <v>0</v>
      </c>
      <c r="J29825" s="5">
        <v>0</v>
      </c>
      <c r="K29825" s="5">
        <v>0</v>
      </c>
    </row>
    <row r="29826" spans="1:11" x14ac:dyDescent="0.25">
      <c r="A29826" s="5">
        <f>29819</f>
      </c>
      <c r="B29826" s="5" t="s">
        <v>29834</v>
      </c>
      <c r="C29826" s="5">
        <v>91</v>
      </c>
      <c r="D29826" s="5">
        <v>0.1</v>
      </c>
      <c r="E29826" s="5">
        <v>91.1</v>
      </c>
      <c r="F29826" s="5">
        <v>180.5</v>
      </c>
      <c r="G29826" s="5">
        <v>90.2</v>
      </c>
      <c r="H29826" s="5">
        <v>90.2</v>
      </c>
      <c r="I29826" s="5">
        <v>0</v>
      </c>
      <c r="J29826" s="5">
        <v>0</v>
      </c>
      <c r="K29826" s="5">
        <v>0</v>
      </c>
    </row>
    <row r="29827" spans="1:11" x14ac:dyDescent="0.25">
      <c r="A29827" s="5">
        <f>29820</f>
      </c>
      <c r="B29827" s="5" t="s">
        <v>29835</v>
      </c>
      <c r="C29827" s="5">
        <v>91</v>
      </c>
      <c r="D29827" s="5">
        <v>0.1</v>
      </c>
      <c r="E29827" s="5">
        <v>91.1</v>
      </c>
      <c r="F29827" s="5">
        <v>180.5</v>
      </c>
      <c r="G29827" s="5">
        <v>90.2</v>
      </c>
      <c r="H29827" s="5">
        <v>90.2</v>
      </c>
      <c r="I29827" s="5">
        <v>0</v>
      </c>
      <c r="J29827" s="5">
        <v>0</v>
      </c>
      <c r="K29827" s="5">
        <v>0</v>
      </c>
    </row>
    <row r="29828" spans="1:11" x14ac:dyDescent="0.25">
      <c r="A29828" s="5">
        <f>29821</f>
      </c>
      <c r="B29828" s="5" t="s">
        <v>29836</v>
      </c>
      <c r="C29828" s="5">
        <v>93.7</v>
      </c>
      <c r="D29828" s="5">
        <v>0.1</v>
      </c>
      <c r="E29828" s="5">
        <v>93.8</v>
      </c>
      <c r="F29828" s="5">
        <v>189.5</v>
      </c>
      <c r="G29828" s="5">
        <v>94.4</v>
      </c>
      <c r="H29828" s="5">
        <v>94.2</v>
      </c>
      <c r="I29828" s="5">
        <v>0</v>
      </c>
      <c r="J29828" s="5">
        <v>0</v>
      </c>
      <c r="K29828" s="5">
        <v>0</v>
      </c>
    </row>
    <row r="29829" spans="1:11" x14ac:dyDescent="0.25">
      <c r="A29829" s="5">
        <f>29822</f>
      </c>
      <c r="B29829" s="5" t="s">
        <v>29837</v>
      </c>
      <c r="C29829" s="5">
        <v>93.7</v>
      </c>
      <c r="D29829" s="5">
        <v>0.1</v>
      </c>
      <c r="E29829" s="5">
        <v>93.8</v>
      </c>
      <c r="F29829" s="5">
        <v>189.5</v>
      </c>
      <c r="G29829" s="5">
        <v>94.4</v>
      </c>
      <c r="H29829" s="5">
        <v>94.2</v>
      </c>
      <c r="I29829" s="5">
        <v>0</v>
      </c>
      <c r="J29829" s="5">
        <v>0</v>
      </c>
      <c r="K29829" s="5">
        <v>0</v>
      </c>
    </row>
    <row r="29830" spans="1:11" x14ac:dyDescent="0.25">
      <c r="A29830" s="5">
        <f>29823</f>
      </c>
      <c r="B29830" s="5" t="s">
        <v>29838</v>
      </c>
      <c r="C29830" s="5">
        <v>102.1</v>
      </c>
      <c r="D29830" s="5">
        <v>0.1</v>
      </c>
      <c r="E29830" s="5">
        <v>102.2</v>
      </c>
      <c r="F29830" s="5">
        <v>202.5</v>
      </c>
      <c r="G29830" s="5">
        <v>101.1</v>
      </c>
      <c r="H29830" s="5">
        <v>101.1</v>
      </c>
      <c r="I29830" s="5">
        <v>0</v>
      </c>
      <c r="J29830" s="5">
        <v>0</v>
      </c>
      <c r="K29830" s="5">
        <v>0</v>
      </c>
    </row>
    <row r="29831" spans="1:11" x14ac:dyDescent="0.25">
      <c r="A29831" s="5">
        <f>29824</f>
      </c>
      <c r="B29831" s="5" t="s">
        <v>29839</v>
      </c>
      <c r="C29831" s="5">
        <v>102.1</v>
      </c>
      <c r="D29831" s="5">
        <v>0.1</v>
      </c>
      <c r="E29831" s="5">
        <v>102.2</v>
      </c>
      <c r="F29831" s="5">
        <v>202.5</v>
      </c>
      <c r="G29831" s="5">
        <v>101.1</v>
      </c>
      <c r="H29831" s="5">
        <v>101.1</v>
      </c>
      <c r="I29831" s="5">
        <v>0</v>
      </c>
      <c r="J29831" s="5">
        <v>0</v>
      </c>
      <c r="K29831" s="5">
        <v>0</v>
      </c>
    </row>
    <row r="29832" spans="1:11" x14ac:dyDescent="0.25">
      <c r="A29832" s="5">
        <f>29825</f>
      </c>
      <c r="B29832" s="5" t="s">
        <v>29840</v>
      </c>
      <c r="C29832" s="5">
        <v>102.1</v>
      </c>
      <c r="D29832" s="5">
        <v>0.1</v>
      </c>
      <c r="E29832" s="5">
        <v>102.2</v>
      </c>
      <c r="F29832" s="5">
        <v>202.5</v>
      </c>
      <c r="G29832" s="5">
        <v>101.1</v>
      </c>
      <c r="H29832" s="5">
        <v>101.1</v>
      </c>
      <c r="I29832" s="5">
        <v>0</v>
      </c>
      <c r="J29832" s="5">
        <v>0</v>
      </c>
      <c r="K29832" s="5">
        <v>0</v>
      </c>
    </row>
    <row r="29833" spans="1:11" x14ac:dyDescent="0.25">
      <c r="A29833" s="5">
        <f>29826</f>
      </c>
      <c r="B29833" s="5" t="s">
        <v>29841</v>
      </c>
      <c r="C29833" s="5">
        <v>102.1</v>
      </c>
      <c r="D29833" s="5">
        <v>0.1</v>
      </c>
      <c r="E29833" s="5">
        <v>102.2</v>
      </c>
      <c r="F29833" s="5">
        <v>202.5</v>
      </c>
      <c r="G29833" s="5">
        <v>101.1</v>
      </c>
      <c r="H29833" s="5">
        <v>101.1</v>
      </c>
      <c r="I29833" s="5">
        <v>0</v>
      </c>
      <c r="J29833" s="5">
        <v>0</v>
      </c>
      <c r="K29833" s="5">
        <v>0</v>
      </c>
    </row>
    <row r="29834" spans="1:11" x14ac:dyDescent="0.25">
      <c r="A29834" s="5">
        <f>29827</f>
      </c>
      <c r="B29834" s="5" t="s">
        <v>29842</v>
      </c>
      <c r="C29834" s="5">
        <v>98</v>
      </c>
      <c r="D29834" s="5">
        <v>0.1</v>
      </c>
      <c r="E29834" s="5">
        <v>98.2</v>
      </c>
      <c r="F29834" s="5">
        <v>197.6</v>
      </c>
      <c r="G29834" s="5">
        <v>98.5</v>
      </c>
      <c r="H29834" s="5">
        <v>98.2</v>
      </c>
      <c r="I29834" s="5">
        <v>0</v>
      </c>
      <c r="J29834" s="5">
        <v>0</v>
      </c>
      <c r="K29834" s="5">
        <v>0</v>
      </c>
    </row>
    <row r="29835" spans="1:11" x14ac:dyDescent="0.25">
      <c r="A29835" s="5">
        <f>29828</f>
      </c>
      <c r="B29835" s="5" t="s">
        <v>29843</v>
      </c>
      <c r="C29835" s="5">
        <v>98</v>
      </c>
      <c r="D29835" s="5">
        <v>0.1</v>
      </c>
      <c r="E29835" s="5">
        <v>98.2</v>
      </c>
      <c r="F29835" s="5">
        <v>197.6</v>
      </c>
      <c r="G29835" s="5">
        <v>98.5</v>
      </c>
      <c r="H29835" s="5">
        <v>98.2</v>
      </c>
      <c r="I29835" s="5">
        <v>0</v>
      </c>
      <c r="J29835" s="5">
        <v>0</v>
      </c>
      <c r="K29835" s="5">
        <v>0</v>
      </c>
    </row>
    <row r="29836" spans="1:11" x14ac:dyDescent="0.25">
      <c r="A29836" s="5">
        <f>29829</f>
      </c>
      <c r="B29836" s="5" t="s">
        <v>29844</v>
      </c>
      <c r="C29836" s="5">
        <v>95.4</v>
      </c>
      <c r="D29836" s="5">
        <v>0.1</v>
      </c>
      <c r="E29836" s="5">
        <v>95.5</v>
      </c>
      <c r="F29836" s="5">
        <v>193.5</v>
      </c>
      <c r="G29836" s="5">
        <v>96.4</v>
      </c>
      <c r="H29836" s="5">
        <v>96.2</v>
      </c>
      <c r="I29836" s="5">
        <v>0</v>
      </c>
      <c r="J29836" s="5">
        <v>0</v>
      </c>
      <c r="K29836" s="5">
        <v>0</v>
      </c>
    </row>
    <row r="29837" spans="1:11" x14ac:dyDescent="0.25">
      <c r="A29837" s="5">
        <f>29830</f>
      </c>
      <c r="B29837" s="5" t="s">
        <v>29845</v>
      </c>
      <c r="C29837" s="5">
        <v>95.4</v>
      </c>
      <c r="D29837" s="5">
        <v>0.1</v>
      </c>
      <c r="E29837" s="5">
        <v>95.5</v>
      </c>
      <c r="F29837" s="5">
        <v>193.5</v>
      </c>
      <c r="G29837" s="5">
        <v>96.4</v>
      </c>
      <c r="H29837" s="5">
        <v>96.2</v>
      </c>
      <c r="I29837" s="5">
        <v>0</v>
      </c>
      <c r="J29837" s="5">
        <v>0</v>
      </c>
      <c r="K29837" s="5">
        <v>0</v>
      </c>
    </row>
    <row r="29838" spans="1:11" x14ac:dyDescent="0.25">
      <c r="A29838" s="5">
        <f>29831</f>
      </c>
      <c r="B29838" s="5" t="s">
        <v>29846</v>
      </c>
      <c r="C29838" s="5">
        <v>93.3</v>
      </c>
      <c r="D29838" s="5">
        <v>0.1</v>
      </c>
      <c r="E29838" s="5">
        <v>93.5</v>
      </c>
      <c r="F29838" s="5">
        <v>187.9</v>
      </c>
      <c r="G29838" s="5">
        <v>93.7</v>
      </c>
      <c r="H29838" s="5">
        <v>93.5</v>
      </c>
      <c r="I29838" s="5">
        <v>0</v>
      </c>
      <c r="J29838" s="5">
        <v>0</v>
      </c>
      <c r="K29838" s="5">
        <v>0</v>
      </c>
    </row>
    <row r="29839" spans="1:11" x14ac:dyDescent="0.25">
      <c r="A29839" s="5">
        <f>29832</f>
      </c>
      <c r="B29839" s="5" t="s">
        <v>29847</v>
      </c>
      <c r="C29839" s="5">
        <v>93.3</v>
      </c>
      <c r="D29839" s="5">
        <v>0.1</v>
      </c>
      <c r="E29839" s="5">
        <v>93.5</v>
      </c>
      <c r="F29839" s="5">
        <v>187.9</v>
      </c>
      <c r="G29839" s="5">
        <v>93.7</v>
      </c>
      <c r="H29839" s="5">
        <v>93.5</v>
      </c>
      <c r="I29839" s="5">
        <v>0</v>
      </c>
      <c r="J29839" s="5">
        <v>0</v>
      </c>
      <c r="K29839" s="5">
        <v>0</v>
      </c>
    </row>
    <row r="29840" spans="1:11" x14ac:dyDescent="0.25">
      <c r="A29840" s="5">
        <f>29833</f>
      </c>
      <c r="B29840" s="5" t="s">
        <v>29848</v>
      </c>
      <c r="C29840" s="5">
        <v>93.5</v>
      </c>
      <c r="D29840" s="5">
        <v>0.1</v>
      </c>
      <c r="E29840" s="5">
        <v>93.7</v>
      </c>
      <c r="F29840" s="5">
        <v>188.9</v>
      </c>
      <c r="G29840" s="5">
        <v>94.2</v>
      </c>
      <c r="H29840" s="5">
        <v>94</v>
      </c>
      <c r="I29840" s="5">
        <v>0</v>
      </c>
      <c r="J29840" s="5">
        <v>0</v>
      </c>
      <c r="K29840" s="5">
        <v>0</v>
      </c>
    </row>
    <row r="29841" spans="1:11" x14ac:dyDescent="0.25">
      <c r="A29841" s="5">
        <f>29834</f>
      </c>
      <c r="B29841" s="5" t="s">
        <v>29849</v>
      </c>
      <c r="C29841" s="5">
        <v>93.5</v>
      </c>
      <c r="D29841" s="5">
        <v>0.1</v>
      </c>
      <c r="E29841" s="5">
        <v>93.7</v>
      </c>
      <c r="F29841" s="5">
        <v>188.9</v>
      </c>
      <c r="G29841" s="5">
        <v>94.2</v>
      </c>
      <c r="H29841" s="5">
        <v>94</v>
      </c>
      <c r="I29841" s="5">
        <v>0</v>
      </c>
      <c r="J29841" s="5">
        <v>0</v>
      </c>
      <c r="K29841" s="5">
        <v>0</v>
      </c>
    </row>
    <row r="29842" spans="1:11" x14ac:dyDescent="0.25">
      <c r="A29842" s="5">
        <f>29835</f>
      </c>
      <c r="B29842" s="5" t="s">
        <v>29850</v>
      </c>
      <c r="C29842" s="5">
        <v>93.5</v>
      </c>
      <c r="D29842" s="5">
        <v>0.1</v>
      </c>
      <c r="E29842" s="5">
        <v>93.7</v>
      </c>
      <c r="F29842" s="5">
        <v>188.9</v>
      </c>
      <c r="G29842" s="5">
        <v>94.2</v>
      </c>
      <c r="H29842" s="5">
        <v>94</v>
      </c>
      <c r="I29842" s="5">
        <v>0</v>
      </c>
      <c r="J29842" s="5">
        <v>0</v>
      </c>
      <c r="K29842" s="5">
        <v>0</v>
      </c>
    </row>
    <row r="29843" spans="1:11" x14ac:dyDescent="0.25">
      <c r="A29843" s="5">
        <f>29836</f>
      </c>
      <c r="B29843" s="5" t="s">
        <v>29851</v>
      </c>
      <c r="C29843" s="5">
        <v>93.5</v>
      </c>
      <c r="D29843" s="5">
        <v>0.1</v>
      </c>
      <c r="E29843" s="5">
        <v>93.7</v>
      </c>
      <c r="F29843" s="5">
        <v>188.9</v>
      </c>
      <c r="G29843" s="5">
        <v>94.2</v>
      </c>
      <c r="H29843" s="5">
        <v>94</v>
      </c>
      <c r="I29843" s="5">
        <v>0</v>
      </c>
      <c r="J29843" s="5">
        <v>0</v>
      </c>
      <c r="K29843" s="5">
        <v>0</v>
      </c>
    </row>
    <row r="29844" spans="1:11" x14ac:dyDescent="0.25">
      <c r="A29844" s="5">
        <f>29837</f>
      </c>
      <c r="B29844" s="5" t="s">
        <v>29852</v>
      </c>
      <c r="C29844" s="5">
        <v>95.5</v>
      </c>
      <c r="D29844" s="5">
        <v>0.1</v>
      </c>
      <c r="E29844" s="5">
        <v>95.7</v>
      </c>
      <c r="F29844" s="5">
        <v>194.1</v>
      </c>
      <c r="G29844" s="5">
        <v>97</v>
      </c>
      <c r="H29844" s="5">
        <v>97</v>
      </c>
      <c r="I29844" s="5">
        <v>0</v>
      </c>
      <c r="J29844" s="5">
        <v>0</v>
      </c>
      <c r="K29844" s="5">
        <v>0</v>
      </c>
    </row>
    <row r="29845" spans="1:11" x14ac:dyDescent="0.25">
      <c r="A29845" s="5">
        <f>29838</f>
      </c>
      <c r="B29845" s="5" t="s">
        <v>29853</v>
      </c>
      <c r="C29845" s="5">
        <v>95.5</v>
      </c>
      <c r="D29845" s="5">
        <v>0.1</v>
      </c>
      <c r="E29845" s="5">
        <v>95.7</v>
      </c>
      <c r="F29845" s="5">
        <v>194.1</v>
      </c>
      <c r="G29845" s="5">
        <v>97</v>
      </c>
      <c r="H29845" s="5">
        <v>97</v>
      </c>
      <c r="I29845" s="5">
        <v>0</v>
      </c>
      <c r="J29845" s="5">
        <v>0</v>
      </c>
      <c r="K29845" s="5">
        <v>0</v>
      </c>
    </row>
    <row r="29846" spans="1:11" x14ac:dyDescent="0.25">
      <c r="A29846" s="5">
        <f>29839</f>
      </c>
      <c r="B29846" s="5" t="s">
        <v>29854</v>
      </c>
      <c r="C29846" s="5">
        <v>99.5</v>
      </c>
      <c r="D29846" s="5">
        <v>0.1</v>
      </c>
      <c r="E29846" s="5">
        <v>99.7</v>
      </c>
      <c r="F29846" s="5">
        <v>200.1</v>
      </c>
      <c r="G29846" s="5">
        <v>99.8</v>
      </c>
      <c r="H29846" s="5">
        <v>99.7</v>
      </c>
      <c r="I29846" s="5">
        <v>0</v>
      </c>
      <c r="J29846" s="5">
        <v>0</v>
      </c>
      <c r="K29846" s="5">
        <v>0</v>
      </c>
    </row>
    <row r="29847" spans="1:11" x14ac:dyDescent="0.25">
      <c r="A29847" s="5">
        <f>29840</f>
      </c>
      <c r="B29847" s="5" t="s">
        <v>29855</v>
      </c>
      <c r="C29847" s="5">
        <v>99.5</v>
      </c>
      <c r="D29847" s="5">
        <v>0.1</v>
      </c>
      <c r="E29847" s="5">
        <v>99.7</v>
      </c>
      <c r="F29847" s="5">
        <v>200.1</v>
      </c>
      <c r="G29847" s="5">
        <v>99.8</v>
      </c>
      <c r="H29847" s="5">
        <v>99.7</v>
      </c>
      <c r="I29847" s="5">
        <v>0</v>
      </c>
      <c r="J29847" s="5">
        <v>0</v>
      </c>
      <c r="K29847" s="5">
        <v>0</v>
      </c>
    </row>
    <row r="29848" spans="1:11" x14ac:dyDescent="0.25">
      <c r="A29848" s="5">
        <f>29841</f>
      </c>
      <c r="B29848" s="5" t="s">
        <v>29856</v>
      </c>
      <c r="C29848" s="5">
        <v>99.6</v>
      </c>
      <c r="D29848" s="5">
        <v>0.1</v>
      </c>
      <c r="E29848" s="5">
        <v>99.8</v>
      </c>
      <c r="F29848" s="5">
        <v>198.6</v>
      </c>
      <c r="G29848" s="5">
        <v>99.1</v>
      </c>
      <c r="H29848" s="5">
        <v>98.9</v>
      </c>
      <c r="I29848" s="5">
        <v>0</v>
      </c>
      <c r="J29848" s="5">
        <v>0</v>
      </c>
      <c r="K29848" s="5">
        <v>0</v>
      </c>
    </row>
    <row r="29849" spans="1:11" x14ac:dyDescent="0.25">
      <c r="A29849" s="5">
        <f>29842</f>
      </c>
      <c r="B29849" s="5" t="s">
        <v>29857</v>
      </c>
      <c r="C29849" s="5">
        <v>99.6</v>
      </c>
      <c r="D29849" s="5">
        <v>0.1</v>
      </c>
      <c r="E29849" s="5">
        <v>99.8</v>
      </c>
      <c r="F29849" s="5">
        <v>198.6</v>
      </c>
      <c r="G29849" s="5">
        <v>99.1</v>
      </c>
      <c r="H29849" s="5">
        <v>98.9</v>
      </c>
      <c r="I29849" s="5">
        <v>0</v>
      </c>
      <c r="J29849" s="5">
        <v>0</v>
      </c>
      <c r="K29849" s="5">
        <v>0</v>
      </c>
    </row>
    <row r="29850" spans="1:11" x14ac:dyDescent="0.25">
      <c r="A29850" s="5">
        <f>29843</f>
      </c>
      <c r="B29850" s="5" t="s">
        <v>29858</v>
      </c>
      <c r="C29850" s="5">
        <v>99.8</v>
      </c>
      <c r="D29850" s="5">
        <v>0.1</v>
      </c>
      <c r="E29850" s="5">
        <v>99.9</v>
      </c>
      <c r="F29850" s="5">
        <v>198.7</v>
      </c>
      <c r="G29850" s="5">
        <v>99.1</v>
      </c>
      <c r="H29850" s="5">
        <v>99</v>
      </c>
      <c r="I29850" s="5">
        <v>0</v>
      </c>
      <c r="J29850" s="5">
        <v>0</v>
      </c>
      <c r="K29850" s="5">
        <v>0</v>
      </c>
    </row>
    <row r="29851" spans="1:11" x14ac:dyDescent="0.25">
      <c r="A29851" s="5">
        <f>29844</f>
      </c>
      <c r="B29851" s="5" t="s">
        <v>29859</v>
      </c>
      <c r="C29851" s="5">
        <v>99.8</v>
      </c>
      <c r="D29851" s="5">
        <v>0.1</v>
      </c>
      <c r="E29851" s="5">
        <v>99.9</v>
      </c>
      <c r="F29851" s="5">
        <v>198.7</v>
      </c>
      <c r="G29851" s="5">
        <v>99.1</v>
      </c>
      <c r="H29851" s="5">
        <v>99</v>
      </c>
      <c r="I29851" s="5">
        <v>0</v>
      </c>
      <c r="J29851" s="5">
        <v>0</v>
      </c>
      <c r="K29851" s="5">
        <v>0</v>
      </c>
    </row>
    <row r="29852" spans="1:11" x14ac:dyDescent="0.25">
      <c r="A29852" s="5">
        <f>29845</f>
      </c>
      <c r="B29852" s="5" t="s">
        <v>29860</v>
      </c>
      <c r="C29852" s="5">
        <v>99.8</v>
      </c>
      <c r="D29852" s="5">
        <v>0.1</v>
      </c>
      <c r="E29852" s="5">
        <v>99.9</v>
      </c>
      <c r="F29852" s="5">
        <v>198.7</v>
      </c>
      <c r="G29852" s="5">
        <v>99.1</v>
      </c>
      <c r="H29852" s="5">
        <v>99</v>
      </c>
      <c r="I29852" s="5">
        <v>0</v>
      </c>
      <c r="J29852" s="5">
        <v>0</v>
      </c>
      <c r="K29852" s="5">
        <v>0</v>
      </c>
    </row>
    <row r="29853" spans="1:11" x14ac:dyDescent="0.25">
      <c r="A29853" s="5">
        <f>29846</f>
      </c>
      <c r="B29853" s="5" t="s">
        <v>29861</v>
      </c>
      <c r="C29853" s="5">
        <v>99.8</v>
      </c>
      <c r="D29853" s="5">
        <v>0.1</v>
      </c>
      <c r="E29853" s="5">
        <v>99.9</v>
      </c>
      <c r="F29853" s="5">
        <v>198.7</v>
      </c>
      <c r="G29853" s="5">
        <v>99.1</v>
      </c>
      <c r="H29853" s="5">
        <v>99</v>
      </c>
      <c r="I29853" s="5">
        <v>0</v>
      </c>
      <c r="J29853" s="5">
        <v>0</v>
      </c>
      <c r="K29853" s="5">
        <v>0</v>
      </c>
    </row>
    <row r="29854" spans="1:11" x14ac:dyDescent="0.25">
      <c r="A29854" s="5">
        <f>29847</f>
      </c>
      <c r="B29854" s="5" t="s">
        <v>29862</v>
      </c>
      <c r="C29854" s="5">
        <v>96</v>
      </c>
      <c r="D29854" s="5">
        <v>0.1</v>
      </c>
      <c r="E29854" s="5">
        <v>96.2</v>
      </c>
      <c r="F29854" s="5">
        <v>194.9</v>
      </c>
      <c r="G29854" s="5">
        <v>97</v>
      </c>
      <c r="H29854" s="5">
        <v>96.6</v>
      </c>
      <c r="I29854" s="5">
        <v>0</v>
      </c>
      <c r="J29854" s="5">
        <v>0</v>
      </c>
      <c r="K29854" s="5">
        <v>0</v>
      </c>
    </row>
    <row r="29855" spans="1:11" x14ac:dyDescent="0.25">
      <c r="A29855" s="5">
        <f>29848</f>
      </c>
      <c r="B29855" s="5" t="s">
        <v>29863</v>
      </c>
      <c r="C29855" s="5">
        <v>96</v>
      </c>
      <c r="D29855" s="5">
        <v>0.1</v>
      </c>
      <c r="E29855" s="5">
        <v>96.2</v>
      </c>
      <c r="F29855" s="5">
        <v>194.9</v>
      </c>
      <c r="G29855" s="5">
        <v>97</v>
      </c>
      <c r="H29855" s="5">
        <v>96.6</v>
      </c>
      <c r="I29855" s="5">
        <v>0</v>
      </c>
      <c r="J29855" s="5">
        <v>0</v>
      </c>
      <c r="K29855" s="5">
        <v>0</v>
      </c>
    </row>
    <row r="29856" spans="1:11" x14ac:dyDescent="0.25">
      <c r="A29856" s="5">
        <f>29849</f>
      </c>
      <c r="B29856" s="5" t="s">
        <v>29864</v>
      </c>
      <c r="C29856" s="5">
        <v>100.6</v>
      </c>
      <c r="D29856" s="5">
        <v>0.1</v>
      </c>
      <c r="E29856" s="5">
        <v>100.8</v>
      </c>
      <c r="F29856" s="5">
        <v>201.2</v>
      </c>
      <c r="G29856" s="5">
        <v>100.4</v>
      </c>
      <c r="H29856" s="5">
        <v>100.3</v>
      </c>
      <c r="I29856" s="5">
        <v>0</v>
      </c>
      <c r="J29856" s="5">
        <v>0</v>
      </c>
      <c r="K29856" s="5">
        <v>0</v>
      </c>
    </row>
    <row r="29857" spans="1:11" x14ac:dyDescent="0.25">
      <c r="A29857" s="5">
        <f>29850</f>
      </c>
      <c r="B29857" s="5" t="s">
        <v>29865</v>
      </c>
      <c r="C29857" s="5">
        <v>100.6</v>
      </c>
      <c r="D29857" s="5">
        <v>0.1</v>
      </c>
      <c r="E29857" s="5">
        <v>100.8</v>
      </c>
      <c r="F29857" s="5">
        <v>201.2</v>
      </c>
      <c r="G29857" s="5">
        <v>100.4</v>
      </c>
      <c r="H29857" s="5">
        <v>100.3</v>
      </c>
      <c r="I29857" s="5">
        <v>0</v>
      </c>
      <c r="J29857" s="5">
        <v>0</v>
      </c>
      <c r="K29857" s="5">
        <v>0</v>
      </c>
    </row>
    <row r="29858" spans="1:11" x14ac:dyDescent="0.25">
      <c r="A29858" s="5">
        <f>29851</f>
      </c>
      <c r="B29858" s="5" t="s">
        <v>29866</v>
      </c>
      <c r="C29858" s="5">
        <v>87.5</v>
      </c>
      <c r="D29858" s="5">
        <v>0.1</v>
      </c>
      <c r="E29858" s="5">
        <v>87.7</v>
      </c>
      <c r="F29858" s="5">
        <v>176.7</v>
      </c>
      <c r="G29858" s="5">
        <v>87.9</v>
      </c>
      <c r="H29858" s="5">
        <v>87.6</v>
      </c>
      <c r="I29858" s="5">
        <v>0</v>
      </c>
      <c r="J29858" s="5">
        <v>0</v>
      </c>
      <c r="K29858" s="5">
        <v>0</v>
      </c>
    </row>
    <row r="29859" spans="1:11" x14ac:dyDescent="0.25">
      <c r="A29859" s="5">
        <f>29852</f>
      </c>
      <c r="B29859" s="5" t="s">
        <v>29867</v>
      </c>
      <c r="C29859" s="5">
        <v>87.5</v>
      </c>
      <c r="D29859" s="5">
        <v>0.1</v>
      </c>
      <c r="E29859" s="5">
        <v>87.7</v>
      </c>
      <c r="F29859" s="5">
        <v>176.7</v>
      </c>
      <c r="G29859" s="5">
        <v>87.9</v>
      </c>
      <c r="H29859" s="5">
        <v>87.6</v>
      </c>
      <c r="I29859" s="5">
        <v>0</v>
      </c>
      <c r="J29859" s="5">
        <v>0</v>
      </c>
      <c r="K29859" s="5">
        <v>0</v>
      </c>
    </row>
    <row r="29860" spans="1:11" x14ac:dyDescent="0.25">
      <c r="A29860" s="5">
        <f>29853</f>
      </c>
      <c r="B29860" s="5" t="s">
        <v>29868</v>
      </c>
      <c r="C29860" s="5">
        <v>92.5</v>
      </c>
      <c r="D29860" s="5">
        <v>0.1</v>
      </c>
      <c r="E29860" s="5">
        <v>92.7</v>
      </c>
      <c r="F29860" s="5">
        <v>183</v>
      </c>
      <c r="G29860" s="5">
        <v>91.4</v>
      </c>
      <c r="H29860" s="5">
        <v>91.3</v>
      </c>
      <c r="I29860" s="5">
        <v>0</v>
      </c>
      <c r="J29860" s="5">
        <v>0</v>
      </c>
      <c r="K29860" s="5">
        <v>0</v>
      </c>
    </row>
    <row r="29861" spans="1:11" x14ac:dyDescent="0.25">
      <c r="A29861" s="5">
        <f>29854</f>
      </c>
      <c r="B29861" s="5" t="s">
        <v>29869</v>
      </c>
      <c r="C29861" s="5">
        <v>92.5</v>
      </c>
      <c r="D29861" s="5">
        <v>0.1</v>
      </c>
      <c r="E29861" s="5">
        <v>92.7</v>
      </c>
      <c r="F29861" s="5">
        <v>183</v>
      </c>
      <c r="G29861" s="5">
        <v>91.4</v>
      </c>
      <c r="H29861" s="5">
        <v>91.3</v>
      </c>
      <c r="I29861" s="5">
        <v>0</v>
      </c>
      <c r="J29861" s="5">
        <v>0</v>
      </c>
      <c r="K29861" s="5">
        <v>0</v>
      </c>
    </row>
    <row r="29862" spans="1:11" x14ac:dyDescent="0.25">
      <c r="A29862" s="5">
        <f>29855</f>
      </c>
      <c r="B29862" s="5" t="s">
        <v>29870</v>
      </c>
      <c r="C29862" s="5">
        <v>92.5</v>
      </c>
      <c r="D29862" s="5">
        <v>0.1</v>
      </c>
      <c r="E29862" s="5">
        <v>92.7</v>
      </c>
      <c r="F29862" s="5">
        <v>183</v>
      </c>
      <c r="G29862" s="5">
        <v>91.4</v>
      </c>
      <c r="H29862" s="5">
        <v>91.3</v>
      </c>
      <c r="I29862" s="5">
        <v>0</v>
      </c>
      <c r="J29862" s="5">
        <v>0</v>
      </c>
      <c r="K29862" s="5">
        <v>0</v>
      </c>
    </row>
    <row r="29863" spans="1:11" x14ac:dyDescent="0.25">
      <c r="A29863" s="5">
        <f>29856</f>
      </c>
      <c r="B29863" s="5" t="s">
        <v>29871</v>
      </c>
      <c r="C29863" s="5">
        <v>92.5</v>
      </c>
      <c r="D29863" s="5">
        <v>0.1</v>
      </c>
      <c r="E29863" s="5">
        <v>92.7</v>
      </c>
      <c r="F29863" s="5">
        <v>183</v>
      </c>
      <c r="G29863" s="5">
        <v>91.4</v>
      </c>
      <c r="H29863" s="5">
        <v>91.3</v>
      </c>
      <c r="I29863" s="5">
        <v>0</v>
      </c>
      <c r="J29863" s="5">
        <v>0</v>
      </c>
      <c r="K29863" s="5">
        <v>0</v>
      </c>
    </row>
    <row r="29864" spans="1:11" x14ac:dyDescent="0.25">
      <c r="A29864" s="5">
        <f>29857</f>
      </c>
      <c r="B29864" s="5" t="s">
        <v>29872</v>
      </c>
      <c r="C29864" s="5">
        <v>97.6</v>
      </c>
      <c r="D29864" s="5">
        <v>0.1</v>
      </c>
      <c r="E29864" s="5">
        <v>97.7</v>
      </c>
      <c r="F29864" s="5">
        <v>184.2</v>
      </c>
      <c r="G29864" s="5">
        <v>92.2</v>
      </c>
      <c r="H29864" s="5">
        <v>92.5</v>
      </c>
      <c r="I29864" s="5">
        <v>0</v>
      </c>
      <c r="J29864" s="5">
        <v>0</v>
      </c>
      <c r="K29864" s="5">
        <v>0</v>
      </c>
    </row>
    <row r="29865" spans="1:11" x14ac:dyDescent="0.25">
      <c r="A29865" s="5">
        <f>29858</f>
      </c>
      <c r="B29865" s="5" t="s">
        <v>29873</v>
      </c>
      <c r="C29865" s="5">
        <v>97.6</v>
      </c>
      <c r="D29865" s="5">
        <v>0.1</v>
      </c>
      <c r="E29865" s="5">
        <v>97.7</v>
      </c>
      <c r="F29865" s="5">
        <v>184.2</v>
      </c>
      <c r="G29865" s="5">
        <v>92.2</v>
      </c>
      <c r="H29865" s="5">
        <v>92.5</v>
      </c>
      <c r="I29865" s="5">
        <v>0</v>
      </c>
      <c r="J29865" s="5">
        <v>0</v>
      </c>
      <c r="K29865" s="5">
        <v>0</v>
      </c>
    </row>
    <row r="29866" spans="1:11" x14ac:dyDescent="0.25">
      <c r="A29866" s="5">
        <f>29859</f>
      </c>
      <c r="B29866" s="5" t="s">
        <v>29874</v>
      </c>
      <c r="C29866" s="5">
        <v>95</v>
      </c>
      <c r="D29866" s="5">
        <v>0.1</v>
      </c>
      <c r="E29866" s="5">
        <v>95.1</v>
      </c>
      <c r="F29866" s="5">
        <v>184.5</v>
      </c>
      <c r="G29866" s="5">
        <v>91.9</v>
      </c>
      <c r="H29866" s="5">
        <v>91.5</v>
      </c>
      <c r="I29866" s="5">
        <v>0</v>
      </c>
      <c r="J29866" s="5">
        <v>0</v>
      </c>
      <c r="K29866" s="5">
        <v>0</v>
      </c>
    </row>
    <row r="29867" spans="1:11" x14ac:dyDescent="0.25">
      <c r="A29867" s="5">
        <f>29860</f>
      </c>
      <c r="B29867" s="5" t="s">
        <v>29875</v>
      </c>
      <c r="C29867" s="5">
        <v>95</v>
      </c>
      <c r="D29867" s="5">
        <v>0.1</v>
      </c>
      <c r="E29867" s="5">
        <v>95.1</v>
      </c>
      <c r="F29867" s="5">
        <v>184.5</v>
      </c>
      <c r="G29867" s="5">
        <v>91.9</v>
      </c>
      <c r="H29867" s="5">
        <v>91.5</v>
      </c>
      <c r="I29867" s="5">
        <v>0</v>
      </c>
      <c r="J29867" s="5">
        <v>0</v>
      </c>
      <c r="K29867" s="5">
        <v>0</v>
      </c>
    </row>
    <row r="29868" spans="1:11" x14ac:dyDescent="0.25">
      <c r="A29868" s="5">
        <f>29861</f>
      </c>
      <c r="B29868" s="5" t="s">
        <v>29876</v>
      </c>
      <c r="C29868" s="5">
        <v>94.8</v>
      </c>
      <c r="D29868" s="5">
        <v>0.1</v>
      </c>
      <c r="E29868" s="5">
        <v>94.9</v>
      </c>
      <c r="F29868" s="5">
        <v>169.8</v>
      </c>
      <c r="G29868" s="5">
        <v>84.9</v>
      </c>
      <c r="H29868" s="5">
        <v>85</v>
      </c>
      <c r="I29868" s="5">
        <v>0</v>
      </c>
      <c r="J29868" s="5">
        <v>0</v>
      </c>
      <c r="K29868" s="5">
        <v>0</v>
      </c>
    </row>
    <row r="29869" spans="1:11" x14ac:dyDescent="0.25">
      <c r="A29869" s="5">
        <f>29862</f>
      </c>
      <c r="B29869" s="5" t="s">
        <v>29877</v>
      </c>
      <c r="C29869" s="5">
        <v>94.8</v>
      </c>
      <c r="D29869" s="5">
        <v>0.1</v>
      </c>
      <c r="E29869" s="5">
        <v>94.9</v>
      </c>
      <c r="F29869" s="5">
        <v>169.8</v>
      </c>
      <c r="G29869" s="5">
        <v>84.9</v>
      </c>
      <c r="H29869" s="5">
        <v>85</v>
      </c>
      <c r="I29869" s="5">
        <v>0</v>
      </c>
      <c r="J29869" s="5">
        <v>0</v>
      </c>
      <c r="K29869" s="5">
        <v>0</v>
      </c>
    </row>
    <row r="29870" spans="1:11" x14ac:dyDescent="0.25">
      <c r="A29870" s="5">
        <f>29863</f>
      </c>
      <c r="B29870" s="5" t="s">
        <v>29878</v>
      </c>
      <c r="C29870" s="5">
        <v>83.6</v>
      </c>
      <c r="D29870" s="5">
        <v>0.1</v>
      </c>
      <c r="E29870" s="5">
        <v>83.7</v>
      </c>
      <c r="F29870" s="5">
        <v>189.6</v>
      </c>
      <c r="G29870" s="5">
        <v>94.3</v>
      </c>
      <c r="H29870" s="5">
        <v>93.8</v>
      </c>
      <c r="I29870" s="5">
        <v>0</v>
      </c>
      <c r="J29870" s="5">
        <v>0</v>
      </c>
      <c r="K29870" s="5">
        <v>0</v>
      </c>
    </row>
    <row r="29871" spans="1:11" x14ac:dyDescent="0.25">
      <c r="A29871" s="5">
        <f>29864</f>
      </c>
      <c r="B29871" s="5" t="s">
        <v>29879</v>
      </c>
      <c r="C29871" s="5">
        <v>83.6</v>
      </c>
      <c r="D29871" s="5">
        <v>0.1</v>
      </c>
      <c r="E29871" s="5">
        <v>83.7</v>
      </c>
      <c r="F29871" s="5">
        <v>189.6</v>
      </c>
      <c r="G29871" s="5">
        <v>94.3</v>
      </c>
      <c r="H29871" s="5">
        <v>93.8</v>
      </c>
      <c r="I29871" s="5">
        <v>0</v>
      </c>
      <c r="J29871" s="5">
        <v>0</v>
      </c>
      <c r="K29871" s="5">
        <v>0</v>
      </c>
    </row>
    <row r="29872" spans="1:11" x14ac:dyDescent="0.25">
      <c r="A29872" s="5">
        <f>29865</f>
      </c>
      <c r="B29872" s="5" t="s">
        <v>29880</v>
      </c>
      <c r="C29872" s="5">
        <v>83.6</v>
      </c>
      <c r="D29872" s="5">
        <v>0.1</v>
      </c>
      <c r="E29872" s="5">
        <v>83.7</v>
      </c>
      <c r="F29872" s="5">
        <v>189.6</v>
      </c>
      <c r="G29872" s="5">
        <v>94.3</v>
      </c>
      <c r="H29872" s="5">
        <v>93.8</v>
      </c>
      <c r="I29872" s="5">
        <v>0</v>
      </c>
      <c r="J29872" s="5">
        <v>0</v>
      </c>
      <c r="K29872" s="5">
        <v>0</v>
      </c>
    </row>
    <row r="29873" spans="1:11" x14ac:dyDescent="0.25">
      <c r="A29873" s="5">
        <f>29866</f>
      </c>
      <c r="B29873" s="5" t="s">
        <v>29881</v>
      </c>
      <c r="C29873" s="5">
        <v>91.2</v>
      </c>
      <c r="D29873" s="5">
        <v>0.1</v>
      </c>
      <c r="E29873" s="5">
        <v>91.3</v>
      </c>
      <c r="F29873" s="5">
        <v>185.1</v>
      </c>
      <c r="G29873" s="5">
        <v>92.2</v>
      </c>
      <c r="H29873" s="5">
        <v>91.9</v>
      </c>
      <c r="I29873" s="5">
        <v>0</v>
      </c>
      <c r="J29873" s="5">
        <v>0</v>
      </c>
      <c r="K29873" s="5">
        <v>0</v>
      </c>
    </row>
    <row r="29874" spans="1:11" x14ac:dyDescent="0.25">
      <c r="A29874" s="5">
        <f>29867</f>
      </c>
      <c r="B29874" s="5" t="s">
        <v>29882</v>
      </c>
      <c r="C29874" s="5">
        <v>91.2</v>
      </c>
      <c r="D29874" s="5">
        <v>0.1</v>
      </c>
      <c r="E29874" s="5">
        <v>91.3</v>
      </c>
      <c r="F29874" s="5">
        <v>185.1</v>
      </c>
      <c r="G29874" s="5">
        <v>92.2</v>
      </c>
      <c r="H29874" s="5">
        <v>91.9</v>
      </c>
      <c r="I29874" s="5">
        <v>0</v>
      </c>
      <c r="J29874" s="5">
        <v>0</v>
      </c>
      <c r="K29874" s="5">
        <v>0</v>
      </c>
    </row>
    <row r="29875" spans="1:11" x14ac:dyDescent="0.25">
      <c r="A29875" s="5">
        <f>29868</f>
      </c>
      <c r="B29875" s="5" t="s">
        <v>29883</v>
      </c>
      <c r="C29875" s="5">
        <v>99.5</v>
      </c>
      <c r="D29875" s="5">
        <v>0.1</v>
      </c>
      <c r="E29875" s="5">
        <v>99.5</v>
      </c>
      <c r="F29875" s="5">
        <v>191.6</v>
      </c>
      <c r="G29875" s="5">
        <v>96</v>
      </c>
      <c r="H29875" s="5">
        <v>96.2</v>
      </c>
      <c r="I29875" s="5">
        <v>0</v>
      </c>
      <c r="J29875" s="5">
        <v>0</v>
      </c>
      <c r="K29875" s="5">
        <v>0</v>
      </c>
    </row>
    <row r="29876" spans="1:11" x14ac:dyDescent="0.25">
      <c r="A29876" s="5">
        <f>29869</f>
      </c>
      <c r="B29876" s="5" t="s">
        <v>29884</v>
      </c>
      <c r="C29876" s="5">
        <v>99.5</v>
      </c>
      <c r="D29876" s="5">
        <v>0.1</v>
      </c>
      <c r="E29876" s="5">
        <v>99.5</v>
      </c>
      <c r="F29876" s="5">
        <v>191.6</v>
      </c>
      <c r="G29876" s="5">
        <v>96</v>
      </c>
      <c r="H29876" s="5">
        <v>96.2</v>
      </c>
      <c r="I29876" s="5">
        <v>0</v>
      </c>
      <c r="J29876" s="5">
        <v>0</v>
      </c>
      <c r="K29876" s="5">
        <v>0</v>
      </c>
    </row>
    <row r="29877" spans="1:11" x14ac:dyDescent="0.25">
      <c r="A29877" s="5">
        <f>29870</f>
      </c>
      <c r="B29877" s="5" t="s">
        <v>29885</v>
      </c>
      <c r="C29877" s="5">
        <v>99.5</v>
      </c>
      <c r="D29877" s="5">
        <v>0.1</v>
      </c>
      <c r="E29877" s="5">
        <v>86.4</v>
      </c>
      <c r="F29877" s="5">
        <v>180.3</v>
      </c>
      <c r="G29877" s="5">
        <v>89.8</v>
      </c>
      <c r="H29877" s="5">
        <v>89.5</v>
      </c>
      <c r="I29877" s="5">
        <v>0</v>
      </c>
      <c r="J29877" s="5">
        <v>0</v>
      </c>
      <c r="K29877" s="5">
        <v>0</v>
      </c>
    </row>
    <row r="29878" spans="1:11" x14ac:dyDescent="0.25">
      <c r="A29878" s="5">
        <f>29871</f>
      </c>
      <c r="B29878" s="5" t="s">
        <v>29886</v>
      </c>
      <c r="C29878" s="5">
        <v>86.2</v>
      </c>
      <c r="D29878" s="5">
        <v>0.1</v>
      </c>
      <c r="E29878" s="5">
        <v>86.4</v>
      </c>
      <c r="F29878" s="5">
        <v>180.3</v>
      </c>
      <c r="G29878" s="5">
        <v>89.8</v>
      </c>
      <c r="H29878" s="5">
        <v>89.5</v>
      </c>
      <c r="I29878" s="5">
        <v>0</v>
      </c>
      <c r="J29878" s="5">
        <v>0</v>
      </c>
      <c r="K29878" s="5">
        <v>0</v>
      </c>
    </row>
    <row r="29879" spans="1:11" x14ac:dyDescent="0.25">
      <c r="A29879" s="5">
        <f>29872</f>
      </c>
      <c r="B29879" s="5" t="s">
        <v>29887</v>
      </c>
      <c r="C29879" s="5">
        <v>86.2</v>
      </c>
      <c r="D29879" s="5">
        <v>0.1</v>
      </c>
      <c r="E29879" s="5">
        <v>94.8</v>
      </c>
      <c r="F29879" s="5">
        <v>188.9</v>
      </c>
      <c r="G29879" s="5">
        <v>94.2</v>
      </c>
      <c r="H29879" s="5">
        <v>94.1</v>
      </c>
      <c r="I29879" s="5">
        <v>0</v>
      </c>
      <c r="J29879" s="5">
        <v>0</v>
      </c>
      <c r="K29879" s="5">
        <v>0</v>
      </c>
    </row>
    <row r="29880" spans="1:11" x14ac:dyDescent="0.25">
      <c r="A29880" s="5">
        <f>29873</f>
      </c>
      <c r="B29880" s="5" t="s">
        <v>29888</v>
      </c>
      <c r="C29880" s="5">
        <v>94.7</v>
      </c>
      <c r="D29880" s="5">
        <v>0.1</v>
      </c>
      <c r="E29880" s="5">
        <v>94.8</v>
      </c>
      <c r="F29880" s="5">
        <v>188.9</v>
      </c>
      <c r="G29880" s="5">
        <v>94.2</v>
      </c>
      <c r="H29880" s="5">
        <v>94.1</v>
      </c>
      <c r="I29880" s="5">
        <v>0</v>
      </c>
      <c r="J29880" s="5">
        <v>0</v>
      </c>
      <c r="K29880" s="5">
        <v>0</v>
      </c>
    </row>
    <row r="29881" spans="1:11" x14ac:dyDescent="0.25">
      <c r="A29881" s="5">
        <f>29874</f>
      </c>
      <c r="B29881" s="5" t="s">
        <v>29889</v>
      </c>
      <c r="C29881" s="5">
        <v>94.7</v>
      </c>
      <c r="D29881" s="5">
        <v>0.1</v>
      </c>
      <c r="E29881" s="5">
        <v>94.8</v>
      </c>
      <c r="F29881" s="5">
        <v>188.9</v>
      </c>
      <c r="G29881" s="5">
        <v>94.2</v>
      </c>
      <c r="H29881" s="5">
        <v>94.1</v>
      </c>
      <c r="I29881" s="5">
        <v>0</v>
      </c>
      <c r="J29881" s="5">
        <v>0</v>
      </c>
      <c r="K29881" s="5">
        <v>0</v>
      </c>
    </row>
    <row r="29882" spans="1:11" x14ac:dyDescent="0.25">
      <c r="A29882" s="5">
        <f>29875</f>
      </c>
      <c r="B29882" s="5" t="s">
        <v>29890</v>
      </c>
      <c r="C29882" s="5">
        <v>94.7</v>
      </c>
      <c r="D29882" s="5">
        <v>0.1</v>
      </c>
      <c r="E29882" s="5">
        <v>94.8</v>
      </c>
      <c r="F29882" s="5">
        <v>188.9</v>
      </c>
      <c r="G29882" s="5">
        <v>94.2</v>
      </c>
      <c r="H29882" s="5">
        <v>94.1</v>
      </c>
      <c r="I29882" s="5">
        <v>0</v>
      </c>
      <c r="J29882" s="5">
        <v>0</v>
      </c>
      <c r="K29882" s="5">
        <v>0</v>
      </c>
    </row>
    <row r="29883" spans="1:11" x14ac:dyDescent="0.25">
      <c r="A29883" s="5">
        <f>29876</f>
      </c>
      <c r="B29883" s="5" t="s">
        <v>29891</v>
      </c>
      <c r="C29883" s="5">
        <v>91.4</v>
      </c>
      <c r="D29883" s="5">
        <v>0.1</v>
      </c>
      <c r="E29883" s="5">
        <v>94.8</v>
      </c>
      <c r="F29883" s="5">
        <v>188.9</v>
      </c>
      <c r="G29883" s="5">
        <v>94.2</v>
      </c>
      <c r="H29883" s="5">
        <v>94.1</v>
      </c>
      <c r="I29883" s="5">
        <v>0</v>
      </c>
      <c r="J29883" s="5">
        <v>0</v>
      </c>
      <c r="K29883" s="5">
        <v>0</v>
      </c>
    </row>
    <row r="29884" spans="1:11" x14ac:dyDescent="0.25">
      <c r="A29884" s="5">
        <f>29877</f>
      </c>
      <c r="B29884" s="5" t="s">
        <v>29892</v>
      </c>
      <c r="C29884" s="5">
        <v>91.4</v>
      </c>
      <c r="D29884" s="5">
        <v>0.1</v>
      </c>
      <c r="E29884" s="5">
        <v>91.5</v>
      </c>
      <c r="F29884" s="5">
        <v>183.2</v>
      </c>
      <c r="G29884" s="5">
        <v>91.3</v>
      </c>
      <c r="H29884" s="5">
        <v>91.2</v>
      </c>
      <c r="I29884" s="5">
        <v>0</v>
      </c>
      <c r="J29884" s="5">
        <v>0</v>
      </c>
      <c r="K29884" s="5">
        <v>0</v>
      </c>
    </row>
    <row r="29885" spans="1:11" x14ac:dyDescent="0.25">
      <c r="A29885" s="5">
        <f>29878</f>
      </c>
      <c r="B29885" s="5" t="s">
        <v>29893</v>
      </c>
      <c r="C29885" s="5">
        <v>100.1</v>
      </c>
      <c r="D29885" s="5">
        <v>0.1</v>
      </c>
      <c r="E29885" s="5">
        <v>91.5</v>
      </c>
      <c r="F29885" s="5">
        <v>183.2</v>
      </c>
      <c r="G29885" s="5">
        <v>91.3</v>
      </c>
      <c r="H29885" s="5">
        <v>91.2</v>
      </c>
      <c r="I29885" s="5">
        <v>0</v>
      </c>
      <c r="J29885" s="5">
        <v>0</v>
      </c>
      <c r="K29885" s="5">
        <v>0</v>
      </c>
    </row>
    <row r="29886" spans="1:11" x14ac:dyDescent="0.25">
      <c r="A29886" s="5">
        <f>29879</f>
      </c>
      <c r="B29886" s="5" t="s">
        <v>29894</v>
      </c>
      <c r="C29886" s="5">
        <v>100.1</v>
      </c>
      <c r="D29886" s="5">
        <v>0.1</v>
      </c>
      <c r="E29886" s="5">
        <v>100.2</v>
      </c>
      <c r="F29886" s="5">
        <v>187.6</v>
      </c>
      <c r="G29886" s="5">
        <v>93.5</v>
      </c>
      <c r="H29886" s="5">
        <v>93.4</v>
      </c>
      <c r="I29886" s="5">
        <v>0</v>
      </c>
      <c r="J29886" s="5">
        <v>0</v>
      </c>
      <c r="K29886" s="5">
        <v>0</v>
      </c>
    </row>
    <row r="29887" spans="1:11" x14ac:dyDescent="0.25">
      <c r="A29887" s="5">
        <f>29880</f>
      </c>
      <c r="B29887" s="5" t="s">
        <v>29895</v>
      </c>
      <c r="C29887" s="5">
        <v>100.1</v>
      </c>
      <c r="D29887" s="5">
        <v>0.1</v>
      </c>
      <c r="E29887" s="5">
        <v>100.2</v>
      </c>
      <c r="F29887" s="5">
        <v>187.6</v>
      </c>
      <c r="G29887" s="5">
        <v>93.5</v>
      </c>
      <c r="H29887" s="5">
        <v>93.4</v>
      </c>
      <c r="I29887" s="5">
        <v>0</v>
      </c>
      <c r="J29887" s="5">
        <v>0</v>
      </c>
      <c r="K29887" s="5">
        <v>0</v>
      </c>
    </row>
    <row r="29888" spans="1:11" x14ac:dyDescent="0.25">
      <c r="A29888" s="5">
        <f>29881</f>
      </c>
      <c r="B29888" s="5" t="s">
        <v>29896</v>
      </c>
      <c r="C29888" s="5">
        <v>92.9</v>
      </c>
      <c r="D29888" s="5">
        <v>0.1</v>
      </c>
      <c r="E29888" s="5">
        <v>93</v>
      </c>
      <c r="F29888" s="5">
        <v>186.4</v>
      </c>
      <c r="G29888" s="5">
        <v>92.9</v>
      </c>
      <c r="H29888" s="5">
        <v>92.8</v>
      </c>
      <c r="I29888" s="5">
        <v>0</v>
      </c>
      <c r="J29888" s="5">
        <v>0</v>
      </c>
      <c r="K29888" s="5">
        <v>0</v>
      </c>
    </row>
    <row r="29889" spans="1:11" x14ac:dyDescent="0.25">
      <c r="A29889" s="5">
        <f>29882</f>
      </c>
      <c r="B29889" s="5" t="s">
        <v>29897</v>
      </c>
      <c r="C29889" s="5">
        <v>92.9</v>
      </c>
      <c r="D29889" s="5">
        <v>0.1</v>
      </c>
      <c r="E29889" s="5">
        <v>93</v>
      </c>
      <c r="F29889" s="5">
        <v>186.4</v>
      </c>
      <c r="G29889" s="5">
        <v>92.9</v>
      </c>
      <c r="H29889" s="5">
        <v>92.8</v>
      </c>
      <c r="I29889" s="5">
        <v>0</v>
      </c>
      <c r="J29889" s="5">
        <v>0</v>
      </c>
      <c r="K29889" s="5">
        <v>0</v>
      </c>
    </row>
    <row r="29890" spans="1:11" x14ac:dyDescent="0.25">
      <c r="A29890" s="5">
        <f>29883</f>
      </c>
      <c r="B29890" s="5" t="s">
        <v>29898</v>
      </c>
      <c r="C29890" s="5">
        <v>92.2</v>
      </c>
      <c r="D29890" s="5">
        <v>0.1</v>
      </c>
      <c r="E29890" s="5">
        <v>92.3</v>
      </c>
      <c r="F29890" s="5">
        <v>179</v>
      </c>
      <c r="G29890" s="5">
        <v>89.3</v>
      </c>
      <c r="H29890" s="5">
        <v>89.2</v>
      </c>
      <c r="I29890" s="5">
        <v>0</v>
      </c>
      <c r="J29890" s="5">
        <v>0</v>
      </c>
      <c r="K29890" s="5">
        <v>0</v>
      </c>
    </row>
    <row r="29891" spans="1:11" x14ac:dyDescent="0.25">
      <c r="A29891" s="5">
        <f>29884</f>
      </c>
      <c r="B29891" s="5" t="s">
        <v>29899</v>
      </c>
      <c r="C29891" s="5">
        <v>92.2</v>
      </c>
      <c r="D29891" s="5">
        <v>0.1</v>
      </c>
      <c r="E29891" s="5">
        <v>92.3</v>
      </c>
      <c r="F29891" s="5">
        <v>179</v>
      </c>
      <c r="G29891" s="5">
        <v>89.3</v>
      </c>
      <c r="H29891" s="5">
        <v>89.2</v>
      </c>
      <c r="I29891" s="5">
        <v>0</v>
      </c>
      <c r="J29891" s="5">
        <v>0</v>
      </c>
      <c r="K29891" s="5">
        <v>0</v>
      </c>
    </row>
    <row r="29892" spans="1:11" x14ac:dyDescent="0.25">
      <c r="A29892" s="5">
        <f>29885</f>
      </c>
      <c r="B29892" s="5" t="s">
        <v>29900</v>
      </c>
      <c r="C29892" s="5">
        <v>92.2</v>
      </c>
      <c r="D29892" s="5">
        <v>0.1</v>
      </c>
      <c r="E29892" s="5">
        <v>92.3</v>
      </c>
      <c r="F29892" s="5">
        <v>179</v>
      </c>
      <c r="G29892" s="5">
        <v>89.3</v>
      </c>
      <c r="H29892" s="5">
        <v>89.2</v>
      </c>
      <c r="I29892" s="5">
        <v>0</v>
      </c>
      <c r="J29892" s="5">
        <v>0</v>
      </c>
      <c r="K29892" s="5">
        <v>0</v>
      </c>
    </row>
    <row r="29893" spans="1:11" x14ac:dyDescent="0.25">
      <c r="A29893" s="5">
        <f>29886</f>
      </c>
      <c r="B29893" s="5" t="s">
        <v>29901</v>
      </c>
      <c r="C29893" s="5">
        <v>92.2</v>
      </c>
      <c r="D29893" s="5">
        <v>0.1</v>
      </c>
      <c r="E29893" s="5">
        <v>92.3</v>
      </c>
      <c r="F29893" s="5">
        <v>179</v>
      </c>
      <c r="G29893" s="5">
        <v>89.3</v>
      </c>
      <c r="H29893" s="5">
        <v>89.2</v>
      </c>
      <c r="I29893" s="5">
        <v>0</v>
      </c>
      <c r="J29893" s="5">
        <v>0</v>
      </c>
      <c r="K29893" s="5">
        <v>0</v>
      </c>
    </row>
    <row r="29894" spans="1:11" x14ac:dyDescent="0.25">
      <c r="A29894" s="5">
        <f>29887</f>
      </c>
      <c r="B29894" s="5" t="s">
        <v>29902</v>
      </c>
      <c r="C29894" s="5">
        <v>97.6</v>
      </c>
      <c r="D29894" s="5">
        <v>0.1</v>
      </c>
      <c r="E29894" s="5">
        <v>97.8</v>
      </c>
      <c r="F29894" s="5">
        <v>190.3</v>
      </c>
      <c r="G29894" s="5">
        <v>95</v>
      </c>
      <c r="H29894" s="5">
        <v>94.9</v>
      </c>
      <c r="I29894" s="5">
        <v>0</v>
      </c>
      <c r="J29894" s="5">
        <v>0</v>
      </c>
      <c r="K29894" s="5">
        <v>0</v>
      </c>
    </row>
    <row r="29895" spans="1:11" x14ac:dyDescent="0.25">
      <c r="A29895" s="5">
        <f>29888</f>
      </c>
      <c r="B29895" s="5" t="s">
        <v>29903</v>
      </c>
      <c r="C29895" s="5">
        <v>97.6</v>
      </c>
      <c r="D29895" s="5">
        <v>0.1</v>
      </c>
      <c r="E29895" s="5">
        <v>97.8</v>
      </c>
      <c r="F29895" s="5">
        <v>190.3</v>
      </c>
      <c r="G29895" s="5">
        <v>95</v>
      </c>
      <c r="H29895" s="5">
        <v>94.9</v>
      </c>
      <c r="I29895" s="5">
        <v>0</v>
      </c>
      <c r="J29895" s="5">
        <v>0</v>
      </c>
      <c r="K29895" s="5">
        <v>0</v>
      </c>
    </row>
    <row r="29896" spans="1:11" x14ac:dyDescent="0.25">
      <c r="A29896" s="5">
        <f>29889</f>
      </c>
      <c r="B29896" s="5" t="s">
        <v>29904</v>
      </c>
      <c r="C29896" s="5">
        <v>95.6</v>
      </c>
      <c r="D29896" s="5">
        <v>0.1</v>
      </c>
      <c r="E29896" s="5">
        <v>95.7</v>
      </c>
      <c r="F29896" s="5">
        <v>194.5</v>
      </c>
      <c r="G29896" s="5">
        <v>96.9</v>
      </c>
      <c r="H29896" s="5">
        <v>96.5</v>
      </c>
      <c r="I29896" s="5">
        <v>0</v>
      </c>
      <c r="J29896" s="5">
        <v>0</v>
      </c>
      <c r="K29896" s="5">
        <v>0</v>
      </c>
    </row>
    <row r="29897" spans="1:11" x14ac:dyDescent="0.25">
      <c r="A29897" s="5">
        <f>29890</f>
      </c>
      <c r="B29897" s="5" t="s">
        <v>29905</v>
      </c>
      <c r="C29897" s="5">
        <v>95.6</v>
      </c>
      <c r="D29897" s="5">
        <v>0.1</v>
      </c>
      <c r="E29897" s="5">
        <v>95.7</v>
      </c>
      <c r="F29897" s="5">
        <v>194.5</v>
      </c>
      <c r="G29897" s="5">
        <v>96.9</v>
      </c>
      <c r="H29897" s="5">
        <v>96.5</v>
      </c>
      <c r="I29897" s="5">
        <v>0</v>
      </c>
      <c r="J29897" s="5">
        <v>0</v>
      </c>
      <c r="K29897" s="5">
        <v>0</v>
      </c>
    </row>
    <row r="29898" spans="1:11" x14ac:dyDescent="0.25">
      <c r="A29898" s="5">
        <f>29891</f>
      </c>
      <c r="B29898" s="5" t="s">
        <v>29906</v>
      </c>
      <c r="C29898" s="5">
        <v>95.1</v>
      </c>
      <c r="D29898" s="5">
        <v>0.1</v>
      </c>
      <c r="E29898" s="5">
        <v>95.2</v>
      </c>
      <c r="F29898" s="5">
        <v>189.7</v>
      </c>
      <c r="G29898" s="5">
        <v>94.6</v>
      </c>
      <c r="H29898" s="5">
        <v>94.5</v>
      </c>
      <c r="I29898" s="5">
        <v>0</v>
      </c>
      <c r="J29898" s="5">
        <v>0</v>
      </c>
      <c r="K29898" s="5">
        <v>0</v>
      </c>
    </row>
    <row r="29899" spans="1:11" x14ac:dyDescent="0.25">
      <c r="A29899" s="5">
        <f>29892</f>
      </c>
      <c r="B29899" s="5" t="s">
        <v>29907</v>
      </c>
      <c r="C29899" s="5">
        <v>95.1</v>
      </c>
      <c r="D29899" s="5">
        <v>0.1</v>
      </c>
      <c r="E29899" s="5">
        <v>95.2</v>
      </c>
      <c r="F29899" s="5">
        <v>189.7</v>
      </c>
      <c r="G29899" s="5">
        <v>94.6</v>
      </c>
      <c r="H29899" s="5">
        <v>94.5</v>
      </c>
      <c r="I29899" s="5">
        <v>0</v>
      </c>
      <c r="J29899" s="5">
        <v>0</v>
      </c>
      <c r="K29899" s="5">
        <v>0</v>
      </c>
    </row>
    <row r="29900" spans="1:11" x14ac:dyDescent="0.25">
      <c r="A29900" s="5">
        <f>29893</f>
      </c>
      <c r="B29900" s="5" t="s">
        <v>29908</v>
      </c>
      <c r="C29900" s="5">
        <v>97.1</v>
      </c>
      <c r="D29900" s="5">
        <v>0.1</v>
      </c>
      <c r="E29900" s="5">
        <v>97.3</v>
      </c>
      <c r="F29900" s="5">
        <v>199.4</v>
      </c>
      <c r="G29900" s="5">
        <v>99.5</v>
      </c>
      <c r="H29900" s="5">
        <v>99.3</v>
      </c>
      <c r="I29900" s="5">
        <v>0</v>
      </c>
      <c r="J29900" s="5">
        <v>0</v>
      </c>
      <c r="K29900" s="5">
        <v>0</v>
      </c>
    </row>
    <row r="29901" spans="1:11" x14ac:dyDescent="0.25">
      <c r="A29901" s="5">
        <f>29894</f>
      </c>
      <c r="B29901" s="5" t="s">
        <v>29909</v>
      </c>
      <c r="C29901" s="5">
        <v>97.1</v>
      </c>
      <c r="D29901" s="5">
        <v>0.1</v>
      </c>
      <c r="E29901" s="5">
        <v>97.3</v>
      </c>
      <c r="F29901" s="5">
        <v>199.4</v>
      </c>
      <c r="G29901" s="5">
        <v>99.5</v>
      </c>
      <c r="H29901" s="5">
        <v>99.3</v>
      </c>
      <c r="I29901" s="5">
        <v>0</v>
      </c>
      <c r="J29901" s="5">
        <v>0</v>
      </c>
      <c r="K29901" s="5">
        <v>0</v>
      </c>
    </row>
    <row r="29902" spans="1:11" x14ac:dyDescent="0.25">
      <c r="A29902" s="5">
        <f>29895</f>
      </c>
      <c r="B29902" s="5" t="s">
        <v>29910</v>
      </c>
      <c r="C29902" s="5">
        <v>97.1</v>
      </c>
      <c r="D29902" s="5">
        <v>0.1</v>
      </c>
      <c r="E29902" s="5">
        <v>97.3</v>
      </c>
      <c r="F29902" s="5">
        <v>199.4</v>
      </c>
      <c r="G29902" s="5">
        <v>99.5</v>
      </c>
      <c r="H29902" s="5">
        <v>99.3</v>
      </c>
      <c r="I29902" s="5">
        <v>0</v>
      </c>
      <c r="J29902" s="5">
        <v>0</v>
      </c>
      <c r="K29902" s="5">
        <v>0</v>
      </c>
    </row>
    <row r="29903" spans="1:11" x14ac:dyDescent="0.25">
      <c r="A29903" s="5">
        <f>29896</f>
      </c>
      <c r="B29903" s="5" t="s">
        <v>29911</v>
      </c>
      <c r="C29903" s="5">
        <v>97.1</v>
      </c>
      <c r="D29903" s="5">
        <v>0.1</v>
      </c>
      <c r="E29903" s="5">
        <v>97.3</v>
      </c>
      <c r="F29903" s="5">
        <v>199.4</v>
      </c>
      <c r="G29903" s="5">
        <v>85.5</v>
      </c>
      <c r="H29903" s="5">
        <v>85.5</v>
      </c>
      <c r="I29903" s="5">
        <v>0</v>
      </c>
      <c r="J29903" s="5">
        <v>0</v>
      </c>
      <c r="K29903" s="5">
        <v>0</v>
      </c>
    </row>
    <row r="29904" spans="1:11" x14ac:dyDescent="0.25">
      <c r="A29904" s="5">
        <f>29897</f>
      </c>
      <c r="B29904" s="5" t="s">
        <v>29912</v>
      </c>
      <c r="C29904" s="5">
        <v>85.2</v>
      </c>
      <c r="D29904" s="5">
        <v>0.1</v>
      </c>
      <c r="E29904" s="5">
        <v>85.3</v>
      </c>
      <c r="F29904" s="5">
        <v>171.1</v>
      </c>
      <c r="G29904" s="5">
        <v>85.5</v>
      </c>
      <c r="H29904" s="5">
        <v>85.5</v>
      </c>
      <c r="I29904" s="5">
        <v>0</v>
      </c>
      <c r="J29904" s="5">
        <v>0</v>
      </c>
      <c r="K29904" s="5">
        <v>0</v>
      </c>
    </row>
    <row r="29905" spans="1:11" x14ac:dyDescent="0.25">
      <c r="A29905" s="5">
        <f>29898</f>
      </c>
      <c r="B29905" s="5" t="s">
        <v>29913</v>
      </c>
      <c r="C29905" s="5">
        <v>85.2</v>
      </c>
      <c r="D29905" s="5">
        <v>0.1</v>
      </c>
      <c r="E29905" s="5">
        <v>85.3</v>
      </c>
      <c r="F29905" s="5">
        <v>171.1</v>
      </c>
      <c r="G29905" s="5">
        <v>85.5</v>
      </c>
      <c r="H29905" s="5">
        <v>82.8</v>
      </c>
      <c r="I29905" s="5">
        <v>0</v>
      </c>
      <c r="J29905" s="5">
        <v>0</v>
      </c>
      <c r="K29905" s="5">
        <v>0</v>
      </c>
    </row>
    <row r="29906" spans="1:11" x14ac:dyDescent="0.25">
      <c r="A29906" s="5">
        <f>29899</f>
      </c>
      <c r="B29906" s="5" t="s">
        <v>29914</v>
      </c>
      <c r="C29906" s="5">
        <v>83</v>
      </c>
      <c r="D29906" s="5">
        <v>0.1</v>
      </c>
      <c r="E29906" s="5">
        <v>83.1</v>
      </c>
      <c r="F29906" s="5">
        <v>166.3</v>
      </c>
      <c r="G29906" s="5">
        <v>82.9</v>
      </c>
      <c r="H29906" s="5">
        <v>82.8</v>
      </c>
      <c r="I29906" s="5">
        <v>0</v>
      </c>
      <c r="J29906" s="5">
        <v>0</v>
      </c>
      <c r="K29906" s="5">
        <v>0</v>
      </c>
    </row>
    <row r="29907" spans="1:11" x14ac:dyDescent="0.25">
      <c r="A29907" s="5">
        <f>29900</f>
      </c>
      <c r="B29907" s="5" t="s">
        <v>29915</v>
      </c>
      <c r="C29907" s="5">
        <v>83</v>
      </c>
      <c r="D29907" s="5">
        <v>0.1</v>
      </c>
      <c r="E29907" s="5">
        <v>83.1</v>
      </c>
      <c r="F29907" s="5">
        <v>166.3</v>
      </c>
      <c r="G29907" s="5">
        <v>82.9</v>
      </c>
      <c r="H29907" s="5">
        <v>82.8</v>
      </c>
      <c r="I29907" s="5">
        <v>0</v>
      </c>
      <c r="J29907" s="5">
        <v>0</v>
      </c>
      <c r="K29907" s="5">
        <v>0</v>
      </c>
    </row>
    <row r="29908" spans="1:11" x14ac:dyDescent="0.25">
      <c r="A29908" s="5">
        <f>29901</f>
      </c>
      <c r="B29908" s="5" t="s">
        <v>29916</v>
      </c>
      <c r="C29908" s="5">
        <v>99.1</v>
      </c>
      <c r="D29908" s="5">
        <v>0.1</v>
      </c>
      <c r="E29908" s="5">
        <v>99.2</v>
      </c>
      <c r="F29908" s="5">
        <v>179.2</v>
      </c>
      <c r="G29908" s="5">
        <v>89.7</v>
      </c>
      <c r="H29908" s="5">
        <v>90</v>
      </c>
      <c r="I29908" s="5">
        <v>0</v>
      </c>
      <c r="J29908" s="5">
        <v>0</v>
      </c>
      <c r="K29908" s="5">
        <v>0</v>
      </c>
    </row>
    <row r="29909" spans="1:11" x14ac:dyDescent="0.25">
      <c r="A29909" s="5">
        <f>29902</f>
      </c>
      <c r="B29909" s="5" t="s">
        <v>29917</v>
      </c>
      <c r="C29909" s="5">
        <v>99.1</v>
      </c>
      <c r="D29909" s="5">
        <v>0.1</v>
      </c>
      <c r="E29909" s="5">
        <v>99.2</v>
      </c>
      <c r="F29909" s="5">
        <v>179.2</v>
      </c>
      <c r="G29909" s="5">
        <v>89.7</v>
      </c>
      <c r="H29909" s="5">
        <v>90</v>
      </c>
      <c r="I29909" s="5">
        <v>0</v>
      </c>
      <c r="J29909" s="5">
        <v>0</v>
      </c>
      <c r="K29909" s="5">
        <v>0</v>
      </c>
    </row>
    <row r="29910" spans="1:11" x14ac:dyDescent="0.25">
      <c r="A29910" s="5">
        <f>29903</f>
      </c>
      <c r="B29910" s="5" t="s">
        <v>29918</v>
      </c>
      <c r="C29910" s="5">
        <v>84.9</v>
      </c>
      <c r="D29910" s="5">
        <v>0</v>
      </c>
      <c r="E29910" s="5">
        <v>85</v>
      </c>
      <c r="F29910" s="5">
        <v>177</v>
      </c>
      <c r="G29910" s="5">
        <v>87.9</v>
      </c>
      <c r="H29910" s="5">
        <v>87.5</v>
      </c>
      <c r="I29910" s="5">
        <v>0</v>
      </c>
      <c r="J29910" s="5">
        <v>0</v>
      </c>
      <c r="K29910" s="5">
        <v>0</v>
      </c>
    </row>
    <row r="29911" spans="1:11" x14ac:dyDescent="0.25">
      <c r="A29911" s="5">
        <f>29904</f>
      </c>
      <c r="B29911" s="5" t="s">
        <v>29919</v>
      </c>
      <c r="C29911" s="5">
        <v>84.9</v>
      </c>
      <c r="D29911" s="5">
        <v>0</v>
      </c>
      <c r="E29911" s="5">
        <v>85</v>
      </c>
      <c r="F29911" s="5">
        <v>177</v>
      </c>
      <c r="G29911" s="5">
        <v>87.9</v>
      </c>
      <c r="H29911" s="5">
        <v>87.5</v>
      </c>
      <c r="I29911" s="5">
        <v>0</v>
      </c>
      <c r="J29911" s="5">
        <v>0</v>
      </c>
      <c r="K29911" s="5">
        <v>0</v>
      </c>
    </row>
    <row r="29912" spans="1:11" x14ac:dyDescent="0.25">
      <c r="A29912" s="5">
        <f>29905</f>
      </c>
      <c r="B29912" s="5" t="s">
        <v>29920</v>
      </c>
      <c r="C29912" s="5">
        <v>84.9</v>
      </c>
      <c r="D29912" s="5">
        <v>0</v>
      </c>
      <c r="E29912" s="5">
        <v>85</v>
      </c>
      <c r="F29912" s="5">
        <v>177</v>
      </c>
      <c r="G29912" s="5">
        <v>87.9</v>
      </c>
      <c r="H29912" s="5">
        <v>87.5</v>
      </c>
      <c r="I29912" s="5">
        <v>0</v>
      </c>
      <c r="J29912" s="5">
        <v>0</v>
      </c>
      <c r="K29912" s="5">
        <v>0</v>
      </c>
    </row>
    <row r="29913" spans="1:11" x14ac:dyDescent="0.25">
      <c r="A29913" s="5">
        <f>29906</f>
      </c>
      <c r="B29913" s="5" t="s">
        <v>29921</v>
      </c>
      <c r="C29913" s="5">
        <v>91.3</v>
      </c>
      <c r="D29913" s="5">
        <v>0.1</v>
      </c>
      <c r="E29913" s="5">
        <v>91.3</v>
      </c>
      <c r="F29913" s="5">
        <v>183.8</v>
      </c>
      <c r="G29913" s="5">
        <v>91.6</v>
      </c>
      <c r="H29913" s="5">
        <v>91.2</v>
      </c>
      <c r="I29913" s="5">
        <v>0</v>
      </c>
      <c r="J29913" s="5">
        <v>0</v>
      </c>
      <c r="K29913" s="5">
        <v>0</v>
      </c>
    </row>
    <row r="29914" spans="1:11" x14ac:dyDescent="0.25">
      <c r="A29914" s="5">
        <f>29907</f>
      </c>
      <c r="B29914" s="5" t="s">
        <v>29922</v>
      </c>
      <c r="C29914" s="5">
        <v>91.3</v>
      </c>
      <c r="D29914" s="5">
        <v>0.1</v>
      </c>
      <c r="E29914" s="5">
        <v>91.3</v>
      </c>
      <c r="F29914" s="5">
        <v>183.8</v>
      </c>
      <c r="G29914" s="5">
        <v>91.6</v>
      </c>
      <c r="H29914" s="5">
        <v>91.2</v>
      </c>
      <c r="I29914" s="5">
        <v>0</v>
      </c>
      <c r="J29914" s="5">
        <v>0</v>
      </c>
      <c r="K29914" s="5">
        <v>0</v>
      </c>
    </row>
    <row r="29915" spans="1:11" x14ac:dyDescent="0.25">
      <c r="A29915" s="5">
        <f>29908</f>
      </c>
      <c r="B29915" s="5" t="s">
        <v>29923</v>
      </c>
      <c r="C29915" s="5">
        <v>87.1</v>
      </c>
      <c r="D29915" s="5">
        <v>0.1</v>
      </c>
      <c r="E29915" s="5">
        <v>87.1</v>
      </c>
      <c r="F29915" s="5">
        <v>181.4</v>
      </c>
      <c r="G29915" s="5">
        <v>90.1</v>
      </c>
      <c r="H29915" s="5">
        <v>89.6</v>
      </c>
      <c r="I29915" s="5">
        <v>0</v>
      </c>
      <c r="J29915" s="5">
        <v>0</v>
      </c>
      <c r="K29915" s="5">
        <v>0</v>
      </c>
    </row>
    <row r="29916" spans="1:11" x14ac:dyDescent="0.25">
      <c r="A29916" s="5">
        <f>29909</f>
      </c>
      <c r="B29916" s="5" t="s">
        <v>29924</v>
      </c>
      <c r="C29916" s="5">
        <v>87.1</v>
      </c>
      <c r="D29916" s="5">
        <v>0.1</v>
      </c>
      <c r="E29916" s="5">
        <v>87.1</v>
      </c>
      <c r="F29916" s="5">
        <v>181.4</v>
      </c>
      <c r="G29916" s="5">
        <v>90.1</v>
      </c>
      <c r="H29916" s="5">
        <v>89.6</v>
      </c>
      <c r="I29916" s="5">
        <v>0</v>
      </c>
      <c r="J29916" s="5">
        <v>0</v>
      </c>
      <c r="K29916" s="5">
        <v>0</v>
      </c>
    </row>
    <row r="29917" spans="1:11" x14ac:dyDescent="0.25">
      <c r="A29917" s="5">
        <f>29910</f>
      </c>
      <c r="B29917" s="5" t="s">
        <v>29925</v>
      </c>
      <c r="C29917" s="5">
        <v>85.2</v>
      </c>
      <c r="D29917" s="5">
        <v>0.1</v>
      </c>
      <c r="E29917" s="5">
        <v>85.4</v>
      </c>
      <c r="F29917" s="5">
        <v>170.1</v>
      </c>
      <c r="G29917" s="5">
        <v>84.8</v>
      </c>
      <c r="H29917" s="5">
        <v>84.6</v>
      </c>
      <c r="I29917" s="5">
        <v>0</v>
      </c>
      <c r="J29917" s="5">
        <v>0</v>
      </c>
      <c r="K29917" s="5">
        <v>0</v>
      </c>
    </row>
    <row r="29918" spans="1:11" x14ac:dyDescent="0.25">
      <c r="A29918" s="5">
        <f>29911</f>
      </c>
      <c r="B29918" s="5" t="s">
        <v>29926</v>
      </c>
      <c r="C29918" s="5">
        <v>85.2</v>
      </c>
      <c r="D29918" s="5">
        <v>0.1</v>
      </c>
      <c r="E29918" s="5">
        <v>85.4</v>
      </c>
      <c r="F29918" s="5">
        <v>170.1</v>
      </c>
      <c r="G29918" s="5">
        <v>84.8</v>
      </c>
      <c r="H29918" s="5">
        <v>84.6</v>
      </c>
      <c r="I29918" s="5">
        <v>0</v>
      </c>
      <c r="J29918" s="5">
        <v>0</v>
      </c>
      <c r="K29918" s="5">
        <v>0</v>
      </c>
    </row>
    <row r="29919" spans="1:11" x14ac:dyDescent="0.25">
      <c r="A29919" s="5">
        <f>29912</f>
      </c>
      <c r="B29919" s="5" t="s">
        <v>29927</v>
      </c>
      <c r="C29919" s="5">
        <v>85.2</v>
      </c>
      <c r="D29919" s="5">
        <v>0.1</v>
      </c>
      <c r="E29919" s="5">
        <v>88.1</v>
      </c>
      <c r="F29919" s="5">
        <v>179.1</v>
      </c>
      <c r="G29919" s="5">
        <v>89.1</v>
      </c>
      <c r="H29919" s="5">
        <v>88.7</v>
      </c>
      <c r="I29919" s="5">
        <v>0</v>
      </c>
      <c r="J29919" s="5">
        <v>0</v>
      </c>
      <c r="K29919" s="5">
        <v>0</v>
      </c>
    </row>
    <row r="29920" spans="1:11" x14ac:dyDescent="0.25">
      <c r="A29920" s="5">
        <f>29913</f>
      </c>
      <c r="B29920" s="5" t="s">
        <v>29928</v>
      </c>
      <c r="C29920" s="5">
        <v>87.9</v>
      </c>
      <c r="D29920" s="5">
        <v>0.1</v>
      </c>
      <c r="E29920" s="5">
        <v>88.1</v>
      </c>
      <c r="F29920" s="5">
        <v>179.1</v>
      </c>
      <c r="G29920" s="5">
        <v>89.1</v>
      </c>
      <c r="H29920" s="5">
        <v>88.7</v>
      </c>
      <c r="I29920" s="5">
        <v>0</v>
      </c>
      <c r="J29920" s="5">
        <v>0</v>
      </c>
      <c r="K29920" s="5">
        <v>0</v>
      </c>
    </row>
    <row r="29921" spans="1:11" x14ac:dyDescent="0.25">
      <c r="A29921" s="5">
        <f>29914</f>
      </c>
      <c r="B29921" s="5" t="s">
        <v>29929</v>
      </c>
      <c r="C29921" s="5">
        <v>87.9</v>
      </c>
      <c r="D29921" s="5">
        <v>0.1</v>
      </c>
      <c r="E29921" s="5">
        <v>88.1</v>
      </c>
      <c r="F29921" s="5">
        <v>179.1</v>
      </c>
      <c r="G29921" s="5">
        <v>89.1</v>
      </c>
      <c r="H29921" s="5">
        <v>88.7</v>
      </c>
      <c r="I29921" s="5">
        <v>0</v>
      </c>
      <c r="J29921" s="5">
        <v>0</v>
      </c>
      <c r="K29921" s="5">
        <v>0</v>
      </c>
    </row>
    <row r="29922" spans="1:11" x14ac:dyDescent="0.25">
      <c r="A29922" s="5">
        <f>29915</f>
      </c>
      <c r="B29922" s="5" t="s">
        <v>29930</v>
      </c>
      <c r="C29922" s="5">
        <v>87.9</v>
      </c>
      <c r="D29922" s="5">
        <v>0.1</v>
      </c>
      <c r="E29922" s="5">
        <v>88.1</v>
      </c>
      <c r="F29922" s="5">
        <v>179.1</v>
      </c>
      <c r="G29922" s="5">
        <v>89.1</v>
      </c>
      <c r="H29922" s="5">
        <v>88.7</v>
      </c>
      <c r="I29922" s="5">
        <v>0</v>
      </c>
      <c r="J29922" s="5">
        <v>0</v>
      </c>
      <c r="K29922" s="5">
        <v>0</v>
      </c>
    </row>
    <row r="29923" spans="1:11" x14ac:dyDescent="0.25">
      <c r="A29923" s="5">
        <f>29916</f>
      </c>
      <c r="B29923" s="5" t="s">
        <v>29931</v>
      </c>
      <c r="C29923" s="5">
        <v>92.8</v>
      </c>
      <c r="D29923" s="5">
        <v>0.1</v>
      </c>
      <c r="E29923" s="5">
        <v>92.9</v>
      </c>
      <c r="F29923" s="5">
        <v>181.6</v>
      </c>
      <c r="G29923" s="5">
        <v>89.7</v>
      </c>
      <c r="H29923" s="5">
        <v>89.6</v>
      </c>
      <c r="I29923" s="5">
        <v>0</v>
      </c>
      <c r="J29923" s="5">
        <v>0</v>
      </c>
      <c r="K29923" s="5">
        <v>0</v>
      </c>
    </row>
    <row r="29924" spans="1:11" x14ac:dyDescent="0.25">
      <c r="A29924" s="5">
        <f>29917</f>
      </c>
      <c r="B29924" s="5" t="s">
        <v>29932</v>
      </c>
      <c r="C29924" s="5">
        <v>92.8</v>
      </c>
      <c r="D29924" s="5">
        <v>0.1</v>
      </c>
      <c r="E29924" s="5">
        <v>92.9</v>
      </c>
      <c r="F29924" s="5">
        <v>181.6</v>
      </c>
      <c r="G29924" s="5">
        <v>89.7</v>
      </c>
      <c r="H29924" s="5">
        <v>89.6</v>
      </c>
      <c r="I29924" s="5">
        <v>0</v>
      </c>
      <c r="J29924" s="5">
        <v>0</v>
      </c>
      <c r="K29924" s="5">
        <v>0</v>
      </c>
    </row>
    <row r="29925" spans="1:11" x14ac:dyDescent="0.25">
      <c r="A29925" s="5">
        <f>29918</f>
      </c>
      <c r="B29925" s="5" t="s">
        <v>29933</v>
      </c>
      <c r="C29925" s="5">
        <v>90.2</v>
      </c>
      <c r="D29925" s="5">
        <v>0.1</v>
      </c>
      <c r="E29925" s="5">
        <v>90.3</v>
      </c>
      <c r="F29925" s="5">
        <v>179.1</v>
      </c>
      <c r="G29925" s="5">
        <v>87.9</v>
      </c>
      <c r="H29925" s="5">
        <v>87.7</v>
      </c>
      <c r="I29925" s="5">
        <v>0</v>
      </c>
      <c r="J29925" s="5">
        <v>0</v>
      </c>
      <c r="K29925" s="5">
        <v>0</v>
      </c>
    </row>
    <row r="29926" spans="1:11" x14ac:dyDescent="0.25">
      <c r="A29926" s="5">
        <f>29919</f>
      </c>
      <c r="B29926" s="5" t="s">
        <v>29934</v>
      </c>
      <c r="C29926" s="5">
        <v>90.2</v>
      </c>
      <c r="D29926" s="5">
        <v>0.1</v>
      </c>
      <c r="E29926" s="5">
        <v>90.3</v>
      </c>
      <c r="F29926" s="5">
        <v>179.1</v>
      </c>
      <c r="G29926" s="5">
        <v>87.9</v>
      </c>
      <c r="H29926" s="5">
        <v>87.7</v>
      </c>
      <c r="I29926" s="5">
        <v>0</v>
      </c>
      <c r="J29926" s="5">
        <v>0</v>
      </c>
      <c r="K29926" s="5">
        <v>0</v>
      </c>
    </row>
    <row r="29927" spans="1:11" x14ac:dyDescent="0.25">
      <c r="A29927" s="5">
        <f>29920</f>
      </c>
      <c r="B29927" s="5" t="s">
        <v>29935</v>
      </c>
      <c r="C29927" s="5">
        <v>98.6</v>
      </c>
      <c r="D29927" s="5">
        <v>0.1</v>
      </c>
      <c r="E29927" s="5">
        <v>98.7</v>
      </c>
      <c r="F29927" s="5">
        <v>192.6</v>
      </c>
      <c r="G29927" s="5">
        <v>95.1</v>
      </c>
      <c r="H29927" s="5">
        <v>95.2</v>
      </c>
      <c r="I29927" s="5">
        <v>0</v>
      </c>
      <c r="J29927" s="5">
        <v>0</v>
      </c>
      <c r="K29927" s="5">
        <v>0</v>
      </c>
    </row>
    <row r="29928" spans="1:11" x14ac:dyDescent="0.25">
      <c r="A29928" s="5">
        <f>29921</f>
      </c>
      <c r="B29928" s="5" t="s">
        <v>29936</v>
      </c>
      <c r="C29928" s="5">
        <v>98.6</v>
      </c>
      <c r="D29928" s="5">
        <v>0.1</v>
      </c>
      <c r="E29928" s="5">
        <v>98.7</v>
      </c>
      <c r="F29928" s="5">
        <v>192.6</v>
      </c>
      <c r="G29928" s="5">
        <v>95.1</v>
      </c>
      <c r="H29928" s="5">
        <v>95.2</v>
      </c>
      <c r="I29928" s="5">
        <v>0</v>
      </c>
      <c r="J29928" s="5">
        <v>0</v>
      </c>
      <c r="K29928" s="5">
        <v>0</v>
      </c>
    </row>
    <row r="29929" spans="1:11" x14ac:dyDescent="0.25">
      <c r="A29929" s="5">
        <f>29922</f>
      </c>
      <c r="B29929" s="5" t="s">
        <v>29937</v>
      </c>
      <c r="C29929" s="5">
        <v>92.3</v>
      </c>
      <c r="D29929" s="5">
        <v>0.1</v>
      </c>
      <c r="E29929" s="5">
        <v>92.5</v>
      </c>
      <c r="F29929" s="5">
        <v>184.9</v>
      </c>
      <c r="G29929" s="5">
        <v>90.6</v>
      </c>
      <c r="H29929" s="5">
        <v>90.5</v>
      </c>
      <c r="I29929" s="5">
        <v>0</v>
      </c>
      <c r="J29929" s="5">
        <v>0</v>
      </c>
      <c r="K29929" s="5">
        <v>0</v>
      </c>
    </row>
    <row r="29930" spans="1:11" x14ac:dyDescent="0.25">
      <c r="A29930" s="5">
        <f>29923</f>
      </c>
      <c r="B29930" s="5" t="s">
        <v>29938</v>
      </c>
      <c r="C29930" s="5">
        <v>92.3</v>
      </c>
      <c r="D29930" s="5">
        <v>0.1</v>
      </c>
      <c r="E29930" s="5">
        <v>92.5</v>
      </c>
      <c r="F29930" s="5">
        <v>184.9</v>
      </c>
      <c r="G29930" s="5">
        <v>90.6</v>
      </c>
      <c r="H29930" s="5">
        <v>90.5</v>
      </c>
      <c r="I29930" s="5">
        <v>0</v>
      </c>
      <c r="J29930" s="5">
        <v>0</v>
      </c>
      <c r="K29930" s="5">
        <v>0</v>
      </c>
    </row>
    <row r="29931" spans="1:11" x14ac:dyDescent="0.25">
      <c r="A29931" s="5">
        <f>29924</f>
      </c>
      <c r="B29931" s="5" t="s">
        <v>29939</v>
      </c>
      <c r="C29931" s="5">
        <v>92.3</v>
      </c>
      <c r="D29931" s="5">
        <v>0.1</v>
      </c>
      <c r="E29931" s="5">
        <v>92.5</v>
      </c>
      <c r="F29931" s="5">
        <v>184.9</v>
      </c>
      <c r="G29931" s="5">
        <v>90.6</v>
      </c>
      <c r="H29931" s="5">
        <v>90.5</v>
      </c>
      <c r="I29931" s="5">
        <v>0</v>
      </c>
      <c r="J29931" s="5">
        <v>0</v>
      </c>
      <c r="K29931" s="5">
        <v>0</v>
      </c>
    </row>
    <row r="29932" spans="1:11" x14ac:dyDescent="0.25">
      <c r="A29932" s="5">
        <f>29925</f>
      </c>
      <c r="B29932" s="5" t="s">
        <v>29940</v>
      </c>
      <c r="C29932" s="5">
        <v>92.3</v>
      </c>
      <c r="D29932" s="5">
        <v>0.1</v>
      </c>
      <c r="E29932" s="5">
        <v>92.5</v>
      </c>
      <c r="F29932" s="5">
        <v>184.9</v>
      </c>
      <c r="G29932" s="5">
        <v>90.6</v>
      </c>
      <c r="H29932" s="5">
        <v>90.5</v>
      </c>
      <c r="I29932" s="5">
        <v>0</v>
      </c>
      <c r="J29932" s="5">
        <v>0</v>
      </c>
      <c r="K29932" s="5">
        <v>0</v>
      </c>
    </row>
    <row r="29933" spans="1:11" x14ac:dyDescent="0.25">
      <c r="A29933" s="5">
        <f>29926</f>
      </c>
      <c r="B29933" s="5" t="s">
        <v>29941</v>
      </c>
      <c r="C29933" s="5">
        <v>97.6</v>
      </c>
      <c r="D29933" s="5">
        <v>0.1</v>
      </c>
      <c r="E29933" s="5">
        <v>97.7</v>
      </c>
      <c r="F29933" s="5">
        <v>194.8</v>
      </c>
      <c r="G29933" s="5">
        <v>97.2</v>
      </c>
      <c r="H29933" s="5">
        <v>97</v>
      </c>
      <c r="I29933" s="5">
        <v>0</v>
      </c>
      <c r="J29933" s="5">
        <v>0</v>
      </c>
      <c r="K29933" s="5">
        <v>0</v>
      </c>
    </row>
    <row r="29934" spans="1:11" x14ac:dyDescent="0.25">
      <c r="A29934" s="5">
        <f>29927</f>
      </c>
      <c r="B29934" s="5" t="s">
        <v>29942</v>
      </c>
      <c r="C29934" s="5">
        <v>97.6</v>
      </c>
      <c r="D29934" s="5">
        <v>0.1</v>
      </c>
      <c r="E29934" s="5">
        <v>97.7</v>
      </c>
      <c r="F29934" s="5">
        <v>194.8</v>
      </c>
      <c r="G29934" s="5">
        <v>97.2</v>
      </c>
      <c r="H29934" s="5">
        <v>97</v>
      </c>
      <c r="I29934" s="5">
        <v>0</v>
      </c>
      <c r="J29934" s="5">
        <v>0</v>
      </c>
      <c r="K29934" s="5">
        <v>0</v>
      </c>
    </row>
    <row r="29935" spans="1:11" x14ac:dyDescent="0.25">
      <c r="A29935" s="5">
        <f>29928</f>
      </c>
      <c r="B29935" s="5" t="s">
        <v>29943</v>
      </c>
      <c r="C29935" s="5">
        <v>95.4</v>
      </c>
      <c r="D29935" s="5">
        <v>0.1</v>
      </c>
      <c r="E29935" s="5">
        <v>95.6</v>
      </c>
      <c r="F29935" s="5">
        <v>188.8</v>
      </c>
      <c r="G29935" s="5">
        <v>94.3</v>
      </c>
      <c r="H29935" s="5">
        <v>94.1</v>
      </c>
      <c r="I29935" s="5">
        <v>0</v>
      </c>
      <c r="J29935" s="5">
        <v>0</v>
      </c>
      <c r="K29935" s="5">
        <v>0</v>
      </c>
    </row>
    <row r="29936" spans="1:11" x14ac:dyDescent="0.25">
      <c r="A29936" s="5">
        <f>29929</f>
      </c>
      <c r="B29936" s="5" t="s">
        <v>29944</v>
      </c>
      <c r="C29936" s="5">
        <v>95.4</v>
      </c>
      <c r="D29936" s="5">
        <v>0.1</v>
      </c>
      <c r="E29936" s="5">
        <v>95.6</v>
      </c>
      <c r="F29936" s="5">
        <v>188.8</v>
      </c>
      <c r="G29936" s="5">
        <v>94.3</v>
      </c>
      <c r="H29936" s="5">
        <v>94.1</v>
      </c>
      <c r="I29936" s="5">
        <v>0</v>
      </c>
      <c r="J29936" s="5">
        <v>0</v>
      </c>
      <c r="K29936" s="5">
        <v>0</v>
      </c>
    </row>
    <row r="29937" spans="1:11" x14ac:dyDescent="0.25">
      <c r="A29937" s="5">
        <f>29930</f>
      </c>
      <c r="B29937" s="5" t="s">
        <v>29945</v>
      </c>
      <c r="C29937" s="5">
        <v>91.6</v>
      </c>
      <c r="D29937" s="5">
        <v>0.1</v>
      </c>
      <c r="E29937" s="5">
        <v>91.7</v>
      </c>
      <c r="F29937" s="5">
        <v>182</v>
      </c>
      <c r="G29937" s="5">
        <v>90.8</v>
      </c>
      <c r="H29937" s="5">
        <v>90.7</v>
      </c>
      <c r="I29937" s="5">
        <v>0</v>
      </c>
      <c r="J29937" s="5">
        <v>0</v>
      </c>
      <c r="K29937" s="5">
        <v>0</v>
      </c>
    </row>
    <row r="29938" spans="1:11" x14ac:dyDescent="0.25">
      <c r="A29938" s="5">
        <f>29931</f>
      </c>
      <c r="B29938" s="5" t="s">
        <v>29946</v>
      </c>
      <c r="C29938" s="5">
        <v>91.6</v>
      </c>
      <c r="D29938" s="5">
        <v>0.1</v>
      </c>
      <c r="E29938" s="5">
        <v>91.7</v>
      </c>
      <c r="F29938" s="5">
        <v>182</v>
      </c>
      <c r="G29938" s="5">
        <v>90.8</v>
      </c>
      <c r="H29938" s="5">
        <v>90.7</v>
      </c>
      <c r="I29938" s="5">
        <v>0</v>
      </c>
      <c r="J29938" s="5">
        <v>0</v>
      </c>
      <c r="K29938" s="5">
        <v>0</v>
      </c>
    </row>
    <row r="29939" spans="1:11" x14ac:dyDescent="0.25">
      <c r="A29939" s="5">
        <f>29932</f>
      </c>
      <c r="B29939" s="5" t="s">
        <v>29947</v>
      </c>
      <c r="C29939" s="5">
        <v>89</v>
      </c>
      <c r="D29939" s="5">
        <v>0.1</v>
      </c>
      <c r="E29939" s="5">
        <v>89.1</v>
      </c>
      <c r="F29939" s="5">
        <v>184.5</v>
      </c>
      <c r="G29939" s="5">
        <v>91.7</v>
      </c>
      <c r="H29939" s="5">
        <v>91.2</v>
      </c>
      <c r="I29939" s="5">
        <v>0</v>
      </c>
      <c r="J29939" s="5">
        <v>0</v>
      </c>
      <c r="K29939" s="5">
        <v>0</v>
      </c>
    </row>
    <row r="29940" spans="1:11" x14ac:dyDescent="0.25">
      <c r="A29940" s="5">
        <f>29933</f>
      </c>
      <c r="B29940" s="5" t="s">
        <v>29948</v>
      </c>
      <c r="C29940" s="5">
        <v>89</v>
      </c>
      <c r="D29940" s="5">
        <v>0.1</v>
      </c>
      <c r="E29940" s="5">
        <v>89.1</v>
      </c>
      <c r="F29940" s="5">
        <v>184.5</v>
      </c>
      <c r="G29940" s="5">
        <v>91.7</v>
      </c>
      <c r="H29940" s="5">
        <v>91.2</v>
      </c>
      <c r="I29940" s="5">
        <v>0</v>
      </c>
      <c r="J29940" s="5">
        <v>0</v>
      </c>
      <c r="K29940" s="5">
        <v>0</v>
      </c>
    </row>
    <row r="29941" spans="1:11" x14ac:dyDescent="0.25">
      <c r="A29941" s="5">
        <f>29934</f>
      </c>
      <c r="B29941" s="5" t="s">
        <v>29949</v>
      </c>
      <c r="C29941" s="5">
        <v>89</v>
      </c>
      <c r="D29941" s="5">
        <v>0.1</v>
      </c>
      <c r="E29941" s="5">
        <v>89.1</v>
      </c>
      <c r="F29941" s="5">
        <v>184.5</v>
      </c>
      <c r="G29941" s="5">
        <v>91.7</v>
      </c>
      <c r="H29941" s="5">
        <v>91.2</v>
      </c>
      <c r="I29941" s="5">
        <v>0</v>
      </c>
      <c r="J29941" s="5">
        <v>0</v>
      </c>
      <c r="K29941" s="5">
        <v>0</v>
      </c>
    </row>
    <row r="29942" spans="1:11" x14ac:dyDescent="0.25">
      <c r="A29942" s="5">
        <f>29935</f>
      </c>
      <c r="B29942" s="5" t="s">
        <v>29950</v>
      </c>
      <c r="C29942" s="5">
        <v>89</v>
      </c>
      <c r="D29942" s="5">
        <v>0.1</v>
      </c>
      <c r="E29942" s="5">
        <v>89.1</v>
      </c>
      <c r="F29942" s="5">
        <v>184.5</v>
      </c>
      <c r="G29942" s="5">
        <v>91.7</v>
      </c>
      <c r="H29942" s="5">
        <v>91.2</v>
      </c>
      <c r="I29942" s="5">
        <v>0</v>
      </c>
      <c r="J29942" s="5">
        <v>0</v>
      </c>
      <c r="K29942" s="5">
        <v>0</v>
      </c>
    </row>
    <row r="29943" spans="1:11" x14ac:dyDescent="0.25">
      <c r="A29943" s="5">
        <f>29936</f>
      </c>
      <c r="B29943" s="5" t="s">
        <v>29951</v>
      </c>
      <c r="C29943" s="5">
        <v>93</v>
      </c>
      <c r="D29943" s="5">
        <v>0.1</v>
      </c>
      <c r="E29943" s="5">
        <v>93.2</v>
      </c>
      <c r="F29943" s="5">
        <v>187.3</v>
      </c>
      <c r="G29943" s="5">
        <v>93.3</v>
      </c>
      <c r="H29943" s="5">
        <v>93.1</v>
      </c>
      <c r="I29943" s="5">
        <v>0</v>
      </c>
      <c r="J29943" s="5">
        <v>0</v>
      </c>
      <c r="K29943" s="5">
        <v>0</v>
      </c>
    </row>
    <row r="29944" spans="1:11" x14ac:dyDescent="0.25">
      <c r="A29944" s="5">
        <f>29937</f>
      </c>
      <c r="B29944" s="5" t="s">
        <v>29952</v>
      </c>
      <c r="C29944" s="5">
        <v>93</v>
      </c>
      <c r="D29944" s="5">
        <v>0.1</v>
      </c>
      <c r="E29944" s="5">
        <v>93.2</v>
      </c>
      <c r="F29944" s="5">
        <v>187.3</v>
      </c>
      <c r="G29944" s="5">
        <v>93.3</v>
      </c>
      <c r="H29944" s="5">
        <v>93.1</v>
      </c>
      <c r="I29944" s="5">
        <v>0</v>
      </c>
      <c r="J29944" s="5">
        <v>0</v>
      </c>
      <c r="K29944" s="5">
        <v>0</v>
      </c>
    </row>
    <row r="29945" spans="1:11" x14ac:dyDescent="0.25">
      <c r="A29945" s="5">
        <f>29938</f>
      </c>
      <c r="B29945" s="5" t="s">
        <v>29953</v>
      </c>
      <c r="C29945" s="5">
        <v>89</v>
      </c>
      <c r="D29945" s="5">
        <v>0.1</v>
      </c>
      <c r="E29945" s="5">
        <v>89.1</v>
      </c>
      <c r="F29945" s="5">
        <v>178.5</v>
      </c>
      <c r="G29945" s="5">
        <v>89.1</v>
      </c>
      <c r="H29945" s="5">
        <v>89.1</v>
      </c>
      <c r="I29945" s="5">
        <v>0</v>
      </c>
      <c r="J29945" s="5">
        <v>0</v>
      </c>
      <c r="K29945" s="5">
        <v>0</v>
      </c>
    </row>
    <row r="29946" spans="1:11" x14ac:dyDescent="0.25">
      <c r="A29946" s="5">
        <f>29939</f>
      </c>
      <c r="B29946" s="5" t="s">
        <v>29954</v>
      </c>
      <c r="C29946" s="5">
        <v>89</v>
      </c>
      <c r="D29946" s="5">
        <v>0.1</v>
      </c>
      <c r="E29946" s="5">
        <v>89.1</v>
      </c>
      <c r="F29946" s="5">
        <v>178.5</v>
      </c>
      <c r="G29946" s="5">
        <v>89.1</v>
      </c>
      <c r="H29946" s="5">
        <v>89.1</v>
      </c>
      <c r="I29946" s="5">
        <v>0</v>
      </c>
      <c r="J29946" s="5">
        <v>0</v>
      </c>
      <c r="K29946" s="5">
        <v>0</v>
      </c>
    </row>
    <row r="29947" spans="1:11" x14ac:dyDescent="0.25">
      <c r="A29947" s="5">
        <f>29940</f>
      </c>
      <c r="B29947" s="5" t="s">
        <v>29955</v>
      </c>
      <c r="C29947" s="5">
        <v>98</v>
      </c>
      <c r="D29947" s="5">
        <v>0.1</v>
      </c>
      <c r="E29947" s="5">
        <v>98.2</v>
      </c>
      <c r="F29947" s="5">
        <v>197.8</v>
      </c>
      <c r="G29947" s="5">
        <v>98.7</v>
      </c>
      <c r="H29947" s="5">
        <v>98.6</v>
      </c>
      <c r="I29947" s="5">
        <v>0</v>
      </c>
      <c r="J29947" s="5">
        <v>0</v>
      </c>
      <c r="K29947" s="5">
        <v>0</v>
      </c>
    </row>
    <row r="29948" spans="1:11" x14ac:dyDescent="0.25">
      <c r="A29948" s="5">
        <f>29941</f>
      </c>
      <c r="B29948" s="5" t="s">
        <v>29956</v>
      </c>
      <c r="C29948" s="5">
        <v>98</v>
      </c>
      <c r="D29948" s="5">
        <v>0.1</v>
      </c>
      <c r="E29948" s="5">
        <v>98.2</v>
      </c>
      <c r="F29948" s="5">
        <v>197.8</v>
      </c>
      <c r="G29948" s="5">
        <v>98.7</v>
      </c>
      <c r="H29948" s="5">
        <v>98.6</v>
      </c>
      <c r="I29948" s="5">
        <v>0</v>
      </c>
      <c r="J29948" s="5">
        <v>0</v>
      </c>
      <c r="K29948" s="5">
        <v>0</v>
      </c>
    </row>
    <row r="29949" spans="1:11" x14ac:dyDescent="0.25">
      <c r="A29949" s="5">
        <f>29942</f>
      </c>
      <c r="B29949" s="5" t="s">
        <v>29957</v>
      </c>
      <c r="C29949" s="5">
        <v>92.2</v>
      </c>
      <c r="D29949" s="5">
        <v>0.1</v>
      </c>
      <c r="E29949" s="5">
        <v>92.4</v>
      </c>
      <c r="F29949" s="5">
        <v>185.3</v>
      </c>
      <c r="G29949" s="5">
        <v>92.3</v>
      </c>
      <c r="H29949" s="5">
        <v>92.1</v>
      </c>
      <c r="I29949" s="5">
        <v>0</v>
      </c>
      <c r="J29949" s="5">
        <v>0</v>
      </c>
      <c r="K29949" s="5">
        <v>0</v>
      </c>
    </row>
    <row r="29950" spans="1:11" x14ac:dyDescent="0.25">
      <c r="A29950" s="5">
        <f>29943</f>
      </c>
      <c r="B29950" s="5" t="s">
        <v>29958</v>
      </c>
      <c r="C29950" s="5">
        <v>92.2</v>
      </c>
      <c r="D29950" s="5">
        <v>0.1</v>
      </c>
      <c r="E29950" s="5">
        <v>92.4</v>
      </c>
      <c r="F29950" s="5">
        <v>185.3</v>
      </c>
      <c r="G29950" s="5">
        <v>92.3</v>
      </c>
      <c r="H29950" s="5">
        <v>92.1</v>
      </c>
      <c r="I29950" s="5">
        <v>0</v>
      </c>
      <c r="J29950" s="5">
        <v>0</v>
      </c>
      <c r="K29950" s="5">
        <v>0</v>
      </c>
    </row>
    <row r="29951" spans="1:11" x14ac:dyDescent="0.25">
      <c r="A29951" s="5">
        <f>29944</f>
      </c>
      <c r="B29951" s="5" t="s">
        <v>29959</v>
      </c>
      <c r="C29951" s="5">
        <v>92.2</v>
      </c>
      <c r="D29951" s="5">
        <v>0.1</v>
      </c>
      <c r="E29951" s="5">
        <v>92.4</v>
      </c>
      <c r="F29951" s="5">
        <v>185.3</v>
      </c>
      <c r="G29951" s="5">
        <v>92.3</v>
      </c>
      <c r="H29951" s="5">
        <v>92.1</v>
      </c>
      <c r="I29951" s="5">
        <v>0</v>
      </c>
      <c r="J29951" s="5">
        <v>0</v>
      </c>
      <c r="K29951" s="5">
        <v>0</v>
      </c>
    </row>
    <row r="29952" spans="1:11" x14ac:dyDescent="0.25">
      <c r="A29952" s="5">
        <f>29945</f>
      </c>
      <c r="B29952" s="5" t="s">
        <v>29960</v>
      </c>
      <c r="C29952" s="5">
        <v>92.2</v>
      </c>
      <c r="D29952" s="5">
        <v>0.1</v>
      </c>
      <c r="E29952" s="5">
        <v>92.4</v>
      </c>
      <c r="F29952" s="5">
        <v>185.3</v>
      </c>
      <c r="G29952" s="5">
        <v>92.3</v>
      </c>
      <c r="H29952" s="5">
        <v>92.1</v>
      </c>
      <c r="I29952" s="5">
        <v>0</v>
      </c>
      <c r="J29952" s="5">
        <v>0</v>
      </c>
      <c r="K29952" s="5">
        <v>0</v>
      </c>
    </row>
    <row r="29953" spans="1:11" x14ac:dyDescent="0.25">
      <c r="A29953" s="5">
        <f>29946</f>
      </c>
      <c r="B29953" s="5" t="s">
        <v>29961</v>
      </c>
      <c r="C29953" s="5">
        <v>95.9</v>
      </c>
      <c r="D29953" s="5">
        <v>0.1</v>
      </c>
      <c r="E29953" s="5">
        <v>96</v>
      </c>
      <c r="F29953" s="5">
        <v>191.6</v>
      </c>
      <c r="G29953" s="5">
        <v>95.6</v>
      </c>
      <c r="H29953" s="5">
        <v>95.4</v>
      </c>
      <c r="I29953" s="5">
        <v>0</v>
      </c>
      <c r="J29953" s="5">
        <v>0</v>
      </c>
      <c r="K29953" s="5">
        <v>0</v>
      </c>
    </row>
    <row r="29954" spans="1:11" x14ac:dyDescent="0.25">
      <c r="A29954" s="5">
        <f>29947</f>
      </c>
      <c r="B29954" s="5" t="s">
        <v>29962</v>
      </c>
      <c r="C29954" s="5">
        <v>95.9</v>
      </c>
      <c r="D29954" s="5">
        <v>0.1</v>
      </c>
      <c r="E29954" s="5">
        <v>96</v>
      </c>
      <c r="F29954" s="5">
        <v>191.6</v>
      </c>
      <c r="G29954" s="5">
        <v>95.6</v>
      </c>
      <c r="H29954" s="5">
        <v>95.4</v>
      </c>
      <c r="I29954" s="5">
        <v>0</v>
      </c>
      <c r="J29954" s="5">
        <v>0</v>
      </c>
      <c r="K29954" s="5">
        <v>0</v>
      </c>
    </row>
    <row r="29955" spans="1:11" x14ac:dyDescent="0.25">
      <c r="A29955" s="5">
        <f>29948</f>
      </c>
      <c r="B29955" s="5" t="s">
        <v>29963</v>
      </c>
      <c r="C29955" s="5">
        <v>97.3</v>
      </c>
      <c r="D29955" s="5">
        <v>0.1</v>
      </c>
      <c r="E29955" s="5">
        <v>97.4</v>
      </c>
      <c r="F29955" s="5">
        <v>193.8</v>
      </c>
      <c r="G29955" s="5">
        <v>96.7</v>
      </c>
      <c r="H29955" s="5">
        <v>96.6</v>
      </c>
      <c r="I29955" s="5">
        <v>0</v>
      </c>
      <c r="J29955" s="5">
        <v>0</v>
      </c>
      <c r="K29955" s="5">
        <v>0</v>
      </c>
    </row>
    <row r="29956" spans="1:11" x14ac:dyDescent="0.25">
      <c r="A29956" s="5">
        <f>29949</f>
      </c>
      <c r="B29956" s="5" t="s">
        <v>29964</v>
      </c>
      <c r="C29956" s="5">
        <v>97.3</v>
      </c>
      <c r="D29956" s="5">
        <v>0.1</v>
      </c>
      <c r="E29956" s="5">
        <v>97.4</v>
      </c>
      <c r="F29956" s="5">
        <v>193.8</v>
      </c>
      <c r="G29956" s="5">
        <v>96.7</v>
      </c>
      <c r="H29956" s="5">
        <v>96.6</v>
      </c>
      <c r="I29956" s="5">
        <v>0</v>
      </c>
      <c r="J29956" s="5">
        <v>0</v>
      </c>
      <c r="K29956" s="5">
        <v>0</v>
      </c>
    </row>
    <row r="29957" spans="1:11" x14ac:dyDescent="0.25">
      <c r="A29957" s="5">
        <f>29950</f>
      </c>
      <c r="B29957" s="5" t="s">
        <v>29965</v>
      </c>
      <c r="C29957" s="5">
        <v>96.4</v>
      </c>
      <c r="D29957" s="5">
        <v>0.1</v>
      </c>
      <c r="E29957" s="5">
        <v>96.5</v>
      </c>
      <c r="F29957" s="5">
        <v>193</v>
      </c>
      <c r="G29957" s="5">
        <v>96.3</v>
      </c>
      <c r="H29957" s="5">
        <v>96.1</v>
      </c>
      <c r="I29957" s="5">
        <v>0</v>
      </c>
      <c r="J29957" s="5">
        <v>0</v>
      </c>
      <c r="K29957" s="5">
        <v>0</v>
      </c>
    </row>
    <row r="29958" spans="1:11" x14ac:dyDescent="0.25">
      <c r="A29958" s="5">
        <f>29951</f>
      </c>
      <c r="B29958" s="5" t="s">
        <v>29966</v>
      </c>
      <c r="C29958" s="5">
        <v>96.4</v>
      </c>
      <c r="D29958" s="5">
        <v>0.1</v>
      </c>
      <c r="E29958" s="5">
        <v>96.5</v>
      </c>
      <c r="F29958" s="5">
        <v>193</v>
      </c>
      <c r="G29958" s="5">
        <v>96.3</v>
      </c>
      <c r="H29958" s="5">
        <v>96.1</v>
      </c>
      <c r="I29958" s="5">
        <v>0</v>
      </c>
      <c r="J29958" s="5">
        <v>0</v>
      </c>
      <c r="K29958" s="5">
        <v>0</v>
      </c>
    </row>
    <row r="29959" spans="1:11" x14ac:dyDescent="0.25">
      <c r="A29959" s="5">
        <f>29952</f>
      </c>
      <c r="B29959" s="5" t="s">
        <v>29967</v>
      </c>
      <c r="C29959" s="5">
        <v>94.2</v>
      </c>
      <c r="D29959" s="5">
        <v>0.1</v>
      </c>
      <c r="E29959" s="5">
        <v>94.4</v>
      </c>
      <c r="F29959" s="5">
        <v>194.8</v>
      </c>
      <c r="G29959" s="5">
        <v>96.8</v>
      </c>
      <c r="H29959" s="5">
        <v>96.3</v>
      </c>
      <c r="I29959" s="5">
        <v>0</v>
      </c>
      <c r="J29959" s="5">
        <v>0</v>
      </c>
      <c r="K29959" s="5">
        <v>0</v>
      </c>
    </row>
    <row r="29960" spans="1:11" x14ac:dyDescent="0.25">
      <c r="A29960" s="5">
        <f>29953</f>
      </c>
      <c r="B29960" s="5" t="s">
        <v>29968</v>
      </c>
      <c r="C29960" s="5">
        <v>94.2</v>
      </c>
      <c r="D29960" s="5">
        <v>0.1</v>
      </c>
      <c r="E29960" s="5">
        <v>94.4</v>
      </c>
      <c r="F29960" s="5">
        <v>194.8</v>
      </c>
      <c r="G29960" s="5">
        <v>96.8</v>
      </c>
      <c r="H29960" s="5">
        <v>96.3</v>
      </c>
      <c r="I29960" s="5">
        <v>0</v>
      </c>
      <c r="J29960" s="5">
        <v>0</v>
      </c>
      <c r="K29960" s="5">
        <v>0</v>
      </c>
    </row>
    <row r="29961" spans="1:11" x14ac:dyDescent="0.25">
      <c r="A29961" s="5">
        <f>29954</f>
      </c>
      <c r="B29961" s="5" t="s">
        <v>29969</v>
      </c>
      <c r="C29961" s="5">
        <v>94.2</v>
      </c>
      <c r="D29961" s="5">
        <v>0.1</v>
      </c>
      <c r="E29961" s="5">
        <v>94.4</v>
      </c>
      <c r="F29961" s="5">
        <v>194.8</v>
      </c>
      <c r="G29961" s="5">
        <v>96.8</v>
      </c>
      <c r="H29961" s="5">
        <v>96.3</v>
      </c>
      <c r="I29961" s="5">
        <v>0</v>
      </c>
      <c r="J29961" s="5">
        <v>0</v>
      </c>
      <c r="K29961" s="5">
        <v>0</v>
      </c>
    </row>
    <row r="29962" spans="1:11" x14ac:dyDescent="0.25">
      <c r="A29962" s="5">
        <f>29955</f>
      </c>
      <c r="B29962" s="5" t="s">
        <v>29970</v>
      </c>
      <c r="C29962" s="5">
        <v>94.2</v>
      </c>
      <c r="D29962" s="5">
        <v>0.1</v>
      </c>
      <c r="E29962" s="5">
        <v>94.4</v>
      </c>
      <c r="F29962" s="5">
        <v>194.8</v>
      </c>
      <c r="G29962" s="5">
        <v>96.8</v>
      </c>
      <c r="H29962" s="5">
        <v>96.3</v>
      </c>
      <c r="I29962" s="5">
        <v>0</v>
      </c>
      <c r="J29962" s="5">
        <v>0</v>
      </c>
      <c r="K29962" s="5">
        <v>0</v>
      </c>
    </row>
    <row r="29963" spans="1:11" x14ac:dyDescent="0.25">
      <c r="A29963" s="5">
        <f>29956</f>
      </c>
      <c r="B29963" s="5" t="s">
        <v>29971</v>
      </c>
      <c r="C29963" s="5">
        <v>92.4</v>
      </c>
      <c r="D29963" s="5">
        <v>0.1</v>
      </c>
      <c r="E29963" s="5">
        <v>92.5</v>
      </c>
      <c r="F29963" s="5">
        <v>182.2</v>
      </c>
      <c r="G29963" s="5">
        <v>90.9</v>
      </c>
      <c r="H29963" s="5">
        <v>90.9</v>
      </c>
      <c r="I29963" s="5">
        <v>0</v>
      </c>
      <c r="J29963" s="5">
        <v>0</v>
      </c>
      <c r="K29963" s="5">
        <v>0</v>
      </c>
    </row>
    <row r="29964" spans="1:11" x14ac:dyDescent="0.25">
      <c r="A29964" s="5">
        <f>29957</f>
      </c>
      <c r="B29964" s="5" t="s">
        <v>29972</v>
      </c>
      <c r="C29964" s="5">
        <v>92.4</v>
      </c>
      <c r="D29964" s="5">
        <v>0.1</v>
      </c>
      <c r="E29964" s="5">
        <v>92.5</v>
      </c>
      <c r="F29964" s="5">
        <v>182.2</v>
      </c>
      <c r="G29964" s="5">
        <v>90.9</v>
      </c>
      <c r="H29964" s="5">
        <v>90.9</v>
      </c>
      <c r="I29964" s="5">
        <v>0</v>
      </c>
      <c r="J29964" s="5">
        <v>0</v>
      </c>
      <c r="K29964" s="5">
        <v>0</v>
      </c>
    </row>
    <row r="29965" spans="1:11" x14ac:dyDescent="0.25">
      <c r="A29965" s="5">
        <f>29958</f>
      </c>
      <c r="B29965" s="5" t="s">
        <v>29973</v>
      </c>
      <c r="C29965" s="5">
        <v>91.6</v>
      </c>
      <c r="D29965" s="5">
        <v>0.1</v>
      </c>
      <c r="E29965" s="5">
        <v>91.6</v>
      </c>
      <c r="F29965" s="5">
        <v>184.4</v>
      </c>
      <c r="G29965" s="5">
        <v>91.9</v>
      </c>
      <c r="H29965" s="5">
        <v>91.7</v>
      </c>
      <c r="I29965" s="5">
        <v>0</v>
      </c>
      <c r="J29965" s="5">
        <v>0</v>
      </c>
      <c r="K29965" s="5">
        <v>0</v>
      </c>
    </row>
    <row r="29966" spans="1:11" x14ac:dyDescent="0.25">
      <c r="A29966" s="5">
        <f>29959</f>
      </c>
      <c r="B29966" s="5" t="s">
        <v>29974</v>
      </c>
      <c r="C29966" s="5">
        <v>91.6</v>
      </c>
      <c r="D29966" s="5">
        <v>0.1</v>
      </c>
      <c r="E29966" s="5">
        <v>91.6</v>
      </c>
      <c r="F29966" s="5">
        <v>184.4</v>
      </c>
      <c r="G29966" s="5">
        <v>91.9</v>
      </c>
      <c r="H29966" s="5">
        <v>91.7</v>
      </c>
      <c r="I29966" s="5">
        <v>0</v>
      </c>
      <c r="J29966" s="5">
        <v>0</v>
      </c>
      <c r="K29966" s="5">
        <v>0</v>
      </c>
    </row>
    <row r="29967" spans="1:11" x14ac:dyDescent="0.25">
      <c r="A29967" s="5">
        <f>29960</f>
      </c>
      <c r="B29967" s="5" t="s">
        <v>29975</v>
      </c>
      <c r="C29967" s="5">
        <v>88.2</v>
      </c>
      <c r="D29967" s="5">
        <v>0.1</v>
      </c>
      <c r="E29967" s="5">
        <v>88.4</v>
      </c>
      <c r="F29967" s="5">
        <v>178</v>
      </c>
      <c r="G29967" s="5">
        <v>88.7</v>
      </c>
      <c r="H29967" s="5">
        <v>88.5</v>
      </c>
      <c r="I29967" s="5">
        <v>0</v>
      </c>
      <c r="J29967" s="5">
        <v>0</v>
      </c>
      <c r="K29967" s="5">
        <v>0</v>
      </c>
    </row>
    <row r="29968" spans="1:11" x14ac:dyDescent="0.25">
      <c r="A29968" s="5">
        <f>29961</f>
      </c>
      <c r="B29968" s="5" t="s">
        <v>29976</v>
      </c>
      <c r="C29968" s="5">
        <v>88.2</v>
      </c>
      <c r="D29968" s="5">
        <v>0.1</v>
      </c>
      <c r="E29968" s="5">
        <v>88.4</v>
      </c>
      <c r="F29968" s="5">
        <v>178</v>
      </c>
      <c r="G29968" s="5">
        <v>88.7</v>
      </c>
      <c r="H29968" s="5">
        <v>88.5</v>
      </c>
      <c r="I29968" s="5">
        <v>0</v>
      </c>
      <c r="J29968" s="5">
        <v>0</v>
      </c>
      <c r="K29968" s="5">
        <v>0</v>
      </c>
    </row>
    <row r="29969" spans="1:11" x14ac:dyDescent="0.25">
      <c r="A29969" s="5">
        <f>29962</f>
      </c>
      <c r="B29969" s="5" t="s">
        <v>29977</v>
      </c>
      <c r="C29969" s="5">
        <v>99.6</v>
      </c>
      <c r="D29969" s="5">
        <v>0.1</v>
      </c>
      <c r="E29969" s="5">
        <v>99.8</v>
      </c>
      <c r="F29969" s="5">
        <v>199</v>
      </c>
      <c r="G29969" s="5">
        <v>99.3</v>
      </c>
      <c r="H29969" s="5">
        <v>99.1</v>
      </c>
      <c r="I29969" s="5">
        <v>0</v>
      </c>
      <c r="J29969" s="5">
        <v>0</v>
      </c>
      <c r="K29969" s="5">
        <v>0</v>
      </c>
    </row>
    <row r="29970" spans="1:11" x14ac:dyDescent="0.25">
      <c r="A29970" s="5">
        <f>29963</f>
      </c>
      <c r="B29970" s="5" t="s">
        <v>29978</v>
      </c>
      <c r="C29970" s="5">
        <v>99.6</v>
      </c>
      <c r="D29970" s="5">
        <v>0.1</v>
      </c>
      <c r="E29970" s="5">
        <v>99.8</v>
      </c>
      <c r="F29970" s="5">
        <v>199</v>
      </c>
      <c r="G29970" s="5">
        <v>99.3</v>
      </c>
      <c r="H29970" s="5">
        <v>99.1</v>
      </c>
      <c r="I29970" s="5">
        <v>0</v>
      </c>
      <c r="J29970" s="5">
        <v>0</v>
      </c>
      <c r="K29970" s="5">
        <v>0</v>
      </c>
    </row>
    <row r="29971" spans="1:11" x14ac:dyDescent="0.25">
      <c r="A29971" s="5">
        <f>29964</f>
      </c>
      <c r="B29971" s="5" t="s">
        <v>29979</v>
      </c>
      <c r="C29971" s="5">
        <v>99.6</v>
      </c>
      <c r="D29971" s="5">
        <v>0.1</v>
      </c>
      <c r="E29971" s="5">
        <v>99.8</v>
      </c>
      <c r="F29971" s="5">
        <v>199</v>
      </c>
      <c r="G29971" s="5">
        <v>99.3</v>
      </c>
      <c r="H29971" s="5">
        <v>99.1</v>
      </c>
      <c r="I29971" s="5">
        <v>0</v>
      </c>
      <c r="J29971" s="5">
        <v>0</v>
      </c>
      <c r="K29971" s="5">
        <v>0</v>
      </c>
    </row>
    <row r="29972" spans="1:11" x14ac:dyDescent="0.25">
      <c r="A29972" s="5">
        <f>29965</f>
      </c>
      <c r="B29972" s="5" t="s">
        <v>29980</v>
      </c>
      <c r="C29972" s="5">
        <v>99.6</v>
      </c>
      <c r="D29972" s="5">
        <v>0.1</v>
      </c>
      <c r="E29972" s="5">
        <v>99.8</v>
      </c>
      <c r="F29972" s="5">
        <v>199</v>
      </c>
      <c r="G29972" s="5">
        <v>99.3</v>
      </c>
      <c r="H29972" s="5">
        <v>99.1</v>
      </c>
      <c r="I29972" s="5">
        <v>0</v>
      </c>
      <c r="J29972" s="5">
        <v>0</v>
      </c>
      <c r="K29972" s="5">
        <v>0</v>
      </c>
    </row>
    <row r="29973" spans="1:11" x14ac:dyDescent="0.25">
      <c r="A29973" s="5">
        <f>29966</f>
      </c>
      <c r="B29973" s="5" t="s">
        <v>29981</v>
      </c>
      <c r="C29973" s="5">
        <v>90.2</v>
      </c>
      <c r="D29973" s="5">
        <v>0.1</v>
      </c>
      <c r="E29973" s="5">
        <v>90.3</v>
      </c>
      <c r="F29973" s="5">
        <v>181.7</v>
      </c>
      <c r="G29973" s="5">
        <v>90.5</v>
      </c>
      <c r="H29973" s="5">
        <v>90.2</v>
      </c>
      <c r="I29973" s="5">
        <v>0</v>
      </c>
      <c r="J29973" s="5">
        <v>0</v>
      </c>
      <c r="K29973" s="5">
        <v>0</v>
      </c>
    </row>
    <row r="29974" spans="1:11" x14ac:dyDescent="0.25">
      <c r="A29974" s="5">
        <f>29967</f>
      </c>
      <c r="B29974" s="5" t="s">
        <v>29982</v>
      </c>
      <c r="C29974" s="5">
        <v>90.2</v>
      </c>
      <c r="D29974" s="5">
        <v>0.1</v>
      </c>
      <c r="E29974" s="5">
        <v>90.3</v>
      </c>
      <c r="F29974" s="5">
        <v>181.7</v>
      </c>
      <c r="G29974" s="5">
        <v>90.5</v>
      </c>
      <c r="H29974" s="5">
        <v>90.2</v>
      </c>
      <c r="I29974" s="5">
        <v>0</v>
      </c>
      <c r="J29974" s="5">
        <v>0</v>
      </c>
      <c r="K29974" s="5">
        <v>0</v>
      </c>
    </row>
    <row r="29975" spans="1:11" x14ac:dyDescent="0.25">
      <c r="A29975" s="5">
        <f>29968</f>
      </c>
      <c r="B29975" s="5" t="s">
        <v>29983</v>
      </c>
      <c r="C29975" s="5">
        <v>92.7</v>
      </c>
      <c r="D29975" s="5">
        <v>0.1</v>
      </c>
      <c r="E29975" s="5">
        <v>92.8</v>
      </c>
      <c r="F29975" s="5">
        <v>185</v>
      </c>
      <c r="G29975" s="5">
        <v>92.3</v>
      </c>
      <c r="H29975" s="5">
        <v>92.2</v>
      </c>
      <c r="I29975" s="5">
        <v>0</v>
      </c>
      <c r="J29975" s="5">
        <v>0</v>
      </c>
      <c r="K29975" s="5">
        <v>0</v>
      </c>
    </row>
    <row r="29976" spans="1:11" x14ac:dyDescent="0.25">
      <c r="A29976" s="5">
        <f>29969</f>
      </c>
      <c r="B29976" s="5" t="s">
        <v>29984</v>
      </c>
      <c r="C29976" s="5">
        <v>92.7</v>
      </c>
      <c r="D29976" s="5">
        <v>0.1</v>
      </c>
      <c r="E29976" s="5">
        <v>92.8</v>
      </c>
      <c r="F29976" s="5">
        <v>185</v>
      </c>
      <c r="G29976" s="5">
        <v>92.3</v>
      </c>
      <c r="H29976" s="5">
        <v>92.2</v>
      </c>
      <c r="I29976" s="5">
        <v>0</v>
      </c>
      <c r="J29976" s="5">
        <v>0</v>
      </c>
      <c r="K29976" s="5">
        <v>0</v>
      </c>
    </row>
    <row r="29977" spans="1:11" x14ac:dyDescent="0.25">
      <c r="A29977" s="5">
        <f>29970</f>
      </c>
      <c r="B29977" s="5" t="s">
        <v>29985</v>
      </c>
      <c r="C29977" s="5">
        <v>89.5</v>
      </c>
      <c r="D29977" s="5">
        <v>0.1</v>
      </c>
      <c r="E29977" s="5">
        <v>89.7</v>
      </c>
      <c r="F29977" s="5">
        <v>176.1</v>
      </c>
      <c r="G29977" s="5">
        <v>87.9</v>
      </c>
      <c r="H29977" s="5">
        <v>87.8</v>
      </c>
      <c r="I29977" s="5">
        <v>0</v>
      </c>
      <c r="J29977" s="5">
        <v>0</v>
      </c>
      <c r="K29977" s="5">
        <v>0</v>
      </c>
    </row>
    <row r="29978" spans="1:11" x14ac:dyDescent="0.25">
      <c r="A29978" s="5">
        <f>29971</f>
      </c>
      <c r="B29978" s="5" t="s">
        <v>29986</v>
      </c>
      <c r="C29978" s="5">
        <v>89.5</v>
      </c>
      <c r="D29978" s="5">
        <v>0.1</v>
      </c>
      <c r="E29978" s="5">
        <v>89.7</v>
      </c>
      <c r="F29978" s="5">
        <v>176.1</v>
      </c>
      <c r="G29978" s="5">
        <v>87.9</v>
      </c>
      <c r="H29978" s="5">
        <v>87.8</v>
      </c>
      <c r="I29978" s="5">
        <v>0</v>
      </c>
      <c r="J29978" s="5">
        <v>0</v>
      </c>
      <c r="K29978" s="5">
        <v>0</v>
      </c>
    </row>
    <row r="29979" spans="1:11" x14ac:dyDescent="0.25">
      <c r="A29979" s="5">
        <f>29972</f>
      </c>
      <c r="B29979" s="5" t="s">
        <v>29987</v>
      </c>
      <c r="C29979" s="5">
        <v>99.7</v>
      </c>
      <c r="D29979" s="5">
        <v>0.1</v>
      </c>
      <c r="E29979" s="5">
        <v>99.9</v>
      </c>
      <c r="F29979" s="5">
        <v>197.9</v>
      </c>
      <c r="G29979" s="5">
        <v>98.7</v>
      </c>
      <c r="H29979" s="5">
        <v>98.6</v>
      </c>
      <c r="I29979" s="5">
        <v>0</v>
      </c>
      <c r="J29979" s="5">
        <v>0</v>
      </c>
      <c r="K29979" s="5">
        <v>0</v>
      </c>
    </row>
    <row r="29980" spans="1:11" x14ac:dyDescent="0.25">
      <c r="A29980" s="5">
        <f>29973</f>
      </c>
      <c r="B29980" s="5" t="s">
        <v>29988</v>
      </c>
      <c r="C29980" s="5">
        <v>99.7</v>
      </c>
      <c r="D29980" s="5">
        <v>0.1</v>
      </c>
      <c r="E29980" s="5">
        <v>99.9</v>
      </c>
      <c r="F29980" s="5">
        <v>197.9</v>
      </c>
      <c r="G29980" s="5">
        <v>98.7</v>
      </c>
      <c r="H29980" s="5">
        <v>98.6</v>
      </c>
      <c r="I29980" s="5">
        <v>0</v>
      </c>
      <c r="J29980" s="5">
        <v>0</v>
      </c>
      <c r="K29980" s="5">
        <v>0</v>
      </c>
    </row>
    <row r="29981" spans="1:11" x14ac:dyDescent="0.25">
      <c r="A29981" s="5">
        <f>29974</f>
      </c>
      <c r="B29981" s="5" t="s">
        <v>29989</v>
      </c>
      <c r="C29981" s="5">
        <v>99.7</v>
      </c>
      <c r="D29981" s="5">
        <v>0.1</v>
      </c>
      <c r="E29981" s="5">
        <v>99.9</v>
      </c>
      <c r="F29981" s="5">
        <v>197.9</v>
      </c>
      <c r="G29981" s="5">
        <v>98.7</v>
      </c>
      <c r="H29981" s="5">
        <v>98.6</v>
      </c>
      <c r="I29981" s="5">
        <v>0</v>
      </c>
      <c r="J29981" s="5">
        <v>0</v>
      </c>
      <c r="K29981" s="5">
        <v>0</v>
      </c>
    </row>
    <row r="29982" spans="1:11" x14ac:dyDescent="0.25">
      <c r="A29982" s="5">
        <f>29975</f>
      </c>
      <c r="B29982" s="5" t="s">
        <v>29990</v>
      </c>
      <c r="C29982" s="5">
        <v>99.7</v>
      </c>
      <c r="D29982" s="5">
        <v>0.1</v>
      </c>
      <c r="E29982" s="5">
        <v>99.9</v>
      </c>
      <c r="F29982" s="5">
        <v>197.9</v>
      </c>
      <c r="G29982" s="5">
        <v>98.7</v>
      </c>
      <c r="H29982" s="5">
        <v>98.6</v>
      </c>
      <c r="I29982" s="5">
        <v>0</v>
      </c>
      <c r="J29982" s="5">
        <v>0</v>
      </c>
      <c r="K29982" s="5">
        <v>0</v>
      </c>
    </row>
    <row r="29983" spans="1:11" x14ac:dyDescent="0.25">
      <c r="A29983" s="5">
        <f>29976</f>
      </c>
      <c r="B29983" s="5" t="s">
        <v>29991</v>
      </c>
      <c r="C29983" s="5">
        <v>92.5</v>
      </c>
      <c r="D29983" s="5">
        <v>0.1</v>
      </c>
      <c r="E29983" s="5">
        <v>92.6</v>
      </c>
      <c r="F29983" s="5">
        <v>185.5</v>
      </c>
      <c r="G29983" s="5">
        <v>92.6</v>
      </c>
      <c r="H29983" s="5">
        <v>92.4</v>
      </c>
      <c r="I29983" s="5">
        <v>0</v>
      </c>
      <c r="J29983" s="5">
        <v>0</v>
      </c>
      <c r="K29983" s="5">
        <v>0</v>
      </c>
    </row>
    <row r="29984" spans="1:11" x14ac:dyDescent="0.25">
      <c r="A29984" s="5">
        <f>29977</f>
      </c>
      <c r="B29984" s="5" t="s">
        <v>29992</v>
      </c>
      <c r="C29984" s="5">
        <v>92.5</v>
      </c>
      <c r="D29984" s="5">
        <v>0.1</v>
      </c>
      <c r="E29984" s="5">
        <v>92.6</v>
      </c>
      <c r="F29984" s="5">
        <v>185.5</v>
      </c>
      <c r="G29984" s="5">
        <v>92.6</v>
      </c>
      <c r="H29984" s="5">
        <v>92.4</v>
      </c>
      <c r="I29984" s="5">
        <v>0</v>
      </c>
      <c r="J29984" s="5">
        <v>0</v>
      </c>
      <c r="K29984" s="5">
        <v>0</v>
      </c>
    </row>
    <row r="29985" spans="1:11" x14ac:dyDescent="0.25">
      <c r="A29985" s="5">
        <f>29978</f>
      </c>
      <c r="B29985" s="5" t="s">
        <v>29993</v>
      </c>
      <c r="C29985" s="5">
        <v>91.6</v>
      </c>
      <c r="D29985" s="5">
        <v>0.1</v>
      </c>
      <c r="E29985" s="5">
        <v>91.6</v>
      </c>
      <c r="F29985" s="5">
        <v>181.2</v>
      </c>
      <c r="G29985" s="5">
        <v>90.5</v>
      </c>
      <c r="H29985" s="5">
        <v>90.4</v>
      </c>
      <c r="I29985" s="5">
        <v>0</v>
      </c>
      <c r="J29985" s="5">
        <v>0</v>
      </c>
      <c r="K29985" s="5">
        <v>0</v>
      </c>
    </row>
    <row r="29986" spans="1:11" x14ac:dyDescent="0.25">
      <c r="A29986" s="5">
        <f>29979</f>
      </c>
      <c r="B29986" s="5" t="s">
        <v>29994</v>
      </c>
      <c r="C29986" s="5">
        <v>91.6</v>
      </c>
      <c r="D29986" s="5">
        <v>0.1</v>
      </c>
      <c r="E29986" s="5">
        <v>91.6</v>
      </c>
      <c r="F29986" s="5">
        <v>181.2</v>
      </c>
      <c r="G29986" s="5">
        <v>90.5</v>
      </c>
      <c r="H29986" s="5">
        <v>90.4</v>
      </c>
      <c r="I29986" s="5">
        <v>0</v>
      </c>
      <c r="J29986" s="5">
        <v>0</v>
      </c>
      <c r="K29986" s="5">
        <v>0</v>
      </c>
    </row>
    <row r="29987" spans="1:11" x14ac:dyDescent="0.25">
      <c r="A29987" s="5">
        <f>29980</f>
      </c>
      <c r="B29987" s="5" t="s">
        <v>29995</v>
      </c>
      <c r="C29987" s="5">
        <v>98</v>
      </c>
      <c r="D29987" s="5">
        <v>0.1</v>
      </c>
      <c r="E29987" s="5">
        <v>98.2</v>
      </c>
      <c r="F29987" s="5">
        <v>187.5</v>
      </c>
      <c r="G29987" s="5">
        <v>93.8</v>
      </c>
      <c r="H29987" s="5">
        <v>94</v>
      </c>
      <c r="I29987" s="5">
        <v>0</v>
      </c>
      <c r="J29987" s="5">
        <v>0</v>
      </c>
      <c r="K29987" s="5">
        <v>0</v>
      </c>
    </row>
    <row r="29988" spans="1:11" x14ac:dyDescent="0.25">
      <c r="A29988" s="5">
        <f>29981</f>
      </c>
      <c r="B29988" s="5" t="s">
        <v>29996</v>
      </c>
      <c r="C29988" s="5">
        <v>98</v>
      </c>
      <c r="D29988" s="5">
        <v>0.1</v>
      </c>
      <c r="E29988" s="5">
        <v>98.2</v>
      </c>
      <c r="F29988" s="5">
        <v>187.5</v>
      </c>
      <c r="G29988" s="5">
        <v>93.8</v>
      </c>
      <c r="H29988" s="5">
        <v>94</v>
      </c>
      <c r="I29988" s="5">
        <v>0</v>
      </c>
      <c r="J29988" s="5">
        <v>0</v>
      </c>
      <c r="K29988" s="5">
        <v>0</v>
      </c>
    </row>
    <row r="29989" spans="1:11" x14ac:dyDescent="0.25">
      <c r="A29989" s="5">
        <f>29982</f>
      </c>
      <c r="B29989" s="5" t="s">
        <v>29997</v>
      </c>
      <c r="C29989" s="5">
        <v>91.8</v>
      </c>
      <c r="D29989" s="5">
        <v>0.1</v>
      </c>
      <c r="E29989" s="5">
        <v>91.9</v>
      </c>
      <c r="F29989" s="5">
        <v>182.1</v>
      </c>
      <c r="G29989" s="5">
        <v>90.9</v>
      </c>
      <c r="H29989" s="5">
        <v>90.8</v>
      </c>
      <c r="I29989" s="5">
        <v>0</v>
      </c>
      <c r="J29989" s="5">
        <v>0</v>
      </c>
      <c r="K29989" s="5">
        <v>0</v>
      </c>
    </row>
    <row r="29990" spans="1:11" x14ac:dyDescent="0.25">
      <c r="A29990" s="5">
        <f>29983</f>
      </c>
      <c r="B29990" s="5" t="s">
        <v>29998</v>
      </c>
      <c r="C29990" s="5">
        <v>91.8</v>
      </c>
      <c r="D29990" s="5">
        <v>0.1</v>
      </c>
      <c r="E29990" s="5">
        <v>91.9</v>
      </c>
      <c r="F29990" s="5">
        <v>182.1</v>
      </c>
      <c r="G29990" s="5">
        <v>90.9</v>
      </c>
      <c r="H29990" s="5">
        <v>90.8</v>
      </c>
      <c r="I29990" s="5">
        <v>0</v>
      </c>
      <c r="J29990" s="5">
        <v>0</v>
      </c>
      <c r="K29990" s="5">
        <v>0</v>
      </c>
    </row>
    <row r="29991" spans="1:11" x14ac:dyDescent="0.25">
      <c r="A29991" s="5">
        <f>29984</f>
      </c>
      <c r="B29991" s="5" t="s">
        <v>29999</v>
      </c>
      <c r="C29991" s="5">
        <v>91.8</v>
      </c>
      <c r="D29991" s="5">
        <v>0.1</v>
      </c>
      <c r="E29991" s="5">
        <v>91.9</v>
      </c>
      <c r="F29991" s="5">
        <v>182.1</v>
      </c>
      <c r="G29991" s="5">
        <v>90.9</v>
      </c>
      <c r="H29991" s="5">
        <v>90.8</v>
      </c>
      <c r="I29991" s="5">
        <v>0</v>
      </c>
      <c r="J29991" s="5">
        <v>0</v>
      </c>
      <c r="K29991" s="5">
        <v>0</v>
      </c>
    </row>
    <row r="29992" spans="1:11" x14ac:dyDescent="0.25">
      <c r="A29992" s="5">
        <f>29985</f>
      </c>
      <c r="B29992" s="5" t="s">
        <v>30000</v>
      </c>
      <c r="C29992" s="5">
        <v>91.8</v>
      </c>
      <c r="D29992" s="5">
        <v>0.1</v>
      </c>
      <c r="E29992" s="5">
        <v>91.9</v>
      </c>
      <c r="F29992" s="5">
        <v>182.1</v>
      </c>
      <c r="G29992" s="5">
        <v>90.9</v>
      </c>
      <c r="H29992" s="5">
        <v>90.8</v>
      </c>
      <c r="I29992" s="5">
        <v>0</v>
      </c>
      <c r="J29992" s="5">
        <v>0</v>
      </c>
      <c r="K29992" s="5">
        <v>0</v>
      </c>
    </row>
    <row r="29993" spans="1:11" x14ac:dyDescent="0.25">
      <c r="A29993" s="5">
        <f>29986</f>
      </c>
      <c r="B29993" s="5" t="s">
        <v>30001</v>
      </c>
      <c r="C29993" s="5">
        <v>98.9</v>
      </c>
      <c r="D29993" s="5">
        <v>0.1</v>
      </c>
      <c r="E29993" s="5">
        <v>99</v>
      </c>
      <c r="F29993" s="5">
        <v>190.9</v>
      </c>
      <c r="G29993" s="5">
        <v>95.5</v>
      </c>
      <c r="H29993" s="5">
        <v>95.6</v>
      </c>
      <c r="I29993" s="5">
        <v>0</v>
      </c>
      <c r="J29993" s="5">
        <v>0</v>
      </c>
      <c r="K29993" s="5">
        <v>0</v>
      </c>
    </row>
    <row r="29994" spans="1:11" x14ac:dyDescent="0.25">
      <c r="A29994" s="5">
        <f>29987</f>
      </c>
      <c r="B29994" s="5" t="s">
        <v>30002</v>
      </c>
      <c r="C29994" s="5">
        <v>98.9</v>
      </c>
      <c r="D29994" s="5">
        <v>0.1</v>
      </c>
      <c r="E29994" s="5">
        <v>99</v>
      </c>
      <c r="F29994" s="5">
        <v>190.9</v>
      </c>
      <c r="G29994" s="5">
        <v>95.5</v>
      </c>
      <c r="H29994" s="5">
        <v>95.6</v>
      </c>
      <c r="I29994" s="5">
        <v>0</v>
      </c>
      <c r="J29994" s="5">
        <v>0</v>
      </c>
      <c r="K29994" s="5">
        <v>0</v>
      </c>
    </row>
    <row r="29995" spans="1:11" x14ac:dyDescent="0.25">
      <c r="A29995" s="5">
        <f>29988</f>
      </c>
      <c r="B29995" s="5" t="s">
        <v>30003</v>
      </c>
      <c r="C29995" s="5">
        <v>97.1</v>
      </c>
      <c r="D29995" s="5">
        <v>0</v>
      </c>
      <c r="E29995" s="5">
        <v>97.3</v>
      </c>
      <c r="F29995" s="5">
        <v>193.2</v>
      </c>
      <c r="G29995" s="5">
        <v>96.3</v>
      </c>
      <c r="H29995" s="5">
        <v>96.2</v>
      </c>
      <c r="I29995" s="5">
        <v>0</v>
      </c>
      <c r="J29995" s="5">
        <v>0</v>
      </c>
      <c r="K29995" s="5">
        <v>0</v>
      </c>
    </row>
    <row r="29996" spans="1:11" x14ac:dyDescent="0.25">
      <c r="A29996" s="5">
        <f>29989</f>
      </c>
      <c r="B29996" s="5" t="s">
        <v>30004</v>
      </c>
      <c r="C29996" s="5">
        <v>97.1</v>
      </c>
      <c r="D29996" s="5">
        <v>0</v>
      </c>
      <c r="E29996" s="5">
        <v>97.3</v>
      </c>
      <c r="F29996" s="5">
        <v>193.2</v>
      </c>
      <c r="G29996" s="5">
        <v>96.3</v>
      </c>
      <c r="H29996" s="5">
        <v>96.2</v>
      </c>
      <c r="I29996" s="5">
        <v>0</v>
      </c>
      <c r="J29996" s="5">
        <v>0</v>
      </c>
      <c r="K29996" s="5">
        <v>0</v>
      </c>
    </row>
    <row r="29997" spans="1:11" x14ac:dyDescent="0.25">
      <c r="A29997" s="5">
        <f>29990</f>
      </c>
      <c r="B29997" s="5" t="s">
        <v>30005</v>
      </c>
      <c r="C29997" s="5">
        <v>96.8</v>
      </c>
      <c r="D29997" s="5">
        <v>0.1</v>
      </c>
      <c r="E29997" s="5">
        <v>97</v>
      </c>
      <c r="F29997" s="5">
        <v>191.1</v>
      </c>
      <c r="G29997" s="5">
        <v>95.4</v>
      </c>
      <c r="H29997" s="5">
        <v>95.2</v>
      </c>
      <c r="I29997" s="5">
        <v>0</v>
      </c>
      <c r="J29997" s="5">
        <v>0</v>
      </c>
      <c r="K29997" s="5">
        <v>0</v>
      </c>
    </row>
    <row r="29998" spans="1:11" x14ac:dyDescent="0.25">
      <c r="A29998" s="5">
        <f>29991</f>
      </c>
      <c r="B29998" s="5" t="s">
        <v>30006</v>
      </c>
      <c r="C29998" s="5">
        <v>96.8</v>
      </c>
      <c r="D29998" s="5">
        <v>0.1</v>
      </c>
      <c r="E29998" s="5">
        <v>97</v>
      </c>
      <c r="F29998" s="5">
        <v>191.1</v>
      </c>
      <c r="G29998" s="5">
        <v>95.4</v>
      </c>
      <c r="H29998" s="5">
        <v>95.2</v>
      </c>
      <c r="I29998" s="5">
        <v>0</v>
      </c>
      <c r="J29998" s="5">
        <v>0</v>
      </c>
      <c r="K29998" s="5">
        <v>0</v>
      </c>
    </row>
    <row r="29999" spans="1:11" x14ac:dyDescent="0.25">
      <c r="A29999" s="5">
        <f>29992</f>
      </c>
      <c r="B29999" s="5" t="s">
        <v>30007</v>
      </c>
      <c r="C29999" s="5">
        <v>97</v>
      </c>
      <c r="D29999" s="5">
        <v>0.1</v>
      </c>
      <c r="E29999" s="5">
        <v>97.1</v>
      </c>
      <c r="F29999" s="5">
        <v>192.2</v>
      </c>
      <c r="G29999" s="5">
        <v>95.9</v>
      </c>
      <c r="H29999" s="5">
        <v>95.7</v>
      </c>
      <c r="I29999" s="5">
        <v>0</v>
      </c>
      <c r="J29999" s="5">
        <v>0</v>
      </c>
      <c r="K29999" s="5">
        <v>0</v>
      </c>
    </row>
    <row r="30000" spans="1:11" x14ac:dyDescent="0.25">
      <c r="A30000" s="5">
        <f>29993</f>
      </c>
      <c r="B30000" s="5" t="s">
        <v>30008</v>
      </c>
      <c r="C30000" s="5">
        <v>97</v>
      </c>
      <c r="D30000" s="5">
        <v>0.1</v>
      </c>
      <c r="E30000" s="5">
        <v>97.1</v>
      </c>
      <c r="F30000" s="5">
        <v>192.2</v>
      </c>
      <c r="G30000" s="5">
        <v>95.9</v>
      </c>
      <c r="H30000" s="5">
        <v>95.7</v>
      </c>
      <c r="I30000" s="5">
        <v>0</v>
      </c>
      <c r="J30000" s="5">
        <v>0</v>
      </c>
      <c r="K30000" s="5">
        <v>0</v>
      </c>
    </row>
    <row r="30001" spans="1:11" x14ac:dyDescent="0.25">
      <c r="A30001" s="5">
        <f>29994</f>
      </c>
      <c r="B30001" s="5" t="s">
        <v>30009</v>
      </c>
      <c r="C30001" s="5">
        <v>97</v>
      </c>
      <c r="D30001" s="5">
        <v>0.1</v>
      </c>
      <c r="E30001" s="5">
        <v>97.1</v>
      </c>
      <c r="F30001" s="5">
        <v>192.2</v>
      </c>
      <c r="G30001" s="5">
        <v>95.9</v>
      </c>
      <c r="H30001" s="5">
        <v>95.7</v>
      </c>
      <c r="I30001" s="5">
        <v>0</v>
      </c>
      <c r="J30001" s="5">
        <v>0</v>
      </c>
      <c r="K30001" s="5">
        <v>0</v>
      </c>
    </row>
    <row r="30002" spans="1:11" x14ac:dyDescent="0.25">
      <c r="A30002" s="5">
        <f>29995</f>
      </c>
      <c r="B30002" s="5" t="s">
        <v>30010</v>
      </c>
      <c r="C30002" s="5">
        <v>97</v>
      </c>
      <c r="D30002" s="5">
        <v>0.1</v>
      </c>
      <c r="E30002" s="5">
        <v>97</v>
      </c>
      <c r="F30002" s="5">
        <v>193.3</v>
      </c>
      <c r="G30002" s="5">
        <v>96.4</v>
      </c>
      <c r="H30002" s="5">
        <v>96.3</v>
      </c>
      <c r="I30002" s="5">
        <v>0</v>
      </c>
      <c r="J30002" s="5">
        <v>0</v>
      </c>
      <c r="K30002" s="5">
        <v>0</v>
      </c>
    </row>
    <row r="30003" spans="1:11" x14ac:dyDescent="0.25">
      <c r="A30003" s="5">
        <f>29996</f>
      </c>
      <c r="B30003" s="5" t="s">
        <v>30011</v>
      </c>
      <c r="C30003" s="5">
        <v>97</v>
      </c>
      <c r="D30003" s="5">
        <v>0.1</v>
      </c>
      <c r="E30003" s="5">
        <v>97</v>
      </c>
      <c r="F30003" s="5">
        <v>193.3</v>
      </c>
      <c r="G30003" s="5">
        <v>96.4</v>
      </c>
      <c r="H30003" s="5">
        <v>96.3</v>
      </c>
      <c r="I30003" s="5">
        <v>0</v>
      </c>
      <c r="J30003" s="5">
        <v>0</v>
      </c>
      <c r="K30003" s="5">
        <v>0</v>
      </c>
    </row>
    <row r="30004" spans="1:11" x14ac:dyDescent="0.25">
      <c r="A30004" s="5">
        <f>29997</f>
      </c>
      <c r="B30004" s="5" t="s">
        <v>30012</v>
      </c>
      <c r="C30004" s="5">
        <v>92.5</v>
      </c>
      <c r="D30004" s="5">
        <v>0.1</v>
      </c>
      <c r="E30004" s="5">
        <v>92.6</v>
      </c>
      <c r="F30004" s="5">
        <v>185.8</v>
      </c>
      <c r="G30004" s="5">
        <v>92.7</v>
      </c>
      <c r="H30004" s="5">
        <v>92.6</v>
      </c>
      <c r="I30004" s="5">
        <v>0</v>
      </c>
      <c r="J30004" s="5">
        <v>0</v>
      </c>
      <c r="K30004" s="5">
        <v>0</v>
      </c>
    </row>
    <row r="30005" spans="1:11" x14ac:dyDescent="0.25">
      <c r="A30005" s="5">
        <f>29998</f>
      </c>
      <c r="B30005" s="5" t="s">
        <v>30013</v>
      </c>
      <c r="C30005" s="5">
        <v>92.5</v>
      </c>
      <c r="D30005" s="5">
        <v>0.1</v>
      </c>
      <c r="E30005" s="5">
        <v>92.6</v>
      </c>
      <c r="F30005" s="5">
        <v>185.8</v>
      </c>
      <c r="G30005" s="5">
        <v>92.7</v>
      </c>
      <c r="H30005" s="5">
        <v>92.6</v>
      </c>
      <c r="I30005" s="5">
        <v>0</v>
      </c>
      <c r="J30005" s="5">
        <v>0</v>
      </c>
      <c r="K30005" s="5">
        <v>0</v>
      </c>
    </row>
    <row r="30006" spans="1:11" x14ac:dyDescent="0.25">
      <c r="A30006" s="5">
        <f>29999</f>
      </c>
      <c r="B30006" s="5" t="s">
        <v>30014</v>
      </c>
      <c r="C30006" s="5">
        <v>86.5</v>
      </c>
      <c r="D30006" s="5">
        <v>0.1</v>
      </c>
      <c r="E30006" s="5">
        <v>86.6</v>
      </c>
      <c r="F30006" s="5">
        <v>174.5</v>
      </c>
      <c r="G30006" s="5">
        <v>86.9</v>
      </c>
      <c r="H30006" s="5">
        <v>86.7</v>
      </c>
      <c r="I30006" s="5">
        <v>0</v>
      </c>
      <c r="J30006" s="5">
        <v>0</v>
      </c>
      <c r="K30006" s="5">
        <v>0</v>
      </c>
    </row>
    <row r="30007" spans="1:11" x14ac:dyDescent="0.25">
      <c r="A30007" s="5">
        <f>30000</f>
      </c>
      <c r="B30007" s="5" t="s">
        <v>30015</v>
      </c>
      <c r="C30007" s="5">
        <v>86.5</v>
      </c>
      <c r="D30007" s="5">
        <v>0.1</v>
      </c>
      <c r="E30007" s="5">
        <v>86.6</v>
      </c>
      <c r="F30007" s="5">
        <v>174.5</v>
      </c>
      <c r="G30007" s="5">
        <v>86.9</v>
      </c>
      <c r="H30007" s="5">
        <v>86.7</v>
      </c>
      <c r="I30007" s="5">
        <v>0</v>
      </c>
      <c r="J30007" s="5">
        <v>0</v>
      </c>
      <c r="K30007" s="5">
        <v>0</v>
      </c>
    </row>
    <row r="30008" spans="1:11" x14ac:dyDescent="0.25">
      <c r="A30008" s="5">
        <f>30001</f>
      </c>
      <c r="B30008" s="5" t="s">
        <v>30016</v>
      </c>
      <c r="C30008" s="5">
        <v>86.5</v>
      </c>
      <c r="D30008" s="5">
        <v>0.1</v>
      </c>
      <c r="E30008" s="5">
        <v>89.6</v>
      </c>
      <c r="F30008" s="5">
        <v>177.9</v>
      </c>
      <c r="G30008" s="5">
        <v>88.8</v>
      </c>
      <c r="H30008" s="5">
        <v>88.7</v>
      </c>
      <c r="I30008" s="5">
        <v>0</v>
      </c>
      <c r="J30008" s="5">
        <v>0</v>
      </c>
      <c r="K30008" s="5">
        <v>0</v>
      </c>
    </row>
    <row r="30009" spans="1:11" x14ac:dyDescent="0.25">
      <c r="A30009" s="5">
        <f>30002</f>
      </c>
      <c r="B30009" s="5" t="s">
        <v>30017</v>
      </c>
      <c r="C30009" s="5">
        <v>89.5</v>
      </c>
      <c r="D30009" s="5">
        <v>0.1</v>
      </c>
      <c r="E30009" s="5">
        <v>89.6</v>
      </c>
      <c r="F30009" s="5">
        <v>177.9</v>
      </c>
      <c r="G30009" s="5">
        <v>88.8</v>
      </c>
      <c r="H30009" s="5">
        <v>88.7</v>
      </c>
      <c r="I30009" s="5">
        <v>0</v>
      </c>
      <c r="J30009" s="5">
        <v>0</v>
      </c>
      <c r="K30009" s="5">
        <v>0</v>
      </c>
    </row>
    <row r="30010" spans="1:11" x14ac:dyDescent="0.25">
      <c r="A30010" s="5">
        <f>30003</f>
      </c>
      <c r="B30010" s="5" t="s">
        <v>30018</v>
      </c>
      <c r="C30010" s="5">
        <v>89.5</v>
      </c>
      <c r="D30010" s="5">
        <v>0.1</v>
      </c>
      <c r="E30010" s="5">
        <v>89.6</v>
      </c>
      <c r="F30010" s="5">
        <v>177.9</v>
      </c>
      <c r="G30010" s="5">
        <v>88.8</v>
      </c>
      <c r="H30010" s="5">
        <v>88.7</v>
      </c>
      <c r="I30010" s="5">
        <v>0</v>
      </c>
      <c r="J30010" s="5">
        <v>0</v>
      </c>
      <c r="K30010" s="5">
        <v>0</v>
      </c>
    </row>
    <row r="30011" spans="1:11" x14ac:dyDescent="0.25">
      <c r="A30011" s="5">
        <f>30004</f>
      </c>
      <c r="B30011" s="5" t="s">
        <v>30019</v>
      </c>
      <c r="C30011" s="5">
        <v>89.5</v>
      </c>
      <c r="D30011" s="5">
        <v>0.1</v>
      </c>
      <c r="E30011" s="5">
        <v>89.6</v>
      </c>
      <c r="F30011" s="5">
        <v>177.9</v>
      </c>
      <c r="G30011" s="5">
        <v>88.8</v>
      </c>
      <c r="H30011" s="5">
        <v>88.7</v>
      </c>
      <c r="I30011" s="5">
        <v>0</v>
      </c>
      <c r="J30011" s="5">
        <v>0</v>
      </c>
      <c r="K30011" s="5">
        <v>0</v>
      </c>
    </row>
    <row r="30012" spans="1:11" x14ac:dyDescent="0.25">
      <c r="A30012" s="5">
        <f>30005</f>
      </c>
      <c r="B30012" s="5" t="s">
        <v>30020</v>
      </c>
      <c r="C30012" s="5">
        <v>88.7</v>
      </c>
      <c r="D30012" s="5">
        <v>0</v>
      </c>
      <c r="E30012" s="5">
        <v>88.8</v>
      </c>
      <c r="F30012" s="5">
        <v>192</v>
      </c>
      <c r="G30012" s="5">
        <v>95.8</v>
      </c>
      <c r="H30012" s="5">
        <v>95.6</v>
      </c>
      <c r="I30012" s="5">
        <v>0</v>
      </c>
      <c r="J30012" s="5">
        <v>0</v>
      </c>
      <c r="K30012" s="5">
        <v>0</v>
      </c>
    </row>
    <row r="30013" spans="1:11" x14ac:dyDescent="0.25">
      <c r="A30013" s="5">
        <f>30006</f>
      </c>
      <c r="B30013" s="5" t="s">
        <v>30021</v>
      </c>
      <c r="C30013" s="5">
        <v>88.7</v>
      </c>
      <c r="D30013" s="5">
        <v>0</v>
      </c>
      <c r="E30013" s="5">
        <v>88.8</v>
      </c>
      <c r="F30013" s="5">
        <v>192</v>
      </c>
      <c r="G30013" s="5">
        <v>95.8</v>
      </c>
      <c r="H30013" s="5">
        <v>95.6</v>
      </c>
      <c r="I30013" s="5">
        <v>0</v>
      </c>
      <c r="J30013" s="5">
        <v>0</v>
      </c>
      <c r="K30013" s="5">
        <v>0</v>
      </c>
    </row>
    <row r="30014" spans="1:11" x14ac:dyDescent="0.25">
      <c r="A30014" s="5">
        <f>30007</f>
      </c>
      <c r="B30014" s="5" t="s">
        <v>30022</v>
      </c>
      <c r="C30014" s="5">
        <v>96.9</v>
      </c>
      <c r="D30014" s="5">
        <v>0.1</v>
      </c>
      <c r="E30014" s="5">
        <v>97</v>
      </c>
      <c r="F30014" s="5">
        <v>188</v>
      </c>
      <c r="G30014" s="5">
        <v>93.7</v>
      </c>
      <c r="H30014" s="5">
        <v>93.6</v>
      </c>
      <c r="I30014" s="5">
        <v>0</v>
      </c>
      <c r="J30014" s="5">
        <v>0</v>
      </c>
      <c r="K30014" s="5">
        <v>0</v>
      </c>
    </row>
    <row r="30015" spans="1:11" x14ac:dyDescent="0.25">
      <c r="A30015" s="5">
        <f>30008</f>
      </c>
      <c r="B30015" s="5" t="s">
        <v>30023</v>
      </c>
      <c r="C30015" s="5">
        <v>96.9</v>
      </c>
      <c r="D30015" s="5">
        <v>0.1</v>
      </c>
      <c r="E30015" s="5">
        <v>97</v>
      </c>
      <c r="F30015" s="5">
        <v>188</v>
      </c>
      <c r="G30015" s="5">
        <v>93.7</v>
      </c>
      <c r="H30015" s="5">
        <v>93.6</v>
      </c>
      <c r="I30015" s="5">
        <v>0</v>
      </c>
      <c r="J30015" s="5">
        <v>0</v>
      </c>
      <c r="K30015" s="5">
        <v>0</v>
      </c>
    </row>
    <row r="30016" spans="1:11" x14ac:dyDescent="0.25">
      <c r="A30016" s="5">
        <f>30009</f>
      </c>
      <c r="B30016" s="5" t="s">
        <v>30024</v>
      </c>
      <c r="C30016" s="5">
        <v>92.2</v>
      </c>
      <c r="D30016" s="5">
        <v>0.1</v>
      </c>
      <c r="E30016" s="5">
        <v>92.3</v>
      </c>
      <c r="F30016" s="5">
        <v>180.9</v>
      </c>
      <c r="G30016" s="5">
        <v>90.3</v>
      </c>
      <c r="H30016" s="5">
        <v>90.3</v>
      </c>
      <c r="I30016" s="5">
        <v>0</v>
      </c>
      <c r="J30016" s="5">
        <v>0</v>
      </c>
      <c r="K30016" s="5">
        <v>0</v>
      </c>
    </row>
    <row r="30017" spans="1:11" x14ac:dyDescent="0.25">
      <c r="A30017" s="5">
        <f>30010</f>
      </c>
      <c r="B30017" s="5" t="s">
        <v>30025</v>
      </c>
      <c r="C30017" s="5">
        <v>92.2</v>
      </c>
      <c r="D30017" s="5">
        <v>0.1</v>
      </c>
      <c r="E30017" s="5">
        <v>92.3</v>
      </c>
      <c r="F30017" s="5">
        <v>180.9</v>
      </c>
      <c r="G30017" s="5">
        <v>90.3</v>
      </c>
      <c r="H30017" s="5">
        <v>90.3</v>
      </c>
      <c r="I30017" s="5">
        <v>0</v>
      </c>
      <c r="J30017" s="5">
        <v>0</v>
      </c>
      <c r="K30017" s="5">
        <v>0</v>
      </c>
    </row>
    <row r="30018" spans="1:11" x14ac:dyDescent="0.25">
      <c r="A30018" s="5">
        <f>30011</f>
      </c>
      <c r="B30018" s="5" t="s">
        <v>30026</v>
      </c>
      <c r="C30018" s="5">
        <v>89.2</v>
      </c>
      <c r="D30018" s="5">
        <v>0.1</v>
      </c>
      <c r="E30018" s="5">
        <v>89.3</v>
      </c>
      <c r="F30018" s="5">
        <v>183.4</v>
      </c>
      <c r="G30018" s="5">
        <v>91.3</v>
      </c>
      <c r="H30018" s="5">
        <v>91.1</v>
      </c>
      <c r="I30018" s="5">
        <v>0</v>
      </c>
      <c r="J30018" s="5">
        <v>0</v>
      </c>
      <c r="K30018" s="5">
        <v>0</v>
      </c>
    </row>
    <row r="30019" spans="1:11" x14ac:dyDescent="0.25">
      <c r="A30019" s="5">
        <f>30012</f>
      </c>
      <c r="B30019" s="5" t="s">
        <v>30027</v>
      </c>
      <c r="C30019" s="5">
        <v>89.2</v>
      </c>
      <c r="D30019" s="5">
        <v>0.1</v>
      </c>
      <c r="E30019" s="5">
        <v>89.3</v>
      </c>
      <c r="F30019" s="5">
        <v>183.4</v>
      </c>
      <c r="G30019" s="5">
        <v>91.3</v>
      </c>
      <c r="H30019" s="5">
        <v>91.1</v>
      </c>
      <c r="I30019" s="5">
        <v>0</v>
      </c>
      <c r="J30019" s="5">
        <v>0</v>
      </c>
      <c r="K30019" s="5">
        <v>0</v>
      </c>
    </row>
    <row r="30020" spans="1:11" x14ac:dyDescent="0.25">
      <c r="A30020" s="5">
        <f>30013</f>
      </c>
      <c r="B30020" s="5" t="s">
        <v>30028</v>
      </c>
      <c r="C30020" s="5">
        <v>89.2</v>
      </c>
      <c r="D30020" s="5">
        <v>0.1</v>
      </c>
      <c r="E30020" s="5">
        <v>89.3</v>
      </c>
      <c r="F30020" s="5">
        <v>183.4</v>
      </c>
      <c r="G30020" s="5">
        <v>91.3</v>
      </c>
      <c r="H30020" s="5">
        <v>91.1</v>
      </c>
      <c r="I30020" s="5">
        <v>0</v>
      </c>
      <c r="J30020" s="5">
        <v>0</v>
      </c>
      <c r="K30020" s="5">
        <v>0</v>
      </c>
    </row>
    <row r="30021" spans="1:11" x14ac:dyDescent="0.25">
      <c r="A30021" s="5">
        <f>30014</f>
      </c>
      <c r="B30021" s="5" t="s">
        <v>30029</v>
      </c>
      <c r="C30021" s="5">
        <v>89.2</v>
      </c>
      <c r="D30021" s="5">
        <v>0.1</v>
      </c>
      <c r="E30021" s="5">
        <v>89.3</v>
      </c>
      <c r="F30021" s="5">
        <v>183.4</v>
      </c>
      <c r="G30021" s="5">
        <v>91.3</v>
      </c>
      <c r="H30021" s="5">
        <v>91.1</v>
      </c>
      <c r="I30021" s="5">
        <v>0</v>
      </c>
      <c r="J30021" s="5">
        <v>0</v>
      </c>
      <c r="K30021" s="5">
        <v>0</v>
      </c>
    </row>
    <row r="30022" spans="1:11" x14ac:dyDescent="0.25">
      <c r="A30022" s="5">
        <f>30015</f>
      </c>
      <c r="B30022" s="5" t="s">
        <v>30030</v>
      </c>
      <c r="C30022" s="5">
        <v>93.2</v>
      </c>
      <c r="D30022" s="5">
        <v>0.1</v>
      </c>
      <c r="E30022" s="5">
        <v>93.3</v>
      </c>
      <c r="F30022" s="5">
        <v>183.4</v>
      </c>
      <c r="G30022" s="5">
        <v>91.3</v>
      </c>
      <c r="H30022" s="5">
        <v>91.1</v>
      </c>
      <c r="I30022" s="5">
        <v>0</v>
      </c>
      <c r="J30022" s="5">
        <v>0</v>
      </c>
      <c r="K30022" s="5">
        <v>0</v>
      </c>
    </row>
    <row r="30023" spans="1:11" x14ac:dyDescent="0.25">
      <c r="A30023" s="5">
        <f>30016</f>
      </c>
      <c r="B30023" s="5" t="s">
        <v>30031</v>
      </c>
      <c r="C30023" s="5">
        <v>93.2</v>
      </c>
      <c r="D30023" s="5">
        <v>0.1</v>
      </c>
      <c r="E30023" s="5">
        <v>93.3</v>
      </c>
      <c r="F30023" s="5">
        <v>185.5</v>
      </c>
      <c r="G30023" s="5">
        <v>92.4</v>
      </c>
      <c r="H30023" s="5">
        <v>92.2</v>
      </c>
      <c r="I30023" s="5">
        <v>0</v>
      </c>
      <c r="J30023" s="5">
        <v>0</v>
      </c>
      <c r="K30023" s="5">
        <v>0</v>
      </c>
    </row>
    <row r="30024" spans="1:11" x14ac:dyDescent="0.25">
      <c r="A30024" s="5">
        <f>30017</f>
      </c>
      <c r="B30024" s="5" t="s">
        <v>30032</v>
      </c>
      <c r="C30024" s="5">
        <v>87.5</v>
      </c>
      <c r="D30024" s="5">
        <v>0.1</v>
      </c>
      <c r="E30024" s="5">
        <v>93.3</v>
      </c>
      <c r="F30024" s="5">
        <v>185.5</v>
      </c>
      <c r="G30024" s="5">
        <v>92.4</v>
      </c>
      <c r="H30024" s="5">
        <v>92.2</v>
      </c>
      <c r="I30024" s="5">
        <v>0</v>
      </c>
      <c r="J30024" s="5">
        <v>0</v>
      </c>
      <c r="K30024" s="5">
        <v>0</v>
      </c>
    </row>
    <row r="30025" spans="1:11" x14ac:dyDescent="0.25">
      <c r="A30025" s="5">
        <f>30018</f>
      </c>
      <c r="B30025" s="5" t="s">
        <v>30033</v>
      </c>
      <c r="C30025" s="5">
        <v>87.5</v>
      </c>
      <c r="D30025" s="5">
        <v>0.1</v>
      </c>
      <c r="E30025" s="5">
        <v>87.7</v>
      </c>
      <c r="F30025" s="5">
        <v>175.2</v>
      </c>
      <c r="G30025" s="5">
        <v>87.4</v>
      </c>
      <c r="H30025" s="5">
        <v>87.2</v>
      </c>
      <c r="I30025" s="5">
        <v>0</v>
      </c>
      <c r="J30025" s="5">
        <v>0</v>
      </c>
      <c r="K30025" s="5">
        <v>0</v>
      </c>
    </row>
    <row r="30026" spans="1:11" x14ac:dyDescent="0.25">
      <c r="A30026" s="5">
        <f>30019</f>
      </c>
      <c r="B30026" s="5" t="s">
        <v>30034</v>
      </c>
      <c r="C30026" s="5">
        <v>87.5</v>
      </c>
      <c r="D30026" s="5">
        <v>0.1</v>
      </c>
      <c r="E30026" s="5">
        <v>87.7</v>
      </c>
      <c r="F30026" s="5">
        <v>175.2</v>
      </c>
      <c r="G30026" s="5">
        <v>87.4</v>
      </c>
      <c r="H30026" s="5">
        <v>87.2</v>
      </c>
      <c r="I30026" s="5">
        <v>0</v>
      </c>
      <c r="J30026" s="5">
        <v>0</v>
      </c>
      <c r="K30026" s="5">
        <v>0</v>
      </c>
    </row>
    <row r="30027" spans="1:11" x14ac:dyDescent="0.25">
      <c r="A30027" s="5">
        <f>30020</f>
      </c>
      <c r="B30027" s="5" t="s">
        <v>30035</v>
      </c>
      <c r="C30027" s="5">
        <v>87.5</v>
      </c>
      <c r="D30027" s="5">
        <v>0.1</v>
      </c>
      <c r="E30027" s="5">
        <v>87.7</v>
      </c>
      <c r="F30027" s="5">
        <v>175.2</v>
      </c>
      <c r="G30027" s="5">
        <v>87.4</v>
      </c>
      <c r="H30027" s="5">
        <v>87.2</v>
      </c>
      <c r="I30027" s="5">
        <v>0</v>
      </c>
      <c r="J30027" s="5">
        <v>0</v>
      </c>
      <c r="K30027" s="5">
        <v>0</v>
      </c>
    </row>
    <row r="30028" spans="1:11" x14ac:dyDescent="0.25">
      <c r="A30028" s="5">
        <f>30021</f>
      </c>
      <c r="B30028" s="5" t="s">
        <v>30036</v>
      </c>
      <c r="C30028" s="5">
        <v>87.5</v>
      </c>
      <c r="D30028" s="5">
        <v>0.1</v>
      </c>
      <c r="E30028" s="5">
        <v>87.7</v>
      </c>
      <c r="F30028" s="5">
        <v>175.2</v>
      </c>
      <c r="G30028" s="5">
        <v>87.4</v>
      </c>
      <c r="H30028" s="5">
        <v>87.2</v>
      </c>
      <c r="I30028" s="5">
        <v>0</v>
      </c>
      <c r="J30028" s="5">
        <v>0</v>
      </c>
      <c r="K30028" s="5">
        <v>0</v>
      </c>
    </row>
    <row r="30029" spans="1:11" x14ac:dyDescent="0.25">
      <c r="A30029" s="5">
        <f>30022</f>
      </c>
      <c r="B30029" s="5" t="s">
        <v>30037</v>
      </c>
      <c r="C30029" s="5">
        <v>91.2</v>
      </c>
      <c r="D30029" s="5">
        <v>0.1</v>
      </c>
      <c r="E30029" s="5">
        <v>91.3</v>
      </c>
      <c r="F30029" s="5">
        <v>182.3</v>
      </c>
      <c r="G30029" s="5">
        <v>91</v>
      </c>
      <c r="H30029" s="5">
        <v>91</v>
      </c>
      <c r="I30029" s="5">
        <v>0</v>
      </c>
      <c r="J30029" s="5">
        <v>0</v>
      </c>
      <c r="K30029" s="5">
        <v>0</v>
      </c>
    </row>
    <row r="30030" spans="1:11" x14ac:dyDescent="0.25">
      <c r="A30030" s="5">
        <f>30023</f>
      </c>
      <c r="B30030" s="5" t="s">
        <v>30038</v>
      </c>
      <c r="C30030" s="5">
        <v>91.2</v>
      </c>
      <c r="D30030" s="5">
        <v>0.1</v>
      </c>
      <c r="E30030" s="5">
        <v>91.3</v>
      </c>
      <c r="F30030" s="5">
        <v>182.3</v>
      </c>
      <c r="G30030" s="5">
        <v>91</v>
      </c>
      <c r="H30030" s="5">
        <v>91</v>
      </c>
      <c r="I30030" s="5">
        <v>0</v>
      </c>
      <c r="J30030" s="5">
        <v>0</v>
      </c>
      <c r="K30030" s="5">
        <v>0</v>
      </c>
    </row>
    <row r="30031" spans="1:11" x14ac:dyDescent="0.25">
      <c r="A30031" s="5">
        <f>30024</f>
      </c>
      <c r="B30031" s="5" t="s">
        <v>30039</v>
      </c>
      <c r="C30031" s="5">
        <v>91.2</v>
      </c>
      <c r="D30031" s="5">
        <v>0.1</v>
      </c>
      <c r="E30031" s="5">
        <v>91.3</v>
      </c>
      <c r="F30031" s="5">
        <v>182.3</v>
      </c>
      <c r="G30031" s="5">
        <v>91</v>
      </c>
      <c r="H30031" s="5">
        <v>91</v>
      </c>
      <c r="I30031" s="5">
        <v>0</v>
      </c>
      <c r="J30031" s="5">
        <v>0</v>
      </c>
      <c r="K30031" s="5">
        <v>0</v>
      </c>
    </row>
    <row r="30032" spans="1:11" x14ac:dyDescent="0.25">
      <c r="A30032" s="5">
        <f>30025</f>
      </c>
      <c r="B30032" s="5" t="s">
        <v>30040</v>
      </c>
      <c r="C30032" s="5">
        <v>94.5</v>
      </c>
      <c r="D30032" s="5">
        <v>0.1</v>
      </c>
      <c r="E30032" s="5">
        <v>94.6</v>
      </c>
      <c r="F30032" s="5">
        <v>182.7</v>
      </c>
      <c r="G30032" s="5">
        <v>91.2</v>
      </c>
      <c r="H30032" s="5">
        <v>91.1</v>
      </c>
      <c r="I30032" s="5">
        <v>0</v>
      </c>
      <c r="J30032" s="5">
        <v>0</v>
      </c>
      <c r="K30032" s="5">
        <v>0</v>
      </c>
    </row>
    <row r="30033" spans="1:11" x14ac:dyDescent="0.25">
      <c r="A30033" s="5">
        <f>30026</f>
      </c>
      <c r="B30033" s="5" t="s">
        <v>30041</v>
      </c>
      <c r="C30033" s="5">
        <v>94.5</v>
      </c>
      <c r="D30033" s="5">
        <v>0.1</v>
      </c>
      <c r="E30033" s="5">
        <v>94.6</v>
      </c>
      <c r="F30033" s="5">
        <v>182.7</v>
      </c>
      <c r="G30033" s="5">
        <v>91.2</v>
      </c>
      <c r="H30033" s="5">
        <v>91.1</v>
      </c>
      <c r="I30033" s="5">
        <v>0</v>
      </c>
      <c r="J30033" s="5">
        <v>0</v>
      </c>
      <c r="K30033" s="5">
        <v>0</v>
      </c>
    </row>
    <row r="30034" spans="1:11" x14ac:dyDescent="0.25">
      <c r="A30034" s="5">
        <f>30027</f>
      </c>
      <c r="B30034" s="5" t="s">
        <v>30042</v>
      </c>
      <c r="C30034" s="5">
        <v>89.6</v>
      </c>
      <c r="D30034" s="5">
        <v>0.1</v>
      </c>
      <c r="E30034" s="5">
        <v>89.7</v>
      </c>
      <c r="F30034" s="5">
        <v>177.4</v>
      </c>
      <c r="G30034" s="5">
        <v>88.5</v>
      </c>
      <c r="H30034" s="5">
        <v>88.4</v>
      </c>
      <c r="I30034" s="5">
        <v>0</v>
      </c>
      <c r="J30034" s="5">
        <v>0</v>
      </c>
      <c r="K30034" s="5">
        <v>0</v>
      </c>
    </row>
    <row r="30035" spans="1:11" x14ac:dyDescent="0.25">
      <c r="A30035" s="5">
        <f>30028</f>
      </c>
      <c r="B30035" s="5" t="s">
        <v>30043</v>
      </c>
      <c r="C30035" s="5">
        <v>89.6</v>
      </c>
      <c r="D30035" s="5">
        <v>0.1</v>
      </c>
      <c r="E30035" s="5">
        <v>89.7</v>
      </c>
      <c r="F30035" s="5">
        <v>177.4</v>
      </c>
      <c r="G30035" s="5">
        <v>88.5</v>
      </c>
      <c r="H30035" s="5">
        <v>88.4</v>
      </c>
      <c r="I30035" s="5">
        <v>0</v>
      </c>
      <c r="J30035" s="5">
        <v>0</v>
      </c>
      <c r="K30035" s="5">
        <v>0</v>
      </c>
    </row>
    <row r="30036" spans="1:11" x14ac:dyDescent="0.25">
      <c r="A30036" s="5">
        <f>30029</f>
      </c>
      <c r="B30036" s="5" t="s">
        <v>30044</v>
      </c>
      <c r="C30036" s="5">
        <v>89.6</v>
      </c>
      <c r="D30036" s="5">
        <v>0.1</v>
      </c>
      <c r="E30036" s="5">
        <v>91.9</v>
      </c>
      <c r="F30036" s="5">
        <v>183.8</v>
      </c>
      <c r="G30036" s="5">
        <v>91.8</v>
      </c>
      <c r="H30036" s="5">
        <v>91.8</v>
      </c>
      <c r="I30036" s="5">
        <v>0</v>
      </c>
      <c r="J30036" s="5">
        <v>0</v>
      </c>
      <c r="K30036" s="5">
        <v>0</v>
      </c>
    </row>
    <row r="30037" spans="1:11" x14ac:dyDescent="0.25">
      <c r="A30037" s="5">
        <f>30030</f>
      </c>
      <c r="B30037" s="5" t="s">
        <v>30045</v>
      </c>
      <c r="C30037" s="5">
        <v>91.8</v>
      </c>
      <c r="D30037" s="5">
        <v>0.1</v>
      </c>
      <c r="E30037" s="5">
        <v>91.9</v>
      </c>
      <c r="F30037" s="5">
        <v>183.8</v>
      </c>
      <c r="G30037" s="5">
        <v>91.8</v>
      </c>
      <c r="H30037" s="5">
        <v>91.8</v>
      </c>
      <c r="I30037" s="5">
        <v>0</v>
      </c>
      <c r="J30037" s="5">
        <v>0</v>
      </c>
      <c r="K30037" s="5">
        <v>0</v>
      </c>
    </row>
    <row r="30038" spans="1:11" x14ac:dyDescent="0.25">
      <c r="A30038" s="5">
        <f>30031</f>
      </c>
      <c r="B30038" s="5" t="s">
        <v>30046</v>
      </c>
      <c r="C30038" s="5">
        <v>91.8</v>
      </c>
      <c r="D30038" s="5">
        <v>0.1</v>
      </c>
      <c r="E30038" s="5">
        <v>91.1</v>
      </c>
      <c r="F30038" s="5">
        <v>179.3</v>
      </c>
      <c r="G30038" s="5">
        <v>89.5</v>
      </c>
      <c r="H30038" s="5">
        <v>89.4</v>
      </c>
      <c r="I30038" s="5">
        <v>0</v>
      </c>
      <c r="J30038" s="5">
        <v>0</v>
      </c>
      <c r="K30038" s="5">
        <v>0</v>
      </c>
    </row>
    <row r="30039" spans="1:11" x14ac:dyDescent="0.25">
      <c r="A30039" s="5">
        <f>30032</f>
      </c>
      <c r="B30039" s="5" t="s">
        <v>30047</v>
      </c>
      <c r="C30039" s="5">
        <v>91</v>
      </c>
      <c r="D30039" s="5">
        <v>0.1</v>
      </c>
      <c r="E30039" s="5">
        <v>91.1</v>
      </c>
      <c r="F30039" s="5">
        <v>179.3</v>
      </c>
      <c r="G30039" s="5">
        <v>89.5</v>
      </c>
      <c r="H30039" s="5">
        <v>89.4</v>
      </c>
      <c r="I30039" s="5">
        <v>0</v>
      </c>
      <c r="J30039" s="5">
        <v>0</v>
      </c>
      <c r="K30039" s="5">
        <v>0</v>
      </c>
    </row>
    <row r="30040" spans="1:11" x14ac:dyDescent="0.25">
      <c r="A30040" s="5">
        <f>30033</f>
      </c>
      <c r="B30040" s="5" t="s">
        <v>30048</v>
      </c>
      <c r="C30040" s="5">
        <v>91</v>
      </c>
      <c r="D30040" s="5">
        <v>0.1</v>
      </c>
      <c r="E30040" s="5">
        <v>91.1</v>
      </c>
      <c r="F30040" s="5">
        <v>179.3</v>
      </c>
      <c r="G30040" s="5">
        <v>89.5</v>
      </c>
      <c r="H30040" s="5">
        <v>89.4</v>
      </c>
      <c r="I30040" s="5">
        <v>0</v>
      </c>
      <c r="J30040" s="5">
        <v>0</v>
      </c>
      <c r="K30040" s="5">
        <v>0</v>
      </c>
    </row>
    <row r="30041" spans="1:11" x14ac:dyDescent="0.25">
      <c r="A30041" s="5">
        <f>30034</f>
      </c>
      <c r="B30041" s="5" t="s">
        <v>30049</v>
      </c>
      <c r="C30041" s="5">
        <v>91</v>
      </c>
      <c r="D30041" s="5">
        <v>0.1</v>
      </c>
      <c r="E30041" s="5">
        <v>91.1</v>
      </c>
      <c r="F30041" s="5">
        <v>179.3</v>
      </c>
      <c r="G30041" s="5">
        <v>89.5</v>
      </c>
      <c r="H30041" s="5">
        <v>89.4</v>
      </c>
      <c r="I30041" s="5">
        <v>0</v>
      </c>
      <c r="J30041" s="5">
        <v>0</v>
      </c>
      <c r="K30041" s="5">
        <v>0</v>
      </c>
    </row>
    <row r="30042" spans="1:11" x14ac:dyDescent="0.25">
      <c r="A30042" s="5">
        <f>30035</f>
      </c>
      <c r="B30042" s="5" t="s">
        <v>30050</v>
      </c>
      <c r="C30042" s="5">
        <v>91.1</v>
      </c>
      <c r="D30042" s="5">
        <v>0.1</v>
      </c>
      <c r="E30042" s="5">
        <v>91.3</v>
      </c>
      <c r="F30042" s="5">
        <v>180.2</v>
      </c>
      <c r="G30042" s="5">
        <v>90</v>
      </c>
      <c r="H30042" s="5">
        <v>90.1</v>
      </c>
      <c r="I30042" s="5">
        <v>0</v>
      </c>
      <c r="J30042" s="5">
        <v>0</v>
      </c>
      <c r="K30042" s="5">
        <v>0</v>
      </c>
    </row>
    <row r="30043" spans="1:11" x14ac:dyDescent="0.25">
      <c r="A30043" s="5">
        <f>30036</f>
      </c>
      <c r="B30043" s="5" t="s">
        <v>30051</v>
      </c>
      <c r="C30043" s="5">
        <v>91.1</v>
      </c>
      <c r="D30043" s="5">
        <v>0.1</v>
      </c>
      <c r="E30043" s="5">
        <v>91.3</v>
      </c>
      <c r="F30043" s="5">
        <v>180.2</v>
      </c>
      <c r="G30043" s="5">
        <v>90</v>
      </c>
      <c r="H30043" s="5">
        <v>90.1</v>
      </c>
      <c r="I30043" s="5">
        <v>0</v>
      </c>
      <c r="J30043" s="5">
        <v>0</v>
      </c>
      <c r="K30043" s="5">
        <v>0</v>
      </c>
    </row>
    <row r="30044" spans="1:11" x14ac:dyDescent="0.25">
      <c r="A30044" s="5">
        <f>30037</f>
      </c>
      <c r="B30044" s="5" t="s">
        <v>30052</v>
      </c>
      <c r="C30044" s="5">
        <v>90</v>
      </c>
      <c r="D30044" s="5">
        <v>0</v>
      </c>
      <c r="E30044" s="5">
        <v>90.1</v>
      </c>
      <c r="F30044" s="5">
        <v>180.2</v>
      </c>
      <c r="G30044" s="5">
        <v>89.9</v>
      </c>
      <c r="H30044" s="5">
        <v>89.6</v>
      </c>
      <c r="I30044" s="5">
        <v>0</v>
      </c>
      <c r="J30044" s="5">
        <v>0</v>
      </c>
      <c r="K30044" s="5">
        <v>0</v>
      </c>
    </row>
    <row r="30045" spans="1:11" x14ac:dyDescent="0.25">
      <c r="A30045" s="5">
        <f>30038</f>
      </c>
      <c r="B30045" s="5" t="s">
        <v>30053</v>
      </c>
      <c r="C30045" s="5">
        <v>90</v>
      </c>
      <c r="D30045" s="5">
        <v>0</v>
      </c>
      <c r="E30045" s="5">
        <v>90.1</v>
      </c>
      <c r="F30045" s="5">
        <v>180.2</v>
      </c>
      <c r="G30045" s="5">
        <v>89.9</v>
      </c>
      <c r="H30045" s="5">
        <v>89.6</v>
      </c>
      <c r="I30045" s="5">
        <v>0</v>
      </c>
      <c r="J30045" s="5">
        <v>0</v>
      </c>
      <c r="K30045" s="5">
        <v>0</v>
      </c>
    </row>
    <row r="30046" spans="1:11" x14ac:dyDescent="0.25">
      <c r="A30046" s="5">
        <f>30039</f>
      </c>
      <c r="B30046" s="5" t="s">
        <v>30054</v>
      </c>
      <c r="C30046" s="5">
        <v>99.2</v>
      </c>
      <c r="D30046" s="5">
        <v>0.1</v>
      </c>
      <c r="E30046" s="5">
        <v>99.4</v>
      </c>
      <c r="F30046" s="5">
        <v>197.1</v>
      </c>
      <c r="G30046" s="5">
        <v>98.4</v>
      </c>
      <c r="H30046" s="5">
        <v>98.3</v>
      </c>
      <c r="I30046" s="5">
        <v>0</v>
      </c>
      <c r="J30046" s="5">
        <v>0</v>
      </c>
      <c r="K30046" s="5">
        <v>0</v>
      </c>
    </row>
    <row r="30047" spans="1:11" x14ac:dyDescent="0.25">
      <c r="A30047" s="5">
        <f>30040</f>
      </c>
      <c r="B30047" s="5" t="s">
        <v>30055</v>
      </c>
      <c r="C30047" s="5">
        <v>99.2</v>
      </c>
      <c r="D30047" s="5">
        <v>0.1</v>
      </c>
      <c r="E30047" s="5">
        <v>99.4</v>
      </c>
      <c r="F30047" s="5">
        <v>197.1</v>
      </c>
      <c r="G30047" s="5">
        <v>98.4</v>
      </c>
      <c r="H30047" s="5">
        <v>98.3</v>
      </c>
      <c r="I30047" s="5">
        <v>0</v>
      </c>
      <c r="J30047" s="5">
        <v>0</v>
      </c>
      <c r="K30047" s="5">
        <v>0</v>
      </c>
    </row>
    <row r="30048" spans="1:11" x14ac:dyDescent="0.25">
      <c r="A30048" s="5">
        <f>30041</f>
      </c>
      <c r="B30048" s="5" t="s">
        <v>30056</v>
      </c>
      <c r="C30048" s="5">
        <v>91.7</v>
      </c>
      <c r="D30048" s="5">
        <v>0.1</v>
      </c>
      <c r="E30048" s="5">
        <v>91.9</v>
      </c>
      <c r="F30048" s="5">
        <v>185.7</v>
      </c>
      <c r="G30048" s="5">
        <v>92.5</v>
      </c>
      <c r="H30048" s="5">
        <v>92.2</v>
      </c>
      <c r="I30048" s="5">
        <v>0</v>
      </c>
      <c r="J30048" s="5">
        <v>0</v>
      </c>
      <c r="K30048" s="5">
        <v>0</v>
      </c>
    </row>
    <row r="30049" spans="1:11" x14ac:dyDescent="0.25">
      <c r="A30049" s="5">
        <f>30042</f>
      </c>
      <c r="B30049" s="5" t="s">
        <v>30057</v>
      </c>
      <c r="C30049" s="5">
        <v>91.7</v>
      </c>
      <c r="D30049" s="5">
        <v>0.1</v>
      </c>
      <c r="E30049" s="5">
        <v>91.9</v>
      </c>
      <c r="F30049" s="5">
        <v>185.7</v>
      </c>
      <c r="G30049" s="5">
        <v>92.5</v>
      </c>
      <c r="H30049" s="5">
        <v>92.2</v>
      </c>
      <c r="I30049" s="5">
        <v>0</v>
      </c>
      <c r="J30049" s="5">
        <v>0</v>
      </c>
      <c r="K30049" s="5">
        <v>0</v>
      </c>
    </row>
    <row r="30050" spans="1:11" x14ac:dyDescent="0.25">
      <c r="A30050" s="5">
        <f>30043</f>
      </c>
      <c r="B30050" s="5" t="s">
        <v>30058</v>
      </c>
      <c r="C30050" s="5">
        <v>91.7</v>
      </c>
      <c r="D30050" s="5">
        <v>0.1</v>
      </c>
      <c r="E30050" s="5">
        <v>91.9</v>
      </c>
      <c r="F30050" s="5">
        <v>185.7</v>
      </c>
      <c r="G30050" s="5">
        <v>92.5</v>
      </c>
      <c r="H30050" s="5">
        <v>92.2</v>
      </c>
      <c r="I30050" s="5">
        <v>0</v>
      </c>
      <c r="J30050" s="5">
        <v>0</v>
      </c>
      <c r="K30050" s="5">
        <v>0</v>
      </c>
    </row>
    <row r="30051" spans="1:11" x14ac:dyDescent="0.25">
      <c r="A30051" s="5">
        <f>30044</f>
      </c>
      <c r="B30051" s="5" t="s">
        <v>30059</v>
      </c>
      <c r="C30051" s="5">
        <v>91.7</v>
      </c>
      <c r="D30051" s="5">
        <v>0.1</v>
      </c>
      <c r="E30051" s="5">
        <v>91.9</v>
      </c>
      <c r="F30051" s="5">
        <v>185.7</v>
      </c>
      <c r="G30051" s="5">
        <v>92.5</v>
      </c>
      <c r="H30051" s="5">
        <v>92.2</v>
      </c>
      <c r="I30051" s="5">
        <v>0</v>
      </c>
      <c r="J30051" s="5">
        <v>0</v>
      </c>
      <c r="K30051" s="5">
        <v>0</v>
      </c>
    </row>
    <row r="30052" spans="1:11" x14ac:dyDescent="0.25">
      <c r="A30052" s="5">
        <f>30045</f>
      </c>
      <c r="B30052" s="5" t="s">
        <v>30060</v>
      </c>
      <c r="C30052" s="5">
        <v>90.5</v>
      </c>
      <c r="D30052" s="5">
        <v>0.1</v>
      </c>
      <c r="E30052" s="5">
        <v>90.6</v>
      </c>
      <c r="F30052" s="5">
        <v>192.7</v>
      </c>
      <c r="G30052" s="5">
        <v>99</v>
      </c>
      <c r="H30052" s="5">
        <v>98.9</v>
      </c>
      <c r="I30052" s="5">
        <v>0</v>
      </c>
      <c r="J30052" s="5">
        <v>0</v>
      </c>
      <c r="K30052" s="5">
        <v>0</v>
      </c>
    </row>
    <row r="30053" spans="1:11" x14ac:dyDescent="0.25">
      <c r="A30053" s="5">
        <f>30046</f>
      </c>
      <c r="B30053" s="5" t="s">
        <v>30061</v>
      </c>
      <c r="C30053" s="5">
        <v>90.5</v>
      </c>
      <c r="D30053" s="5">
        <v>0.1</v>
      </c>
      <c r="E30053" s="5">
        <v>90.6</v>
      </c>
      <c r="F30053" s="5">
        <v>192.7</v>
      </c>
      <c r="G30053" s="5">
        <v>99</v>
      </c>
      <c r="H30053" s="5">
        <v>98.9</v>
      </c>
      <c r="I30053" s="5">
        <v>0</v>
      </c>
      <c r="J30053" s="5">
        <v>0</v>
      </c>
      <c r="K30053" s="5">
        <v>0</v>
      </c>
    </row>
    <row r="30054" spans="1:11" x14ac:dyDescent="0.25">
      <c r="A30054" s="5">
        <f>30047</f>
      </c>
      <c r="B30054" s="5" t="s">
        <v>30062</v>
      </c>
      <c r="C30054" s="5">
        <v>91.9</v>
      </c>
      <c r="D30054" s="5">
        <v>0.1</v>
      </c>
      <c r="E30054" s="5">
        <v>92.1</v>
      </c>
      <c r="F30054" s="5">
        <v>188.6</v>
      </c>
      <c r="G30054" s="5">
        <v>92.4</v>
      </c>
      <c r="H30054" s="5">
        <v>92.3</v>
      </c>
      <c r="I30054" s="5">
        <v>0</v>
      </c>
      <c r="J30054" s="5">
        <v>0</v>
      </c>
      <c r="K30054" s="5">
        <v>0</v>
      </c>
    </row>
    <row r="30055" spans="1:11" x14ac:dyDescent="0.25">
      <c r="A30055" s="5">
        <f>30048</f>
      </c>
      <c r="B30055" s="5" t="s">
        <v>30063</v>
      </c>
      <c r="C30055" s="5">
        <v>91.9</v>
      </c>
      <c r="D30055" s="5">
        <v>0.1</v>
      </c>
      <c r="E30055" s="5">
        <v>92.1</v>
      </c>
      <c r="F30055" s="5">
        <v>188.6</v>
      </c>
      <c r="G30055" s="5">
        <v>92.4</v>
      </c>
      <c r="H30055" s="5">
        <v>92.3</v>
      </c>
      <c r="I30055" s="5">
        <v>0</v>
      </c>
      <c r="J30055" s="5">
        <v>0</v>
      </c>
      <c r="K30055" s="5">
        <v>0</v>
      </c>
    </row>
    <row r="30056" spans="1:11" x14ac:dyDescent="0.25">
      <c r="A30056" s="5">
        <f>30049</f>
      </c>
      <c r="B30056" s="5" t="s">
        <v>30064</v>
      </c>
      <c r="C30056" s="5">
        <v>92.5</v>
      </c>
      <c r="D30056" s="5">
        <v>0.1</v>
      </c>
      <c r="E30056" s="5">
        <v>92.5</v>
      </c>
      <c r="F30056" s="5">
        <v>184.1</v>
      </c>
      <c r="G30056" s="5">
        <v>90.2</v>
      </c>
      <c r="H30056" s="5">
        <v>89.9</v>
      </c>
      <c r="I30056" s="5">
        <v>0</v>
      </c>
      <c r="J30056" s="5">
        <v>0</v>
      </c>
      <c r="K30056" s="5">
        <v>0</v>
      </c>
    </row>
    <row r="30057" spans="1:11" x14ac:dyDescent="0.25">
      <c r="A30057" s="5">
        <f>30050</f>
      </c>
      <c r="B30057" s="5" t="s">
        <v>30065</v>
      </c>
      <c r="C30057" s="5">
        <v>92.5</v>
      </c>
      <c r="D30057" s="5">
        <v>0.1</v>
      </c>
      <c r="E30057" s="5">
        <v>92.5</v>
      </c>
      <c r="F30057" s="5">
        <v>184.1</v>
      </c>
      <c r="G30057" s="5">
        <v>90.2</v>
      </c>
      <c r="H30057" s="5">
        <v>89.9</v>
      </c>
      <c r="I30057" s="5">
        <v>0</v>
      </c>
      <c r="J30057" s="5">
        <v>0</v>
      </c>
      <c r="K30057" s="5">
        <v>0</v>
      </c>
    </row>
    <row r="30058" spans="1:11" x14ac:dyDescent="0.25">
      <c r="A30058" s="5">
        <f>30051</f>
      </c>
      <c r="B30058" s="5" t="s">
        <v>30066</v>
      </c>
      <c r="C30058" s="5">
        <v>89.7</v>
      </c>
      <c r="D30058" s="5">
        <v>0.1</v>
      </c>
      <c r="E30058" s="5">
        <v>89.8</v>
      </c>
      <c r="F30058" s="5">
        <v>183.8</v>
      </c>
      <c r="G30058" s="5">
        <v>92.2</v>
      </c>
      <c r="H30058" s="5">
        <v>91.8</v>
      </c>
      <c r="I30058" s="5">
        <v>0</v>
      </c>
      <c r="J30058" s="5">
        <v>0</v>
      </c>
      <c r="K30058" s="5">
        <v>0</v>
      </c>
    </row>
    <row r="30059" spans="1:11" x14ac:dyDescent="0.25">
      <c r="A30059" s="5">
        <f>30052</f>
      </c>
      <c r="B30059" s="5" t="s">
        <v>30067</v>
      </c>
      <c r="C30059" s="5">
        <v>89.7</v>
      </c>
      <c r="D30059" s="5">
        <v>0.1</v>
      </c>
      <c r="E30059" s="5">
        <v>89.8</v>
      </c>
      <c r="F30059" s="5">
        <v>183.8</v>
      </c>
      <c r="G30059" s="5">
        <v>92.2</v>
      </c>
      <c r="H30059" s="5">
        <v>91.8</v>
      </c>
      <c r="I30059" s="5">
        <v>0</v>
      </c>
      <c r="J30059" s="5">
        <v>0</v>
      </c>
      <c r="K30059" s="5">
        <v>0</v>
      </c>
    </row>
    <row r="30060" spans="1:11" x14ac:dyDescent="0.25">
      <c r="A30060" s="5">
        <f>30053</f>
      </c>
      <c r="B30060" s="5" t="s">
        <v>30068</v>
      </c>
      <c r="C30060" s="5">
        <v>89.7</v>
      </c>
      <c r="D30060" s="5">
        <v>0.1</v>
      </c>
      <c r="E30060" s="5">
        <v>89.8</v>
      </c>
      <c r="F30060" s="5">
        <v>183.8</v>
      </c>
      <c r="G30060" s="5">
        <v>92.2</v>
      </c>
      <c r="H30060" s="5">
        <v>91.8</v>
      </c>
      <c r="I30060" s="5">
        <v>0</v>
      </c>
      <c r="J30060" s="5">
        <v>0</v>
      </c>
      <c r="K30060" s="5">
        <v>0</v>
      </c>
    </row>
    <row r="30061" spans="1:11" x14ac:dyDescent="0.25">
      <c r="A30061" s="5">
        <f>30054</f>
      </c>
      <c r="B30061" s="5" t="s">
        <v>30069</v>
      </c>
      <c r="C30061" s="5">
        <v>89.7</v>
      </c>
      <c r="D30061" s="5">
        <v>0.1</v>
      </c>
      <c r="E30061" s="5">
        <v>89.8</v>
      </c>
      <c r="F30061" s="5">
        <v>183.8</v>
      </c>
      <c r="G30061" s="5">
        <v>92.2</v>
      </c>
      <c r="H30061" s="5">
        <v>91.8</v>
      </c>
      <c r="I30061" s="5">
        <v>0</v>
      </c>
      <c r="J30061" s="5">
        <v>0</v>
      </c>
      <c r="K30061" s="5">
        <v>0</v>
      </c>
    </row>
    <row r="30062" spans="1:11" x14ac:dyDescent="0.25">
      <c r="A30062" s="5">
        <f>30055</f>
      </c>
      <c r="B30062" s="5" t="s">
        <v>30070</v>
      </c>
      <c r="C30062" s="5">
        <v>98</v>
      </c>
      <c r="D30062" s="5">
        <v>0.1</v>
      </c>
      <c r="E30062" s="5">
        <v>98.1</v>
      </c>
      <c r="F30062" s="5">
        <v>196.4</v>
      </c>
      <c r="G30062" s="5">
        <v>97.9</v>
      </c>
      <c r="H30062" s="5">
        <v>97.8</v>
      </c>
      <c r="I30062" s="5">
        <v>0</v>
      </c>
      <c r="J30062" s="5">
        <v>0</v>
      </c>
      <c r="K30062" s="5">
        <v>0</v>
      </c>
    </row>
    <row r="30063" spans="1:11" x14ac:dyDescent="0.25">
      <c r="A30063" s="5">
        <f>30056</f>
      </c>
      <c r="B30063" s="5" t="s">
        <v>30071</v>
      </c>
      <c r="C30063" s="5">
        <v>98</v>
      </c>
      <c r="D30063" s="5">
        <v>0.1</v>
      </c>
      <c r="E30063" s="5">
        <v>98.1</v>
      </c>
      <c r="F30063" s="5">
        <v>196.4</v>
      </c>
      <c r="G30063" s="5">
        <v>97.9</v>
      </c>
      <c r="H30063" s="5">
        <v>97.8</v>
      </c>
      <c r="I30063" s="5">
        <v>0</v>
      </c>
      <c r="J30063" s="5">
        <v>0</v>
      </c>
      <c r="K30063" s="5">
        <v>0</v>
      </c>
    </row>
    <row r="30064" spans="1:11" x14ac:dyDescent="0.25">
      <c r="A30064" s="5">
        <f>30057</f>
      </c>
      <c r="B30064" s="5" t="s">
        <v>30072</v>
      </c>
      <c r="C30064" s="5">
        <v>97.3</v>
      </c>
      <c r="D30064" s="5">
        <v>0.1</v>
      </c>
      <c r="E30064" s="5">
        <v>97.4</v>
      </c>
      <c r="F30064" s="5">
        <v>194.2</v>
      </c>
      <c r="G30064" s="5">
        <v>96.9</v>
      </c>
      <c r="H30064" s="5">
        <v>96.8</v>
      </c>
      <c r="I30064" s="5">
        <v>0</v>
      </c>
      <c r="J30064" s="5">
        <v>0</v>
      </c>
      <c r="K30064" s="5">
        <v>0</v>
      </c>
    </row>
    <row r="30065" spans="1:11" x14ac:dyDescent="0.25">
      <c r="A30065" s="5">
        <f>30058</f>
      </c>
      <c r="B30065" s="5" t="s">
        <v>30073</v>
      </c>
      <c r="C30065" s="5">
        <v>97.3</v>
      </c>
      <c r="D30065" s="5">
        <v>0.1</v>
      </c>
      <c r="E30065" s="5">
        <v>97.4</v>
      </c>
      <c r="F30065" s="5">
        <v>194.2</v>
      </c>
      <c r="G30065" s="5">
        <v>96.9</v>
      </c>
      <c r="H30065" s="5">
        <v>96.8</v>
      </c>
      <c r="I30065" s="5">
        <v>0</v>
      </c>
      <c r="J30065" s="5">
        <v>0</v>
      </c>
      <c r="K30065" s="5">
        <v>0</v>
      </c>
    </row>
    <row r="30066" spans="1:11" x14ac:dyDescent="0.25">
      <c r="A30066" s="5">
        <f>30059</f>
      </c>
      <c r="B30066" s="5" t="s">
        <v>30074</v>
      </c>
      <c r="C30066" s="5">
        <v>97.1</v>
      </c>
      <c r="D30066" s="5">
        <v>0.1</v>
      </c>
      <c r="E30066" s="5">
        <v>97.3</v>
      </c>
      <c r="F30066" s="5">
        <v>194.3</v>
      </c>
      <c r="G30066" s="5">
        <v>96.9</v>
      </c>
      <c r="H30066" s="5">
        <v>96.8</v>
      </c>
      <c r="I30066" s="5">
        <v>0</v>
      </c>
      <c r="J30066" s="5">
        <v>0</v>
      </c>
      <c r="K30066" s="5">
        <v>0</v>
      </c>
    </row>
    <row r="30067" spans="1:11" x14ac:dyDescent="0.25">
      <c r="A30067" s="5">
        <f>30060</f>
      </c>
      <c r="B30067" s="5" t="s">
        <v>30075</v>
      </c>
      <c r="C30067" s="5">
        <v>97.1</v>
      </c>
      <c r="D30067" s="5">
        <v>0.1</v>
      </c>
      <c r="E30067" s="5">
        <v>97.3</v>
      </c>
      <c r="F30067" s="5">
        <v>194.3</v>
      </c>
      <c r="G30067" s="5">
        <v>96.9</v>
      </c>
      <c r="H30067" s="5">
        <v>96.8</v>
      </c>
      <c r="I30067" s="5">
        <v>0</v>
      </c>
      <c r="J30067" s="5">
        <v>0</v>
      </c>
      <c r="K30067" s="5">
        <v>0</v>
      </c>
    </row>
    <row r="30068" spans="1:11" x14ac:dyDescent="0.25">
      <c r="A30068" s="5">
        <f>30061</f>
      </c>
      <c r="B30068" s="5" t="s">
        <v>30076</v>
      </c>
      <c r="C30068" s="5">
        <v>97</v>
      </c>
      <c r="D30068" s="5">
        <v>0.1</v>
      </c>
      <c r="E30068" s="5">
        <v>97.1</v>
      </c>
      <c r="F30068" s="5">
        <v>193.8</v>
      </c>
      <c r="G30068" s="5">
        <v>96.7</v>
      </c>
      <c r="H30068" s="5">
        <v>96.5</v>
      </c>
      <c r="I30068" s="5">
        <v>0</v>
      </c>
      <c r="J30068" s="5">
        <v>0</v>
      </c>
      <c r="K30068" s="5">
        <v>0</v>
      </c>
    </row>
    <row r="30069" spans="1:11" x14ac:dyDescent="0.25">
      <c r="A30069" s="5">
        <f>30062</f>
      </c>
      <c r="B30069" s="5" t="s">
        <v>30077</v>
      </c>
      <c r="C30069" s="5">
        <v>97</v>
      </c>
      <c r="D30069" s="5">
        <v>0.1</v>
      </c>
      <c r="E30069" s="5">
        <v>97.1</v>
      </c>
      <c r="F30069" s="5">
        <v>193.8</v>
      </c>
      <c r="G30069" s="5">
        <v>96.7</v>
      </c>
      <c r="H30069" s="5">
        <v>96.5</v>
      </c>
      <c r="I30069" s="5">
        <v>0</v>
      </c>
      <c r="J30069" s="5">
        <v>0</v>
      </c>
      <c r="K30069" s="5">
        <v>0</v>
      </c>
    </row>
    <row r="30070" spans="1:11" x14ac:dyDescent="0.25">
      <c r="A30070" s="5">
        <f>30063</f>
      </c>
      <c r="B30070" s="5" t="s">
        <v>30078</v>
      </c>
      <c r="C30070" s="5">
        <v>97</v>
      </c>
      <c r="D30070" s="5">
        <v>0.1</v>
      </c>
      <c r="E30070" s="5">
        <v>97.1</v>
      </c>
      <c r="F30070" s="5">
        <v>193.8</v>
      </c>
      <c r="G30070" s="5">
        <v>96.7</v>
      </c>
      <c r="H30070" s="5">
        <v>96.5</v>
      </c>
      <c r="I30070" s="5">
        <v>0</v>
      </c>
      <c r="J30070" s="5">
        <v>0</v>
      </c>
      <c r="K30070" s="5">
        <v>0</v>
      </c>
    </row>
    <row r="30071" spans="1:11" x14ac:dyDescent="0.25">
      <c r="A30071" s="5">
        <f>30064</f>
      </c>
      <c r="B30071" s="5" t="s">
        <v>30079</v>
      </c>
      <c r="C30071" s="5">
        <v>97</v>
      </c>
      <c r="D30071" s="5">
        <v>0.1</v>
      </c>
      <c r="E30071" s="5">
        <v>97.1</v>
      </c>
      <c r="F30071" s="5">
        <v>193.8</v>
      </c>
      <c r="G30071" s="5">
        <v>96.7</v>
      </c>
      <c r="H30071" s="5">
        <v>96.5</v>
      </c>
      <c r="I30071" s="5">
        <v>0</v>
      </c>
      <c r="J30071" s="5">
        <v>0</v>
      </c>
      <c r="K30071" s="5">
        <v>0</v>
      </c>
    </row>
    <row r="30072" spans="1:11" x14ac:dyDescent="0.25">
      <c r="A30072" s="5">
        <f>30065</f>
      </c>
      <c r="B30072" s="5" t="s">
        <v>30080</v>
      </c>
      <c r="C30072" s="5">
        <v>97.4</v>
      </c>
      <c r="D30072" s="5">
        <v>0.1</v>
      </c>
      <c r="E30072" s="5">
        <v>97.6</v>
      </c>
      <c r="F30072" s="5">
        <v>194.2</v>
      </c>
      <c r="G30072" s="5">
        <v>97</v>
      </c>
      <c r="H30072" s="5">
        <v>97</v>
      </c>
      <c r="I30072" s="5">
        <v>0</v>
      </c>
      <c r="J30072" s="5">
        <v>0</v>
      </c>
      <c r="K30072" s="5">
        <v>0</v>
      </c>
    </row>
    <row r="30073" spans="1:11" x14ac:dyDescent="0.25">
      <c r="A30073" s="5">
        <f>30066</f>
      </c>
      <c r="B30073" s="5" t="s">
        <v>30081</v>
      </c>
      <c r="C30073" s="5">
        <v>97.4</v>
      </c>
      <c r="D30073" s="5">
        <v>0.1</v>
      </c>
      <c r="E30073" s="5">
        <v>97.6</v>
      </c>
      <c r="F30073" s="5">
        <v>194.2</v>
      </c>
      <c r="G30073" s="5">
        <v>97</v>
      </c>
      <c r="H30073" s="5">
        <v>97</v>
      </c>
      <c r="I30073" s="5">
        <v>0</v>
      </c>
      <c r="J30073" s="5">
        <v>0</v>
      </c>
      <c r="K30073" s="5">
        <v>0</v>
      </c>
    </row>
    <row r="30074" spans="1:11" x14ac:dyDescent="0.25">
      <c r="A30074" s="5">
        <f>30067</f>
      </c>
      <c r="B30074" s="5" t="s">
        <v>30082</v>
      </c>
      <c r="C30074" s="5">
        <v>96.7</v>
      </c>
      <c r="D30074" s="5">
        <v>0.1</v>
      </c>
      <c r="E30074" s="5">
        <v>96.9</v>
      </c>
      <c r="F30074" s="5">
        <v>193.3</v>
      </c>
      <c r="G30074" s="5">
        <v>96.4</v>
      </c>
      <c r="H30074" s="5">
        <v>96.3</v>
      </c>
      <c r="I30074" s="5">
        <v>0</v>
      </c>
      <c r="J30074" s="5">
        <v>0</v>
      </c>
      <c r="K30074" s="5">
        <v>0</v>
      </c>
    </row>
    <row r="30075" spans="1:11" x14ac:dyDescent="0.25">
      <c r="A30075" s="5">
        <f>30068</f>
      </c>
      <c r="B30075" s="5" t="s">
        <v>30083</v>
      </c>
      <c r="C30075" s="5">
        <v>96.7</v>
      </c>
      <c r="D30075" s="5">
        <v>0.1</v>
      </c>
      <c r="E30075" s="5">
        <v>96.9</v>
      </c>
      <c r="F30075" s="5">
        <v>193.3</v>
      </c>
      <c r="G30075" s="5">
        <v>96.4</v>
      </c>
      <c r="H30075" s="5">
        <v>96.3</v>
      </c>
      <c r="I30075" s="5">
        <v>0</v>
      </c>
      <c r="J30075" s="5">
        <v>0</v>
      </c>
      <c r="K30075" s="5">
        <v>0</v>
      </c>
    </row>
    <row r="30076" spans="1:11" x14ac:dyDescent="0.25">
      <c r="A30076" s="5">
        <f>30069</f>
      </c>
      <c r="B30076" s="5" t="s">
        <v>30084</v>
      </c>
      <c r="C30076" s="5">
        <v>97.1</v>
      </c>
      <c r="D30076" s="5">
        <v>0.1</v>
      </c>
      <c r="E30076" s="5">
        <v>97.2</v>
      </c>
      <c r="F30076" s="5">
        <v>194.1</v>
      </c>
      <c r="G30076" s="5">
        <v>96.8</v>
      </c>
      <c r="H30076" s="5">
        <v>96.7</v>
      </c>
      <c r="I30076" s="5">
        <v>0</v>
      </c>
      <c r="J30076" s="5">
        <v>0</v>
      </c>
      <c r="K30076" s="5">
        <v>0</v>
      </c>
    </row>
    <row r="30077" spans="1:11" x14ac:dyDescent="0.25">
      <c r="A30077" s="5">
        <f>30070</f>
      </c>
      <c r="B30077" s="5" t="s">
        <v>30085</v>
      </c>
      <c r="C30077" s="5">
        <v>97.1</v>
      </c>
      <c r="D30077" s="5">
        <v>0.1</v>
      </c>
      <c r="E30077" s="5">
        <v>97.2</v>
      </c>
      <c r="F30077" s="5">
        <v>194.1</v>
      </c>
      <c r="G30077" s="5">
        <v>96.8</v>
      </c>
      <c r="H30077" s="5">
        <v>96.7</v>
      </c>
      <c r="I30077" s="5">
        <v>0</v>
      </c>
      <c r="J30077" s="5">
        <v>0</v>
      </c>
      <c r="K30077" s="5">
        <v>0</v>
      </c>
    </row>
    <row r="30078" spans="1:11" x14ac:dyDescent="0.25">
      <c r="A30078" s="5">
        <f>30071</f>
      </c>
      <c r="B30078" s="5" t="s">
        <v>30086</v>
      </c>
      <c r="C30078" s="5">
        <v>97.3</v>
      </c>
      <c r="D30078" s="5">
        <v>0.1</v>
      </c>
      <c r="E30078" s="5">
        <v>97.4</v>
      </c>
      <c r="F30078" s="5">
        <v>194.4</v>
      </c>
      <c r="G30078" s="5">
        <v>97</v>
      </c>
      <c r="H30078" s="5">
        <v>96.8</v>
      </c>
      <c r="I30078" s="5">
        <v>0</v>
      </c>
      <c r="J30078" s="5">
        <v>0</v>
      </c>
      <c r="K30078" s="5">
        <v>0</v>
      </c>
    </row>
    <row r="30079" spans="1:11" x14ac:dyDescent="0.25">
      <c r="A30079" s="5">
        <f>30072</f>
      </c>
      <c r="B30079" s="5" t="s">
        <v>30087</v>
      </c>
      <c r="C30079" s="5">
        <v>97.3</v>
      </c>
      <c r="D30079" s="5">
        <v>0.1</v>
      </c>
      <c r="E30079" s="5">
        <v>97.4</v>
      </c>
      <c r="F30079" s="5">
        <v>194.4</v>
      </c>
      <c r="G30079" s="5">
        <v>97</v>
      </c>
      <c r="H30079" s="5">
        <v>96.8</v>
      </c>
      <c r="I30079" s="5">
        <v>0</v>
      </c>
      <c r="J30079" s="5">
        <v>0</v>
      </c>
      <c r="K30079" s="5">
        <v>0</v>
      </c>
    </row>
    <row r="30080" spans="1:11" x14ac:dyDescent="0.25">
      <c r="A30080" s="5">
        <f>30073</f>
      </c>
      <c r="B30080" s="5" t="s">
        <v>30088</v>
      </c>
      <c r="C30080" s="5">
        <v>97.3</v>
      </c>
      <c r="D30080" s="5">
        <v>0.1</v>
      </c>
      <c r="E30080" s="5">
        <v>97.4</v>
      </c>
      <c r="F30080" s="5">
        <v>194.4</v>
      </c>
      <c r="G30080" s="5">
        <v>97</v>
      </c>
      <c r="H30080" s="5">
        <v>96.8</v>
      </c>
      <c r="I30080" s="5">
        <v>0</v>
      </c>
      <c r="J30080" s="5">
        <v>0</v>
      </c>
      <c r="K30080" s="5">
        <v>0</v>
      </c>
    </row>
    <row r="30081" spans="1:11" x14ac:dyDescent="0.25">
      <c r="A30081" s="5">
        <f>30074</f>
      </c>
      <c r="B30081" s="5" t="s">
        <v>30089</v>
      </c>
      <c r="C30081" s="5">
        <v>97.3</v>
      </c>
      <c r="D30081" s="5">
        <v>0.1</v>
      </c>
      <c r="E30081" s="5">
        <v>97.4</v>
      </c>
      <c r="F30081" s="5">
        <v>194.4</v>
      </c>
      <c r="G30081" s="5">
        <v>97</v>
      </c>
      <c r="H30081" s="5">
        <v>96.8</v>
      </c>
      <c r="I30081" s="5">
        <v>0</v>
      </c>
      <c r="J30081" s="5">
        <v>0</v>
      </c>
      <c r="K30081" s="5">
        <v>0</v>
      </c>
    </row>
    <row r="30082" spans="1:11" x14ac:dyDescent="0.25">
      <c r="A30082" s="5">
        <f>30075</f>
      </c>
      <c r="B30082" s="5" t="s">
        <v>30090</v>
      </c>
      <c r="C30082" s="5">
        <v>97.3</v>
      </c>
      <c r="D30082" s="5">
        <v>0.1</v>
      </c>
      <c r="E30082" s="5">
        <v>97.4</v>
      </c>
      <c r="F30082" s="5">
        <v>194.6</v>
      </c>
      <c r="G30082" s="5">
        <v>97</v>
      </c>
      <c r="H30082" s="5">
        <v>96.9</v>
      </c>
      <c r="I30082" s="5">
        <v>0</v>
      </c>
      <c r="J30082" s="5">
        <v>0</v>
      </c>
      <c r="K30082" s="5">
        <v>0</v>
      </c>
    </row>
    <row r="30083" spans="1:11" x14ac:dyDescent="0.25">
      <c r="A30083" s="5">
        <f>30076</f>
      </c>
      <c r="B30083" s="5" t="s">
        <v>30091</v>
      </c>
      <c r="C30083" s="5">
        <v>97.3</v>
      </c>
      <c r="D30083" s="5">
        <v>0.1</v>
      </c>
      <c r="E30083" s="5">
        <v>97.4</v>
      </c>
      <c r="F30083" s="5">
        <v>194.6</v>
      </c>
      <c r="G30083" s="5">
        <v>97</v>
      </c>
      <c r="H30083" s="5">
        <v>96.9</v>
      </c>
      <c r="I30083" s="5">
        <v>0</v>
      </c>
      <c r="J30083" s="5">
        <v>0</v>
      </c>
      <c r="K30083" s="5">
        <v>0</v>
      </c>
    </row>
    <row r="30084" spans="1:11" x14ac:dyDescent="0.25">
      <c r="A30084" s="5">
        <f>30077</f>
      </c>
      <c r="B30084" s="5" t="s">
        <v>30092</v>
      </c>
      <c r="C30084" s="5">
        <v>97.9</v>
      </c>
      <c r="D30084" s="5">
        <v>0.1</v>
      </c>
      <c r="E30084" s="5">
        <v>98</v>
      </c>
      <c r="F30084" s="5">
        <v>194.6</v>
      </c>
      <c r="G30084" s="5">
        <v>97.1</v>
      </c>
      <c r="H30084" s="5">
        <v>97</v>
      </c>
      <c r="I30084" s="5">
        <v>0</v>
      </c>
      <c r="J30084" s="5">
        <v>0</v>
      </c>
      <c r="K30084" s="5">
        <v>0</v>
      </c>
    </row>
    <row r="30085" spans="1:11" x14ac:dyDescent="0.25">
      <c r="A30085" s="5">
        <f>30078</f>
      </c>
      <c r="B30085" s="5" t="s">
        <v>30093</v>
      </c>
      <c r="C30085" s="5">
        <v>97.9</v>
      </c>
      <c r="D30085" s="5">
        <v>0.1</v>
      </c>
      <c r="E30085" s="5">
        <v>98</v>
      </c>
      <c r="F30085" s="5">
        <v>194.6</v>
      </c>
      <c r="G30085" s="5">
        <v>97.1</v>
      </c>
      <c r="H30085" s="5">
        <v>97</v>
      </c>
      <c r="I30085" s="5">
        <v>0</v>
      </c>
      <c r="J30085" s="5">
        <v>0</v>
      </c>
      <c r="K30085" s="5">
        <v>0</v>
      </c>
    </row>
    <row r="30086" spans="1:11" x14ac:dyDescent="0.25">
      <c r="A30086" s="5">
        <f>30079</f>
      </c>
      <c r="B30086" s="5" t="s">
        <v>30094</v>
      </c>
      <c r="C30086" s="5">
        <v>88.4</v>
      </c>
      <c r="D30086" s="5">
        <v>0.1</v>
      </c>
      <c r="E30086" s="5">
        <v>88.4</v>
      </c>
      <c r="F30086" s="5">
        <v>176.5</v>
      </c>
      <c r="G30086" s="5">
        <v>88</v>
      </c>
      <c r="H30086" s="5">
        <v>88</v>
      </c>
      <c r="I30086" s="5">
        <v>0</v>
      </c>
      <c r="J30086" s="5">
        <v>0</v>
      </c>
      <c r="K30086" s="5">
        <v>0</v>
      </c>
    </row>
    <row r="30087" spans="1:11" x14ac:dyDescent="0.25">
      <c r="A30087" s="5">
        <f>30080</f>
      </c>
      <c r="B30087" s="5" t="s">
        <v>30095</v>
      </c>
      <c r="C30087" s="5">
        <v>88.4</v>
      </c>
      <c r="D30087" s="5">
        <v>0.1</v>
      </c>
      <c r="E30087" s="5">
        <v>88.4</v>
      </c>
      <c r="F30087" s="5">
        <v>176.5</v>
      </c>
      <c r="G30087" s="5">
        <v>88</v>
      </c>
      <c r="H30087" s="5">
        <v>88</v>
      </c>
      <c r="I30087" s="5">
        <v>0</v>
      </c>
      <c r="J30087" s="5">
        <v>0</v>
      </c>
      <c r="K30087" s="5">
        <v>0</v>
      </c>
    </row>
    <row r="30088" spans="1:11" x14ac:dyDescent="0.25">
      <c r="A30088" s="5">
        <f>30081</f>
      </c>
      <c r="B30088" s="5" t="s">
        <v>30096</v>
      </c>
      <c r="C30088" s="5">
        <v>88.6</v>
      </c>
      <c r="D30088" s="5">
        <v>0.1</v>
      </c>
      <c r="E30088" s="5">
        <v>88.7</v>
      </c>
      <c r="F30088" s="5">
        <v>180.3</v>
      </c>
      <c r="G30088" s="5">
        <v>89.6</v>
      </c>
      <c r="H30088" s="5">
        <v>89.2</v>
      </c>
      <c r="I30088" s="5">
        <v>0</v>
      </c>
      <c r="J30088" s="5">
        <v>0</v>
      </c>
      <c r="K30088" s="5">
        <v>0</v>
      </c>
    </row>
    <row r="30089" spans="1:11" x14ac:dyDescent="0.25">
      <c r="A30089" s="5">
        <f>30082</f>
      </c>
      <c r="B30089" s="5" t="s">
        <v>30097</v>
      </c>
      <c r="C30089" s="5">
        <v>88.6</v>
      </c>
      <c r="D30089" s="5">
        <v>0.1</v>
      </c>
      <c r="E30089" s="5">
        <v>88.7</v>
      </c>
      <c r="F30089" s="5">
        <v>180.3</v>
      </c>
      <c r="G30089" s="5">
        <v>89.6</v>
      </c>
      <c r="H30089" s="5">
        <v>89.2</v>
      </c>
      <c r="I30089" s="5">
        <v>0</v>
      </c>
      <c r="J30089" s="5">
        <v>0</v>
      </c>
      <c r="K30089" s="5">
        <v>0</v>
      </c>
    </row>
    <row r="30090" spans="1:11" x14ac:dyDescent="0.25">
      <c r="A30090" s="5">
        <f>30083</f>
      </c>
      <c r="B30090" s="5" t="s">
        <v>30098</v>
      </c>
      <c r="C30090" s="5">
        <v>88.6</v>
      </c>
      <c r="D30090" s="5">
        <v>0.1</v>
      </c>
      <c r="E30090" s="5">
        <v>88.7</v>
      </c>
      <c r="F30090" s="5">
        <v>180.3</v>
      </c>
      <c r="G30090" s="5">
        <v>89.6</v>
      </c>
      <c r="H30090" s="5">
        <v>89.2</v>
      </c>
      <c r="I30090" s="5">
        <v>0</v>
      </c>
      <c r="J30090" s="5">
        <v>0</v>
      </c>
      <c r="K30090" s="5">
        <v>0</v>
      </c>
    </row>
    <row r="30091" spans="1:11" x14ac:dyDescent="0.25">
      <c r="A30091" s="5">
        <f>30084</f>
      </c>
      <c r="B30091" s="5" t="s">
        <v>30099</v>
      </c>
      <c r="C30091" s="5">
        <v>88.6</v>
      </c>
      <c r="D30091" s="5">
        <v>0.1</v>
      </c>
      <c r="E30091" s="5">
        <v>88.7</v>
      </c>
      <c r="F30091" s="5">
        <v>180.3</v>
      </c>
      <c r="G30091" s="5">
        <v>89.6</v>
      </c>
      <c r="H30091" s="5">
        <v>89.2</v>
      </c>
      <c r="I30091" s="5">
        <v>0</v>
      </c>
      <c r="J30091" s="5">
        <v>0</v>
      </c>
      <c r="K30091" s="5">
        <v>0</v>
      </c>
    </row>
    <row r="30092" spans="1:11" x14ac:dyDescent="0.25">
      <c r="A30092" s="5">
        <f>30085</f>
      </c>
      <c r="B30092" s="5" t="s">
        <v>30100</v>
      </c>
      <c r="C30092" s="5">
        <v>99.9</v>
      </c>
      <c r="D30092" s="5">
        <v>0.1</v>
      </c>
      <c r="E30092" s="5">
        <v>100.1</v>
      </c>
      <c r="F30092" s="5">
        <v>200.1</v>
      </c>
      <c r="G30092" s="5">
        <v>99.8</v>
      </c>
      <c r="H30092" s="5">
        <v>97.9</v>
      </c>
      <c r="I30092" s="5">
        <v>0</v>
      </c>
      <c r="J30092" s="5">
        <v>0</v>
      </c>
      <c r="K30092" s="5">
        <v>0</v>
      </c>
    </row>
    <row r="30093" spans="1:11" x14ac:dyDescent="0.25">
      <c r="A30093" s="5">
        <f>30086</f>
      </c>
      <c r="B30093" s="5" t="s">
        <v>30101</v>
      </c>
      <c r="C30093" s="5">
        <v>99.9</v>
      </c>
      <c r="D30093" s="5">
        <v>0.1</v>
      </c>
      <c r="E30093" s="5">
        <v>100.1</v>
      </c>
      <c r="F30093" s="5">
        <v>200.1</v>
      </c>
      <c r="G30093" s="5">
        <v>99.8</v>
      </c>
      <c r="H30093" s="5">
        <v>97.9</v>
      </c>
      <c r="I30093" s="5">
        <v>0</v>
      </c>
      <c r="J30093" s="5">
        <v>0</v>
      </c>
      <c r="K30093" s="5">
        <v>0</v>
      </c>
    </row>
    <row r="30094" spans="1:11" x14ac:dyDescent="0.25">
      <c r="A30094" s="5">
        <f>30087</f>
      </c>
      <c r="B30094" s="5" t="s">
        <v>30102</v>
      </c>
      <c r="C30094" s="5">
        <v>91.5</v>
      </c>
      <c r="D30094" s="5">
        <v>0.1</v>
      </c>
      <c r="E30094" s="5">
        <v>91.6</v>
      </c>
      <c r="F30094" s="5">
        <v>184.8</v>
      </c>
      <c r="G30094" s="5">
        <v>92.1</v>
      </c>
      <c r="H30094" s="5">
        <v>91.8</v>
      </c>
      <c r="I30094" s="5">
        <v>0</v>
      </c>
      <c r="J30094" s="5">
        <v>0</v>
      </c>
      <c r="K30094" s="5">
        <v>0</v>
      </c>
    </row>
    <row r="30095" spans="1:11" x14ac:dyDescent="0.25">
      <c r="A30095" s="5">
        <f>30088</f>
      </c>
      <c r="B30095" s="5" t="s">
        <v>30103</v>
      </c>
      <c r="C30095" s="5">
        <v>91.5</v>
      </c>
      <c r="D30095" s="5">
        <v>0.1</v>
      </c>
      <c r="E30095" s="5">
        <v>91.6</v>
      </c>
      <c r="F30095" s="5">
        <v>184.8</v>
      </c>
      <c r="G30095" s="5">
        <v>92.1</v>
      </c>
      <c r="H30095" s="5">
        <v>91.8</v>
      </c>
      <c r="I30095" s="5">
        <v>0</v>
      </c>
      <c r="J30095" s="5">
        <v>0</v>
      </c>
      <c r="K30095" s="5">
        <v>0</v>
      </c>
    </row>
    <row r="30096" spans="1:11" x14ac:dyDescent="0.25">
      <c r="A30096" s="5">
        <f>30089</f>
      </c>
      <c r="B30096" s="5" t="s">
        <v>30104</v>
      </c>
      <c r="C30096" s="5">
        <v>92.5</v>
      </c>
      <c r="D30096" s="5">
        <v>0.1</v>
      </c>
      <c r="E30096" s="5">
        <v>92.6</v>
      </c>
      <c r="F30096" s="5">
        <v>180.1</v>
      </c>
      <c r="G30096" s="5">
        <v>89.9</v>
      </c>
      <c r="H30096" s="5">
        <v>90</v>
      </c>
      <c r="I30096" s="5">
        <v>0</v>
      </c>
      <c r="J30096" s="5">
        <v>0</v>
      </c>
      <c r="K30096" s="5">
        <v>0</v>
      </c>
    </row>
    <row r="30097" spans="1:11" x14ac:dyDescent="0.25">
      <c r="A30097" s="5">
        <f>30090</f>
      </c>
      <c r="B30097" s="5" t="s">
        <v>30105</v>
      </c>
      <c r="C30097" s="5">
        <v>92.5</v>
      </c>
      <c r="D30097" s="5">
        <v>0.1</v>
      </c>
      <c r="E30097" s="5">
        <v>92.6</v>
      </c>
      <c r="F30097" s="5">
        <v>180.1</v>
      </c>
      <c r="G30097" s="5">
        <v>89.9</v>
      </c>
      <c r="H30097" s="5">
        <v>90</v>
      </c>
      <c r="I30097" s="5">
        <v>0</v>
      </c>
      <c r="J30097" s="5">
        <v>0</v>
      </c>
      <c r="K30097" s="5">
        <v>0</v>
      </c>
    </row>
    <row r="30098" spans="1:11" x14ac:dyDescent="0.25">
      <c r="A30098" s="5">
        <f>30091</f>
      </c>
      <c r="B30098" s="5" t="s">
        <v>30106</v>
      </c>
      <c r="C30098" s="5">
        <v>98.3</v>
      </c>
      <c r="D30098" s="5">
        <v>0.1</v>
      </c>
      <c r="E30098" s="5">
        <v>98.5</v>
      </c>
      <c r="F30098" s="5">
        <v>195.7</v>
      </c>
      <c r="G30098" s="5">
        <v>97.6</v>
      </c>
      <c r="H30098" s="5">
        <v>97.5</v>
      </c>
      <c r="I30098" s="5">
        <v>0</v>
      </c>
      <c r="J30098" s="5">
        <v>0</v>
      </c>
      <c r="K30098" s="5">
        <v>0</v>
      </c>
    </row>
    <row r="30099" spans="1:11" x14ac:dyDescent="0.25">
      <c r="A30099" s="5">
        <f>30092</f>
      </c>
      <c r="B30099" s="5" t="s">
        <v>30107</v>
      </c>
      <c r="C30099" s="5">
        <v>98.3</v>
      </c>
      <c r="D30099" s="5">
        <v>0.1</v>
      </c>
      <c r="E30099" s="5">
        <v>98.5</v>
      </c>
      <c r="F30099" s="5">
        <v>195.7</v>
      </c>
      <c r="G30099" s="5">
        <v>97.6</v>
      </c>
      <c r="H30099" s="5">
        <v>97.5</v>
      </c>
      <c r="I30099" s="5">
        <v>0</v>
      </c>
      <c r="J30099" s="5">
        <v>0</v>
      </c>
      <c r="K30099" s="5">
        <v>0</v>
      </c>
    </row>
    <row r="30100" spans="1:11" x14ac:dyDescent="0.25">
      <c r="A30100" s="5">
        <f>30093</f>
      </c>
      <c r="B30100" s="5" t="s">
        <v>30108</v>
      </c>
      <c r="C30100" s="5">
        <v>98.3</v>
      </c>
      <c r="D30100" s="5">
        <v>0.1</v>
      </c>
      <c r="E30100" s="5">
        <v>98.5</v>
      </c>
      <c r="F30100" s="5">
        <v>195.7</v>
      </c>
      <c r="G30100" s="5">
        <v>97.6</v>
      </c>
      <c r="H30100" s="5">
        <v>97.5</v>
      </c>
      <c r="I30100" s="5">
        <v>0</v>
      </c>
      <c r="J30100" s="5">
        <v>0</v>
      </c>
      <c r="K30100" s="5">
        <v>0</v>
      </c>
    </row>
    <row r="30101" spans="1:11" x14ac:dyDescent="0.25">
      <c r="A30101" s="5">
        <f>30094</f>
      </c>
      <c r="B30101" s="5" t="s">
        <v>30109</v>
      </c>
      <c r="C30101" s="5">
        <v>98.3</v>
      </c>
      <c r="D30101" s="5">
        <v>0.1</v>
      </c>
      <c r="E30101" s="5">
        <v>98.5</v>
      </c>
      <c r="F30101" s="5">
        <v>195.7</v>
      </c>
      <c r="G30101" s="5">
        <v>97.6</v>
      </c>
      <c r="H30101" s="5">
        <v>97.5</v>
      </c>
      <c r="I30101" s="5">
        <v>0</v>
      </c>
      <c r="J30101" s="5">
        <v>0</v>
      </c>
      <c r="K30101" s="5">
        <v>0</v>
      </c>
    </row>
    <row r="30102" spans="1:11" x14ac:dyDescent="0.25">
      <c r="A30102" s="5">
        <f>30095</f>
      </c>
      <c r="B30102" s="5" t="s">
        <v>30110</v>
      </c>
      <c r="C30102" s="5">
        <v>90</v>
      </c>
      <c r="D30102" s="5">
        <v>0.1</v>
      </c>
      <c r="E30102" s="5">
        <v>90.1</v>
      </c>
      <c r="F30102" s="5">
        <v>180.3</v>
      </c>
      <c r="G30102" s="5">
        <v>89.9</v>
      </c>
      <c r="H30102" s="5">
        <v>89.8</v>
      </c>
      <c r="I30102" s="5">
        <v>0</v>
      </c>
      <c r="J30102" s="5">
        <v>0</v>
      </c>
      <c r="K30102" s="5">
        <v>0</v>
      </c>
    </row>
    <row r="30103" spans="1:11" x14ac:dyDescent="0.25">
      <c r="A30103" s="5">
        <f>30096</f>
      </c>
      <c r="B30103" s="5" t="s">
        <v>30111</v>
      </c>
      <c r="C30103" s="5">
        <v>90</v>
      </c>
      <c r="D30103" s="5">
        <v>0.1</v>
      </c>
      <c r="E30103" s="5">
        <v>90.1</v>
      </c>
      <c r="F30103" s="5">
        <v>180.3</v>
      </c>
      <c r="G30103" s="5">
        <v>89.9</v>
      </c>
      <c r="H30103" s="5">
        <v>89.8</v>
      </c>
      <c r="I30103" s="5">
        <v>0</v>
      </c>
      <c r="J30103" s="5">
        <v>0</v>
      </c>
      <c r="K30103" s="5">
        <v>0</v>
      </c>
    </row>
    <row r="30104" spans="1:11" x14ac:dyDescent="0.25">
      <c r="A30104" s="5">
        <f>30097</f>
      </c>
      <c r="B30104" s="5" t="s">
        <v>30112</v>
      </c>
      <c r="C30104" s="5">
        <v>98.8</v>
      </c>
      <c r="D30104" s="5">
        <v>0.1</v>
      </c>
      <c r="E30104" s="5">
        <v>98.9</v>
      </c>
      <c r="F30104" s="5">
        <v>199.2</v>
      </c>
      <c r="G30104" s="5">
        <v>99.3</v>
      </c>
      <c r="H30104" s="5">
        <v>99.1</v>
      </c>
      <c r="I30104" s="5">
        <v>0</v>
      </c>
      <c r="J30104" s="5">
        <v>0</v>
      </c>
      <c r="K30104" s="5">
        <v>0</v>
      </c>
    </row>
    <row r="30105" spans="1:11" x14ac:dyDescent="0.25">
      <c r="A30105" s="5">
        <f>30098</f>
      </c>
      <c r="B30105" s="5" t="s">
        <v>30113</v>
      </c>
      <c r="C30105" s="5">
        <v>98.8</v>
      </c>
      <c r="D30105" s="5">
        <v>0.1</v>
      </c>
      <c r="E30105" s="5">
        <v>98.9</v>
      </c>
      <c r="F30105" s="5">
        <v>199.2</v>
      </c>
      <c r="G30105" s="5">
        <v>99.3</v>
      </c>
      <c r="H30105" s="5">
        <v>99.1</v>
      </c>
      <c r="I30105" s="5">
        <v>0</v>
      </c>
      <c r="J30105" s="5">
        <v>0</v>
      </c>
      <c r="K30105" s="5">
        <v>0</v>
      </c>
    </row>
    <row r="30106" spans="1:11" x14ac:dyDescent="0.25">
      <c r="A30106" s="5">
        <f>30099</f>
      </c>
      <c r="B30106" s="5" t="s">
        <v>30114</v>
      </c>
      <c r="C30106" s="5">
        <v>97.4</v>
      </c>
      <c r="D30106" s="5">
        <v>0.1</v>
      </c>
      <c r="E30106" s="5">
        <v>97.6</v>
      </c>
      <c r="F30106" s="5">
        <v>194.1</v>
      </c>
      <c r="G30106" s="5">
        <v>96.9</v>
      </c>
      <c r="H30106" s="5">
        <v>96.7</v>
      </c>
      <c r="I30106" s="5">
        <v>0</v>
      </c>
      <c r="J30106" s="5">
        <v>0</v>
      </c>
      <c r="K30106" s="5">
        <v>0</v>
      </c>
    </row>
    <row r="30107" spans="1:11" x14ac:dyDescent="0.25">
      <c r="A30107" s="5">
        <f>30100</f>
      </c>
      <c r="B30107" s="5" t="s">
        <v>30115</v>
      </c>
      <c r="C30107" s="5">
        <v>97.4</v>
      </c>
      <c r="D30107" s="5">
        <v>0.1</v>
      </c>
      <c r="E30107" s="5">
        <v>97.6</v>
      </c>
      <c r="F30107" s="5">
        <v>194.1</v>
      </c>
      <c r="G30107" s="5">
        <v>96.9</v>
      </c>
      <c r="H30107" s="5">
        <v>96.7</v>
      </c>
      <c r="I30107" s="5">
        <v>0</v>
      </c>
      <c r="J30107" s="5">
        <v>0</v>
      </c>
      <c r="K30107" s="5">
        <v>0</v>
      </c>
    </row>
    <row r="30108" spans="1:11" x14ac:dyDescent="0.25">
      <c r="A30108" s="5">
        <f>30101</f>
      </c>
      <c r="B30108" s="5" t="s">
        <v>30116</v>
      </c>
      <c r="C30108" s="5">
        <v>97.3</v>
      </c>
      <c r="D30108" s="5">
        <v>0.1</v>
      </c>
      <c r="E30108" s="5">
        <v>97.5</v>
      </c>
      <c r="F30108" s="5">
        <v>194.3</v>
      </c>
      <c r="G30108" s="5">
        <v>96.9</v>
      </c>
      <c r="H30108" s="5">
        <v>96.7</v>
      </c>
      <c r="I30108" s="5">
        <v>0</v>
      </c>
      <c r="J30108" s="5">
        <v>0</v>
      </c>
      <c r="K30108" s="5">
        <v>0</v>
      </c>
    </row>
    <row r="30109" spans="1:11" x14ac:dyDescent="0.25">
      <c r="A30109" s="5">
        <f>30102</f>
      </c>
      <c r="B30109" s="5" t="s">
        <v>30117</v>
      </c>
      <c r="C30109" s="5">
        <v>97.3</v>
      </c>
      <c r="D30109" s="5">
        <v>0.1</v>
      </c>
      <c r="E30109" s="5">
        <v>97.5</v>
      </c>
      <c r="F30109" s="5">
        <v>194.3</v>
      </c>
      <c r="G30109" s="5">
        <v>96.9</v>
      </c>
      <c r="H30109" s="5">
        <v>96.7</v>
      </c>
      <c r="I30109" s="5">
        <v>0</v>
      </c>
      <c r="J30109" s="5">
        <v>0</v>
      </c>
      <c r="K30109" s="5">
        <v>0</v>
      </c>
    </row>
    <row r="30110" spans="1:11" x14ac:dyDescent="0.25">
      <c r="A30110" s="5">
        <f>30103</f>
      </c>
      <c r="B30110" s="5" t="s">
        <v>30118</v>
      </c>
      <c r="C30110" s="5">
        <v>97.3</v>
      </c>
      <c r="D30110" s="5">
        <v>0.1</v>
      </c>
      <c r="E30110" s="5">
        <v>97.5</v>
      </c>
      <c r="F30110" s="5">
        <v>194.3</v>
      </c>
      <c r="G30110" s="5">
        <v>96.9</v>
      </c>
      <c r="H30110" s="5">
        <v>96.7</v>
      </c>
      <c r="I30110" s="5">
        <v>0</v>
      </c>
      <c r="J30110" s="5">
        <v>0</v>
      </c>
      <c r="K30110" s="5">
        <v>0</v>
      </c>
    </row>
    <row r="30111" spans="1:11" x14ac:dyDescent="0.25">
      <c r="A30111" s="5">
        <f>30104</f>
      </c>
      <c r="B30111" s="5" t="s">
        <v>30119</v>
      </c>
      <c r="C30111" s="5">
        <v>97.3</v>
      </c>
      <c r="D30111" s="5">
        <v>0.1</v>
      </c>
      <c r="E30111" s="5">
        <v>97.5</v>
      </c>
      <c r="F30111" s="5">
        <v>194.3</v>
      </c>
      <c r="G30111" s="5">
        <v>96.9</v>
      </c>
      <c r="H30111" s="5">
        <v>96.7</v>
      </c>
      <c r="I30111" s="5">
        <v>0</v>
      </c>
      <c r="J30111" s="5">
        <v>0</v>
      </c>
      <c r="K30111" s="5">
        <v>0</v>
      </c>
    </row>
    <row r="30112" spans="1:11" x14ac:dyDescent="0.25">
      <c r="A30112" s="5">
        <f>30105</f>
      </c>
      <c r="B30112" s="5" t="s">
        <v>30120</v>
      </c>
      <c r="C30112" s="5">
        <v>98.3</v>
      </c>
      <c r="D30112" s="5">
        <v>0.1</v>
      </c>
      <c r="E30112" s="5">
        <v>98.5</v>
      </c>
      <c r="F30112" s="5">
        <v>196.7</v>
      </c>
      <c r="G30112" s="5">
        <v>98.1</v>
      </c>
      <c r="H30112" s="5">
        <v>98</v>
      </c>
      <c r="I30112" s="5">
        <v>0</v>
      </c>
      <c r="J30112" s="5">
        <v>0</v>
      </c>
      <c r="K30112" s="5">
        <v>0</v>
      </c>
    </row>
    <row r="30113" spans="1:11" x14ac:dyDescent="0.25">
      <c r="A30113" s="5">
        <f>30106</f>
      </c>
      <c r="B30113" s="5" t="s">
        <v>30121</v>
      </c>
      <c r="C30113" s="5">
        <v>98.3</v>
      </c>
      <c r="D30113" s="5">
        <v>0.1</v>
      </c>
      <c r="E30113" s="5">
        <v>98.5</v>
      </c>
      <c r="F30113" s="5">
        <v>196.7</v>
      </c>
      <c r="G30113" s="5">
        <v>98.1</v>
      </c>
      <c r="H30113" s="5">
        <v>98</v>
      </c>
      <c r="I30113" s="5">
        <v>0</v>
      </c>
      <c r="J30113" s="5">
        <v>0</v>
      </c>
      <c r="K30113" s="5">
        <v>0</v>
      </c>
    </row>
    <row r="30114" spans="1:11" x14ac:dyDescent="0.25">
      <c r="A30114" s="5">
        <f>30107</f>
      </c>
      <c r="B30114" s="5" t="s">
        <v>30122</v>
      </c>
      <c r="C30114" s="5">
        <v>98.1</v>
      </c>
      <c r="D30114" s="5">
        <v>0.1</v>
      </c>
      <c r="E30114" s="5">
        <v>98.3</v>
      </c>
      <c r="F30114" s="5">
        <v>195.9</v>
      </c>
      <c r="G30114" s="5">
        <v>97.7</v>
      </c>
      <c r="H30114" s="5">
        <v>97.6</v>
      </c>
      <c r="I30114" s="5">
        <v>0</v>
      </c>
      <c r="J30114" s="5">
        <v>0</v>
      </c>
      <c r="K30114" s="5">
        <v>0</v>
      </c>
    </row>
    <row r="30115" spans="1:11" x14ac:dyDescent="0.25">
      <c r="A30115" s="5">
        <f>30108</f>
      </c>
      <c r="B30115" s="5" t="s">
        <v>30123</v>
      </c>
      <c r="C30115" s="5">
        <v>98.1</v>
      </c>
      <c r="D30115" s="5">
        <v>0.1</v>
      </c>
      <c r="E30115" s="5">
        <v>98.3</v>
      </c>
      <c r="F30115" s="5">
        <v>195.9</v>
      </c>
      <c r="G30115" s="5">
        <v>97.7</v>
      </c>
      <c r="H30115" s="5">
        <v>97.6</v>
      </c>
      <c r="I30115" s="5">
        <v>0</v>
      </c>
      <c r="J30115" s="5">
        <v>0</v>
      </c>
      <c r="K30115" s="5">
        <v>0</v>
      </c>
    </row>
    <row r="30116" spans="1:11" x14ac:dyDescent="0.25">
      <c r="A30116" s="5">
        <f>30109</f>
      </c>
      <c r="B30116" s="5" t="s">
        <v>30124</v>
      </c>
      <c r="C30116" s="5">
        <v>98.6</v>
      </c>
      <c r="D30116" s="5">
        <v>0.1</v>
      </c>
      <c r="E30116" s="5">
        <v>98.6</v>
      </c>
      <c r="F30116" s="5">
        <v>195.7</v>
      </c>
      <c r="G30116" s="5">
        <v>97.7</v>
      </c>
      <c r="H30116" s="5">
        <v>97.6</v>
      </c>
      <c r="I30116" s="5">
        <v>0</v>
      </c>
      <c r="J30116" s="5">
        <v>0</v>
      </c>
      <c r="K30116" s="5">
        <v>0</v>
      </c>
    </row>
    <row r="30117" spans="1:11" x14ac:dyDescent="0.25">
      <c r="A30117" s="5">
        <f>30110</f>
      </c>
      <c r="B30117" s="5" t="s">
        <v>30125</v>
      </c>
      <c r="C30117" s="5">
        <v>98.6</v>
      </c>
      <c r="D30117" s="5">
        <v>0.1</v>
      </c>
      <c r="E30117" s="5">
        <v>98.6</v>
      </c>
      <c r="F30117" s="5">
        <v>195.7</v>
      </c>
      <c r="G30117" s="5">
        <v>97.7</v>
      </c>
      <c r="H30117" s="5">
        <v>97.6</v>
      </c>
      <c r="I30117" s="5">
        <v>0</v>
      </c>
      <c r="J30117" s="5">
        <v>0</v>
      </c>
      <c r="K30117" s="5">
        <v>0</v>
      </c>
    </row>
    <row r="30118" spans="1:11" x14ac:dyDescent="0.25">
      <c r="A30118" s="5">
        <f>30111</f>
      </c>
      <c r="B30118" s="5" t="s">
        <v>30126</v>
      </c>
      <c r="C30118" s="5">
        <v>98.9</v>
      </c>
      <c r="D30118" s="5">
        <v>0.1</v>
      </c>
      <c r="E30118" s="5">
        <v>99.1</v>
      </c>
      <c r="F30118" s="5">
        <v>196.9</v>
      </c>
      <c r="G30118" s="5">
        <v>98.2</v>
      </c>
      <c r="H30118" s="5">
        <v>98.1</v>
      </c>
      <c r="I30118" s="5">
        <v>0</v>
      </c>
      <c r="J30118" s="5">
        <v>0</v>
      </c>
      <c r="K30118" s="5">
        <v>0</v>
      </c>
    </row>
    <row r="30119" spans="1:11" x14ac:dyDescent="0.25">
      <c r="A30119" s="5">
        <f>30112</f>
      </c>
      <c r="B30119" s="5" t="s">
        <v>30127</v>
      </c>
      <c r="C30119" s="5">
        <v>98.9</v>
      </c>
      <c r="D30119" s="5">
        <v>0.1</v>
      </c>
      <c r="E30119" s="5">
        <v>99.1</v>
      </c>
      <c r="F30119" s="5">
        <v>196.9</v>
      </c>
      <c r="G30119" s="5">
        <v>98.2</v>
      </c>
      <c r="H30119" s="5">
        <v>98.1</v>
      </c>
      <c r="I30119" s="5">
        <v>0</v>
      </c>
      <c r="J30119" s="5">
        <v>0</v>
      </c>
      <c r="K30119" s="5">
        <v>0</v>
      </c>
    </row>
    <row r="30120" spans="1:11" x14ac:dyDescent="0.25">
      <c r="A30120" s="5">
        <f>30113</f>
      </c>
      <c r="B30120" s="5" t="s">
        <v>30128</v>
      </c>
      <c r="C30120" s="5">
        <v>98.9</v>
      </c>
      <c r="D30120" s="5">
        <v>0.1</v>
      </c>
      <c r="E30120" s="5">
        <v>99.1</v>
      </c>
      <c r="F30120" s="5">
        <v>196.9</v>
      </c>
      <c r="G30120" s="5">
        <v>98.2</v>
      </c>
      <c r="H30120" s="5">
        <v>98.1</v>
      </c>
      <c r="I30120" s="5">
        <v>0</v>
      </c>
      <c r="J30120" s="5">
        <v>0</v>
      </c>
      <c r="K30120" s="5">
        <v>0</v>
      </c>
    </row>
    <row r="30121" spans="1:11" x14ac:dyDescent="0.25">
      <c r="A30121" s="5">
        <f>30114</f>
      </c>
      <c r="B30121" s="5" t="s">
        <v>30129</v>
      </c>
      <c r="C30121" s="5">
        <v>98.4</v>
      </c>
      <c r="D30121" s="5">
        <v>0.1</v>
      </c>
      <c r="E30121" s="5">
        <v>98.6</v>
      </c>
      <c r="F30121" s="5">
        <v>196.1</v>
      </c>
      <c r="G30121" s="5">
        <v>97.9</v>
      </c>
      <c r="H30121" s="5">
        <v>97.7</v>
      </c>
      <c r="I30121" s="5">
        <v>0</v>
      </c>
      <c r="J30121" s="5">
        <v>0</v>
      </c>
      <c r="K30121" s="5">
        <v>0</v>
      </c>
    </row>
    <row r="30122" spans="1:11" x14ac:dyDescent="0.25">
      <c r="A30122" s="5">
        <f>30115</f>
      </c>
      <c r="B30122" s="5" t="s">
        <v>30130</v>
      </c>
      <c r="C30122" s="5">
        <v>98.4</v>
      </c>
      <c r="D30122" s="5">
        <v>0.1</v>
      </c>
      <c r="E30122" s="5">
        <v>98.6</v>
      </c>
      <c r="F30122" s="5">
        <v>196.1</v>
      </c>
      <c r="G30122" s="5">
        <v>97.9</v>
      </c>
      <c r="H30122" s="5">
        <v>97.7</v>
      </c>
      <c r="I30122" s="5">
        <v>0</v>
      </c>
      <c r="J30122" s="5">
        <v>0</v>
      </c>
      <c r="K30122" s="5">
        <v>0</v>
      </c>
    </row>
    <row r="30123" spans="1:11" x14ac:dyDescent="0.25">
      <c r="A30123" s="5">
        <f>30116</f>
      </c>
      <c r="B30123" s="5" t="s">
        <v>30131</v>
      </c>
      <c r="C30123" s="5">
        <v>98</v>
      </c>
      <c r="D30123" s="5">
        <v>0.1</v>
      </c>
      <c r="E30123" s="5">
        <v>98.1</v>
      </c>
      <c r="F30123" s="5">
        <v>196.3</v>
      </c>
      <c r="G30123" s="5">
        <v>97.9</v>
      </c>
      <c r="H30123" s="5">
        <v>97.8</v>
      </c>
      <c r="I30123" s="5">
        <v>0</v>
      </c>
      <c r="J30123" s="5">
        <v>0</v>
      </c>
      <c r="K30123" s="5">
        <v>0</v>
      </c>
    </row>
    <row r="30124" spans="1:11" x14ac:dyDescent="0.25">
      <c r="A30124" s="5">
        <f>30117</f>
      </c>
      <c r="B30124" s="5" t="s">
        <v>30132</v>
      </c>
      <c r="C30124" s="5">
        <v>98</v>
      </c>
      <c r="D30124" s="5">
        <v>0.1</v>
      </c>
      <c r="E30124" s="5">
        <v>98.1</v>
      </c>
      <c r="F30124" s="5">
        <v>196.3</v>
      </c>
      <c r="G30124" s="5">
        <v>97.9</v>
      </c>
      <c r="H30124" s="5">
        <v>97.8</v>
      </c>
      <c r="I30124" s="5">
        <v>0</v>
      </c>
      <c r="J30124" s="5">
        <v>0</v>
      </c>
      <c r="K30124" s="5">
        <v>0</v>
      </c>
    </row>
    <row r="30125" spans="1:11" x14ac:dyDescent="0.25">
      <c r="A30125" s="5">
        <f>30118</f>
      </c>
      <c r="B30125" s="5" t="s">
        <v>30133</v>
      </c>
      <c r="C30125" s="5">
        <v>98</v>
      </c>
      <c r="D30125" s="5">
        <v>0.1</v>
      </c>
      <c r="E30125" s="5">
        <v>98.5</v>
      </c>
      <c r="F30125" s="5">
        <v>195.4</v>
      </c>
      <c r="G30125" s="5">
        <v>97.5</v>
      </c>
      <c r="H30125" s="5">
        <v>97.3</v>
      </c>
      <c r="I30125" s="5">
        <v>0</v>
      </c>
      <c r="J30125" s="5">
        <v>0</v>
      </c>
      <c r="K30125" s="5">
        <v>0</v>
      </c>
    </row>
    <row r="30126" spans="1:11" x14ac:dyDescent="0.25">
      <c r="A30126" s="5">
        <f>30119</f>
      </c>
      <c r="B30126" s="5" t="s">
        <v>30134</v>
      </c>
      <c r="C30126" s="5">
        <v>98.3</v>
      </c>
      <c r="D30126" s="5">
        <v>0.1</v>
      </c>
      <c r="E30126" s="5">
        <v>98.5</v>
      </c>
      <c r="F30126" s="5">
        <v>195.4</v>
      </c>
      <c r="G30126" s="5">
        <v>97.5</v>
      </c>
      <c r="H30126" s="5">
        <v>97.3</v>
      </c>
      <c r="I30126" s="5">
        <v>0</v>
      </c>
      <c r="J30126" s="5">
        <v>0</v>
      </c>
      <c r="K30126" s="5">
        <v>0</v>
      </c>
    </row>
    <row r="30127" spans="1:11" x14ac:dyDescent="0.25">
      <c r="A30127" s="5">
        <f>30120</f>
      </c>
      <c r="B30127" s="5" t="s">
        <v>30135</v>
      </c>
      <c r="C30127" s="5">
        <v>98.3</v>
      </c>
      <c r="D30127" s="5">
        <v>0.1</v>
      </c>
      <c r="E30127" s="5">
        <v>98.7</v>
      </c>
      <c r="F30127" s="5">
        <v>196.8</v>
      </c>
      <c r="G30127" s="5">
        <v>98.2</v>
      </c>
      <c r="H30127" s="5">
        <v>98</v>
      </c>
      <c r="I30127" s="5">
        <v>0</v>
      </c>
      <c r="J30127" s="5">
        <v>0</v>
      </c>
      <c r="K30127" s="5">
        <v>0</v>
      </c>
    </row>
    <row r="30128" spans="1:11" x14ac:dyDescent="0.25">
      <c r="A30128" s="5">
        <f>30121</f>
      </c>
      <c r="B30128" s="5" t="s">
        <v>30136</v>
      </c>
      <c r="C30128" s="5">
        <v>98.6</v>
      </c>
      <c r="D30128" s="5">
        <v>0.1</v>
      </c>
      <c r="E30128" s="5">
        <v>98.7</v>
      </c>
      <c r="F30128" s="5">
        <v>196.8</v>
      </c>
      <c r="G30128" s="5">
        <v>98.2</v>
      </c>
      <c r="H30128" s="5">
        <v>98</v>
      </c>
      <c r="I30128" s="5">
        <v>0</v>
      </c>
      <c r="J30128" s="5">
        <v>0</v>
      </c>
      <c r="K30128" s="5">
        <v>0</v>
      </c>
    </row>
    <row r="30129" spans="1:11" x14ac:dyDescent="0.25">
      <c r="A30129" s="5">
        <f>30122</f>
      </c>
      <c r="B30129" s="5" t="s">
        <v>30137</v>
      </c>
      <c r="C30129" s="5">
        <v>98.6</v>
      </c>
      <c r="D30129" s="5">
        <v>0.1</v>
      </c>
      <c r="E30129" s="5">
        <v>98.7</v>
      </c>
      <c r="F30129" s="5">
        <v>196.8</v>
      </c>
      <c r="G30129" s="5">
        <v>98.2</v>
      </c>
      <c r="H30129" s="5">
        <v>98</v>
      </c>
      <c r="I30129" s="5">
        <v>0</v>
      </c>
      <c r="J30129" s="5">
        <v>0</v>
      </c>
      <c r="K30129" s="5">
        <v>0</v>
      </c>
    </row>
    <row r="30130" spans="1:11" x14ac:dyDescent="0.25">
      <c r="A30130" s="5">
        <f>30123</f>
      </c>
      <c r="B30130" s="5" t="s">
        <v>30138</v>
      </c>
      <c r="C30130" s="5">
        <v>98.6</v>
      </c>
      <c r="D30130" s="5">
        <v>0.1</v>
      </c>
      <c r="E30130" s="5">
        <v>98.7</v>
      </c>
      <c r="F30130" s="5">
        <v>196.8</v>
      </c>
      <c r="G30130" s="5">
        <v>98.2</v>
      </c>
      <c r="H30130" s="5">
        <v>98</v>
      </c>
      <c r="I30130" s="5">
        <v>0</v>
      </c>
      <c r="J30130" s="5">
        <v>0</v>
      </c>
      <c r="K30130" s="5">
        <v>0</v>
      </c>
    </row>
    <row r="30131" spans="1:11" x14ac:dyDescent="0.25">
      <c r="A30131" s="5">
        <f>30124</f>
      </c>
      <c r="B30131" s="5" t="s">
        <v>30139</v>
      </c>
      <c r="C30131" s="5">
        <v>97.5</v>
      </c>
      <c r="D30131" s="5">
        <v>0.1</v>
      </c>
      <c r="E30131" s="5">
        <v>97.6</v>
      </c>
      <c r="F30131" s="5">
        <v>195</v>
      </c>
      <c r="G30131" s="5">
        <v>97.2</v>
      </c>
      <c r="H30131" s="5">
        <v>97.1</v>
      </c>
      <c r="I30131" s="5">
        <v>0</v>
      </c>
      <c r="J30131" s="5">
        <v>0</v>
      </c>
      <c r="K30131" s="5">
        <v>0</v>
      </c>
    </row>
    <row r="30132" spans="1:11" x14ac:dyDescent="0.25">
      <c r="A30132" s="5">
        <f>30125</f>
      </c>
      <c r="B30132" s="5" t="s">
        <v>30140</v>
      </c>
      <c r="C30132" s="5">
        <v>97.5</v>
      </c>
      <c r="D30132" s="5">
        <v>0.1</v>
      </c>
      <c r="E30132" s="5">
        <v>97.6</v>
      </c>
      <c r="F30132" s="5">
        <v>195</v>
      </c>
      <c r="G30132" s="5">
        <v>97.2</v>
      </c>
      <c r="H30132" s="5">
        <v>97.1</v>
      </c>
      <c r="I30132" s="5">
        <v>0</v>
      </c>
      <c r="J30132" s="5">
        <v>0</v>
      </c>
      <c r="K30132" s="5">
        <v>0</v>
      </c>
    </row>
    <row r="30133" spans="1:11" x14ac:dyDescent="0.25">
      <c r="A30133" s="5">
        <f>30126</f>
      </c>
      <c r="B30133" s="5" t="s">
        <v>30141</v>
      </c>
      <c r="C30133" s="5">
        <v>98.3</v>
      </c>
      <c r="D30133" s="5">
        <v>0.1</v>
      </c>
      <c r="E30133" s="5">
        <v>98.5</v>
      </c>
      <c r="F30133" s="5">
        <v>196</v>
      </c>
      <c r="G30133" s="5">
        <v>97.8</v>
      </c>
      <c r="H30133" s="5">
        <v>97.7</v>
      </c>
      <c r="I30133" s="5">
        <v>0</v>
      </c>
      <c r="J30133" s="5">
        <v>0</v>
      </c>
      <c r="K30133" s="5">
        <v>0</v>
      </c>
    </row>
    <row r="30134" spans="1:11" x14ac:dyDescent="0.25">
      <c r="A30134" s="5">
        <f>30127</f>
      </c>
      <c r="B30134" s="5" t="s">
        <v>30142</v>
      </c>
      <c r="C30134" s="5">
        <v>98.3</v>
      </c>
      <c r="D30134" s="5">
        <v>0.1</v>
      </c>
      <c r="E30134" s="5">
        <v>98.5</v>
      </c>
      <c r="F30134" s="5">
        <v>196</v>
      </c>
      <c r="G30134" s="5">
        <v>97.8</v>
      </c>
      <c r="H30134" s="5">
        <v>97.7</v>
      </c>
      <c r="I30134" s="5">
        <v>0</v>
      </c>
      <c r="J30134" s="5">
        <v>0</v>
      </c>
      <c r="K30134" s="5">
        <v>0</v>
      </c>
    </row>
    <row r="30135" spans="1:11" x14ac:dyDescent="0.25">
      <c r="A30135" s="5">
        <f>30128</f>
      </c>
      <c r="B30135" s="5" t="s">
        <v>30143</v>
      </c>
      <c r="C30135" s="5">
        <v>98.3</v>
      </c>
      <c r="D30135" s="5">
        <v>0.1</v>
      </c>
      <c r="E30135" s="5">
        <v>98.4</v>
      </c>
      <c r="F30135" s="5">
        <v>196.4</v>
      </c>
      <c r="G30135" s="5">
        <v>98</v>
      </c>
      <c r="H30135" s="5">
        <v>97.8</v>
      </c>
      <c r="I30135" s="5">
        <v>0</v>
      </c>
      <c r="J30135" s="5">
        <v>0</v>
      </c>
      <c r="K30135" s="5">
        <v>0</v>
      </c>
    </row>
    <row r="30136" spans="1:11" x14ac:dyDescent="0.25">
      <c r="A30136" s="5">
        <f>30129</f>
      </c>
      <c r="B30136" s="5" t="s">
        <v>30144</v>
      </c>
      <c r="C30136" s="5">
        <v>98.3</v>
      </c>
      <c r="D30136" s="5">
        <v>0.1</v>
      </c>
      <c r="E30136" s="5">
        <v>98.4</v>
      </c>
      <c r="F30136" s="5">
        <v>196.4</v>
      </c>
      <c r="G30136" s="5">
        <v>98</v>
      </c>
      <c r="H30136" s="5">
        <v>97.8</v>
      </c>
      <c r="I30136" s="5">
        <v>0</v>
      </c>
      <c r="J30136" s="5">
        <v>0</v>
      </c>
      <c r="K30136" s="5">
        <v>0</v>
      </c>
    </row>
    <row r="30137" spans="1:11" x14ac:dyDescent="0.25">
      <c r="A30137" s="5">
        <f>30130</f>
      </c>
      <c r="B30137" s="5" t="s">
        <v>30145</v>
      </c>
      <c r="C30137" s="5">
        <v>98.6</v>
      </c>
      <c r="D30137" s="5">
        <v>0.1</v>
      </c>
      <c r="E30137" s="5">
        <v>98.8</v>
      </c>
      <c r="F30137" s="5">
        <v>196.5</v>
      </c>
      <c r="G30137" s="5">
        <v>98</v>
      </c>
      <c r="H30137" s="5">
        <v>97.8</v>
      </c>
      <c r="I30137" s="5">
        <v>0</v>
      </c>
      <c r="J30137" s="5">
        <v>0</v>
      </c>
      <c r="K30137" s="5">
        <v>0</v>
      </c>
    </row>
    <row r="30138" spans="1:11" x14ac:dyDescent="0.25">
      <c r="A30138" s="5">
        <f>30131</f>
      </c>
      <c r="B30138" s="5" t="s">
        <v>30146</v>
      </c>
      <c r="C30138" s="5">
        <v>98.6</v>
      </c>
      <c r="D30138" s="5">
        <v>0.1</v>
      </c>
      <c r="E30138" s="5">
        <v>98.8</v>
      </c>
      <c r="F30138" s="5">
        <v>196.5</v>
      </c>
      <c r="G30138" s="5">
        <v>98</v>
      </c>
      <c r="H30138" s="5">
        <v>97.9</v>
      </c>
      <c r="I30138" s="5">
        <v>0</v>
      </c>
      <c r="J30138" s="5">
        <v>0</v>
      </c>
      <c r="K30138" s="5">
        <v>0</v>
      </c>
    </row>
    <row r="30139" spans="1:11" x14ac:dyDescent="0.25">
      <c r="A30139" s="5">
        <f>30132</f>
      </c>
      <c r="B30139" s="5" t="s">
        <v>30147</v>
      </c>
      <c r="C30139" s="5">
        <v>98.6</v>
      </c>
      <c r="D30139" s="5">
        <v>0.1</v>
      </c>
      <c r="E30139" s="5">
        <v>98.8</v>
      </c>
      <c r="F30139" s="5">
        <v>196.5</v>
      </c>
      <c r="G30139" s="5">
        <v>98</v>
      </c>
      <c r="H30139" s="5">
        <v>97.9</v>
      </c>
      <c r="I30139" s="5">
        <v>0</v>
      </c>
      <c r="J30139" s="5">
        <v>0</v>
      </c>
      <c r="K30139" s="5">
        <v>0</v>
      </c>
    </row>
    <row r="30140" spans="1:11" x14ac:dyDescent="0.25">
      <c r="A30140" s="5">
        <f>30133</f>
      </c>
      <c r="B30140" s="5" t="s">
        <v>30148</v>
      </c>
      <c r="C30140" s="5">
        <v>98.6</v>
      </c>
      <c r="D30140" s="5">
        <v>0.1</v>
      </c>
      <c r="E30140" s="5">
        <v>98.8</v>
      </c>
      <c r="F30140" s="5">
        <v>196.5</v>
      </c>
      <c r="G30140" s="5">
        <v>98</v>
      </c>
      <c r="H30140" s="5">
        <v>97.9</v>
      </c>
      <c r="I30140" s="5">
        <v>0</v>
      </c>
      <c r="J30140" s="5">
        <v>0</v>
      </c>
      <c r="K30140" s="5">
        <v>0</v>
      </c>
    </row>
    <row r="30141" spans="1:11" x14ac:dyDescent="0.25">
      <c r="A30141" s="5">
        <f>30134</f>
      </c>
      <c r="B30141" s="5" t="s">
        <v>30149</v>
      </c>
      <c r="C30141" s="5">
        <v>97.6</v>
      </c>
      <c r="D30141" s="5">
        <v>0.1</v>
      </c>
      <c r="E30141" s="5">
        <v>98.8</v>
      </c>
      <c r="F30141" s="5">
        <v>196.5</v>
      </c>
      <c r="G30141" s="5">
        <v>98</v>
      </c>
      <c r="H30141" s="5">
        <v>97.9</v>
      </c>
      <c r="I30141" s="5">
        <v>0</v>
      </c>
      <c r="J30141" s="5">
        <v>0</v>
      </c>
      <c r="K30141" s="5">
        <v>0</v>
      </c>
    </row>
    <row r="30142" spans="1:11" x14ac:dyDescent="0.25">
      <c r="A30142" s="5">
        <f>30135</f>
      </c>
      <c r="B30142" s="5" t="s">
        <v>30150</v>
      </c>
      <c r="C30142" s="5">
        <v>97.6</v>
      </c>
      <c r="D30142" s="5">
        <v>0.1</v>
      </c>
      <c r="E30142" s="5">
        <v>97.7</v>
      </c>
      <c r="F30142" s="5">
        <v>197</v>
      </c>
      <c r="G30142" s="5">
        <v>98.3</v>
      </c>
      <c r="H30142" s="5">
        <v>98.1</v>
      </c>
      <c r="I30142" s="5">
        <v>0</v>
      </c>
      <c r="J30142" s="5">
        <v>0</v>
      </c>
      <c r="K30142" s="5">
        <v>0</v>
      </c>
    </row>
    <row r="30143" spans="1:11" x14ac:dyDescent="0.25">
      <c r="A30143" s="5">
        <f>30136</f>
      </c>
      <c r="B30143" s="5" t="s">
        <v>30151</v>
      </c>
      <c r="C30143" s="5">
        <v>97.6</v>
      </c>
      <c r="D30143" s="5">
        <v>0.1</v>
      </c>
      <c r="E30143" s="5">
        <v>97.7</v>
      </c>
      <c r="F30143" s="5">
        <v>197</v>
      </c>
      <c r="G30143" s="5">
        <v>98.3</v>
      </c>
      <c r="H30143" s="5">
        <v>98.1</v>
      </c>
      <c r="I30143" s="5">
        <v>0</v>
      </c>
      <c r="J30143" s="5">
        <v>0</v>
      </c>
      <c r="K30143" s="5">
        <v>0</v>
      </c>
    </row>
    <row r="30144" spans="1:11" x14ac:dyDescent="0.25">
      <c r="A30144" s="5">
        <f>30137</f>
      </c>
      <c r="B30144" s="5" t="s">
        <v>30152</v>
      </c>
      <c r="C30144" s="5">
        <v>98.8</v>
      </c>
      <c r="D30144" s="5">
        <v>0.1</v>
      </c>
      <c r="E30144" s="5">
        <v>98.9</v>
      </c>
      <c r="F30144" s="5">
        <v>196.3</v>
      </c>
      <c r="G30144" s="5">
        <v>97.9</v>
      </c>
      <c r="H30144" s="5">
        <v>97.8</v>
      </c>
      <c r="I30144" s="5">
        <v>0</v>
      </c>
      <c r="J30144" s="5">
        <v>0</v>
      </c>
      <c r="K30144" s="5">
        <v>0</v>
      </c>
    </row>
    <row r="30145" spans="1:11" x14ac:dyDescent="0.25">
      <c r="A30145" s="5">
        <f>30138</f>
      </c>
      <c r="B30145" s="5" t="s">
        <v>30153</v>
      </c>
      <c r="C30145" s="5">
        <v>98.8</v>
      </c>
      <c r="D30145" s="5">
        <v>0.1</v>
      </c>
      <c r="E30145" s="5">
        <v>98.9</v>
      </c>
      <c r="F30145" s="5">
        <v>196.3</v>
      </c>
      <c r="G30145" s="5">
        <v>97.9</v>
      </c>
      <c r="H30145" s="5">
        <v>97.8</v>
      </c>
      <c r="I30145" s="5">
        <v>0</v>
      </c>
      <c r="J30145" s="5">
        <v>0</v>
      </c>
      <c r="K30145" s="5">
        <v>0</v>
      </c>
    </row>
    <row r="30146" spans="1:11" x14ac:dyDescent="0.25">
      <c r="A30146" s="5">
        <f>30139</f>
      </c>
      <c r="B30146" s="5" t="s">
        <v>30154</v>
      </c>
      <c r="C30146" s="5">
        <v>98.5</v>
      </c>
      <c r="D30146" s="5">
        <v>0.1</v>
      </c>
      <c r="E30146" s="5">
        <v>98.6</v>
      </c>
      <c r="F30146" s="5">
        <v>197.8</v>
      </c>
      <c r="G30146" s="5">
        <v>98.7</v>
      </c>
      <c r="H30146" s="5">
        <v>98.5</v>
      </c>
      <c r="I30146" s="5">
        <v>0</v>
      </c>
      <c r="J30146" s="5">
        <v>0</v>
      </c>
      <c r="K30146" s="5">
        <v>0</v>
      </c>
    </row>
    <row r="30147" spans="1:11" x14ac:dyDescent="0.25">
      <c r="A30147" s="5">
        <f>30140</f>
      </c>
      <c r="B30147" s="5" t="s">
        <v>30155</v>
      </c>
      <c r="C30147" s="5">
        <v>98.5</v>
      </c>
      <c r="D30147" s="5">
        <v>0.1</v>
      </c>
      <c r="E30147" s="5">
        <v>98.6</v>
      </c>
      <c r="F30147" s="5">
        <v>197.8</v>
      </c>
      <c r="G30147" s="5">
        <v>98.7</v>
      </c>
      <c r="H30147" s="5">
        <v>98.5</v>
      </c>
      <c r="I30147" s="5">
        <v>0</v>
      </c>
      <c r="J30147" s="5">
        <v>0</v>
      </c>
      <c r="K30147" s="5">
        <v>0</v>
      </c>
    </row>
    <row r="30148" spans="1:11" x14ac:dyDescent="0.25">
      <c r="A30148" s="5">
        <f>30141</f>
      </c>
      <c r="B30148" s="5" t="s">
        <v>30156</v>
      </c>
      <c r="C30148" s="5">
        <v>98.9</v>
      </c>
      <c r="D30148" s="5">
        <v>0.1</v>
      </c>
      <c r="E30148" s="5">
        <v>99.1</v>
      </c>
      <c r="F30148" s="5">
        <v>197.1</v>
      </c>
      <c r="G30148" s="5">
        <v>98.3</v>
      </c>
      <c r="H30148" s="5">
        <v>98.2</v>
      </c>
      <c r="I30148" s="5">
        <v>0</v>
      </c>
      <c r="J30148" s="5">
        <v>0</v>
      </c>
      <c r="K30148" s="5">
        <v>0</v>
      </c>
    </row>
    <row r="30149" spans="1:11" x14ac:dyDescent="0.25">
      <c r="A30149" s="5">
        <f>30142</f>
      </c>
      <c r="B30149" s="5" t="s">
        <v>30157</v>
      </c>
      <c r="C30149" s="5">
        <v>98.9</v>
      </c>
      <c r="D30149" s="5">
        <v>0.1</v>
      </c>
      <c r="E30149" s="5">
        <v>99.1</v>
      </c>
      <c r="F30149" s="5">
        <v>197.1</v>
      </c>
      <c r="G30149" s="5">
        <v>98.3</v>
      </c>
      <c r="H30149" s="5">
        <v>98.2</v>
      </c>
      <c r="I30149" s="5">
        <v>0</v>
      </c>
      <c r="J30149" s="5">
        <v>0</v>
      </c>
      <c r="K30149" s="5">
        <v>0</v>
      </c>
    </row>
    <row r="30150" spans="1:11" x14ac:dyDescent="0.25">
      <c r="A30150" s="5">
        <f>30143</f>
      </c>
      <c r="B30150" s="5" t="s">
        <v>30158</v>
      </c>
      <c r="C30150" s="5">
        <v>98.9</v>
      </c>
      <c r="D30150" s="5">
        <v>0.1</v>
      </c>
      <c r="E30150" s="5">
        <v>99.1</v>
      </c>
      <c r="F30150" s="5">
        <v>197.1</v>
      </c>
      <c r="G30150" s="5">
        <v>98.3</v>
      </c>
      <c r="H30150" s="5">
        <v>98.2</v>
      </c>
      <c r="I30150" s="5">
        <v>0</v>
      </c>
      <c r="J30150" s="5">
        <v>0</v>
      </c>
      <c r="K30150" s="5">
        <v>0</v>
      </c>
    </row>
    <row r="30151" spans="1:11" x14ac:dyDescent="0.25">
      <c r="A30151" s="5">
        <f>30144</f>
      </c>
      <c r="B30151" s="5" t="s">
        <v>30159</v>
      </c>
      <c r="C30151" s="5">
        <v>98.9</v>
      </c>
      <c r="D30151" s="5">
        <v>0.1</v>
      </c>
      <c r="E30151" s="5">
        <v>99</v>
      </c>
      <c r="F30151" s="5">
        <v>197</v>
      </c>
      <c r="G30151" s="5">
        <v>98.3</v>
      </c>
      <c r="H30151" s="5">
        <v>98.1</v>
      </c>
      <c r="I30151" s="5">
        <v>0</v>
      </c>
      <c r="J30151" s="5">
        <v>0</v>
      </c>
      <c r="K30151" s="5">
        <v>0</v>
      </c>
    </row>
    <row r="30152" spans="1:11" x14ac:dyDescent="0.25">
      <c r="A30152" s="5">
        <f>30145</f>
      </c>
      <c r="B30152" s="5" t="s">
        <v>30160</v>
      </c>
      <c r="C30152" s="5">
        <v>98.9</v>
      </c>
      <c r="D30152" s="5">
        <v>0.1</v>
      </c>
      <c r="E30152" s="5">
        <v>99</v>
      </c>
      <c r="F30152" s="5">
        <v>197</v>
      </c>
      <c r="G30152" s="5">
        <v>98.3</v>
      </c>
      <c r="H30152" s="5">
        <v>98.1</v>
      </c>
      <c r="I30152" s="5">
        <v>0</v>
      </c>
      <c r="J30152" s="5">
        <v>0</v>
      </c>
      <c r="K30152" s="5">
        <v>0</v>
      </c>
    </row>
    <row r="30153" spans="1:11" x14ac:dyDescent="0.25">
      <c r="A30153" s="5">
        <f>30146</f>
      </c>
      <c r="B30153" s="5" t="s">
        <v>30161</v>
      </c>
      <c r="C30153" s="5">
        <v>98.9</v>
      </c>
      <c r="D30153" s="5">
        <v>0.1</v>
      </c>
      <c r="E30153" s="5">
        <v>99</v>
      </c>
      <c r="F30153" s="5">
        <v>197</v>
      </c>
      <c r="G30153" s="5">
        <v>98.3</v>
      </c>
      <c r="H30153" s="5">
        <v>98.1</v>
      </c>
      <c r="I30153" s="5">
        <v>0</v>
      </c>
      <c r="J30153" s="5">
        <v>0</v>
      </c>
      <c r="K30153" s="5">
        <v>0</v>
      </c>
    </row>
    <row r="30154" spans="1:11" x14ac:dyDescent="0.25">
      <c r="A30154" s="5">
        <f>30147</f>
      </c>
      <c r="B30154" s="5" t="s">
        <v>30162</v>
      </c>
      <c r="C30154" s="5">
        <v>98.9</v>
      </c>
      <c r="D30154" s="5">
        <v>0.1</v>
      </c>
      <c r="E30154" s="5">
        <v>99</v>
      </c>
      <c r="F30154" s="5">
        <v>197</v>
      </c>
      <c r="G30154" s="5">
        <v>98.3</v>
      </c>
      <c r="H30154" s="5">
        <v>98.1</v>
      </c>
      <c r="I30154" s="5">
        <v>0</v>
      </c>
      <c r="J30154" s="5">
        <v>0</v>
      </c>
      <c r="K30154" s="5">
        <v>0</v>
      </c>
    </row>
    <row r="30155" spans="1:11" x14ac:dyDescent="0.25">
      <c r="A30155" s="5">
        <f>30148</f>
      </c>
      <c r="B30155" s="5" t="s">
        <v>30163</v>
      </c>
      <c r="C30155" s="5">
        <v>98.9</v>
      </c>
      <c r="D30155" s="5">
        <v>0.1</v>
      </c>
      <c r="E30155" s="5">
        <v>99</v>
      </c>
      <c r="F30155" s="5">
        <v>197</v>
      </c>
      <c r="G30155" s="5">
        <v>98.5</v>
      </c>
      <c r="H30155" s="5">
        <v>98.4</v>
      </c>
      <c r="I30155" s="5">
        <v>0</v>
      </c>
      <c r="J30155" s="5">
        <v>0</v>
      </c>
      <c r="K30155" s="5">
        <v>0</v>
      </c>
    </row>
    <row r="30156" spans="1:11" x14ac:dyDescent="0.25">
      <c r="A30156" s="5">
        <f>30149</f>
      </c>
      <c r="B30156" s="5" t="s">
        <v>30164</v>
      </c>
      <c r="C30156" s="5">
        <v>99</v>
      </c>
      <c r="D30156" s="5">
        <v>0.1</v>
      </c>
      <c r="E30156" s="5">
        <v>99.2</v>
      </c>
      <c r="F30156" s="5">
        <v>197.5</v>
      </c>
      <c r="G30156" s="5">
        <v>98.5</v>
      </c>
      <c r="H30156" s="5">
        <v>98.4</v>
      </c>
      <c r="I30156" s="5">
        <v>0</v>
      </c>
      <c r="J30156" s="5">
        <v>0</v>
      </c>
      <c r="K30156" s="5">
        <v>0</v>
      </c>
    </row>
    <row r="30157" spans="1:11" x14ac:dyDescent="0.25">
      <c r="A30157" s="5">
        <f>30150</f>
      </c>
      <c r="B30157" s="5" t="s">
        <v>30165</v>
      </c>
      <c r="C30157" s="5">
        <v>99</v>
      </c>
      <c r="D30157" s="5">
        <v>0.1</v>
      </c>
      <c r="E30157" s="5">
        <v>99.2</v>
      </c>
      <c r="F30157" s="5">
        <v>197.5</v>
      </c>
      <c r="G30157" s="5">
        <v>98.5</v>
      </c>
      <c r="H30157" s="5">
        <v>98.8</v>
      </c>
      <c r="I30157" s="5">
        <v>0</v>
      </c>
      <c r="J30157" s="5">
        <v>0</v>
      </c>
      <c r="K30157" s="5">
        <v>0</v>
      </c>
    </row>
    <row r="30158" spans="1:11" x14ac:dyDescent="0.25">
      <c r="A30158" s="5">
        <f>30151</f>
      </c>
      <c r="B30158" s="5" t="s">
        <v>30166</v>
      </c>
      <c r="C30158" s="5">
        <v>99.5</v>
      </c>
      <c r="D30158" s="5">
        <v>0.1</v>
      </c>
      <c r="E30158" s="5">
        <v>99.6</v>
      </c>
      <c r="F30158" s="5">
        <v>198.3</v>
      </c>
      <c r="G30158" s="5">
        <v>98.9</v>
      </c>
      <c r="H30158" s="5">
        <v>98.8</v>
      </c>
      <c r="I30158" s="5">
        <v>0</v>
      </c>
      <c r="J30158" s="5">
        <v>0</v>
      </c>
      <c r="K30158" s="5">
        <v>0</v>
      </c>
    </row>
    <row r="30159" spans="1:11" x14ac:dyDescent="0.25">
      <c r="A30159" s="5">
        <f>30152</f>
      </c>
      <c r="B30159" s="5" t="s">
        <v>30167</v>
      </c>
      <c r="C30159" s="5">
        <v>99.5</v>
      </c>
      <c r="D30159" s="5">
        <v>0.1</v>
      </c>
      <c r="E30159" s="5">
        <v>99.6</v>
      </c>
      <c r="F30159" s="5">
        <v>198.3</v>
      </c>
      <c r="G30159" s="5">
        <v>98.9</v>
      </c>
      <c r="H30159" s="5">
        <v>98.8</v>
      </c>
      <c r="I30159" s="5">
        <v>0</v>
      </c>
      <c r="J30159" s="5">
        <v>0</v>
      </c>
      <c r="K30159" s="5">
        <v>0</v>
      </c>
    </row>
    <row r="30160" spans="1:11" x14ac:dyDescent="0.25">
      <c r="A30160" s="5">
        <f>30153</f>
      </c>
      <c r="B30160" s="5" t="s">
        <v>30168</v>
      </c>
      <c r="C30160" s="5">
        <v>99.5</v>
      </c>
      <c r="D30160" s="5">
        <v>0.1</v>
      </c>
      <c r="E30160" s="5">
        <v>99.6</v>
      </c>
      <c r="F30160" s="5">
        <v>198.3</v>
      </c>
      <c r="G30160" s="5">
        <v>98.9</v>
      </c>
      <c r="H30160" s="5">
        <v>98.8</v>
      </c>
      <c r="I30160" s="5">
        <v>0</v>
      </c>
      <c r="J30160" s="5">
        <v>0</v>
      </c>
      <c r="K30160" s="5">
        <v>0</v>
      </c>
    </row>
    <row r="30161" spans="1:11" x14ac:dyDescent="0.25">
      <c r="A30161" s="5">
        <f>30154</f>
      </c>
      <c r="B30161" s="5" t="s">
        <v>30169</v>
      </c>
      <c r="C30161" s="5">
        <v>98.9</v>
      </c>
      <c r="D30161" s="5">
        <v>0.1</v>
      </c>
      <c r="E30161" s="5">
        <v>99.1</v>
      </c>
      <c r="F30161" s="5">
        <v>197.9</v>
      </c>
      <c r="G30161" s="5">
        <v>98.7</v>
      </c>
      <c r="H30161" s="5">
        <v>98.5</v>
      </c>
      <c r="I30161" s="5">
        <v>0</v>
      </c>
      <c r="J30161" s="5">
        <v>0</v>
      </c>
      <c r="K30161" s="5">
        <v>0</v>
      </c>
    </row>
    <row r="30162" spans="1:11" x14ac:dyDescent="0.25">
      <c r="A30162" s="5">
        <f>30155</f>
      </c>
      <c r="B30162" s="5" t="s">
        <v>30170</v>
      </c>
      <c r="C30162" s="5">
        <v>98.9</v>
      </c>
      <c r="D30162" s="5">
        <v>0.1</v>
      </c>
      <c r="E30162" s="5">
        <v>99.1</v>
      </c>
      <c r="F30162" s="5">
        <v>197.9</v>
      </c>
      <c r="G30162" s="5">
        <v>98.7</v>
      </c>
      <c r="H30162" s="5">
        <v>98.5</v>
      </c>
      <c r="I30162" s="5">
        <v>0</v>
      </c>
      <c r="J30162" s="5">
        <v>0</v>
      </c>
      <c r="K30162" s="5">
        <v>0</v>
      </c>
    </row>
    <row r="30163" spans="1:11" x14ac:dyDescent="0.25">
      <c r="A30163" s="5">
        <f>30156</f>
      </c>
      <c r="B30163" s="5" t="s">
        <v>30171</v>
      </c>
      <c r="C30163" s="5">
        <v>99</v>
      </c>
      <c r="D30163" s="5">
        <v>0.1</v>
      </c>
      <c r="E30163" s="5">
        <v>99.2</v>
      </c>
      <c r="F30163" s="5">
        <v>199.2</v>
      </c>
      <c r="G30163" s="5">
        <v>99.4</v>
      </c>
      <c r="H30163" s="5">
        <v>99.2</v>
      </c>
      <c r="I30163" s="5">
        <v>0</v>
      </c>
      <c r="J30163" s="5">
        <v>0</v>
      </c>
      <c r="K30163" s="5">
        <v>0</v>
      </c>
    </row>
    <row r="30164" spans="1:11" x14ac:dyDescent="0.25">
      <c r="A30164" s="5">
        <f>30157</f>
      </c>
      <c r="B30164" s="5" t="s">
        <v>30172</v>
      </c>
      <c r="C30164" s="5">
        <v>99</v>
      </c>
      <c r="D30164" s="5">
        <v>0.1</v>
      </c>
      <c r="E30164" s="5">
        <v>99.2</v>
      </c>
      <c r="F30164" s="5">
        <v>199.2</v>
      </c>
      <c r="G30164" s="5">
        <v>99.4</v>
      </c>
      <c r="H30164" s="5">
        <v>99.2</v>
      </c>
      <c r="I30164" s="5">
        <v>0</v>
      </c>
      <c r="J30164" s="5">
        <v>0</v>
      </c>
      <c r="K30164" s="5">
        <v>0</v>
      </c>
    </row>
    <row r="30165" spans="1:11" x14ac:dyDescent="0.25">
      <c r="A30165" s="5">
        <f>30158</f>
      </c>
      <c r="B30165" s="5" t="s">
        <v>30173</v>
      </c>
      <c r="C30165" s="5">
        <v>98.9</v>
      </c>
      <c r="D30165" s="5">
        <v>0.1</v>
      </c>
      <c r="E30165" s="5">
        <v>99.1</v>
      </c>
      <c r="F30165" s="5">
        <v>197.5</v>
      </c>
      <c r="G30165" s="5">
        <v>98.6</v>
      </c>
      <c r="H30165" s="5">
        <v>98.4</v>
      </c>
      <c r="I30165" s="5">
        <v>0</v>
      </c>
      <c r="J30165" s="5">
        <v>0</v>
      </c>
      <c r="K30165" s="5">
        <v>0</v>
      </c>
    </row>
    <row r="30166" spans="1:11" x14ac:dyDescent="0.25">
      <c r="A30166" s="5">
        <f>30159</f>
      </c>
      <c r="B30166" s="5" t="s">
        <v>30174</v>
      </c>
      <c r="C30166" s="5">
        <v>98.9</v>
      </c>
      <c r="D30166" s="5">
        <v>0.1</v>
      </c>
      <c r="E30166" s="5">
        <v>99.1</v>
      </c>
      <c r="F30166" s="5">
        <v>197.5</v>
      </c>
      <c r="G30166" s="5">
        <v>98.6</v>
      </c>
      <c r="H30166" s="5">
        <v>98.4</v>
      </c>
      <c r="I30166" s="5">
        <v>0</v>
      </c>
      <c r="J30166" s="5">
        <v>0</v>
      </c>
      <c r="K30166" s="5">
        <v>0</v>
      </c>
    </row>
    <row r="30167" spans="1:11" x14ac:dyDescent="0.25">
      <c r="A30167" s="5">
        <f>30160</f>
      </c>
      <c r="B30167" s="5" t="s">
        <v>30175</v>
      </c>
      <c r="C30167" s="5">
        <v>100.8</v>
      </c>
      <c r="D30167" s="5">
        <v>0.1</v>
      </c>
      <c r="E30167" s="5">
        <v>100.9</v>
      </c>
      <c r="F30167" s="5">
        <v>201.3</v>
      </c>
      <c r="G30167" s="5">
        <v>100.4</v>
      </c>
      <c r="H30167" s="5">
        <v>100.3</v>
      </c>
      <c r="I30167" s="5">
        <v>0</v>
      </c>
      <c r="J30167" s="5">
        <v>0</v>
      </c>
      <c r="K30167" s="5">
        <v>0</v>
      </c>
    </row>
    <row r="30168" spans="1:11" x14ac:dyDescent="0.25">
      <c r="A30168" s="5">
        <f>30161</f>
      </c>
      <c r="B30168" s="5" t="s">
        <v>30176</v>
      </c>
      <c r="C30168" s="5">
        <v>100.8</v>
      </c>
      <c r="D30168" s="5">
        <v>0.1</v>
      </c>
      <c r="E30168" s="5">
        <v>100.9</v>
      </c>
      <c r="F30168" s="5">
        <v>201.3</v>
      </c>
      <c r="G30168" s="5">
        <v>100.4</v>
      </c>
      <c r="H30168" s="5">
        <v>100.3</v>
      </c>
      <c r="I30168" s="5">
        <v>0</v>
      </c>
      <c r="J30168" s="5">
        <v>0</v>
      </c>
      <c r="K30168" s="5">
        <v>0</v>
      </c>
    </row>
    <row r="30169" spans="1:11" x14ac:dyDescent="0.25">
      <c r="A30169" s="5">
        <f>30162</f>
      </c>
      <c r="B30169" s="5" t="s">
        <v>30177</v>
      </c>
      <c r="C30169" s="5">
        <v>100.8</v>
      </c>
      <c r="D30169" s="5">
        <v>0.1</v>
      </c>
      <c r="E30169" s="5">
        <v>100.9</v>
      </c>
      <c r="F30169" s="5">
        <v>201.3</v>
      </c>
      <c r="G30169" s="5">
        <v>100.4</v>
      </c>
      <c r="H30169" s="5">
        <v>100.3</v>
      </c>
      <c r="I30169" s="5">
        <v>0</v>
      </c>
      <c r="J30169" s="5">
        <v>0</v>
      </c>
      <c r="K30169" s="5">
        <v>0</v>
      </c>
    </row>
    <row r="30170" spans="1:11" x14ac:dyDescent="0.25">
      <c r="A30170" s="5">
        <f>30163</f>
      </c>
      <c r="B30170" s="5" t="s">
        <v>30178</v>
      </c>
      <c r="C30170" s="5">
        <v>100.8</v>
      </c>
      <c r="D30170" s="5">
        <v>0.1</v>
      </c>
      <c r="E30170" s="5">
        <v>100.9</v>
      </c>
      <c r="F30170" s="5">
        <v>201.3</v>
      </c>
      <c r="G30170" s="5">
        <v>100.4</v>
      </c>
      <c r="H30170" s="5">
        <v>100.3</v>
      </c>
      <c r="I30170" s="5">
        <v>0</v>
      </c>
      <c r="J30170" s="5">
        <v>0</v>
      </c>
      <c r="K30170" s="5">
        <v>0</v>
      </c>
    </row>
    <row r="30171" spans="1:11" x14ac:dyDescent="0.25">
      <c r="A30171" s="5">
        <f>30164</f>
      </c>
      <c r="B30171" s="5" t="s">
        <v>30179</v>
      </c>
      <c r="C30171" s="5">
        <v>100.7</v>
      </c>
      <c r="D30171" s="5">
        <v>0.1</v>
      </c>
      <c r="E30171" s="5">
        <v>100.8</v>
      </c>
      <c r="F30171" s="5">
        <v>200.9</v>
      </c>
      <c r="G30171" s="5">
        <v>100.2</v>
      </c>
      <c r="H30171" s="5">
        <v>100</v>
      </c>
      <c r="I30171" s="5">
        <v>0</v>
      </c>
      <c r="J30171" s="5">
        <v>0</v>
      </c>
      <c r="K30171" s="5">
        <v>0</v>
      </c>
    </row>
    <row r="30172" spans="1:11" x14ac:dyDescent="0.25">
      <c r="A30172" s="5">
        <f>30165</f>
      </c>
      <c r="B30172" s="5" t="s">
        <v>30180</v>
      </c>
      <c r="C30172" s="5">
        <v>100.7</v>
      </c>
      <c r="D30172" s="5">
        <v>0.1</v>
      </c>
      <c r="E30172" s="5">
        <v>100.8</v>
      </c>
      <c r="F30172" s="5">
        <v>200.9</v>
      </c>
      <c r="G30172" s="5">
        <v>100.2</v>
      </c>
      <c r="H30172" s="5">
        <v>100</v>
      </c>
      <c r="I30172" s="5">
        <v>0</v>
      </c>
      <c r="J30172" s="5">
        <v>0</v>
      </c>
      <c r="K30172" s="5">
        <v>0</v>
      </c>
    </row>
    <row r="30173" spans="1:11" x14ac:dyDescent="0.25">
      <c r="A30173" s="5">
        <f>30166</f>
      </c>
      <c r="B30173" s="5" t="s">
        <v>30181</v>
      </c>
      <c r="C30173" s="5">
        <v>101.1</v>
      </c>
      <c r="D30173" s="5">
        <v>0.1</v>
      </c>
      <c r="E30173" s="5">
        <v>101.2</v>
      </c>
      <c r="F30173" s="5">
        <v>202.2</v>
      </c>
      <c r="G30173" s="5">
        <v>100.8</v>
      </c>
      <c r="H30173" s="5">
        <v>100.6</v>
      </c>
      <c r="I30173" s="5">
        <v>0</v>
      </c>
      <c r="J30173" s="5">
        <v>0</v>
      </c>
      <c r="K30173" s="5">
        <v>0</v>
      </c>
    </row>
    <row r="30174" spans="1:11" x14ac:dyDescent="0.25">
      <c r="A30174" s="5">
        <f>30167</f>
      </c>
      <c r="B30174" s="5" t="s">
        <v>30182</v>
      </c>
      <c r="C30174" s="5">
        <v>101.1</v>
      </c>
      <c r="D30174" s="5">
        <v>0.1</v>
      </c>
      <c r="E30174" s="5">
        <v>101.2</v>
      </c>
      <c r="F30174" s="5">
        <v>202.2</v>
      </c>
      <c r="G30174" s="5">
        <v>100.8</v>
      </c>
      <c r="H30174" s="5">
        <v>100.6</v>
      </c>
      <c r="I30174" s="5">
        <v>0</v>
      </c>
      <c r="J30174" s="5">
        <v>0</v>
      </c>
      <c r="K30174" s="5">
        <v>0</v>
      </c>
    </row>
    <row r="30175" spans="1:11" x14ac:dyDescent="0.25">
      <c r="A30175" s="5">
        <f>30168</f>
      </c>
      <c r="B30175" s="5" t="s">
        <v>30183</v>
      </c>
      <c r="C30175" s="5">
        <v>101.5</v>
      </c>
      <c r="D30175" s="5">
        <v>0.1</v>
      </c>
      <c r="E30175" s="5">
        <v>101.6</v>
      </c>
      <c r="F30175" s="5">
        <v>202.4</v>
      </c>
      <c r="G30175" s="5">
        <v>101</v>
      </c>
      <c r="H30175" s="5">
        <v>100.9</v>
      </c>
      <c r="I30175" s="5">
        <v>0</v>
      </c>
      <c r="J30175" s="5">
        <v>0</v>
      </c>
      <c r="K30175" s="5">
        <v>0</v>
      </c>
    </row>
    <row r="30176" spans="1:11" x14ac:dyDescent="0.25">
      <c r="A30176" s="5">
        <f>30169</f>
      </c>
      <c r="B30176" s="5" t="s">
        <v>30184</v>
      </c>
      <c r="C30176" s="5">
        <v>101.5</v>
      </c>
      <c r="D30176" s="5">
        <v>0.1</v>
      </c>
      <c r="E30176" s="5">
        <v>101.6</v>
      </c>
      <c r="F30176" s="5">
        <v>202.4</v>
      </c>
      <c r="G30176" s="5">
        <v>101</v>
      </c>
      <c r="H30176" s="5">
        <v>100.9</v>
      </c>
      <c r="I30176" s="5">
        <v>0</v>
      </c>
      <c r="J30176" s="5">
        <v>0</v>
      </c>
      <c r="K30176" s="5">
        <v>0</v>
      </c>
    </row>
    <row r="30177" spans="1:11" x14ac:dyDescent="0.25">
      <c r="A30177" s="5">
        <f>30170</f>
      </c>
      <c r="B30177" s="5" t="s">
        <v>30185</v>
      </c>
      <c r="C30177" s="5">
        <v>101.9</v>
      </c>
      <c r="D30177" s="5">
        <v>0.1</v>
      </c>
      <c r="E30177" s="5">
        <v>102.1</v>
      </c>
      <c r="F30177" s="5">
        <v>203.6</v>
      </c>
      <c r="G30177" s="5">
        <v>101.5</v>
      </c>
      <c r="H30177" s="5">
        <v>101.3</v>
      </c>
      <c r="I30177" s="5">
        <v>0</v>
      </c>
      <c r="J30177" s="5">
        <v>0</v>
      </c>
      <c r="K30177" s="5">
        <v>0</v>
      </c>
    </row>
    <row r="30178" spans="1:11" x14ac:dyDescent="0.25">
      <c r="A30178" s="5">
        <f>30171</f>
      </c>
      <c r="B30178" s="5" t="s">
        <v>30186</v>
      </c>
      <c r="C30178" s="5">
        <v>101.9</v>
      </c>
      <c r="D30178" s="5">
        <v>0.1</v>
      </c>
      <c r="E30178" s="5">
        <v>102.1</v>
      </c>
      <c r="F30178" s="5">
        <v>203.6</v>
      </c>
      <c r="G30178" s="5">
        <v>101.5</v>
      </c>
      <c r="H30178" s="5">
        <v>101.3</v>
      </c>
      <c r="I30178" s="5">
        <v>0</v>
      </c>
      <c r="J30178" s="5">
        <v>0</v>
      </c>
      <c r="K30178" s="5">
        <v>0</v>
      </c>
    </row>
    <row r="30179" spans="1:11" x14ac:dyDescent="0.25">
      <c r="A30179" s="5">
        <f>30172</f>
      </c>
      <c r="B30179" s="5" t="s">
        <v>30187</v>
      </c>
      <c r="C30179" s="5">
        <v>101.9</v>
      </c>
      <c r="D30179" s="5">
        <v>0.1</v>
      </c>
      <c r="E30179" s="5">
        <v>102.1</v>
      </c>
      <c r="F30179" s="5">
        <v>203.6</v>
      </c>
      <c r="G30179" s="5">
        <v>101.5</v>
      </c>
      <c r="H30179" s="5">
        <v>101.3</v>
      </c>
      <c r="I30179" s="5">
        <v>0</v>
      </c>
      <c r="J30179" s="5">
        <v>0</v>
      </c>
      <c r="K30179" s="5">
        <v>0</v>
      </c>
    </row>
    <row r="30180" spans="1:11" x14ac:dyDescent="0.25">
      <c r="A30180" s="5">
        <f>30173</f>
      </c>
      <c r="B30180" s="5" t="s">
        <v>30188</v>
      </c>
      <c r="C30180" s="5">
        <v>101.9</v>
      </c>
      <c r="D30180" s="5">
        <v>0.1</v>
      </c>
      <c r="E30180" s="5">
        <v>102.1</v>
      </c>
      <c r="F30180" s="5">
        <v>203.6</v>
      </c>
      <c r="G30180" s="5">
        <v>101.5</v>
      </c>
      <c r="H30180" s="5">
        <v>101.3</v>
      </c>
      <c r="I30180" s="5">
        <v>0</v>
      </c>
      <c r="J30180" s="5">
        <v>0</v>
      </c>
      <c r="K30180" s="5">
        <v>0</v>
      </c>
    </row>
    <row r="30181" spans="1:11" x14ac:dyDescent="0.25">
      <c r="A30181" s="5">
        <f>30174</f>
      </c>
      <c r="B30181" s="5" t="s">
        <v>30189</v>
      </c>
      <c r="C30181" s="5">
        <v>103.6</v>
      </c>
      <c r="D30181" s="5">
        <v>0.1</v>
      </c>
      <c r="E30181" s="5">
        <v>103.7</v>
      </c>
      <c r="F30181" s="5">
        <v>204.8</v>
      </c>
      <c r="G30181" s="5">
        <v>102.2</v>
      </c>
      <c r="H30181" s="5">
        <v>102</v>
      </c>
      <c r="I30181" s="5">
        <v>0</v>
      </c>
      <c r="J30181" s="5">
        <v>0</v>
      </c>
      <c r="K30181" s="5">
        <v>0</v>
      </c>
    </row>
    <row r="30182" spans="1:11" x14ac:dyDescent="0.25">
      <c r="A30182" s="5">
        <f>30175</f>
      </c>
      <c r="B30182" s="5" t="s">
        <v>30190</v>
      </c>
      <c r="C30182" s="5">
        <v>103.6</v>
      </c>
      <c r="D30182" s="5">
        <v>0.1</v>
      </c>
      <c r="E30182" s="5">
        <v>103.7</v>
      </c>
      <c r="F30182" s="5">
        <v>204.8</v>
      </c>
      <c r="G30182" s="5">
        <v>102.2</v>
      </c>
      <c r="H30182" s="5">
        <v>102</v>
      </c>
      <c r="I30182" s="5">
        <v>0</v>
      </c>
      <c r="J30182" s="5">
        <v>0</v>
      </c>
      <c r="K30182" s="5">
        <v>0</v>
      </c>
    </row>
    <row r="30183" spans="1:11" x14ac:dyDescent="0.25">
      <c r="A30183" s="5">
        <f>30176</f>
      </c>
      <c r="B30183" s="5" t="s">
        <v>30191</v>
      </c>
      <c r="C30183" s="5">
        <v>102.1</v>
      </c>
      <c r="D30183" s="5">
        <v>0.1</v>
      </c>
      <c r="E30183" s="5">
        <v>102.3</v>
      </c>
      <c r="F30183" s="5">
        <v>203.9</v>
      </c>
      <c r="G30183" s="5">
        <v>101.6</v>
      </c>
      <c r="H30183" s="5">
        <v>101.4</v>
      </c>
      <c r="I30183" s="5">
        <v>0</v>
      </c>
      <c r="J30183" s="5">
        <v>0</v>
      </c>
      <c r="K30183" s="5">
        <v>0</v>
      </c>
    </row>
    <row r="30184" spans="1:11" x14ac:dyDescent="0.25">
      <c r="A30184" s="5">
        <f>30177</f>
      </c>
      <c r="B30184" s="5" t="s">
        <v>30192</v>
      </c>
      <c r="C30184" s="5">
        <v>102.1</v>
      </c>
      <c r="D30184" s="5">
        <v>0.1</v>
      </c>
      <c r="E30184" s="5">
        <v>102.3</v>
      </c>
      <c r="F30184" s="5">
        <v>203.9</v>
      </c>
      <c r="G30184" s="5">
        <v>101.6</v>
      </c>
      <c r="H30184" s="5">
        <v>101.4</v>
      </c>
      <c r="I30184" s="5">
        <v>0</v>
      </c>
      <c r="J30184" s="5">
        <v>0</v>
      </c>
      <c r="K30184" s="5">
        <v>0</v>
      </c>
    </row>
    <row r="30185" spans="1:11" x14ac:dyDescent="0.25">
      <c r="A30185" s="5">
        <f>30178</f>
      </c>
      <c r="B30185" s="5" t="s">
        <v>30193</v>
      </c>
      <c r="C30185" s="5">
        <v>101.6</v>
      </c>
      <c r="D30185" s="5">
        <v>0.1</v>
      </c>
      <c r="E30185" s="5">
        <v>101.8</v>
      </c>
      <c r="F30185" s="5">
        <v>203.2</v>
      </c>
      <c r="G30185" s="5">
        <v>101.4</v>
      </c>
      <c r="H30185" s="5">
        <v>101.3</v>
      </c>
      <c r="I30185" s="5">
        <v>0</v>
      </c>
      <c r="J30185" s="5">
        <v>0</v>
      </c>
      <c r="K30185" s="5">
        <v>0</v>
      </c>
    </row>
    <row r="30186" spans="1:11" x14ac:dyDescent="0.25">
      <c r="A30186" s="5">
        <f>30179</f>
      </c>
      <c r="B30186" s="5" t="s">
        <v>30194</v>
      </c>
      <c r="C30186" s="5">
        <v>101.6</v>
      </c>
      <c r="D30186" s="5">
        <v>0.1</v>
      </c>
      <c r="E30186" s="5">
        <v>101.8</v>
      </c>
      <c r="F30186" s="5">
        <v>203.2</v>
      </c>
      <c r="G30186" s="5">
        <v>101.4</v>
      </c>
      <c r="H30186" s="5">
        <v>101.3</v>
      </c>
      <c r="I30186" s="5">
        <v>0</v>
      </c>
      <c r="J30186" s="5">
        <v>0</v>
      </c>
      <c r="K30186" s="5">
        <v>0</v>
      </c>
    </row>
    <row r="30187" spans="1:11" x14ac:dyDescent="0.25">
      <c r="A30187" s="5">
        <f>30180</f>
      </c>
      <c r="B30187" s="5" t="s">
        <v>30195</v>
      </c>
      <c r="C30187" s="5">
        <v>102.1</v>
      </c>
      <c r="D30187" s="5">
        <v>0.1</v>
      </c>
      <c r="E30187" s="5">
        <v>102.3</v>
      </c>
      <c r="F30187" s="5">
        <v>203.8</v>
      </c>
      <c r="G30187" s="5">
        <v>101.8</v>
      </c>
      <c r="H30187" s="5">
        <v>101.7</v>
      </c>
      <c r="I30187" s="5">
        <v>0</v>
      </c>
      <c r="J30187" s="5">
        <v>0</v>
      </c>
      <c r="K30187" s="5">
        <v>0</v>
      </c>
    </row>
    <row r="30188" spans="1:11" x14ac:dyDescent="0.25">
      <c r="A30188" s="5">
        <f>30181</f>
      </c>
      <c r="B30188" s="5" t="s">
        <v>30196</v>
      </c>
      <c r="C30188" s="5">
        <v>102.1</v>
      </c>
      <c r="D30188" s="5">
        <v>0.1</v>
      </c>
      <c r="E30188" s="5">
        <v>102.3</v>
      </c>
      <c r="F30188" s="5">
        <v>203.8</v>
      </c>
      <c r="G30188" s="5">
        <v>101.8</v>
      </c>
      <c r="H30188" s="5">
        <v>101.7</v>
      </c>
      <c r="I30188" s="5">
        <v>0</v>
      </c>
      <c r="J30188" s="5">
        <v>0</v>
      </c>
      <c r="K30188" s="5">
        <v>0</v>
      </c>
    </row>
    <row r="30189" spans="1:11" x14ac:dyDescent="0.25">
      <c r="A30189" s="5">
        <f>30182</f>
      </c>
      <c r="B30189" s="5" t="s">
        <v>30197</v>
      </c>
      <c r="C30189" s="5">
        <v>102.1</v>
      </c>
      <c r="D30189" s="5">
        <v>0.1</v>
      </c>
      <c r="E30189" s="5">
        <v>102.3</v>
      </c>
      <c r="F30189" s="5">
        <v>203.8</v>
      </c>
      <c r="G30189" s="5">
        <v>101.8</v>
      </c>
      <c r="H30189" s="5">
        <v>101.7</v>
      </c>
      <c r="I30189" s="5">
        <v>0</v>
      </c>
      <c r="J30189" s="5">
        <v>0</v>
      </c>
      <c r="K30189" s="5">
        <v>0</v>
      </c>
    </row>
    <row r="30190" spans="1:11" x14ac:dyDescent="0.25">
      <c r="A30190" s="5">
        <f>30183</f>
      </c>
      <c r="B30190" s="5" t="s">
        <v>30198</v>
      </c>
      <c r="C30190" s="5">
        <v>102.1</v>
      </c>
      <c r="D30190" s="5">
        <v>0.1</v>
      </c>
      <c r="E30190" s="5">
        <v>102.3</v>
      </c>
      <c r="F30190" s="5">
        <v>203.8</v>
      </c>
      <c r="G30190" s="5">
        <v>101.8</v>
      </c>
      <c r="H30190" s="5">
        <v>101.7</v>
      </c>
      <c r="I30190" s="5">
        <v>0</v>
      </c>
      <c r="J30190" s="5">
        <v>0</v>
      </c>
      <c r="K30190" s="5">
        <v>0</v>
      </c>
    </row>
    <row r="30191" spans="1:11" x14ac:dyDescent="0.25">
      <c r="A30191" s="5">
        <f>30184</f>
      </c>
      <c r="B30191" s="5" t="s">
        <v>30199</v>
      </c>
      <c r="C30191" s="5">
        <v>102.9</v>
      </c>
      <c r="D30191" s="5">
        <v>0.1</v>
      </c>
      <c r="E30191" s="5">
        <v>103.1</v>
      </c>
      <c r="F30191" s="5">
        <v>205</v>
      </c>
      <c r="G30191" s="5">
        <v>102.3</v>
      </c>
      <c r="H30191" s="5">
        <v>102.1</v>
      </c>
      <c r="I30191" s="5">
        <v>0</v>
      </c>
      <c r="J30191" s="5">
        <v>0</v>
      </c>
      <c r="K30191" s="5">
        <v>0</v>
      </c>
    </row>
    <row r="30192" spans="1:11" x14ac:dyDescent="0.25">
      <c r="A30192" s="5">
        <f>30185</f>
      </c>
      <c r="B30192" s="5" t="s">
        <v>30200</v>
      </c>
      <c r="C30192" s="5">
        <v>102.9</v>
      </c>
      <c r="D30192" s="5">
        <v>0.1</v>
      </c>
      <c r="E30192" s="5">
        <v>103.1</v>
      </c>
      <c r="F30192" s="5">
        <v>205</v>
      </c>
      <c r="G30192" s="5">
        <v>102.3</v>
      </c>
      <c r="H30192" s="5">
        <v>102.1</v>
      </c>
      <c r="I30192" s="5">
        <v>0</v>
      </c>
      <c r="J30192" s="5">
        <v>0</v>
      </c>
      <c r="K30192" s="5">
        <v>0</v>
      </c>
    </row>
    <row r="30193" spans="1:11" x14ac:dyDescent="0.25">
      <c r="A30193" s="5">
        <f>30186</f>
      </c>
      <c r="B30193" s="5" t="s">
        <v>30201</v>
      </c>
      <c r="C30193" s="5">
        <v>103.2</v>
      </c>
      <c r="D30193" s="5">
        <v>0.1</v>
      </c>
      <c r="E30193" s="5">
        <v>103.4</v>
      </c>
      <c r="F30193" s="5">
        <v>205.7</v>
      </c>
      <c r="G30193" s="5">
        <v>102.6</v>
      </c>
      <c r="H30193" s="5">
        <v>102.4</v>
      </c>
      <c r="I30193" s="5">
        <v>0</v>
      </c>
      <c r="J30193" s="5">
        <v>0</v>
      </c>
      <c r="K30193" s="5">
        <v>0</v>
      </c>
    </row>
    <row r="30194" spans="1:11" x14ac:dyDescent="0.25">
      <c r="A30194" s="5">
        <f>30187</f>
      </c>
      <c r="B30194" s="5" t="s">
        <v>30202</v>
      </c>
      <c r="C30194" s="5">
        <v>103.2</v>
      </c>
      <c r="D30194" s="5">
        <v>0.1</v>
      </c>
      <c r="E30194" s="5">
        <v>103.4</v>
      </c>
      <c r="F30194" s="5">
        <v>205.7</v>
      </c>
      <c r="G30194" s="5">
        <v>102.6</v>
      </c>
      <c r="H30194" s="5">
        <v>102.4</v>
      </c>
      <c r="I30194" s="5">
        <v>0</v>
      </c>
      <c r="J30194" s="5">
        <v>0</v>
      </c>
      <c r="K30194" s="5">
        <v>0</v>
      </c>
    </row>
    <row r="30195" spans="1:11" x14ac:dyDescent="0.25">
      <c r="A30195" s="5">
        <f>30188</f>
      </c>
      <c r="B30195" s="5" t="s">
        <v>30203</v>
      </c>
      <c r="C30195" s="5">
        <v>102.2</v>
      </c>
      <c r="D30195" s="5">
        <v>0.1</v>
      </c>
      <c r="E30195" s="5">
        <v>102.4</v>
      </c>
      <c r="F30195" s="5">
        <v>205</v>
      </c>
      <c r="G30195" s="5">
        <v>102.2</v>
      </c>
      <c r="H30195" s="5">
        <v>102</v>
      </c>
      <c r="I30195" s="5">
        <v>0</v>
      </c>
      <c r="J30195" s="5">
        <v>0</v>
      </c>
      <c r="K30195" s="5">
        <v>0</v>
      </c>
    </row>
    <row r="30196" spans="1:11" x14ac:dyDescent="0.25">
      <c r="A30196" s="5">
        <f>30189</f>
      </c>
      <c r="B30196" s="5" t="s">
        <v>30204</v>
      </c>
      <c r="C30196" s="5">
        <v>102.2</v>
      </c>
      <c r="D30196" s="5">
        <v>0.1</v>
      </c>
      <c r="E30196" s="5">
        <v>102.4</v>
      </c>
      <c r="F30196" s="5">
        <v>205</v>
      </c>
      <c r="G30196" s="5">
        <v>102.2</v>
      </c>
      <c r="H30196" s="5">
        <v>102</v>
      </c>
      <c r="I30196" s="5">
        <v>0</v>
      </c>
      <c r="J30196" s="5">
        <v>0</v>
      </c>
      <c r="K30196" s="5">
        <v>0</v>
      </c>
    </row>
    <row r="30197" spans="1:11" x14ac:dyDescent="0.25">
      <c r="A30197" s="5">
        <f>30190</f>
      </c>
      <c r="B30197" s="5" t="s">
        <v>30205</v>
      </c>
      <c r="C30197" s="5">
        <v>102.2</v>
      </c>
      <c r="D30197" s="5">
        <v>0.1</v>
      </c>
      <c r="E30197" s="5">
        <v>102.4</v>
      </c>
      <c r="F30197" s="5">
        <v>204.4</v>
      </c>
      <c r="G30197" s="5">
        <v>101.9</v>
      </c>
      <c r="H30197" s="5">
        <v>101.8</v>
      </c>
      <c r="I30197" s="5">
        <v>0</v>
      </c>
      <c r="J30197" s="5">
        <v>0</v>
      </c>
      <c r="K30197" s="5">
        <v>0</v>
      </c>
    </row>
    <row r="30198" spans="1:11" x14ac:dyDescent="0.25">
      <c r="A30198" s="5">
        <f>30191</f>
      </c>
      <c r="B30198" s="5" t="s">
        <v>30206</v>
      </c>
      <c r="C30198" s="5">
        <v>102.2</v>
      </c>
      <c r="D30198" s="5">
        <v>0.1</v>
      </c>
      <c r="E30198" s="5">
        <v>102.4</v>
      </c>
      <c r="F30198" s="5">
        <v>204.4</v>
      </c>
      <c r="G30198" s="5">
        <v>101.9</v>
      </c>
      <c r="H30198" s="5">
        <v>101.8</v>
      </c>
      <c r="I30198" s="5">
        <v>0</v>
      </c>
      <c r="J30198" s="5">
        <v>0</v>
      </c>
      <c r="K30198" s="5">
        <v>0</v>
      </c>
    </row>
    <row r="30199" spans="1:11" x14ac:dyDescent="0.25">
      <c r="A30199" s="5">
        <f>30192</f>
      </c>
      <c r="B30199" s="5" t="s">
        <v>30207</v>
      </c>
      <c r="C30199" s="5">
        <v>102.2</v>
      </c>
      <c r="D30199" s="5">
        <v>0.1</v>
      </c>
      <c r="E30199" s="5">
        <v>102.4</v>
      </c>
      <c r="F30199" s="5">
        <v>204.4</v>
      </c>
      <c r="G30199" s="5">
        <v>101.9</v>
      </c>
      <c r="H30199" s="5">
        <v>101.8</v>
      </c>
      <c r="I30199" s="5">
        <v>0</v>
      </c>
      <c r="J30199" s="5">
        <v>0</v>
      </c>
      <c r="K30199" s="5">
        <v>0</v>
      </c>
    </row>
    <row r="30200" spans="1:11" x14ac:dyDescent="0.25">
      <c r="A30200" s="5">
        <f>30193</f>
      </c>
      <c r="B30200" s="5" t="s">
        <v>30208</v>
      </c>
      <c r="C30200" s="5">
        <v>102.2</v>
      </c>
      <c r="D30200" s="5">
        <v>0.1</v>
      </c>
      <c r="E30200" s="5">
        <v>102.4</v>
      </c>
      <c r="F30200" s="5">
        <v>204.4</v>
      </c>
      <c r="G30200" s="5">
        <v>101.9</v>
      </c>
      <c r="H30200" s="5">
        <v>101.8</v>
      </c>
      <c r="I30200" s="5">
        <v>0</v>
      </c>
      <c r="J30200" s="5">
        <v>0</v>
      </c>
      <c r="K30200" s="5">
        <v>0</v>
      </c>
    </row>
    <row r="30201" spans="1:11" x14ac:dyDescent="0.25">
      <c r="A30201" s="5">
        <f>30194</f>
      </c>
      <c r="B30201" s="5" t="s">
        <v>30209</v>
      </c>
      <c r="C30201" s="5">
        <v>102.1</v>
      </c>
      <c r="D30201" s="5">
        <v>0.1</v>
      </c>
      <c r="E30201" s="5">
        <v>102.3</v>
      </c>
      <c r="F30201" s="5">
        <v>203.6</v>
      </c>
      <c r="G30201" s="5">
        <v>102</v>
      </c>
      <c r="H30201" s="5">
        <v>102.3</v>
      </c>
      <c r="I30201" s="5">
        <v>0</v>
      </c>
      <c r="J30201" s="5">
        <v>0</v>
      </c>
      <c r="K30201" s="5">
        <v>0</v>
      </c>
    </row>
    <row r="30202" spans="1:11" x14ac:dyDescent="0.25">
      <c r="A30202" s="5">
        <f>30195</f>
      </c>
      <c r="B30202" s="5" t="s">
        <v>30210</v>
      </c>
      <c r="C30202" s="5">
        <v>102.1</v>
      </c>
      <c r="D30202" s="5">
        <v>0.1</v>
      </c>
      <c r="E30202" s="5">
        <v>102.3</v>
      </c>
      <c r="F30202" s="5">
        <v>203.6</v>
      </c>
      <c r="G30202" s="5">
        <v>102</v>
      </c>
      <c r="H30202" s="5">
        <v>102.3</v>
      </c>
      <c r="I30202" s="5">
        <v>0</v>
      </c>
      <c r="J30202" s="5">
        <v>0</v>
      </c>
      <c r="K30202" s="5">
        <v>0</v>
      </c>
    </row>
    <row r="30203" spans="1:11" x14ac:dyDescent="0.25">
      <c r="A30203" s="5">
        <f>30196</f>
      </c>
      <c r="B30203" s="5" t="s">
        <v>30211</v>
      </c>
      <c r="C30203" s="5">
        <v>103.1</v>
      </c>
      <c r="D30203" s="5">
        <v>0.1</v>
      </c>
      <c r="E30203" s="5">
        <v>103.3</v>
      </c>
      <c r="F30203" s="5">
        <v>205.1</v>
      </c>
      <c r="G30203" s="5">
        <v>102.3</v>
      </c>
      <c r="H30203" s="5">
        <v>102.2</v>
      </c>
      <c r="I30203" s="5">
        <v>0</v>
      </c>
      <c r="J30203" s="5">
        <v>0</v>
      </c>
      <c r="K30203" s="5">
        <v>0</v>
      </c>
    </row>
    <row r="30204" spans="1:11" x14ac:dyDescent="0.25">
      <c r="A30204" s="5">
        <f>30197</f>
      </c>
      <c r="B30204" s="5" t="s">
        <v>30212</v>
      </c>
      <c r="C30204" s="5">
        <v>103.1</v>
      </c>
      <c r="D30204" s="5">
        <v>0.1</v>
      </c>
      <c r="E30204" s="5">
        <v>103.3</v>
      </c>
      <c r="F30204" s="5">
        <v>205.1</v>
      </c>
      <c r="G30204" s="5">
        <v>102.3</v>
      </c>
      <c r="H30204" s="5">
        <v>102.2</v>
      </c>
      <c r="I30204" s="5">
        <v>0</v>
      </c>
      <c r="J30204" s="5">
        <v>0</v>
      </c>
      <c r="K30204" s="5">
        <v>0</v>
      </c>
    </row>
    <row r="30205" spans="1:11" x14ac:dyDescent="0.25">
      <c r="A30205" s="5">
        <f>30198</f>
      </c>
      <c r="B30205" s="5" t="s">
        <v>30213</v>
      </c>
      <c r="C30205" s="5">
        <v>102.5</v>
      </c>
      <c r="D30205" s="5">
        <v>0.1</v>
      </c>
      <c r="E30205" s="5">
        <v>102.7</v>
      </c>
      <c r="F30205" s="5">
        <v>204.6</v>
      </c>
      <c r="G30205" s="5">
        <v>102</v>
      </c>
      <c r="H30205" s="5">
        <v>101.9</v>
      </c>
      <c r="I30205" s="5">
        <v>0</v>
      </c>
      <c r="J30205" s="5">
        <v>0</v>
      </c>
      <c r="K30205" s="5">
        <v>0</v>
      </c>
    </row>
    <row r="30206" spans="1:11" x14ac:dyDescent="0.25">
      <c r="A30206" s="5">
        <f>30199</f>
      </c>
      <c r="B30206" s="5" t="s">
        <v>30214</v>
      </c>
      <c r="C30206" s="5">
        <v>102.5</v>
      </c>
      <c r="D30206" s="5">
        <v>0.1</v>
      </c>
      <c r="E30206" s="5">
        <v>102.7</v>
      </c>
      <c r="F30206" s="5">
        <v>204.6</v>
      </c>
      <c r="G30206" s="5">
        <v>102</v>
      </c>
      <c r="H30206" s="5">
        <v>101.9</v>
      </c>
      <c r="I30206" s="5">
        <v>0</v>
      </c>
      <c r="J30206" s="5">
        <v>0</v>
      </c>
      <c r="K30206" s="5">
        <v>0</v>
      </c>
    </row>
    <row r="30207" spans="1:11" x14ac:dyDescent="0.25">
      <c r="A30207" s="5">
        <f>30200</f>
      </c>
      <c r="B30207" s="5" t="s">
        <v>30215</v>
      </c>
      <c r="C30207" s="5">
        <v>102.6</v>
      </c>
      <c r="D30207" s="5">
        <v>0.1</v>
      </c>
      <c r="E30207" s="5">
        <v>102.7</v>
      </c>
      <c r="F30207" s="5">
        <v>205</v>
      </c>
      <c r="G30207" s="5">
        <v>102.2</v>
      </c>
      <c r="H30207" s="5">
        <v>102.1</v>
      </c>
      <c r="I30207" s="5">
        <v>0</v>
      </c>
      <c r="J30207" s="5">
        <v>0</v>
      </c>
      <c r="K30207" s="5">
        <v>0</v>
      </c>
    </row>
    <row r="30208" spans="1:11" x14ac:dyDescent="0.25">
      <c r="A30208" s="5">
        <f>30201</f>
      </c>
      <c r="B30208" s="5" t="s">
        <v>30216</v>
      </c>
      <c r="C30208" s="5">
        <v>102.6</v>
      </c>
      <c r="D30208" s="5">
        <v>0.1</v>
      </c>
      <c r="E30208" s="5">
        <v>102.7</v>
      </c>
      <c r="F30208" s="5">
        <v>205</v>
      </c>
      <c r="G30208" s="5">
        <v>102.2</v>
      </c>
      <c r="H30208" s="5">
        <v>102.1</v>
      </c>
      <c r="I30208" s="5">
        <v>0</v>
      </c>
      <c r="J30208" s="5">
        <v>0</v>
      </c>
      <c r="K30208" s="5">
        <v>0</v>
      </c>
    </row>
    <row r="30209" spans="1:11" x14ac:dyDescent="0.25">
      <c r="A30209" s="5">
        <f>30202</f>
      </c>
      <c r="B30209" s="5" t="s">
        <v>30217</v>
      </c>
      <c r="C30209" s="5">
        <v>102.6</v>
      </c>
      <c r="D30209" s="5">
        <v>0.1</v>
      </c>
      <c r="E30209" s="5">
        <v>102.7</v>
      </c>
      <c r="F30209" s="5">
        <v>205</v>
      </c>
      <c r="G30209" s="5">
        <v>102.2</v>
      </c>
      <c r="H30209" s="5">
        <v>102.1</v>
      </c>
      <c r="I30209" s="5">
        <v>0</v>
      </c>
      <c r="J30209" s="5">
        <v>0</v>
      </c>
      <c r="K30209" s="5">
        <v>0</v>
      </c>
    </row>
    <row r="30210" spans="1:11" x14ac:dyDescent="0.25">
      <c r="A30210" s="5">
        <f>30203</f>
      </c>
      <c r="B30210" s="5" t="s">
        <v>30218</v>
      </c>
      <c r="C30210" s="5">
        <v>102.6</v>
      </c>
      <c r="D30210" s="5">
        <v>0.1</v>
      </c>
      <c r="E30210" s="5">
        <v>102.7</v>
      </c>
      <c r="F30210" s="5">
        <v>205</v>
      </c>
      <c r="G30210" s="5">
        <v>102.2</v>
      </c>
      <c r="H30210" s="5">
        <v>102.1</v>
      </c>
      <c r="I30210" s="5">
        <v>0</v>
      </c>
      <c r="J30210" s="5">
        <v>0</v>
      </c>
      <c r="K30210" s="5">
        <v>0</v>
      </c>
    </row>
    <row r="30211" spans="1:11" x14ac:dyDescent="0.25">
      <c r="A30211" s="5">
        <f>30204</f>
      </c>
      <c r="B30211" s="5" t="s">
        <v>30219</v>
      </c>
      <c r="C30211" s="5">
        <v>102.3</v>
      </c>
      <c r="D30211" s="5">
        <v>0.1</v>
      </c>
      <c r="E30211" s="5">
        <v>102.4</v>
      </c>
      <c r="F30211" s="5">
        <v>204.5</v>
      </c>
      <c r="G30211" s="5">
        <v>102</v>
      </c>
      <c r="H30211" s="5">
        <v>101.8</v>
      </c>
      <c r="I30211" s="5">
        <v>0</v>
      </c>
      <c r="J30211" s="5">
        <v>0</v>
      </c>
      <c r="K30211" s="5">
        <v>0</v>
      </c>
    </row>
    <row r="30212" spans="1:11" x14ac:dyDescent="0.25">
      <c r="A30212" s="5">
        <f>30205</f>
      </c>
      <c r="B30212" s="5" t="s">
        <v>30220</v>
      </c>
      <c r="C30212" s="5">
        <v>102.3</v>
      </c>
      <c r="D30212" s="5">
        <v>0.1</v>
      </c>
      <c r="E30212" s="5">
        <v>102.4</v>
      </c>
      <c r="F30212" s="5">
        <v>204.5</v>
      </c>
      <c r="G30212" s="5">
        <v>102</v>
      </c>
      <c r="H30212" s="5">
        <v>101.8</v>
      </c>
      <c r="I30212" s="5">
        <v>0</v>
      </c>
      <c r="J30212" s="5">
        <v>0</v>
      </c>
      <c r="K30212" s="5">
        <v>0</v>
      </c>
    </row>
    <row r="30213" spans="1:11" x14ac:dyDescent="0.25">
      <c r="A30213" s="5">
        <f>30206</f>
      </c>
      <c r="B30213" s="5" t="s">
        <v>30221</v>
      </c>
      <c r="C30213" s="5">
        <v>102.8</v>
      </c>
      <c r="D30213" s="5">
        <v>0.1</v>
      </c>
      <c r="E30213" s="5">
        <v>103</v>
      </c>
      <c r="F30213" s="5">
        <v>205.4</v>
      </c>
      <c r="G30213" s="5">
        <v>102.4</v>
      </c>
      <c r="H30213" s="5">
        <v>102.2</v>
      </c>
      <c r="I30213" s="5">
        <v>0</v>
      </c>
      <c r="J30213" s="5">
        <v>0</v>
      </c>
      <c r="K30213" s="5">
        <v>0</v>
      </c>
    </row>
    <row r="30214" spans="1:11" x14ac:dyDescent="0.25">
      <c r="A30214" s="5">
        <f>30207</f>
      </c>
      <c r="B30214" s="5" t="s">
        <v>30222</v>
      </c>
      <c r="C30214" s="5">
        <v>102.8</v>
      </c>
      <c r="D30214" s="5">
        <v>0.1</v>
      </c>
      <c r="E30214" s="5">
        <v>103</v>
      </c>
      <c r="F30214" s="5">
        <v>205.4</v>
      </c>
      <c r="G30214" s="5">
        <v>102.4</v>
      </c>
      <c r="H30214" s="5">
        <v>102.2</v>
      </c>
      <c r="I30214" s="5">
        <v>0</v>
      </c>
      <c r="J30214" s="5">
        <v>0</v>
      </c>
      <c r="K30214" s="5">
        <v>0</v>
      </c>
    </row>
    <row r="30215" spans="1:11" x14ac:dyDescent="0.25">
      <c r="A30215" s="5">
        <f>30208</f>
      </c>
      <c r="B30215" s="5" t="s">
        <v>30223</v>
      </c>
      <c r="C30215" s="5">
        <v>102.5</v>
      </c>
      <c r="D30215" s="5">
        <v>0.1</v>
      </c>
      <c r="E30215" s="5">
        <v>102.6</v>
      </c>
      <c r="F30215" s="5">
        <v>204.8</v>
      </c>
      <c r="G30215" s="5">
        <v>102.1</v>
      </c>
      <c r="H30215" s="5">
        <v>101.9</v>
      </c>
      <c r="I30215" s="5">
        <v>0</v>
      </c>
      <c r="J30215" s="5">
        <v>0</v>
      </c>
      <c r="K30215" s="5">
        <v>0</v>
      </c>
    </row>
    <row r="30216" spans="1:11" x14ac:dyDescent="0.25">
      <c r="A30216" s="5">
        <f>30209</f>
      </c>
      <c r="B30216" s="5" t="s">
        <v>30224</v>
      </c>
      <c r="C30216" s="5">
        <v>102.5</v>
      </c>
      <c r="D30216" s="5">
        <v>0.1</v>
      </c>
      <c r="E30216" s="5">
        <v>102.6</v>
      </c>
      <c r="F30216" s="5">
        <v>204.8</v>
      </c>
      <c r="G30216" s="5">
        <v>102.1</v>
      </c>
      <c r="H30216" s="5">
        <v>101.9</v>
      </c>
      <c r="I30216" s="5">
        <v>0</v>
      </c>
      <c r="J30216" s="5">
        <v>0</v>
      </c>
      <c r="K30216" s="5">
        <v>0</v>
      </c>
    </row>
    <row r="30217" spans="1:11" x14ac:dyDescent="0.25">
      <c r="A30217" s="5">
        <f>30210</f>
      </c>
      <c r="B30217" s="5" t="s">
        <v>30225</v>
      </c>
      <c r="C30217" s="5">
        <v>102.6</v>
      </c>
      <c r="D30217" s="5">
        <v>0.1</v>
      </c>
      <c r="E30217" s="5">
        <v>102.7</v>
      </c>
      <c r="F30217" s="5">
        <v>205.2</v>
      </c>
      <c r="G30217" s="5">
        <v>102.3</v>
      </c>
      <c r="H30217" s="5">
        <v>102.2</v>
      </c>
      <c r="I30217" s="5">
        <v>0</v>
      </c>
      <c r="J30217" s="5">
        <v>0</v>
      </c>
      <c r="K30217" s="5">
        <v>0</v>
      </c>
    </row>
    <row r="30218" spans="1:11" x14ac:dyDescent="0.25">
      <c r="A30218" s="5">
        <f>30211</f>
      </c>
      <c r="B30218" s="5" t="s">
        <v>30226</v>
      </c>
      <c r="C30218" s="5">
        <v>102.6</v>
      </c>
      <c r="D30218" s="5">
        <v>0.1</v>
      </c>
      <c r="E30218" s="5">
        <v>102.7</v>
      </c>
      <c r="F30218" s="5">
        <v>205.2</v>
      </c>
      <c r="G30218" s="5">
        <v>102.3</v>
      </c>
      <c r="H30218" s="5">
        <v>102.2</v>
      </c>
      <c r="I30218" s="5">
        <v>0</v>
      </c>
      <c r="J30218" s="5">
        <v>0</v>
      </c>
      <c r="K30218" s="5">
        <v>0</v>
      </c>
    </row>
    <row r="30219" spans="1:11" x14ac:dyDescent="0.25">
      <c r="A30219" s="5">
        <f>30212</f>
      </c>
      <c r="B30219" s="5" t="s">
        <v>30227</v>
      </c>
      <c r="C30219" s="5">
        <v>102.6</v>
      </c>
      <c r="D30219" s="5">
        <v>0.1</v>
      </c>
      <c r="E30219" s="5">
        <v>102.7</v>
      </c>
      <c r="F30219" s="5">
        <v>205.2</v>
      </c>
      <c r="G30219" s="5">
        <v>102.3</v>
      </c>
      <c r="H30219" s="5">
        <v>102.2</v>
      </c>
      <c r="I30219" s="5">
        <v>0</v>
      </c>
      <c r="J30219" s="5">
        <v>0</v>
      </c>
      <c r="K30219" s="5">
        <v>0</v>
      </c>
    </row>
    <row r="30220" spans="1:11" x14ac:dyDescent="0.25">
      <c r="A30220" s="5">
        <f>30213</f>
      </c>
      <c r="B30220" s="5" t="s">
        <v>30228</v>
      </c>
      <c r="C30220" s="5">
        <v>102.6</v>
      </c>
      <c r="D30220" s="5">
        <v>0.1</v>
      </c>
      <c r="E30220" s="5">
        <v>102.7</v>
      </c>
      <c r="F30220" s="5">
        <v>205.2</v>
      </c>
      <c r="G30220" s="5">
        <v>102.3</v>
      </c>
      <c r="H30220" s="5">
        <v>102.2</v>
      </c>
      <c r="I30220" s="5">
        <v>0</v>
      </c>
      <c r="J30220" s="5">
        <v>0</v>
      </c>
      <c r="K30220" s="5">
        <v>0</v>
      </c>
    </row>
    <row r="30221" spans="1:11" x14ac:dyDescent="0.25">
      <c r="A30221" s="5">
        <f>30214</f>
      </c>
      <c r="B30221" s="5" t="s">
        <v>30229</v>
      </c>
      <c r="C30221" s="5">
        <v>102.5</v>
      </c>
      <c r="D30221" s="5">
        <v>0.1</v>
      </c>
      <c r="E30221" s="5">
        <v>102.6</v>
      </c>
      <c r="F30221" s="5">
        <v>204.4</v>
      </c>
      <c r="G30221" s="5">
        <v>101.9</v>
      </c>
      <c r="H30221" s="5">
        <v>101.8</v>
      </c>
      <c r="I30221" s="5">
        <v>0</v>
      </c>
      <c r="J30221" s="5">
        <v>0</v>
      </c>
      <c r="K30221" s="5">
        <v>0</v>
      </c>
    </row>
    <row r="30222" spans="1:11" x14ac:dyDescent="0.25">
      <c r="A30222" s="5">
        <f>30215</f>
      </c>
      <c r="B30222" s="5" t="s">
        <v>30230</v>
      </c>
      <c r="C30222" s="5">
        <v>102.5</v>
      </c>
      <c r="D30222" s="5">
        <v>0.1</v>
      </c>
      <c r="E30222" s="5">
        <v>102.6</v>
      </c>
      <c r="F30222" s="5">
        <v>204.4</v>
      </c>
      <c r="G30222" s="5">
        <v>101.9</v>
      </c>
      <c r="H30222" s="5">
        <v>101.8</v>
      </c>
      <c r="I30222" s="5">
        <v>0</v>
      </c>
      <c r="J30222" s="5">
        <v>0</v>
      </c>
      <c r="K30222" s="5">
        <v>0</v>
      </c>
    </row>
    <row r="30223" spans="1:11" x14ac:dyDescent="0.25">
      <c r="A30223" s="5">
        <f>30216</f>
      </c>
      <c r="B30223" s="5" t="s">
        <v>30231</v>
      </c>
      <c r="C30223" s="5">
        <v>102.8</v>
      </c>
      <c r="D30223" s="5">
        <v>0.1</v>
      </c>
      <c r="E30223" s="5">
        <v>103</v>
      </c>
      <c r="F30223" s="5">
        <v>205.4</v>
      </c>
      <c r="G30223" s="5">
        <v>102.5</v>
      </c>
      <c r="H30223" s="5">
        <v>102.3</v>
      </c>
      <c r="I30223" s="5">
        <v>0</v>
      </c>
      <c r="J30223" s="5">
        <v>0</v>
      </c>
      <c r="K30223" s="5">
        <v>0</v>
      </c>
    </row>
    <row r="30224" spans="1:11" x14ac:dyDescent="0.25">
      <c r="A30224" s="5">
        <f>30217</f>
      </c>
      <c r="B30224" s="5" t="s">
        <v>30232</v>
      </c>
      <c r="C30224" s="5">
        <v>102.5</v>
      </c>
      <c r="D30224" s="5">
        <v>0.1</v>
      </c>
      <c r="E30224" s="5">
        <v>102.6</v>
      </c>
      <c r="F30224" s="5">
        <v>204.6</v>
      </c>
      <c r="G30224" s="5">
        <v>102.1</v>
      </c>
      <c r="H30224" s="5">
        <v>101.9</v>
      </c>
      <c r="I30224" s="5">
        <v>0</v>
      </c>
      <c r="J30224" s="5">
        <v>0</v>
      </c>
      <c r="K30224" s="5">
        <v>0</v>
      </c>
    </row>
    <row r="30225" spans="1:11" x14ac:dyDescent="0.25">
      <c r="A30225" s="5">
        <f>30218</f>
      </c>
      <c r="B30225" s="5" t="s">
        <v>30233</v>
      </c>
      <c r="C30225" s="5">
        <v>102.1</v>
      </c>
      <c r="D30225" s="5">
        <v>0.1</v>
      </c>
      <c r="E30225" s="5">
        <v>102.3</v>
      </c>
      <c r="F30225" s="5">
        <v>204.5</v>
      </c>
      <c r="G30225" s="5">
        <v>102</v>
      </c>
      <c r="H30225" s="5">
        <v>101.8</v>
      </c>
      <c r="I30225" s="5">
        <v>0</v>
      </c>
      <c r="J30225" s="5">
        <v>0</v>
      </c>
      <c r="K30225" s="5">
        <v>0</v>
      </c>
    </row>
    <row r="30226" spans="1:11" x14ac:dyDescent="0.25">
      <c r="A30226" s="5">
        <f>30219</f>
      </c>
      <c r="B30226" s="5" t="s">
        <v>30234</v>
      </c>
      <c r="C30226" s="5">
        <v>102.1</v>
      </c>
      <c r="D30226" s="5">
        <v>0.1</v>
      </c>
      <c r="E30226" s="5">
        <v>102.3</v>
      </c>
      <c r="F30226" s="5">
        <v>204.5</v>
      </c>
      <c r="G30226" s="5">
        <v>102</v>
      </c>
      <c r="H30226" s="5">
        <v>101.8</v>
      </c>
      <c r="I30226" s="5">
        <v>0</v>
      </c>
      <c r="J30226" s="5">
        <v>0</v>
      </c>
      <c r="K30226" s="5">
        <v>0</v>
      </c>
    </row>
    <row r="30227" spans="1:11" x14ac:dyDescent="0.25">
      <c r="A30227" s="5">
        <f>30220</f>
      </c>
      <c r="B30227" s="5" t="s">
        <v>30235</v>
      </c>
      <c r="C30227" s="5">
        <v>102.1</v>
      </c>
      <c r="D30227" s="5">
        <v>0.1</v>
      </c>
      <c r="E30227" s="5">
        <v>102.3</v>
      </c>
      <c r="F30227" s="5">
        <v>204.5</v>
      </c>
      <c r="G30227" s="5">
        <v>102</v>
      </c>
      <c r="H30227" s="5">
        <v>101.8</v>
      </c>
      <c r="I30227" s="5">
        <v>0</v>
      </c>
      <c r="J30227" s="5">
        <v>0</v>
      </c>
      <c r="K30227" s="5">
        <v>0</v>
      </c>
    </row>
    <row r="30228" spans="1:11" x14ac:dyDescent="0.25">
      <c r="A30228" s="5">
        <f>30221</f>
      </c>
      <c r="B30228" s="5" t="s">
        <v>30236</v>
      </c>
      <c r="C30228" s="5">
        <v>102.1</v>
      </c>
      <c r="D30228" s="5">
        <v>0.1</v>
      </c>
      <c r="E30228" s="5">
        <v>102.3</v>
      </c>
      <c r="F30228" s="5">
        <v>204.5</v>
      </c>
      <c r="G30228" s="5">
        <v>102</v>
      </c>
      <c r="H30228" s="5">
        <v>101.8</v>
      </c>
      <c r="I30228" s="5">
        <v>0</v>
      </c>
      <c r="J30228" s="5">
        <v>0</v>
      </c>
      <c r="K30228" s="5">
        <v>0</v>
      </c>
    </row>
    <row r="30229" spans="1:11" x14ac:dyDescent="0.25">
      <c r="A30229" s="5">
        <f>30222</f>
      </c>
      <c r="B30229" s="5" t="s">
        <v>30237</v>
      </c>
      <c r="C30229" s="5">
        <v>102.8</v>
      </c>
      <c r="D30229" s="5">
        <v>0.1</v>
      </c>
      <c r="E30229" s="5">
        <v>103</v>
      </c>
      <c r="F30229" s="5">
        <v>205</v>
      </c>
      <c r="G30229" s="5">
        <v>102.2</v>
      </c>
      <c r="H30229" s="5">
        <v>102.1</v>
      </c>
      <c r="I30229" s="5">
        <v>0</v>
      </c>
      <c r="J30229" s="5">
        <v>0</v>
      </c>
      <c r="K30229" s="5">
        <v>0</v>
      </c>
    </row>
    <row r="30230" spans="1:11" x14ac:dyDescent="0.25">
      <c r="A30230" s="5">
        <f>30223</f>
      </c>
      <c r="B30230" s="5" t="s">
        <v>30238</v>
      </c>
      <c r="C30230" s="5">
        <v>102.8</v>
      </c>
      <c r="D30230" s="5">
        <v>0.1</v>
      </c>
      <c r="E30230" s="5">
        <v>103</v>
      </c>
      <c r="F30230" s="5">
        <v>205</v>
      </c>
      <c r="G30230" s="5">
        <v>102.2</v>
      </c>
      <c r="H30230" s="5">
        <v>102.1</v>
      </c>
      <c r="I30230" s="5">
        <v>0</v>
      </c>
      <c r="J30230" s="5">
        <v>0</v>
      </c>
      <c r="K30230" s="5">
        <v>0</v>
      </c>
    </row>
    <row r="30231" spans="1:11" x14ac:dyDescent="0.25">
      <c r="A30231" s="5">
        <f>30224</f>
      </c>
      <c r="B30231" s="5" t="s">
        <v>30239</v>
      </c>
      <c r="C30231" s="5">
        <v>102.7</v>
      </c>
      <c r="D30231" s="5">
        <v>0.1</v>
      </c>
      <c r="E30231" s="5">
        <v>102.9</v>
      </c>
      <c r="F30231" s="5">
        <v>205.4</v>
      </c>
      <c r="G30231" s="5">
        <v>102.4</v>
      </c>
      <c r="H30231" s="5">
        <v>102.3</v>
      </c>
      <c r="I30231" s="5">
        <v>0</v>
      </c>
      <c r="J30231" s="5">
        <v>0</v>
      </c>
      <c r="K30231" s="5">
        <v>0</v>
      </c>
    </row>
    <row r="30232" spans="1:11" x14ac:dyDescent="0.25">
      <c r="A30232" s="5">
        <f>30225</f>
      </c>
      <c r="B30232" s="5" t="s">
        <v>30240</v>
      </c>
      <c r="C30232" s="5">
        <v>102.7</v>
      </c>
      <c r="D30232" s="5">
        <v>0.1</v>
      </c>
      <c r="E30232" s="5">
        <v>102.9</v>
      </c>
      <c r="F30232" s="5">
        <v>205.4</v>
      </c>
      <c r="G30232" s="5">
        <v>102.4</v>
      </c>
      <c r="H30232" s="5">
        <v>102.3</v>
      </c>
      <c r="I30232" s="5">
        <v>0</v>
      </c>
      <c r="J30232" s="5">
        <v>0</v>
      </c>
      <c r="K30232" s="5">
        <v>0</v>
      </c>
    </row>
    <row r="30233" spans="1:11" x14ac:dyDescent="0.25">
      <c r="A30233" s="5">
        <f>30226</f>
      </c>
      <c r="B30233" s="5" t="s">
        <v>30241</v>
      </c>
      <c r="C30233" s="5">
        <v>102.4</v>
      </c>
      <c r="D30233" s="5">
        <v>0.1</v>
      </c>
      <c r="E30233" s="5">
        <v>102.6</v>
      </c>
      <c r="F30233" s="5">
        <v>204.5</v>
      </c>
      <c r="G30233" s="5">
        <v>102</v>
      </c>
      <c r="H30233" s="5">
        <v>101.9</v>
      </c>
      <c r="I30233" s="5">
        <v>0</v>
      </c>
      <c r="J30233" s="5">
        <v>0</v>
      </c>
      <c r="K30233" s="5">
        <v>0</v>
      </c>
    </row>
    <row r="30234" spans="1:11" x14ac:dyDescent="0.25">
      <c r="A30234" s="5">
        <f>30227</f>
      </c>
      <c r="B30234" s="5" t="s">
        <v>30242</v>
      </c>
      <c r="C30234" s="5">
        <v>102.4</v>
      </c>
      <c r="D30234" s="5">
        <v>0.1</v>
      </c>
      <c r="E30234" s="5">
        <v>102.6</v>
      </c>
      <c r="F30234" s="5">
        <v>204.5</v>
      </c>
      <c r="G30234" s="5">
        <v>102</v>
      </c>
      <c r="H30234" s="5">
        <v>101.9</v>
      </c>
      <c r="I30234" s="5">
        <v>0</v>
      </c>
      <c r="J30234" s="5">
        <v>0</v>
      </c>
      <c r="K30234" s="5">
        <v>0</v>
      </c>
    </row>
    <row r="30235" spans="1:11" x14ac:dyDescent="0.25">
      <c r="A30235" s="5">
        <f>30228</f>
      </c>
      <c r="B30235" s="5" t="s">
        <v>30243</v>
      </c>
      <c r="C30235" s="5">
        <v>101.1</v>
      </c>
      <c r="D30235" s="5">
        <v>0.1</v>
      </c>
      <c r="E30235" s="5">
        <v>101.2</v>
      </c>
      <c r="F30235" s="5">
        <v>202.6</v>
      </c>
      <c r="G30235" s="5">
        <v>101</v>
      </c>
      <c r="H30235" s="5">
        <v>100.8</v>
      </c>
      <c r="I30235" s="5">
        <v>0</v>
      </c>
      <c r="J30235" s="5">
        <v>0</v>
      </c>
      <c r="K30235" s="5">
        <v>0</v>
      </c>
    </row>
    <row r="30236" spans="1:11" x14ac:dyDescent="0.25">
      <c r="A30236" s="5">
        <f>30229</f>
      </c>
      <c r="B30236" s="5" t="s">
        <v>30244</v>
      </c>
      <c r="C30236" s="5">
        <v>101.1</v>
      </c>
      <c r="D30236" s="5">
        <v>0.1</v>
      </c>
      <c r="E30236" s="5">
        <v>101.2</v>
      </c>
      <c r="F30236" s="5">
        <v>202.6</v>
      </c>
      <c r="G30236" s="5">
        <v>101</v>
      </c>
      <c r="H30236" s="5">
        <v>100.8</v>
      </c>
      <c r="I30236" s="5">
        <v>0</v>
      </c>
      <c r="J30236" s="5">
        <v>0</v>
      </c>
      <c r="K30236" s="5">
        <v>0</v>
      </c>
    </row>
    <row r="30237" spans="1:11" x14ac:dyDescent="0.25">
      <c r="A30237" s="5">
        <f>30230</f>
      </c>
      <c r="B30237" s="5" t="s">
        <v>30245</v>
      </c>
      <c r="C30237" s="5">
        <v>101.1</v>
      </c>
      <c r="D30237" s="5">
        <v>0.1</v>
      </c>
      <c r="E30237" s="5">
        <v>101.2</v>
      </c>
      <c r="F30237" s="5">
        <v>202.6</v>
      </c>
      <c r="G30237" s="5">
        <v>101</v>
      </c>
      <c r="H30237" s="5">
        <v>100.8</v>
      </c>
      <c r="I30237" s="5">
        <v>0</v>
      </c>
      <c r="J30237" s="5">
        <v>0</v>
      </c>
      <c r="K30237" s="5">
        <v>0</v>
      </c>
    </row>
    <row r="30238" spans="1:11" x14ac:dyDescent="0.25">
      <c r="A30238" s="5">
        <f>30231</f>
      </c>
      <c r="B30238" s="5" t="s">
        <v>30246</v>
      </c>
      <c r="C30238" s="5">
        <v>101.1</v>
      </c>
      <c r="D30238" s="5">
        <v>0.1</v>
      </c>
      <c r="E30238" s="5">
        <v>101.2</v>
      </c>
      <c r="F30238" s="5">
        <v>202.6</v>
      </c>
      <c r="G30238" s="5">
        <v>101</v>
      </c>
      <c r="H30238" s="5">
        <v>100.8</v>
      </c>
      <c r="I30238" s="5">
        <v>0</v>
      </c>
      <c r="J30238" s="5">
        <v>0</v>
      </c>
      <c r="K30238" s="5">
        <v>0</v>
      </c>
    </row>
    <row r="30239" spans="1:11" x14ac:dyDescent="0.25">
      <c r="A30239" s="5">
        <f>30232</f>
      </c>
      <c r="B30239" s="5" t="s">
        <v>30247</v>
      </c>
      <c r="C30239" s="5">
        <v>100</v>
      </c>
      <c r="D30239" s="5">
        <v>0.1</v>
      </c>
      <c r="E30239" s="5">
        <v>100.2</v>
      </c>
      <c r="F30239" s="5">
        <v>199.8</v>
      </c>
      <c r="G30239" s="5">
        <v>99.7</v>
      </c>
      <c r="H30239" s="5">
        <v>99.6</v>
      </c>
      <c r="I30239" s="5">
        <v>0</v>
      </c>
      <c r="J30239" s="5">
        <v>0</v>
      </c>
      <c r="K30239" s="5">
        <v>0</v>
      </c>
    </row>
    <row r="30240" spans="1:11" x14ac:dyDescent="0.25">
      <c r="A30240" s="5">
        <f>30233</f>
      </c>
      <c r="B30240" s="5" t="s">
        <v>30248</v>
      </c>
      <c r="C30240" s="5">
        <v>100</v>
      </c>
      <c r="D30240" s="5">
        <v>0.1</v>
      </c>
      <c r="E30240" s="5">
        <v>100.2</v>
      </c>
      <c r="F30240" s="5">
        <v>199.8</v>
      </c>
      <c r="G30240" s="5">
        <v>99.7</v>
      </c>
      <c r="H30240" s="5">
        <v>99.6</v>
      </c>
      <c r="I30240" s="5">
        <v>0</v>
      </c>
      <c r="J30240" s="5">
        <v>0</v>
      </c>
      <c r="K30240" s="5">
        <v>0</v>
      </c>
    </row>
    <row r="30241" spans="1:11" x14ac:dyDescent="0.25">
      <c r="A30241" s="5">
        <f>30234</f>
      </c>
      <c r="B30241" s="5" t="s">
        <v>30249</v>
      </c>
      <c r="C30241" s="5">
        <v>100.5</v>
      </c>
      <c r="D30241" s="5">
        <v>0.1</v>
      </c>
      <c r="E30241" s="5">
        <v>100.7</v>
      </c>
      <c r="F30241" s="5">
        <v>200</v>
      </c>
      <c r="G30241" s="5">
        <v>99.8</v>
      </c>
      <c r="H30241" s="5">
        <v>99.7</v>
      </c>
      <c r="I30241" s="5">
        <v>0</v>
      </c>
      <c r="J30241" s="5">
        <v>0</v>
      </c>
      <c r="K30241" s="5">
        <v>0</v>
      </c>
    </row>
    <row r="30242" spans="1:11" x14ac:dyDescent="0.25">
      <c r="A30242" s="5">
        <f>30235</f>
      </c>
      <c r="B30242" s="5" t="s">
        <v>30250</v>
      </c>
      <c r="C30242" s="5">
        <v>100.5</v>
      </c>
      <c r="D30242" s="5">
        <v>0.1</v>
      </c>
      <c r="E30242" s="5">
        <v>100.7</v>
      </c>
      <c r="F30242" s="5">
        <v>200</v>
      </c>
      <c r="G30242" s="5">
        <v>99.8</v>
      </c>
      <c r="H30242" s="5">
        <v>99.7</v>
      </c>
      <c r="I30242" s="5">
        <v>0</v>
      </c>
      <c r="J30242" s="5">
        <v>0</v>
      </c>
      <c r="K30242" s="5">
        <v>0</v>
      </c>
    </row>
    <row r="30243" spans="1:11" x14ac:dyDescent="0.25">
      <c r="A30243" s="5">
        <f>30236</f>
      </c>
      <c r="B30243" s="5" t="s">
        <v>30251</v>
      </c>
      <c r="C30243" s="5">
        <v>100.2</v>
      </c>
      <c r="D30243" s="5">
        <v>0.1</v>
      </c>
      <c r="E30243" s="5">
        <v>100.4</v>
      </c>
      <c r="F30243" s="5">
        <v>200.4</v>
      </c>
      <c r="G30243" s="5">
        <v>99.9</v>
      </c>
      <c r="H30243" s="5">
        <v>99.8</v>
      </c>
      <c r="I30243" s="5">
        <v>0</v>
      </c>
      <c r="J30243" s="5">
        <v>0</v>
      </c>
      <c r="K30243" s="5">
        <v>0</v>
      </c>
    </row>
    <row r="30244" spans="1:11" x14ac:dyDescent="0.25">
      <c r="A30244" s="5">
        <f>30237</f>
      </c>
      <c r="B30244" s="5" t="s">
        <v>30252</v>
      </c>
      <c r="C30244" s="5">
        <v>100.2</v>
      </c>
      <c r="D30244" s="5">
        <v>0.1</v>
      </c>
      <c r="E30244" s="5">
        <v>100.4</v>
      </c>
      <c r="F30244" s="5">
        <v>200.4</v>
      </c>
      <c r="G30244" s="5">
        <v>99.9</v>
      </c>
      <c r="H30244" s="5">
        <v>99.8</v>
      </c>
      <c r="I30244" s="5">
        <v>0</v>
      </c>
      <c r="J30244" s="5">
        <v>0</v>
      </c>
      <c r="K30244" s="5">
        <v>0</v>
      </c>
    </row>
    <row r="30245" spans="1:11" x14ac:dyDescent="0.25">
      <c r="A30245" s="5">
        <f>30238</f>
      </c>
      <c r="B30245" s="5" t="s">
        <v>30253</v>
      </c>
      <c r="C30245" s="5">
        <v>100.4</v>
      </c>
      <c r="D30245" s="5">
        <v>0.1</v>
      </c>
      <c r="E30245" s="5">
        <v>100.5</v>
      </c>
      <c r="F30245" s="5">
        <v>200.6</v>
      </c>
      <c r="G30245" s="5">
        <v>100</v>
      </c>
      <c r="H30245" s="5">
        <v>99.9</v>
      </c>
      <c r="I30245" s="5">
        <v>0</v>
      </c>
      <c r="J30245" s="5">
        <v>0</v>
      </c>
      <c r="K30245" s="5">
        <v>0</v>
      </c>
    </row>
    <row r="30246" spans="1:11" x14ac:dyDescent="0.25">
      <c r="A30246" s="5">
        <f>30239</f>
      </c>
      <c r="B30246" s="5" t="s">
        <v>30254</v>
      </c>
      <c r="C30246" s="5">
        <v>100.4</v>
      </c>
      <c r="D30246" s="5">
        <v>0.1</v>
      </c>
      <c r="E30246" s="5">
        <v>100.5</v>
      </c>
      <c r="F30246" s="5">
        <v>200.6</v>
      </c>
      <c r="G30246" s="5">
        <v>100</v>
      </c>
      <c r="H30246" s="5">
        <v>99.9</v>
      </c>
      <c r="I30246" s="5">
        <v>0</v>
      </c>
      <c r="J30246" s="5">
        <v>0</v>
      </c>
      <c r="K30246" s="5">
        <v>0</v>
      </c>
    </row>
    <row r="30247" spans="1:11" x14ac:dyDescent="0.25">
      <c r="A30247" s="5">
        <f>30240</f>
      </c>
      <c r="B30247" s="5" t="s">
        <v>30255</v>
      </c>
      <c r="C30247" s="5">
        <v>100.4</v>
      </c>
      <c r="D30247" s="5">
        <v>0.1</v>
      </c>
      <c r="E30247" s="5">
        <v>100.5</v>
      </c>
      <c r="F30247" s="5">
        <v>200.6</v>
      </c>
      <c r="G30247" s="5">
        <v>100</v>
      </c>
      <c r="H30247" s="5">
        <v>99.9</v>
      </c>
      <c r="I30247" s="5">
        <v>0</v>
      </c>
      <c r="J30247" s="5">
        <v>0</v>
      </c>
      <c r="K30247" s="5">
        <v>0</v>
      </c>
    </row>
    <row r="30248" spans="1:11" x14ac:dyDescent="0.25">
      <c r="A30248" s="5">
        <f>30241</f>
      </c>
      <c r="B30248" s="5" t="s">
        <v>30256</v>
      </c>
      <c r="C30248" s="5">
        <v>100.4</v>
      </c>
      <c r="D30248" s="5">
        <v>0.1</v>
      </c>
      <c r="E30248" s="5">
        <v>100.5</v>
      </c>
      <c r="F30248" s="5">
        <v>200.6</v>
      </c>
      <c r="G30248" s="5">
        <v>99.9</v>
      </c>
      <c r="H30248" s="5">
        <v>99.7</v>
      </c>
      <c r="I30248" s="5">
        <v>0</v>
      </c>
      <c r="J30248" s="5">
        <v>0</v>
      </c>
      <c r="K30248" s="5">
        <v>0</v>
      </c>
    </row>
    <row r="30249" spans="1:11" x14ac:dyDescent="0.25">
      <c r="A30249" s="5">
        <f>30242</f>
      </c>
      <c r="B30249" s="5" t="s">
        <v>30257</v>
      </c>
      <c r="C30249" s="5">
        <v>100.4</v>
      </c>
      <c r="D30249" s="5">
        <v>0.1</v>
      </c>
      <c r="E30249" s="5">
        <v>100.5</v>
      </c>
      <c r="F30249" s="5">
        <v>200.3</v>
      </c>
      <c r="G30249" s="5">
        <v>99.9</v>
      </c>
      <c r="H30249" s="5">
        <v>99.7</v>
      </c>
      <c r="I30249" s="5">
        <v>0</v>
      </c>
      <c r="J30249" s="5">
        <v>0</v>
      </c>
      <c r="K30249" s="5">
        <v>0</v>
      </c>
    </row>
    <row r="30250" spans="1:11" x14ac:dyDescent="0.25">
      <c r="A30250" s="5">
        <f>30243</f>
      </c>
      <c r="B30250" s="5" t="s">
        <v>30258</v>
      </c>
      <c r="C30250" s="5">
        <v>100.4</v>
      </c>
      <c r="D30250" s="5">
        <v>0.1</v>
      </c>
      <c r="E30250" s="5">
        <v>100.5</v>
      </c>
      <c r="F30250" s="5">
        <v>200.3</v>
      </c>
      <c r="G30250" s="5">
        <v>99.7</v>
      </c>
      <c r="H30250" s="5">
        <v>99.6</v>
      </c>
      <c r="I30250" s="5">
        <v>0</v>
      </c>
      <c r="J30250" s="5">
        <v>0</v>
      </c>
      <c r="K30250" s="5">
        <v>0</v>
      </c>
    </row>
    <row r="30251" spans="1:11" x14ac:dyDescent="0.25">
      <c r="A30251" s="5">
        <f>30244</f>
      </c>
      <c r="B30251" s="5" t="s">
        <v>30259</v>
      </c>
      <c r="C30251" s="5">
        <v>100.5</v>
      </c>
      <c r="D30251" s="5">
        <v>0.1</v>
      </c>
      <c r="E30251" s="5">
        <v>100.6</v>
      </c>
      <c r="F30251" s="5">
        <v>200</v>
      </c>
      <c r="G30251" s="5">
        <v>99.7</v>
      </c>
      <c r="H30251" s="5">
        <v>99.6</v>
      </c>
      <c r="I30251" s="5">
        <v>0</v>
      </c>
      <c r="J30251" s="5">
        <v>0</v>
      </c>
      <c r="K30251" s="5">
        <v>0</v>
      </c>
    </row>
    <row r="30252" spans="1:11" x14ac:dyDescent="0.25">
      <c r="A30252" s="5">
        <f>30245</f>
      </c>
      <c r="B30252" s="5" t="s">
        <v>30260</v>
      </c>
      <c r="C30252" s="5">
        <v>100.5</v>
      </c>
      <c r="D30252" s="5">
        <v>0.1</v>
      </c>
      <c r="E30252" s="5">
        <v>100.6</v>
      </c>
      <c r="F30252" s="5">
        <v>200</v>
      </c>
      <c r="G30252" s="5">
        <v>99.7</v>
      </c>
      <c r="H30252" s="5">
        <v>99.8</v>
      </c>
      <c r="I30252" s="5">
        <v>0</v>
      </c>
      <c r="J30252" s="5">
        <v>0</v>
      </c>
      <c r="K30252" s="5">
        <v>0</v>
      </c>
    </row>
    <row r="30253" spans="1:11" x14ac:dyDescent="0.25">
      <c r="A30253" s="5">
        <f>30246</f>
      </c>
      <c r="B30253" s="5" t="s">
        <v>30261</v>
      </c>
      <c r="C30253" s="5">
        <v>101.1</v>
      </c>
      <c r="D30253" s="5">
        <v>0.1</v>
      </c>
      <c r="E30253" s="5">
        <v>101.2</v>
      </c>
      <c r="F30253" s="5">
        <v>200.4</v>
      </c>
      <c r="G30253" s="5">
        <v>100</v>
      </c>
      <c r="H30253" s="5">
        <v>99.8</v>
      </c>
      <c r="I30253" s="5">
        <v>0</v>
      </c>
      <c r="J30253" s="5">
        <v>0</v>
      </c>
      <c r="K30253" s="5">
        <v>0</v>
      </c>
    </row>
    <row r="30254" spans="1:11" x14ac:dyDescent="0.25">
      <c r="A30254" s="5">
        <f>30247</f>
      </c>
      <c r="B30254" s="5" t="s">
        <v>30262</v>
      </c>
      <c r="C30254" s="5">
        <v>101.1</v>
      </c>
      <c r="D30254" s="5">
        <v>0.1</v>
      </c>
      <c r="E30254" s="5">
        <v>101.2</v>
      </c>
      <c r="F30254" s="5">
        <v>200.4</v>
      </c>
      <c r="G30254" s="5">
        <v>100</v>
      </c>
      <c r="H30254" s="5">
        <v>99.8</v>
      </c>
      <c r="I30254" s="5">
        <v>0</v>
      </c>
      <c r="J30254" s="5">
        <v>0</v>
      </c>
      <c r="K30254" s="5">
        <v>0</v>
      </c>
    </row>
    <row r="30255" spans="1:11" x14ac:dyDescent="0.25">
      <c r="A30255" s="5">
        <f>30248</f>
      </c>
      <c r="B30255" s="5" t="s">
        <v>30263</v>
      </c>
      <c r="C30255" s="5">
        <v>101.1</v>
      </c>
      <c r="D30255" s="5">
        <v>0.1</v>
      </c>
      <c r="E30255" s="5">
        <v>101.3</v>
      </c>
      <c r="F30255" s="5">
        <v>202.1</v>
      </c>
      <c r="G30255" s="5">
        <v>100.8</v>
      </c>
      <c r="H30255" s="5">
        <v>100.6</v>
      </c>
      <c r="I30255" s="5">
        <v>0</v>
      </c>
      <c r="J30255" s="5">
        <v>0</v>
      </c>
      <c r="K30255" s="5">
        <v>0</v>
      </c>
    </row>
    <row r="30256" spans="1:11" x14ac:dyDescent="0.25">
      <c r="A30256" s="5">
        <f>30249</f>
      </c>
      <c r="B30256" s="5" t="s">
        <v>30264</v>
      </c>
      <c r="C30256" s="5">
        <v>101.1</v>
      </c>
      <c r="D30256" s="5">
        <v>0.1</v>
      </c>
      <c r="E30256" s="5">
        <v>101.3</v>
      </c>
      <c r="F30256" s="5">
        <v>202.1</v>
      </c>
      <c r="G30256" s="5">
        <v>100.8</v>
      </c>
      <c r="H30256" s="5">
        <v>100.6</v>
      </c>
      <c r="I30256" s="5">
        <v>0</v>
      </c>
      <c r="J30256" s="5">
        <v>0</v>
      </c>
      <c r="K30256" s="5">
        <v>0</v>
      </c>
    </row>
    <row r="30257" spans="1:11" x14ac:dyDescent="0.25">
      <c r="A30257" s="5">
        <f>30250</f>
      </c>
      <c r="B30257" s="5" t="s">
        <v>30265</v>
      </c>
      <c r="C30257" s="5">
        <v>101.1</v>
      </c>
      <c r="D30257" s="5">
        <v>0.1</v>
      </c>
      <c r="E30257" s="5">
        <v>101.3</v>
      </c>
      <c r="F30257" s="5">
        <v>202.1</v>
      </c>
      <c r="G30257" s="5">
        <v>100.8</v>
      </c>
      <c r="H30257" s="5">
        <v>100.6</v>
      </c>
      <c r="I30257" s="5">
        <v>0</v>
      </c>
      <c r="J30257" s="5">
        <v>0</v>
      </c>
      <c r="K30257" s="5">
        <v>0</v>
      </c>
    </row>
    <row r="30258" spans="1:11" x14ac:dyDescent="0.25">
      <c r="A30258" s="5">
        <f>30251</f>
      </c>
      <c r="B30258" s="5" t="s">
        <v>30266</v>
      </c>
      <c r="C30258" s="5">
        <v>101.1</v>
      </c>
      <c r="D30258" s="5">
        <v>0.1</v>
      </c>
      <c r="E30258" s="5">
        <v>101.1</v>
      </c>
      <c r="F30258" s="5">
        <v>201.5</v>
      </c>
      <c r="G30258" s="5">
        <v>100.5</v>
      </c>
      <c r="H30258" s="5">
        <v>100.3</v>
      </c>
      <c r="I30258" s="5">
        <v>0</v>
      </c>
      <c r="J30258" s="5">
        <v>0</v>
      </c>
      <c r="K30258" s="5">
        <v>0</v>
      </c>
    </row>
    <row r="30259" spans="1:11" x14ac:dyDescent="0.25">
      <c r="A30259" s="5">
        <f>30252</f>
      </c>
      <c r="B30259" s="5" t="s">
        <v>30267</v>
      </c>
      <c r="C30259" s="5">
        <v>101.1</v>
      </c>
      <c r="D30259" s="5">
        <v>0.1</v>
      </c>
      <c r="E30259" s="5">
        <v>101.1</v>
      </c>
      <c r="F30259" s="5">
        <v>201.5</v>
      </c>
      <c r="G30259" s="5">
        <v>100.5</v>
      </c>
      <c r="H30259" s="5">
        <v>100.3</v>
      </c>
      <c r="I30259" s="5">
        <v>0</v>
      </c>
      <c r="J30259" s="5">
        <v>0</v>
      </c>
      <c r="K30259" s="5">
        <v>0</v>
      </c>
    </row>
    <row r="30260" spans="1:11" x14ac:dyDescent="0.25">
      <c r="A30260" s="5">
        <f>30253</f>
      </c>
      <c r="B30260" s="5" t="s">
        <v>30268</v>
      </c>
      <c r="C30260" s="5">
        <v>100.7</v>
      </c>
      <c r="D30260" s="5">
        <v>0.1</v>
      </c>
      <c r="E30260" s="5">
        <v>100.8</v>
      </c>
      <c r="F30260" s="5">
        <v>201.5</v>
      </c>
      <c r="G30260" s="5">
        <v>100.5</v>
      </c>
      <c r="H30260" s="5">
        <v>100.3</v>
      </c>
      <c r="I30260" s="5">
        <v>0</v>
      </c>
      <c r="J30260" s="5">
        <v>0</v>
      </c>
      <c r="K30260" s="5">
        <v>0</v>
      </c>
    </row>
    <row r="30261" spans="1:11" x14ac:dyDescent="0.25">
      <c r="A30261" s="5">
        <f>30254</f>
      </c>
      <c r="B30261" s="5" t="s">
        <v>30269</v>
      </c>
      <c r="C30261" s="5">
        <v>100.7</v>
      </c>
      <c r="D30261" s="5">
        <v>0.1</v>
      </c>
      <c r="E30261" s="5">
        <v>100.8</v>
      </c>
      <c r="F30261" s="5">
        <v>201.5</v>
      </c>
      <c r="G30261" s="5">
        <v>100.5</v>
      </c>
      <c r="H30261" s="5">
        <v>100.3</v>
      </c>
      <c r="I30261" s="5">
        <v>0</v>
      </c>
      <c r="J30261" s="5">
        <v>0</v>
      </c>
      <c r="K30261" s="5">
        <v>0</v>
      </c>
    </row>
    <row r="30262" spans="1:11" x14ac:dyDescent="0.25">
      <c r="A30262" s="5">
        <f>30255</f>
      </c>
      <c r="B30262" s="5" t="s">
        <v>30270</v>
      </c>
      <c r="C30262" s="5">
        <v>101.1</v>
      </c>
      <c r="D30262" s="5">
        <v>0.1</v>
      </c>
      <c r="E30262" s="5">
        <v>101.3</v>
      </c>
      <c r="F30262" s="5">
        <v>201.8</v>
      </c>
      <c r="G30262" s="5">
        <v>100.7</v>
      </c>
      <c r="H30262" s="5">
        <v>100.5</v>
      </c>
      <c r="I30262" s="5">
        <v>0</v>
      </c>
      <c r="J30262" s="5">
        <v>0</v>
      </c>
      <c r="K30262" s="5">
        <v>0</v>
      </c>
    </row>
    <row r="30263" spans="1:11" x14ac:dyDescent="0.25">
      <c r="A30263" s="5">
        <f>30256</f>
      </c>
      <c r="B30263" s="5" t="s">
        <v>30271</v>
      </c>
      <c r="C30263" s="5">
        <v>101.1</v>
      </c>
      <c r="D30263" s="5">
        <v>0.1</v>
      </c>
      <c r="E30263" s="5">
        <v>101.3</v>
      </c>
      <c r="F30263" s="5">
        <v>201.8</v>
      </c>
      <c r="G30263" s="5">
        <v>100.7</v>
      </c>
      <c r="H30263" s="5">
        <v>100.5</v>
      </c>
      <c r="I30263" s="5">
        <v>0</v>
      </c>
      <c r="J30263" s="5">
        <v>0</v>
      </c>
      <c r="K30263" s="5">
        <v>0</v>
      </c>
    </row>
    <row r="30264" spans="1:11" x14ac:dyDescent="0.25">
      <c r="A30264" s="5">
        <f>30257</f>
      </c>
      <c r="B30264" s="5" t="s">
        <v>30272</v>
      </c>
      <c r="C30264" s="5">
        <v>101.2</v>
      </c>
      <c r="D30264" s="5">
        <v>0.1</v>
      </c>
      <c r="E30264" s="5">
        <v>101.4</v>
      </c>
      <c r="F30264" s="5">
        <v>202</v>
      </c>
      <c r="G30264" s="5">
        <v>100.8</v>
      </c>
      <c r="H30264" s="5">
        <v>100.5</v>
      </c>
      <c r="I30264" s="5">
        <v>0</v>
      </c>
      <c r="J30264" s="5">
        <v>0</v>
      </c>
      <c r="K30264" s="5">
        <v>0</v>
      </c>
    </row>
    <row r="30265" spans="1:11" x14ac:dyDescent="0.25">
      <c r="A30265" s="5">
        <f>30258</f>
      </c>
      <c r="B30265" s="5" t="s">
        <v>30273</v>
      </c>
      <c r="C30265" s="5">
        <v>101.2</v>
      </c>
      <c r="D30265" s="5">
        <v>0.1</v>
      </c>
      <c r="E30265" s="5">
        <v>101.4</v>
      </c>
      <c r="F30265" s="5">
        <v>202</v>
      </c>
      <c r="G30265" s="5">
        <v>100.8</v>
      </c>
      <c r="H30265" s="5">
        <v>100.6</v>
      </c>
      <c r="I30265" s="5">
        <v>0</v>
      </c>
      <c r="J30265" s="5">
        <v>0</v>
      </c>
      <c r="K30265" s="5">
        <v>0</v>
      </c>
    </row>
    <row r="30266" spans="1:11" x14ac:dyDescent="0.25">
      <c r="A30266" s="5">
        <f>30259</f>
      </c>
      <c r="B30266" s="5" t="s">
        <v>30274</v>
      </c>
      <c r="C30266" s="5">
        <v>101.2</v>
      </c>
      <c r="D30266" s="5">
        <v>0.1</v>
      </c>
      <c r="E30266" s="5">
        <v>101.4</v>
      </c>
      <c r="F30266" s="5">
        <v>202</v>
      </c>
      <c r="G30266" s="5">
        <v>100.8</v>
      </c>
      <c r="H30266" s="5">
        <v>100.6</v>
      </c>
      <c r="I30266" s="5">
        <v>0</v>
      </c>
      <c r="J30266" s="5">
        <v>0</v>
      </c>
      <c r="K30266" s="5">
        <v>0</v>
      </c>
    </row>
    <row r="30267" spans="1:11" x14ac:dyDescent="0.25">
      <c r="A30267" s="5">
        <f>30260</f>
      </c>
      <c r="B30267" s="5" t="s">
        <v>30275</v>
      </c>
      <c r="C30267" s="5">
        <v>101.2</v>
      </c>
      <c r="D30267" s="5">
        <v>0.1</v>
      </c>
      <c r="E30267" s="5">
        <v>101.4</v>
      </c>
      <c r="F30267" s="5">
        <v>202</v>
      </c>
      <c r="G30267" s="5">
        <v>100.8</v>
      </c>
      <c r="H30267" s="5">
        <v>100.6</v>
      </c>
      <c r="I30267" s="5">
        <v>0</v>
      </c>
      <c r="J30267" s="5">
        <v>0</v>
      </c>
      <c r="K30267" s="5">
        <v>0</v>
      </c>
    </row>
    <row r="30268" spans="1:11" x14ac:dyDescent="0.25">
      <c r="A30268" s="5">
        <f>30261</f>
      </c>
      <c r="B30268" s="5" t="s">
        <v>30276</v>
      </c>
      <c r="C30268" s="5">
        <v>101.2</v>
      </c>
      <c r="D30268" s="5">
        <v>0.1</v>
      </c>
      <c r="E30268" s="5">
        <v>101.4</v>
      </c>
      <c r="F30268" s="5">
        <v>202</v>
      </c>
      <c r="G30268" s="5">
        <v>100.8</v>
      </c>
      <c r="H30268" s="5">
        <v>100.6</v>
      </c>
      <c r="I30268" s="5">
        <v>0</v>
      </c>
      <c r="J30268" s="5">
        <v>0</v>
      </c>
      <c r="K30268" s="5">
        <v>0</v>
      </c>
    </row>
    <row r="30269" spans="1:11" x14ac:dyDescent="0.25">
      <c r="A30269" s="5">
        <f>30262</f>
      </c>
      <c r="B30269" s="5" t="s">
        <v>30277</v>
      </c>
      <c r="C30269" s="5">
        <v>101.1</v>
      </c>
      <c r="D30269" s="5">
        <v>0.1</v>
      </c>
      <c r="E30269" s="5">
        <v>101.2</v>
      </c>
      <c r="F30269" s="5">
        <v>201.2</v>
      </c>
      <c r="G30269" s="5">
        <v>100.3</v>
      </c>
      <c r="H30269" s="5">
        <v>100.2</v>
      </c>
      <c r="I30269" s="5">
        <v>0</v>
      </c>
      <c r="J30269" s="5">
        <v>0</v>
      </c>
      <c r="K30269" s="5">
        <v>0</v>
      </c>
    </row>
    <row r="30270" spans="1:11" x14ac:dyDescent="0.25">
      <c r="A30270" s="5">
        <f>30263</f>
      </c>
      <c r="B30270" s="5" t="s">
        <v>30278</v>
      </c>
      <c r="C30270" s="5">
        <v>101.1</v>
      </c>
      <c r="D30270" s="5">
        <v>0.1</v>
      </c>
      <c r="E30270" s="5">
        <v>101.2</v>
      </c>
      <c r="F30270" s="5">
        <v>201.2</v>
      </c>
      <c r="G30270" s="5">
        <v>100.3</v>
      </c>
      <c r="H30270" s="5">
        <v>100.2</v>
      </c>
      <c r="I30270" s="5">
        <v>0</v>
      </c>
      <c r="J30270" s="5">
        <v>0</v>
      </c>
      <c r="K30270" s="5">
        <v>0</v>
      </c>
    </row>
    <row r="30271" spans="1:11" x14ac:dyDescent="0.25">
      <c r="A30271" s="5">
        <f>30264</f>
      </c>
      <c r="B30271" s="5" t="s">
        <v>30279</v>
      </c>
      <c r="C30271" s="5">
        <v>101.1</v>
      </c>
      <c r="D30271" s="5">
        <v>0.1</v>
      </c>
      <c r="E30271" s="5">
        <v>101.2</v>
      </c>
      <c r="F30271" s="5">
        <v>200.7</v>
      </c>
      <c r="G30271" s="5">
        <v>100.1</v>
      </c>
      <c r="H30271" s="5">
        <v>100</v>
      </c>
      <c r="I30271" s="5">
        <v>0</v>
      </c>
      <c r="J30271" s="5">
        <v>0</v>
      </c>
      <c r="K30271" s="5">
        <v>0</v>
      </c>
    </row>
    <row r="30272" spans="1:11" x14ac:dyDescent="0.25">
      <c r="A30272" s="5">
        <f>30265</f>
      </c>
      <c r="B30272" s="5" t="s">
        <v>30280</v>
      </c>
      <c r="C30272" s="5">
        <v>101.1</v>
      </c>
      <c r="D30272" s="5">
        <v>0.1</v>
      </c>
      <c r="E30272" s="5">
        <v>101.2</v>
      </c>
      <c r="F30272" s="5">
        <v>200.7</v>
      </c>
      <c r="G30272" s="5">
        <v>100.1</v>
      </c>
      <c r="H30272" s="5">
        <v>100</v>
      </c>
      <c r="I30272" s="5">
        <v>0</v>
      </c>
      <c r="J30272" s="5">
        <v>0</v>
      </c>
      <c r="K30272" s="5">
        <v>0</v>
      </c>
    </row>
    <row r="30273" spans="1:11" x14ac:dyDescent="0.25">
      <c r="A30273" s="5">
        <f>30266</f>
      </c>
      <c r="B30273" s="5" t="s">
        <v>30281</v>
      </c>
      <c r="C30273" s="5">
        <v>101</v>
      </c>
      <c r="D30273" s="5">
        <v>0.1</v>
      </c>
      <c r="E30273" s="5">
        <v>101.1</v>
      </c>
      <c r="F30273" s="5">
        <v>202.4</v>
      </c>
      <c r="G30273" s="5">
        <v>100.9</v>
      </c>
      <c r="H30273" s="5">
        <v>100.8</v>
      </c>
      <c r="I30273" s="5">
        <v>0</v>
      </c>
      <c r="J30273" s="5">
        <v>0</v>
      </c>
      <c r="K30273" s="5">
        <v>0</v>
      </c>
    </row>
    <row r="30274" spans="1:11" x14ac:dyDescent="0.25">
      <c r="A30274" s="5">
        <f>30267</f>
      </c>
      <c r="B30274" s="5" t="s">
        <v>30282</v>
      </c>
      <c r="C30274" s="5">
        <v>101</v>
      </c>
      <c r="D30274" s="5">
        <v>0.1</v>
      </c>
      <c r="E30274" s="5">
        <v>101.1</v>
      </c>
      <c r="F30274" s="5">
        <v>202.4</v>
      </c>
      <c r="G30274" s="5">
        <v>100.9</v>
      </c>
      <c r="H30274" s="5">
        <v>100.8</v>
      </c>
      <c r="I30274" s="5">
        <v>0</v>
      </c>
      <c r="J30274" s="5">
        <v>0</v>
      </c>
      <c r="K30274" s="5">
        <v>0</v>
      </c>
    </row>
    <row r="30275" spans="1:11" x14ac:dyDescent="0.25">
      <c r="A30275" s="5">
        <f>30268</f>
      </c>
      <c r="B30275" s="5" t="s">
        <v>30283</v>
      </c>
      <c r="C30275" s="5">
        <v>100.5</v>
      </c>
      <c r="D30275" s="5">
        <v>0.1</v>
      </c>
      <c r="E30275" s="5">
        <v>100.6</v>
      </c>
      <c r="F30275" s="5">
        <v>201.3</v>
      </c>
      <c r="G30275" s="5">
        <v>100.4</v>
      </c>
      <c r="H30275" s="5">
        <v>100.2</v>
      </c>
      <c r="I30275" s="5">
        <v>0</v>
      </c>
      <c r="J30275" s="5">
        <v>0</v>
      </c>
      <c r="K30275" s="5">
        <v>0</v>
      </c>
    </row>
    <row r="30276" spans="1:11" x14ac:dyDescent="0.25">
      <c r="A30276" s="5">
        <f>30269</f>
      </c>
      <c r="B30276" s="5" t="s">
        <v>30284</v>
      </c>
      <c r="C30276" s="5">
        <v>100.5</v>
      </c>
      <c r="D30276" s="5">
        <v>0.1</v>
      </c>
      <c r="E30276" s="5">
        <v>100.6</v>
      </c>
      <c r="F30276" s="5">
        <v>201.3</v>
      </c>
      <c r="G30276" s="5">
        <v>100.4</v>
      </c>
      <c r="H30276" s="5">
        <v>100.2</v>
      </c>
      <c r="I30276" s="5">
        <v>0</v>
      </c>
      <c r="J30276" s="5">
        <v>0</v>
      </c>
      <c r="K30276" s="5">
        <v>0</v>
      </c>
    </row>
    <row r="30277" spans="1:11" x14ac:dyDescent="0.25">
      <c r="A30277" s="5">
        <f>30270</f>
      </c>
      <c r="B30277" s="5" t="s">
        <v>30285</v>
      </c>
      <c r="C30277" s="5">
        <v>100.5</v>
      </c>
      <c r="D30277" s="5">
        <v>0.1</v>
      </c>
      <c r="E30277" s="5">
        <v>100.6</v>
      </c>
      <c r="F30277" s="5">
        <v>201.3</v>
      </c>
      <c r="G30277" s="5">
        <v>100.4</v>
      </c>
      <c r="H30277" s="5">
        <v>100.2</v>
      </c>
      <c r="I30277" s="5">
        <v>0</v>
      </c>
      <c r="J30277" s="5">
        <v>0</v>
      </c>
      <c r="K30277" s="5">
        <v>0</v>
      </c>
    </row>
    <row r="30278" spans="1:11" x14ac:dyDescent="0.25">
      <c r="A30278" s="5">
        <f>30271</f>
      </c>
      <c r="B30278" s="5" t="s">
        <v>30286</v>
      </c>
      <c r="C30278" s="5">
        <v>100.8</v>
      </c>
      <c r="D30278" s="5">
        <v>0.1</v>
      </c>
      <c r="E30278" s="5">
        <v>100.9</v>
      </c>
      <c r="F30278" s="5">
        <v>200.8</v>
      </c>
      <c r="G30278" s="5">
        <v>100.2</v>
      </c>
      <c r="H30278" s="5">
        <v>100</v>
      </c>
      <c r="I30278" s="5">
        <v>0</v>
      </c>
      <c r="J30278" s="5">
        <v>0</v>
      </c>
      <c r="K30278" s="5">
        <v>0</v>
      </c>
    </row>
    <row r="30279" spans="1:11" x14ac:dyDescent="0.25">
      <c r="A30279" s="5">
        <f>30272</f>
      </c>
      <c r="B30279" s="5" t="s">
        <v>30287</v>
      </c>
      <c r="C30279" s="5">
        <v>100.8</v>
      </c>
      <c r="D30279" s="5">
        <v>0.1</v>
      </c>
      <c r="E30279" s="5">
        <v>100.9</v>
      </c>
      <c r="F30279" s="5">
        <v>200.8</v>
      </c>
      <c r="G30279" s="5">
        <v>100.2</v>
      </c>
      <c r="H30279" s="5">
        <v>100</v>
      </c>
      <c r="I30279" s="5">
        <v>0</v>
      </c>
      <c r="J30279" s="5">
        <v>0</v>
      </c>
      <c r="K30279" s="5">
        <v>0</v>
      </c>
    </row>
    <row r="30280" spans="1:11" x14ac:dyDescent="0.25">
      <c r="A30280" s="5">
        <f>30273</f>
      </c>
      <c r="B30280" s="5" t="s">
        <v>30288</v>
      </c>
      <c r="C30280" s="5">
        <v>100.5</v>
      </c>
      <c r="D30280" s="5">
        <v>0.1</v>
      </c>
      <c r="E30280" s="5">
        <v>100.6</v>
      </c>
      <c r="F30280" s="5">
        <v>200.6</v>
      </c>
      <c r="G30280" s="5">
        <v>100.1</v>
      </c>
      <c r="H30280" s="5">
        <v>99.9</v>
      </c>
      <c r="I30280" s="5">
        <v>0</v>
      </c>
      <c r="J30280" s="5">
        <v>0</v>
      </c>
      <c r="K30280" s="5">
        <v>0</v>
      </c>
    </row>
    <row r="30281" spans="1:11" x14ac:dyDescent="0.25">
      <c r="A30281" s="5">
        <f>30274</f>
      </c>
      <c r="B30281" s="5" t="s">
        <v>30289</v>
      </c>
      <c r="C30281" s="5">
        <v>100.5</v>
      </c>
      <c r="D30281" s="5">
        <v>0.1</v>
      </c>
      <c r="E30281" s="5">
        <v>100.6</v>
      </c>
      <c r="F30281" s="5">
        <v>200.6</v>
      </c>
      <c r="G30281" s="5">
        <v>100.1</v>
      </c>
      <c r="H30281" s="5">
        <v>99.9</v>
      </c>
      <c r="I30281" s="5">
        <v>0</v>
      </c>
      <c r="J30281" s="5">
        <v>0</v>
      </c>
      <c r="K30281" s="5">
        <v>0</v>
      </c>
    </row>
    <row r="30282" spans="1:11" x14ac:dyDescent="0.25">
      <c r="A30282" s="5">
        <f>30275</f>
      </c>
      <c r="B30282" s="5" t="s">
        <v>30290</v>
      </c>
      <c r="C30282" s="5">
        <v>100.2</v>
      </c>
      <c r="D30282" s="5">
        <v>0.1</v>
      </c>
      <c r="E30282" s="5">
        <v>100.3</v>
      </c>
      <c r="F30282" s="5">
        <v>199.3</v>
      </c>
      <c r="G30282" s="5">
        <v>99.4</v>
      </c>
      <c r="H30282" s="5">
        <v>99.3</v>
      </c>
      <c r="I30282" s="5">
        <v>0</v>
      </c>
      <c r="J30282" s="5">
        <v>0</v>
      </c>
      <c r="K30282" s="5">
        <v>0</v>
      </c>
    </row>
    <row r="30283" spans="1:11" x14ac:dyDescent="0.25">
      <c r="A30283" s="5">
        <f>30276</f>
      </c>
      <c r="B30283" s="5" t="s">
        <v>30291</v>
      </c>
      <c r="C30283" s="5">
        <v>100.2</v>
      </c>
      <c r="D30283" s="5">
        <v>0.1</v>
      </c>
      <c r="E30283" s="5">
        <v>100.3</v>
      </c>
      <c r="F30283" s="5">
        <v>199.3</v>
      </c>
      <c r="G30283" s="5">
        <v>99.4</v>
      </c>
      <c r="H30283" s="5">
        <v>99.3</v>
      </c>
      <c r="I30283" s="5">
        <v>0</v>
      </c>
      <c r="J30283" s="5">
        <v>0</v>
      </c>
      <c r="K30283" s="5">
        <v>0</v>
      </c>
    </row>
    <row r="30284" spans="1:11" x14ac:dyDescent="0.25">
      <c r="A30284" s="5">
        <f>30277</f>
      </c>
      <c r="B30284" s="5" t="s">
        <v>30292</v>
      </c>
      <c r="C30284" s="5">
        <v>100.2</v>
      </c>
      <c r="D30284" s="5">
        <v>0.1</v>
      </c>
      <c r="E30284" s="5">
        <v>100.3</v>
      </c>
      <c r="F30284" s="5">
        <v>199.9</v>
      </c>
      <c r="G30284" s="5">
        <v>99.7</v>
      </c>
      <c r="H30284" s="5">
        <v>99.5</v>
      </c>
      <c r="I30284" s="5">
        <v>0</v>
      </c>
      <c r="J30284" s="5">
        <v>0</v>
      </c>
      <c r="K30284" s="5">
        <v>0</v>
      </c>
    </row>
    <row r="30285" spans="1:11" x14ac:dyDescent="0.25">
      <c r="A30285" s="5">
        <f>30278</f>
      </c>
      <c r="B30285" s="5" t="s">
        <v>30293</v>
      </c>
      <c r="C30285" s="5">
        <v>100.2</v>
      </c>
      <c r="D30285" s="5">
        <v>0.1</v>
      </c>
      <c r="E30285" s="5">
        <v>100.3</v>
      </c>
      <c r="F30285" s="5">
        <v>199.9</v>
      </c>
      <c r="G30285" s="5">
        <v>99.7</v>
      </c>
      <c r="H30285" s="5">
        <v>99.5</v>
      </c>
      <c r="I30285" s="5">
        <v>0</v>
      </c>
      <c r="J30285" s="5">
        <v>0</v>
      </c>
      <c r="K30285" s="5">
        <v>0</v>
      </c>
    </row>
    <row r="30286" spans="1:11" x14ac:dyDescent="0.25">
      <c r="A30286" s="5">
        <f>30279</f>
      </c>
      <c r="B30286" s="5" t="s">
        <v>30294</v>
      </c>
      <c r="C30286" s="5">
        <v>100.2</v>
      </c>
      <c r="D30286" s="5">
        <v>0.1</v>
      </c>
      <c r="E30286" s="5">
        <v>100.3</v>
      </c>
      <c r="F30286" s="5">
        <v>199.9</v>
      </c>
      <c r="G30286" s="5">
        <v>99.7</v>
      </c>
      <c r="H30286" s="5">
        <v>99.5</v>
      </c>
      <c r="I30286" s="5">
        <v>0</v>
      </c>
      <c r="J30286" s="5">
        <v>0</v>
      </c>
      <c r="K30286" s="5">
        <v>0</v>
      </c>
    </row>
    <row r="30287" spans="1:11" x14ac:dyDescent="0.25">
      <c r="A30287" s="5">
        <f>30280</f>
      </c>
      <c r="B30287" s="5" t="s">
        <v>30295</v>
      </c>
      <c r="C30287" s="5">
        <v>100.2</v>
      </c>
      <c r="D30287" s="5">
        <v>0.1</v>
      </c>
      <c r="E30287" s="5">
        <v>100.3</v>
      </c>
      <c r="F30287" s="5">
        <v>199.9</v>
      </c>
      <c r="G30287" s="5">
        <v>99.7</v>
      </c>
      <c r="H30287" s="5">
        <v>99.5</v>
      </c>
      <c r="I30287" s="5">
        <v>0</v>
      </c>
      <c r="J30287" s="5">
        <v>0</v>
      </c>
      <c r="K30287" s="5">
        <v>0</v>
      </c>
    </row>
    <row r="30288" spans="1:11" x14ac:dyDescent="0.25">
      <c r="A30288" s="5">
        <f>30281</f>
      </c>
      <c r="B30288" s="5" t="s">
        <v>30296</v>
      </c>
      <c r="C30288" s="5">
        <v>100.8</v>
      </c>
      <c r="D30288" s="5">
        <v>0.1</v>
      </c>
      <c r="E30288" s="5">
        <v>101</v>
      </c>
      <c r="F30288" s="5">
        <v>201.5</v>
      </c>
      <c r="G30288" s="5">
        <v>100.5</v>
      </c>
      <c r="H30288" s="5">
        <v>100.3</v>
      </c>
      <c r="I30288" s="5">
        <v>0</v>
      </c>
      <c r="J30288" s="5">
        <v>0</v>
      </c>
      <c r="K30288" s="5">
        <v>0</v>
      </c>
    </row>
    <row r="30289" spans="1:11" x14ac:dyDescent="0.25">
      <c r="A30289" s="5">
        <f>30282</f>
      </c>
      <c r="B30289" s="5" t="s">
        <v>30297</v>
      </c>
      <c r="C30289" s="5">
        <v>100.8</v>
      </c>
      <c r="D30289" s="5">
        <v>0.1</v>
      </c>
      <c r="E30289" s="5">
        <v>101</v>
      </c>
      <c r="F30289" s="5">
        <v>201.5</v>
      </c>
      <c r="G30289" s="5">
        <v>100.5</v>
      </c>
      <c r="H30289" s="5">
        <v>100.3</v>
      </c>
      <c r="I30289" s="5">
        <v>0</v>
      </c>
      <c r="J30289" s="5">
        <v>0</v>
      </c>
      <c r="K30289" s="5">
        <v>0</v>
      </c>
    </row>
    <row r="30290" spans="1:11" x14ac:dyDescent="0.25">
      <c r="A30290" s="5">
        <f>30283</f>
      </c>
      <c r="B30290" s="5" t="s">
        <v>30298</v>
      </c>
      <c r="C30290" s="5">
        <v>100.9</v>
      </c>
      <c r="D30290" s="5">
        <v>0.1</v>
      </c>
      <c r="E30290" s="5">
        <v>101.1</v>
      </c>
      <c r="F30290" s="5">
        <v>201.2</v>
      </c>
      <c r="G30290" s="5">
        <v>100.4</v>
      </c>
      <c r="H30290" s="5">
        <v>100.2</v>
      </c>
      <c r="I30290" s="5">
        <v>0</v>
      </c>
      <c r="J30290" s="5">
        <v>0</v>
      </c>
      <c r="K30290" s="5">
        <v>0</v>
      </c>
    </row>
    <row r="30291" spans="1:11" x14ac:dyDescent="0.25">
      <c r="A30291" s="5">
        <f>30284</f>
      </c>
      <c r="B30291" s="5" t="s">
        <v>30299</v>
      </c>
      <c r="C30291" s="5">
        <v>100.9</v>
      </c>
      <c r="D30291" s="5">
        <v>0.1</v>
      </c>
      <c r="E30291" s="5">
        <v>101.1</v>
      </c>
      <c r="F30291" s="5">
        <v>201.2</v>
      </c>
      <c r="G30291" s="5">
        <v>100.4</v>
      </c>
      <c r="H30291" s="5">
        <v>100.2</v>
      </c>
      <c r="I30291" s="5">
        <v>0</v>
      </c>
      <c r="J30291" s="5">
        <v>0</v>
      </c>
      <c r="K30291" s="5">
        <v>0</v>
      </c>
    </row>
    <row r="30292" spans="1:11" x14ac:dyDescent="0.25">
      <c r="A30292" s="5">
        <f>30285</f>
      </c>
      <c r="B30292" s="5" t="s">
        <v>30300</v>
      </c>
      <c r="C30292" s="5">
        <v>101.5</v>
      </c>
      <c r="D30292" s="5">
        <v>0.1</v>
      </c>
      <c r="E30292" s="5">
        <v>101.7</v>
      </c>
      <c r="F30292" s="5">
        <v>201.5</v>
      </c>
      <c r="G30292" s="5">
        <v>100.5</v>
      </c>
      <c r="H30292" s="5">
        <v>100.4</v>
      </c>
      <c r="I30292" s="5">
        <v>0</v>
      </c>
      <c r="J30292" s="5">
        <v>0</v>
      </c>
      <c r="K30292" s="5">
        <v>0</v>
      </c>
    </row>
    <row r="30293" spans="1:11" x14ac:dyDescent="0.25">
      <c r="A30293" s="5">
        <f>30286</f>
      </c>
      <c r="B30293" s="5" t="s">
        <v>30301</v>
      </c>
      <c r="C30293" s="5">
        <v>101.5</v>
      </c>
      <c r="D30293" s="5">
        <v>0.1</v>
      </c>
      <c r="E30293" s="5">
        <v>101.7</v>
      </c>
      <c r="F30293" s="5">
        <v>201.5</v>
      </c>
      <c r="G30293" s="5">
        <v>100.5</v>
      </c>
      <c r="H30293" s="5">
        <v>100.4</v>
      </c>
      <c r="I30293" s="5">
        <v>0</v>
      </c>
      <c r="J30293" s="5">
        <v>0</v>
      </c>
      <c r="K30293" s="5">
        <v>0</v>
      </c>
    </row>
    <row r="30294" spans="1:11" x14ac:dyDescent="0.25">
      <c r="A30294" s="5">
        <f>30287</f>
      </c>
      <c r="B30294" s="5" t="s">
        <v>30302</v>
      </c>
      <c r="C30294" s="5">
        <v>101.7</v>
      </c>
      <c r="D30294" s="5">
        <v>0.1</v>
      </c>
      <c r="E30294" s="5">
        <v>101.8</v>
      </c>
      <c r="F30294" s="5">
        <v>203.1</v>
      </c>
      <c r="G30294" s="5">
        <v>101.3</v>
      </c>
      <c r="H30294" s="5">
        <v>101.1</v>
      </c>
      <c r="I30294" s="5">
        <v>0</v>
      </c>
      <c r="J30294" s="5">
        <v>0</v>
      </c>
      <c r="K30294" s="5">
        <v>0</v>
      </c>
    </row>
    <row r="30295" spans="1:11" x14ac:dyDescent="0.25">
      <c r="A30295" s="5">
        <f>30288</f>
      </c>
      <c r="B30295" s="5" t="s">
        <v>30303</v>
      </c>
      <c r="C30295" s="5">
        <v>101.7</v>
      </c>
      <c r="D30295" s="5">
        <v>0.1</v>
      </c>
      <c r="E30295" s="5">
        <v>101.8</v>
      </c>
      <c r="F30295" s="5">
        <v>203.1</v>
      </c>
      <c r="G30295" s="5">
        <v>101.3</v>
      </c>
      <c r="H30295" s="5">
        <v>101.1</v>
      </c>
      <c r="I30295" s="5">
        <v>0</v>
      </c>
      <c r="J30295" s="5">
        <v>0</v>
      </c>
      <c r="K30295" s="5">
        <v>0</v>
      </c>
    </row>
    <row r="30296" spans="1:11" x14ac:dyDescent="0.25">
      <c r="A30296" s="5">
        <f>30289</f>
      </c>
      <c r="B30296" s="5" t="s">
        <v>30304</v>
      </c>
      <c r="C30296" s="5">
        <v>101.7</v>
      </c>
      <c r="D30296" s="5">
        <v>0.1</v>
      </c>
      <c r="E30296" s="5">
        <v>101.8</v>
      </c>
      <c r="F30296" s="5">
        <v>203.1</v>
      </c>
      <c r="G30296" s="5">
        <v>101.3</v>
      </c>
      <c r="H30296" s="5">
        <v>101.1</v>
      </c>
      <c r="I30296" s="5">
        <v>0</v>
      </c>
      <c r="J30296" s="5">
        <v>0</v>
      </c>
      <c r="K30296" s="5">
        <v>0</v>
      </c>
    </row>
    <row r="30297" spans="1:11" x14ac:dyDescent="0.25">
      <c r="A30297" s="5">
        <f>30290</f>
      </c>
      <c r="B30297" s="5" t="s">
        <v>30305</v>
      </c>
      <c r="C30297" s="5">
        <v>101.7</v>
      </c>
      <c r="D30297" s="5">
        <v>0.1</v>
      </c>
      <c r="E30297" s="5">
        <v>101.8</v>
      </c>
      <c r="F30297" s="5">
        <v>203.1</v>
      </c>
      <c r="G30297" s="5">
        <v>101.3</v>
      </c>
      <c r="H30297" s="5">
        <v>101.1</v>
      </c>
      <c r="I30297" s="5">
        <v>0</v>
      </c>
      <c r="J30297" s="5">
        <v>0</v>
      </c>
      <c r="K30297" s="5">
        <v>0</v>
      </c>
    </row>
    <row r="30298" spans="1:11" x14ac:dyDescent="0.25">
      <c r="A30298" s="5">
        <f>30291</f>
      </c>
      <c r="B30298" s="5" t="s">
        <v>30306</v>
      </c>
      <c r="C30298" s="5">
        <v>101.9</v>
      </c>
      <c r="D30298" s="5">
        <v>0.1</v>
      </c>
      <c r="E30298" s="5">
        <v>102</v>
      </c>
      <c r="F30298" s="5">
        <v>203</v>
      </c>
      <c r="G30298" s="5">
        <v>101.3</v>
      </c>
      <c r="H30298" s="5">
        <v>101.2</v>
      </c>
      <c r="I30298" s="5">
        <v>0</v>
      </c>
      <c r="J30298" s="5">
        <v>0</v>
      </c>
      <c r="K30298" s="5">
        <v>0</v>
      </c>
    </row>
    <row r="30299" spans="1:11" x14ac:dyDescent="0.25">
      <c r="A30299" s="5">
        <f>30292</f>
      </c>
      <c r="B30299" s="5" t="s">
        <v>30307</v>
      </c>
      <c r="C30299" s="5">
        <v>101.9</v>
      </c>
      <c r="D30299" s="5">
        <v>0.1</v>
      </c>
      <c r="E30299" s="5">
        <v>102</v>
      </c>
      <c r="F30299" s="5">
        <v>203</v>
      </c>
      <c r="G30299" s="5">
        <v>101.3</v>
      </c>
      <c r="H30299" s="5">
        <v>101.2</v>
      </c>
      <c r="I30299" s="5">
        <v>0</v>
      </c>
      <c r="J30299" s="5">
        <v>0</v>
      </c>
      <c r="K30299" s="5">
        <v>0</v>
      </c>
    </row>
    <row r="30300" spans="1:11" x14ac:dyDescent="0.25">
      <c r="A30300" s="5">
        <f>30293</f>
      </c>
      <c r="B30300" s="5" t="s">
        <v>30308</v>
      </c>
      <c r="C30300" s="5">
        <v>101.7</v>
      </c>
      <c r="D30300" s="5">
        <v>0.1</v>
      </c>
      <c r="E30300" s="5">
        <v>101.8</v>
      </c>
      <c r="F30300" s="5">
        <v>202.4</v>
      </c>
      <c r="G30300" s="5">
        <v>101</v>
      </c>
      <c r="H30300" s="5">
        <v>100.9</v>
      </c>
      <c r="I30300" s="5">
        <v>0</v>
      </c>
      <c r="J30300" s="5">
        <v>0</v>
      </c>
      <c r="K30300" s="5">
        <v>0</v>
      </c>
    </row>
    <row r="30301" spans="1:11" x14ac:dyDescent="0.25">
      <c r="A30301" s="5">
        <f>30294</f>
      </c>
      <c r="B30301" s="5" t="s">
        <v>30309</v>
      </c>
      <c r="C30301" s="5">
        <v>101.7</v>
      </c>
      <c r="D30301" s="5">
        <v>0.1</v>
      </c>
      <c r="E30301" s="5">
        <v>101.8</v>
      </c>
      <c r="F30301" s="5">
        <v>202.4</v>
      </c>
      <c r="G30301" s="5">
        <v>101</v>
      </c>
      <c r="H30301" s="5">
        <v>100.9</v>
      </c>
      <c r="I30301" s="5">
        <v>0</v>
      </c>
      <c r="J30301" s="5">
        <v>0</v>
      </c>
      <c r="K30301" s="5">
        <v>0</v>
      </c>
    </row>
    <row r="30302" spans="1:11" x14ac:dyDescent="0.25">
      <c r="A30302" s="5">
        <f>30295</f>
      </c>
      <c r="B30302" s="5" t="s">
        <v>30310</v>
      </c>
      <c r="C30302" s="5">
        <v>101.6</v>
      </c>
      <c r="D30302" s="5">
        <v>0.1</v>
      </c>
      <c r="E30302" s="5">
        <v>101.8</v>
      </c>
      <c r="F30302" s="5">
        <v>202.9</v>
      </c>
      <c r="G30302" s="5">
        <v>101.2</v>
      </c>
      <c r="H30302" s="5">
        <v>101.1</v>
      </c>
      <c r="I30302" s="5">
        <v>0</v>
      </c>
      <c r="J30302" s="5">
        <v>0</v>
      </c>
      <c r="K30302" s="5">
        <v>0</v>
      </c>
    </row>
    <row r="30303" spans="1:11" x14ac:dyDescent="0.25">
      <c r="A30303" s="5">
        <f>30296</f>
      </c>
      <c r="B30303" s="5" t="s">
        <v>30311</v>
      </c>
      <c r="C30303" s="5">
        <v>101.6</v>
      </c>
      <c r="D30303" s="5">
        <v>0.1</v>
      </c>
      <c r="E30303" s="5">
        <v>101.8</v>
      </c>
      <c r="F30303" s="5">
        <v>202.9</v>
      </c>
      <c r="G30303" s="5">
        <v>101.2</v>
      </c>
      <c r="H30303" s="5">
        <v>101.1</v>
      </c>
      <c r="I30303" s="5">
        <v>0</v>
      </c>
      <c r="J30303" s="5">
        <v>0</v>
      </c>
      <c r="K30303" s="5">
        <v>0</v>
      </c>
    </row>
    <row r="30304" spans="1:11" x14ac:dyDescent="0.25">
      <c r="A30304" s="5">
        <f>30297</f>
      </c>
      <c r="B30304" s="5" t="s">
        <v>30312</v>
      </c>
      <c r="C30304" s="5">
        <v>101.1</v>
      </c>
      <c r="D30304" s="5">
        <v>0.1</v>
      </c>
      <c r="E30304" s="5">
        <v>101.3</v>
      </c>
      <c r="F30304" s="5">
        <v>202</v>
      </c>
      <c r="G30304" s="5">
        <v>101.2</v>
      </c>
      <c r="H30304" s="5">
        <v>101.1</v>
      </c>
      <c r="I30304" s="5">
        <v>0</v>
      </c>
      <c r="J30304" s="5">
        <v>0</v>
      </c>
      <c r="K30304" s="5">
        <v>0</v>
      </c>
    </row>
    <row r="30305" spans="1:11" x14ac:dyDescent="0.25">
      <c r="A30305" s="5">
        <f>30298</f>
      </c>
      <c r="B30305" s="5" t="s">
        <v>30313</v>
      </c>
      <c r="C30305" s="5">
        <v>101.1</v>
      </c>
      <c r="D30305" s="5">
        <v>0.1</v>
      </c>
      <c r="E30305" s="5">
        <v>101.3</v>
      </c>
      <c r="F30305" s="5">
        <v>202</v>
      </c>
      <c r="G30305" s="5">
        <v>100.8</v>
      </c>
      <c r="H30305" s="5">
        <v>100.6</v>
      </c>
      <c r="I30305" s="5">
        <v>0</v>
      </c>
      <c r="J30305" s="5">
        <v>0</v>
      </c>
      <c r="K30305" s="5">
        <v>0</v>
      </c>
    </row>
    <row r="30306" spans="1:11" x14ac:dyDescent="0.25">
      <c r="A30306" s="5">
        <f>30299</f>
      </c>
      <c r="B30306" s="5" t="s">
        <v>30314</v>
      </c>
      <c r="C30306" s="5">
        <v>101.1</v>
      </c>
      <c r="D30306" s="5">
        <v>0.1</v>
      </c>
      <c r="E30306" s="5">
        <v>101.3</v>
      </c>
      <c r="F30306" s="5">
        <v>202</v>
      </c>
      <c r="G30306" s="5">
        <v>100.8</v>
      </c>
      <c r="H30306" s="5">
        <v>100.6</v>
      </c>
      <c r="I30306" s="5">
        <v>0</v>
      </c>
      <c r="J30306" s="5">
        <v>0</v>
      </c>
      <c r="K30306" s="5">
        <v>0</v>
      </c>
    </row>
    <row r="30307" spans="1:11" x14ac:dyDescent="0.25">
      <c r="A30307" s="5">
        <f>30300</f>
      </c>
      <c r="B30307" s="5" t="s">
        <v>30315</v>
      </c>
      <c r="C30307" s="5">
        <v>101.1</v>
      </c>
      <c r="D30307" s="5">
        <v>0.1</v>
      </c>
      <c r="E30307" s="5">
        <v>101.3</v>
      </c>
      <c r="F30307" s="5">
        <v>202</v>
      </c>
      <c r="G30307" s="5">
        <v>100.8</v>
      </c>
      <c r="H30307" s="5">
        <v>100.6</v>
      </c>
      <c r="I30307" s="5">
        <v>0</v>
      </c>
      <c r="J30307" s="5">
        <v>0</v>
      </c>
      <c r="K30307" s="5">
        <v>0</v>
      </c>
    </row>
    <row r="30308" spans="1:11" x14ac:dyDescent="0.25">
      <c r="A30308" s="5">
        <f>30301</f>
      </c>
      <c r="B30308" s="5" t="s">
        <v>30316</v>
      </c>
      <c r="C30308" s="5">
        <v>101</v>
      </c>
      <c r="D30308" s="5">
        <v>0.1</v>
      </c>
      <c r="E30308" s="5">
        <v>101.1</v>
      </c>
      <c r="F30308" s="5">
        <v>201.1</v>
      </c>
      <c r="G30308" s="5">
        <v>100.3</v>
      </c>
      <c r="H30308" s="5">
        <v>100.1</v>
      </c>
      <c r="I30308" s="5">
        <v>0</v>
      </c>
      <c r="J30308" s="5">
        <v>0</v>
      </c>
      <c r="K30308" s="5">
        <v>0</v>
      </c>
    </row>
    <row r="30309" spans="1:11" x14ac:dyDescent="0.25">
      <c r="A30309" s="5">
        <f>30302</f>
      </c>
      <c r="B30309" s="5" t="s">
        <v>30317</v>
      </c>
      <c r="C30309" s="5">
        <v>101</v>
      </c>
      <c r="D30309" s="5">
        <v>0.1</v>
      </c>
      <c r="E30309" s="5">
        <v>101.1</v>
      </c>
      <c r="F30309" s="5">
        <v>201.1</v>
      </c>
      <c r="G30309" s="5">
        <v>100.3</v>
      </c>
      <c r="H30309" s="5">
        <v>100.1</v>
      </c>
      <c r="I30309" s="5">
        <v>0</v>
      </c>
      <c r="J30309" s="5">
        <v>0</v>
      </c>
      <c r="K30309" s="5">
        <v>0</v>
      </c>
    </row>
    <row r="30310" spans="1:11" x14ac:dyDescent="0.25">
      <c r="A30310" s="5">
        <f>30303</f>
      </c>
      <c r="B30310" s="5" t="s">
        <v>30318</v>
      </c>
      <c r="C30310" s="5">
        <v>100.4</v>
      </c>
      <c r="D30310" s="5">
        <v>0.1</v>
      </c>
      <c r="E30310" s="5">
        <v>100.5</v>
      </c>
      <c r="F30310" s="5">
        <v>200.5</v>
      </c>
      <c r="G30310" s="5">
        <v>99.8</v>
      </c>
      <c r="H30310" s="5">
        <v>99.7</v>
      </c>
      <c r="I30310" s="5">
        <v>0</v>
      </c>
      <c r="J30310" s="5">
        <v>0</v>
      </c>
      <c r="K30310" s="5">
        <v>0</v>
      </c>
    </row>
    <row r="30311" spans="1:11" x14ac:dyDescent="0.25">
      <c r="A30311" s="5">
        <f>30304</f>
      </c>
      <c r="B30311" s="5" t="s">
        <v>30319</v>
      </c>
      <c r="C30311" s="5">
        <v>100.4</v>
      </c>
      <c r="D30311" s="5">
        <v>0.1</v>
      </c>
      <c r="E30311" s="5">
        <v>100.5</v>
      </c>
      <c r="F30311" s="5">
        <v>200.5</v>
      </c>
      <c r="G30311" s="5">
        <v>99.8</v>
      </c>
      <c r="H30311" s="5">
        <v>99.7</v>
      </c>
      <c r="I30311" s="5">
        <v>0</v>
      </c>
      <c r="J30311" s="5">
        <v>0</v>
      </c>
      <c r="K30311" s="5">
        <v>0</v>
      </c>
    </row>
    <row r="30312" spans="1:11" x14ac:dyDescent="0.25">
      <c r="A30312" s="5">
        <f>30305</f>
      </c>
      <c r="B30312" s="5" t="s">
        <v>30320</v>
      </c>
      <c r="C30312" s="5">
        <v>101</v>
      </c>
      <c r="D30312" s="5">
        <v>0.1</v>
      </c>
      <c r="E30312" s="5">
        <v>101.1</v>
      </c>
      <c r="F30312" s="5">
        <v>202.3</v>
      </c>
      <c r="G30312" s="5">
        <v>100.6</v>
      </c>
      <c r="H30312" s="5">
        <v>100.4</v>
      </c>
      <c r="I30312" s="5">
        <v>0</v>
      </c>
      <c r="J30312" s="5">
        <v>0</v>
      </c>
      <c r="K30312" s="5">
        <v>0</v>
      </c>
    </row>
    <row r="30313" spans="1:11" x14ac:dyDescent="0.25">
      <c r="A30313" s="5">
        <f>30306</f>
      </c>
      <c r="B30313" s="5" t="s">
        <v>30321</v>
      </c>
      <c r="C30313" s="5">
        <v>101</v>
      </c>
      <c r="D30313" s="5">
        <v>0.1</v>
      </c>
      <c r="E30313" s="5">
        <v>101.1</v>
      </c>
      <c r="F30313" s="5">
        <v>202.3</v>
      </c>
      <c r="G30313" s="5">
        <v>100.6</v>
      </c>
      <c r="H30313" s="5">
        <v>100.4</v>
      </c>
      <c r="I30313" s="5">
        <v>0</v>
      </c>
      <c r="J30313" s="5">
        <v>0</v>
      </c>
      <c r="K30313" s="5">
        <v>0</v>
      </c>
    </row>
    <row r="30314" spans="1:11" x14ac:dyDescent="0.25">
      <c r="A30314" s="5">
        <f>30307</f>
      </c>
      <c r="B30314" s="5" t="s">
        <v>30322</v>
      </c>
      <c r="C30314" s="5">
        <v>101.2</v>
      </c>
      <c r="D30314" s="5">
        <v>0.1</v>
      </c>
      <c r="E30314" s="5">
        <v>101.4</v>
      </c>
      <c r="F30314" s="5">
        <v>202.7</v>
      </c>
      <c r="G30314" s="5">
        <v>101.1</v>
      </c>
      <c r="H30314" s="5">
        <v>100.9</v>
      </c>
      <c r="I30314" s="5">
        <v>0</v>
      </c>
      <c r="J30314" s="5">
        <v>0</v>
      </c>
      <c r="K30314" s="5">
        <v>0</v>
      </c>
    </row>
    <row r="30315" spans="1:11" x14ac:dyDescent="0.25">
      <c r="A30315" s="5">
        <f>30308</f>
      </c>
      <c r="B30315" s="5" t="s">
        <v>30323</v>
      </c>
      <c r="C30315" s="5">
        <v>101.2</v>
      </c>
      <c r="D30315" s="5">
        <v>0.1</v>
      </c>
      <c r="E30315" s="5">
        <v>101.4</v>
      </c>
      <c r="F30315" s="5">
        <v>202.7</v>
      </c>
      <c r="G30315" s="5">
        <v>101.1</v>
      </c>
      <c r="H30315" s="5">
        <v>100.9</v>
      </c>
      <c r="I30315" s="5">
        <v>0</v>
      </c>
      <c r="J30315" s="5">
        <v>0</v>
      </c>
      <c r="K30315" s="5">
        <v>0</v>
      </c>
    </row>
    <row r="30316" spans="1:11" x14ac:dyDescent="0.25">
      <c r="A30316" s="5">
        <f>30309</f>
      </c>
      <c r="B30316" s="5" t="s">
        <v>30324</v>
      </c>
      <c r="C30316" s="5">
        <v>101.2</v>
      </c>
      <c r="D30316" s="5">
        <v>0.1</v>
      </c>
      <c r="E30316" s="5">
        <v>101.4</v>
      </c>
      <c r="F30316" s="5">
        <v>202.7</v>
      </c>
      <c r="G30316" s="5">
        <v>101.1</v>
      </c>
      <c r="H30316" s="5">
        <v>100.9</v>
      </c>
      <c r="I30316" s="5">
        <v>0</v>
      </c>
      <c r="J30316" s="5">
        <v>0</v>
      </c>
      <c r="K30316" s="5">
        <v>0</v>
      </c>
    </row>
    <row r="30317" spans="1:11" x14ac:dyDescent="0.25">
      <c r="A30317" s="5">
        <f>30310</f>
      </c>
      <c r="B30317" s="5" t="s">
        <v>30325</v>
      </c>
      <c r="C30317" s="5">
        <v>101.2</v>
      </c>
      <c r="D30317" s="5">
        <v>0.1</v>
      </c>
      <c r="E30317" s="5">
        <v>101.4</v>
      </c>
      <c r="F30317" s="5">
        <v>202.7</v>
      </c>
      <c r="G30317" s="5">
        <v>101.1</v>
      </c>
      <c r="H30317" s="5">
        <v>100.9</v>
      </c>
      <c r="I30317" s="5">
        <v>0</v>
      </c>
      <c r="J30317" s="5">
        <v>0</v>
      </c>
      <c r="K30317" s="5">
        <v>0</v>
      </c>
    </row>
    <row r="30318" spans="1:11" x14ac:dyDescent="0.25">
      <c r="A30318" s="5">
        <f>30311</f>
      </c>
      <c r="B30318" s="5" t="s">
        <v>30326</v>
      </c>
      <c r="C30318" s="5">
        <v>101.3</v>
      </c>
      <c r="D30318" s="5">
        <v>0.1</v>
      </c>
      <c r="E30318" s="5">
        <v>101.5</v>
      </c>
      <c r="F30318" s="5">
        <v>202.5</v>
      </c>
      <c r="G30318" s="5">
        <v>101</v>
      </c>
      <c r="H30318" s="5">
        <v>100.9</v>
      </c>
      <c r="I30318" s="5">
        <v>0</v>
      </c>
      <c r="J30318" s="5">
        <v>0</v>
      </c>
      <c r="K30318" s="5">
        <v>0</v>
      </c>
    </row>
    <row r="30319" spans="1:11" x14ac:dyDescent="0.25">
      <c r="A30319" s="5">
        <f>30312</f>
      </c>
      <c r="B30319" s="5" t="s">
        <v>30327</v>
      </c>
      <c r="C30319" s="5">
        <v>101.3</v>
      </c>
      <c r="D30319" s="5">
        <v>0.1</v>
      </c>
      <c r="E30319" s="5">
        <v>101.5</v>
      </c>
      <c r="F30319" s="5">
        <v>202.5</v>
      </c>
      <c r="G30319" s="5">
        <v>101</v>
      </c>
      <c r="H30319" s="5">
        <v>100.9</v>
      </c>
      <c r="I30319" s="5">
        <v>0</v>
      </c>
      <c r="J30319" s="5">
        <v>0</v>
      </c>
      <c r="K30319" s="5">
        <v>0</v>
      </c>
    </row>
    <row r="30320" spans="1:11" x14ac:dyDescent="0.25">
      <c r="A30320" s="5">
        <f>30313</f>
      </c>
      <c r="B30320" s="5" t="s">
        <v>30328</v>
      </c>
      <c r="C30320" s="5">
        <v>101.6</v>
      </c>
      <c r="D30320" s="5">
        <v>0.1</v>
      </c>
      <c r="E30320" s="5">
        <v>101.8</v>
      </c>
      <c r="F30320" s="5">
        <v>203.2</v>
      </c>
      <c r="G30320" s="5">
        <v>101.4</v>
      </c>
      <c r="H30320" s="5">
        <v>101.2</v>
      </c>
      <c r="I30320" s="5">
        <v>0</v>
      </c>
      <c r="J30320" s="5">
        <v>0</v>
      </c>
      <c r="K30320" s="5">
        <v>0</v>
      </c>
    </row>
    <row r="30321" spans="1:11" x14ac:dyDescent="0.25">
      <c r="A30321" s="5">
        <f>30314</f>
      </c>
      <c r="B30321" s="5" t="s">
        <v>30329</v>
      </c>
      <c r="C30321" s="5">
        <v>101.6</v>
      </c>
      <c r="D30321" s="5">
        <v>0.1</v>
      </c>
      <c r="E30321" s="5">
        <v>101.8</v>
      </c>
      <c r="F30321" s="5">
        <v>203.2</v>
      </c>
      <c r="G30321" s="5">
        <v>101.4</v>
      </c>
      <c r="H30321" s="5">
        <v>101.2</v>
      </c>
      <c r="I30321" s="5">
        <v>0</v>
      </c>
      <c r="J30321" s="5">
        <v>0</v>
      </c>
      <c r="K30321" s="5">
        <v>0</v>
      </c>
    </row>
    <row r="30322" spans="1:11" x14ac:dyDescent="0.25">
      <c r="A30322" s="5">
        <f>30315</f>
      </c>
      <c r="B30322" s="5" t="s">
        <v>30330</v>
      </c>
      <c r="C30322" s="5">
        <v>101.6</v>
      </c>
      <c r="D30322" s="5">
        <v>0.1</v>
      </c>
      <c r="E30322" s="5">
        <v>101.8</v>
      </c>
      <c r="F30322" s="5">
        <v>203.2</v>
      </c>
      <c r="G30322" s="5">
        <v>101.4</v>
      </c>
      <c r="H30322" s="5">
        <v>101.2</v>
      </c>
      <c r="I30322" s="5">
        <v>0</v>
      </c>
      <c r="J30322" s="5">
        <v>0</v>
      </c>
      <c r="K30322" s="5">
        <v>0</v>
      </c>
    </row>
    <row r="30323" spans="1:11" x14ac:dyDescent="0.25">
      <c r="A30323" s="5">
        <f>30316</f>
      </c>
      <c r="B30323" s="5" t="s">
        <v>30331</v>
      </c>
      <c r="C30323" s="5">
        <v>101.6</v>
      </c>
      <c r="D30323" s="5">
        <v>0.1</v>
      </c>
      <c r="E30323" s="5">
        <v>101.8</v>
      </c>
      <c r="F30323" s="5">
        <v>203.2</v>
      </c>
      <c r="G30323" s="5">
        <v>101.4</v>
      </c>
      <c r="H30323" s="5">
        <v>101.2</v>
      </c>
      <c r="I30323" s="5">
        <v>0</v>
      </c>
      <c r="J30323" s="5">
        <v>0</v>
      </c>
      <c r="K30323" s="5">
        <v>0</v>
      </c>
    </row>
    <row r="30324" spans="1:11" x14ac:dyDescent="0.25">
      <c r="A30324" s="5">
        <f>30317</f>
      </c>
      <c r="B30324" s="5" t="s">
        <v>30332</v>
      </c>
      <c r="C30324" s="5">
        <v>100.2</v>
      </c>
      <c r="D30324" s="5">
        <v>0.1</v>
      </c>
      <c r="E30324" s="5">
        <v>100.3</v>
      </c>
      <c r="F30324" s="5">
        <v>200</v>
      </c>
      <c r="G30324" s="5">
        <v>99.8</v>
      </c>
      <c r="H30324" s="5">
        <v>99.6</v>
      </c>
      <c r="I30324" s="5">
        <v>0</v>
      </c>
      <c r="J30324" s="5">
        <v>0</v>
      </c>
      <c r="K30324" s="5">
        <v>0</v>
      </c>
    </row>
    <row r="30325" spans="1:11" x14ac:dyDescent="0.25">
      <c r="A30325" s="5">
        <f>30318</f>
      </c>
      <c r="B30325" s="5" t="s">
        <v>30333</v>
      </c>
      <c r="C30325" s="5">
        <v>100.2</v>
      </c>
      <c r="D30325" s="5">
        <v>0.1</v>
      </c>
      <c r="E30325" s="5">
        <v>100.3</v>
      </c>
      <c r="F30325" s="5">
        <v>200</v>
      </c>
      <c r="G30325" s="5">
        <v>99.8</v>
      </c>
      <c r="H30325" s="5">
        <v>99.6</v>
      </c>
      <c r="I30325" s="5">
        <v>0</v>
      </c>
      <c r="J30325" s="5">
        <v>0</v>
      </c>
      <c r="K30325" s="5">
        <v>0</v>
      </c>
    </row>
    <row r="30326" spans="1:11" x14ac:dyDescent="0.25">
      <c r="A30326" s="5">
        <f>30319</f>
      </c>
      <c r="B30326" s="5" t="s">
        <v>30334</v>
      </c>
      <c r="C30326" s="5">
        <v>100.2</v>
      </c>
      <c r="D30326" s="5">
        <v>0.1</v>
      </c>
      <c r="E30326" s="5">
        <v>100.3</v>
      </c>
      <c r="F30326" s="5">
        <v>200</v>
      </c>
      <c r="G30326" s="5">
        <v>99.8</v>
      </c>
      <c r="H30326" s="5">
        <v>99.6</v>
      </c>
      <c r="I30326" s="5">
        <v>0</v>
      </c>
      <c r="J30326" s="5">
        <v>0</v>
      </c>
      <c r="K30326" s="5">
        <v>0</v>
      </c>
    </row>
    <row r="30327" spans="1:11" x14ac:dyDescent="0.25">
      <c r="A30327" s="5">
        <f>30320</f>
      </c>
      <c r="B30327" s="5" t="s">
        <v>30335</v>
      </c>
      <c r="C30327" s="5">
        <v>100.2</v>
      </c>
      <c r="D30327" s="5">
        <v>0.1</v>
      </c>
      <c r="E30327" s="5">
        <v>100.3</v>
      </c>
      <c r="F30327" s="5">
        <v>200</v>
      </c>
      <c r="G30327" s="5">
        <v>99.8</v>
      </c>
      <c r="H30327" s="5">
        <v>99.6</v>
      </c>
      <c r="I30327" s="5">
        <v>0</v>
      </c>
      <c r="J30327" s="5">
        <v>0</v>
      </c>
      <c r="K30327" s="5">
        <v>0</v>
      </c>
    </row>
    <row r="30328" spans="1:11" x14ac:dyDescent="0.25">
      <c r="A30328" s="5">
        <f>30321</f>
      </c>
      <c r="B30328" s="5" t="s">
        <v>30336</v>
      </c>
      <c r="C30328" s="5">
        <v>98.6</v>
      </c>
      <c r="D30328" s="5">
        <v>0.1</v>
      </c>
      <c r="E30328" s="5">
        <v>98.8</v>
      </c>
      <c r="F30328" s="5">
        <v>197.4</v>
      </c>
      <c r="G30328" s="5">
        <v>98.3</v>
      </c>
      <c r="H30328" s="5">
        <v>98.1</v>
      </c>
      <c r="I30328" s="5">
        <v>0</v>
      </c>
      <c r="J30328" s="5">
        <v>0</v>
      </c>
      <c r="K30328" s="5">
        <v>0</v>
      </c>
    </row>
    <row r="30329" spans="1:11" x14ac:dyDescent="0.25">
      <c r="A30329" s="5">
        <f>30322</f>
      </c>
      <c r="B30329" s="5" t="s">
        <v>30337</v>
      </c>
      <c r="C30329" s="5">
        <v>98.6</v>
      </c>
      <c r="D30329" s="5">
        <v>0.1</v>
      </c>
      <c r="E30329" s="5">
        <v>98.8</v>
      </c>
      <c r="F30329" s="5">
        <v>197.4</v>
      </c>
      <c r="G30329" s="5">
        <v>98.3</v>
      </c>
      <c r="H30329" s="5">
        <v>98.1</v>
      </c>
      <c r="I30329" s="5">
        <v>0</v>
      </c>
      <c r="J30329" s="5">
        <v>0</v>
      </c>
      <c r="K30329" s="5">
        <v>0</v>
      </c>
    </row>
    <row r="30330" spans="1:11" x14ac:dyDescent="0.25">
      <c r="A30330" s="5">
        <f>30323</f>
      </c>
      <c r="B30330" s="5" t="s">
        <v>30338</v>
      </c>
      <c r="C30330" s="5">
        <v>100.5</v>
      </c>
      <c r="D30330" s="5">
        <v>0.1</v>
      </c>
      <c r="E30330" s="5">
        <v>100.6</v>
      </c>
      <c r="F30330" s="5">
        <v>200.8</v>
      </c>
      <c r="G30330" s="5">
        <v>100.2</v>
      </c>
      <c r="H30330" s="5">
        <v>100.1</v>
      </c>
      <c r="I30330" s="5">
        <v>0</v>
      </c>
      <c r="J30330" s="5">
        <v>0</v>
      </c>
      <c r="K30330" s="5">
        <v>0</v>
      </c>
    </row>
    <row r="30331" spans="1:11" x14ac:dyDescent="0.25">
      <c r="A30331" s="5">
        <f>30324</f>
      </c>
      <c r="B30331" s="5" t="s">
        <v>30339</v>
      </c>
      <c r="C30331" s="5">
        <v>100.5</v>
      </c>
      <c r="D30331" s="5">
        <v>0.1</v>
      </c>
      <c r="E30331" s="5">
        <v>100.6</v>
      </c>
      <c r="F30331" s="5">
        <v>200.8</v>
      </c>
      <c r="G30331" s="5">
        <v>100.2</v>
      </c>
      <c r="H30331" s="5">
        <v>100.1</v>
      </c>
      <c r="I30331" s="5">
        <v>0</v>
      </c>
      <c r="J30331" s="5">
        <v>0</v>
      </c>
      <c r="K30331" s="5">
        <v>0</v>
      </c>
    </row>
    <row r="30332" spans="1:11" x14ac:dyDescent="0.25">
      <c r="A30332" s="5">
        <f>30325</f>
      </c>
      <c r="B30332" s="5" t="s">
        <v>30340</v>
      </c>
      <c r="C30332" s="5">
        <v>99.5</v>
      </c>
      <c r="D30332" s="5">
        <v>0.1</v>
      </c>
      <c r="E30332" s="5">
        <v>99.6</v>
      </c>
      <c r="F30332" s="5">
        <v>198.2</v>
      </c>
      <c r="G30332" s="5">
        <v>98.9</v>
      </c>
      <c r="H30332" s="5">
        <v>98.7</v>
      </c>
      <c r="I30332" s="5">
        <v>0</v>
      </c>
      <c r="J30332" s="5">
        <v>0</v>
      </c>
      <c r="K30332" s="5">
        <v>0</v>
      </c>
    </row>
    <row r="30333" spans="1:11" x14ac:dyDescent="0.25">
      <c r="A30333" s="5">
        <f>30326</f>
      </c>
      <c r="B30333" s="5" t="s">
        <v>30341</v>
      </c>
      <c r="C30333" s="5">
        <v>99.5</v>
      </c>
      <c r="D30333" s="5">
        <v>0.1</v>
      </c>
      <c r="E30333" s="5">
        <v>99.6</v>
      </c>
      <c r="F30333" s="5">
        <v>198.2</v>
      </c>
      <c r="G30333" s="5">
        <v>98.9</v>
      </c>
      <c r="H30333" s="5">
        <v>98.7</v>
      </c>
      <c r="I30333" s="5">
        <v>0</v>
      </c>
      <c r="J30333" s="5">
        <v>0</v>
      </c>
      <c r="K30333" s="5">
        <v>0</v>
      </c>
    </row>
    <row r="30334" spans="1:11" x14ac:dyDescent="0.25">
      <c r="A30334" s="5">
        <f>30327</f>
      </c>
      <c r="B30334" s="5" t="s">
        <v>30342</v>
      </c>
      <c r="C30334" s="5">
        <v>99.2</v>
      </c>
      <c r="D30334" s="5">
        <v>0.1</v>
      </c>
      <c r="E30334" s="5">
        <v>99.4</v>
      </c>
      <c r="F30334" s="5">
        <v>198.9</v>
      </c>
      <c r="G30334" s="5">
        <v>99.3</v>
      </c>
      <c r="H30334" s="5">
        <v>99.2</v>
      </c>
      <c r="I30334" s="5">
        <v>0</v>
      </c>
      <c r="J30334" s="5">
        <v>0</v>
      </c>
      <c r="K30334" s="5">
        <v>0</v>
      </c>
    </row>
    <row r="30335" spans="1:11" x14ac:dyDescent="0.25">
      <c r="A30335" s="5">
        <f>30328</f>
      </c>
      <c r="B30335" s="5" t="s">
        <v>30343</v>
      </c>
      <c r="C30335" s="5">
        <v>99.2</v>
      </c>
      <c r="D30335" s="5">
        <v>0.1</v>
      </c>
      <c r="E30335" s="5">
        <v>99.4</v>
      </c>
      <c r="F30335" s="5">
        <v>198.9</v>
      </c>
      <c r="G30335" s="5">
        <v>99.3</v>
      </c>
      <c r="H30335" s="5">
        <v>99.2</v>
      </c>
      <c r="I30335" s="5">
        <v>0</v>
      </c>
      <c r="J30335" s="5">
        <v>0</v>
      </c>
      <c r="K30335" s="5">
        <v>0</v>
      </c>
    </row>
    <row r="30336" spans="1:11" x14ac:dyDescent="0.25">
      <c r="A30336" s="5">
        <f>30329</f>
      </c>
      <c r="B30336" s="5" t="s">
        <v>30344</v>
      </c>
      <c r="C30336" s="5">
        <v>99.2</v>
      </c>
      <c r="D30336" s="5">
        <v>0.1</v>
      </c>
      <c r="E30336" s="5">
        <v>99.4</v>
      </c>
      <c r="F30336" s="5">
        <v>198.9</v>
      </c>
      <c r="G30336" s="5">
        <v>99.3</v>
      </c>
      <c r="H30336" s="5">
        <v>99.2</v>
      </c>
      <c r="I30336" s="5">
        <v>0</v>
      </c>
      <c r="J30336" s="5">
        <v>0</v>
      </c>
      <c r="K30336" s="5">
        <v>0</v>
      </c>
    </row>
    <row r="30337" spans="1:11" x14ac:dyDescent="0.25">
      <c r="A30337" s="5">
        <f>30330</f>
      </c>
      <c r="B30337" s="5" t="s">
        <v>30345</v>
      </c>
      <c r="C30337" s="5">
        <v>99.2</v>
      </c>
      <c r="D30337" s="5">
        <v>0.1</v>
      </c>
      <c r="E30337" s="5">
        <v>99.4</v>
      </c>
      <c r="F30337" s="5">
        <v>198.9</v>
      </c>
      <c r="G30337" s="5">
        <v>99.3</v>
      </c>
      <c r="H30337" s="5">
        <v>99.2</v>
      </c>
      <c r="I30337" s="5">
        <v>0</v>
      </c>
      <c r="J30337" s="5">
        <v>0</v>
      </c>
      <c r="K30337" s="5">
        <v>0</v>
      </c>
    </row>
    <row r="30338" spans="1:11" x14ac:dyDescent="0.25">
      <c r="A30338" s="5">
        <f>30331</f>
      </c>
      <c r="B30338" s="5" t="s">
        <v>30346</v>
      </c>
      <c r="C30338" s="5">
        <v>99.2</v>
      </c>
      <c r="D30338" s="5">
        <v>0.1</v>
      </c>
      <c r="E30338" s="5">
        <v>99.4</v>
      </c>
      <c r="F30338" s="5">
        <v>197.6</v>
      </c>
      <c r="G30338" s="5">
        <v>98.6</v>
      </c>
      <c r="H30338" s="5">
        <v>98.5</v>
      </c>
      <c r="I30338" s="5">
        <v>0</v>
      </c>
      <c r="J30338" s="5">
        <v>0</v>
      </c>
      <c r="K30338" s="5">
        <v>0</v>
      </c>
    </row>
    <row r="30339" spans="1:11" x14ac:dyDescent="0.25">
      <c r="A30339" s="5">
        <f>30332</f>
      </c>
      <c r="B30339" s="5" t="s">
        <v>30347</v>
      </c>
      <c r="C30339" s="5">
        <v>99.2</v>
      </c>
      <c r="D30339" s="5">
        <v>0.1</v>
      </c>
      <c r="E30339" s="5">
        <v>99.4</v>
      </c>
      <c r="F30339" s="5">
        <v>197.6</v>
      </c>
      <c r="G30339" s="5">
        <v>98.6</v>
      </c>
      <c r="H30339" s="5">
        <v>98.5</v>
      </c>
      <c r="I30339" s="5">
        <v>0</v>
      </c>
      <c r="J30339" s="5">
        <v>0</v>
      </c>
      <c r="K30339" s="5">
        <v>0</v>
      </c>
    </row>
    <row r="30340" spans="1:11" x14ac:dyDescent="0.25">
      <c r="A30340" s="5">
        <f>30333</f>
      </c>
      <c r="B30340" s="5" t="s">
        <v>30348</v>
      </c>
      <c r="C30340" s="5">
        <v>102.8</v>
      </c>
      <c r="D30340" s="5">
        <v>0.1</v>
      </c>
      <c r="E30340" s="5">
        <v>103</v>
      </c>
      <c r="F30340" s="5">
        <v>205.2</v>
      </c>
      <c r="G30340" s="5">
        <v>102.4</v>
      </c>
      <c r="H30340" s="5">
        <v>102.3</v>
      </c>
      <c r="I30340" s="5">
        <v>0</v>
      </c>
      <c r="J30340" s="5">
        <v>0</v>
      </c>
      <c r="K30340" s="5">
        <v>0</v>
      </c>
    </row>
    <row r="30341" spans="1:11" x14ac:dyDescent="0.25">
      <c r="A30341" s="5">
        <f>30334</f>
      </c>
      <c r="B30341" s="5" t="s">
        <v>30349</v>
      </c>
      <c r="C30341" s="5">
        <v>102.8</v>
      </c>
      <c r="D30341" s="5">
        <v>0.1</v>
      </c>
      <c r="E30341" s="5">
        <v>103</v>
      </c>
      <c r="F30341" s="5">
        <v>205.2</v>
      </c>
      <c r="G30341" s="5">
        <v>102.4</v>
      </c>
      <c r="H30341" s="5">
        <v>102.3</v>
      </c>
      <c r="I30341" s="5">
        <v>0</v>
      </c>
      <c r="J30341" s="5">
        <v>0</v>
      </c>
      <c r="K30341" s="5">
        <v>0</v>
      </c>
    </row>
    <row r="30342" spans="1:11" x14ac:dyDescent="0.25">
      <c r="A30342" s="5">
        <f>30335</f>
      </c>
      <c r="B30342" s="5" t="s">
        <v>30350</v>
      </c>
      <c r="C30342" s="5">
        <v>103.5</v>
      </c>
      <c r="D30342" s="5">
        <v>0.1</v>
      </c>
      <c r="E30342" s="5">
        <v>103.7</v>
      </c>
      <c r="F30342" s="5">
        <v>206.9</v>
      </c>
      <c r="G30342" s="5">
        <v>103.2</v>
      </c>
      <c r="H30342" s="5">
        <v>103</v>
      </c>
      <c r="I30342" s="5">
        <v>0</v>
      </c>
      <c r="J30342" s="5">
        <v>0</v>
      </c>
      <c r="K30342" s="5">
        <v>0</v>
      </c>
    </row>
    <row r="30343" spans="1:11" x14ac:dyDescent="0.25">
      <c r="A30343" s="5">
        <f>30336</f>
      </c>
      <c r="B30343" s="5" t="s">
        <v>30351</v>
      </c>
      <c r="C30343" s="5">
        <v>103.5</v>
      </c>
      <c r="D30343" s="5">
        <v>0.1</v>
      </c>
      <c r="E30343" s="5">
        <v>103.7</v>
      </c>
      <c r="F30343" s="5">
        <v>206.9</v>
      </c>
      <c r="G30343" s="5">
        <v>103.2</v>
      </c>
      <c r="H30343" s="5">
        <v>103</v>
      </c>
      <c r="I30343" s="5">
        <v>0</v>
      </c>
      <c r="J30343" s="5">
        <v>0</v>
      </c>
      <c r="K30343" s="5">
        <v>0</v>
      </c>
    </row>
    <row r="30344" spans="1:11" x14ac:dyDescent="0.25">
      <c r="A30344" s="5">
        <f>30337</f>
      </c>
      <c r="B30344" s="5" t="s">
        <v>30352</v>
      </c>
      <c r="C30344" s="5">
        <v>103.3</v>
      </c>
      <c r="D30344" s="5">
        <v>0.1</v>
      </c>
      <c r="E30344" s="5">
        <v>103.4</v>
      </c>
      <c r="F30344" s="5">
        <v>206.2</v>
      </c>
      <c r="G30344" s="5">
        <v>102.9</v>
      </c>
      <c r="H30344" s="5">
        <v>102.7</v>
      </c>
      <c r="I30344" s="5">
        <v>0</v>
      </c>
      <c r="J30344" s="5">
        <v>0</v>
      </c>
      <c r="K30344" s="5">
        <v>0</v>
      </c>
    </row>
    <row r="30345" spans="1:11" x14ac:dyDescent="0.25">
      <c r="A30345" s="5">
        <f>30338</f>
      </c>
      <c r="B30345" s="5" t="s">
        <v>30353</v>
      </c>
      <c r="C30345" s="5">
        <v>103.3</v>
      </c>
      <c r="D30345" s="5">
        <v>0.1</v>
      </c>
      <c r="E30345" s="5">
        <v>103.4</v>
      </c>
      <c r="F30345" s="5">
        <v>206.2</v>
      </c>
      <c r="G30345" s="5">
        <v>102.9</v>
      </c>
      <c r="H30345" s="5">
        <v>102.7</v>
      </c>
      <c r="I30345" s="5">
        <v>0</v>
      </c>
      <c r="J30345" s="5">
        <v>0</v>
      </c>
      <c r="K30345" s="5">
        <v>0</v>
      </c>
    </row>
    <row r="30346" spans="1:11" x14ac:dyDescent="0.25">
      <c r="A30346" s="5">
        <f>30339</f>
      </c>
      <c r="B30346" s="5" t="s">
        <v>30354</v>
      </c>
      <c r="C30346" s="5">
        <v>103.3</v>
      </c>
      <c r="D30346" s="5">
        <v>0.1</v>
      </c>
      <c r="E30346" s="5">
        <v>103.4</v>
      </c>
      <c r="F30346" s="5">
        <v>206.2</v>
      </c>
      <c r="G30346" s="5">
        <v>102.9</v>
      </c>
      <c r="H30346" s="5">
        <v>102.7</v>
      </c>
      <c r="I30346" s="5">
        <v>0</v>
      </c>
      <c r="J30346" s="5">
        <v>0</v>
      </c>
      <c r="K30346" s="5">
        <v>0</v>
      </c>
    </row>
    <row r="30347" spans="1:11" x14ac:dyDescent="0.25">
      <c r="A30347" s="5">
        <f>30340</f>
      </c>
      <c r="B30347" s="5" t="s">
        <v>30355</v>
      </c>
      <c r="C30347" s="5">
        <v>103.3</v>
      </c>
      <c r="D30347" s="5">
        <v>0.1</v>
      </c>
      <c r="E30347" s="5">
        <v>103.4</v>
      </c>
      <c r="F30347" s="5">
        <v>206.2</v>
      </c>
      <c r="G30347" s="5">
        <v>102.9</v>
      </c>
      <c r="H30347" s="5">
        <v>102.7</v>
      </c>
      <c r="I30347" s="5">
        <v>0</v>
      </c>
      <c r="J30347" s="5">
        <v>0</v>
      </c>
      <c r="K30347" s="5">
        <v>0</v>
      </c>
    </row>
    <row r="30348" spans="1:11" x14ac:dyDescent="0.25">
      <c r="A30348" s="5">
        <f>30341</f>
      </c>
      <c r="B30348" s="5" t="s">
        <v>30356</v>
      </c>
      <c r="C30348" s="5">
        <v>103.1</v>
      </c>
      <c r="D30348" s="5">
        <v>0.1</v>
      </c>
      <c r="E30348" s="5">
        <v>103.2</v>
      </c>
      <c r="F30348" s="5">
        <v>206</v>
      </c>
      <c r="G30348" s="5">
        <v>102.7</v>
      </c>
      <c r="H30348" s="5">
        <v>102.6</v>
      </c>
      <c r="I30348" s="5">
        <v>0</v>
      </c>
      <c r="J30348" s="5">
        <v>0</v>
      </c>
      <c r="K30348" s="5">
        <v>0</v>
      </c>
    </row>
    <row r="30349" spans="1:11" x14ac:dyDescent="0.25">
      <c r="A30349" s="5">
        <f>30342</f>
      </c>
      <c r="B30349" s="5" t="s">
        <v>30357</v>
      </c>
      <c r="C30349" s="5">
        <v>103.1</v>
      </c>
      <c r="D30349" s="5">
        <v>0.1</v>
      </c>
      <c r="E30349" s="5">
        <v>103.2</v>
      </c>
      <c r="F30349" s="5">
        <v>206</v>
      </c>
      <c r="G30349" s="5">
        <v>102.7</v>
      </c>
      <c r="H30349" s="5">
        <v>102.6</v>
      </c>
      <c r="I30349" s="5">
        <v>0</v>
      </c>
      <c r="J30349" s="5">
        <v>0</v>
      </c>
      <c r="K30349" s="5">
        <v>0</v>
      </c>
    </row>
    <row r="30350" spans="1:11" x14ac:dyDescent="0.25">
      <c r="A30350" s="5">
        <f>30343</f>
      </c>
      <c r="B30350" s="5" t="s">
        <v>30358</v>
      </c>
      <c r="C30350" s="5">
        <v>103.4</v>
      </c>
      <c r="D30350" s="5">
        <v>0.1</v>
      </c>
      <c r="E30350" s="5">
        <v>103.6</v>
      </c>
      <c r="F30350" s="5">
        <v>206.4</v>
      </c>
      <c r="G30350" s="5">
        <v>103</v>
      </c>
      <c r="H30350" s="5">
        <v>102.8</v>
      </c>
      <c r="I30350" s="5">
        <v>0</v>
      </c>
      <c r="J30350" s="5">
        <v>0</v>
      </c>
      <c r="K30350" s="5">
        <v>0</v>
      </c>
    </row>
    <row r="30351" spans="1:11" x14ac:dyDescent="0.25">
      <c r="A30351" s="5">
        <f>30344</f>
      </c>
      <c r="B30351" s="5" t="s">
        <v>30359</v>
      </c>
      <c r="C30351" s="5">
        <v>103.4</v>
      </c>
      <c r="D30351" s="5">
        <v>0.1</v>
      </c>
      <c r="E30351" s="5">
        <v>103.6</v>
      </c>
      <c r="F30351" s="5">
        <v>206.4</v>
      </c>
      <c r="G30351" s="5">
        <v>103</v>
      </c>
      <c r="H30351" s="5">
        <v>102.8</v>
      </c>
      <c r="I30351" s="5">
        <v>0</v>
      </c>
      <c r="J30351" s="5">
        <v>0</v>
      </c>
      <c r="K30351" s="5">
        <v>0</v>
      </c>
    </row>
    <row r="30352" spans="1:11" x14ac:dyDescent="0.25">
      <c r="A30352" s="5">
        <f>30345</f>
      </c>
      <c r="B30352" s="5" t="s">
        <v>30360</v>
      </c>
      <c r="C30352" s="5">
        <v>102</v>
      </c>
      <c r="D30352" s="5">
        <v>0.1</v>
      </c>
      <c r="E30352" s="5">
        <v>102.1</v>
      </c>
      <c r="F30352" s="5">
        <v>203.8</v>
      </c>
      <c r="G30352" s="5">
        <v>101.7</v>
      </c>
      <c r="H30352" s="5">
        <v>101.6</v>
      </c>
      <c r="I30352" s="5">
        <v>0</v>
      </c>
      <c r="J30352" s="5">
        <v>0</v>
      </c>
      <c r="K30352" s="5">
        <v>0</v>
      </c>
    </row>
    <row r="30353" spans="1:11" x14ac:dyDescent="0.25">
      <c r="A30353" s="5">
        <f>30346</f>
      </c>
      <c r="B30353" s="5" t="s">
        <v>30361</v>
      </c>
      <c r="C30353" s="5">
        <v>102</v>
      </c>
      <c r="D30353" s="5">
        <v>0.1</v>
      </c>
      <c r="E30353" s="5">
        <v>102.1</v>
      </c>
      <c r="F30353" s="5">
        <v>203.8</v>
      </c>
      <c r="G30353" s="5">
        <v>101.7</v>
      </c>
      <c r="H30353" s="5">
        <v>101.6</v>
      </c>
      <c r="I30353" s="5">
        <v>0</v>
      </c>
      <c r="J30353" s="5">
        <v>0</v>
      </c>
      <c r="K30353" s="5">
        <v>0</v>
      </c>
    </row>
    <row r="30354" spans="1:11" x14ac:dyDescent="0.25">
      <c r="A30354" s="5">
        <f>30347</f>
      </c>
      <c r="B30354" s="5" t="s">
        <v>30362</v>
      </c>
      <c r="C30354" s="5">
        <v>102.7</v>
      </c>
      <c r="D30354" s="5">
        <v>0.1</v>
      </c>
      <c r="E30354" s="5">
        <v>102.8</v>
      </c>
      <c r="F30354" s="5">
        <v>204.7</v>
      </c>
      <c r="G30354" s="5">
        <v>102.1</v>
      </c>
      <c r="H30354" s="5">
        <v>102</v>
      </c>
      <c r="I30354" s="5">
        <v>0</v>
      </c>
      <c r="J30354" s="5">
        <v>0</v>
      </c>
      <c r="K30354" s="5">
        <v>0</v>
      </c>
    </row>
    <row r="30355" spans="1:11" x14ac:dyDescent="0.25">
      <c r="A30355" s="5">
        <f>30348</f>
      </c>
      <c r="B30355" s="5" t="s">
        <v>30363</v>
      </c>
      <c r="C30355" s="5">
        <v>102.7</v>
      </c>
      <c r="D30355" s="5">
        <v>0.1</v>
      </c>
      <c r="E30355" s="5">
        <v>102.8</v>
      </c>
      <c r="F30355" s="5">
        <v>204.7</v>
      </c>
      <c r="G30355" s="5">
        <v>102.1</v>
      </c>
      <c r="H30355" s="5">
        <v>102</v>
      </c>
      <c r="I30355" s="5">
        <v>0</v>
      </c>
      <c r="J30355" s="5">
        <v>0</v>
      </c>
      <c r="K30355" s="5">
        <v>0</v>
      </c>
    </row>
    <row r="30356" spans="1:11" x14ac:dyDescent="0.25">
      <c r="A30356" s="5">
        <f>30349</f>
      </c>
      <c r="B30356" s="5" t="s">
        <v>30364</v>
      </c>
      <c r="C30356" s="5">
        <v>102.7</v>
      </c>
      <c r="D30356" s="5">
        <v>0.1</v>
      </c>
      <c r="E30356" s="5">
        <v>102.8</v>
      </c>
      <c r="F30356" s="5">
        <v>204.7</v>
      </c>
      <c r="G30356" s="5">
        <v>102.1</v>
      </c>
      <c r="H30356" s="5">
        <v>102</v>
      </c>
      <c r="I30356" s="5">
        <v>0</v>
      </c>
      <c r="J30356" s="5">
        <v>0</v>
      </c>
      <c r="K30356" s="5">
        <v>0</v>
      </c>
    </row>
    <row r="30357" spans="1:11" x14ac:dyDescent="0.25">
      <c r="A30357" s="5">
        <f>30350</f>
      </c>
      <c r="B30357" s="5" t="s">
        <v>30365</v>
      </c>
      <c r="C30357" s="5">
        <v>102.7</v>
      </c>
      <c r="D30357" s="5">
        <v>0.1</v>
      </c>
      <c r="E30357" s="5">
        <v>102.8</v>
      </c>
      <c r="F30357" s="5">
        <v>204.7</v>
      </c>
      <c r="G30357" s="5">
        <v>102.1</v>
      </c>
      <c r="H30357" s="5">
        <v>102</v>
      </c>
      <c r="I30357" s="5">
        <v>0</v>
      </c>
      <c r="J30357" s="5">
        <v>0</v>
      </c>
      <c r="K30357" s="5">
        <v>0</v>
      </c>
    </row>
    <row r="30358" spans="1:11" x14ac:dyDescent="0.25">
      <c r="A30358" s="5">
        <f>30351</f>
      </c>
      <c r="B30358" s="5" t="s">
        <v>30366</v>
      </c>
      <c r="C30358" s="5">
        <v>102.7</v>
      </c>
      <c r="D30358" s="5">
        <v>0.1</v>
      </c>
      <c r="E30358" s="5">
        <v>102.8</v>
      </c>
      <c r="F30358" s="5">
        <v>205.7</v>
      </c>
      <c r="G30358" s="5">
        <v>102.6</v>
      </c>
      <c r="H30358" s="5">
        <v>102.5</v>
      </c>
      <c r="I30358" s="5">
        <v>0</v>
      </c>
      <c r="J30358" s="5">
        <v>0</v>
      </c>
      <c r="K30358" s="5">
        <v>0</v>
      </c>
    </row>
    <row r="30359" spans="1:11" x14ac:dyDescent="0.25">
      <c r="A30359" s="5">
        <f>30352</f>
      </c>
      <c r="B30359" s="5" t="s">
        <v>30367</v>
      </c>
      <c r="C30359" s="5">
        <v>102.7</v>
      </c>
      <c r="D30359" s="5">
        <v>0.1</v>
      </c>
      <c r="E30359" s="5">
        <v>102.8</v>
      </c>
      <c r="F30359" s="5">
        <v>205.7</v>
      </c>
      <c r="G30359" s="5">
        <v>102.6</v>
      </c>
      <c r="H30359" s="5">
        <v>102.5</v>
      </c>
      <c r="I30359" s="5">
        <v>0</v>
      </c>
      <c r="J30359" s="5">
        <v>0</v>
      </c>
      <c r="K30359" s="5">
        <v>0</v>
      </c>
    </row>
    <row r="30360" spans="1:11" x14ac:dyDescent="0.25">
      <c r="A30360" s="5">
        <f>30353</f>
      </c>
      <c r="B30360" s="5" t="s">
        <v>30368</v>
      </c>
      <c r="C30360" s="5">
        <v>103.3</v>
      </c>
      <c r="D30360" s="5">
        <v>0.1</v>
      </c>
      <c r="E30360" s="5">
        <v>103.4</v>
      </c>
      <c r="F30360" s="5">
        <v>206.8</v>
      </c>
      <c r="G30360" s="5">
        <v>103.1</v>
      </c>
      <c r="H30360" s="5">
        <v>103</v>
      </c>
      <c r="I30360" s="5">
        <v>0</v>
      </c>
      <c r="J30360" s="5">
        <v>0</v>
      </c>
      <c r="K30360" s="5">
        <v>0</v>
      </c>
    </row>
    <row r="30361" spans="1:11" x14ac:dyDescent="0.25">
      <c r="A30361" s="5">
        <f>30354</f>
      </c>
      <c r="B30361" s="5" t="s">
        <v>30369</v>
      </c>
      <c r="C30361" s="5">
        <v>103.3</v>
      </c>
      <c r="D30361" s="5">
        <v>0.1</v>
      </c>
      <c r="E30361" s="5">
        <v>103.4</v>
      </c>
      <c r="F30361" s="5">
        <v>206.8</v>
      </c>
      <c r="G30361" s="5">
        <v>103.1</v>
      </c>
      <c r="H30361" s="5">
        <v>103</v>
      </c>
      <c r="I30361" s="5">
        <v>0</v>
      </c>
      <c r="J30361" s="5">
        <v>0</v>
      </c>
      <c r="K30361" s="5">
        <v>0</v>
      </c>
    </row>
    <row r="30362" spans="1:11" x14ac:dyDescent="0.25">
      <c r="A30362" s="5">
        <f>30355</f>
      </c>
      <c r="B30362" s="5" t="s">
        <v>30370</v>
      </c>
      <c r="C30362" s="5">
        <v>103.7</v>
      </c>
      <c r="D30362" s="5">
        <v>0.1</v>
      </c>
      <c r="E30362" s="5">
        <v>103.8</v>
      </c>
      <c r="F30362" s="5">
        <v>206.1</v>
      </c>
      <c r="G30362" s="5">
        <v>102.8</v>
      </c>
      <c r="H30362" s="5">
        <v>102.7</v>
      </c>
      <c r="I30362" s="5">
        <v>0</v>
      </c>
      <c r="J30362" s="5">
        <v>0</v>
      </c>
      <c r="K30362" s="5">
        <v>0</v>
      </c>
    </row>
    <row r="30363" spans="1:11" x14ac:dyDescent="0.25">
      <c r="A30363" s="5">
        <f>30356</f>
      </c>
      <c r="B30363" s="5" t="s">
        <v>30371</v>
      </c>
      <c r="C30363" s="5">
        <v>103.7</v>
      </c>
      <c r="D30363" s="5">
        <v>0.1</v>
      </c>
      <c r="E30363" s="5">
        <v>103.8</v>
      </c>
      <c r="F30363" s="5">
        <v>206.1</v>
      </c>
      <c r="G30363" s="5">
        <v>102.8</v>
      </c>
      <c r="H30363" s="5">
        <v>102.7</v>
      </c>
      <c r="I30363" s="5">
        <v>0</v>
      </c>
      <c r="J30363" s="5">
        <v>0</v>
      </c>
      <c r="K30363" s="5">
        <v>0</v>
      </c>
    </row>
    <row r="30364" spans="1:11" x14ac:dyDescent="0.25">
      <c r="A30364" s="5">
        <f>30357</f>
      </c>
      <c r="B30364" s="5" t="s">
        <v>30372</v>
      </c>
      <c r="C30364" s="5">
        <v>102.9</v>
      </c>
      <c r="D30364" s="5">
        <v>0.1</v>
      </c>
      <c r="E30364" s="5">
        <v>103.1</v>
      </c>
      <c r="F30364" s="5">
        <v>206.9</v>
      </c>
      <c r="G30364" s="5">
        <v>103.2</v>
      </c>
      <c r="H30364" s="5">
        <v>103</v>
      </c>
      <c r="I30364" s="5">
        <v>0</v>
      </c>
      <c r="J30364" s="5">
        <v>0</v>
      </c>
      <c r="K30364" s="5">
        <v>0</v>
      </c>
    </row>
    <row r="30365" spans="1:11" x14ac:dyDescent="0.25">
      <c r="A30365" s="5">
        <f>30358</f>
      </c>
      <c r="B30365" s="5" t="s">
        <v>30373</v>
      </c>
      <c r="C30365" s="5">
        <v>102.9</v>
      </c>
      <c r="D30365" s="5">
        <v>0.1</v>
      </c>
      <c r="E30365" s="5">
        <v>103.1</v>
      </c>
      <c r="F30365" s="5">
        <v>206.9</v>
      </c>
      <c r="G30365" s="5">
        <v>103.2</v>
      </c>
      <c r="H30365" s="5">
        <v>103</v>
      </c>
      <c r="I30365" s="5">
        <v>0</v>
      </c>
      <c r="J30365" s="5">
        <v>0</v>
      </c>
      <c r="K30365" s="5">
        <v>0</v>
      </c>
    </row>
    <row r="30366" spans="1:11" x14ac:dyDescent="0.25">
      <c r="A30366" s="5">
        <f>30359</f>
      </c>
      <c r="B30366" s="5" t="s">
        <v>30374</v>
      </c>
      <c r="C30366" s="5">
        <v>102.9</v>
      </c>
      <c r="D30366" s="5">
        <v>0.1</v>
      </c>
      <c r="E30366" s="5">
        <v>103.1</v>
      </c>
      <c r="F30366" s="5">
        <v>206.9</v>
      </c>
      <c r="G30366" s="5">
        <v>103.2</v>
      </c>
      <c r="H30366" s="5">
        <v>103</v>
      </c>
      <c r="I30366" s="5">
        <v>0</v>
      </c>
      <c r="J30366" s="5">
        <v>0</v>
      </c>
      <c r="K30366" s="5">
        <v>0</v>
      </c>
    </row>
    <row r="30367" spans="1:11" x14ac:dyDescent="0.25">
      <c r="A30367" s="5">
        <f>30360</f>
      </c>
      <c r="B30367" s="5" t="s">
        <v>30375</v>
      </c>
      <c r="C30367" s="5">
        <v>102.9</v>
      </c>
      <c r="D30367" s="5">
        <v>0.1</v>
      </c>
      <c r="E30367" s="5">
        <v>103.1</v>
      </c>
      <c r="F30367" s="5">
        <v>206.9</v>
      </c>
      <c r="G30367" s="5">
        <v>103.2</v>
      </c>
      <c r="H30367" s="5">
        <v>103</v>
      </c>
      <c r="I30367" s="5">
        <v>0</v>
      </c>
      <c r="J30367" s="5">
        <v>0</v>
      </c>
      <c r="K30367" s="5">
        <v>0</v>
      </c>
    </row>
    <row r="30368" spans="1:11" x14ac:dyDescent="0.25">
      <c r="A30368" s="5">
        <f>30361</f>
      </c>
      <c r="B30368" s="5" t="s">
        <v>30376</v>
      </c>
      <c r="C30368" s="5">
        <v>102.4</v>
      </c>
      <c r="D30368" s="5">
        <v>0.1</v>
      </c>
      <c r="E30368" s="5">
        <v>102.5</v>
      </c>
      <c r="F30368" s="5">
        <v>204.6</v>
      </c>
      <c r="G30368" s="5">
        <v>102.1</v>
      </c>
      <c r="H30368" s="5">
        <v>101.9</v>
      </c>
      <c r="I30368" s="5">
        <v>0</v>
      </c>
      <c r="J30368" s="5">
        <v>0</v>
      </c>
      <c r="K30368" s="5">
        <v>0</v>
      </c>
    </row>
    <row r="30369" spans="1:11" x14ac:dyDescent="0.25">
      <c r="A30369" s="5">
        <f>30362</f>
      </c>
      <c r="B30369" s="5" t="s">
        <v>30377</v>
      </c>
      <c r="C30369" s="5">
        <v>102.4</v>
      </c>
      <c r="D30369" s="5">
        <v>0.1</v>
      </c>
      <c r="E30369" s="5">
        <v>102.5</v>
      </c>
      <c r="F30369" s="5">
        <v>204.6</v>
      </c>
      <c r="G30369" s="5">
        <v>102.1</v>
      </c>
      <c r="H30369" s="5">
        <v>101.9</v>
      </c>
      <c r="I30369" s="5">
        <v>0</v>
      </c>
      <c r="J30369" s="5">
        <v>0</v>
      </c>
      <c r="K30369" s="5">
        <v>0</v>
      </c>
    </row>
    <row r="30370" spans="1:11" x14ac:dyDescent="0.25">
      <c r="A30370" s="5">
        <f>30363</f>
      </c>
      <c r="B30370" s="5" t="s">
        <v>30378</v>
      </c>
      <c r="C30370" s="5">
        <v>103.1</v>
      </c>
      <c r="D30370" s="5">
        <v>0.1</v>
      </c>
      <c r="E30370" s="5">
        <v>103.2</v>
      </c>
      <c r="F30370" s="5">
        <v>206.1</v>
      </c>
      <c r="G30370" s="5">
        <v>102.8</v>
      </c>
      <c r="H30370" s="5">
        <v>102.7</v>
      </c>
      <c r="I30370" s="5">
        <v>0</v>
      </c>
      <c r="J30370" s="5">
        <v>0</v>
      </c>
      <c r="K30370" s="5">
        <v>0</v>
      </c>
    </row>
    <row r="30371" spans="1:11" x14ac:dyDescent="0.25">
      <c r="A30371" s="5">
        <f>30364</f>
      </c>
      <c r="B30371" s="5" t="s">
        <v>30379</v>
      </c>
      <c r="C30371" s="5">
        <v>103.1</v>
      </c>
      <c r="D30371" s="5">
        <v>0.1</v>
      </c>
      <c r="E30371" s="5">
        <v>103.2</v>
      </c>
      <c r="F30371" s="5">
        <v>206.1</v>
      </c>
      <c r="G30371" s="5">
        <v>102.8</v>
      </c>
      <c r="H30371" s="5">
        <v>102.7</v>
      </c>
      <c r="I30371" s="5">
        <v>0</v>
      </c>
      <c r="J30371" s="5">
        <v>0</v>
      </c>
      <c r="K30371" s="5">
        <v>0</v>
      </c>
    </row>
    <row r="30372" spans="1:11" x14ac:dyDescent="0.25">
      <c r="A30372" s="5">
        <f>30365</f>
      </c>
      <c r="B30372" s="5" t="s">
        <v>30380</v>
      </c>
      <c r="C30372" s="5">
        <v>103.4</v>
      </c>
      <c r="D30372" s="5">
        <v>0.1</v>
      </c>
      <c r="E30372" s="5">
        <v>103.6</v>
      </c>
      <c r="F30372" s="5">
        <v>206.9</v>
      </c>
      <c r="G30372" s="5">
        <v>103.2</v>
      </c>
      <c r="H30372" s="5">
        <v>103.1</v>
      </c>
      <c r="I30372" s="5">
        <v>0</v>
      </c>
      <c r="J30372" s="5">
        <v>0</v>
      </c>
      <c r="K30372" s="5">
        <v>0</v>
      </c>
    </row>
    <row r="30373" spans="1:11" x14ac:dyDescent="0.25">
      <c r="A30373" s="5">
        <f>30366</f>
      </c>
      <c r="B30373" s="5" t="s">
        <v>30381</v>
      </c>
      <c r="C30373" s="5">
        <v>103.4</v>
      </c>
      <c r="D30373" s="5">
        <v>0.1</v>
      </c>
      <c r="E30373" s="5">
        <v>103.6</v>
      </c>
      <c r="F30373" s="5">
        <v>206.9</v>
      </c>
      <c r="G30373" s="5">
        <v>103.2</v>
      </c>
      <c r="H30373" s="5">
        <v>103.1</v>
      </c>
      <c r="I30373" s="5">
        <v>0</v>
      </c>
      <c r="J30373" s="5">
        <v>0</v>
      </c>
      <c r="K30373" s="5">
        <v>0</v>
      </c>
    </row>
    <row r="30374" spans="1:11" x14ac:dyDescent="0.25">
      <c r="A30374" s="5">
        <f>30367</f>
      </c>
      <c r="B30374" s="5" t="s">
        <v>30382</v>
      </c>
      <c r="C30374" s="5">
        <v>103.3</v>
      </c>
      <c r="D30374" s="5">
        <v>0.1</v>
      </c>
      <c r="E30374" s="5">
        <v>103.4</v>
      </c>
      <c r="F30374" s="5">
        <v>206.6</v>
      </c>
      <c r="G30374" s="5">
        <v>103</v>
      </c>
      <c r="H30374" s="5">
        <v>102.9</v>
      </c>
      <c r="I30374" s="5">
        <v>0</v>
      </c>
      <c r="J30374" s="5">
        <v>0</v>
      </c>
      <c r="K30374" s="5">
        <v>0</v>
      </c>
    </row>
    <row r="30375" spans="1:11" x14ac:dyDescent="0.25">
      <c r="A30375" s="5">
        <f>30368</f>
      </c>
      <c r="B30375" s="5" t="s">
        <v>30383</v>
      </c>
      <c r="C30375" s="5">
        <v>103.3</v>
      </c>
      <c r="D30375" s="5">
        <v>0.1</v>
      </c>
      <c r="E30375" s="5">
        <v>103.4</v>
      </c>
      <c r="F30375" s="5">
        <v>206.6</v>
      </c>
      <c r="G30375" s="5">
        <v>103</v>
      </c>
      <c r="H30375" s="5">
        <v>102.9</v>
      </c>
      <c r="I30375" s="5">
        <v>0</v>
      </c>
      <c r="J30375" s="5">
        <v>0</v>
      </c>
      <c r="K30375" s="5">
        <v>0</v>
      </c>
    </row>
    <row r="30376" spans="1:11" x14ac:dyDescent="0.25">
      <c r="A30376" s="5">
        <f>30369</f>
      </c>
      <c r="B30376" s="5" t="s">
        <v>30384</v>
      </c>
      <c r="C30376" s="5">
        <v>103.3</v>
      </c>
      <c r="D30376" s="5">
        <v>0.1</v>
      </c>
      <c r="E30376" s="5">
        <v>103.4</v>
      </c>
      <c r="F30376" s="5">
        <v>206.6</v>
      </c>
      <c r="G30376" s="5">
        <v>103</v>
      </c>
      <c r="H30376" s="5">
        <v>102.9</v>
      </c>
      <c r="I30376" s="5">
        <v>0</v>
      </c>
      <c r="J30376" s="5">
        <v>0</v>
      </c>
      <c r="K30376" s="5">
        <v>0</v>
      </c>
    </row>
    <row r="30377" spans="1:11" x14ac:dyDescent="0.25">
      <c r="A30377" s="5">
        <f>30370</f>
      </c>
      <c r="B30377" s="5" t="s">
        <v>30385</v>
      </c>
      <c r="C30377" s="5">
        <v>103.3</v>
      </c>
      <c r="D30377" s="5">
        <v>0.1</v>
      </c>
      <c r="E30377" s="5">
        <v>103.4</v>
      </c>
      <c r="F30377" s="5">
        <v>206.6</v>
      </c>
      <c r="G30377" s="5">
        <v>103</v>
      </c>
      <c r="H30377" s="5">
        <v>102.9</v>
      </c>
      <c r="I30377" s="5">
        <v>0</v>
      </c>
      <c r="J30377" s="5">
        <v>0</v>
      </c>
      <c r="K30377" s="5">
        <v>0</v>
      </c>
    </row>
    <row r="30378" spans="1:11" x14ac:dyDescent="0.25">
      <c r="A30378" s="5">
        <f>30371</f>
      </c>
      <c r="B30378" s="5" t="s">
        <v>30386</v>
      </c>
      <c r="C30378" s="5">
        <v>103.7</v>
      </c>
      <c r="D30378" s="5">
        <v>0.1</v>
      </c>
      <c r="E30378" s="5">
        <v>103.8</v>
      </c>
      <c r="F30378" s="5">
        <v>207.2</v>
      </c>
      <c r="G30378" s="5">
        <v>103.4</v>
      </c>
      <c r="H30378" s="5">
        <v>103.3</v>
      </c>
      <c r="I30378" s="5">
        <v>0</v>
      </c>
      <c r="J30378" s="5">
        <v>0</v>
      </c>
      <c r="K30378" s="5">
        <v>0</v>
      </c>
    </row>
    <row r="30379" spans="1:11" x14ac:dyDescent="0.25">
      <c r="A30379" s="5">
        <f>30372</f>
      </c>
      <c r="B30379" s="5" t="s">
        <v>30387</v>
      </c>
      <c r="C30379" s="5">
        <v>103.7</v>
      </c>
      <c r="D30379" s="5">
        <v>0.1</v>
      </c>
      <c r="E30379" s="5">
        <v>103.8</v>
      </c>
      <c r="F30379" s="5">
        <v>207.2</v>
      </c>
      <c r="G30379" s="5">
        <v>103.4</v>
      </c>
      <c r="H30379" s="5">
        <v>103.3</v>
      </c>
      <c r="I30379" s="5">
        <v>0</v>
      </c>
      <c r="J30379" s="5">
        <v>0</v>
      </c>
      <c r="K30379" s="5">
        <v>0</v>
      </c>
    </row>
    <row r="30380" spans="1:11" x14ac:dyDescent="0.25">
      <c r="A30380" s="5">
        <f>30373</f>
      </c>
      <c r="B30380" s="5" t="s">
        <v>30388</v>
      </c>
      <c r="C30380" s="5">
        <v>102.9</v>
      </c>
      <c r="D30380" s="5">
        <v>0.1</v>
      </c>
      <c r="E30380" s="5">
        <v>103.1</v>
      </c>
      <c r="F30380" s="5">
        <v>206.3</v>
      </c>
      <c r="G30380" s="5">
        <v>102.9</v>
      </c>
      <c r="H30380" s="5">
        <v>102.8</v>
      </c>
      <c r="I30380" s="5">
        <v>0</v>
      </c>
      <c r="J30380" s="5">
        <v>0</v>
      </c>
      <c r="K30380" s="5">
        <v>0</v>
      </c>
    </row>
    <row r="30381" spans="1:11" x14ac:dyDescent="0.25">
      <c r="A30381" s="5">
        <f>30374</f>
      </c>
      <c r="B30381" s="5" t="s">
        <v>30389</v>
      </c>
      <c r="C30381" s="5">
        <v>102.9</v>
      </c>
      <c r="D30381" s="5">
        <v>0.1</v>
      </c>
      <c r="E30381" s="5">
        <v>103.1</v>
      </c>
      <c r="F30381" s="5">
        <v>206.3</v>
      </c>
      <c r="G30381" s="5">
        <v>102.9</v>
      </c>
      <c r="H30381" s="5">
        <v>102.8</v>
      </c>
      <c r="I30381" s="5">
        <v>0</v>
      </c>
      <c r="J30381" s="5">
        <v>0</v>
      </c>
      <c r="K30381" s="5">
        <v>0</v>
      </c>
    </row>
    <row r="30382" spans="1:11" x14ac:dyDescent="0.25">
      <c r="A30382" s="5">
        <f>30375</f>
      </c>
      <c r="B30382" s="5" t="s">
        <v>30390</v>
      </c>
      <c r="C30382" s="5">
        <v>103.4</v>
      </c>
      <c r="D30382" s="5">
        <v>0.1</v>
      </c>
      <c r="E30382" s="5">
        <v>103.6</v>
      </c>
      <c r="F30382" s="5">
        <v>206.7</v>
      </c>
      <c r="G30382" s="5">
        <v>103.1</v>
      </c>
      <c r="H30382" s="5">
        <v>103</v>
      </c>
      <c r="I30382" s="5">
        <v>0</v>
      </c>
      <c r="J30382" s="5">
        <v>0</v>
      </c>
      <c r="K30382" s="5">
        <v>0</v>
      </c>
    </row>
    <row r="30383" spans="1:11" x14ac:dyDescent="0.25">
      <c r="A30383" s="5">
        <f>30376</f>
      </c>
      <c r="B30383" s="5" t="s">
        <v>30391</v>
      </c>
      <c r="C30383" s="5">
        <v>103.4</v>
      </c>
      <c r="D30383" s="5">
        <v>0.1</v>
      </c>
      <c r="E30383" s="5">
        <v>103.6</v>
      </c>
      <c r="F30383" s="5">
        <v>206.7</v>
      </c>
      <c r="G30383" s="5">
        <v>103.1</v>
      </c>
      <c r="H30383" s="5">
        <v>103</v>
      </c>
      <c r="I30383" s="5">
        <v>0</v>
      </c>
      <c r="J30383" s="5">
        <v>0</v>
      </c>
      <c r="K30383" s="5">
        <v>0</v>
      </c>
    </row>
    <row r="30384" spans="1:11" x14ac:dyDescent="0.25">
      <c r="A30384" s="5">
        <f>30377</f>
      </c>
      <c r="B30384" s="5" t="s">
        <v>30392</v>
      </c>
      <c r="C30384" s="5">
        <v>103</v>
      </c>
      <c r="D30384" s="5">
        <v>0.1</v>
      </c>
      <c r="E30384" s="5">
        <v>103.1</v>
      </c>
      <c r="F30384" s="5">
        <v>207.1</v>
      </c>
      <c r="G30384" s="5">
        <v>103.3</v>
      </c>
      <c r="H30384" s="5">
        <v>103.2</v>
      </c>
      <c r="I30384" s="5">
        <v>0</v>
      </c>
      <c r="J30384" s="5">
        <v>0</v>
      </c>
      <c r="K30384" s="5">
        <v>0</v>
      </c>
    </row>
    <row r="30385" spans="1:11" x14ac:dyDescent="0.25">
      <c r="A30385" s="5">
        <f>30378</f>
      </c>
      <c r="B30385" s="5" t="s">
        <v>30393</v>
      </c>
      <c r="C30385" s="5">
        <v>103</v>
      </c>
      <c r="D30385" s="5">
        <v>0.1</v>
      </c>
      <c r="E30385" s="5">
        <v>103.1</v>
      </c>
      <c r="F30385" s="5">
        <v>207.1</v>
      </c>
      <c r="G30385" s="5">
        <v>103.3</v>
      </c>
      <c r="H30385" s="5">
        <v>103.2</v>
      </c>
      <c r="I30385" s="5">
        <v>0</v>
      </c>
      <c r="J30385" s="5">
        <v>0</v>
      </c>
      <c r="K30385" s="5">
        <v>0</v>
      </c>
    </row>
    <row r="30386" spans="1:11" x14ac:dyDescent="0.25">
      <c r="A30386" s="5">
        <f>30379</f>
      </c>
      <c r="B30386" s="5" t="s">
        <v>30394</v>
      </c>
      <c r="C30386" s="5">
        <v>103</v>
      </c>
      <c r="D30386" s="5">
        <v>0.1</v>
      </c>
      <c r="E30386" s="5">
        <v>103.1</v>
      </c>
      <c r="F30386" s="5">
        <v>207.1</v>
      </c>
      <c r="G30386" s="5">
        <v>103.3</v>
      </c>
      <c r="H30386" s="5">
        <v>103.2</v>
      </c>
      <c r="I30386" s="5">
        <v>0</v>
      </c>
      <c r="J30386" s="5">
        <v>0</v>
      </c>
      <c r="K30386" s="5">
        <v>0</v>
      </c>
    </row>
    <row r="30387" spans="1:11" x14ac:dyDescent="0.25">
      <c r="A30387" s="5">
        <f>30380</f>
      </c>
      <c r="B30387" s="5" t="s">
        <v>30395</v>
      </c>
      <c r="C30387" s="5">
        <v>103.8</v>
      </c>
      <c r="D30387" s="5">
        <v>0.1</v>
      </c>
      <c r="E30387" s="5">
        <v>103.9</v>
      </c>
      <c r="F30387" s="5">
        <v>207</v>
      </c>
      <c r="G30387" s="5">
        <v>103.3</v>
      </c>
      <c r="H30387" s="5">
        <v>103.1</v>
      </c>
      <c r="I30387" s="5">
        <v>0</v>
      </c>
      <c r="J30387" s="5">
        <v>0</v>
      </c>
      <c r="K30387" s="5">
        <v>0</v>
      </c>
    </row>
    <row r="30388" spans="1:11" x14ac:dyDescent="0.25">
      <c r="A30388" s="5">
        <f>30381</f>
      </c>
      <c r="B30388" s="5" t="s">
        <v>30396</v>
      </c>
      <c r="C30388" s="5">
        <v>103.8</v>
      </c>
      <c r="D30388" s="5">
        <v>0.1</v>
      </c>
      <c r="E30388" s="5">
        <v>103.9</v>
      </c>
      <c r="F30388" s="5">
        <v>207</v>
      </c>
      <c r="G30388" s="5">
        <v>103.3</v>
      </c>
      <c r="H30388" s="5">
        <v>103.1</v>
      </c>
      <c r="I30388" s="5">
        <v>0</v>
      </c>
      <c r="J30388" s="5">
        <v>0</v>
      </c>
      <c r="K30388" s="5">
        <v>0</v>
      </c>
    </row>
    <row r="30389" spans="1:11" x14ac:dyDescent="0.25">
      <c r="A30389" s="5">
        <f>30382</f>
      </c>
      <c r="B30389" s="5" t="s">
        <v>30397</v>
      </c>
      <c r="C30389" s="5">
        <v>103.9</v>
      </c>
      <c r="D30389" s="5">
        <v>0.1</v>
      </c>
      <c r="E30389" s="5">
        <v>104</v>
      </c>
      <c r="F30389" s="5">
        <v>207.4</v>
      </c>
      <c r="G30389" s="5">
        <v>103.5</v>
      </c>
      <c r="H30389" s="5">
        <v>103.4</v>
      </c>
      <c r="I30389" s="5">
        <v>0</v>
      </c>
      <c r="J30389" s="5">
        <v>0</v>
      </c>
      <c r="K30389" s="5">
        <v>0</v>
      </c>
    </row>
    <row r="30390" spans="1:11" x14ac:dyDescent="0.25">
      <c r="A30390" s="5">
        <f>30383</f>
      </c>
      <c r="B30390" s="5" t="s">
        <v>30398</v>
      </c>
      <c r="C30390" s="5">
        <v>103.9</v>
      </c>
      <c r="D30390" s="5">
        <v>0.1</v>
      </c>
      <c r="E30390" s="5">
        <v>104</v>
      </c>
      <c r="F30390" s="5">
        <v>207.4</v>
      </c>
      <c r="G30390" s="5">
        <v>103.5</v>
      </c>
      <c r="H30390" s="5">
        <v>103.4</v>
      </c>
      <c r="I30390" s="5">
        <v>0</v>
      </c>
      <c r="J30390" s="5">
        <v>0</v>
      </c>
      <c r="K30390" s="5">
        <v>0</v>
      </c>
    </row>
    <row r="30391" spans="1:11" x14ac:dyDescent="0.25">
      <c r="A30391" s="5">
        <f>30384</f>
      </c>
      <c r="B30391" s="5" t="s">
        <v>30399</v>
      </c>
      <c r="C30391" s="5">
        <v>103.2</v>
      </c>
      <c r="D30391" s="5">
        <v>0.1</v>
      </c>
      <c r="E30391" s="5">
        <v>103.4</v>
      </c>
      <c r="F30391" s="5">
        <v>206.7</v>
      </c>
      <c r="G30391" s="5">
        <v>103.1</v>
      </c>
      <c r="H30391" s="5">
        <v>102.9</v>
      </c>
      <c r="I30391" s="5">
        <v>0</v>
      </c>
      <c r="J30391" s="5">
        <v>0</v>
      </c>
      <c r="K30391" s="5">
        <v>0</v>
      </c>
    </row>
    <row r="30392" spans="1:11" x14ac:dyDescent="0.25">
      <c r="A30392" s="5">
        <f>30385</f>
      </c>
      <c r="B30392" s="5" t="s">
        <v>30400</v>
      </c>
      <c r="C30392" s="5">
        <v>103.2</v>
      </c>
      <c r="D30392" s="5">
        <v>0.1</v>
      </c>
      <c r="E30392" s="5">
        <v>103.4</v>
      </c>
      <c r="F30392" s="5">
        <v>206.7</v>
      </c>
      <c r="G30392" s="5">
        <v>103.1</v>
      </c>
      <c r="H30392" s="5">
        <v>102.9</v>
      </c>
      <c r="I30392" s="5">
        <v>0</v>
      </c>
      <c r="J30392" s="5">
        <v>0</v>
      </c>
      <c r="K30392" s="5">
        <v>0</v>
      </c>
    </row>
    <row r="30393" spans="1:11" x14ac:dyDescent="0.25">
      <c r="A30393" s="5">
        <f>30386</f>
      </c>
      <c r="B30393" s="5" t="s">
        <v>30401</v>
      </c>
      <c r="C30393" s="5">
        <v>104.8</v>
      </c>
      <c r="D30393" s="5">
        <v>0.1</v>
      </c>
      <c r="E30393" s="5">
        <v>104.9</v>
      </c>
      <c r="F30393" s="5">
        <v>209.3</v>
      </c>
      <c r="G30393" s="5">
        <v>104.4</v>
      </c>
      <c r="H30393" s="5">
        <v>104.3</v>
      </c>
      <c r="I30393" s="5">
        <v>0</v>
      </c>
      <c r="J30393" s="5">
        <v>0</v>
      </c>
      <c r="K30393" s="5">
        <v>0</v>
      </c>
    </row>
    <row r="30394" spans="1:11" x14ac:dyDescent="0.25">
      <c r="A30394" s="5">
        <f>30387</f>
      </c>
      <c r="B30394" s="5" t="s">
        <v>30402</v>
      </c>
      <c r="C30394" s="5">
        <v>104.8</v>
      </c>
      <c r="D30394" s="5">
        <v>0.1</v>
      </c>
      <c r="E30394" s="5">
        <v>104.9</v>
      </c>
      <c r="F30394" s="5">
        <v>209.3</v>
      </c>
      <c r="G30394" s="5">
        <v>104.4</v>
      </c>
      <c r="H30394" s="5">
        <v>104.3</v>
      </c>
      <c r="I30394" s="5">
        <v>0</v>
      </c>
      <c r="J30394" s="5">
        <v>0</v>
      </c>
      <c r="K30394" s="5">
        <v>0</v>
      </c>
    </row>
    <row r="30395" spans="1:11" x14ac:dyDescent="0.25">
      <c r="A30395" s="5">
        <f>30388</f>
      </c>
      <c r="B30395" s="5" t="s">
        <v>30403</v>
      </c>
      <c r="C30395" s="5">
        <v>104.8</v>
      </c>
      <c r="D30395" s="5">
        <v>0.1</v>
      </c>
      <c r="E30395" s="5">
        <v>104.9</v>
      </c>
      <c r="F30395" s="5">
        <v>209.3</v>
      </c>
      <c r="G30395" s="5">
        <v>104.4</v>
      </c>
      <c r="H30395" s="5">
        <v>104.3</v>
      </c>
      <c r="I30395" s="5">
        <v>0</v>
      </c>
      <c r="J30395" s="5">
        <v>0</v>
      </c>
      <c r="K30395" s="5">
        <v>0</v>
      </c>
    </row>
    <row r="30396" spans="1:11" x14ac:dyDescent="0.25">
      <c r="A30396" s="5">
        <f>30389</f>
      </c>
      <c r="B30396" s="5" t="s">
        <v>30404</v>
      </c>
      <c r="C30396" s="5">
        <v>104.8</v>
      </c>
      <c r="D30396" s="5">
        <v>0.1</v>
      </c>
      <c r="E30396" s="5">
        <v>104.9</v>
      </c>
      <c r="F30396" s="5">
        <v>209.3</v>
      </c>
      <c r="G30396" s="5">
        <v>104.4</v>
      </c>
      <c r="H30396" s="5">
        <v>104.3</v>
      </c>
      <c r="I30396" s="5">
        <v>0</v>
      </c>
      <c r="J30396" s="5">
        <v>0</v>
      </c>
      <c r="K30396" s="5">
        <v>0</v>
      </c>
    </row>
    <row r="30397" spans="1:11" x14ac:dyDescent="0.25">
      <c r="A30397" s="5">
        <f>30390</f>
      </c>
      <c r="B30397" s="5" t="s">
        <v>30405</v>
      </c>
      <c r="C30397" s="5">
        <v>104.3</v>
      </c>
      <c r="D30397" s="5">
        <v>0.1</v>
      </c>
      <c r="E30397" s="5">
        <v>104.4</v>
      </c>
      <c r="F30397" s="5">
        <v>207.5</v>
      </c>
      <c r="G30397" s="5">
        <v>103.5</v>
      </c>
      <c r="H30397" s="5">
        <v>103.3</v>
      </c>
      <c r="I30397" s="5">
        <v>0</v>
      </c>
      <c r="J30397" s="5">
        <v>0</v>
      </c>
      <c r="K30397" s="5">
        <v>0</v>
      </c>
    </row>
    <row r="30398" spans="1:11" x14ac:dyDescent="0.25">
      <c r="A30398" s="5">
        <f>30391</f>
      </c>
      <c r="B30398" s="5" t="s">
        <v>30406</v>
      </c>
      <c r="C30398" s="5">
        <v>104.3</v>
      </c>
      <c r="D30398" s="5">
        <v>0.1</v>
      </c>
      <c r="E30398" s="5">
        <v>104.4</v>
      </c>
      <c r="F30398" s="5">
        <v>207.5</v>
      </c>
      <c r="G30398" s="5">
        <v>103.5</v>
      </c>
      <c r="H30398" s="5">
        <v>103.3</v>
      </c>
      <c r="I30398" s="5">
        <v>0</v>
      </c>
      <c r="J30398" s="5">
        <v>0</v>
      </c>
      <c r="K30398" s="5">
        <v>0</v>
      </c>
    </row>
    <row r="30399" spans="1:11" x14ac:dyDescent="0.25">
      <c r="A30399" s="5">
        <f>30392</f>
      </c>
      <c r="B30399" s="5" t="s">
        <v>30407</v>
      </c>
      <c r="C30399" s="5">
        <v>104.1</v>
      </c>
      <c r="D30399" s="5">
        <v>0.1</v>
      </c>
      <c r="E30399" s="5">
        <v>104.3</v>
      </c>
      <c r="F30399" s="5">
        <v>208.1</v>
      </c>
      <c r="G30399" s="5">
        <v>103.8</v>
      </c>
      <c r="H30399" s="5">
        <v>103.6</v>
      </c>
      <c r="I30399" s="5">
        <v>0</v>
      </c>
      <c r="J30399" s="5">
        <v>0</v>
      </c>
      <c r="K30399" s="5">
        <v>0</v>
      </c>
    </row>
    <row r="30400" spans="1:11" x14ac:dyDescent="0.25">
      <c r="A30400" s="5">
        <f>30393</f>
      </c>
      <c r="B30400" s="5" t="s">
        <v>30408</v>
      </c>
      <c r="C30400" s="5">
        <v>104.1</v>
      </c>
      <c r="D30400" s="5">
        <v>0.1</v>
      </c>
      <c r="E30400" s="5">
        <v>104.3</v>
      </c>
      <c r="F30400" s="5">
        <v>208.1</v>
      </c>
      <c r="G30400" s="5">
        <v>103.8</v>
      </c>
      <c r="H30400" s="5">
        <v>103.6</v>
      </c>
      <c r="I30400" s="5">
        <v>0</v>
      </c>
      <c r="J30400" s="5">
        <v>0</v>
      </c>
      <c r="K30400" s="5">
        <v>0</v>
      </c>
    </row>
    <row r="30401" spans="1:11" x14ac:dyDescent="0.25">
      <c r="A30401" s="5">
        <f>30394</f>
      </c>
      <c r="B30401" s="5" t="s">
        <v>30409</v>
      </c>
      <c r="C30401" s="5">
        <v>104.5</v>
      </c>
      <c r="D30401" s="5">
        <v>0.1</v>
      </c>
      <c r="E30401" s="5">
        <v>104.6</v>
      </c>
      <c r="F30401" s="5">
        <v>207.6</v>
      </c>
      <c r="G30401" s="5">
        <v>103.8</v>
      </c>
      <c r="H30401" s="5">
        <v>103.6</v>
      </c>
      <c r="I30401" s="5">
        <v>0</v>
      </c>
      <c r="J30401" s="5">
        <v>0</v>
      </c>
      <c r="K30401" s="5">
        <v>0</v>
      </c>
    </row>
    <row r="30402" spans="1:11" x14ac:dyDescent="0.25">
      <c r="A30402" s="5">
        <f>30395</f>
      </c>
      <c r="B30402" s="5" t="s">
        <v>30410</v>
      </c>
      <c r="C30402" s="5">
        <v>104.5</v>
      </c>
      <c r="D30402" s="5">
        <v>0.1</v>
      </c>
      <c r="E30402" s="5">
        <v>104.6</v>
      </c>
      <c r="F30402" s="5">
        <v>207.6</v>
      </c>
      <c r="G30402" s="5">
        <v>103.6</v>
      </c>
      <c r="H30402" s="5">
        <v>103.4</v>
      </c>
      <c r="I30402" s="5">
        <v>0</v>
      </c>
      <c r="J30402" s="5">
        <v>0</v>
      </c>
      <c r="K30402" s="5">
        <v>0</v>
      </c>
    </row>
    <row r="30403" spans="1:11" x14ac:dyDescent="0.25">
      <c r="A30403" s="5">
        <f>30396</f>
      </c>
      <c r="B30403" s="5" t="s">
        <v>30411</v>
      </c>
      <c r="C30403" s="5">
        <v>103.4</v>
      </c>
      <c r="D30403" s="5">
        <v>0.1</v>
      </c>
      <c r="E30403" s="5">
        <v>104.6</v>
      </c>
      <c r="F30403" s="5">
        <v>207.6</v>
      </c>
      <c r="G30403" s="5">
        <v>103.6</v>
      </c>
      <c r="H30403" s="5">
        <v>103.4</v>
      </c>
      <c r="I30403" s="5">
        <v>0</v>
      </c>
      <c r="J30403" s="5">
        <v>0</v>
      </c>
      <c r="K30403" s="5">
        <v>0</v>
      </c>
    </row>
    <row r="30404" spans="1:11" x14ac:dyDescent="0.25">
      <c r="A30404" s="5">
        <f>30397</f>
      </c>
      <c r="B30404" s="5" t="s">
        <v>30412</v>
      </c>
      <c r="C30404" s="5">
        <v>103.4</v>
      </c>
      <c r="D30404" s="5">
        <v>0.1</v>
      </c>
      <c r="E30404" s="5">
        <v>103.6</v>
      </c>
      <c r="F30404" s="5">
        <v>207.2</v>
      </c>
      <c r="G30404" s="5">
        <v>103.4</v>
      </c>
      <c r="H30404" s="5">
        <v>103.2</v>
      </c>
      <c r="I30404" s="5">
        <v>0</v>
      </c>
      <c r="J30404" s="5">
        <v>0</v>
      </c>
      <c r="K30404" s="5">
        <v>0</v>
      </c>
    </row>
    <row r="30405" spans="1:11" x14ac:dyDescent="0.25">
      <c r="A30405" s="5">
        <f>30398</f>
      </c>
      <c r="B30405" s="5" t="s">
        <v>30413</v>
      </c>
      <c r="C30405" s="5">
        <v>103.4</v>
      </c>
      <c r="D30405" s="5">
        <v>0.1</v>
      </c>
      <c r="E30405" s="5">
        <v>103.6</v>
      </c>
      <c r="F30405" s="5">
        <v>207.2</v>
      </c>
      <c r="G30405" s="5">
        <v>103.4</v>
      </c>
      <c r="H30405" s="5">
        <v>103.2</v>
      </c>
      <c r="I30405" s="5">
        <v>0</v>
      </c>
      <c r="J30405" s="5">
        <v>0</v>
      </c>
      <c r="K30405" s="5">
        <v>0</v>
      </c>
    </row>
    <row r="30406" spans="1:11" x14ac:dyDescent="0.25">
      <c r="A30406" s="5">
        <f>30399</f>
      </c>
      <c r="B30406" s="5" t="s">
        <v>30414</v>
      </c>
      <c r="C30406" s="5">
        <v>103.4</v>
      </c>
      <c r="D30406" s="5">
        <v>0.1</v>
      </c>
      <c r="E30406" s="5">
        <v>103.6</v>
      </c>
      <c r="F30406" s="5">
        <v>207.2</v>
      </c>
      <c r="G30406" s="5">
        <v>103.4</v>
      </c>
      <c r="H30406" s="5">
        <v>103.2</v>
      </c>
      <c r="I30406" s="5">
        <v>0</v>
      </c>
      <c r="J30406" s="5">
        <v>0</v>
      </c>
      <c r="K30406" s="5">
        <v>0</v>
      </c>
    </row>
    <row r="30407" spans="1:11" x14ac:dyDescent="0.25">
      <c r="A30407" s="5">
        <f>30400</f>
      </c>
      <c r="B30407" s="5" t="s">
        <v>30415</v>
      </c>
      <c r="C30407" s="5">
        <v>103.4</v>
      </c>
      <c r="D30407" s="5">
        <v>0.1</v>
      </c>
      <c r="E30407" s="5">
        <v>103.6</v>
      </c>
      <c r="F30407" s="5">
        <v>207.2</v>
      </c>
      <c r="G30407" s="5">
        <v>103.1</v>
      </c>
      <c r="H30407" s="5">
        <v>103</v>
      </c>
      <c r="I30407" s="5">
        <v>0</v>
      </c>
      <c r="J30407" s="5">
        <v>0</v>
      </c>
      <c r="K30407" s="5">
        <v>0</v>
      </c>
    </row>
    <row r="30408" spans="1:11" x14ac:dyDescent="0.25">
      <c r="A30408" s="5">
        <f>30401</f>
      </c>
      <c r="B30408" s="5" t="s">
        <v>30416</v>
      </c>
      <c r="C30408" s="5">
        <v>103.4</v>
      </c>
      <c r="D30408" s="5">
        <v>0.1</v>
      </c>
      <c r="E30408" s="5">
        <v>103.5</v>
      </c>
      <c r="F30408" s="5">
        <v>206.7</v>
      </c>
      <c r="G30408" s="5">
        <v>103.1</v>
      </c>
      <c r="H30408" s="5">
        <v>103</v>
      </c>
      <c r="I30408" s="5">
        <v>0</v>
      </c>
      <c r="J30408" s="5">
        <v>0</v>
      </c>
      <c r="K30408" s="5">
        <v>0</v>
      </c>
    </row>
    <row r="30409" spans="1:11" x14ac:dyDescent="0.25">
      <c r="A30409" s="5">
        <f>30402</f>
      </c>
      <c r="B30409" s="5" t="s">
        <v>30417</v>
      </c>
      <c r="C30409" s="5">
        <v>103.4</v>
      </c>
      <c r="D30409" s="5">
        <v>0.1</v>
      </c>
      <c r="E30409" s="5">
        <v>103.5</v>
      </c>
      <c r="F30409" s="5">
        <v>206.7</v>
      </c>
      <c r="G30409" s="5">
        <v>103.1</v>
      </c>
      <c r="H30409" s="5">
        <v>103</v>
      </c>
      <c r="I30409" s="5">
        <v>0</v>
      </c>
      <c r="J30409" s="5">
        <v>0</v>
      </c>
      <c r="K30409" s="5">
        <v>0</v>
      </c>
    </row>
    <row r="30410" spans="1:11" x14ac:dyDescent="0.25">
      <c r="A30410" s="5">
        <f>30403</f>
      </c>
      <c r="B30410" s="5" t="s">
        <v>30418</v>
      </c>
      <c r="C30410" s="5">
        <v>101.1</v>
      </c>
      <c r="D30410" s="5">
        <v>0.1</v>
      </c>
      <c r="E30410" s="5">
        <v>101.2</v>
      </c>
      <c r="F30410" s="5">
        <v>202.2</v>
      </c>
      <c r="G30410" s="5">
        <v>100.9</v>
      </c>
      <c r="H30410" s="5">
        <v>100.7</v>
      </c>
      <c r="I30410" s="5">
        <v>0</v>
      </c>
      <c r="J30410" s="5">
        <v>0</v>
      </c>
      <c r="K30410" s="5">
        <v>0</v>
      </c>
    </row>
    <row r="30411" spans="1:11" x14ac:dyDescent="0.25">
      <c r="A30411" s="5">
        <f>30404</f>
      </c>
      <c r="B30411" s="5" t="s">
        <v>30419</v>
      </c>
      <c r="C30411" s="5">
        <v>101.1</v>
      </c>
      <c r="D30411" s="5">
        <v>0.1</v>
      </c>
      <c r="E30411" s="5">
        <v>101.2</v>
      </c>
      <c r="F30411" s="5">
        <v>202.2</v>
      </c>
      <c r="G30411" s="5">
        <v>100.9</v>
      </c>
      <c r="H30411" s="5">
        <v>100.7</v>
      </c>
      <c r="I30411" s="5">
        <v>0</v>
      </c>
      <c r="J30411" s="5">
        <v>0</v>
      </c>
      <c r="K30411" s="5">
        <v>0</v>
      </c>
    </row>
    <row r="30412" spans="1:11" x14ac:dyDescent="0.25">
      <c r="A30412" s="5">
        <f>30405</f>
      </c>
      <c r="B30412" s="5" t="s">
        <v>30420</v>
      </c>
      <c r="C30412" s="5">
        <v>101.3</v>
      </c>
      <c r="D30412" s="5">
        <v>0.1</v>
      </c>
      <c r="E30412" s="5">
        <v>101.5</v>
      </c>
      <c r="F30412" s="5">
        <v>202.4</v>
      </c>
      <c r="G30412" s="5">
        <v>101</v>
      </c>
      <c r="H30412" s="5">
        <v>100.9</v>
      </c>
      <c r="I30412" s="5">
        <v>0</v>
      </c>
      <c r="J30412" s="5">
        <v>0</v>
      </c>
      <c r="K30412" s="5">
        <v>0</v>
      </c>
    </row>
    <row r="30413" spans="1:11" x14ac:dyDescent="0.25">
      <c r="A30413" s="5">
        <f>30406</f>
      </c>
      <c r="B30413" s="5" t="s">
        <v>30421</v>
      </c>
      <c r="C30413" s="5">
        <v>101.3</v>
      </c>
      <c r="D30413" s="5">
        <v>0.1</v>
      </c>
      <c r="E30413" s="5">
        <v>101.5</v>
      </c>
      <c r="F30413" s="5">
        <v>202.4</v>
      </c>
      <c r="G30413" s="5">
        <v>101</v>
      </c>
      <c r="H30413" s="5">
        <v>100.9</v>
      </c>
      <c r="I30413" s="5">
        <v>0</v>
      </c>
      <c r="J30413" s="5">
        <v>0</v>
      </c>
      <c r="K30413" s="5">
        <v>0</v>
      </c>
    </row>
    <row r="30414" spans="1:11" x14ac:dyDescent="0.25">
      <c r="A30414" s="5">
        <f>30407</f>
      </c>
      <c r="B30414" s="5" t="s">
        <v>30422</v>
      </c>
      <c r="C30414" s="5">
        <v>101.8</v>
      </c>
      <c r="D30414" s="5">
        <v>0.1</v>
      </c>
      <c r="E30414" s="5">
        <v>101.9</v>
      </c>
      <c r="F30414" s="5">
        <v>203.2</v>
      </c>
      <c r="G30414" s="5">
        <v>101.4</v>
      </c>
      <c r="H30414" s="5">
        <v>101.2</v>
      </c>
      <c r="I30414" s="5">
        <v>0</v>
      </c>
      <c r="J30414" s="5">
        <v>0</v>
      </c>
      <c r="K30414" s="5">
        <v>0</v>
      </c>
    </row>
    <row r="30415" spans="1:11" x14ac:dyDescent="0.25">
      <c r="A30415" s="5">
        <f>30408</f>
      </c>
      <c r="B30415" s="5" t="s">
        <v>30423</v>
      </c>
      <c r="C30415" s="5">
        <v>101.8</v>
      </c>
      <c r="D30415" s="5">
        <v>0.1</v>
      </c>
      <c r="E30415" s="5">
        <v>101.9</v>
      </c>
      <c r="F30415" s="5">
        <v>203.2</v>
      </c>
      <c r="G30415" s="5">
        <v>101.4</v>
      </c>
      <c r="H30415" s="5">
        <v>101.2</v>
      </c>
      <c r="I30415" s="5">
        <v>0</v>
      </c>
      <c r="J30415" s="5">
        <v>0</v>
      </c>
      <c r="K30415" s="5">
        <v>0</v>
      </c>
    </row>
    <row r="30416" spans="1:11" x14ac:dyDescent="0.25">
      <c r="A30416" s="5">
        <f>30409</f>
      </c>
      <c r="B30416" s="5" t="s">
        <v>30424</v>
      </c>
      <c r="C30416" s="5">
        <v>101.8</v>
      </c>
      <c r="D30416" s="5">
        <v>0.1</v>
      </c>
      <c r="E30416" s="5">
        <v>101.9</v>
      </c>
      <c r="F30416" s="5">
        <v>203.2</v>
      </c>
      <c r="G30416" s="5">
        <v>101.4</v>
      </c>
      <c r="H30416" s="5">
        <v>101.2</v>
      </c>
      <c r="I30416" s="5">
        <v>0</v>
      </c>
      <c r="J30416" s="5">
        <v>0</v>
      </c>
      <c r="K30416" s="5">
        <v>0</v>
      </c>
    </row>
    <row r="30417" spans="1:11" x14ac:dyDescent="0.25">
      <c r="A30417" s="5">
        <f>30410</f>
      </c>
      <c r="B30417" s="5" t="s">
        <v>30425</v>
      </c>
      <c r="C30417" s="5">
        <v>101.4</v>
      </c>
      <c r="D30417" s="5">
        <v>0.1</v>
      </c>
      <c r="E30417" s="5">
        <v>101.5</v>
      </c>
      <c r="F30417" s="5">
        <v>201.8</v>
      </c>
      <c r="G30417" s="5">
        <v>100.7</v>
      </c>
      <c r="H30417" s="5">
        <v>100.6</v>
      </c>
      <c r="I30417" s="5">
        <v>0</v>
      </c>
      <c r="J30417" s="5">
        <v>0</v>
      </c>
      <c r="K30417" s="5">
        <v>0</v>
      </c>
    </row>
    <row r="30418" spans="1:11" x14ac:dyDescent="0.25">
      <c r="A30418" s="5">
        <f>30411</f>
      </c>
      <c r="B30418" s="5" t="s">
        <v>30426</v>
      </c>
      <c r="C30418" s="5">
        <v>101.4</v>
      </c>
      <c r="D30418" s="5">
        <v>0.1</v>
      </c>
      <c r="E30418" s="5">
        <v>101.5</v>
      </c>
      <c r="F30418" s="5">
        <v>201.8</v>
      </c>
      <c r="G30418" s="5">
        <v>100.7</v>
      </c>
      <c r="H30418" s="5">
        <v>100.6</v>
      </c>
      <c r="I30418" s="5">
        <v>0</v>
      </c>
      <c r="J30418" s="5">
        <v>0</v>
      </c>
      <c r="K30418" s="5">
        <v>0</v>
      </c>
    </row>
    <row r="30419" spans="1:11" x14ac:dyDescent="0.25">
      <c r="A30419" s="5">
        <f>30412</f>
      </c>
      <c r="B30419" s="5" t="s">
        <v>30427</v>
      </c>
      <c r="C30419" s="5">
        <v>100.2</v>
      </c>
      <c r="D30419" s="5">
        <v>0.1</v>
      </c>
      <c r="E30419" s="5">
        <v>100.4</v>
      </c>
      <c r="F30419" s="5">
        <v>202.9</v>
      </c>
      <c r="G30419" s="5">
        <v>101.2</v>
      </c>
      <c r="H30419" s="5">
        <v>101.1</v>
      </c>
      <c r="I30419" s="5">
        <v>0</v>
      </c>
      <c r="J30419" s="5">
        <v>0</v>
      </c>
      <c r="K30419" s="5">
        <v>0</v>
      </c>
    </row>
    <row r="30420" spans="1:11" x14ac:dyDescent="0.25">
      <c r="A30420" s="5">
        <f>30413</f>
      </c>
      <c r="B30420" s="5" t="s">
        <v>30428</v>
      </c>
      <c r="C30420" s="5">
        <v>100.2</v>
      </c>
      <c r="D30420" s="5">
        <v>0.1</v>
      </c>
      <c r="E30420" s="5">
        <v>100.4</v>
      </c>
      <c r="F30420" s="5">
        <v>202.9</v>
      </c>
      <c r="G30420" s="5">
        <v>101.2</v>
      </c>
      <c r="H30420" s="5">
        <v>101.1</v>
      </c>
      <c r="I30420" s="5">
        <v>0</v>
      </c>
      <c r="J30420" s="5">
        <v>0</v>
      </c>
      <c r="K30420" s="5">
        <v>0</v>
      </c>
    </row>
    <row r="30421" spans="1:11" x14ac:dyDescent="0.25">
      <c r="A30421" s="5">
        <f>30414</f>
      </c>
      <c r="B30421" s="5" t="s">
        <v>30429</v>
      </c>
      <c r="C30421" s="5">
        <v>101</v>
      </c>
      <c r="D30421" s="5">
        <v>0.1</v>
      </c>
      <c r="E30421" s="5">
        <v>101.1</v>
      </c>
      <c r="F30421" s="5">
        <v>202.3</v>
      </c>
      <c r="G30421" s="5">
        <v>100.9</v>
      </c>
      <c r="H30421" s="5">
        <v>100.8</v>
      </c>
      <c r="I30421" s="5">
        <v>0</v>
      </c>
      <c r="J30421" s="5">
        <v>0</v>
      </c>
      <c r="K30421" s="5">
        <v>0</v>
      </c>
    </row>
    <row r="30422" spans="1:11" x14ac:dyDescent="0.25">
      <c r="A30422" s="5">
        <f>30415</f>
      </c>
      <c r="B30422" s="5" t="s">
        <v>30430</v>
      </c>
      <c r="C30422" s="5">
        <v>101</v>
      </c>
      <c r="D30422" s="5">
        <v>0.1</v>
      </c>
      <c r="E30422" s="5">
        <v>101.1</v>
      </c>
      <c r="F30422" s="5">
        <v>202.3</v>
      </c>
      <c r="G30422" s="5">
        <v>100.9</v>
      </c>
      <c r="H30422" s="5">
        <v>100.8</v>
      </c>
      <c r="I30422" s="5">
        <v>0</v>
      </c>
      <c r="J30422" s="5">
        <v>0</v>
      </c>
      <c r="K30422" s="5">
        <v>0</v>
      </c>
    </row>
    <row r="30423" spans="1:11" x14ac:dyDescent="0.25">
      <c r="A30423" s="5">
        <f>30416</f>
      </c>
      <c r="B30423" s="5" t="s">
        <v>30431</v>
      </c>
      <c r="C30423" s="5">
        <v>101.1</v>
      </c>
      <c r="D30423" s="5">
        <v>0.1</v>
      </c>
      <c r="E30423" s="5">
        <v>101.2</v>
      </c>
      <c r="F30423" s="5">
        <v>201.9</v>
      </c>
      <c r="G30423" s="5">
        <v>100.6</v>
      </c>
      <c r="H30423" s="5">
        <v>100.5</v>
      </c>
      <c r="I30423" s="5">
        <v>0</v>
      </c>
      <c r="J30423" s="5">
        <v>0</v>
      </c>
      <c r="K30423" s="5">
        <v>0</v>
      </c>
    </row>
    <row r="30424" spans="1:11" x14ac:dyDescent="0.25">
      <c r="A30424" s="5">
        <f>30417</f>
      </c>
      <c r="B30424" s="5" t="s">
        <v>30432</v>
      </c>
      <c r="C30424" s="5">
        <v>101.1</v>
      </c>
      <c r="D30424" s="5">
        <v>0.1</v>
      </c>
      <c r="E30424" s="5">
        <v>101.2</v>
      </c>
      <c r="F30424" s="5">
        <v>201.9</v>
      </c>
      <c r="G30424" s="5">
        <v>100.6</v>
      </c>
      <c r="H30424" s="5">
        <v>100.5</v>
      </c>
      <c r="I30424" s="5">
        <v>0</v>
      </c>
      <c r="J30424" s="5">
        <v>0</v>
      </c>
      <c r="K30424" s="5">
        <v>0</v>
      </c>
    </row>
    <row r="30425" spans="1:11" x14ac:dyDescent="0.25">
      <c r="A30425" s="5">
        <f>30418</f>
      </c>
      <c r="B30425" s="5" t="s">
        <v>30433</v>
      </c>
      <c r="C30425" s="5">
        <v>101.1</v>
      </c>
      <c r="D30425" s="5">
        <v>0.1</v>
      </c>
      <c r="E30425" s="5">
        <v>101.2</v>
      </c>
      <c r="F30425" s="5">
        <v>201.9</v>
      </c>
      <c r="G30425" s="5">
        <v>100.6</v>
      </c>
      <c r="H30425" s="5">
        <v>100.5</v>
      </c>
      <c r="I30425" s="5">
        <v>0</v>
      </c>
      <c r="J30425" s="5">
        <v>0</v>
      </c>
      <c r="K30425" s="5">
        <v>0</v>
      </c>
    </row>
    <row r="30426" spans="1:11" x14ac:dyDescent="0.25">
      <c r="A30426" s="5">
        <f>30419</f>
      </c>
      <c r="B30426" s="5" t="s">
        <v>30434</v>
      </c>
      <c r="C30426" s="5">
        <v>101.1</v>
      </c>
      <c r="D30426" s="5">
        <v>0.1</v>
      </c>
      <c r="E30426" s="5">
        <v>101.2</v>
      </c>
      <c r="F30426" s="5">
        <v>201.9</v>
      </c>
      <c r="G30426" s="5">
        <v>100.6</v>
      </c>
      <c r="H30426" s="5">
        <v>100.5</v>
      </c>
      <c r="I30426" s="5">
        <v>0</v>
      </c>
      <c r="J30426" s="5">
        <v>0</v>
      </c>
      <c r="K30426" s="5">
        <v>0</v>
      </c>
    </row>
    <row r="30427" spans="1:11" x14ac:dyDescent="0.25">
      <c r="A30427" s="5">
        <f>30420</f>
      </c>
      <c r="B30427" s="5" t="s">
        <v>30435</v>
      </c>
      <c r="C30427" s="5">
        <v>101.8</v>
      </c>
      <c r="D30427" s="5">
        <v>0.1</v>
      </c>
      <c r="E30427" s="5">
        <v>102</v>
      </c>
      <c r="F30427" s="5">
        <v>203.4</v>
      </c>
      <c r="G30427" s="5">
        <v>101.5</v>
      </c>
      <c r="H30427" s="5">
        <v>101.3</v>
      </c>
      <c r="I30427" s="5">
        <v>0</v>
      </c>
      <c r="J30427" s="5">
        <v>0</v>
      </c>
      <c r="K30427" s="5">
        <v>0</v>
      </c>
    </row>
    <row r="30428" spans="1:11" x14ac:dyDescent="0.25">
      <c r="A30428" s="5">
        <f>30421</f>
      </c>
      <c r="B30428" s="5" t="s">
        <v>30436</v>
      </c>
      <c r="C30428" s="5">
        <v>101.8</v>
      </c>
      <c r="D30428" s="5">
        <v>0.1</v>
      </c>
      <c r="E30428" s="5">
        <v>102</v>
      </c>
      <c r="F30428" s="5">
        <v>203.4</v>
      </c>
      <c r="G30428" s="5">
        <v>101.5</v>
      </c>
      <c r="H30428" s="5">
        <v>101.3</v>
      </c>
      <c r="I30428" s="5">
        <v>0</v>
      </c>
      <c r="J30428" s="5">
        <v>0</v>
      </c>
      <c r="K30428" s="5">
        <v>0</v>
      </c>
    </row>
    <row r="30429" spans="1:11" x14ac:dyDescent="0.25">
      <c r="A30429" s="5">
        <f>30422</f>
      </c>
      <c r="B30429" s="5" t="s">
        <v>30437</v>
      </c>
      <c r="C30429" s="5">
        <v>101.1</v>
      </c>
      <c r="D30429" s="5">
        <v>0.1</v>
      </c>
      <c r="E30429" s="5">
        <v>101.3</v>
      </c>
      <c r="F30429" s="5">
        <v>201.9</v>
      </c>
      <c r="G30429" s="5">
        <v>100.7</v>
      </c>
      <c r="H30429" s="5">
        <v>100.6</v>
      </c>
      <c r="I30429" s="5">
        <v>0</v>
      </c>
      <c r="J30429" s="5">
        <v>0</v>
      </c>
      <c r="K30429" s="5">
        <v>0</v>
      </c>
    </row>
    <row r="30430" spans="1:11" x14ac:dyDescent="0.25">
      <c r="A30430" s="5">
        <f>30423</f>
      </c>
      <c r="B30430" s="5" t="s">
        <v>30438</v>
      </c>
      <c r="C30430" s="5">
        <v>101.1</v>
      </c>
      <c r="D30430" s="5">
        <v>0.1</v>
      </c>
      <c r="E30430" s="5">
        <v>101.3</v>
      </c>
      <c r="F30430" s="5">
        <v>201.9</v>
      </c>
      <c r="G30430" s="5">
        <v>100.7</v>
      </c>
      <c r="H30430" s="5">
        <v>100.6</v>
      </c>
      <c r="I30430" s="5">
        <v>0</v>
      </c>
      <c r="J30430" s="5">
        <v>0</v>
      </c>
      <c r="K30430" s="5">
        <v>0</v>
      </c>
    </row>
    <row r="30431" spans="1:11" x14ac:dyDescent="0.25">
      <c r="A30431" s="5">
        <f>30424</f>
      </c>
      <c r="B30431" s="5" t="s">
        <v>30439</v>
      </c>
      <c r="C30431" s="5">
        <v>101.8</v>
      </c>
      <c r="D30431" s="5">
        <v>0.1</v>
      </c>
      <c r="E30431" s="5">
        <v>102</v>
      </c>
      <c r="F30431" s="5">
        <v>203.4</v>
      </c>
      <c r="G30431" s="5">
        <v>101.4</v>
      </c>
      <c r="H30431" s="5">
        <v>101.1</v>
      </c>
      <c r="I30431" s="5">
        <v>0</v>
      </c>
      <c r="J30431" s="5">
        <v>0</v>
      </c>
      <c r="K30431" s="5">
        <v>0</v>
      </c>
    </row>
    <row r="30432" spans="1:11" x14ac:dyDescent="0.25">
      <c r="A30432" s="5">
        <f>30425</f>
      </c>
      <c r="B30432" s="5" t="s">
        <v>30440</v>
      </c>
      <c r="C30432" s="5">
        <v>101.8</v>
      </c>
      <c r="D30432" s="5">
        <v>0.1</v>
      </c>
      <c r="E30432" s="5">
        <v>102</v>
      </c>
      <c r="F30432" s="5">
        <v>203.4</v>
      </c>
      <c r="G30432" s="5">
        <v>101.4</v>
      </c>
      <c r="H30432" s="5">
        <v>101.1</v>
      </c>
      <c r="I30432" s="5">
        <v>0</v>
      </c>
      <c r="J30432" s="5">
        <v>0</v>
      </c>
      <c r="K30432" s="5">
        <v>0</v>
      </c>
    </row>
    <row r="30433" spans="1:11" x14ac:dyDescent="0.25">
      <c r="A30433" s="5">
        <f>30426</f>
      </c>
      <c r="B30433" s="5" t="s">
        <v>30441</v>
      </c>
      <c r="C30433" s="5">
        <v>102.2</v>
      </c>
      <c r="D30433" s="5">
        <v>0.1</v>
      </c>
      <c r="E30433" s="5">
        <v>102.4</v>
      </c>
      <c r="F30433" s="5">
        <v>202.9</v>
      </c>
      <c r="G30433" s="5">
        <v>101.2</v>
      </c>
      <c r="H30433" s="5">
        <v>101.1</v>
      </c>
      <c r="I30433" s="5">
        <v>0</v>
      </c>
      <c r="J30433" s="5">
        <v>0</v>
      </c>
      <c r="K30433" s="5">
        <v>0</v>
      </c>
    </row>
    <row r="30434" spans="1:11" x14ac:dyDescent="0.25">
      <c r="A30434" s="5">
        <f>30427</f>
      </c>
      <c r="B30434" s="5" t="s">
        <v>30442</v>
      </c>
      <c r="C30434" s="5">
        <v>102.2</v>
      </c>
      <c r="D30434" s="5">
        <v>0.1</v>
      </c>
      <c r="E30434" s="5">
        <v>102.4</v>
      </c>
      <c r="F30434" s="5">
        <v>202.9</v>
      </c>
      <c r="G30434" s="5">
        <v>101.2</v>
      </c>
      <c r="H30434" s="5">
        <v>101.1</v>
      </c>
      <c r="I30434" s="5">
        <v>0</v>
      </c>
      <c r="J30434" s="5">
        <v>0</v>
      </c>
      <c r="K30434" s="5">
        <v>0</v>
      </c>
    </row>
    <row r="30435" spans="1:11" x14ac:dyDescent="0.25">
      <c r="A30435" s="5">
        <f>30428</f>
      </c>
      <c r="B30435" s="5" t="s">
        <v>30443</v>
      </c>
      <c r="C30435" s="5">
        <v>102.2</v>
      </c>
      <c r="D30435" s="5">
        <v>0.1</v>
      </c>
      <c r="E30435" s="5">
        <v>102.4</v>
      </c>
      <c r="F30435" s="5">
        <v>202.9</v>
      </c>
      <c r="G30435" s="5">
        <v>101.2</v>
      </c>
      <c r="H30435" s="5">
        <v>101.1</v>
      </c>
      <c r="I30435" s="5">
        <v>0</v>
      </c>
      <c r="J30435" s="5">
        <v>0</v>
      </c>
      <c r="K30435" s="5">
        <v>0</v>
      </c>
    </row>
    <row r="30436" spans="1:11" x14ac:dyDescent="0.25">
      <c r="A30436" s="5">
        <f>30429</f>
      </c>
      <c r="B30436" s="5" t="s">
        <v>30444</v>
      </c>
      <c r="C30436" s="5">
        <v>102.2</v>
      </c>
      <c r="D30436" s="5">
        <v>0.1</v>
      </c>
      <c r="E30436" s="5">
        <v>102.4</v>
      </c>
      <c r="F30436" s="5">
        <v>202.9</v>
      </c>
      <c r="G30436" s="5">
        <v>101.2</v>
      </c>
      <c r="H30436" s="5">
        <v>101.1</v>
      </c>
      <c r="I30436" s="5">
        <v>0</v>
      </c>
      <c r="J30436" s="5">
        <v>0</v>
      </c>
      <c r="K30436" s="5">
        <v>0</v>
      </c>
    </row>
    <row r="30437" spans="1:11" x14ac:dyDescent="0.25">
      <c r="A30437" s="5">
        <f>30430</f>
      </c>
      <c r="B30437" s="5" t="s">
        <v>30445</v>
      </c>
      <c r="C30437" s="5">
        <v>102</v>
      </c>
      <c r="D30437" s="5">
        <v>0.1</v>
      </c>
      <c r="E30437" s="5">
        <v>102.1</v>
      </c>
      <c r="F30437" s="5">
        <v>204</v>
      </c>
      <c r="G30437" s="5">
        <v>101.7</v>
      </c>
      <c r="H30437" s="5">
        <v>101.6</v>
      </c>
      <c r="I30437" s="5">
        <v>0</v>
      </c>
      <c r="J30437" s="5">
        <v>0</v>
      </c>
      <c r="K30437" s="5">
        <v>0</v>
      </c>
    </row>
    <row r="30438" spans="1:11" x14ac:dyDescent="0.25">
      <c r="A30438" s="5">
        <f>30431</f>
      </c>
      <c r="B30438" s="5" t="s">
        <v>30446</v>
      </c>
      <c r="C30438" s="5">
        <v>102</v>
      </c>
      <c r="D30438" s="5">
        <v>0.1</v>
      </c>
      <c r="E30438" s="5">
        <v>102.1</v>
      </c>
      <c r="F30438" s="5">
        <v>204</v>
      </c>
      <c r="G30438" s="5">
        <v>101.7</v>
      </c>
      <c r="H30438" s="5">
        <v>101.6</v>
      </c>
      <c r="I30438" s="5">
        <v>0</v>
      </c>
      <c r="J30438" s="5">
        <v>0</v>
      </c>
      <c r="K30438" s="5">
        <v>0</v>
      </c>
    </row>
    <row r="30439" spans="1:11" x14ac:dyDescent="0.25">
      <c r="A30439" s="5">
        <f>30432</f>
      </c>
      <c r="B30439" s="5" t="s">
        <v>30447</v>
      </c>
      <c r="C30439" s="5">
        <v>106.2</v>
      </c>
      <c r="D30439" s="5">
        <v>0.1</v>
      </c>
      <c r="E30439" s="5">
        <v>106.3</v>
      </c>
      <c r="F30439" s="5">
        <v>212.3</v>
      </c>
      <c r="G30439" s="5">
        <v>105.9</v>
      </c>
      <c r="H30439" s="5">
        <v>105.8</v>
      </c>
      <c r="I30439" s="5">
        <v>0</v>
      </c>
      <c r="J30439" s="5">
        <v>0</v>
      </c>
      <c r="K30439" s="5">
        <v>0</v>
      </c>
    </row>
    <row r="30440" spans="1:11" x14ac:dyDescent="0.25">
      <c r="A30440" s="5">
        <f>30433</f>
      </c>
      <c r="B30440" s="5" t="s">
        <v>30448</v>
      </c>
      <c r="C30440" s="5">
        <v>106.2</v>
      </c>
      <c r="D30440" s="5">
        <v>0.1</v>
      </c>
      <c r="E30440" s="5">
        <v>106.3</v>
      </c>
      <c r="F30440" s="5">
        <v>212.3</v>
      </c>
      <c r="G30440" s="5">
        <v>105.9</v>
      </c>
      <c r="H30440" s="5">
        <v>105.8</v>
      </c>
      <c r="I30440" s="5">
        <v>0</v>
      </c>
      <c r="J30440" s="5">
        <v>0</v>
      </c>
      <c r="K30440" s="5">
        <v>0</v>
      </c>
    </row>
    <row r="30441" spans="1:11" x14ac:dyDescent="0.25">
      <c r="A30441" s="5">
        <f>30434</f>
      </c>
      <c r="B30441" s="5" t="s">
        <v>30449</v>
      </c>
      <c r="C30441" s="5">
        <v>105.4</v>
      </c>
      <c r="D30441" s="5">
        <v>0.1</v>
      </c>
      <c r="E30441" s="5">
        <v>105.6</v>
      </c>
      <c r="F30441" s="5">
        <v>210.6</v>
      </c>
      <c r="G30441" s="5">
        <v>105.1</v>
      </c>
      <c r="H30441" s="5">
        <v>104.9</v>
      </c>
      <c r="I30441" s="5">
        <v>0</v>
      </c>
      <c r="J30441" s="5">
        <v>0</v>
      </c>
      <c r="K30441" s="5">
        <v>0</v>
      </c>
    </row>
    <row r="30442" spans="1:11" x14ac:dyDescent="0.25">
      <c r="A30442" s="5">
        <f>30435</f>
      </c>
      <c r="B30442" s="5" t="s">
        <v>30450</v>
      </c>
      <c r="C30442" s="5">
        <v>105.4</v>
      </c>
      <c r="D30442" s="5">
        <v>0.1</v>
      </c>
      <c r="E30442" s="5">
        <v>105.6</v>
      </c>
      <c r="F30442" s="5">
        <v>210.6</v>
      </c>
      <c r="G30442" s="5">
        <v>105.1</v>
      </c>
      <c r="H30442" s="5">
        <v>104.9</v>
      </c>
      <c r="I30442" s="5">
        <v>0</v>
      </c>
      <c r="J30442" s="5">
        <v>0</v>
      </c>
      <c r="K30442" s="5">
        <v>0</v>
      </c>
    </row>
    <row r="30443" spans="1:11" x14ac:dyDescent="0.25">
      <c r="A30443" s="5">
        <f>30436</f>
      </c>
      <c r="B30443" s="5" t="s">
        <v>30451</v>
      </c>
      <c r="C30443" s="5">
        <v>106.2</v>
      </c>
      <c r="D30443" s="5">
        <v>0.1</v>
      </c>
      <c r="E30443" s="5">
        <v>106.4</v>
      </c>
      <c r="F30443" s="5">
        <v>211.3</v>
      </c>
      <c r="G30443" s="5">
        <v>105.4</v>
      </c>
      <c r="H30443" s="5">
        <v>105.3</v>
      </c>
      <c r="I30443" s="5">
        <v>0</v>
      </c>
      <c r="J30443" s="5">
        <v>0</v>
      </c>
      <c r="K30443" s="5">
        <v>0</v>
      </c>
    </row>
    <row r="30444" spans="1:11" x14ac:dyDescent="0.25">
      <c r="A30444" s="5">
        <f>30437</f>
      </c>
      <c r="B30444" s="5" t="s">
        <v>30452</v>
      </c>
      <c r="C30444" s="5">
        <v>106.2</v>
      </c>
      <c r="D30444" s="5">
        <v>0.1</v>
      </c>
      <c r="E30444" s="5">
        <v>106.4</v>
      </c>
      <c r="F30444" s="5">
        <v>211.3</v>
      </c>
      <c r="G30444" s="5">
        <v>105.4</v>
      </c>
      <c r="H30444" s="5">
        <v>105.3</v>
      </c>
      <c r="I30444" s="5">
        <v>0</v>
      </c>
      <c r="J30444" s="5">
        <v>0</v>
      </c>
      <c r="K30444" s="5">
        <v>0</v>
      </c>
    </row>
    <row r="30445" spans="1:11" x14ac:dyDescent="0.25">
      <c r="A30445" s="5">
        <f>30438</f>
      </c>
      <c r="B30445" s="5" t="s">
        <v>30453</v>
      </c>
      <c r="C30445" s="5">
        <v>106.2</v>
      </c>
      <c r="D30445" s="5">
        <v>0.1</v>
      </c>
      <c r="E30445" s="5">
        <v>106.4</v>
      </c>
      <c r="F30445" s="5">
        <v>211.3</v>
      </c>
      <c r="G30445" s="5">
        <v>105.4</v>
      </c>
      <c r="H30445" s="5">
        <v>105.3</v>
      </c>
      <c r="I30445" s="5">
        <v>0</v>
      </c>
      <c r="J30445" s="5">
        <v>0</v>
      </c>
      <c r="K30445" s="5">
        <v>0</v>
      </c>
    </row>
    <row r="30446" spans="1:11" x14ac:dyDescent="0.25">
      <c r="A30446" s="5">
        <f>30439</f>
      </c>
      <c r="B30446" s="5" t="s">
        <v>30454</v>
      </c>
      <c r="C30446" s="5">
        <v>106.2</v>
      </c>
      <c r="D30446" s="5">
        <v>0.1</v>
      </c>
      <c r="E30446" s="5">
        <v>106.4</v>
      </c>
      <c r="F30446" s="5">
        <v>211.3</v>
      </c>
      <c r="G30446" s="5">
        <v>105.4</v>
      </c>
      <c r="H30446" s="5">
        <v>105.3</v>
      </c>
      <c r="I30446" s="5">
        <v>0</v>
      </c>
      <c r="J30446" s="5">
        <v>0</v>
      </c>
      <c r="K30446" s="5">
        <v>0</v>
      </c>
    </row>
    <row r="30447" spans="1:11" x14ac:dyDescent="0.25">
      <c r="A30447" s="5">
        <f>30440</f>
      </c>
      <c r="B30447" s="5" t="s">
        <v>30455</v>
      </c>
      <c r="C30447" s="5">
        <v>106.2</v>
      </c>
      <c r="D30447" s="5">
        <v>0.1</v>
      </c>
      <c r="E30447" s="5">
        <v>106.4</v>
      </c>
      <c r="F30447" s="5">
        <v>212.3</v>
      </c>
      <c r="G30447" s="5">
        <v>105.9</v>
      </c>
      <c r="H30447" s="5">
        <v>105.8</v>
      </c>
      <c r="I30447" s="5">
        <v>0</v>
      </c>
      <c r="J30447" s="5">
        <v>0</v>
      </c>
      <c r="K30447" s="5">
        <v>0</v>
      </c>
    </row>
    <row r="30448" spans="1:11" x14ac:dyDescent="0.25">
      <c r="A30448" s="5">
        <f>30441</f>
      </c>
      <c r="B30448" s="5" t="s">
        <v>30456</v>
      </c>
      <c r="C30448" s="5">
        <v>106.2</v>
      </c>
      <c r="D30448" s="5">
        <v>0.1</v>
      </c>
      <c r="E30448" s="5">
        <v>106.4</v>
      </c>
      <c r="F30448" s="5">
        <v>212.3</v>
      </c>
      <c r="G30448" s="5">
        <v>105.9</v>
      </c>
      <c r="H30448" s="5">
        <v>105.8</v>
      </c>
      <c r="I30448" s="5">
        <v>0</v>
      </c>
      <c r="J30448" s="5">
        <v>0</v>
      </c>
      <c r="K30448" s="5">
        <v>0</v>
      </c>
    </row>
    <row r="30449" spans="1:11" x14ac:dyDescent="0.25">
      <c r="A30449" s="5">
        <f>30442</f>
      </c>
      <c r="B30449" s="5" t="s">
        <v>30457</v>
      </c>
      <c r="C30449" s="5">
        <v>106.2</v>
      </c>
      <c r="D30449" s="5">
        <v>0.1</v>
      </c>
      <c r="E30449" s="5">
        <v>106.4</v>
      </c>
      <c r="F30449" s="5">
        <v>212.5</v>
      </c>
      <c r="G30449" s="5">
        <v>106</v>
      </c>
      <c r="H30449" s="5">
        <v>105.9</v>
      </c>
      <c r="I30449" s="5">
        <v>0</v>
      </c>
      <c r="J30449" s="5">
        <v>0</v>
      </c>
      <c r="K30449" s="5">
        <v>0</v>
      </c>
    </row>
    <row r="30450" spans="1:11" x14ac:dyDescent="0.25">
      <c r="A30450" s="5">
        <f>30443</f>
      </c>
      <c r="B30450" s="5" t="s">
        <v>30458</v>
      </c>
      <c r="C30450" s="5">
        <v>106.2</v>
      </c>
      <c r="D30450" s="5">
        <v>0.1</v>
      </c>
      <c r="E30450" s="5">
        <v>106.4</v>
      </c>
      <c r="F30450" s="5">
        <v>212.5</v>
      </c>
      <c r="G30450" s="5">
        <v>106</v>
      </c>
      <c r="H30450" s="5">
        <v>105.9</v>
      </c>
      <c r="I30450" s="5">
        <v>0</v>
      </c>
      <c r="J30450" s="5">
        <v>0</v>
      </c>
      <c r="K30450" s="5">
        <v>0</v>
      </c>
    </row>
    <row r="30451" spans="1:11" x14ac:dyDescent="0.25">
      <c r="A30451" s="5">
        <f>30444</f>
      </c>
      <c r="B30451" s="5" t="s">
        <v>30459</v>
      </c>
      <c r="C30451" s="5">
        <v>105.8</v>
      </c>
      <c r="D30451" s="5">
        <v>0.1</v>
      </c>
      <c r="E30451" s="5">
        <v>105.9</v>
      </c>
      <c r="F30451" s="5">
        <v>212</v>
      </c>
      <c r="G30451" s="5">
        <v>105.7</v>
      </c>
      <c r="H30451" s="5">
        <v>105.5</v>
      </c>
      <c r="I30451" s="5">
        <v>0</v>
      </c>
      <c r="J30451" s="5">
        <v>0</v>
      </c>
      <c r="K30451" s="5">
        <v>0</v>
      </c>
    </row>
    <row r="30452" spans="1:11" x14ac:dyDescent="0.25">
      <c r="A30452" s="5">
        <f>30445</f>
      </c>
      <c r="B30452" s="5" t="s">
        <v>30460</v>
      </c>
      <c r="C30452" s="5">
        <v>105.8</v>
      </c>
      <c r="D30452" s="5">
        <v>0.1</v>
      </c>
      <c r="E30452" s="5">
        <v>105.9</v>
      </c>
      <c r="F30452" s="5">
        <v>212</v>
      </c>
      <c r="G30452" s="5">
        <v>105.7</v>
      </c>
      <c r="H30452" s="5">
        <v>105.5</v>
      </c>
      <c r="I30452" s="5">
        <v>0</v>
      </c>
      <c r="J30452" s="5">
        <v>0</v>
      </c>
      <c r="K30452" s="5">
        <v>0</v>
      </c>
    </row>
    <row r="30453" spans="1:11" x14ac:dyDescent="0.25">
      <c r="A30453" s="5">
        <f>30446</f>
      </c>
      <c r="B30453" s="5" t="s">
        <v>30461</v>
      </c>
      <c r="C30453" s="5">
        <v>105.6</v>
      </c>
      <c r="D30453" s="5">
        <v>0.1</v>
      </c>
      <c r="E30453" s="5">
        <v>105.8</v>
      </c>
      <c r="F30453" s="5">
        <v>211.2</v>
      </c>
      <c r="G30453" s="5">
        <v>105.3</v>
      </c>
      <c r="H30453" s="5">
        <v>105.2</v>
      </c>
      <c r="I30453" s="5">
        <v>0</v>
      </c>
      <c r="J30453" s="5">
        <v>0</v>
      </c>
      <c r="K30453" s="5">
        <v>0</v>
      </c>
    </row>
    <row r="30454" spans="1:11" x14ac:dyDescent="0.25">
      <c r="A30454" s="5">
        <f>30447</f>
      </c>
      <c r="B30454" s="5" t="s">
        <v>30462</v>
      </c>
      <c r="C30454" s="5">
        <v>105.6</v>
      </c>
      <c r="D30454" s="5">
        <v>0.1</v>
      </c>
      <c r="E30454" s="5">
        <v>105.8</v>
      </c>
      <c r="F30454" s="5">
        <v>211.2</v>
      </c>
      <c r="G30454" s="5">
        <v>105.3</v>
      </c>
      <c r="H30454" s="5">
        <v>105.2</v>
      </c>
      <c r="I30454" s="5">
        <v>0</v>
      </c>
      <c r="J30454" s="5">
        <v>0</v>
      </c>
      <c r="K30454" s="5">
        <v>0</v>
      </c>
    </row>
    <row r="30455" spans="1:11" x14ac:dyDescent="0.25">
      <c r="A30455" s="5">
        <f>30448</f>
      </c>
      <c r="B30455" s="5" t="s">
        <v>30463</v>
      </c>
      <c r="C30455" s="5">
        <v>105.6</v>
      </c>
      <c r="D30455" s="5">
        <v>0.1</v>
      </c>
      <c r="E30455" s="5">
        <v>105.8</v>
      </c>
      <c r="F30455" s="5">
        <v>211.2</v>
      </c>
      <c r="G30455" s="5">
        <v>105.3</v>
      </c>
      <c r="H30455" s="5">
        <v>105.2</v>
      </c>
      <c r="I30455" s="5">
        <v>0</v>
      </c>
      <c r="J30455" s="5">
        <v>0</v>
      </c>
      <c r="K30455" s="5">
        <v>0</v>
      </c>
    </row>
    <row r="30456" spans="1:11" x14ac:dyDescent="0.25">
      <c r="A30456" s="5">
        <f>30449</f>
      </c>
      <c r="B30456" s="5" t="s">
        <v>30464</v>
      </c>
      <c r="C30456" s="5">
        <v>105.6</v>
      </c>
      <c r="D30456" s="5">
        <v>0.1</v>
      </c>
      <c r="E30456" s="5">
        <v>105.8</v>
      </c>
      <c r="F30456" s="5">
        <v>211.2</v>
      </c>
      <c r="G30456" s="5">
        <v>105.3</v>
      </c>
      <c r="H30456" s="5">
        <v>105.2</v>
      </c>
      <c r="I30456" s="5">
        <v>0</v>
      </c>
      <c r="J30456" s="5">
        <v>0</v>
      </c>
      <c r="K30456" s="5">
        <v>0</v>
      </c>
    </row>
    <row r="30457" spans="1:11" x14ac:dyDescent="0.25">
      <c r="A30457" s="5">
        <f>30450</f>
      </c>
      <c r="B30457" s="5" t="s">
        <v>30465</v>
      </c>
      <c r="C30457" s="5">
        <v>105.8</v>
      </c>
      <c r="D30457" s="5">
        <v>0.1</v>
      </c>
      <c r="E30457" s="5">
        <v>105.9</v>
      </c>
      <c r="F30457" s="5">
        <v>212</v>
      </c>
      <c r="G30457" s="5">
        <v>105.6</v>
      </c>
      <c r="H30457" s="5">
        <v>105.2</v>
      </c>
      <c r="I30457" s="5">
        <v>0</v>
      </c>
      <c r="J30457" s="5">
        <v>0</v>
      </c>
      <c r="K30457" s="5">
        <v>0</v>
      </c>
    </row>
    <row r="30458" spans="1:11" x14ac:dyDescent="0.25">
      <c r="A30458" s="5">
        <f>30451</f>
      </c>
      <c r="B30458" s="5" t="s">
        <v>30466</v>
      </c>
      <c r="C30458" s="5">
        <v>105.8</v>
      </c>
      <c r="D30458" s="5">
        <v>0.1</v>
      </c>
      <c r="E30458" s="5">
        <v>105.9</v>
      </c>
      <c r="F30458" s="5">
        <v>212</v>
      </c>
      <c r="G30458" s="5">
        <v>105.6</v>
      </c>
      <c r="H30458" s="5">
        <v>105.2</v>
      </c>
      <c r="I30458" s="5">
        <v>0</v>
      </c>
      <c r="J30458" s="5">
        <v>0</v>
      </c>
      <c r="K30458" s="5">
        <v>0</v>
      </c>
    </row>
    <row r="30459" spans="1:11" x14ac:dyDescent="0.25">
      <c r="A30459" s="5">
        <f>30452</f>
      </c>
      <c r="B30459" s="5" t="s">
        <v>30467</v>
      </c>
      <c r="C30459" s="5">
        <v>106.3</v>
      </c>
      <c r="D30459" s="5">
        <v>0.1</v>
      </c>
      <c r="E30459" s="5">
        <v>106.5</v>
      </c>
      <c r="F30459" s="5">
        <v>212</v>
      </c>
      <c r="G30459" s="5">
        <v>105.8</v>
      </c>
      <c r="H30459" s="5">
        <v>105.7</v>
      </c>
      <c r="I30459" s="5">
        <v>0</v>
      </c>
      <c r="J30459" s="5">
        <v>0</v>
      </c>
      <c r="K30459" s="5">
        <v>0</v>
      </c>
    </row>
    <row r="30460" spans="1:11" x14ac:dyDescent="0.25">
      <c r="A30460" s="5">
        <f>30453</f>
      </c>
      <c r="B30460" s="5" t="s">
        <v>30468</v>
      </c>
      <c r="C30460" s="5">
        <v>106.3</v>
      </c>
      <c r="D30460" s="5">
        <v>0.1</v>
      </c>
      <c r="E30460" s="5">
        <v>106.5</v>
      </c>
      <c r="F30460" s="5">
        <v>212</v>
      </c>
      <c r="G30460" s="5">
        <v>105.8</v>
      </c>
      <c r="H30460" s="5">
        <v>105.7</v>
      </c>
      <c r="I30460" s="5">
        <v>0</v>
      </c>
      <c r="J30460" s="5">
        <v>0</v>
      </c>
      <c r="K30460" s="5">
        <v>0</v>
      </c>
    </row>
    <row r="30461" spans="1:11" x14ac:dyDescent="0.25">
      <c r="A30461" s="5">
        <f>30454</f>
      </c>
      <c r="B30461" s="5" t="s">
        <v>30469</v>
      </c>
      <c r="C30461" s="5">
        <v>105.3</v>
      </c>
      <c r="D30461" s="5">
        <v>0.1</v>
      </c>
      <c r="E30461" s="5">
        <v>105.3</v>
      </c>
      <c r="F30461" s="5">
        <v>210.2</v>
      </c>
      <c r="G30461" s="5">
        <v>105.6</v>
      </c>
      <c r="H30461" s="5">
        <v>105.5</v>
      </c>
      <c r="I30461" s="5">
        <v>0</v>
      </c>
      <c r="J30461" s="5">
        <v>0</v>
      </c>
      <c r="K30461" s="5">
        <v>0</v>
      </c>
    </row>
    <row r="30462" spans="1:11" x14ac:dyDescent="0.25">
      <c r="A30462" s="5">
        <f>30455</f>
      </c>
      <c r="B30462" s="5" t="s">
        <v>30470</v>
      </c>
      <c r="C30462" s="5">
        <v>105.3</v>
      </c>
      <c r="D30462" s="5">
        <v>0.1</v>
      </c>
      <c r="E30462" s="5">
        <v>105.3</v>
      </c>
      <c r="F30462" s="5">
        <v>210.2</v>
      </c>
      <c r="G30462" s="5">
        <v>105.6</v>
      </c>
      <c r="H30462" s="5">
        <v>105.5</v>
      </c>
      <c r="I30462" s="5">
        <v>0</v>
      </c>
      <c r="J30462" s="5">
        <v>0</v>
      </c>
      <c r="K30462" s="5">
        <v>0</v>
      </c>
    </row>
    <row r="30463" spans="1:11" x14ac:dyDescent="0.25">
      <c r="A30463" s="5">
        <f>30456</f>
      </c>
      <c r="B30463" s="5" t="s">
        <v>30471</v>
      </c>
      <c r="C30463" s="5">
        <v>106.1</v>
      </c>
      <c r="D30463" s="5">
        <v>0.1</v>
      </c>
      <c r="E30463" s="5">
        <v>106.2</v>
      </c>
      <c r="F30463" s="5">
        <v>212.8</v>
      </c>
      <c r="G30463" s="5">
        <v>106.1</v>
      </c>
      <c r="H30463" s="5">
        <v>105.8</v>
      </c>
      <c r="I30463" s="5">
        <v>0</v>
      </c>
      <c r="J30463" s="5">
        <v>0</v>
      </c>
      <c r="K30463" s="5">
        <v>0</v>
      </c>
    </row>
    <row r="30464" spans="1:11" x14ac:dyDescent="0.25">
      <c r="A30464" s="5">
        <f>30457</f>
      </c>
      <c r="B30464" s="5" t="s">
        <v>30472</v>
      </c>
      <c r="C30464" s="5">
        <v>106.1</v>
      </c>
      <c r="D30464" s="5">
        <v>0.1</v>
      </c>
      <c r="E30464" s="5">
        <v>106.2</v>
      </c>
      <c r="F30464" s="5">
        <v>212.8</v>
      </c>
      <c r="G30464" s="5">
        <v>106.1</v>
      </c>
      <c r="H30464" s="5">
        <v>105.8</v>
      </c>
      <c r="I30464" s="5">
        <v>0</v>
      </c>
      <c r="J30464" s="5">
        <v>0</v>
      </c>
      <c r="K30464" s="5">
        <v>0</v>
      </c>
    </row>
    <row r="30465" spans="1:11" x14ac:dyDescent="0.25">
      <c r="A30465" s="5">
        <f>30458</f>
      </c>
      <c r="B30465" s="5" t="s">
        <v>30473</v>
      </c>
      <c r="C30465" s="5">
        <v>106.1</v>
      </c>
      <c r="D30465" s="5">
        <v>0.1</v>
      </c>
      <c r="E30465" s="5">
        <v>106.2</v>
      </c>
      <c r="F30465" s="5">
        <v>212.8</v>
      </c>
      <c r="G30465" s="5">
        <v>106.1</v>
      </c>
      <c r="H30465" s="5">
        <v>105.8</v>
      </c>
      <c r="I30465" s="5">
        <v>0</v>
      </c>
      <c r="J30465" s="5">
        <v>0</v>
      </c>
      <c r="K30465" s="5">
        <v>0</v>
      </c>
    </row>
    <row r="30466" spans="1:11" x14ac:dyDescent="0.25">
      <c r="A30466" s="5">
        <f>30459</f>
      </c>
      <c r="B30466" s="5" t="s">
        <v>30474</v>
      </c>
      <c r="C30466" s="5">
        <v>106.1</v>
      </c>
      <c r="D30466" s="5">
        <v>0.1</v>
      </c>
      <c r="E30466" s="5">
        <v>106.2</v>
      </c>
      <c r="F30466" s="5">
        <v>212.8</v>
      </c>
      <c r="G30466" s="5">
        <v>106.1</v>
      </c>
      <c r="H30466" s="5">
        <v>105.8</v>
      </c>
      <c r="I30466" s="5">
        <v>0</v>
      </c>
      <c r="J30466" s="5">
        <v>0</v>
      </c>
      <c r="K30466" s="5">
        <v>0</v>
      </c>
    </row>
    <row r="30467" spans="1:11" x14ac:dyDescent="0.25">
      <c r="A30467" s="5">
        <f>30460</f>
      </c>
      <c r="B30467" s="5" t="s">
        <v>30475</v>
      </c>
      <c r="C30467" s="5">
        <v>107.2</v>
      </c>
      <c r="D30467" s="5">
        <v>0.1</v>
      </c>
      <c r="E30467" s="5">
        <v>107.3</v>
      </c>
      <c r="F30467" s="5">
        <v>213.3</v>
      </c>
      <c r="G30467" s="5">
        <v>106.5</v>
      </c>
      <c r="H30467" s="5">
        <v>106.3</v>
      </c>
      <c r="I30467" s="5">
        <v>0</v>
      </c>
      <c r="J30467" s="5">
        <v>0</v>
      </c>
      <c r="K30467" s="5">
        <v>0</v>
      </c>
    </row>
    <row r="30468" spans="1:11" x14ac:dyDescent="0.25">
      <c r="A30468" s="5">
        <f>30461</f>
      </c>
      <c r="B30468" s="5" t="s">
        <v>30476</v>
      </c>
      <c r="C30468" s="5">
        <v>107.2</v>
      </c>
      <c r="D30468" s="5">
        <v>0.1</v>
      </c>
      <c r="E30468" s="5">
        <v>107.3</v>
      </c>
      <c r="F30468" s="5">
        <v>213.3</v>
      </c>
      <c r="G30468" s="5">
        <v>106.5</v>
      </c>
      <c r="H30468" s="5">
        <v>106.3</v>
      </c>
      <c r="I30468" s="5">
        <v>0</v>
      </c>
      <c r="J30468" s="5">
        <v>0</v>
      </c>
      <c r="K30468" s="5">
        <v>0</v>
      </c>
    </row>
    <row r="30469" spans="1:11" x14ac:dyDescent="0.25">
      <c r="A30469" s="5">
        <f>30462</f>
      </c>
      <c r="B30469" s="5" t="s">
        <v>30477</v>
      </c>
      <c r="C30469" s="5">
        <v>107.1</v>
      </c>
      <c r="D30469" s="5">
        <v>0.1</v>
      </c>
      <c r="E30469" s="5">
        <v>107.2</v>
      </c>
      <c r="F30469" s="5">
        <v>213.4</v>
      </c>
      <c r="G30469" s="5">
        <v>106.4</v>
      </c>
      <c r="H30469" s="5">
        <v>106.3</v>
      </c>
      <c r="I30469" s="5">
        <v>0</v>
      </c>
      <c r="J30469" s="5">
        <v>0</v>
      </c>
      <c r="K30469" s="5">
        <v>0</v>
      </c>
    </row>
    <row r="30470" spans="1:11" x14ac:dyDescent="0.25">
      <c r="A30470" s="5">
        <f>30463</f>
      </c>
      <c r="B30470" s="5" t="s">
        <v>30478</v>
      </c>
      <c r="C30470" s="5">
        <v>107.1</v>
      </c>
      <c r="D30470" s="5">
        <v>0.1</v>
      </c>
      <c r="E30470" s="5">
        <v>107.2</v>
      </c>
      <c r="F30470" s="5">
        <v>213.4</v>
      </c>
      <c r="G30470" s="5">
        <v>106.4</v>
      </c>
      <c r="H30470" s="5">
        <v>106.3</v>
      </c>
      <c r="I30470" s="5">
        <v>0</v>
      </c>
      <c r="J30470" s="5">
        <v>0</v>
      </c>
      <c r="K30470" s="5">
        <v>0</v>
      </c>
    </row>
    <row r="30471" spans="1:11" x14ac:dyDescent="0.25">
      <c r="A30471" s="5">
        <f>30464</f>
      </c>
      <c r="B30471" s="5" t="s">
        <v>30479</v>
      </c>
      <c r="C30471" s="5">
        <v>106.6</v>
      </c>
      <c r="D30471" s="5">
        <v>0.1</v>
      </c>
      <c r="E30471" s="5">
        <v>106.7</v>
      </c>
      <c r="F30471" s="5">
        <v>212.7</v>
      </c>
      <c r="G30471" s="5">
        <v>106.1</v>
      </c>
      <c r="H30471" s="5">
        <v>106</v>
      </c>
      <c r="I30471" s="5">
        <v>0</v>
      </c>
      <c r="J30471" s="5">
        <v>0</v>
      </c>
      <c r="K30471" s="5">
        <v>0</v>
      </c>
    </row>
    <row r="30472" spans="1:11" x14ac:dyDescent="0.25">
      <c r="A30472" s="5">
        <f>30465</f>
      </c>
      <c r="B30472" s="5" t="s">
        <v>30480</v>
      </c>
      <c r="C30472" s="5">
        <v>106.6</v>
      </c>
      <c r="D30472" s="5">
        <v>0.1</v>
      </c>
      <c r="E30472" s="5">
        <v>106.7</v>
      </c>
      <c r="F30472" s="5">
        <v>212.7</v>
      </c>
      <c r="G30472" s="5">
        <v>106.1</v>
      </c>
      <c r="H30472" s="5">
        <v>106</v>
      </c>
      <c r="I30472" s="5">
        <v>0</v>
      </c>
      <c r="J30472" s="5">
        <v>0</v>
      </c>
      <c r="K30472" s="5">
        <v>0</v>
      </c>
    </row>
    <row r="30473" spans="1:11" x14ac:dyDescent="0.25">
      <c r="A30473" s="5">
        <f>30466</f>
      </c>
      <c r="B30473" s="5" t="s">
        <v>30481</v>
      </c>
      <c r="C30473" s="5">
        <v>106.9</v>
      </c>
      <c r="D30473" s="5">
        <v>0.1</v>
      </c>
      <c r="E30473" s="5">
        <v>107</v>
      </c>
      <c r="F30473" s="5">
        <v>213.3</v>
      </c>
      <c r="G30473" s="5">
        <v>106.4</v>
      </c>
      <c r="H30473" s="5">
        <v>106.3</v>
      </c>
      <c r="I30473" s="5">
        <v>0</v>
      </c>
      <c r="J30473" s="5">
        <v>0</v>
      </c>
      <c r="K30473" s="5">
        <v>0</v>
      </c>
    </row>
    <row r="30474" spans="1:11" x14ac:dyDescent="0.25">
      <c r="A30474" s="5">
        <f>30467</f>
      </c>
      <c r="B30474" s="5" t="s">
        <v>30482</v>
      </c>
      <c r="C30474" s="5">
        <v>106.9</v>
      </c>
      <c r="D30474" s="5">
        <v>0.1</v>
      </c>
      <c r="E30474" s="5">
        <v>107</v>
      </c>
      <c r="F30474" s="5">
        <v>213.3</v>
      </c>
      <c r="G30474" s="5">
        <v>106.4</v>
      </c>
      <c r="H30474" s="5">
        <v>106.3</v>
      </c>
      <c r="I30474" s="5">
        <v>0</v>
      </c>
      <c r="J30474" s="5">
        <v>0</v>
      </c>
      <c r="K30474" s="5">
        <v>0</v>
      </c>
    </row>
    <row r="30475" spans="1:11" x14ac:dyDescent="0.25">
      <c r="A30475" s="5">
        <f>30468</f>
      </c>
      <c r="B30475" s="5" t="s">
        <v>30483</v>
      </c>
      <c r="C30475" s="5">
        <v>106.9</v>
      </c>
      <c r="D30475" s="5">
        <v>0.1</v>
      </c>
      <c r="E30475" s="5">
        <v>107</v>
      </c>
      <c r="F30475" s="5">
        <v>213.3</v>
      </c>
      <c r="G30475" s="5">
        <v>106.4</v>
      </c>
      <c r="H30475" s="5">
        <v>106.3</v>
      </c>
      <c r="I30475" s="5">
        <v>0</v>
      </c>
      <c r="J30475" s="5">
        <v>0</v>
      </c>
      <c r="K30475" s="5">
        <v>0</v>
      </c>
    </row>
    <row r="30476" spans="1:11" x14ac:dyDescent="0.25">
      <c r="A30476" s="5">
        <f>30469</f>
      </c>
      <c r="B30476" s="5" t="s">
        <v>30484</v>
      </c>
      <c r="C30476" s="5">
        <v>106.9</v>
      </c>
      <c r="D30476" s="5">
        <v>0.1</v>
      </c>
      <c r="E30476" s="5">
        <v>107</v>
      </c>
      <c r="F30476" s="5">
        <v>213.3</v>
      </c>
      <c r="G30476" s="5">
        <v>106.4</v>
      </c>
      <c r="H30476" s="5">
        <v>106.3</v>
      </c>
      <c r="I30476" s="5">
        <v>0</v>
      </c>
      <c r="J30476" s="5">
        <v>0</v>
      </c>
      <c r="K30476" s="5">
        <v>0</v>
      </c>
    </row>
    <row r="30477" spans="1:11" x14ac:dyDescent="0.25">
      <c r="A30477" s="5">
        <f>30470</f>
      </c>
      <c r="B30477" s="5" t="s">
        <v>30485</v>
      </c>
      <c r="C30477" s="5">
        <v>107.5</v>
      </c>
      <c r="D30477" s="5">
        <v>0.1</v>
      </c>
      <c r="E30477" s="5">
        <v>107.6</v>
      </c>
      <c r="F30477" s="5">
        <v>214.6</v>
      </c>
      <c r="G30477" s="5">
        <v>107.1</v>
      </c>
      <c r="H30477" s="5">
        <v>106.9</v>
      </c>
      <c r="I30477" s="5">
        <v>0</v>
      </c>
      <c r="J30477" s="5">
        <v>0</v>
      </c>
      <c r="K30477" s="5">
        <v>0</v>
      </c>
    </row>
    <row r="30478" spans="1:11" x14ac:dyDescent="0.25">
      <c r="A30478" s="5">
        <f>30471</f>
      </c>
      <c r="B30478" s="5" t="s">
        <v>30486</v>
      </c>
      <c r="C30478" s="5">
        <v>107.5</v>
      </c>
      <c r="D30478" s="5">
        <v>0.1</v>
      </c>
      <c r="E30478" s="5">
        <v>107.6</v>
      </c>
      <c r="F30478" s="5">
        <v>214.6</v>
      </c>
      <c r="G30478" s="5">
        <v>107.1</v>
      </c>
      <c r="H30478" s="5">
        <v>106.9</v>
      </c>
      <c r="I30478" s="5">
        <v>0</v>
      </c>
      <c r="J30478" s="5">
        <v>0</v>
      </c>
      <c r="K30478" s="5">
        <v>0</v>
      </c>
    </row>
    <row r="30479" spans="1:11" x14ac:dyDescent="0.25">
      <c r="A30479" s="5">
        <f>30472</f>
      </c>
      <c r="B30479" s="5" t="s">
        <v>30487</v>
      </c>
      <c r="C30479" s="5">
        <v>107.4</v>
      </c>
      <c r="D30479" s="5">
        <v>0.1</v>
      </c>
      <c r="E30479" s="5">
        <v>107.5</v>
      </c>
      <c r="F30479" s="5">
        <v>213.7</v>
      </c>
      <c r="G30479" s="5">
        <v>106.6</v>
      </c>
      <c r="H30479" s="5">
        <v>106.1</v>
      </c>
      <c r="I30479" s="5">
        <v>0</v>
      </c>
      <c r="J30479" s="5">
        <v>0</v>
      </c>
      <c r="K30479" s="5">
        <v>0</v>
      </c>
    </row>
    <row r="30480" spans="1:11" x14ac:dyDescent="0.25">
      <c r="A30480" s="5">
        <f>30473</f>
      </c>
      <c r="B30480" s="5" t="s">
        <v>30488</v>
      </c>
      <c r="C30480" s="5">
        <v>107.4</v>
      </c>
      <c r="D30480" s="5">
        <v>0.1</v>
      </c>
      <c r="E30480" s="5">
        <v>107.5</v>
      </c>
      <c r="F30480" s="5">
        <v>213.7</v>
      </c>
      <c r="G30480" s="5">
        <v>106.6</v>
      </c>
      <c r="H30480" s="5">
        <v>106.1</v>
      </c>
      <c r="I30480" s="5">
        <v>0</v>
      </c>
      <c r="J30480" s="5">
        <v>0</v>
      </c>
      <c r="K30480" s="5">
        <v>0</v>
      </c>
    </row>
    <row r="30481" spans="1:11" x14ac:dyDescent="0.25">
      <c r="A30481" s="5">
        <f>30474</f>
      </c>
      <c r="B30481" s="5" t="s">
        <v>30489</v>
      </c>
      <c r="C30481" s="5">
        <v>107.2</v>
      </c>
      <c r="D30481" s="5">
        <v>0.1</v>
      </c>
      <c r="E30481" s="5">
        <v>107.2</v>
      </c>
      <c r="F30481" s="5">
        <v>214.1</v>
      </c>
      <c r="G30481" s="5">
        <v>106.8</v>
      </c>
      <c r="H30481" s="5">
        <v>106.6</v>
      </c>
      <c r="I30481" s="5">
        <v>0</v>
      </c>
      <c r="J30481" s="5">
        <v>0</v>
      </c>
      <c r="K30481" s="5">
        <v>0</v>
      </c>
    </row>
    <row r="30482" spans="1:11" x14ac:dyDescent="0.25">
      <c r="A30482" s="5">
        <f>30475</f>
      </c>
      <c r="B30482" s="5" t="s">
        <v>30490</v>
      </c>
      <c r="C30482" s="5">
        <v>107.2</v>
      </c>
      <c r="D30482" s="5">
        <v>0.1</v>
      </c>
      <c r="E30482" s="5">
        <v>107.2</v>
      </c>
      <c r="F30482" s="5">
        <v>214.1</v>
      </c>
      <c r="G30482" s="5">
        <v>106.8</v>
      </c>
      <c r="H30482" s="5">
        <v>106.6</v>
      </c>
      <c r="I30482" s="5">
        <v>0</v>
      </c>
      <c r="J30482" s="5">
        <v>0</v>
      </c>
      <c r="K30482" s="5">
        <v>0</v>
      </c>
    </row>
    <row r="30483" spans="1:11" x14ac:dyDescent="0.25">
      <c r="A30483" s="5">
        <f>30476</f>
      </c>
      <c r="B30483" s="5" t="s">
        <v>30491</v>
      </c>
      <c r="C30483" s="5">
        <v>106.1</v>
      </c>
      <c r="D30483" s="5">
        <v>0.1</v>
      </c>
      <c r="E30483" s="5">
        <v>106.2</v>
      </c>
      <c r="F30483" s="5">
        <v>211.7</v>
      </c>
      <c r="G30483" s="5">
        <v>105.6</v>
      </c>
      <c r="H30483" s="5">
        <v>105.5</v>
      </c>
      <c r="I30483" s="5">
        <v>0</v>
      </c>
      <c r="J30483" s="5">
        <v>0</v>
      </c>
      <c r="K30483" s="5">
        <v>0</v>
      </c>
    </row>
    <row r="30484" spans="1:11" x14ac:dyDescent="0.25">
      <c r="A30484" s="5">
        <f>30477</f>
      </c>
      <c r="B30484" s="5" t="s">
        <v>30492</v>
      </c>
      <c r="C30484" s="5">
        <v>106.1</v>
      </c>
      <c r="D30484" s="5">
        <v>0.1</v>
      </c>
      <c r="E30484" s="5">
        <v>106.2</v>
      </c>
      <c r="F30484" s="5">
        <v>211.7</v>
      </c>
      <c r="G30484" s="5">
        <v>105.6</v>
      </c>
      <c r="H30484" s="5">
        <v>105.5</v>
      </c>
      <c r="I30484" s="5">
        <v>0</v>
      </c>
      <c r="J30484" s="5">
        <v>0</v>
      </c>
      <c r="K30484" s="5">
        <v>0</v>
      </c>
    </row>
    <row r="30485" spans="1:11" x14ac:dyDescent="0.25">
      <c r="A30485" s="5">
        <f>30478</f>
      </c>
      <c r="B30485" s="5" t="s">
        <v>30493</v>
      </c>
      <c r="C30485" s="5">
        <v>106.1</v>
      </c>
      <c r="D30485" s="5">
        <v>0.1</v>
      </c>
      <c r="E30485" s="5">
        <v>106.2</v>
      </c>
      <c r="F30485" s="5">
        <v>211.7</v>
      </c>
      <c r="G30485" s="5">
        <v>105.6</v>
      </c>
      <c r="H30485" s="5">
        <v>105.5</v>
      </c>
      <c r="I30485" s="5">
        <v>0</v>
      </c>
      <c r="J30485" s="5">
        <v>0</v>
      </c>
      <c r="K30485" s="5">
        <v>0</v>
      </c>
    </row>
    <row r="30486" spans="1:11" x14ac:dyDescent="0.25">
      <c r="A30486" s="5">
        <f>30479</f>
      </c>
      <c r="B30486" s="5" t="s">
        <v>30494</v>
      </c>
      <c r="C30486" s="5">
        <v>106.1</v>
      </c>
      <c r="D30486" s="5">
        <v>0.1</v>
      </c>
      <c r="E30486" s="5">
        <v>106.2</v>
      </c>
      <c r="F30486" s="5">
        <v>211.7</v>
      </c>
      <c r="G30486" s="5">
        <v>105.6</v>
      </c>
      <c r="H30486" s="5">
        <v>105.5</v>
      </c>
      <c r="I30486" s="5">
        <v>0</v>
      </c>
      <c r="J30486" s="5">
        <v>0</v>
      </c>
      <c r="K30486" s="5">
        <v>0</v>
      </c>
    </row>
    <row r="30487" spans="1:11" x14ac:dyDescent="0.25">
      <c r="A30487" s="5">
        <f>30480</f>
      </c>
      <c r="B30487" s="5" t="s">
        <v>30495</v>
      </c>
      <c r="C30487" s="5">
        <v>106.1</v>
      </c>
      <c r="D30487" s="5">
        <v>0.1</v>
      </c>
      <c r="E30487" s="5">
        <v>106.2</v>
      </c>
      <c r="F30487" s="5">
        <v>212.1</v>
      </c>
      <c r="G30487" s="5">
        <v>105.8</v>
      </c>
      <c r="H30487" s="5">
        <v>105.6</v>
      </c>
      <c r="I30487" s="5">
        <v>0</v>
      </c>
      <c r="J30487" s="5">
        <v>0</v>
      </c>
      <c r="K30487" s="5">
        <v>0</v>
      </c>
    </row>
    <row r="30488" spans="1:11" x14ac:dyDescent="0.25">
      <c r="A30488" s="5">
        <f>30481</f>
      </c>
      <c r="B30488" s="5" t="s">
        <v>30496</v>
      </c>
      <c r="C30488" s="5">
        <v>106.1</v>
      </c>
      <c r="D30488" s="5">
        <v>0.1</v>
      </c>
      <c r="E30488" s="5">
        <v>106.2</v>
      </c>
      <c r="F30488" s="5">
        <v>212.1</v>
      </c>
      <c r="G30488" s="5">
        <v>105.8</v>
      </c>
      <c r="H30488" s="5">
        <v>105.6</v>
      </c>
      <c r="I30488" s="5">
        <v>0</v>
      </c>
      <c r="J30488" s="5">
        <v>0</v>
      </c>
      <c r="K30488" s="5">
        <v>0</v>
      </c>
    </row>
    <row r="30489" spans="1:11" x14ac:dyDescent="0.25">
      <c r="A30489" s="5">
        <f>30482</f>
      </c>
      <c r="B30489" s="5" t="s">
        <v>30497</v>
      </c>
      <c r="C30489" s="5">
        <v>105.9</v>
      </c>
      <c r="D30489" s="5">
        <v>0.1</v>
      </c>
      <c r="E30489" s="5">
        <v>106</v>
      </c>
      <c r="F30489" s="5">
        <v>212.1</v>
      </c>
      <c r="G30489" s="5">
        <v>105.8</v>
      </c>
      <c r="H30489" s="5">
        <v>105.6</v>
      </c>
      <c r="I30489" s="5">
        <v>0</v>
      </c>
      <c r="J30489" s="5">
        <v>0</v>
      </c>
      <c r="K30489" s="5">
        <v>0</v>
      </c>
    </row>
    <row r="30490" spans="1:11" x14ac:dyDescent="0.25">
      <c r="A30490" s="5">
        <f>30483</f>
      </c>
      <c r="B30490" s="5" t="s">
        <v>30498</v>
      </c>
      <c r="C30490" s="5">
        <v>105.9</v>
      </c>
      <c r="D30490" s="5">
        <v>0.1</v>
      </c>
      <c r="E30490" s="5">
        <v>106</v>
      </c>
      <c r="F30490" s="5">
        <v>212.1</v>
      </c>
      <c r="G30490" s="5">
        <v>105.8</v>
      </c>
      <c r="H30490" s="5">
        <v>105.6</v>
      </c>
      <c r="I30490" s="5">
        <v>0</v>
      </c>
      <c r="J30490" s="5">
        <v>0</v>
      </c>
      <c r="K30490" s="5">
        <v>0</v>
      </c>
    </row>
    <row r="30491" spans="1:11" x14ac:dyDescent="0.25">
      <c r="A30491" s="5">
        <f>30484</f>
      </c>
      <c r="B30491" s="5" t="s">
        <v>30499</v>
      </c>
      <c r="C30491" s="5">
        <v>106.4</v>
      </c>
      <c r="D30491" s="5">
        <v>0.1</v>
      </c>
      <c r="E30491" s="5">
        <v>106.6</v>
      </c>
      <c r="F30491" s="5">
        <v>211.6</v>
      </c>
      <c r="G30491" s="5">
        <v>105.6</v>
      </c>
      <c r="H30491" s="5">
        <v>105.4</v>
      </c>
      <c r="I30491" s="5">
        <v>0</v>
      </c>
      <c r="J30491" s="5">
        <v>0</v>
      </c>
      <c r="K30491" s="5">
        <v>0</v>
      </c>
    </row>
    <row r="30492" spans="1:11" x14ac:dyDescent="0.25">
      <c r="A30492" s="5">
        <f>30485</f>
      </c>
      <c r="B30492" s="5" t="s">
        <v>30500</v>
      </c>
      <c r="C30492" s="5">
        <v>106.4</v>
      </c>
      <c r="D30492" s="5">
        <v>0.1</v>
      </c>
      <c r="E30492" s="5">
        <v>106.6</v>
      </c>
      <c r="F30492" s="5">
        <v>211.6</v>
      </c>
      <c r="G30492" s="5">
        <v>105.6</v>
      </c>
      <c r="H30492" s="5">
        <v>105.4</v>
      </c>
      <c r="I30492" s="5">
        <v>0</v>
      </c>
      <c r="J30492" s="5">
        <v>0</v>
      </c>
      <c r="K30492" s="5">
        <v>0</v>
      </c>
    </row>
    <row r="30493" spans="1:11" x14ac:dyDescent="0.25">
      <c r="A30493" s="5">
        <f>30486</f>
      </c>
      <c r="B30493" s="5" t="s">
        <v>30501</v>
      </c>
      <c r="C30493" s="5">
        <v>106.4</v>
      </c>
      <c r="D30493" s="5">
        <v>0.1</v>
      </c>
      <c r="E30493" s="5">
        <v>106.6</v>
      </c>
      <c r="F30493" s="5">
        <v>212.8</v>
      </c>
      <c r="G30493" s="5">
        <v>106.2</v>
      </c>
      <c r="H30493" s="5">
        <v>106</v>
      </c>
      <c r="I30493" s="5">
        <v>0</v>
      </c>
      <c r="J30493" s="5">
        <v>0</v>
      </c>
      <c r="K30493" s="5">
        <v>0</v>
      </c>
    </row>
    <row r="30494" spans="1:11" x14ac:dyDescent="0.25">
      <c r="A30494" s="5">
        <f>30487</f>
      </c>
      <c r="B30494" s="5" t="s">
        <v>30502</v>
      </c>
      <c r="C30494" s="5">
        <v>106.4</v>
      </c>
      <c r="D30494" s="5">
        <v>0.1</v>
      </c>
      <c r="E30494" s="5">
        <v>106.6</v>
      </c>
      <c r="F30494" s="5">
        <v>212.8</v>
      </c>
      <c r="G30494" s="5">
        <v>106.2</v>
      </c>
      <c r="H30494" s="5">
        <v>106</v>
      </c>
      <c r="I30494" s="5">
        <v>0</v>
      </c>
      <c r="J30494" s="5">
        <v>0</v>
      </c>
      <c r="K30494" s="5">
        <v>0</v>
      </c>
    </row>
    <row r="30495" spans="1:11" x14ac:dyDescent="0.25">
      <c r="A30495" s="5">
        <f>30488</f>
      </c>
      <c r="B30495" s="5" t="s">
        <v>30503</v>
      </c>
      <c r="C30495" s="5">
        <v>106.4</v>
      </c>
      <c r="D30495" s="5">
        <v>0.1</v>
      </c>
      <c r="E30495" s="5">
        <v>106.6</v>
      </c>
      <c r="F30495" s="5">
        <v>212.8</v>
      </c>
      <c r="G30495" s="5">
        <v>106.2</v>
      </c>
      <c r="H30495" s="5">
        <v>106</v>
      </c>
      <c r="I30495" s="5">
        <v>0</v>
      </c>
      <c r="J30495" s="5">
        <v>0</v>
      </c>
      <c r="K30495" s="5">
        <v>0</v>
      </c>
    </row>
    <row r="30496" spans="1:11" x14ac:dyDescent="0.25">
      <c r="A30496" s="5">
        <f>30489</f>
      </c>
      <c r="B30496" s="5" t="s">
        <v>30504</v>
      </c>
      <c r="C30496" s="5">
        <v>105.6</v>
      </c>
      <c r="D30496" s="5">
        <v>0.1</v>
      </c>
      <c r="E30496" s="5">
        <v>105.8</v>
      </c>
      <c r="F30496" s="5">
        <v>211.4</v>
      </c>
      <c r="G30496" s="5">
        <v>105.5</v>
      </c>
      <c r="H30496" s="5">
        <v>105.3</v>
      </c>
      <c r="I30496" s="5">
        <v>0</v>
      </c>
      <c r="J30496" s="5">
        <v>0</v>
      </c>
      <c r="K30496" s="5">
        <v>0</v>
      </c>
    </row>
    <row r="30497" spans="1:11" x14ac:dyDescent="0.25">
      <c r="A30497" s="5">
        <f>30490</f>
      </c>
      <c r="B30497" s="5" t="s">
        <v>30505</v>
      </c>
      <c r="C30497" s="5">
        <v>105.6</v>
      </c>
      <c r="D30497" s="5">
        <v>0.1</v>
      </c>
      <c r="E30497" s="5">
        <v>105.8</v>
      </c>
      <c r="F30497" s="5">
        <v>211.4</v>
      </c>
      <c r="G30497" s="5">
        <v>105.5</v>
      </c>
      <c r="H30497" s="5">
        <v>105.3</v>
      </c>
      <c r="I30497" s="5">
        <v>0</v>
      </c>
      <c r="J30497" s="5">
        <v>0</v>
      </c>
      <c r="K30497" s="5">
        <v>0</v>
      </c>
    </row>
    <row r="30498" spans="1:11" x14ac:dyDescent="0.25">
      <c r="A30498" s="5">
        <f>30491</f>
      </c>
      <c r="B30498" s="5" t="s">
        <v>30506</v>
      </c>
      <c r="C30498" s="5">
        <v>106.6</v>
      </c>
      <c r="D30498" s="5">
        <v>0.1</v>
      </c>
      <c r="E30498" s="5">
        <v>106.7</v>
      </c>
      <c r="F30498" s="5">
        <v>212.6</v>
      </c>
      <c r="G30498" s="5">
        <v>106.1</v>
      </c>
      <c r="H30498" s="5">
        <v>105.3</v>
      </c>
      <c r="I30498" s="5">
        <v>0</v>
      </c>
      <c r="J30498" s="5">
        <v>0</v>
      </c>
      <c r="K30498" s="5">
        <v>0</v>
      </c>
    </row>
    <row r="30499" spans="1:11" x14ac:dyDescent="0.25">
      <c r="A30499" s="5">
        <f>30492</f>
      </c>
      <c r="B30499" s="5" t="s">
        <v>30507</v>
      </c>
      <c r="C30499" s="5">
        <v>106.6</v>
      </c>
      <c r="D30499" s="5">
        <v>0.1</v>
      </c>
      <c r="E30499" s="5">
        <v>106.7</v>
      </c>
      <c r="F30499" s="5">
        <v>212.6</v>
      </c>
      <c r="G30499" s="5">
        <v>106.1</v>
      </c>
      <c r="H30499" s="5">
        <v>105.9</v>
      </c>
      <c r="I30499" s="5">
        <v>0</v>
      </c>
      <c r="J30499" s="5">
        <v>0</v>
      </c>
      <c r="K30499" s="5">
        <v>0</v>
      </c>
    </row>
    <row r="30500" spans="1:11" x14ac:dyDescent="0.25">
      <c r="A30500" s="5">
        <f>30493</f>
      </c>
      <c r="B30500" s="5" t="s">
        <v>30508</v>
      </c>
      <c r="C30500" s="5">
        <v>105.6</v>
      </c>
      <c r="D30500" s="5">
        <v>0.1</v>
      </c>
      <c r="E30500" s="5">
        <v>105.7</v>
      </c>
      <c r="F30500" s="5">
        <v>212.6</v>
      </c>
      <c r="G30500" s="5">
        <v>106.1</v>
      </c>
      <c r="H30500" s="5">
        <v>105.9</v>
      </c>
      <c r="I30500" s="5">
        <v>0</v>
      </c>
      <c r="J30500" s="5">
        <v>0</v>
      </c>
      <c r="K30500" s="5">
        <v>0</v>
      </c>
    </row>
    <row r="30501" spans="1:11" x14ac:dyDescent="0.25">
      <c r="A30501" s="5">
        <f>30494</f>
      </c>
      <c r="B30501" s="5" t="s">
        <v>30509</v>
      </c>
      <c r="C30501" s="5">
        <v>105.6</v>
      </c>
      <c r="D30501" s="5">
        <v>0.1</v>
      </c>
      <c r="E30501" s="5">
        <v>105.7</v>
      </c>
      <c r="F30501" s="5">
        <v>211.6</v>
      </c>
      <c r="G30501" s="5">
        <v>105.6</v>
      </c>
      <c r="H30501" s="5">
        <v>105.4</v>
      </c>
      <c r="I30501" s="5">
        <v>0</v>
      </c>
      <c r="J30501" s="5">
        <v>0</v>
      </c>
      <c r="K30501" s="5">
        <v>0</v>
      </c>
    </row>
    <row r="30502" spans="1:11" x14ac:dyDescent="0.25">
      <c r="A30502" s="5">
        <f>30495</f>
      </c>
      <c r="B30502" s="5" t="s">
        <v>30510</v>
      </c>
      <c r="C30502" s="5">
        <v>106</v>
      </c>
      <c r="D30502" s="5">
        <v>0.1</v>
      </c>
      <c r="E30502" s="5">
        <v>105.7</v>
      </c>
      <c r="F30502" s="5">
        <v>211.6</v>
      </c>
      <c r="G30502" s="5">
        <v>105.6</v>
      </c>
      <c r="H30502" s="5">
        <v>105.4</v>
      </c>
      <c r="I30502" s="5">
        <v>0</v>
      </c>
      <c r="J30502" s="5">
        <v>0</v>
      </c>
      <c r="K30502" s="5">
        <v>0</v>
      </c>
    </row>
    <row r="30503" spans="1:11" x14ac:dyDescent="0.25">
      <c r="A30503" s="5">
        <f>30496</f>
      </c>
      <c r="B30503" s="5" t="s">
        <v>30511</v>
      </c>
      <c r="C30503" s="5">
        <v>106</v>
      </c>
      <c r="D30503" s="5">
        <v>0.1</v>
      </c>
      <c r="E30503" s="5">
        <v>106.2</v>
      </c>
      <c r="F30503" s="5">
        <v>211.5</v>
      </c>
      <c r="G30503" s="5">
        <v>105.5</v>
      </c>
      <c r="H30503" s="5">
        <v>105.4</v>
      </c>
      <c r="I30503" s="5">
        <v>0</v>
      </c>
      <c r="J30503" s="5">
        <v>0</v>
      </c>
      <c r="K30503" s="5">
        <v>0</v>
      </c>
    </row>
    <row r="30504" spans="1:11" x14ac:dyDescent="0.25">
      <c r="A30504" s="5">
        <f>30497</f>
      </c>
      <c r="B30504" s="5" t="s">
        <v>30512</v>
      </c>
      <c r="C30504" s="5">
        <v>106</v>
      </c>
      <c r="D30504" s="5">
        <v>0.1</v>
      </c>
      <c r="E30504" s="5">
        <v>106.2</v>
      </c>
      <c r="F30504" s="5">
        <v>211.5</v>
      </c>
      <c r="G30504" s="5">
        <v>105.5</v>
      </c>
      <c r="H30504" s="5">
        <v>105.4</v>
      </c>
      <c r="I30504" s="5">
        <v>0</v>
      </c>
      <c r="J30504" s="5">
        <v>0</v>
      </c>
      <c r="K30504" s="5">
        <v>0</v>
      </c>
    </row>
    <row r="30505" spans="1:11" x14ac:dyDescent="0.25">
      <c r="A30505" s="5">
        <f>30498</f>
      </c>
      <c r="B30505" s="5" t="s">
        <v>30513</v>
      </c>
      <c r="C30505" s="5">
        <v>106</v>
      </c>
      <c r="D30505" s="5">
        <v>0.1</v>
      </c>
      <c r="E30505" s="5">
        <v>106.2</v>
      </c>
      <c r="F30505" s="5">
        <v>211.5</v>
      </c>
      <c r="G30505" s="5">
        <v>105.5</v>
      </c>
      <c r="H30505" s="5">
        <v>105.4</v>
      </c>
      <c r="I30505" s="5">
        <v>0</v>
      </c>
      <c r="J30505" s="5">
        <v>0</v>
      </c>
      <c r="K30505" s="5">
        <v>0</v>
      </c>
    </row>
    <row r="30506" spans="1:11" x14ac:dyDescent="0.25">
      <c r="A30506" s="5">
        <f>30499</f>
      </c>
      <c r="B30506" s="5" t="s">
        <v>30514</v>
      </c>
      <c r="C30506" s="5">
        <v>106</v>
      </c>
      <c r="D30506" s="5">
        <v>0.1</v>
      </c>
      <c r="E30506" s="5">
        <v>106.2</v>
      </c>
      <c r="F30506" s="5">
        <v>211.5</v>
      </c>
      <c r="G30506" s="5">
        <v>105.5</v>
      </c>
      <c r="H30506" s="5">
        <v>105.4</v>
      </c>
      <c r="I30506" s="5">
        <v>0</v>
      </c>
      <c r="J30506" s="5">
        <v>0</v>
      </c>
      <c r="K30506" s="5">
        <v>0</v>
      </c>
    </row>
    <row r="30507" spans="1:11" x14ac:dyDescent="0.25">
      <c r="A30507" s="5">
        <f>30500</f>
      </c>
      <c r="B30507" s="5" t="s">
        <v>30515</v>
      </c>
      <c r="C30507" s="5">
        <v>106.7</v>
      </c>
      <c r="D30507" s="5">
        <v>0.1</v>
      </c>
      <c r="E30507" s="5">
        <v>106.9</v>
      </c>
      <c r="F30507" s="5">
        <v>211.5</v>
      </c>
      <c r="G30507" s="5">
        <v>105.6</v>
      </c>
      <c r="H30507" s="5">
        <v>105.5</v>
      </c>
      <c r="I30507" s="5">
        <v>0</v>
      </c>
      <c r="J30507" s="5">
        <v>0</v>
      </c>
      <c r="K30507" s="5">
        <v>0</v>
      </c>
    </row>
    <row r="30508" spans="1:11" x14ac:dyDescent="0.25">
      <c r="A30508" s="5">
        <f>30501</f>
      </c>
      <c r="B30508" s="5" t="s">
        <v>30516</v>
      </c>
      <c r="C30508" s="5">
        <v>106.7</v>
      </c>
      <c r="D30508" s="5">
        <v>0.1</v>
      </c>
      <c r="E30508" s="5">
        <v>106.9</v>
      </c>
      <c r="F30508" s="5">
        <v>211.5</v>
      </c>
      <c r="G30508" s="5">
        <v>105.6</v>
      </c>
      <c r="H30508" s="5">
        <v>105.5</v>
      </c>
      <c r="I30508" s="5">
        <v>0</v>
      </c>
      <c r="J30508" s="5">
        <v>0</v>
      </c>
      <c r="K30508" s="5">
        <v>0</v>
      </c>
    </row>
    <row r="30509" spans="1:11" x14ac:dyDescent="0.25">
      <c r="A30509" s="5">
        <f>30502</f>
      </c>
      <c r="B30509" s="5" t="s">
        <v>30517</v>
      </c>
      <c r="C30509" s="5">
        <v>105.6</v>
      </c>
      <c r="D30509" s="5">
        <v>0.1</v>
      </c>
      <c r="E30509" s="5">
        <v>105.7</v>
      </c>
      <c r="F30509" s="5">
        <v>211.7</v>
      </c>
      <c r="G30509" s="5">
        <v>105.6</v>
      </c>
      <c r="H30509" s="5">
        <v>105.5</v>
      </c>
      <c r="I30509" s="5">
        <v>0</v>
      </c>
      <c r="J30509" s="5">
        <v>0</v>
      </c>
      <c r="K30509" s="5">
        <v>0</v>
      </c>
    </row>
    <row r="30510" spans="1:11" x14ac:dyDescent="0.25">
      <c r="A30510" s="5">
        <f>30503</f>
      </c>
      <c r="B30510" s="5" t="s">
        <v>30518</v>
      </c>
      <c r="C30510" s="5">
        <v>105.6</v>
      </c>
      <c r="D30510" s="5">
        <v>0.1</v>
      </c>
      <c r="E30510" s="5">
        <v>105.7</v>
      </c>
      <c r="F30510" s="5">
        <v>211.7</v>
      </c>
      <c r="G30510" s="5">
        <v>105.6</v>
      </c>
      <c r="H30510" s="5">
        <v>105.5</v>
      </c>
      <c r="I30510" s="5">
        <v>0</v>
      </c>
      <c r="J30510" s="5">
        <v>0</v>
      </c>
      <c r="K30510" s="5">
        <v>0</v>
      </c>
    </row>
    <row r="30511" spans="1:11" x14ac:dyDescent="0.25">
      <c r="A30511" s="5">
        <f>30504</f>
      </c>
      <c r="B30511" s="5" t="s">
        <v>30519</v>
      </c>
      <c r="C30511" s="5">
        <v>106</v>
      </c>
      <c r="D30511" s="5">
        <v>0.1</v>
      </c>
      <c r="E30511" s="5">
        <v>106.2</v>
      </c>
      <c r="F30511" s="5">
        <v>211.2</v>
      </c>
      <c r="G30511" s="5">
        <v>105.4</v>
      </c>
      <c r="H30511" s="5">
        <v>105.4</v>
      </c>
      <c r="I30511" s="5">
        <v>0</v>
      </c>
      <c r="J30511" s="5">
        <v>0</v>
      </c>
      <c r="K30511" s="5">
        <v>0</v>
      </c>
    </row>
    <row r="30512" spans="1:11" x14ac:dyDescent="0.25">
      <c r="A30512" s="5">
        <f>30505</f>
      </c>
      <c r="B30512" s="5" t="s">
        <v>30520</v>
      </c>
      <c r="C30512" s="5">
        <v>106</v>
      </c>
      <c r="D30512" s="5">
        <v>0.1</v>
      </c>
      <c r="E30512" s="5">
        <v>106.2</v>
      </c>
      <c r="F30512" s="5">
        <v>211.2</v>
      </c>
      <c r="G30512" s="5">
        <v>105.4</v>
      </c>
      <c r="H30512" s="5">
        <v>105.4</v>
      </c>
      <c r="I30512" s="5">
        <v>0</v>
      </c>
      <c r="J30512" s="5">
        <v>0</v>
      </c>
      <c r="K30512" s="5">
        <v>0</v>
      </c>
    </row>
    <row r="30513" spans="1:11" x14ac:dyDescent="0.25">
      <c r="A30513" s="5">
        <f>30506</f>
      </c>
      <c r="B30513" s="5" t="s">
        <v>30521</v>
      </c>
      <c r="C30513" s="5">
        <v>106</v>
      </c>
      <c r="D30513" s="5">
        <v>0.1</v>
      </c>
      <c r="E30513" s="5">
        <v>106.2</v>
      </c>
      <c r="F30513" s="5">
        <v>211.2</v>
      </c>
      <c r="G30513" s="5">
        <v>105.4</v>
      </c>
      <c r="H30513" s="5">
        <v>105.4</v>
      </c>
      <c r="I30513" s="5">
        <v>0</v>
      </c>
      <c r="J30513" s="5">
        <v>0</v>
      </c>
      <c r="K30513" s="5">
        <v>0</v>
      </c>
    </row>
    <row r="30514" spans="1:11" x14ac:dyDescent="0.25">
      <c r="A30514" s="5">
        <f>30507</f>
      </c>
      <c r="B30514" s="5" t="s">
        <v>30522</v>
      </c>
      <c r="C30514" s="5">
        <v>106</v>
      </c>
      <c r="D30514" s="5">
        <v>0.1</v>
      </c>
      <c r="E30514" s="5">
        <v>106.2</v>
      </c>
      <c r="F30514" s="5">
        <v>211.2</v>
      </c>
      <c r="G30514" s="5">
        <v>105.4</v>
      </c>
      <c r="H30514" s="5">
        <v>105.4</v>
      </c>
      <c r="I30514" s="5">
        <v>0</v>
      </c>
      <c r="J30514" s="5">
        <v>0</v>
      </c>
      <c r="K30514" s="5">
        <v>0</v>
      </c>
    </row>
    <row r="30515" spans="1:11" x14ac:dyDescent="0.25">
      <c r="A30515" s="5">
        <f>30508</f>
      </c>
      <c r="B30515" s="5" t="s">
        <v>30523</v>
      </c>
      <c r="C30515" s="5">
        <v>106</v>
      </c>
      <c r="D30515" s="5">
        <v>0.1</v>
      </c>
      <c r="E30515" s="5">
        <v>106.2</v>
      </c>
      <c r="F30515" s="5">
        <v>211.2</v>
      </c>
      <c r="G30515" s="5">
        <v>105.4</v>
      </c>
      <c r="H30515" s="5">
        <v>105.4</v>
      </c>
      <c r="I30515" s="5">
        <v>0</v>
      </c>
      <c r="J30515" s="5">
        <v>0</v>
      </c>
      <c r="K30515" s="5">
        <v>0</v>
      </c>
    </row>
    <row r="30516" spans="1:11" x14ac:dyDescent="0.25">
      <c r="A30516" s="5">
        <f>30509</f>
      </c>
      <c r="B30516" s="5" t="s">
        <v>30524</v>
      </c>
      <c r="C30516" s="5">
        <v>106</v>
      </c>
      <c r="D30516" s="5">
        <v>0.1</v>
      </c>
      <c r="E30516" s="5">
        <v>106.2</v>
      </c>
      <c r="F30516" s="5">
        <v>211.2</v>
      </c>
      <c r="G30516" s="5">
        <v>105.4</v>
      </c>
      <c r="H30516" s="5">
        <v>105.4</v>
      </c>
      <c r="I30516" s="5">
        <v>0</v>
      </c>
      <c r="J30516" s="5">
        <v>0</v>
      </c>
      <c r="K30516" s="5">
        <v>0</v>
      </c>
    </row>
    <row r="30517" spans="1:11" x14ac:dyDescent="0.25">
      <c r="A30517" s="5">
        <f>30510</f>
      </c>
      <c r="B30517" s="5" t="s">
        <v>30525</v>
      </c>
      <c r="C30517" s="5">
        <v>105.1</v>
      </c>
      <c r="D30517" s="5">
        <v>0.1</v>
      </c>
      <c r="E30517" s="5">
        <v>105.3</v>
      </c>
      <c r="F30517" s="5">
        <v>209.8</v>
      </c>
      <c r="G30517" s="5">
        <v>104.6</v>
      </c>
      <c r="H30517" s="5">
        <v>104.5</v>
      </c>
      <c r="I30517" s="5">
        <v>0</v>
      </c>
      <c r="J30517" s="5">
        <v>0</v>
      </c>
      <c r="K30517" s="5">
        <v>0</v>
      </c>
    </row>
    <row r="30518" spans="1:11" x14ac:dyDescent="0.25">
      <c r="A30518" s="5">
        <f>30511</f>
      </c>
      <c r="B30518" s="5" t="s">
        <v>30526</v>
      </c>
      <c r="C30518" s="5">
        <v>105.1</v>
      </c>
      <c r="D30518" s="5">
        <v>0.1</v>
      </c>
      <c r="E30518" s="5">
        <v>105.3</v>
      </c>
      <c r="F30518" s="5">
        <v>209.8</v>
      </c>
      <c r="G30518" s="5">
        <v>104.6</v>
      </c>
      <c r="H30518" s="5">
        <v>104.5</v>
      </c>
      <c r="I30518" s="5">
        <v>0</v>
      </c>
      <c r="J30518" s="5">
        <v>0</v>
      </c>
      <c r="K30518" s="5">
        <v>0</v>
      </c>
    </row>
    <row r="30519" spans="1:11" x14ac:dyDescent="0.25">
      <c r="A30519" s="5">
        <f>30512</f>
      </c>
      <c r="B30519" s="5" t="s">
        <v>30527</v>
      </c>
      <c r="C30519" s="5">
        <v>105.3</v>
      </c>
      <c r="D30519" s="5">
        <v>0.1</v>
      </c>
      <c r="E30519" s="5">
        <v>105.4</v>
      </c>
      <c r="F30519" s="5">
        <v>210.6</v>
      </c>
      <c r="G30519" s="5">
        <v>105</v>
      </c>
      <c r="H30519" s="5">
        <v>104.9</v>
      </c>
      <c r="I30519" s="5">
        <v>0</v>
      </c>
      <c r="J30519" s="5">
        <v>0</v>
      </c>
      <c r="K30519" s="5">
        <v>0</v>
      </c>
    </row>
    <row r="30520" spans="1:11" x14ac:dyDescent="0.25">
      <c r="A30520" s="5">
        <f>30513</f>
      </c>
      <c r="B30520" s="5" t="s">
        <v>30528</v>
      </c>
      <c r="C30520" s="5">
        <v>105.3</v>
      </c>
      <c r="D30520" s="5">
        <v>0.1</v>
      </c>
      <c r="E30520" s="5">
        <v>105.4</v>
      </c>
      <c r="F30520" s="5">
        <v>210.6</v>
      </c>
      <c r="G30520" s="5">
        <v>105</v>
      </c>
      <c r="H30520" s="5">
        <v>104.9</v>
      </c>
      <c r="I30520" s="5">
        <v>0</v>
      </c>
      <c r="J30520" s="5">
        <v>0</v>
      </c>
      <c r="K30520" s="5">
        <v>0</v>
      </c>
    </row>
    <row r="30521" spans="1:11" x14ac:dyDescent="0.25">
      <c r="A30521" s="5">
        <f>30514</f>
      </c>
      <c r="B30521" s="5" t="s">
        <v>30529</v>
      </c>
      <c r="C30521" s="5">
        <v>104.2</v>
      </c>
      <c r="D30521" s="5">
        <v>0.1</v>
      </c>
      <c r="E30521" s="5">
        <v>104.3</v>
      </c>
      <c r="F30521" s="5">
        <v>208.7</v>
      </c>
      <c r="G30521" s="5">
        <v>104.1</v>
      </c>
      <c r="H30521" s="5">
        <v>103.9</v>
      </c>
      <c r="I30521" s="5">
        <v>0</v>
      </c>
      <c r="J30521" s="5">
        <v>0</v>
      </c>
      <c r="K30521" s="5">
        <v>0</v>
      </c>
    </row>
    <row r="30522" spans="1:11" x14ac:dyDescent="0.25">
      <c r="A30522" s="5">
        <f>30515</f>
      </c>
      <c r="B30522" s="5" t="s">
        <v>30530</v>
      </c>
      <c r="C30522" s="5">
        <v>104.2</v>
      </c>
      <c r="D30522" s="5">
        <v>0.1</v>
      </c>
      <c r="E30522" s="5">
        <v>104.3</v>
      </c>
      <c r="F30522" s="5">
        <v>208.7</v>
      </c>
      <c r="G30522" s="5">
        <v>104.1</v>
      </c>
      <c r="H30522" s="5">
        <v>103.9</v>
      </c>
      <c r="I30522" s="5">
        <v>0</v>
      </c>
      <c r="J30522" s="5">
        <v>0</v>
      </c>
      <c r="K30522" s="5">
        <v>0</v>
      </c>
    </row>
    <row r="30523" spans="1:11" x14ac:dyDescent="0.25">
      <c r="A30523" s="5">
        <f>30516</f>
      </c>
      <c r="B30523" s="5" t="s">
        <v>30531</v>
      </c>
      <c r="C30523" s="5">
        <v>105.9</v>
      </c>
      <c r="D30523" s="5">
        <v>0.1</v>
      </c>
      <c r="E30523" s="5">
        <v>106.1</v>
      </c>
      <c r="F30523" s="5">
        <v>211.1</v>
      </c>
      <c r="G30523" s="5">
        <v>105.4</v>
      </c>
      <c r="H30523" s="5">
        <v>105.2</v>
      </c>
      <c r="I30523" s="5">
        <v>0</v>
      </c>
      <c r="J30523" s="5">
        <v>0</v>
      </c>
      <c r="K30523" s="5">
        <v>0</v>
      </c>
    </row>
    <row r="30524" spans="1:11" x14ac:dyDescent="0.25">
      <c r="A30524" s="5">
        <f>30517</f>
      </c>
      <c r="B30524" s="5" t="s">
        <v>30532</v>
      </c>
      <c r="C30524" s="5">
        <v>105.9</v>
      </c>
      <c r="D30524" s="5">
        <v>0.1</v>
      </c>
      <c r="E30524" s="5">
        <v>106.1</v>
      </c>
      <c r="F30524" s="5">
        <v>211.1</v>
      </c>
      <c r="G30524" s="5">
        <v>105.4</v>
      </c>
      <c r="H30524" s="5">
        <v>105.2</v>
      </c>
      <c r="I30524" s="5">
        <v>0</v>
      </c>
      <c r="J30524" s="5">
        <v>0</v>
      </c>
      <c r="K30524" s="5">
        <v>0</v>
      </c>
    </row>
    <row r="30525" spans="1:11" x14ac:dyDescent="0.25">
      <c r="A30525" s="5">
        <f>30518</f>
      </c>
      <c r="B30525" s="5" t="s">
        <v>30533</v>
      </c>
      <c r="C30525" s="5">
        <v>105.9</v>
      </c>
      <c r="D30525" s="5">
        <v>0.1</v>
      </c>
      <c r="E30525" s="5">
        <v>106.1</v>
      </c>
      <c r="F30525" s="5">
        <v>211.1</v>
      </c>
      <c r="G30525" s="5">
        <v>105.4</v>
      </c>
      <c r="H30525" s="5">
        <v>105.2</v>
      </c>
      <c r="I30525" s="5">
        <v>0</v>
      </c>
      <c r="J30525" s="5">
        <v>0</v>
      </c>
      <c r="K30525" s="5">
        <v>0</v>
      </c>
    </row>
    <row r="30526" spans="1:11" x14ac:dyDescent="0.25">
      <c r="A30526" s="5">
        <f>30519</f>
      </c>
      <c r="B30526" s="5" t="s">
        <v>30534</v>
      </c>
      <c r="C30526" s="5">
        <v>105.1</v>
      </c>
      <c r="D30526" s="5">
        <v>0.1</v>
      </c>
      <c r="E30526" s="5">
        <v>105.3</v>
      </c>
      <c r="F30526" s="5">
        <v>209.8</v>
      </c>
      <c r="G30526" s="5">
        <v>104.7</v>
      </c>
      <c r="H30526" s="5">
        <v>104.6</v>
      </c>
      <c r="I30526" s="5">
        <v>0</v>
      </c>
      <c r="J30526" s="5">
        <v>0</v>
      </c>
      <c r="K30526" s="5">
        <v>0</v>
      </c>
    </row>
    <row r="30527" spans="1:11" x14ac:dyDescent="0.25">
      <c r="A30527" s="5">
        <f>30520</f>
      </c>
      <c r="B30527" s="5" t="s">
        <v>30535</v>
      </c>
      <c r="C30527" s="5">
        <v>105.1</v>
      </c>
      <c r="D30527" s="5">
        <v>0.1</v>
      </c>
      <c r="E30527" s="5">
        <v>105.3</v>
      </c>
      <c r="F30527" s="5">
        <v>209.8</v>
      </c>
      <c r="G30527" s="5">
        <v>104.7</v>
      </c>
      <c r="H30527" s="5">
        <v>104.6</v>
      </c>
      <c r="I30527" s="5">
        <v>0</v>
      </c>
      <c r="J30527" s="5">
        <v>0</v>
      </c>
      <c r="K30527" s="5">
        <v>0</v>
      </c>
    </row>
    <row r="30528" spans="1:11" x14ac:dyDescent="0.25">
      <c r="A30528" s="5">
        <f>30521</f>
      </c>
      <c r="B30528" s="5" t="s">
        <v>30536</v>
      </c>
      <c r="C30528" s="5">
        <v>104.8</v>
      </c>
      <c r="D30528" s="5">
        <v>0.1</v>
      </c>
      <c r="E30528" s="5">
        <v>105</v>
      </c>
      <c r="F30528" s="5">
        <v>210</v>
      </c>
      <c r="G30528" s="5">
        <v>104.8</v>
      </c>
      <c r="H30528" s="5">
        <v>104.7</v>
      </c>
      <c r="I30528" s="5">
        <v>0</v>
      </c>
      <c r="J30528" s="5">
        <v>0</v>
      </c>
      <c r="K30528" s="5">
        <v>0</v>
      </c>
    </row>
    <row r="30529" spans="1:11" x14ac:dyDescent="0.25">
      <c r="A30529" s="5">
        <f>30522</f>
      </c>
      <c r="B30529" s="5" t="s">
        <v>30537</v>
      </c>
      <c r="C30529" s="5">
        <v>104.8</v>
      </c>
      <c r="D30529" s="5">
        <v>0.1</v>
      </c>
      <c r="E30529" s="5">
        <v>105</v>
      </c>
      <c r="F30529" s="5">
        <v>210</v>
      </c>
      <c r="G30529" s="5">
        <v>104.8</v>
      </c>
      <c r="H30529" s="5">
        <v>104.7</v>
      </c>
      <c r="I30529" s="5">
        <v>0</v>
      </c>
      <c r="J30529" s="5">
        <v>0</v>
      </c>
      <c r="K30529" s="5">
        <v>0</v>
      </c>
    </row>
    <row r="30530" spans="1:11" x14ac:dyDescent="0.25">
      <c r="A30530" s="5">
        <f>30523</f>
      </c>
      <c r="B30530" s="5" t="s">
        <v>30538</v>
      </c>
      <c r="C30530" s="5">
        <v>105.3</v>
      </c>
      <c r="D30530" s="5">
        <v>0.1</v>
      </c>
      <c r="E30530" s="5">
        <v>105.5</v>
      </c>
      <c r="F30530" s="5">
        <v>210</v>
      </c>
      <c r="G30530" s="5">
        <v>104.8</v>
      </c>
      <c r="H30530" s="5">
        <v>104.7</v>
      </c>
      <c r="I30530" s="5">
        <v>0</v>
      </c>
      <c r="J30530" s="5">
        <v>0</v>
      </c>
      <c r="K30530" s="5">
        <v>0</v>
      </c>
    </row>
    <row r="30531" spans="1:11" x14ac:dyDescent="0.25">
      <c r="A30531" s="5">
        <f>30524</f>
      </c>
      <c r="B30531" s="5" t="s">
        <v>30539</v>
      </c>
      <c r="C30531" s="5">
        <v>105.3</v>
      </c>
      <c r="D30531" s="5">
        <v>0.1</v>
      </c>
      <c r="E30531" s="5">
        <v>105.5</v>
      </c>
      <c r="F30531" s="5">
        <v>210</v>
      </c>
      <c r="G30531" s="5">
        <v>104.7</v>
      </c>
      <c r="H30531" s="5">
        <v>104.6</v>
      </c>
      <c r="I30531" s="5">
        <v>0</v>
      </c>
      <c r="J30531" s="5">
        <v>0</v>
      </c>
      <c r="K30531" s="5">
        <v>0</v>
      </c>
    </row>
    <row r="30532" spans="1:11" x14ac:dyDescent="0.25">
      <c r="A30532" s="5">
        <f>30525</f>
      </c>
      <c r="B30532" s="5" t="s">
        <v>30540</v>
      </c>
      <c r="C30532" s="5">
        <v>106.2</v>
      </c>
      <c r="D30532" s="5">
        <v>0.1</v>
      </c>
      <c r="E30532" s="5">
        <v>106.4</v>
      </c>
      <c r="F30532" s="5">
        <v>210</v>
      </c>
      <c r="G30532" s="5">
        <v>104.7</v>
      </c>
      <c r="H30532" s="5">
        <v>104.6</v>
      </c>
      <c r="I30532" s="5">
        <v>0</v>
      </c>
      <c r="J30532" s="5">
        <v>0</v>
      </c>
      <c r="K30532" s="5">
        <v>0</v>
      </c>
    </row>
    <row r="30533" spans="1:11" x14ac:dyDescent="0.25">
      <c r="A30533" s="5">
        <f>30526</f>
      </c>
      <c r="B30533" s="5" t="s">
        <v>30541</v>
      </c>
      <c r="C30533" s="5">
        <v>106.2</v>
      </c>
      <c r="D30533" s="5">
        <v>0.1</v>
      </c>
      <c r="E30533" s="5">
        <v>106.4</v>
      </c>
      <c r="F30533" s="5">
        <v>210.3</v>
      </c>
      <c r="G30533" s="5">
        <v>104.9</v>
      </c>
      <c r="H30533" s="5">
        <v>104.8</v>
      </c>
      <c r="I30533" s="5">
        <v>0</v>
      </c>
      <c r="J30533" s="5">
        <v>0</v>
      </c>
      <c r="K30533" s="5">
        <v>0</v>
      </c>
    </row>
    <row r="30534" spans="1:11" x14ac:dyDescent="0.25">
      <c r="A30534" s="5">
        <f>30527</f>
      </c>
      <c r="B30534" s="5" t="s">
        <v>30542</v>
      </c>
      <c r="C30534" s="5">
        <v>106.2</v>
      </c>
      <c r="D30534" s="5">
        <v>0.1</v>
      </c>
      <c r="E30534" s="5">
        <v>106.4</v>
      </c>
      <c r="F30534" s="5">
        <v>210.3</v>
      </c>
      <c r="G30534" s="5">
        <v>104.9</v>
      </c>
      <c r="H30534" s="5">
        <v>104.8</v>
      </c>
      <c r="I30534" s="5">
        <v>0</v>
      </c>
      <c r="J30534" s="5">
        <v>0</v>
      </c>
      <c r="K30534" s="5">
        <v>0</v>
      </c>
    </row>
    <row r="30535" spans="1:11" x14ac:dyDescent="0.25">
      <c r="A30535" s="5">
        <f>30528</f>
      </c>
      <c r="B30535" s="5" t="s">
        <v>30543</v>
      </c>
      <c r="C30535" s="5">
        <v>106.2</v>
      </c>
      <c r="D30535" s="5">
        <v>0.1</v>
      </c>
      <c r="E30535" s="5">
        <v>106.4</v>
      </c>
      <c r="F30535" s="5">
        <v>210.3</v>
      </c>
      <c r="G30535" s="5">
        <v>104.9</v>
      </c>
      <c r="H30535" s="5">
        <v>104.8</v>
      </c>
      <c r="I30535" s="5">
        <v>0</v>
      </c>
      <c r="J30535" s="5">
        <v>0</v>
      </c>
      <c r="K30535" s="5">
        <v>0</v>
      </c>
    </row>
    <row r="30536" spans="1:11" x14ac:dyDescent="0.25">
      <c r="A30536" s="5">
        <f>30529</f>
      </c>
      <c r="B30536" s="5" t="s">
        <v>30544</v>
      </c>
      <c r="C30536" s="5">
        <v>106.2</v>
      </c>
      <c r="D30536" s="5">
        <v>0.1</v>
      </c>
      <c r="E30536" s="5">
        <v>106.4</v>
      </c>
      <c r="F30536" s="5">
        <v>211</v>
      </c>
      <c r="G30536" s="5">
        <v>105.2</v>
      </c>
      <c r="H30536" s="5">
        <v>105.1</v>
      </c>
      <c r="I30536" s="5">
        <v>0</v>
      </c>
      <c r="J30536" s="5">
        <v>0</v>
      </c>
      <c r="K30536" s="5">
        <v>0</v>
      </c>
    </row>
    <row r="30537" spans="1:11" x14ac:dyDescent="0.25">
      <c r="A30537" s="5">
        <f>30530</f>
      </c>
      <c r="B30537" s="5" t="s">
        <v>30545</v>
      </c>
      <c r="C30537" s="5">
        <v>105.3</v>
      </c>
      <c r="D30537" s="5">
        <v>0.1</v>
      </c>
      <c r="E30537" s="5">
        <v>105.4</v>
      </c>
      <c r="F30537" s="5">
        <v>211</v>
      </c>
      <c r="G30537" s="5">
        <v>105.2</v>
      </c>
      <c r="H30537" s="5">
        <v>105.1</v>
      </c>
      <c r="I30537" s="5">
        <v>0</v>
      </c>
      <c r="J30537" s="5">
        <v>0</v>
      </c>
      <c r="K30537" s="5">
        <v>0</v>
      </c>
    </row>
    <row r="30538" spans="1:11" x14ac:dyDescent="0.25">
      <c r="A30538" s="5">
        <f>30531</f>
      </c>
      <c r="B30538" s="5" t="s">
        <v>30546</v>
      </c>
      <c r="C30538" s="5">
        <v>105.3</v>
      </c>
      <c r="D30538" s="5">
        <v>0.1</v>
      </c>
      <c r="E30538" s="5">
        <v>105.4</v>
      </c>
      <c r="F30538" s="5">
        <v>211</v>
      </c>
      <c r="G30538" s="5">
        <v>105.2</v>
      </c>
      <c r="H30538" s="5">
        <v>105.2</v>
      </c>
      <c r="I30538" s="5">
        <v>0</v>
      </c>
      <c r="J30538" s="5">
        <v>0</v>
      </c>
      <c r="K30538" s="5">
        <v>0</v>
      </c>
    </row>
    <row r="30539" spans="1:11" x14ac:dyDescent="0.25">
      <c r="A30539" s="5">
        <f>30532</f>
      </c>
      <c r="B30539" s="5" t="s">
        <v>30547</v>
      </c>
      <c r="C30539" s="5">
        <v>105.5</v>
      </c>
      <c r="D30539" s="5">
        <v>0.1</v>
      </c>
      <c r="E30539" s="5">
        <v>105.6</v>
      </c>
      <c r="F30539" s="5">
        <v>211.4</v>
      </c>
      <c r="G30539" s="5">
        <v>105.4</v>
      </c>
      <c r="H30539" s="5">
        <v>105.2</v>
      </c>
      <c r="I30539" s="5">
        <v>0</v>
      </c>
      <c r="J30539" s="5">
        <v>0</v>
      </c>
      <c r="K30539" s="5">
        <v>0</v>
      </c>
    </row>
    <row r="30540" spans="1:11" x14ac:dyDescent="0.25">
      <c r="A30540" s="5">
        <f>30533</f>
      </c>
      <c r="B30540" s="5" t="s">
        <v>30548</v>
      </c>
      <c r="C30540" s="5">
        <v>105.5</v>
      </c>
      <c r="D30540" s="5">
        <v>0.1</v>
      </c>
      <c r="E30540" s="5">
        <v>105.6</v>
      </c>
      <c r="F30540" s="5">
        <v>211.4</v>
      </c>
      <c r="G30540" s="5">
        <v>105.4</v>
      </c>
      <c r="H30540" s="5">
        <v>105.2</v>
      </c>
      <c r="I30540" s="5">
        <v>0</v>
      </c>
      <c r="J30540" s="5">
        <v>0</v>
      </c>
      <c r="K30540" s="5">
        <v>0</v>
      </c>
    </row>
    <row r="30541" spans="1:11" x14ac:dyDescent="0.25">
      <c r="A30541" s="5">
        <f>30534</f>
      </c>
      <c r="B30541" s="5" t="s">
        <v>30549</v>
      </c>
      <c r="C30541" s="5">
        <v>105.6</v>
      </c>
      <c r="D30541" s="5">
        <v>0.1</v>
      </c>
      <c r="E30541" s="5">
        <v>105.8</v>
      </c>
      <c r="F30541" s="5">
        <v>211.6</v>
      </c>
      <c r="G30541" s="5">
        <v>105.6</v>
      </c>
      <c r="H30541" s="5">
        <v>105.4</v>
      </c>
      <c r="I30541" s="5">
        <v>0</v>
      </c>
      <c r="J30541" s="5">
        <v>0</v>
      </c>
      <c r="K30541" s="5">
        <v>0</v>
      </c>
    </row>
    <row r="30542" spans="1:11" x14ac:dyDescent="0.25">
      <c r="A30542" s="5">
        <f>30535</f>
      </c>
      <c r="B30542" s="5" t="s">
        <v>30550</v>
      </c>
      <c r="C30542" s="5">
        <v>105.6</v>
      </c>
      <c r="D30542" s="5">
        <v>0.1</v>
      </c>
      <c r="E30542" s="5">
        <v>105.8</v>
      </c>
      <c r="F30542" s="5">
        <v>211.6</v>
      </c>
      <c r="G30542" s="5">
        <v>105.6</v>
      </c>
      <c r="H30542" s="5">
        <v>105.4</v>
      </c>
      <c r="I30542" s="5">
        <v>0</v>
      </c>
      <c r="J30542" s="5">
        <v>0</v>
      </c>
      <c r="K30542" s="5">
        <v>0</v>
      </c>
    </row>
    <row r="30543" spans="1:11" x14ac:dyDescent="0.25">
      <c r="A30543" s="5">
        <f>30536</f>
      </c>
      <c r="B30543" s="5" t="s">
        <v>30551</v>
      </c>
      <c r="C30543" s="5">
        <v>105.5</v>
      </c>
      <c r="D30543" s="5">
        <v>0.1</v>
      </c>
      <c r="E30543" s="5">
        <v>105.6</v>
      </c>
      <c r="F30543" s="5">
        <v>211</v>
      </c>
      <c r="G30543" s="5">
        <v>105.2</v>
      </c>
      <c r="H30543" s="5">
        <v>105.1</v>
      </c>
      <c r="I30543" s="5">
        <v>0</v>
      </c>
      <c r="J30543" s="5">
        <v>0</v>
      </c>
      <c r="K30543" s="5">
        <v>0</v>
      </c>
    </row>
    <row r="30544" spans="1:11" x14ac:dyDescent="0.25">
      <c r="A30544" s="5">
        <f>30537</f>
      </c>
      <c r="B30544" s="5" t="s">
        <v>30552</v>
      </c>
      <c r="C30544" s="5">
        <v>105.5</v>
      </c>
      <c r="D30544" s="5">
        <v>0.1</v>
      </c>
      <c r="E30544" s="5">
        <v>105.6</v>
      </c>
      <c r="F30544" s="5">
        <v>211</v>
      </c>
      <c r="G30544" s="5">
        <v>105.2</v>
      </c>
      <c r="H30544" s="5">
        <v>105.1</v>
      </c>
      <c r="I30544" s="5">
        <v>0</v>
      </c>
      <c r="J30544" s="5">
        <v>0</v>
      </c>
      <c r="K30544" s="5">
        <v>0</v>
      </c>
    </row>
    <row r="30545" spans="1:11" x14ac:dyDescent="0.25">
      <c r="A30545" s="5">
        <f>30538</f>
      </c>
      <c r="B30545" s="5" t="s">
        <v>30553</v>
      </c>
      <c r="C30545" s="5">
        <v>105.5</v>
      </c>
      <c r="D30545" s="5">
        <v>0.1</v>
      </c>
      <c r="E30545" s="5">
        <v>105.6</v>
      </c>
      <c r="F30545" s="5">
        <v>211</v>
      </c>
      <c r="G30545" s="5">
        <v>105.2</v>
      </c>
      <c r="H30545" s="5">
        <v>105.1</v>
      </c>
      <c r="I30545" s="5">
        <v>0</v>
      </c>
      <c r="J30545" s="5">
        <v>0</v>
      </c>
      <c r="K30545" s="5">
        <v>0</v>
      </c>
    </row>
    <row r="30546" spans="1:11" x14ac:dyDescent="0.25">
      <c r="A30546" s="5">
        <f>30539</f>
      </c>
      <c r="B30546" s="5" t="s">
        <v>30554</v>
      </c>
      <c r="C30546" s="5">
        <v>105.8</v>
      </c>
      <c r="D30546" s="5">
        <v>0.1</v>
      </c>
      <c r="E30546" s="5">
        <v>105.9</v>
      </c>
      <c r="F30546" s="5">
        <v>210.2</v>
      </c>
      <c r="G30546" s="5">
        <v>105</v>
      </c>
      <c r="H30546" s="5">
        <v>104.9</v>
      </c>
      <c r="I30546" s="5">
        <v>0</v>
      </c>
      <c r="J30546" s="5">
        <v>0</v>
      </c>
      <c r="K30546" s="5">
        <v>0</v>
      </c>
    </row>
    <row r="30547" spans="1:11" x14ac:dyDescent="0.25">
      <c r="A30547" s="5">
        <f>30540</f>
      </c>
      <c r="B30547" s="5" t="s">
        <v>30555</v>
      </c>
      <c r="C30547" s="5">
        <v>105.8</v>
      </c>
      <c r="D30547" s="5">
        <v>0.1</v>
      </c>
      <c r="E30547" s="5">
        <v>105.9</v>
      </c>
      <c r="F30547" s="5">
        <v>210.2</v>
      </c>
      <c r="G30547" s="5">
        <v>105</v>
      </c>
      <c r="H30547" s="5">
        <v>104.9</v>
      </c>
      <c r="I30547" s="5">
        <v>0</v>
      </c>
      <c r="J30547" s="5">
        <v>0</v>
      </c>
      <c r="K30547" s="5">
        <v>0</v>
      </c>
    </row>
    <row r="30548" spans="1:11" x14ac:dyDescent="0.25">
      <c r="A30548" s="5">
        <f>30541</f>
      </c>
      <c r="B30548" s="5" t="s">
        <v>30556</v>
      </c>
      <c r="C30548" s="5">
        <v>105</v>
      </c>
      <c r="D30548" s="5">
        <v>0.1</v>
      </c>
      <c r="E30548" s="5">
        <v>105.2</v>
      </c>
      <c r="F30548" s="5">
        <v>210.3</v>
      </c>
      <c r="G30548" s="5">
        <v>104.9</v>
      </c>
      <c r="H30548" s="5">
        <v>104.8</v>
      </c>
      <c r="I30548" s="5">
        <v>0</v>
      </c>
      <c r="J30548" s="5">
        <v>0</v>
      </c>
      <c r="K30548" s="5">
        <v>0</v>
      </c>
    </row>
    <row r="30549" spans="1:11" x14ac:dyDescent="0.25">
      <c r="A30549" s="5">
        <f>30542</f>
      </c>
      <c r="B30549" s="5" t="s">
        <v>30557</v>
      </c>
      <c r="C30549" s="5">
        <v>105</v>
      </c>
      <c r="D30549" s="5">
        <v>0.1</v>
      </c>
      <c r="E30549" s="5">
        <v>105.2</v>
      </c>
      <c r="F30549" s="5">
        <v>210.3</v>
      </c>
      <c r="G30549" s="5">
        <v>104.9</v>
      </c>
      <c r="H30549" s="5">
        <v>104.8</v>
      </c>
      <c r="I30549" s="5">
        <v>0</v>
      </c>
      <c r="J30549" s="5">
        <v>0</v>
      </c>
      <c r="K30549" s="5">
        <v>0</v>
      </c>
    </row>
    <row r="30550" spans="1:11" x14ac:dyDescent="0.25">
      <c r="A30550" s="5">
        <f>30543</f>
      </c>
      <c r="B30550" s="5" t="s">
        <v>30558</v>
      </c>
      <c r="C30550" s="5">
        <v>105</v>
      </c>
      <c r="D30550" s="5">
        <v>0.1</v>
      </c>
      <c r="E30550" s="5">
        <v>104.3</v>
      </c>
      <c r="F30550" s="5">
        <v>210.4</v>
      </c>
      <c r="G30550" s="5">
        <v>104.9</v>
      </c>
      <c r="H30550" s="5">
        <v>104.6</v>
      </c>
      <c r="I30550" s="5">
        <v>0</v>
      </c>
      <c r="J30550" s="5">
        <v>0</v>
      </c>
      <c r="K30550" s="5">
        <v>0</v>
      </c>
    </row>
    <row r="30551" spans="1:11" x14ac:dyDescent="0.25">
      <c r="A30551" s="5">
        <f>30544</f>
      </c>
      <c r="B30551" s="5" t="s">
        <v>30559</v>
      </c>
      <c r="C30551" s="5">
        <v>104.2</v>
      </c>
      <c r="D30551" s="5">
        <v>0.1</v>
      </c>
      <c r="E30551" s="5">
        <v>104.3</v>
      </c>
      <c r="F30551" s="5">
        <v>210.4</v>
      </c>
      <c r="G30551" s="5">
        <v>104.9</v>
      </c>
      <c r="H30551" s="5">
        <v>104.6</v>
      </c>
      <c r="I30551" s="5">
        <v>0</v>
      </c>
      <c r="J30551" s="5">
        <v>0</v>
      </c>
      <c r="K30551" s="5">
        <v>0</v>
      </c>
    </row>
    <row r="30552" spans="1:11" x14ac:dyDescent="0.25">
      <c r="A30552" s="5">
        <f>30545</f>
      </c>
      <c r="B30552" s="5" t="s">
        <v>30560</v>
      </c>
      <c r="C30552" s="5">
        <v>104.2</v>
      </c>
      <c r="D30552" s="5">
        <v>0.1</v>
      </c>
      <c r="E30552" s="5">
        <v>104.3</v>
      </c>
      <c r="F30552" s="5">
        <v>211.1</v>
      </c>
      <c r="G30552" s="5">
        <v>105.3</v>
      </c>
      <c r="H30552" s="5">
        <v>105.1</v>
      </c>
      <c r="I30552" s="5">
        <v>0</v>
      </c>
      <c r="J30552" s="5">
        <v>0</v>
      </c>
      <c r="K30552" s="5">
        <v>0</v>
      </c>
    </row>
    <row r="30553" spans="1:11" x14ac:dyDescent="0.25">
      <c r="A30553" s="5">
        <f>30546</f>
      </c>
      <c r="B30553" s="5" t="s">
        <v>30561</v>
      </c>
      <c r="C30553" s="5">
        <v>105.6</v>
      </c>
      <c r="D30553" s="5">
        <v>0.1</v>
      </c>
      <c r="E30553" s="5">
        <v>105.8</v>
      </c>
      <c r="F30553" s="5">
        <v>211.1</v>
      </c>
      <c r="G30553" s="5">
        <v>105.3</v>
      </c>
      <c r="H30553" s="5">
        <v>105.1</v>
      </c>
      <c r="I30553" s="5">
        <v>0</v>
      </c>
      <c r="J30553" s="5">
        <v>0</v>
      </c>
      <c r="K30553" s="5">
        <v>0</v>
      </c>
    </row>
    <row r="30554" spans="1:11" x14ac:dyDescent="0.25">
      <c r="A30554" s="5">
        <f>30547</f>
      </c>
      <c r="B30554" s="5" t="s">
        <v>30562</v>
      </c>
      <c r="C30554" s="5">
        <v>105.6</v>
      </c>
      <c r="D30554" s="5">
        <v>0.1</v>
      </c>
      <c r="E30554" s="5">
        <v>105.8</v>
      </c>
      <c r="F30554" s="5">
        <v>211.1</v>
      </c>
      <c r="G30554" s="5">
        <v>105.3</v>
      </c>
      <c r="H30554" s="5">
        <v>105.1</v>
      </c>
      <c r="I30554" s="5">
        <v>0</v>
      </c>
      <c r="J30554" s="5">
        <v>0</v>
      </c>
      <c r="K30554" s="5">
        <v>0</v>
      </c>
    </row>
    <row r="30555" spans="1:11" x14ac:dyDescent="0.25">
      <c r="A30555" s="5">
        <f>30548</f>
      </c>
      <c r="B30555" s="5" t="s">
        <v>30563</v>
      </c>
      <c r="C30555" s="5">
        <v>105.6</v>
      </c>
      <c r="D30555" s="5">
        <v>0.1</v>
      </c>
      <c r="E30555" s="5">
        <v>105.8</v>
      </c>
      <c r="F30555" s="5">
        <v>211.1</v>
      </c>
      <c r="G30555" s="5">
        <v>105.3</v>
      </c>
      <c r="H30555" s="5">
        <v>105.1</v>
      </c>
      <c r="I30555" s="5">
        <v>0</v>
      </c>
      <c r="J30555" s="5">
        <v>0</v>
      </c>
      <c r="K30555" s="5">
        <v>0</v>
      </c>
    </row>
    <row r="30556" spans="1:11" x14ac:dyDescent="0.25">
      <c r="A30556" s="5">
        <f>30549</f>
      </c>
      <c r="B30556" s="5" t="s">
        <v>30564</v>
      </c>
      <c r="C30556" s="5">
        <v>105.5</v>
      </c>
      <c r="D30556" s="5">
        <v>0.1</v>
      </c>
      <c r="E30556" s="5">
        <v>105.6</v>
      </c>
      <c r="F30556" s="5">
        <v>210.6</v>
      </c>
      <c r="G30556" s="5">
        <v>105.1</v>
      </c>
      <c r="H30556" s="5">
        <v>104.9</v>
      </c>
      <c r="I30556" s="5">
        <v>0</v>
      </c>
      <c r="J30556" s="5">
        <v>0</v>
      </c>
      <c r="K30556" s="5">
        <v>0</v>
      </c>
    </row>
    <row r="30557" spans="1:11" x14ac:dyDescent="0.25">
      <c r="A30557" s="5">
        <f>30550</f>
      </c>
      <c r="B30557" s="5" t="s">
        <v>30565</v>
      </c>
      <c r="C30557" s="5">
        <v>105.5</v>
      </c>
      <c r="D30557" s="5">
        <v>0.1</v>
      </c>
      <c r="E30557" s="5">
        <v>105.6</v>
      </c>
      <c r="F30557" s="5">
        <v>210.6</v>
      </c>
      <c r="G30557" s="5">
        <v>105.1</v>
      </c>
      <c r="H30557" s="5">
        <v>104.9</v>
      </c>
      <c r="I30557" s="5">
        <v>0</v>
      </c>
      <c r="J30557" s="5">
        <v>0</v>
      </c>
      <c r="K30557" s="5">
        <v>0</v>
      </c>
    </row>
    <row r="30558" spans="1:11" x14ac:dyDescent="0.25">
      <c r="A30558" s="5">
        <f>30551</f>
      </c>
      <c r="B30558" s="5" t="s">
        <v>30566</v>
      </c>
      <c r="C30558" s="5">
        <v>105.6</v>
      </c>
      <c r="D30558" s="5">
        <v>0.1</v>
      </c>
      <c r="E30558" s="5">
        <v>105.7</v>
      </c>
      <c r="F30558" s="5">
        <v>210.9</v>
      </c>
      <c r="G30558" s="5">
        <v>105.2</v>
      </c>
      <c r="H30558" s="5">
        <v>105.1</v>
      </c>
      <c r="I30558" s="5">
        <v>0</v>
      </c>
      <c r="J30558" s="5">
        <v>0</v>
      </c>
      <c r="K30558" s="5">
        <v>0</v>
      </c>
    </row>
    <row r="30559" spans="1:11" x14ac:dyDescent="0.25">
      <c r="A30559" s="5">
        <f>30552</f>
      </c>
      <c r="B30559" s="5" t="s">
        <v>30567</v>
      </c>
      <c r="C30559" s="5">
        <v>105.6</v>
      </c>
      <c r="D30559" s="5">
        <v>0.1</v>
      </c>
      <c r="E30559" s="5">
        <v>105.7</v>
      </c>
      <c r="F30559" s="5">
        <v>210.9</v>
      </c>
      <c r="G30559" s="5">
        <v>105.2</v>
      </c>
      <c r="H30559" s="5">
        <v>105.1</v>
      </c>
      <c r="I30559" s="5">
        <v>0</v>
      </c>
      <c r="J30559" s="5">
        <v>0</v>
      </c>
      <c r="K30559" s="5">
        <v>0</v>
      </c>
    </row>
    <row r="30560" spans="1:11" x14ac:dyDescent="0.25">
      <c r="A30560" s="5">
        <f>30553</f>
      </c>
      <c r="B30560" s="5" t="s">
        <v>30568</v>
      </c>
      <c r="C30560" s="5">
        <v>105.7</v>
      </c>
      <c r="D30560" s="5">
        <v>0.1</v>
      </c>
      <c r="E30560" s="5">
        <v>105.9</v>
      </c>
      <c r="F30560" s="5">
        <v>210.8</v>
      </c>
      <c r="G30560" s="5">
        <v>105.2</v>
      </c>
      <c r="H30560" s="5">
        <v>105</v>
      </c>
      <c r="I30560" s="5">
        <v>0</v>
      </c>
      <c r="J30560" s="5">
        <v>0</v>
      </c>
      <c r="K30560" s="5">
        <v>0</v>
      </c>
    </row>
    <row r="30561" spans="1:11" x14ac:dyDescent="0.25">
      <c r="A30561" s="5">
        <f>30554</f>
      </c>
      <c r="B30561" s="5" t="s">
        <v>30569</v>
      </c>
      <c r="C30561" s="5">
        <v>105.7</v>
      </c>
      <c r="D30561" s="5">
        <v>0.1</v>
      </c>
      <c r="E30561" s="5">
        <v>105.9</v>
      </c>
      <c r="F30561" s="5">
        <v>210.8</v>
      </c>
      <c r="G30561" s="5">
        <v>105.2</v>
      </c>
      <c r="H30561" s="5">
        <v>105</v>
      </c>
      <c r="I30561" s="5">
        <v>0</v>
      </c>
      <c r="J30561" s="5">
        <v>0</v>
      </c>
      <c r="K30561" s="5">
        <v>0</v>
      </c>
    </row>
    <row r="30562" spans="1:11" x14ac:dyDescent="0.25">
      <c r="A30562" s="5">
        <f>30555</f>
      </c>
      <c r="B30562" s="5" t="s">
        <v>30570</v>
      </c>
      <c r="C30562" s="5">
        <v>105.8</v>
      </c>
      <c r="D30562" s="5">
        <v>0.1</v>
      </c>
      <c r="E30562" s="5">
        <v>105.9</v>
      </c>
      <c r="F30562" s="5">
        <v>211.2</v>
      </c>
      <c r="G30562" s="5">
        <v>105.3</v>
      </c>
      <c r="H30562" s="5">
        <v>105.2</v>
      </c>
      <c r="I30562" s="5">
        <v>0</v>
      </c>
      <c r="J30562" s="5">
        <v>0</v>
      </c>
      <c r="K30562" s="5">
        <v>0</v>
      </c>
    </row>
    <row r="30563" spans="1:11" x14ac:dyDescent="0.25">
      <c r="A30563" s="5">
        <f>30556</f>
      </c>
      <c r="B30563" s="5" t="s">
        <v>30571</v>
      </c>
      <c r="C30563" s="5">
        <v>105.8</v>
      </c>
      <c r="D30563" s="5">
        <v>0.1</v>
      </c>
      <c r="E30563" s="5">
        <v>105.9</v>
      </c>
      <c r="F30563" s="5">
        <v>211.2</v>
      </c>
      <c r="G30563" s="5">
        <v>105.3</v>
      </c>
      <c r="H30563" s="5">
        <v>105.2</v>
      </c>
      <c r="I30563" s="5">
        <v>0</v>
      </c>
      <c r="J30563" s="5">
        <v>0</v>
      </c>
      <c r="K30563" s="5">
        <v>0</v>
      </c>
    </row>
    <row r="30564" spans="1:11" x14ac:dyDescent="0.25">
      <c r="A30564" s="5">
        <f>30557</f>
      </c>
      <c r="B30564" s="5" t="s">
        <v>30572</v>
      </c>
      <c r="C30564" s="5">
        <v>105.8</v>
      </c>
      <c r="D30564" s="5">
        <v>0.1</v>
      </c>
      <c r="E30564" s="5">
        <v>105.9</v>
      </c>
      <c r="F30564" s="5">
        <v>211.2</v>
      </c>
      <c r="G30564" s="5">
        <v>105.3</v>
      </c>
      <c r="H30564" s="5">
        <v>105.2</v>
      </c>
      <c r="I30564" s="5">
        <v>0</v>
      </c>
      <c r="J30564" s="5">
        <v>0</v>
      </c>
      <c r="K30564" s="5">
        <v>0</v>
      </c>
    </row>
    <row r="30565" spans="1:11" x14ac:dyDescent="0.25">
      <c r="A30565" s="5">
        <f>30558</f>
      </c>
      <c r="B30565" s="5" t="s">
        <v>30573</v>
      </c>
      <c r="C30565" s="5">
        <v>105.8</v>
      </c>
      <c r="D30565" s="5">
        <v>0.1</v>
      </c>
      <c r="E30565" s="5">
        <v>105.9</v>
      </c>
      <c r="F30565" s="5">
        <v>211.2</v>
      </c>
      <c r="G30565" s="5">
        <v>105.3</v>
      </c>
      <c r="H30565" s="5">
        <v>105.2</v>
      </c>
      <c r="I30565" s="5">
        <v>0</v>
      </c>
      <c r="J30565" s="5">
        <v>0</v>
      </c>
      <c r="K30565" s="5">
        <v>0</v>
      </c>
    </row>
    <row r="30566" spans="1:11" x14ac:dyDescent="0.25">
      <c r="A30566" s="5">
        <f>30559</f>
      </c>
      <c r="B30566" s="5" t="s">
        <v>30574</v>
      </c>
      <c r="C30566" s="5">
        <v>105.7</v>
      </c>
      <c r="D30566" s="5">
        <v>0.1</v>
      </c>
      <c r="E30566" s="5">
        <v>105.9</v>
      </c>
      <c r="F30566" s="5">
        <v>210.8</v>
      </c>
      <c r="G30566" s="5">
        <v>105.2</v>
      </c>
      <c r="H30566" s="5">
        <v>105.1</v>
      </c>
      <c r="I30566" s="5">
        <v>0</v>
      </c>
      <c r="J30566" s="5">
        <v>0</v>
      </c>
      <c r="K30566" s="5">
        <v>0</v>
      </c>
    </row>
    <row r="30567" spans="1:11" x14ac:dyDescent="0.25">
      <c r="A30567" s="5">
        <f>30560</f>
      </c>
      <c r="B30567" s="5" t="s">
        <v>30575</v>
      </c>
      <c r="C30567" s="5">
        <v>105.7</v>
      </c>
      <c r="D30567" s="5">
        <v>0.1</v>
      </c>
      <c r="E30567" s="5">
        <v>105.9</v>
      </c>
      <c r="F30567" s="5">
        <v>210.8</v>
      </c>
      <c r="G30567" s="5">
        <v>105.2</v>
      </c>
      <c r="H30567" s="5">
        <v>105.1</v>
      </c>
      <c r="I30567" s="5">
        <v>0</v>
      </c>
      <c r="J30567" s="5">
        <v>0</v>
      </c>
      <c r="K30567" s="5">
        <v>0</v>
      </c>
    </row>
    <row r="30568" spans="1:11" x14ac:dyDescent="0.25">
      <c r="A30568" s="5">
        <f>30561</f>
      </c>
      <c r="B30568" s="5" t="s">
        <v>30576</v>
      </c>
      <c r="C30568" s="5">
        <v>105</v>
      </c>
      <c r="D30568" s="5">
        <v>0.1</v>
      </c>
      <c r="E30568" s="5">
        <v>105.1</v>
      </c>
      <c r="F30568" s="5">
        <v>210.6</v>
      </c>
      <c r="G30568" s="5">
        <v>105.1</v>
      </c>
      <c r="H30568" s="5">
        <v>104.9</v>
      </c>
      <c r="I30568" s="5">
        <v>0</v>
      </c>
      <c r="J30568" s="5">
        <v>0</v>
      </c>
      <c r="K30568" s="5">
        <v>0</v>
      </c>
    </row>
    <row r="30569" spans="1:11" x14ac:dyDescent="0.25">
      <c r="A30569" s="5">
        <f>30562</f>
      </c>
      <c r="B30569" s="5" t="s">
        <v>30577</v>
      </c>
      <c r="C30569" s="5">
        <v>105</v>
      </c>
      <c r="D30569" s="5">
        <v>0.1</v>
      </c>
      <c r="E30569" s="5">
        <v>105.1</v>
      </c>
      <c r="F30569" s="5">
        <v>210.6</v>
      </c>
      <c r="G30569" s="5">
        <v>105.1</v>
      </c>
      <c r="H30569" s="5">
        <v>104.9</v>
      </c>
      <c r="I30569" s="5">
        <v>0</v>
      </c>
      <c r="J30569" s="5">
        <v>0</v>
      </c>
      <c r="K30569" s="5">
        <v>0</v>
      </c>
    </row>
    <row r="30570" spans="1:11" x14ac:dyDescent="0.25">
      <c r="A30570" s="5">
        <f>30563</f>
      </c>
      <c r="B30570" s="5" t="s">
        <v>30578</v>
      </c>
      <c r="C30570" s="5">
        <v>105.6</v>
      </c>
      <c r="D30570" s="5">
        <v>0.1</v>
      </c>
      <c r="E30570" s="5">
        <v>105.7</v>
      </c>
      <c r="F30570" s="5">
        <v>208.4</v>
      </c>
      <c r="G30570" s="5">
        <v>103.9</v>
      </c>
      <c r="H30570" s="5">
        <v>103.8</v>
      </c>
      <c r="I30570" s="5">
        <v>0</v>
      </c>
      <c r="J30570" s="5">
        <v>0</v>
      </c>
      <c r="K30570" s="5">
        <v>0</v>
      </c>
    </row>
    <row r="30571" spans="1:11" x14ac:dyDescent="0.25">
      <c r="A30571" s="5">
        <f>30564</f>
      </c>
      <c r="B30571" s="5" t="s">
        <v>30579</v>
      </c>
      <c r="C30571" s="5">
        <v>105.6</v>
      </c>
      <c r="D30571" s="5">
        <v>0.1</v>
      </c>
      <c r="E30571" s="5">
        <v>105.7</v>
      </c>
      <c r="F30571" s="5">
        <v>208.4</v>
      </c>
      <c r="G30571" s="5">
        <v>103.9</v>
      </c>
      <c r="H30571" s="5">
        <v>103.8</v>
      </c>
      <c r="I30571" s="5">
        <v>0</v>
      </c>
      <c r="J30571" s="5">
        <v>0</v>
      </c>
      <c r="K30571" s="5">
        <v>0</v>
      </c>
    </row>
    <row r="30572" spans="1:11" x14ac:dyDescent="0.25">
      <c r="A30572" s="5">
        <f>30565</f>
      </c>
      <c r="B30572" s="5" t="s">
        <v>30580</v>
      </c>
      <c r="C30572" s="5">
        <v>105.6</v>
      </c>
      <c r="D30572" s="5">
        <v>0.1</v>
      </c>
      <c r="E30572" s="5">
        <v>105.8</v>
      </c>
      <c r="F30572" s="5">
        <v>209.3</v>
      </c>
      <c r="G30572" s="5">
        <v>104.6</v>
      </c>
      <c r="H30572" s="5">
        <v>104.5</v>
      </c>
      <c r="I30572" s="5">
        <v>0</v>
      </c>
      <c r="J30572" s="5">
        <v>0</v>
      </c>
      <c r="K30572" s="5">
        <v>0</v>
      </c>
    </row>
    <row r="30573" spans="1:11" x14ac:dyDescent="0.25">
      <c r="A30573" s="5">
        <f>30566</f>
      </c>
      <c r="B30573" s="5" t="s">
        <v>30581</v>
      </c>
      <c r="C30573" s="5">
        <v>105.6</v>
      </c>
      <c r="D30573" s="5">
        <v>0.1</v>
      </c>
      <c r="E30573" s="5">
        <v>105.8</v>
      </c>
      <c r="F30573" s="5">
        <v>209.3</v>
      </c>
      <c r="G30573" s="5">
        <v>104.6</v>
      </c>
      <c r="H30573" s="5">
        <v>104.5</v>
      </c>
      <c r="I30573" s="5">
        <v>0</v>
      </c>
      <c r="J30573" s="5">
        <v>0</v>
      </c>
      <c r="K30573" s="5">
        <v>0</v>
      </c>
    </row>
    <row r="30574" spans="1:11" x14ac:dyDescent="0.25">
      <c r="A30574" s="5">
        <f>30567</f>
      </c>
      <c r="B30574" s="5" t="s">
        <v>30582</v>
      </c>
      <c r="C30574" s="5">
        <v>105.6</v>
      </c>
      <c r="D30574" s="5">
        <v>0.1</v>
      </c>
      <c r="E30574" s="5">
        <v>105.8</v>
      </c>
      <c r="F30574" s="5">
        <v>209.3</v>
      </c>
      <c r="G30574" s="5">
        <v>104.6</v>
      </c>
      <c r="H30574" s="5">
        <v>104.5</v>
      </c>
      <c r="I30574" s="5">
        <v>0</v>
      </c>
      <c r="J30574" s="5">
        <v>0</v>
      </c>
      <c r="K30574" s="5">
        <v>0</v>
      </c>
    </row>
    <row r="30575" spans="1:11" x14ac:dyDescent="0.25">
      <c r="A30575" s="5">
        <f>30568</f>
      </c>
      <c r="B30575" s="5" t="s">
        <v>30583</v>
      </c>
      <c r="C30575" s="5">
        <v>105.6</v>
      </c>
      <c r="D30575" s="5">
        <v>0.1</v>
      </c>
      <c r="E30575" s="5">
        <v>105.8</v>
      </c>
      <c r="F30575" s="5">
        <v>209.3</v>
      </c>
      <c r="G30575" s="5">
        <v>104.6</v>
      </c>
      <c r="H30575" s="5">
        <v>104.5</v>
      </c>
      <c r="I30575" s="5">
        <v>0</v>
      </c>
      <c r="J30575" s="5">
        <v>0</v>
      </c>
      <c r="K30575" s="5">
        <v>0</v>
      </c>
    </row>
    <row r="30576" spans="1:11" x14ac:dyDescent="0.25">
      <c r="A30576" s="5">
        <f>30569</f>
      </c>
      <c r="B30576" s="5" t="s">
        <v>30584</v>
      </c>
      <c r="C30576" s="5">
        <v>105.2</v>
      </c>
      <c r="D30576" s="5">
        <v>0.1</v>
      </c>
      <c r="E30576" s="5">
        <v>105.3</v>
      </c>
      <c r="F30576" s="5">
        <v>210.2</v>
      </c>
      <c r="G30576" s="5">
        <v>104.9</v>
      </c>
      <c r="H30576" s="5">
        <v>104.7</v>
      </c>
      <c r="I30576" s="5">
        <v>0</v>
      </c>
      <c r="J30576" s="5">
        <v>0</v>
      </c>
      <c r="K30576" s="5">
        <v>0</v>
      </c>
    </row>
    <row r="30577" spans="1:11" x14ac:dyDescent="0.25">
      <c r="A30577" s="5">
        <f>30570</f>
      </c>
      <c r="B30577" s="5" t="s">
        <v>30585</v>
      </c>
      <c r="C30577" s="5">
        <v>105.2</v>
      </c>
      <c r="D30577" s="5">
        <v>0.1</v>
      </c>
      <c r="E30577" s="5">
        <v>105.3</v>
      </c>
      <c r="F30577" s="5">
        <v>210.2</v>
      </c>
      <c r="G30577" s="5">
        <v>104.9</v>
      </c>
      <c r="H30577" s="5">
        <v>104.7</v>
      </c>
      <c r="I30577" s="5">
        <v>0</v>
      </c>
      <c r="J30577" s="5">
        <v>0</v>
      </c>
      <c r="K30577" s="5">
        <v>0</v>
      </c>
    </row>
    <row r="30578" spans="1:11" x14ac:dyDescent="0.25">
      <c r="A30578" s="5">
        <f>30571</f>
      </c>
      <c r="B30578" s="5" t="s">
        <v>30586</v>
      </c>
      <c r="C30578" s="5">
        <v>104.4</v>
      </c>
      <c r="D30578" s="5">
        <v>0.1</v>
      </c>
      <c r="E30578" s="5">
        <v>104.6</v>
      </c>
      <c r="F30578" s="5">
        <v>209</v>
      </c>
      <c r="G30578" s="5">
        <v>104.2</v>
      </c>
      <c r="H30578" s="5">
        <v>103.9</v>
      </c>
      <c r="I30578" s="5">
        <v>0</v>
      </c>
      <c r="J30578" s="5">
        <v>0</v>
      </c>
      <c r="K30578" s="5">
        <v>0</v>
      </c>
    </row>
    <row r="30579" spans="1:11" x14ac:dyDescent="0.25">
      <c r="A30579" s="5">
        <f>30572</f>
      </c>
      <c r="B30579" s="5" t="s">
        <v>30587</v>
      </c>
      <c r="C30579" s="5">
        <v>104.4</v>
      </c>
      <c r="D30579" s="5">
        <v>0.1</v>
      </c>
      <c r="E30579" s="5">
        <v>104.6</v>
      </c>
      <c r="F30579" s="5">
        <v>209</v>
      </c>
      <c r="G30579" s="5">
        <v>104.2</v>
      </c>
      <c r="H30579" s="5">
        <v>103.9</v>
      </c>
      <c r="I30579" s="5">
        <v>0</v>
      </c>
      <c r="J30579" s="5">
        <v>0</v>
      </c>
      <c r="K30579" s="5">
        <v>0</v>
      </c>
    </row>
    <row r="30580" spans="1:11" x14ac:dyDescent="0.25">
      <c r="A30580" s="5">
        <f>30573</f>
      </c>
      <c r="B30580" s="5" t="s">
        <v>30588</v>
      </c>
      <c r="C30580" s="5">
        <v>104.4</v>
      </c>
      <c r="D30580" s="5">
        <v>0.1</v>
      </c>
      <c r="E30580" s="5">
        <v>104.6</v>
      </c>
      <c r="F30580" s="5">
        <v>209</v>
      </c>
      <c r="G30580" s="5">
        <v>104.2</v>
      </c>
      <c r="H30580" s="5">
        <v>103.9</v>
      </c>
      <c r="I30580" s="5">
        <v>0</v>
      </c>
      <c r="J30580" s="5">
        <v>0</v>
      </c>
      <c r="K30580" s="5">
        <v>0</v>
      </c>
    </row>
    <row r="30581" spans="1:11" x14ac:dyDescent="0.25">
      <c r="A30581" s="5">
        <f>30574</f>
      </c>
      <c r="B30581" s="5" t="s">
        <v>30589</v>
      </c>
      <c r="C30581" s="5">
        <v>105</v>
      </c>
      <c r="D30581" s="5">
        <v>0.1</v>
      </c>
      <c r="E30581" s="5">
        <v>105.1</v>
      </c>
      <c r="F30581" s="5">
        <v>209.8</v>
      </c>
      <c r="G30581" s="5">
        <v>104.7</v>
      </c>
      <c r="H30581" s="5">
        <v>104.5</v>
      </c>
      <c r="I30581" s="5">
        <v>0</v>
      </c>
      <c r="J30581" s="5">
        <v>0</v>
      </c>
      <c r="K30581" s="5">
        <v>0</v>
      </c>
    </row>
    <row r="30582" spans="1:11" x14ac:dyDescent="0.25">
      <c r="A30582" s="5">
        <f>30575</f>
      </c>
      <c r="B30582" s="5" t="s">
        <v>30590</v>
      </c>
      <c r="C30582" s="5">
        <v>105</v>
      </c>
      <c r="D30582" s="5">
        <v>0.1</v>
      </c>
      <c r="E30582" s="5">
        <v>105.1</v>
      </c>
      <c r="F30582" s="5">
        <v>209.8</v>
      </c>
      <c r="G30582" s="5">
        <v>104.7</v>
      </c>
      <c r="H30582" s="5">
        <v>104.5</v>
      </c>
      <c r="I30582" s="5">
        <v>0</v>
      </c>
      <c r="J30582" s="5">
        <v>0</v>
      </c>
      <c r="K30582" s="5">
        <v>0</v>
      </c>
    </row>
    <row r="30583" spans="1:11" x14ac:dyDescent="0.25">
      <c r="A30583" s="5">
        <f>30576</f>
      </c>
      <c r="B30583" s="5" t="s">
        <v>30591</v>
      </c>
      <c r="C30583" s="5">
        <v>104</v>
      </c>
      <c r="D30583" s="5">
        <v>0.1</v>
      </c>
      <c r="E30583" s="5">
        <v>104.2</v>
      </c>
      <c r="F30583" s="5">
        <v>208.8</v>
      </c>
      <c r="G30583" s="5">
        <v>104.1</v>
      </c>
      <c r="H30583" s="5">
        <v>103.9</v>
      </c>
      <c r="I30583" s="5">
        <v>0</v>
      </c>
      <c r="J30583" s="5">
        <v>0</v>
      </c>
      <c r="K30583" s="5">
        <v>0</v>
      </c>
    </row>
    <row r="30584" spans="1:11" x14ac:dyDescent="0.25">
      <c r="A30584" s="5">
        <f>30577</f>
      </c>
      <c r="B30584" s="5" t="s">
        <v>30592</v>
      </c>
      <c r="C30584" s="5">
        <v>104</v>
      </c>
      <c r="D30584" s="5">
        <v>0.1</v>
      </c>
      <c r="E30584" s="5">
        <v>104.2</v>
      </c>
      <c r="F30584" s="5">
        <v>208.8</v>
      </c>
      <c r="G30584" s="5">
        <v>104.1</v>
      </c>
      <c r="H30584" s="5">
        <v>103.9</v>
      </c>
      <c r="I30584" s="5">
        <v>0</v>
      </c>
      <c r="J30584" s="5">
        <v>0</v>
      </c>
      <c r="K30584" s="5">
        <v>0</v>
      </c>
    </row>
    <row r="30585" spans="1:11" x14ac:dyDescent="0.25">
      <c r="A30585" s="5">
        <f>30578</f>
      </c>
      <c r="B30585" s="5" t="s">
        <v>30593</v>
      </c>
      <c r="C30585" s="5">
        <v>105.1</v>
      </c>
      <c r="D30585" s="5">
        <v>0.1</v>
      </c>
      <c r="E30585" s="5">
        <v>105.3</v>
      </c>
      <c r="F30585" s="5">
        <v>208.7</v>
      </c>
      <c r="G30585" s="5">
        <v>104.2</v>
      </c>
      <c r="H30585" s="5">
        <v>104.1</v>
      </c>
      <c r="I30585" s="5">
        <v>0</v>
      </c>
      <c r="J30585" s="5">
        <v>0</v>
      </c>
      <c r="K30585" s="5">
        <v>0</v>
      </c>
    </row>
    <row r="30586" spans="1:11" x14ac:dyDescent="0.25">
      <c r="A30586" s="5">
        <f>30579</f>
      </c>
      <c r="B30586" s="5" t="s">
        <v>30594</v>
      </c>
      <c r="C30586" s="5">
        <v>105.1</v>
      </c>
      <c r="D30586" s="5">
        <v>0.1</v>
      </c>
      <c r="E30586" s="5">
        <v>105.3</v>
      </c>
      <c r="F30586" s="5">
        <v>208.7</v>
      </c>
      <c r="G30586" s="5">
        <v>104.2</v>
      </c>
      <c r="H30586" s="5">
        <v>104.1</v>
      </c>
      <c r="I30586" s="5">
        <v>0</v>
      </c>
      <c r="J30586" s="5">
        <v>0</v>
      </c>
      <c r="K30586" s="5">
        <v>0</v>
      </c>
    </row>
    <row r="30587" spans="1:11" x14ac:dyDescent="0.25">
      <c r="A30587" s="5">
        <f>30580</f>
      </c>
      <c r="B30587" s="5" t="s">
        <v>30595</v>
      </c>
      <c r="C30587" s="5">
        <v>105.4</v>
      </c>
      <c r="D30587" s="5">
        <v>0.1</v>
      </c>
      <c r="E30587" s="5">
        <v>105.6</v>
      </c>
      <c r="F30587" s="5">
        <v>210.2</v>
      </c>
      <c r="G30587" s="5">
        <v>104.9</v>
      </c>
      <c r="H30587" s="5">
        <v>104.8</v>
      </c>
      <c r="I30587" s="5">
        <v>0</v>
      </c>
      <c r="J30587" s="5">
        <v>0</v>
      </c>
      <c r="K30587" s="5">
        <v>0</v>
      </c>
    </row>
    <row r="30588" spans="1:11" x14ac:dyDescent="0.25">
      <c r="A30588" s="5">
        <f>30581</f>
      </c>
      <c r="B30588" s="5" t="s">
        <v>30596</v>
      </c>
      <c r="C30588" s="5">
        <v>105.4</v>
      </c>
      <c r="D30588" s="5">
        <v>0.1</v>
      </c>
      <c r="E30588" s="5">
        <v>105.6</v>
      </c>
      <c r="F30588" s="5">
        <v>210.2</v>
      </c>
      <c r="G30588" s="5">
        <v>104.9</v>
      </c>
      <c r="H30588" s="5">
        <v>104.8</v>
      </c>
      <c r="I30588" s="5">
        <v>0</v>
      </c>
      <c r="J30588" s="5">
        <v>0</v>
      </c>
      <c r="K30588" s="5">
        <v>0</v>
      </c>
    </row>
    <row r="30589" spans="1:11" x14ac:dyDescent="0.25">
      <c r="A30589" s="5">
        <f>30582</f>
      </c>
      <c r="B30589" s="5" t="s">
        <v>30597</v>
      </c>
      <c r="C30589" s="5">
        <v>105.9</v>
      </c>
      <c r="D30589" s="5">
        <v>0.1</v>
      </c>
      <c r="E30589" s="5">
        <v>106.1</v>
      </c>
      <c r="F30589" s="5">
        <v>209.7</v>
      </c>
      <c r="G30589" s="5">
        <v>104.7</v>
      </c>
      <c r="H30589" s="5">
        <v>104.6</v>
      </c>
      <c r="I30589" s="5">
        <v>0</v>
      </c>
      <c r="J30589" s="5">
        <v>0</v>
      </c>
      <c r="K30589" s="5">
        <v>0</v>
      </c>
    </row>
    <row r="30590" spans="1:11" x14ac:dyDescent="0.25">
      <c r="A30590" s="5">
        <f>30583</f>
      </c>
      <c r="B30590" s="5" t="s">
        <v>30598</v>
      </c>
      <c r="C30590" s="5">
        <v>105.9</v>
      </c>
      <c r="D30590" s="5">
        <v>0.1</v>
      </c>
      <c r="E30590" s="5">
        <v>106.1</v>
      </c>
      <c r="F30590" s="5">
        <v>209.7</v>
      </c>
      <c r="G30590" s="5">
        <v>104.7</v>
      </c>
      <c r="H30590" s="5">
        <v>104.6</v>
      </c>
      <c r="I30590" s="5">
        <v>0</v>
      </c>
      <c r="J30590" s="5">
        <v>0</v>
      </c>
      <c r="K30590" s="5">
        <v>0</v>
      </c>
    </row>
    <row r="30591" spans="1:11" x14ac:dyDescent="0.25">
      <c r="A30591" s="5">
        <f>30584</f>
      </c>
      <c r="B30591" s="5" t="s">
        <v>30599</v>
      </c>
      <c r="C30591" s="5">
        <v>105.9</v>
      </c>
      <c r="D30591" s="5">
        <v>0.1</v>
      </c>
      <c r="E30591" s="5">
        <v>106.1</v>
      </c>
      <c r="F30591" s="5">
        <v>209.7</v>
      </c>
      <c r="G30591" s="5">
        <v>104.7</v>
      </c>
      <c r="H30591" s="5">
        <v>104.6</v>
      </c>
      <c r="I30591" s="5">
        <v>0</v>
      </c>
      <c r="J30591" s="5">
        <v>0</v>
      </c>
      <c r="K30591" s="5">
        <v>0</v>
      </c>
    </row>
    <row r="30592" spans="1:11" x14ac:dyDescent="0.25">
      <c r="A30592" s="5">
        <f>30585</f>
      </c>
      <c r="B30592" s="5" t="s">
        <v>30600</v>
      </c>
      <c r="C30592" s="5">
        <v>105.9</v>
      </c>
      <c r="D30592" s="5">
        <v>0.1</v>
      </c>
      <c r="E30592" s="5">
        <v>106.1</v>
      </c>
      <c r="F30592" s="5">
        <v>209.7</v>
      </c>
      <c r="G30592" s="5">
        <v>104.7</v>
      </c>
      <c r="H30592" s="5">
        <v>104.6</v>
      </c>
      <c r="I30592" s="5">
        <v>0</v>
      </c>
      <c r="J30592" s="5">
        <v>0</v>
      </c>
      <c r="K30592" s="5">
        <v>0</v>
      </c>
    </row>
    <row r="30593" spans="1:11" x14ac:dyDescent="0.25">
      <c r="A30593" s="5">
        <f>30586</f>
      </c>
      <c r="B30593" s="5" t="s">
        <v>30601</v>
      </c>
      <c r="C30593" s="5">
        <v>106</v>
      </c>
      <c r="D30593" s="5">
        <v>0.1</v>
      </c>
      <c r="E30593" s="5">
        <v>106.2</v>
      </c>
      <c r="F30593" s="5">
        <v>211.7</v>
      </c>
      <c r="G30593" s="5">
        <v>105.6</v>
      </c>
      <c r="H30593" s="5">
        <v>105.5</v>
      </c>
      <c r="I30593" s="5">
        <v>0</v>
      </c>
      <c r="J30593" s="5">
        <v>0</v>
      </c>
      <c r="K30593" s="5">
        <v>0</v>
      </c>
    </row>
    <row r="30594" spans="1:11" x14ac:dyDescent="0.25">
      <c r="A30594" s="5">
        <f>30587</f>
      </c>
      <c r="B30594" s="5" t="s">
        <v>30602</v>
      </c>
      <c r="C30594" s="5">
        <v>106</v>
      </c>
      <c r="D30594" s="5">
        <v>0.1</v>
      </c>
      <c r="E30594" s="5">
        <v>106.2</v>
      </c>
      <c r="F30594" s="5">
        <v>211.7</v>
      </c>
      <c r="G30594" s="5">
        <v>105.6</v>
      </c>
      <c r="H30594" s="5">
        <v>105.5</v>
      </c>
      <c r="I30594" s="5">
        <v>0</v>
      </c>
      <c r="J30594" s="5">
        <v>0</v>
      </c>
      <c r="K30594" s="5">
        <v>0</v>
      </c>
    </row>
    <row r="30595" spans="1:11" x14ac:dyDescent="0.25">
      <c r="A30595" s="5">
        <f>30588</f>
      </c>
      <c r="B30595" s="5" t="s">
        <v>30603</v>
      </c>
      <c r="C30595" s="5">
        <v>105.8</v>
      </c>
      <c r="D30595" s="5">
        <v>0.1</v>
      </c>
      <c r="E30595" s="5">
        <v>105.9</v>
      </c>
      <c r="F30595" s="5">
        <v>211.3</v>
      </c>
      <c r="G30595" s="5">
        <v>105.5</v>
      </c>
      <c r="H30595" s="5">
        <v>105.3</v>
      </c>
      <c r="I30595" s="5">
        <v>0</v>
      </c>
      <c r="J30595" s="5">
        <v>0</v>
      </c>
      <c r="K30595" s="5">
        <v>0</v>
      </c>
    </row>
    <row r="30596" spans="1:11" x14ac:dyDescent="0.25">
      <c r="A30596" s="5">
        <f>30589</f>
      </c>
      <c r="B30596" s="5" t="s">
        <v>30604</v>
      </c>
      <c r="C30596" s="5">
        <v>105.8</v>
      </c>
      <c r="D30596" s="5">
        <v>0.1</v>
      </c>
      <c r="E30596" s="5">
        <v>105.9</v>
      </c>
      <c r="F30596" s="5">
        <v>211.3</v>
      </c>
      <c r="G30596" s="5">
        <v>105.5</v>
      </c>
      <c r="H30596" s="5">
        <v>105.3</v>
      </c>
      <c r="I30596" s="5">
        <v>0</v>
      </c>
      <c r="J30596" s="5">
        <v>0</v>
      </c>
      <c r="K30596" s="5">
        <v>0</v>
      </c>
    </row>
    <row r="30597" spans="1:11" x14ac:dyDescent="0.25">
      <c r="A30597" s="5">
        <f>30590</f>
      </c>
      <c r="B30597" s="5" t="s">
        <v>30605</v>
      </c>
      <c r="C30597" s="5">
        <v>106.1</v>
      </c>
      <c r="D30597" s="5">
        <v>0.1</v>
      </c>
      <c r="E30597" s="5">
        <v>106.2</v>
      </c>
      <c r="F30597" s="5">
        <v>211.6</v>
      </c>
      <c r="G30597" s="5">
        <v>105.5</v>
      </c>
      <c r="H30597" s="5">
        <v>105.3</v>
      </c>
      <c r="I30597" s="5">
        <v>0</v>
      </c>
      <c r="J30597" s="5">
        <v>0</v>
      </c>
      <c r="K30597" s="5">
        <v>0</v>
      </c>
    </row>
    <row r="30598" spans="1:11" x14ac:dyDescent="0.25">
      <c r="A30598" s="5">
        <f>30591</f>
      </c>
      <c r="B30598" s="5" t="s">
        <v>30606</v>
      </c>
      <c r="C30598" s="5">
        <v>106.1</v>
      </c>
      <c r="D30598" s="5">
        <v>0.1</v>
      </c>
      <c r="E30598" s="5">
        <v>106.2</v>
      </c>
      <c r="F30598" s="5">
        <v>211.6</v>
      </c>
      <c r="G30598" s="5">
        <v>105.5</v>
      </c>
      <c r="H30598" s="5">
        <v>105.3</v>
      </c>
      <c r="I30598" s="5">
        <v>0</v>
      </c>
      <c r="J30598" s="5">
        <v>0</v>
      </c>
      <c r="K30598" s="5">
        <v>0</v>
      </c>
    </row>
    <row r="30599" spans="1:11" x14ac:dyDescent="0.25">
      <c r="A30599" s="5">
        <f>30592</f>
      </c>
      <c r="B30599" s="5" t="s">
        <v>30607</v>
      </c>
      <c r="C30599" s="5">
        <v>105.3</v>
      </c>
      <c r="D30599" s="5">
        <v>0.1</v>
      </c>
      <c r="E30599" s="5">
        <v>105.5</v>
      </c>
      <c r="F30599" s="5">
        <v>210.8</v>
      </c>
      <c r="G30599" s="5">
        <v>105.1</v>
      </c>
      <c r="H30599" s="5">
        <v>105</v>
      </c>
      <c r="I30599" s="5">
        <v>0</v>
      </c>
      <c r="J30599" s="5">
        <v>0</v>
      </c>
      <c r="K30599" s="5">
        <v>0</v>
      </c>
    </row>
    <row r="30600" spans="1:11" x14ac:dyDescent="0.25">
      <c r="A30600" s="5">
        <f>30593</f>
      </c>
      <c r="B30600" s="5" t="s">
        <v>30608</v>
      </c>
      <c r="C30600" s="5">
        <v>105.3</v>
      </c>
      <c r="D30600" s="5">
        <v>0.1</v>
      </c>
      <c r="E30600" s="5">
        <v>105.5</v>
      </c>
      <c r="F30600" s="5">
        <v>210.8</v>
      </c>
      <c r="G30600" s="5">
        <v>105.1</v>
      </c>
      <c r="H30600" s="5">
        <v>105</v>
      </c>
      <c r="I30600" s="5">
        <v>0</v>
      </c>
      <c r="J30600" s="5">
        <v>0</v>
      </c>
      <c r="K30600" s="5">
        <v>0</v>
      </c>
    </row>
    <row r="30601" spans="1:11" x14ac:dyDescent="0.25">
      <c r="A30601" s="5">
        <f>30594</f>
      </c>
      <c r="B30601" s="5" t="s">
        <v>30609</v>
      </c>
      <c r="C30601" s="5">
        <v>105.3</v>
      </c>
      <c r="D30601" s="5">
        <v>0.1</v>
      </c>
      <c r="E30601" s="5">
        <v>105.5</v>
      </c>
      <c r="F30601" s="5">
        <v>210.8</v>
      </c>
      <c r="G30601" s="5">
        <v>105.1</v>
      </c>
      <c r="H30601" s="5">
        <v>105</v>
      </c>
      <c r="I30601" s="5">
        <v>0</v>
      </c>
      <c r="J30601" s="5">
        <v>0</v>
      </c>
      <c r="K30601" s="5">
        <v>0</v>
      </c>
    </row>
    <row r="30602" spans="1:11" x14ac:dyDescent="0.25">
      <c r="A30602" s="5">
        <f>30595</f>
      </c>
      <c r="B30602" s="5" t="s">
        <v>30610</v>
      </c>
      <c r="C30602" s="5">
        <v>105.3</v>
      </c>
      <c r="D30602" s="5">
        <v>0.1</v>
      </c>
      <c r="E30602" s="5">
        <v>105.5</v>
      </c>
      <c r="F30602" s="5">
        <v>210.8</v>
      </c>
      <c r="G30602" s="5">
        <v>105.1</v>
      </c>
      <c r="H30602" s="5">
        <v>105</v>
      </c>
      <c r="I30602" s="5">
        <v>0</v>
      </c>
      <c r="J30602" s="5">
        <v>0</v>
      </c>
      <c r="K30602" s="5">
        <v>0</v>
      </c>
    </row>
    <row r="30603" spans="1:11" x14ac:dyDescent="0.25">
      <c r="A30603" s="5">
        <f>30596</f>
      </c>
      <c r="B30603" s="5" t="s">
        <v>30611</v>
      </c>
      <c r="C30603" s="5">
        <v>105.9</v>
      </c>
      <c r="D30603" s="5">
        <v>0.1</v>
      </c>
      <c r="E30603" s="5">
        <v>106</v>
      </c>
      <c r="F30603" s="5">
        <v>211.5</v>
      </c>
      <c r="G30603" s="5">
        <v>105.5</v>
      </c>
      <c r="H30603" s="5">
        <v>105.3</v>
      </c>
      <c r="I30603" s="5">
        <v>0</v>
      </c>
      <c r="J30603" s="5">
        <v>0</v>
      </c>
      <c r="K30603" s="5">
        <v>0</v>
      </c>
    </row>
    <row r="30604" spans="1:11" x14ac:dyDescent="0.25">
      <c r="A30604" s="5">
        <f>30597</f>
      </c>
      <c r="B30604" s="5" t="s">
        <v>30612</v>
      </c>
      <c r="C30604" s="5">
        <v>105.9</v>
      </c>
      <c r="D30604" s="5">
        <v>0.1</v>
      </c>
      <c r="E30604" s="5">
        <v>106</v>
      </c>
      <c r="F30604" s="5">
        <v>211.5</v>
      </c>
      <c r="G30604" s="5">
        <v>105.5</v>
      </c>
      <c r="H30604" s="5">
        <v>105.3</v>
      </c>
      <c r="I30604" s="5">
        <v>0</v>
      </c>
      <c r="J30604" s="5">
        <v>0</v>
      </c>
      <c r="K30604" s="5">
        <v>0</v>
      </c>
    </row>
    <row r="30605" spans="1:11" x14ac:dyDescent="0.25">
      <c r="A30605" s="5">
        <f>30598</f>
      </c>
      <c r="B30605" s="5" t="s">
        <v>30613</v>
      </c>
      <c r="C30605" s="5">
        <v>106.7</v>
      </c>
      <c r="D30605" s="5">
        <v>0.1</v>
      </c>
      <c r="E30605" s="5">
        <v>106.9</v>
      </c>
      <c r="F30605" s="5">
        <v>211.9</v>
      </c>
      <c r="G30605" s="5">
        <v>105.3</v>
      </c>
      <c r="H30605" s="5">
        <v>104.9</v>
      </c>
      <c r="I30605" s="5">
        <v>0</v>
      </c>
      <c r="J30605" s="5">
        <v>0</v>
      </c>
      <c r="K30605" s="5">
        <v>0</v>
      </c>
    </row>
    <row r="30606" spans="1:11" x14ac:dyDescent="0.25">
      <c r="A30606" s="5">
        <f>30599</f>
      </c>
      <c r="B30606" s="5" t="s">
        <v>30614</v>
      </c>
      <c r="C30606" s="5">
        <v>106.7</v>
      </c>
      <c r="D30606" s="5">
        <v>0.1</v>
      </c>
      <c r="E30606" s="5">
        <v>106.9</v>
      </c>
      <c r="F30606" s="5">
        <v>211.9</v>
      </c>
      <c r="G30606" s="5">
        <v>105.3</v>
      </c>
      <c r="H30606" s="5">
        <v>104.9</v>
      </c>
      <c r="I30606" s="5">
        <v>0</v>
      </c>
      <c r="J30606" s="5">
        <v>0</v>
      </c>
      <c r="K30606" s="5">
        <v>0</v>
      </c>
    </row>
    <row r="30607" spans="1:11" x14ac:dyDescent="0.25">
      <c r="A30607" s="5">
        <f>30600</f>
      </c>
      <c r="B30607" s="5" t="s">
        <v>30615</v>
      </c>
      <c r="C30607" s="5">
        <v>105.7</v>
      </c>
      <c r="D30607" s="5">
        <v>0.1</v>
      </c>
      <c r="E30607" s="5">
        <v>105.9</v>
      </c>
      <c r="F30607" s="5">
        <v>211.7</v>
      </c>
      <c r="G30607" s="5">
        <v>106</v>
      </c>
      <c r="H30607" s="5">
        <v>105.9</v>
      </c>
      <c r="I30607" s="5">
        <v>0</v>
      </c>
      <c r="J30607" s="5">
        <v>0</v>
      </c>
      <c r="K30607" s="5">
        <v>0</v>
      </c>
    </row>
    <row r="30608" spans="1:11" x14ac:dyDescent="0.25">
      <c r="A30608" s="5">
        <f>30601</f>
      </c>
      <c r="B30608" s="5" t="s">
        <v>30616</v>
      </c>
      <c r="C30608" s="5">
        <v>105.7</v>
      </c>
      <c r="D30608" s="5">
        <v>0.1</v>
      </c>
      <c r="E30608" s="5">
        <v>105.9</v>
      </c>
      <c r="F30608" s="5">
        <v>211.7</v>
      </c>
      <c r="G30608" s="5">
        <v>106</v>
      </c>
      <c r="H30608" s="5">
        <v>105.9</v>
      </c>
      <c r="I30608" s="5">
        <v>0</v>
      </c>
      <c r="J30608" s="5">
        <v>0</v>
      </c>
      <c r="K30608" s="5">
        <v>0</v>
      </c>
    </row>
    <row r="30609" spans="1:11" x14ac:dyDescent="0.25">
      <c r="A30609" s="5">
        <f>30602</f>
      </c>
      <c r="B30609" s="5" t="s">
        <v>30617</v>
      </c>
      <c r="C30609" s="5">
        <v>105.3</v>
      </c>
      <c r="D30609" s="5">
        <v>0.1</v>
      </c>
      <c r="E30609" s="5">
        <v>105.5</v>
      </c>
      <c r="F30609" s="5">
        <v>210.9</v>
      </c>
      <c r="G30609" s="5">
        <v>105.2</v>
      </c>
      <c r="H30609" s="5">
        <v>105.1</v>
      </c>
      <c r="I30609" s="5">
        <v>0</v>
      </c>
      <c r="J30609" s="5">
        <v>0</v>
      </c>
      <c r="K30609" s="5">
        <v>0</v>
      </c>
    </row>
    <row r="30610" spans="1:11" x14ac:dyDescent="0.25">
      <c r="A30610" s="5">
        <f>30603</f>
      </c>
      <c r="B30610" s="5" t="s">
        <v>30618</v>
      </c>
      <c r="C30610" s="5">
        <v>105.3</v>
      </c>
      <c r="D30610" s="5">
        <v>0.1</v>
      </c>
      <c r="E30610" s="5">
        <v>105.5</v>
      </c>
      <c r="F30610" s="5">
        <v>210.9</v>
      </c>
      <c r="G30610" s="5">
        <v>105.2</v>
      </c>
      <c r="H30610" s="5">
        <v>105.1</v>
      </c>
      <c r="I30610" s="5">
        <v>0</v>
      </c>
      <c r="J30610" s="5">
        <v>0</v>
      </c>
      <c r="K30610" s="5">
        <v>0</v>
      </c>
    </row>
    <row r="30611" spans="1:11" x14ac:dyDescent="0.25">
      <c r="A30611" s="5">
        <f>30604</f>
      </c>
      <c r="B30611" s="5" t="s">
        <v>30619</v>
      </c>
      <c r="C30611" s="5">
        <v>105.3</v>
      </c>
      <c r="D30611" s="5">
        <v>0.1</v>
      </c>
      <c r="E30611" s="5">
        <v>105.5</v>
      </c>
      <c r="F30611" s="5">
        <v>210.9</v>
      </c>
      <c r="G30611" s="5">
        <v>105.2</v>
      </c>
      <c r="H30611" s="5">
        <v>105.1</v>
      </c>
      <c r="I30611" s="5">
        <v>0</v>
      </c>
      <c r="J30611" s="5">
        <v>0</v>
      </c>
      <c r="K30611" s="5">
        <v>0</v>
      </c>
    </row>
    <row r="30612" spans="1:11" x14ac:dyDescent="0.25">
      <c r="A30612" s="5">
        <f>30605</f>
      </c>
      <c r="B30612" s="5" t="s">
        <v>30620</v>
      </c>
      <c r="C30612" s="5">
        <v>105.3</v>
      </c>
      <c r="D30612" s="5">
        <v>0.1</v>
      </c>
      <c r="E30612" s="5">
        <v>105.5</v>
      </c>
      <c r="F30612" s="5">
        <v>210.9</v>
      </c>
      <c r="G30612" s="5">
        <v>105.2</v>
      </c>
      <c r="H30612" s="5">
        <v>105.1</v>
      </c>
      <c r="I30612" s="5">
        <v>0</v>
      </c>
      <c r="J30612" s="5">
        <v>0</v>
      </c>
      <c r="K30612" s="5">
        <v>0</v>
      </c>
    </row>
    <row r="30613" spans="1:11" x14ac:dyDescent="0.25">
      <c r="A30613" s="5">
        <f>30606</f>
      </c>
      <c r="B30613" s="5" t="s">
        <v>30621</v>
      </c>
      <c r="C30613" s="5">
        <v>106</v>
      </c>
      <c r="D30613" s="5">
        <v>0.1</v>
      </c>
      <c r="E30613" s="5">
        <v>106.2</v>
      </c>
      <c r="F30613" s="5">
        <v>211.5</v>
      </c>
      <c r="G30613" s="5">
        <v>105.5</v>
      </c>
      <c r="H30613" s="5">
        <v>105.4</v>
      </c>
      <c r="I30613" s="5">
        <v>0</v>
      </c>
      <c r="J30613" s="5">
        <v>0</v>
      </c>
      <c r="K30613" s="5">
        <v>0</v>
      </c>
    </row>
    <row r="30614" spans="1:11" x14ac:dyDescent="0.25">
      <c r="A30614" s="5">
        <f>30607</f>
      </c>
      <c r="B30614" s="5" t="s">
        <v>30622</v>
      </c>
      <c r="C30614" s="5">
        <v>106</v>
      </c>
      <c r="D30614" s="5">
        <v>0.1</v>
      </c>
      <c r="E30614" s="5">
        <v>106.2</v>
      </c>
      <c r="F30614" s="5">
        <v>211.5</v>
      </c>
      <c r="G30614" s="5">
        <v>105.5</v>
      </c>
      <c r="H30614" s="5">
        <v>105.4</v>
      </c>
      <c r="I30614" s="5">
        <v>0</v>
      </c>
      <c r="J30614" s="5">
        <v>0</v>
      </c>
      <c r="K30614" s="5">
        <v>0</v>
      </c>
    </row>
    <row r="30615" spans="1:11" x14ac:dyDescent="0.25">
      <c r="A30615" s="5">
        <f>30608</f>
      </c>
      <c r="B30615" s="5" t="s">
        <v>30623</v>
      </c>
      <c r="C30615" s="5">
        <v>105.8</v>
      </c>
      <c r="D30615" s="5">
        <v>0.1</v>
      </c>
      <c r="E30615" s="5">
        <v>105.9</v>
      </c>
      <c r="F30615" s="5">
        <v>211.1</v>
      </c>
      <c r="G30615" s="5">
        <v>105.4</v>
      </c>
      <c r="H30615" s="5">
        <v>105.3</v>
      </c>
      <c r="I30615" s="5">
        <v>0</v>
      </c>
      <c r="J30615" s="5">
        <v>0</v>
      </c>
      <c r="K30615" s="5">
        <v>0</v>
      </c>
    </row>
    <row r="30616" spans="1:11" x14ac:dyDescent="0.25">
      <c r="A30616" s="5">
        <f>30609</f>
      </c>
      <c r="B30616" s="5" t="s">
        <v>30624</v>
      </c>
      <c r="C30616" s="5">
        <v>105.8</v>
      </c>
      <c r="D30616" s="5">
        <v>0.1</v>
      </c>
      <c r="E30616" s="5">
        <v>105.9</v>
      </c>
      <c r="F30616" s="5">
        <v>211.1</v>
      </c>
      <c r="G30616" s="5">
        <v>105.4</v>
      </c>
      <c r="H30616" s="5">
        <v>105.3</v>
      </c>
      <c r="I30616" s="5">
        <v>0</v>
      </c>
      <c r="J30616" s="5">
        <v>0</v>
      </c>
      <c r="K30616" s="5">
        <v>0</v>
      </c>
    </row>
    <row r="30617" spans="1:11" x14ac:dyDescent="0.25">
      <c r="A30617" s="5">
        <f>30610</f>
      </c>
      <c r="B30617" s="5" t="s">
        <v>30625</v>
      </c>
      <c r="C30617" s="5">
        <v>105.9</v>
      </c>
      <c r="D30617" s="5">
        <v>0.1</v>
      </c>
      <c r="E30617" s="5">
        <v>106.1</v>
      </c>
      <c r="F30617" s="5">
        <v>211.4</v>
      </c>
      <c r="G30617" s="5">
        <v>105.5</v>
      </c>
      <c r="H30617" s="5">
        <v>105.3</v>
      </c>
      <c r="I30617" s="5">
        <v>0</v>
      </c>
      <c r="J30617" s="5">
        <v>0</v>
      </c>
      <c r="K30617" s="5">
        <v>0</v>
      </c>
    </row>
    <row r="30618" spans="1:11" x14ac:dyDescent="0.25">
      <c r="A30618" s="5">
        <f>30611</f>
      </c>
      <c r="B30618" s="5" t="s">
        <v>30626</v>
      </c>
      <c r="C30618" s="5">
        <v>105.9</v>
      </c>
      <c r="D30618" s="5">
        <v>0.1</v>
      </c>
      <c r="E30618" s="5">
        <v>106.1</v>
      </c>
      <c r="F30618" s="5">
        <v>211.4</v>
      </c>
      <c r="G30618" s="5">
        <v>105.5</v>
      </c>
      <c r="H30618" s="5">
        <v>105.3</v>
      </c>
      <c r="I30618" s="5">
        <v>0</v>
      </c>
      <c r="J30618" s="5">
        <v>0</v>
      </c>
      <c r="K30618" s="5">
        <v>0</v>
      </c>
    </row>
    <row r="30619" spans="1:11" x14ac:dyDescent="0.25">
      <c r="A30619" s="5">
        <f>30612</f>
      </c>
      <c r="B30619" s="5" t="s">
        <v>30627</v>
      </c>
      <c r="C30619" s="5">
        <v>105.3</v>
      </c>
      <c r="D30619" s="5">
        <v>106.1</v>
      </c>
      <c r="E30619" s="5">
        <v>106.1</v>
      </c>
      <c r="F30619" s="5">
        <v>211.4</v>
      </c>
      <c r="G30619" s="5">
        <v>105.5</v>
      </c>
      <c r="H30619" s="5">
        <v>105.3</v>
      </c>
      <c r="I30619" s="5">
        <v>0</v>
      </c>
      <c r="J30619" s="5">
        <v>0</v>
      </c>
      <c r="K30619" s="5">
        <v>0</v>
      </c>
    </row>
    <row r="30620" spans="1:11" x14ac:dyDescent="0.25">
      <c r="A30620" s="5">
        <f>30613</f>
      </c>
      <c r="B30620" s="5" t="s">
        <v>30628</v>
      </c>
      <c r="C30620" s="5">
        <v>0.1</v>
      </c>
      <c r="D30620" s="5">
        <v>106.2</v>
      </c>
      <c r="E30620" s="5">
        <v>106.1</v>
      </c>
      <c r="F30620" s="5">
        <v>211.4</v>
      </c>
      <c r="G30620" s="5">
        <v>105.5</v>
      </c>
      <c r="H30620" s="5">
        <v>105.3</v>
      </c>
      <c r="I30620" s="5">
        <v>0</v>
      </c>
      <c r="J30620" s="5">
        <v>0</v>
      </c>
      <c r="K30620" s="5">
        <v>0</v>
      </c>
    </row>
    <row r="30621" spans="1:11" x14ac:dyDescent="0.25">
      <c r="A30621" s="5">
        <f>30614</f>
      </c>
      <c r="B30621" s="5" t="s">
        <v>30629</v>
      </c>
      <c r="C30621" s="5">
        <v>211.2</v>
      </c>
      <c r="D30621" s="5">
        <v>106.1</v>
      </c>
      <c r="E30621" s="5">
        <v>106.1</v>
      </c>
      <c r="F30621" s="5">
        <v>211.4</v>
      </c>
      <c r="G30621" s="5">
        <v>105.5</v>
      </c>
      <c r="H30621" s="5">
        <v>105.3</v>
      </c>
      <c r="I30621" s="5">
        <v>0</v>
      </c>
      <c r="J30621" s="5">
        <v>0</v>
      </c>
      <c r="K30621" s="5">
        <v>0</v>
      </c>
    </row>
    <row r="30622" spans="1:11" x14ac:dyDescent="0.25">
      <c r="A30622" s="5">
        <f>30615</f>
      </c>
      <c r="B30622" s="5" t="s">
        <v>30630</v>
      </c>
      <c r="C30622" s="5">
        <v>106.2</v>
      </c>
      <c r="D30622" s="5">
        <v>106.1</v>
      </c>
      <c r="E30622" s="5">
        <v>106.1</v>
      </c>
      <c r="F30622" s="5">
        <v>211.4</v>
      </c>
      <c r="G30622" s="5">
        <v>105.5</v>
      </c>
      <c r="H30622" s="5">
        <v>105.3</v>
      </c>
      <c r="I30622" s="5">
        <v>0</v>
      </c>
      <c r="J30622" s="5">
        <v>0</v>
      </c>
      <c r="K30622" s="5">
        <v>0</v>
      </c>
    </row>
    <row r="30623" spans="1:11" x14ac:dyDescent="0.25">
      <c r="A30623" s="5">
        <f>30616</f>
      </c>
      <c r="B30623" s="5" t="s">
        <v>30631</v>
      </c>
      <c r="C30623" s="5">
        <v>105.3</v>
      </c>
      <c r="D30623" s="5">
        <v>105.1</v>
      </c>
      <c r="E30623" s="5">
        <v>0.1</v>
      </c>
      <c r="F30623" s="5">
        <v>211.4</v>
      </c>
      <c r="G30623" s="5">
        <v>105.5</v>
      </c>
      <c r="H30623" s="5">
        <v>105.3</v>
      </c>
      <c r="I30623" s="5">
        <v>0</v>
      </c>
      <c r="J30623" s="5">
        <v>0</v>
      </c>
      <c r="K30623" s="5">
        <v>0</v>
      </c>
    </row>
    <row r="30624" spans="1:11" x14ac:dyDescent="0.25">
      <c r="A30624" s="5">
        <f>30617</f>
      </c>
      <c r="B30624" s="5" t="s">
        <v>30632</v>
      </c>
      <c r="C30624" s="5">
        <v>105.3</v>
      </c>
      <c r="D30624" s="5">
        <v>105.1</v>
      </c>
      <c r="E30624" s="5">
        <v>0.1</v>
      </c>
      <c r="F30624" s="5">
        <v>211.4</v>
      </c>
      <c r="G30624" s="5">
        <v>105.5</v>
      </c>
      <c r="H30624" s="5">
        <v>105.3</v>
      </c>
      <c r="I30624" s="5">
        <v>0</v>
      </c>
      <c r="J30624" s="5">
        <v>0</v>
      </c>
      <c r="K30624" s="5">
        <v>0</v>
      </c>
    </row>
    <row r="30625" spans="1:11" x14ac:dyDescent="0.25">
      <c r="A30625" s="5">
        <f>30618</f>
      </c>
      <c r="B30625" s="5" t="s">
        <v>30633</v>
      </c>
      <c r="C30625" s="5">
        <v>0.1</v>
      </c>
      <c r="D30625" s="5">
        <v>104.6</v>
      </c>
      <c r="E30625" s="5">
        <v>0.1</v>
      </c>
      <c r="F30625" s="5">
        <v>211.4</v>
      </c>
      <c r="G30625" s="5">
        <v>105.5</v>
      </c>
      <c r="H30625" s="5">
        <v>105.3</v>
      </c>
      <c r="I30625" s="5">
        <v>0</v>
      </c>
      <c r="J30625" s="5">
        <v>0</v>
      </c>
      <c r="K30625" s="5">
        <v>0</v>
      </c>
    </row>
    <row r="30626" spans="1:11" x14ac:dyDescent="0.25">
      <c r="A30626" s="5">
        <f>30619</f>
      </c>
      <c r="B30626" s="5" t="s">
        <v>30634</v>
      </c>
      <c r="C30626" s="5">
        <v>105.2</v>
      </c>
      <c r="D30626" s="5">
        <v>104.6</v>
      </c>
      <c r="E30626" s="5">
        <v>0.1</v>
      </c>
      <c r="F30626" s="5">
        <v>211.4</v>
      </c>
      <c r="G30626" s="5">
        <v>105.5</v>
      </c>
      <c r="H30626" s="5">
        <v>105.3</v>
      </c>
      <c r="I30626" s="5">
        <v>0</v>
      </c>
      <c r="J30626" s="5">
        <v>0</v>
      </c>
      <c r="K30626" s="5">
        <v>0</v>
      </c>
    </row>
    <row r="30627" spans="1:11" x14ac:dyDescent="0.25">
      <c r="A30627" s="5">
        <f>30620</f>
      </c>
      <c r="B30627" s="5" t="s">
        <v>30635</v>
      </c>
      <c r="C30627" s="5">
        <v>0.1</v>
      </c>
      <c r="D30627" s="5">
        <v>105</v>
      </c>
      <c r="E30627" s="5">
        <v>0.1</v>
      </c>
      <c r="F30627" s="5">
        <v>211.4</v>
      </c>
      <c r="G30627" s="5">
        <v>105.5</v>
      </c>
      <c r="H30627" s="5">
        <v>105.3</v>
      </c>
      <c r="I30627" s="5">
        <v>0</v>
      </c>
      <c r="J30627" s="5">
        <v>0</v>
      </c>
      <c r="K30627" s="5">
        <v>0</v>
      </c>
    </row>
    <row r="30628" spans="1:11" x14ac:dyDescent="0.25">
      <c r="A30628" s="5">
        <f>30621</f>
      </c>
      <c r="B30628" s="5" t="s">
        <v>30636</v>
      </c>
      <c r="C30628" s="5">
        <v>104.7</v>
      </c>
      <c r="D30628" s="5">
        <v>105</v>
      </c>
      <c r="E30628" s="5">
        <v>0.1</v>
      </c>
      <c r="F30628" s="5">
        <v>211.4</v>
      </c>
      <c r="G30628" s="5">
        <v>105.5</v>
      </c>
      <c r="H30628" s="5">
        <v>105.3</v>
      </c>
      <c r="I30628" s="5">
        <v>0</v>
      </c>
      <c r="J30628" s="5">
        <v>0</v>
      </c>
      <c r="K30628" s="5">
        <v>0</v>
      </c>
    </row>
    <row r="30629" spans="1:11" x14ac:dyDescent="0.25">
      <c r="A30629" s="5">
        <f>30622</f>
      </c>
      <c r="B30629" s="5" t="s">
        <v>30637</v>
      </c>
      <c r="C30629" s="5">
        <v>104.7</v>
      </c>
      <c r="D30629" s="5">
        <v>104.7</v>
      </c>
      <c r="E30629" s="5">
        <v>0.1</v>
      </c>
      <c r="F30629" s="5">
        <v>211.4</v>
      </c>
      <c r="G30629" s="5">
        <v>105.5</v>
      </c>
      <c r="H30629" s="5">
        <v>105.3</v>
      </c>
      <c r="I30629" s="5">
        <v>0</v>
      </c>
      <c r="J30629" s="5">
        <v>0</v>
      </c>
      <c r="K30629" s="5">
        <v>0</v>
      </c>
    </row>
    <row r="30630" spans="1:11" x14ac:dyDescent="0.25">
      <c r="A30630" s="5">
        <f>30623</f>
      </c>
      <c r="B30630" s="5" t="s">
        <v>30638</v>
      </c>
      <c r="C30630" s="5">
        <v>104.6</v>
      </c>
      <c r="D30630" s="5">
        <v>0.1</v>
      </c>
      <c r="E30630" s="5">
        <v>104.7</v>
      </c>
      <c r="F30630" s="5">
        <v>209.8</v>
      </c>
      <c r="G30630" s="5">
        <v>104.6</v>
      </c>
      <c r="H30630" s="5">
        <v>104.5</v>
      </c>
      <c r="I30630" s="5">
        <v>0</v>
      </c>
      <c r="J30630" s="5">
        <v>0</v>
      </c>
      <c r="K30630" s="5">
        <v>0</v>
      </c>
    </row>
    <row r="30631" spans="1:11" x14ac:dyDescent="0.25">
      <c r="A30631" s="5">
        <f>30624</f>
      </c>
      <c r="B30631" s="5" t="s">
        <v>30639</v>
      </c>
      <c r="C30631" s="5">
        <v>104.6</v>
      </c>
      <c r="D30631" s="5">
        <v>0.1</v>
      </c>
      <c r="E30631" s="5">
        <v>104.7</v>
      </c>
      <c r="F30631" s="5">
        <v>209.8</v>
      </c>
      <c r="G30631" s="5">
        <v>104.6</v>
      </c>
      <c r="H30631" s="5">
        <v>104.5</v>
      </c>
      <c r="I30631" s="5">
        <v>0</v>
      </c>
      <c r="J30631" s="5">
        <v>0</v>
      </c>
      <c r="K30631" s="5">
        <v>0</v>
      </c>
    </row>
    <row r="30632" spans="1:11" x14ac:dyDescent="0.25">
      <c r="A30632" s="5">
        <f>30625</f>
      </c>
      <c r="B30632" s="5" t="s">
        <v>30640</v>
      </c>
      <c r="C30632" s="5">
        <v>105.6</v>
      </c>
      <c r="D30632" s="5">
        <v>0.1</v>
      </c>
      <c r="E30632" s="5">
        <v>105.7</v>
      </c>
      <c r="F30632" s="5">
        <v>210.9</v>
      </c>
      <c r="G30632" s="5">
        <v>105.2</v>
      </c>
      <c r="H30632" s="5">
        <v>105.1</v>
      </c>
      <c r="I30632" s="5">
        <v>0</v>
      </c>
      <c r="J30632" s="5">
        <v>0</v>
      </c>
      <c r="K30632" s="5">
        <v>0</v>
      </c>
    </row>
    <row r="30633" spans="1:11" x14ac:dyDescent="0.25">
      <c r="A30633" s="5">
        <f>30626</f>
      </c>
      <c r="B30633" s="5" t="s">
        <v>30641</v>
      </c>
      <c r="C30633" s="5">
        <v>105.6</v>
      </c>
      <c r="D30633" s="5">
        <v>0.1</v>
      </c>
      <c r="E30633" s="5">
        <v>105.7</v>
      </c>
      <c r="F30633" s="5">
        <v>210.9</v>
      </c>
      <c r="G30633" s="5">
        <v>105.2</v>
      </c>
      <c r="H30633" s="5">
        <v>105.1</v>
      </c>
      <c r="I30633" s="5">
        <v>0</v>
      </c>
      <c r="J30633" s="5">
        <v>0</v>
      </c>
      <c r="K30633" s="5">
        <v>0</v>
      </c>
    </row>
    <row r="30634" spans="1:11" x14ac:dyDescent="0.25">
      <c r="A30634" s="5">
        <f>30627</f>
      </c>
      <c r="B30634" s="5" t="s">
        <v>30642</v>
      </c>
      <c r="C30634" s="5">
        <v>104.1</v>
      </c>
      <c r="D30634" s="5">
        <v>0.1</v>
      </c>
      <c r="E30634" s="5">
        <v>104.3</v>
      </c>
      <c r="F30634" s="5">
        <v>209.1</v>
      </c>
      <c r="G30634" s="5">
        <v>104.4</v>
      </c>
      <c r="H30634" s="5">
        <v>104.2</v>
      </c>
      <c r="I30634" s="5">
        <v>0</v>
      </c>
      <c r="J30634" s="5">
        <v>0</v>
      </c>
      <c r="K30634" s="5">
        <v>0</v>
      </c>
    </row>
    <row r="30635" spans="1:11" x14ac:dyDescent="0.25">
      <c r="A30635" s="5">
        <f>30628</f>
      </c>
      <c r="B30635" s="5" t="s">
        <v>30643</v>
      </c>
      <c r="C30635" s="5">
        <v>104.1</v>
      </c>
      <c r="D30635" s="5">
        <v>0.1</v>
      </c>
      <c r="E30635" s="5">
        <v>104.3</v>
      </c>
      <c r="F30635" s="5">
        <v>209.1</v>
      </c>
      <c r="G30635" s="5">
        <v>104.4</v>
      </c>
      <c r="H30635" s="5">
        <v>104.2</v>
      </c>
      <c r="I30635" s="5">
        <v>0</v>
      </c>
      <c r="J30635" s="5">
        <v>0</v>
      </c>
      <c r="K30635" s="5">
        <v>0</v>
      </c>
    </row>
    <row r="30636" spans="1:11" x14ac:dyDescent="0.25">
      <c r="A30636" s="5">
        <f>30629</f>
      </c>
      <c r="B30636" s="5" t="s">
        <v>30644</v>
      </c>
      <c r="C30636" s="5">
        <v>105.1</v>
      </c>
      <c r="D30636" s="5">
        <v>0.1</v>
      </c>
      <c r="E30636" s="5">
        <v>105.3</v>
      </c>
      <c r="F30636" s="5">
        <v>210.2</v>
      </c>
      <c r="G30636" s="5">
        <v>104.9</v>
      </c>
      <c r="H30636" s="5">
        <v>104.7</v>
      </c>
      <c r="I30636" s="5">
        <v>0</v>
      </c>
      <c r="J30636" s="5">
        <v>0</v>
      </c>
      <c r="K30636" s="5">
        <v>0</v>
      </c>
    </row>
    <row r="30637" spans="1:11" x14ac:dyDescent="0.25">
      <c r="A30637" s="5">
        <f>30630</f>
      </c>
      <c r="B30637" s="5" t="s">
        <v>30645</v>
      </c>
      <c r="C30637" s="5">
        <v>105.1</v>
      </c>
      <c r="D30637" s="5">
        <v>0.1</v>
      </c>
      <c r="E30637" s="5">
        <v>105.3</v>
      </c>
      <c r="F30637" s="5">
        <v>210.2</v>
      </c>
      <c r="G30637" s="5">
        <v>104.9</v>
      </c>
      <c r="H30637" s="5">
        <v>104.7</v>
      </c>
      <c r="I30637" s="5">
        <v>0</v>
      </c>
      <c r="J30637" s="5">
        <v>0</v>
      </c>
      <c r="K30637" s="5">
        <v>0</v>
      </c>
    </row>
    <row r="30638" spans="1:11" x14ac:dyDescent="0.25">
      <c r="A30638" s="5">
        <f>30631</f>
      </c>
      <c r="B30638" s="5" t="s">
        <v>30646</v>
      </c>
      <c r="C30638" s="5">
        <v>105.1</v>
      </c>
      <c r="D30638" s="5">
        <v>0.1</v>
      </c>
      <c r="E30638" s="5">
        <v>105.3</v>
      </c>
      <c r="F30638" s="5">
        <v>210.2</v>
      </c>
      <c r="G30638" s="5">
        <v>104.9</v>
      </c>
      <c r="H30638" s="5">
        <v>104.7</v>
      </c>
      <c r="I30638" s="5">
        <v>0</v>
      </c>
      <c r="J30638" s="5">
        <v>0</v>
      </c>
      <c r="K30638" s="5">
        <v>0</v>
      </c>
    </row>
    <row r="30639" spans="1:11" x14ac:dyDescent="0.25">
      <c r="A30639" s="5">
        <f>30632</f>
      </c>
      <c r="B30639" s="5" t="s">
        <v>30647</v>
      </c>
      <c r="C30639" s="5">
        <v>105.1</v>
      </c>
      <c r="D30639" s="5">
        <v>0.1</v>
      </c>
      <c r="E30639" s="5">
        <v>105.3</v>
      </c>
      <c r="F30639" s="5">
        <v>210.2</v>
      </c>
      <c r="G30639" s="5">
        <v>104.9</v>
      </c>
      <c r="H30639" s="5">
        <v>104.7</v>
      </c>
      <c r="I30639" s="5">
        <v>0</v>
      </c>
      <c r="J30639" s="5">
        <v>0</v>
      </c>
      <c r="K30639" s="5">
        <v>0</v>
      </c>
    </row>
    <row r="30640" spans="1:11" x14ac:dyDescent="0.25">
      <c r="A30640" s="5">
        <f>30633</f>
      </c>
      <c r="B30640" s="5" t="s">
        <v>30648</v>
      </c>
      <c r="C30640" s="5">
        <v>105.1</v>
      </c>
      <c r="D30640" s="5">
        <v>0.1</v>
      </c>
      <c r="E30640" s="5">
        <v>105.3</v>
      </c>
      <c r="F30640" s="5">
        <v>210.2</v>
      </c>
      <c r="G30640" s="5">
        <v>104.9</v>
      </c>
      <c r="H30640" s="5">
        <v>104.7</v>
      </c>
      <c r="I30640" s="5">
        <v>0</v>
      </c>
      <c r="J30640" s="5">
        <v>0</v>
      </c>
      <c r="K30640" s="5">
        <v>0</v>
      </c>
    </row>
    <row r="30641" spans="1:11" x14ac:dyDescent="0.25">
      <c r="A30641" s="5">
        <f>30634</f>
      </c>
      <c r="B30641" s="5" t="s">
        <v>30649</v>
      </c>
      <c r="C30641" s="5">
        <v>105.1</v>
      </c>
      <c r="D30641" s="5">
        <v>0.1</v>
      </c>
      <c r="E30641" s="5">
        <v>105.3</v>
      </c>
      <c r="F30641" s="5">
        <v>210.2</v>
      </c>
      <c r="G30641" s="5">
        <v>104.9</v>
      </c>
      <c r="H30641" s="5">
        <v>104.7</v>
      </c>
      <c r="I30641" s="5">
        <v>0</v>
      </c>
      <c r="J30641" s="5">
        <v>0</v>
      </c>
      <c r="K30641" s="5">
        <v>0</v>
      </c>
    </row>
    <row r="30642" spans="1:11" x14ac:dyDescent="0.25">
      <c r="A30642" s="5">
        <f>30635</f>
      </c>
      <c r="B30642" s="5" t="s">
        <v>30650</v>
      </c>
      <c r="C30642" s="5">
        <v>104.6</v>
      </c>
      <c r="D30642" s="5">
        <v>0.1</v>
      </c>
      <c r="E30642" s="5">
        <v>104.7</v>
      </c>
      <c r="F30642" s="5">
        <v>208.2</v>
      </c>
      <c r="G30642" s="5">
        <v>103.9</v>
      </c>
      <c r="H30642" s="5">
        <v>103.7</v>
      </c>
      <c r="I30642" s="5">
        <v>0</v>
      </c>
      <c r="J30642" s="5">
        <v>0</v>
      </c>
      <c r="K30642" s="5">
        <v>0</v>
      </c>
    </row>
    <row r="30643" spans="1:11" x14ac:dyDescent="0.25">
      <c r="A30643" s="5">
        <f>30636</f>
      </c>
      <c r="B30643" s="5" t="s">
        <v>30651</v>
      </c>
      <c r="C30643" s="5">
        <v>104.6</v>
      </c>
      <c r="D30643" s="5">
        <v>0.1</v>
      </c>
      <c r="E30643" s="5">
        <v>104.7</v>
      </c>
      <c r="F30643" s="5">
        <v>208.2</v>
      </c>
      <c r="G30643" s="5">
        <v>103.9</v>
      </c>
      <c r="H30643" s="5">
        <v>103.7</v>
      </c>
      <c r="I30643" s="5">
        <v>0</v>
      </c>
      <c r="J30643" s="5">
        <v>0</v>
      </c>
      <c r="K30643" s="5">
        <v>0</v>
      </c>
    </row>
    <row r="30644" spans="1:11" x14ac:dyDescent="0.25">
      <c r="A30644" s="5">
        <f>30637</f>
      </c>
      <c r="B30644" s="5" t="s">
        <v>30652</v>
      </c>
      <c r="C30644" s="5">
        <v>105.7</v>
      </c>
      <c r="D30644" s="5">
        <v>0.1</v>
      </c>
      <c r="E30644" s="5">
        <v>105.9</v>
      </c>
      <c r="F30644" s="5">
        <v>210.2</v>
      </c>
      <c r="G30644" s="5">
        <v>104.9</v>
      </c>
      <c r="H30644" s="5">
        <v>104.7</v>
      </c>
      <c r="I30644" s="5">
        <v>0</v>
      </c>
      <c r="J30644" s="5">
        <v>0</v>
      </c>
      <c r="K30644" s="5">
        <v>0</v>
      </c>
    </row>
    <row r="30645" spans="1:11" x14ac:dyDescent="0.25">
      <c r="A30645" s="5">
        <f>30638</f>
      </c>
      <c r="B30645" s="5" t="s">
        <v>30653</v>
      </c>
      <c r="C30645" s="5">
        <v>105.7</v>
      </c>
      <c r="D30645" s="5">
        <v>0.1</v>
      </c>
      <c r="E30645" s="5">
        <v>105.9</v>
      </c>
      <c r="F30645" s="5">
        <v>210.2</v>
      </c>
      <c r="G30645" s="5">
        <v>104.9</v>
      </c>
      <c r="H30645" s="5">
        <v>104.7</v>
      </c>
      <c r="I30645" s="5">
        <v>0</v>
      </c>
      <c r="J30645" s="5">
        <v>0</v>
      </c>
      <c r="K30645" s="5">
        <v>0</v>
      </c>
    </row>
    <row r="30646" spans="1:11" x14ac:dyDescent="0.25">
      <c r="A30646" s="5">
        <f>30639</f>
      </c>
      <c r="B30646" s="5" t="s">
        <v>30654</v>
      </c>
      <c r="C30646" s="5">
        <v>105.2</v>
      </c>
      <c r="D30646" s="5">
        <v>0.1</v>
      </c>
      <c r="E30646" s="5">
        <v>105.3</v>
      </c>
      <c r="F30646" s="5">
        <v>210.1</v>
      </c>
      <c r="G30646" s="5">
        <v>104.8</v>
      </c>
      <c r="H30646" s="5">
        <v>104.6</v>
      </c>
      <c r="I30646" s="5">
        <v>0</v>
      </c>
      <c r="J30646" s="5">
        <v>0</v>
      </c>
      <c r="K30646" s="5">
        <v>0</v>
      </c>
    </row>
    <row r="30647" spans="1:11" x14ac:dyDescent="0.25">
      <c r="A30647" s="5">
        <f>30640</f>
      </c>
      <c r="B30647" s="5" t="s">
        <v>30655</v>
      </c>
      <c r="C30647" s="5">
        <v>105.2</v>
      </c>
      <c r="D30647" s="5">
        <v>0.1</v>
      </c>
      <c r="E30647" s="5">
        <v>105.3</v>
      </c>
      <c r="F30647" s="5">
        <v>210.1</v>
      </c>
      <c r="G30647" s="5">
        <v>104.8</v>
      </c>
      <c r="H30647" s="5">
        <v>104.6</v>
      </c>
      <c r="I30647" s="5">
        <v>0</v>
      </c>
      <c r="J30647" s="5">
        <v>0</v>
      </c>
      <c r="K30647" s="5">
        <v>0</v>
      </c>
    </row>
    <row r="30648" spans="1:11" x14ac:dyDescent="0.25">
      <c r="A30648" s="5">
        <f>30641</f>
      </c>
      <c r="B30648" s="5" t="s">
        <v>30656</v>
      </c>
      <c r="C30648" s="5">
        <v>105</v>
      </c>
      <c r="D30648" s="5">
        <v>0.1</v>
      </c>
      <c r="E30648" s="5">
        <v>105.2</v>
      </c>
      <c r="F30648" s="5">
        <v>209.5</v>
      </c>
      <c r="G30648" s="5">
        <v>104.5</v>
      </c>
      <c r="H30648" s="5">
        <v>104.4</v>
      </c>
      <c r="I30648" s="5">
        <v>0</v>
      </c>
      <c r="J30648" s="5">
        <v>0</v>
      </c>
      <c r="K30648" s="5">
        <v>0</v>
      </c>
    </row>
    <row r="30649" spans="1:11" x14ac:dyDescent="0.25">
      <c r="A30649" s="5">
        <f>30642</f>
      </c>
      <c r="B30649" s="5" t="s">
        <v>30657</v>
      </c>
      <c r="C30649" s="5">
        <v>105</v>
      </c>
      <c r="D30649" s="5">
        <v>0.1</v>
      </c>
      <c r="E30649" s="5">
        <v>105.2</v>
      </c>
      <c r="F30649" s="5">
        <v>209.5</v>
      </c>
      <c r="G30649" s="5">
        <v>104.5</v>
      </c>
      <c r="H30649" s="5">
        <v>104.4</v>
      </c>
      <c r="I30649" s="5">
        <v>0</v>
      </c>
      <c r="J30649" s="5">
        <v>0</v>
      </c>
      <c r="K30649" s="5">
        <v>0</v>
      </c>
    </row>
    <row r="30650" spans="1:11" x14ac:dyDescent="0.25">
      <c r="A30650" s="5">
        <f>30643</f>
      </c>
      <c r="B30650" s="5" t="s">
        <v>30658</v>
      </c>
      <c r="C30650" s="5">
        <v>105</v>
      </c>
      <c r="D30650" s="5">
        <v>0.1</v>
      </c>
      <c r="E30650" s="5">
        <v>105.2</v>
      </c>
      <c r="F30650" s="5">
        <v>209.5</v>
      </c>
      <c r="G30650" s="5">
        <v>104.5</v>
      </c>
      <c r="H30650" s="5">
        <v>104.4</v>
      </c>
      <c r="I30650" s="5">
        <v>0</v>
      </c>
      <c r="J30650" s="5">
        <v>0</v>
      </c>
      <c r="K30650" s="5">
        <v>0</v>
      </c>
    </row>
    <row r="30651" spans="1:11" x14ac:dyDescent="0.25">
      <c r="A30651" s="5">
        <f>30644</f>
      </c>
      <c r="B30651" s="5" t="s">
        <v>30659</v>
      </c>
      <c r="C30651" s="5">
        <v>105</v>
      </c>
      <c r="D30651" s="5">
        <v>0.1</v>
      </c>
      <c r="E30651" s="5">
        <v>105.7</v>
      </c>
      <c r="F30651" s="5">
        <v>211.1</v>
      </c>
      <c r="G30651" s="5">
        <v>105.3</v>
      </c>
      <c r="H30651" s="5">
        <v>105.2</v>
      </c>
      <c r="I30651" s="5">
        <v>0</v>
      </c>
      <c r="J30651" s="5">
        <v>0</v>
      </c>
      <c r="K30651" s="5">
        <v>0</v>
      </c>
    </row>
    <row r="30652" spans="1:11" x14ac:dyDescent="0.25">
      <c r="A30652" s="5">
        <f>30645</f>
      </c>
      <c r="B30652" s="5" t="s">
        <v>30660</v>
      </c>
      <c r="C30652" s="5">
        <v>105.6</v>
      </c>
      <c r="D30652" s="5">
        <v>0.1</v>
      </c>
      <c r="E30652" s="5">
        <v>105.7</v>
      </c>
      <c r="F30652" s="5">
        <v>211.1</v>
      </c>
      <c r="G30652" s="5">
        <v>105.3</v>
      </c>
      <c r="H30652" s="5">
        <v>105.2</v>
      </c>
      <c r="I30652" s="5">
        <v>0</v>
      </c>
      <c r="J30652" s="5">
        <v>0</v>
      </c>
      <c r="K30652" s="5">
        <v>0</v>
      </c>
    </row>
    <row r="30653" spans="1:11" x14ac:dyDescent="0.25">
      <c r="A30653" s="5">
        <f>30646</f>
      </c>
      <c r="B30653" s="5" t="s">
        <v>30661</v>
      </c>
      <c r="C30653" s="5">
        <v>105.6</v>
      </c>
      <c r="D30653" s="5">
        <v>0.1</v>
      </c>
      <c r="E30653" s="5">
        <v>105.4</v>
      </c>
      <c r="F30653" s="5">
        <v>210</v>
      </c>
      <c r="G30653" s="5">
        <v>104.7</v>
      </c>
      <c r="H30653" s="5">
        <v>104.5</v>
      </c>
      <c r="I30653" s="5">
        <v>0</v>
      </c>
      <c r="J30653" s="5">
        <v>0</v>
      </c>
      <c r="K30653" s="5">
        <v>0</v>
      </c>
    </row>
    <row r="30654" spans="1:11" x14ac:dyDescent="0.25">
      <c r="A30654" s="5">
        <f>30647</f>
      </c>
      <c r="B30654" s="5" t="s">
        <v>30662</v>
      </c>
      <c r="C30654" s="5">
        <v>105.3</v>
      </c>
      <c r="D30654" s="5">
        <v>0.1</v>
      </c>
      <c r="E30654" s="5">
        <v>105.4</v>
      </c>
      <c r="F30654" s="5">
        <v>210</v>
      </c>
      <c r="G30654" s="5">
        <v>104.7</v>
      </c>
      <c r="H30654" s="5">
        <v>104.5</v>
      </c>
      <c r="I30654" s="5">
        <v>0</v>
      </c>
      <c r="J30654" s="5">
        <v>0</v>
      </c>
      <c r="K30654" s="5">
        <v>0</v>
      </c>
    </row>
    <row r="30655" spans="1:11" x14ac:dyDescent="0.25">
      <c r="A30655" s="5">
        <f>30648</f>
      </c>
      <c r="B30655" s="5" t="s">
        <v>30663</v>
      </c>
      <c r="C30655" s="5">
        <v>105.3</v>
      </c>
      <c r="D30655" s="5">
        <v>0.1</v>
      </c>
      <c r="E30655" s="5">
        <v>105.4</v>
      </c>
      <c r="F30655" s="5">
        <v>210.1</v>
      </c>
      <c r="G30655" s="5">
        <v>104.8</v>
      </c>
      <c r="H30655" s="5">
        <v>104.7</v>
      </c>
      <c r="I30655" s="5">
        <v>0</v>
      </c>
      <c r="J30655" s="5">
        <v>0</v>
      </c>
      <c r="K30655" s="5">
        <v>0</v>
      </c>
    </row>
    <row r="30656" spans="1:11" x14ac:dyDescent="0.25">
      <c r="A30656" s="5">
        <f>30649</f>
      </c>
      <c r="B30656" s="5" t="s">
        <v>30664</v>
      </c>
      <c r="C30656" s="5">
        <v>105.3</v>
      </c>
      <c r="D30656" s="5">
        <v>0.1</v>
      </c>
      <c r="E30656" s="5">
        <v>105.4</v>
      </c>
      <c r="F30656" s="5">
        <v>210.1</v>
      </c>
      <c r="G30656" s="5">
        <v>104.8</v>
      </c>
      <c r="H30656" s="5">
        <v>104.7</v>
      </c>
      <c r="I30656" s="5">
        <v>0</v>
      </c>
      <c r="J30656" s="5">
        <v>0</v>
      </c>
      <c r="K30656" s="5">
        <v>0</v>
      </c>
    </row>
    <row r="30657" spans="1:11" x14ac:dyDescent="0.25">
      <c r="A30657" s="5">
        <f>30650</f>
      </c>
      <c r="B30657" s="5" t="s">
        <v>30665</v>
      </c>
      <c r="C30657" s="5">
        <v>105.3</v>
      </c>
      <c r="D30657" s="5">
        <v>0.1</v>
      </c>
      <c r="E30657" s="5">
        <v>105.4</v>
      </c>
      <c r="F30657" s="5">
        <v>210.1</v>
      </c>
      <c r="G30657" s="5">
        <v>104.8</v>
      </c>
      <c r="H30657" s="5">
        <v>105</v>
      </c>
      <c r="I30657" s="5">
        <v>0</v>
      </c>
      <c r="J30657" s="5">
        <v>0</v>
      </c>
      <c r="K30657" s="5">
        <v>0</v>
      </c>
    </row>
    <row r="30658" spans="1:11" x14ac:dyDescent="0.25">
      <c r="A30658" s="5">
        <f>30651</f>
      </c>
      <c r="B30658" s="5" t="s">
        <v>30666</v>
      </c>
      <c r="C30658" s="5">
        <v>105.6</v>
      </c>
      <c r="D30658" s="5">
        <v>0.1</v>
      </c>
      <c r="E30658" s="5">
        <v>105.6</v>
      </c>
      <c r="F30658" s="5">
        <v>210.9</v>
      </c>
      <c r="G30658" s="5">
        <v>105.2</v>
      </c>
      <c r="H30658" s="5">
        <v>105</v>
      </c>
      <c r="I30658" s="5">
        <v>0</v>
      </c>
      <c r="J30658" s="5">
        <v>0</v>
      </c>
      <c r="K30658" s="5">
        <v>0</v>
      </c>
    </row>
    <row r="30659" spans="1:11" x14ac:dyDescent="0.25">
      <c r="A30659" s="5">
        <f>30652</f>
      </c>
      <c r="B30659" s="5" t="s">
        <v>30667</v>
      </c>
      <c r="C30659" s="5">
        <v>105.6</v>
      </c>
      <c r="D30659" s="5">
        <v>0.1</v>
      </c>
      <c r="E30659" s="5">
        <v>105.6</v>
      </c>
      <c r="F30659" s="5">
        <v>210.9</v>
      </c>
      <c r="G30659" s="5">
        <v>105.2</v>
      </c>
      <c r="H30659" s="5">
        <v>105</v>
      </c>
      <c r="I30659" s="5">
        <v>0</v>
      </c>
      <c r="J30659" s="5">
        <v>0</v>
      </c>
      <c r="K30659" s="5">
        <v>0</v>
      </c>
    </row>
    <row r="30660" spans="1:11" x14ac:dyDescent="0.25">
      <c r="A30660" s="5">
        <f>30653</f>
      </c>
      <c r="B30660" s="5" t="s">
        <v>30668</v>
      </c>
      <c r="C30660" s="5">
        <v>105.6</v>
      </c>
      <c r="D30660" s="5">
        <v>0.1</v>
      </c>
      <c r="E30660" s="5">
        <v>105.6</v>
      </c>
      <c r="F30660" s="5">
        <v>210.9</v>
      </c>
      <c r="G30660" s="5">
        <v>105.2</v>
      </c>
      <c r="H30660" s="5">
        <v>105</v>
      </c>
      <c r="I30660" s="5">
        <v>0</v>
      </c>
      <c r="J30660" s="5">
        <v>0</v>
      </c>
      <c r="K30660" s="5">
        <v>0</v>
      </c>
    </row>
    <row r="30661" spans="1:11" x14ac:dyDescent="0.25">
      <c r="A30661" s="5">
        <f>30654</f>
      </c>
      <c r="B30661" s="5" t="s">
        <v>30669</v>
      </c>
      <c r="C30661" s="5">
        <v>104.6</v>
      </c>
      <c r="D30661" s="5">
        <v>0.1</v>
      </c>
      <c r="E30661" s="5">
        <v>104.7</v>
      </c>
      <c r="F30661" s="5">
        <v>208.9</v>
      </c>
      <c r="G30661" s="5">
        <v>104.2</v>
      </c>
      <c r="H30661" s="5">
        <v>104.1</v>
      </c>
      <c r="I30661" s="5">
        <v>0</v>
      </c>
      <c r="J30661" s="5">
        <v>0</v>
      </c>
      <c r="K30661" s="5">
        <v>0</v>
      </c>
    </row>
    <row r="30662" spans="1:11" x14ac:dyDescent="0.25">
      <c r="A30662" s="5">
        <f>30655</f>
      </c>
      <c r="B30662" s="5" t="s">
        <v>30670</v>
      </c>
      <c r="C30662" s="5">
        <v>104.6</v>
      </c>
      <c r="D30662" s="5">
        <v>0.1</v>
      </c>
      <c r="E30662" s="5">
        <v>104.7</v>
      </c>
      <c r="F30662" s="5">
        <v>208.9</v>
      </c>
      <c r="G30662" s="5">
        <v>104.2</v>
      </c>
      <c r="H30662" s="5">
        <v>104.1</v>
      </c>
      <c r="I30662" s="5">
        <v>0</v>
      </c>
      <c r="J30662" s="5">
        <v>0</v>
      </c>
      <c r="K30662" s="5">
        <v>0</v>
      </c>
    </row>
    <row r="30663" spans="1:11" x14ac:dyDescent="0.25">
      <c r="A30663" s="5">
        <f>30656</f>
      </c>
      <c r="B30663" s="5" t="s">
        <v>30671</v>
      </c>
      <c r="C30663" s="5">
        <v>104.3</v>
      </c>
      <c r="D30663" s="5">
        <v>0.1</v>
      </c>
      <c r="E30663" s="5">
        <v>104.4</v>
      </c>
      <c r="F30663" s="5">
        <v>208.5</v>
      </c>
      <c r="G30663" s="5">
        <v>104</v>
      </c>
      <c r="H30663" s="5">
        <v>103.8</v>
      </c>
      <c r="I30663" s="5">
        <v>0</v>
      </c>
      <c r="J30663" s="5">
        <v>0</v>
      </c>
      <c r="K30663" s="5">
        <v>0</v>
      </c>
    </row>
    <row r="30664" spans="1:11" x14ac:dyDescent="0.25">
      <c r="A30664" s="5">
        <f>30657</f>
      </c>
      <c r="B30664" s="5" t="s">
        <v>30672</v>
      </c>
      <c r="C30664" s="5">
        <v>104.3</v>
      </c>
      <c r="D30664" s="5">
        <v>0.1</v>
      </c>
      <c r="E30664" s="5">
        <v>104.4</v>
      </c>
      <c r="F30664" s="5">
        <v>208.5</v>
      </c>
      <c r="G30664" s="5">
        <v>104</v>
      </c>
      <c r="H30664" s="5">
        <v>103.8</v>
      </c>
      <c r="I30664" s="5">
        <v>0</v>
      </c>
      <c r="J30664" s="5">
        <v>0</v>
      </c>
      <c r="K30664" s="5">
        <v>0</v>
      </c>
    </row>
    <row r="30665" spans="1:11" x14ac:dyDescent="0.25">
      <c r="A30665" s="5">
        <f>30658</f>
      </c>
      <c r="B30665" s="5" t="s">
        <v>30673</v>
      </c>
      <c r="C30665" s="5">
        <v>104.7</v>
      </c>
      <c r="D30665" s="5">
        <v>0.1</v>
      </c>
      <c r="E30665" s="5">
        <v>104.9</v>
      </c>
      <c r="F30665" s="5">
        <v>208.6</v>
      </c>
      <c r="G30665" s="5">
        <v>104.1</v>
      </c>
      <c r="H30665" s="5">
        <v>103.9</v>
      </c>
      <c r="I30665" s="5">
        <v>0</v>
      </c>
      <c r="J30665" s="5">
        <v>0</v>
      </c>
      <c r="K30665" s="5">
        <v>0</v>
      </c>
    </row>
    <row r="30666" spans="1:11" x14ac:dyDescent="0.25">
      <c r="A30666" s="5">
        <f>30659</f>
      </c>
      <c r="B30666" s="5" t="s">
        <v>30674</v>
      </c>
      <c r="C30666" s="5">
        <v>104.7</v>
      </c>
      <c r="D30666" s="5">
        <v>0.1</v>
      </c>
      <c r="E30666" s="5">
        <v>104.9</v>
      </c>
      <c r="F30666" s="5">
        <v>208.6</v>
      </c>
      <c r="G30666" s="5">
        <v>104.1</v>
      </c>
      <c r="H30666" s="5">
        <v>103.9</v>
      </c>
      <c r="I30666" s="5">
        <v>0</v>
      </c>
      <c r="J30666" s="5">
        <v>0</v>
      </c>
      <c r="K30666" s="5">
        <v>0</v>
      </c>
    </row>
    <row r="30667" spans="1:11" x14ac:dyDescent="0.25">
      <c r="A30667" s="5">
        <f>30660</f>
      </c>
      <c r="B30667" s="5" t="s">
        <v>30675</v>
      </c>
      <c r="C30667" s="5">
        <v>104.8</v>
      </c>
      <c r="D30667" s="5">
        <v>0.1</v>
      </c>
      <c r="E30667" s="5">
        <v>105</v>
      </c>
      <c r="F30667" s="5">
        <v>208.9</v>
      </c>
      <c r="G30667" s="5">
        <v>104.2</v>
      </c>
      <c r="H30667" s="5">
        <v>104.1</v>
      </c>
      <c r="I30667" s="5">
        <v>0</v>
      </c>
      <c r="J30667" s="5">
        <v>0</v>
      </c>
      <c r="K30667" s="5">
        <v>0</v>
      </c>
    </row>
    <row r="30668" spans="1:11" x14ac:dyDescent="0.25">
      <c r="A30668" s="5">
        <f>30661</f>
      </c>
      <c r="B30668" s="5" t="s">
        <v>30676</v>
      </c>
      <c r="C30668" s="5">
        <v>104.8</v>
      </c>
      <c r="D30668" s="5">
        <v>0.1</v>
      </c>
      <c r="E30668" s="5">
        <v>105</v>
      </c>
      <c r="F30668" s="5">
        <v>208.9</v>
      </c>
      <c r="G30668" s="5">
        <v>104.2</v>
      </c>
      <c r="H30668" s="5">
        <v>104.1</v>
      </c>
      <c r="I30668" s="5">
        <v>0</v>
      </c>
      <c r="J30668" s="5">
        <v>0</v>
      </c>
      <c r="K30668" s="5">
        <v>0</v>
      </c>
    </row>
    <row r="30669" spans="1:11" x14ac:dyDescent="0.25">
      <c r="A30669" s="5">
        <f>30662</f>
      </c>
      <c r="B30669" s="5" t="s">
        <v>30677</v>
      </c>
      <c r="C30669" s="5">
        <v>104.8</v>
      </c>
      <c r="D30669" s="5">
        <v>0.1</v>
      </c>
      <c r="E30669" s="5">
        <v>105</v>
      </c>
      <c r="F30669" s="5">
        <v>208.9</v>
      </c>
      <c r="G30669" s="5">
        <v>104.2</v>
      </c>
      <c r="H30669" s="5">
        <v>104.1</v>
      </c>
      <c r="I30669" s="5">
        <v>0</v>
      </c>
      <c r="J30669" s="5">
        <v>0</v>
      </c>
      <c r="K30669" s="5">
        <v>0</v>
      </c>
    </row>
    <row r="30670" spans="1:11" x14ac:dyDescent="0.25">
      <c r="A30670" s="5">
        <f>30663</f>
      </c>
      <c r="B30670" s="5" t="s">
        <v>30678</v>
      </c>
      <c r="C30670" s="5">
        <v>104.8</v>
      </c>
      <c r="D30670" s="5">
        <v>0.1</v>
      </c>
      <c r="E30670" s="5">
        <v>105</v>
      </c>
      <c r="F30670" s="5">
        <v>208.9</v>
      </c>
      <c r="G30670" s="5">
        <v>104.2</v>
      </c>
      <c r="H30670" s="5">
        <v>104.1</v>
      </c>
      <c r="I30670" s="5">
        <v>0</v>
      </c>
      <c r="J30670" s="5">
        <v>0</v>
      </c>
      <c r="K30670" s="5">
        <v>0</v>
      </c>
    </row>
    <row r="30671" spans="1:11" x14ac:dyDescent="0.25">
      <c r="A30671" s="5">
        <f>30664</f>
      </c>
      <c r="B30671" s="5" t="s">
        <v>30679</v>
      </c>
      <c r="C30671" s="5">
        <v>104.4</v>
      </c>
      <c r="D30671" s="5">
        <v>0.1</v>
      </c>
      <c r="E30671" s="5">
        <v>104.6</v>
      </c>
      <c r="F30671" s="5">
        <v>208.4</v>
      </c>
      <c r="G30671" s="5">
        <v>104</v>
      </c>
      <c r="H30671" s="5">
        <v>103.8</v>
      </c>
      <c r="I30671" s="5">
        <v>0</v>
      </c>
      <c r="J30671" s="5">
        <v>0</v>
      </c>
      <c r="K30671" s="5">
        <v>0</v>
      </c>
    </row>
    <row r="30672" spans="1:11" x14ac:dyDescent="0.25">
      <c r="A30672" s="5">
        <f>30665</f>
      </c>
      <c r="B30672" s="5" t="s">
        <v>30680</v>
      </c>
      <c r="C30672" s="5">
        <v>104.4</v>
      </c>
      <c r="D30672" s="5">
        <v>0.1</v>
      </c>
      <c r="E30672" s="5">
        <v>104.6</v>
      </c>
      <c r="F30672" s="5">
        <v>208.4</v>
      </c>
      <c r="G30672" s="5">
        <v>104</v>
      </c>
      <c r="H30672" s="5">
        <v>103.8</v>
      </c>
      <c r="I30672" s="5">
        <v>0</v>
      </c>
      <c r="J30672" s="5">
        <v>0</v>
      </c>
      <c r="K30672" s="5">
        <v>0</v>
      </c>
    </row>
    <row r="30673" spans="1:11" x14ac:dyDescent="0.25">
      <c r="A30673" s="5">
        <f>30666</f>
      </c>
      <c r="B30673" s="5" t="s">
        <v>30681</v>
      </c>
      <c r="C30673" s="5">
        <v>103.8</v>
      </c>
      <c r="D30673" s="5">
        <v>0.1</v>
      </c>
      <c r="E30673" s="5">
        <v>103.9</v>
      </c>
      <c r="F30673" s="5">
        <v>207.7</v>
      </c>
      <c r="G30673" s="5">
        <v>103.6</v>
      </c>
      <c r="H30673" s="5">
        <v>103.4</v>
      </c>
      <c r="I30673" s="5">
        <v>0</v>
      </c>
      <c r="J30673" s="5">
        <v>0</v>
      </c>
      <c r="K30673" s="5">
        <v>0</v>
      </c>
    </row>
    <row r="30674" spans="1:11" x14ac:dyDescent="0.25">
      <c r="A30674" s="5">
        <f>30667</f>
      </c>
      <c r="B30674" s="5" t="s">
        <v>30682</v>
      </c>
      <c r="C30674" s="5">
        <v>103.8</v>
      </c>
      <c r="D30674" s="5">
        <v>0.1</v>
      </c>
      <c r="E30674" s="5">
        <v>103.9</v>
      </c>
      <c r="F30674" s="5">
        <v>207.7</v>
      </c>
      <c r="G30674" s="5">
        <v>103.6</v>
      </c>
      <c r="H30674" s="5">
        <v>103.4</v>
      </c>
      <c r="I30674" s="5">
        <v>0</v>
      </c>
      <c r="J30674" s="5">
        <v>0</v>
      </c>
      <c r="K30674" s="5">
        <v>0</v>
      </c>
    </row>
    <row r="30675" spans="1:11" x14ac:dyDescent="0.25">
      <c r="A30675" s="5">
        <f>30668</f>
      </c>
      <c r="B30675" s="5" t="s">
        <v>30683</v>
      </c>
      <c r="C30675" s="5">
        <v>104</v>
      </c>
      <c r="D30675" s="5">
        <v>0.1</v>
      </c>
      <c r="E30675" s="5">
        <v>104.1</v>
      </c>
      <c r="F30675" s="5">
        <v>207.8</v>
      </c>
      <c r="G30675" s="5">
        <v>103.6</v>
      </c>
      <c r="H30675" s="5">
        <v>103.4</v>
      </c>
      <c r="I30675" s="5">
        <v>0</v>
      </c>
      <c r="J30675" s="5">
        <v>0</v>
      </c>
      <c r="K30675" s="5">
        <v>0</v>
      </c>
    </row>
    <row r="30676" spans="1:11" x14ac:dyDescent="0.25">
      <c r="A30676" s="5">
        <f>30669</f>
      </c>
      <c r="B30676" s="5" t="s">
        <v>30684</v>
      </c>
      <c r="C30676" s="5">
        <v>104</v>
      </c>
      <c r="D30676" s="5">
        <v>0.1</v>
      </c>
      <c r="E30676" s="5">
        <v>104.1</v>
      </c>
      <c r="F30676" s="5">
        <v>207.8</v>
      </c>
      <c r="G30676" s="5">
        <v>103.6</v>
      </c>
      <c r="H30676" s="5">
        <v>103.4</v>
      </c>
      <c r="I30676" s="5">
        <v>0</v>
      </c>
      <c r="J30676" s="5">
        <v>0</v>
      </c>
      <c r="K30676" s="5">
        <v>0</v>
      </c>
    </row>
    <row r="30677" spans="1:11" x14ac:dyDescent="0.25">
      <c r="A30677" s="5">
        <f>30670</f>
      </c>
      <c r="B30677" s="5" t="s">
        <v>30685</v>
      </c>
      <c r="C30677" s="5">
        <v>104.3</v>
      </c>
      <c r="D30677" s="5">
        <v>0.1</v>
      </c>
      <c r="E30677" s="5">
        <v>104.5</v>
      </c>
      <c r="F30677" s="5">
        <v>207.6</v>
      </c>
      <c r="G30677" s="5">
        <v>103.6</v>
      </c>
      <c r="H30677" s="5">
        <v>103.4</v>
      </c>
      <c r="I30677" s="5">
        <v>0</v>
      </c>
      <c r="J30677" s="5">
        <v>0</v>
      </c>
      <c r="K30677" s="5">
        <v>0</v>
      </c>
    </row>
    <row r="30678" spans="1:11" x14ac:dyDescent="0.25">
      <c r="A30678" s="5">
        <f>30671</f>
      </c>
      <c r="B30678" s="5" t="s">
        <v>30686</v>
      </c>
      <c r="C30678" s="5">
        <v>104.3</v>
      </c>
      <c r="D30678" s="5">
        <v>0.1</v>
      </c>
      <c r="E30678" s="5">
        <v>104.5</v>
      </c>
      <c r="F30678" s="5">
        <v>207.6</v>
      </c>
      <c r="G30678" s="5">
        <v>103.6</v>
      </c>
      <c r="H30678" s="5">
        <v>103.5</v>
      </c>
      <c r="I30678" s="5">
        <v>0</v>
      </c>
      <c r="J30678" s="5">
        <v>0</v>
      </c>
      <c r="K30678" s="5">
        <v>0</v>
      </c>
    </row>
    <row r="30679" spans="1:11" x14ac:dyDescent="0.25">
      <c r="A30679" s="5">
        <f>30672</f>
      </c>
      <c r="B30679" s="5" t="s">
        <v>30687</v>
      </c>
      <c r="C30679" s="5">
        <v>104.3</v>
      </c>
      <c r="D30679" s="5">
        <v>0.1</v>
      </c>
      <c r="E30679" s="5">
        <v>104.5</v>
      </c>
      <c r="F30679" s="5">
        <v>207.6</v>
      </c>
      <c r="G30679" s="5">
        <v>103.6</v>
      </c>
      <c r="H30679" s="5">
        <v>103.5</v>
      </c>
      <c r="I30679" s="5">
        <v>0</v>
      </c>
      <c r="J30679" s="5">
        <v>0</v>
      </c>
      <c r="K30679" s="5">
        <v>0</v>
      </c>
    </row>
    <row r="30680" spans="1:11" x14ac:dyDescent="0.25">
      <c r="A30680" s="5">
        <f>30673</f>
      </c>
      <c r="B30680" s="5" t="s">
        <v>30688</v>
      </c>
      <c r="C30680" s="5">
        <v>104.3</v>
      </c>
      <c r="D30680" s="5">
        <v>0.1</v>
      </c>
      <c r="E30680" s="5">
        <v>104.5</v>
      </c>
      <c r="F30680" s="5">
        <v>207.6</v>
      </c>
      <c r="G30680" s="5">
        <v>103.6</v>
      </c>
      <c r="H30680" s="5">
        <v>103.5</v>
      </c>
      <c r="I30680" s="5">
        <v>0</v>
      </c>
      <c r="J30680" s="5">
        <v>0</v>
      </c>
      <c r="K30680" s="5">
        <v>0</v>
      </c>
    </row>
    <row r="30681" spans="1:11" x14ac:dyDescent="0.25">
      <c r="A30681" s="5">
        <f>30674</f>
      </c>
      <c r="B30681" s="5" t="s">
        <v>30689</v>
      </c>
      <c r="C30681" s="5">
        <v>104.5</v>
      </c>
      <c r="D30681" s="5">
        <v>0.1</v>
      </c>
      <c r="E30681" s="5">
        <v>104.5</v>
      </c>
      <c r="F30681" s="5">
        <v>208.9</v>
      </c>
      <c r="G30681" s="5">
        <v>104.2</v>
      </c>
      <c r="H30681" s="5">
        <v>104.1</v>
      </c>
      <c r="I30681" s="5">
        <v>0</v>
      </c>
      <c r="J30681" s="5">
        <v>0</v>
      </c>
      <c r="K30681" s="5">
        <v>0</v>
      </c>
    </row>
    <row r="30682" spans="1:11" x14ac:dyDescent="0.25">
      <c r="A30682" s="5">
        <f>30675</f>
      </c>
      <c r="B30682" s="5" t="s">
        <v>30690</v>
      </c>
      <c r="C30682" s="5">
        <v>104.5</v>
      </c>
      <c r="D30682" s="5">
        <v>0.1</v>
      </c>
      <c r="E30682" s="5">
        <v>104.6</v>
      </c>
      <c r="F30682" s="5">
        <v>208.9</v>
      </c>
      <c r="G30682" s="5">
        <v>104.2</v>
      </c>
      <c r="H30682" s="5">
        <v>104.1</v>
      </c>
      <c r="I30682" s="5">
        <v>0</v>
      </c>
      <c r="J30682" s="5">
        <v>0</v>
      </c>
      <c r="K30682" s="5">
        <v>0</v>
      </c>
    </row>
    <row r="30683" spans="1:11" x14ac:dyDescent="0.25">
      <c r="A30683" s="5">
        <f>30676</f>
      </c>
      <c r="B30683" s="5" t="s">
        <v>30691</v>
      </c>
      <c r="C30683" s="5">
        <v>104.5</v>
      </c>
      <c r="D30683" s="5">
        <v>0.1</v>
      </c>
      <c r="E30683" s="5">
        <v>104.3</v>
      </c>
      <c r="F30683" s="5">
        <v>207.7</v>
      </c>
      <c r="G30683" s="5">
        <v>103.6</v>
      </c>
      <c r="H30683" s="5">
        <v>103.6</v>
      </c>
      <c r="I30683" s="5">
        <v>0</v>
      </c>
      <c r="J30683" s="5">
        <v>0</v>
      </c>
      <c r="K30683" s="5">
        <v>0</v>
      </c>
    </row>
    <row r="30684" spans="1:11" x14ac:dyDescent="0.25">
      <c r="A30684" s="5">
        <f>30677</f>
      </c>
      <c r="B30684" s="5" t="s">
        <v>30692</v>
      </c>
      <c r="C30684" s="5">
        <v>104.1</v>
      </c>
      <c r="D30684" s="5">
        <v>0.1</v>
      </c>
      <c r="E30684" s="5">
        <v>104.3</v>
      </c>
      <c r="F30684" s="5">
        <v>207.7</v>
      </c>
      <c r="G30684" s="5">
        <v>103.6</v>
      </c>
      <c r="H30684" s="5">
        <v>103.6</v>
      </c>
      <c r="I30684" s="5">
        <v>0</v>
      </c>
      <c r="J30684" s="5">
        <v>0</v>
      </c>
      <c r="K30684" s="5">
        <v>0</v>
      </c>
    </row>
    <row r="30685" spans="1:11" x14ac:dyDescent="0.25">
      <c r="A30685" s="5">
        <f>30678</f>
      </c>
      <c r="B30685" s="5" t="s">
        <v>30693</v>
      </c>
      <c r="C30685" s="5">
        <v>104.1</v>
      </c>
      <c r="D30685" s="5">
        <v>0.1</v>
      </c>
      <c r="E30685" s="5">
        <v>104.3</v>
      </c>
      <c r="F30685" s="5">
        <v>207.7</v>
      </c>
      <c r="G30685" s="5">
        <v>103.7</v>
      </c>
      <c r="H30685" s="5">
        <v>103.6</v>
      </c>
      <c r="I30685" s="5">
        <v>0</v>
      </c>
      <c r="J30685" s="5">
        <v>0</v>
      </c>
      <c r="K30685" s="5">
        <v>0</v>
      </c>
    </row>
    <row r="30686" spans="1:11" x14ac:dyDescent="0.25">
      <c r="A30686" s="5">
        <f>30679</f>
      </c>
      <c r="B30686" s="5" t="s">
        <v>30694</v>
      </c>
      <c r="C30686" s="5">
        <v>104.3</v>
      </c>
      <c r="D30686" s="5">
        <v>0.1</v>
      </c>
      <c r="E30686" s="5">
        <v>104.5</v>
      </c>
      <c r="F30686" s="5">
        <v>207.8</v>
      </c>
      <c r="G30686" s="5">
        <v>103.7</v>
      </c>
      <c r="H30686" s="5">
        <v>103.6</v>
      </c>
      <c r="I30686" s="5">
        <v>0</v>
      </c>
      <c r="J30686" s="5">
        <v>0</v>
      </c>
      <c r="K30686" s="5">
        <v>0</v>
      </c>
    </row>
    <row r="30687" spans="1:11" x14ac:dyDescent="0.25">
      <c r="A30687" s="5">
        <f>30680</f>
      </c>
      <c r="B30687" s="5" t="s">
        <v>30695</v>
      </c>
      <c r="C30687" s="5">
        <v>104.3</v>
      </c>
      <c r="D30687" s="5">
        <v>0.1</v>
      </c>
      <c r="E30687" s="5">
        <v>104.5</v>
      </c>
      <c r="F30687" s="5">
        <v>207.8</v>
      </c>
      <c r="G30687" s="5">
        <v>103.7</v>
      </c>
      <c r="H30687" s="5">
        <v>103.6</v>
      </c>
      <c r="I30687" s="5">
        <v>0</v>
      </c>
      <c r="J30687" s="5">
        <v>0</v>
      </c>
      <c r="K30687" s="5">
        <v>0</v>
      </c>
    </row>
    <row r="30688" spans="1:11" x14ac:dyDescent="0.25">
      <c r="A30688" s="5">
        <f>30681</f>
      </c>
      <c r="B30688" s="5" t="s">
        <v>30696</v>
      </c>
      <c r="C30688" s="5">
        <v>104.3</v>
      </c>
      <c r="D30688" s="5">
        <v>0.1</v>
      </c>
      <c r="E30688" s="5">
        <v>104.5</v>
      </c>
      <c r="F30688" s="5">
        <v>208.1</v>
      </c>
      <c r="G30688" s="5">
        <v>103.8</v>
      </c>
      <c r="H30688" s="5">
        <v>103.6</v>
      </c>
      <c r="I30688" s="5">
        <v>0</v>
      </c>
      <c r="J30688" s="5">
        <v>0</v>
      </c>
      <c r="K30688" s="5">
        <v>0</v>
      </c>
    </row>
    <row r="30689" spans="1:11" x14ac:dyDescent="0.25">
      <c r="A30689" s="5">
        <f>30682</f>
      </c>
      <c r="B30689" s="5" t="s">
        <v>30697</v>
      </c>
      <c r="C30689" s="5">
        <v>104.3</v>
      </c>
      <c r="D30689" s="5">
        <v>0.1</v>
      </c>
      <c r="E30689" s="5">
        <v>104.5</v>
      </c>
      <c r="F30689" s="5">
        <v>208.1</v>
      </c>
      <c r="G30689" s="5">
        <v>103.8</v>
      </c>
      <c r="H30689" s="5">
        <v>103.6</v>
      </c>
      <c r="I30689" s="5">
        <v>0</v>
      </c>
      <c r="J30689" s="5">
        <v>0</v>
      </c>
      <c r="K30689" s="5">
        <v>0</v>
      </c>
    </row>
    <row r="30690" spans="1:11" x14ac:dyDescent="0.25">
      <c r="A30690" s="5">
        <f>30683</f>
      </c>
      <c r="B30690" s="5" t="s">
        <v>30698</v>
      </c>
      <c r="C30690" s="5">
        <v>104.3</v>
      </c>
      <c r="D30690" s="5">
        <v>0.1</v>
      </c>
      <c r="E30690" s="5">
        <v>104.5</v>
      </c>
      <c r="F30690" s="5">
        <v>208.1</v>
      </c>
      <c r="G30690" s="5">
        <v>103.8</v>
      </c>
      <c r="H30690" s="5">
        <v>103.6</v>
      </c>
      <c r="I30690" s="5">
        <v>0</v>
      </c>
      <c r="J30690" s="5">
        <v>0</v>
      </c>
      <c r="K30690" s="5">
        <v>0</v>
      </c>
    </row>
    <row r="30691" spans="1:11" x14ac:dyDescent="0.25">
      <c r="A30691" s="5">
        <f>30684</f>
      </c>
      <c r="B30691" s="5" t="s">
        <v>30699</v>
      </c>
      <c r="C30691" s="5">
        <v>103.4</v>
      </c>
      <c r="D30691" s="5">
        <v>0.1</v>
      </c>
      <c r="E30691" s="5">
        <v>103.5</v>
      </c>
      <c r="F30691" s="5">
        <v>207.1</v>
      </c>
      <c r="G30691" s="5">
        <v>103.3</v>
      </c>
      <c r="H30691" s="5">
        <v>103.1</v>
      </c>
      <c r="I30691" s="5">
        <v>0</v>
      </c>
      <c r="J30691" s="5">
        <v>0</v>
      </c>
      <c r="K30691" s="5">
        <v>0</v>
      </c>
    </row>
    <row r="30692" spans="1:11" x14ac:dyDescent="0.25">
      <c r="A30692" s="5">
        <f>30685</f>
      </c>
      <c r="B30692" s="5" t="s">
        <v>30700</v>
      </c>
      <c r="C30692" s="5">
        <v>103.4</v>
      </c>
      <c r="D30692" s="5">
        <v>0.1</v>
      </c>
      <c r="E30692" s="5">
        <v>103.5</v>
      </c>
      <c r="F30692" s="5">
        <v>207.1</v>
      </c>
      <c r="G30692" s="5">
        <v>103.3</v>
      </c>
      <c r="H30692" s="5">
        <v>103.1</v>
      </c>
      <c r="I30692" s="5">
        <v>0</v>
      </c>
      <c r="J30692" s="5">
        <v>0</v>
      </c>
      <c r="K30692" s="5">
        <v>0</v>
      </c>
    </row>
    <row r="30693" spans="1:11" x14ac:dyDescent="0.25">
      <c r="A30693" s="5">
        <f>30686</f>
      </c>
      <c r="B30693" s="5" t="s">
        <v>30701</v>
      </c>
      <c r="C30693" s="5">
        <v>104.6</v>
      </c>
      <c r="D30693" s="5">
        <v>0.1</v>
      </c>
      <c r="E30693" s="5">
        <v>104.7</v>
      </c>
      <c r="F30693" s="5">
        <v>208.3</v>
      </c>
      <c r="G30693" s="5">
        <v>103.9</v>
      </c>
      <c r="H30693" s="5">
        <v>103.8</v>
      </c>
      <c r="I30693" s="5">
        <v>0</v>
      </c>
      <c r="J30693" s="5">
        <v>0</v>
      </c>
      <c r="K30693" s="5">
        <v>0</v>
      </c>
    </row>
    <row r="30694" spans="1:11" x14ac:dyDescent="0.25">
      <c r="A30694" s="5">
        <f>30687</f>
      </c>
      <c r="B30694" s="5" t="s">
        <v>30702</v>
      </c>
      <c r="C30694" s="5">
        <v>104.6</v>
      </c>
      <c r="D30694" s="5">
        <v>0.1</v>
      </c>
      <c r="E30694" s="5">
        <v>104.7</v>
      </c>
      <c r="F30694" s="5">
        <v>208.3</v>
      </c>
      <c r="G30694" s="5">
        <v>103.9</v>
      </c>
      <c r="H30694" s="5">
        <v>103.8</v>
      </c>
      <c r="I30694" s="5">
        <v>0</v>
      </c>
      <c r="J30694" s="5">
        <v>0</v>
      </c>
      <c r="K30694" s="5">
        <v>0</v>
      </c>
    </row>
    <row r="30695" spans="1:11" x14ac:dyDescent="0.25">
      <c r="A30695" s="5">
        <f>30688</f>
      </c>
      <c r="B30695" s="5" t="s">
        <v>30703</v>
      </c>
      <c r="C30695" s="5">
        <v>103.4</v>
      </c>
      <c r="D30695" s="5">
        <v>0.1</v>
      </c>
      <c r="E30695" s="5">
        <v>103.5</v>
      </c>
      <c r="F30695" s="5">
        <v>207.5</v>
      </c>
      <c r="G30695" s="5">
        <v>103.5</v>
      </c>
      <c r="H30695" s="5">
        <v>103.3</v>
      </c>
      <c r="I30695" s="5">
        <v>0</v>
      </c>
      <c r="J30695" s="5">
        <v>0</v>
      </c>
      <c r="K30695" s="5">
        <v>0</v>
      </c>
    </row>
    <row r="30696" spans="1:11" x14ac:dyDescent="0.25">
      <c r="A30696" s="5">
        <f>30689</f>
      </c>
      <c r="B30696" s="5" t="s">
        <v>30704</v>
      </c>
      <c r="C30696" s="5">
        <v>103.4</v>
      </c>
      <c r="D30696" s="5">
        <v>0.1</v>
      </c>
      <c r="E30696" s="5">
        <v>103.5</v>
      </c>
      <c r="F30696" s="5">
        <v>207.5</v>
      </c>
      <c r="G30696" s="5">
        <v>103.5</v>
      </c>
      <c r="H30696" s="5">
        <v>103.3</v>
      </c>
      <c r="I30696" s="5">
        <v>0</v>
      </c>
      <c r="J30696" s="5">
        <v>0</v>
      </c>
      <c r="K30696" s="5">
        <v>0</v>
      </c>
    </row>
    <row r="30697" spans="1:11" x14ac:dyDescent="0.25">
      <c r="A30697" s="5">
        <f>30690</f>
      </c>
      <c r="B30697" s="5" t="s">
        <v>30705</v>
      </c>
      <c r="C30697" s="5">
        <v>104.8</v>
      </c>
      <c r="D30697" s="5">
        <v>0.1</v>
      </c>
      <c r="E30697" s="5">
        <v>105</v>
      </c>
      <c r="F30697" s="5">
        <v>208.4</v>
      </c>
      <c r="G30697" s="5">
        <v>104</v>
      </c>
      <c r="H30697" s="5">
        <v>103.9</v>
      </c>
      <c r="I30697" s="5">
        <v>0</v>
      </c>
      <c r="J30697" s="5">
        <v>0</v>
      </c>
      <c r="K30697" s="5">
        <v>0</v>
      </c>
    </row>
    <row r="30698" spans="1:11" x14ac:dyDescent="0.25">
      <c r="A30698" s="5">
        <f>30691</f>
      </c>
      <c r="B30698" s="5" t="s">
        <v>30706</v>
      </c>
      <c r="C30698" s="5">
        <v>104.8</v>
      </c>
      <c r="D30698" s="5">
        <v>0.1</v>
      </c>
      <c r="E30698" s="5">
        <v>105</v>
      </c>
      <c r="F30698" s="5">
        <v>208.4</v>
      </c>
      <c r="G30698" s="5">
        <v>104</v>
      </c>
      <c r="H30698" s="5">
        <v>103.9</v>
      </c>
      <c r="I30698" s="5">
        <v>0</v>
      </c>
      <c r="J30698" s="5">
        <v>0</v>
      </c>
      <c r="K30698" s="5">
        <v>0</v>
      </c>
    </row>
    <row r="30699" spans="1:11" x14ac:dyDescent="0.25">
      <c r="A30699" s="5">
        <f>30692</f>
      </c>
      <c r="B30699" s="5" t="s">
        <v>30707</v>
      </c>
      <c r="C30699" s="5">
        <v>104.8</v>
      </c>
      <c r="D30699" s="5">
        <v>0.1</v>
      </c>
      <c r="E30699" s="5">
        <v>105</v>
      </c>
      <c r="F30699" s="5">
        <v>208.4</v>
      </c>
      <c r="G30699" s="5">
        <v>104</v>
      </c>
      <c r="H30699" s="5">
        <v>103.9</v>
      </c>
      <c r="I30699" s="5">
        <v>0</v>
      </c>
      <c r="J30699" s="5">
        <v>0</v>
      </c>
      <c r="K30699" s="5">
        <v>0</v>
      </c>
    </row>
    <row r="30700" spans="1:11" x14ac:dyDescent="0.25">
      <c r="A30700" s="5">
        <f>30693</f>
      </c>
      <c r="B30700" s="5" t="s">
        <v>30708</v>
      </c>
      <c r="C30700" s="5">
        <v>104.8</v>
      </c>
      <c r="D30700" s="5">
        <v>0.1</v>
      </c>
      <c r="E30700" s="5">
        <v>105</v>
      </c>
      <c r="F30700" s="5">
        <v>208.4</v>
      </c>
      <c r="G30700" s="5">
        <v>104</v>
      </c>
      <c r="H30700" s="5">
        <v>103.9</v>
      </c>
      <c r="I30700" s="5">
        <v>0</v>
      </c>
      <c r="J30700" s="5">
        <v>0</v>
      </c>
      <c r="K30700" s="5">
        <v>0</v>
      </c>
    </row>
    <row r="30701" spans="1:11" x14ac:dyDescent="0.25">
      <c r="A30701" s="5">
        <f>30694</f>
      </c>
      <c r="B30701" s="5" t="s">
        <v>30709</v>
      </c>
      <c r="C30701" s="5">
        <v>103.7</v>
      </c>
      <c r="D30701" s="5">
        <v>0.1</v>
      </c>
      <c r="E30701" s="5">
        <v>103.9</v>
      </c>
      <c r="F30701" s="5">
        <v>207.5</v>
      </c>
      <c r="G30701" s="5">
        <v>103.5</v>
      </c>
      <c r="H30701" s="5">
        <v>103.4</v>
      </c>
      <c r="I30701" s="5">
        <v>0</v>
      </c>
      <c r="J30701" s="5">
        <v>0</v>
      </c>
      <c r="K30701" s="5">
        <v>0</v>
      </c>
    </row>
    <row r="30702" spans="1:11" x14ac:dyDescent="0.25">
      <c r="A30702" s="5">
        <f>30695</f>
      </c>
      <c r="B30702" s="5" t="s">
        <v>30710</v>
      </c>
      <c r="C30702" s="5">
        <v>103.7</v>
      </c>
      <c r="D30702" s="5">
        <v>0.1</v>
      </c>
      <c r="E30702" s="5">
        <v>103.9</v>
      </c>
      <c r="F30702" s="5">
        <v>207.5</v>
      </c>
      <c r="G30702" s="5">
        <v>103.5</v>
      </c>
      <c r="H30702" s="5">
        <v>103.4</v>
      </c>
      <c r="I30702" s="5">
        <v>0</v>
      </c>
      <c r="J30702" s="5">
        <v>0</v>
      </c>
      <c r="K30702" s="5">
        <v>0</v>
      </c>
    </row>
    <row r="30703" spans="1:11" x14ac:dyDescent="0.25">
      <c r="A30703" s="5">
        <f>30696</f>
      </c>
      <c r="B30703" s="5" t="s">
        <v>30711</v>
      </c>
      <c r="C30703" s="5">
        <v>104.7</v>
      </c>
      <c r="D30703" s="5">
        <v>0.1</v>
      </c>
      <c r="E30703" s="5">
        <v>104.9</v>
      </c>
      <c r="F30703" s="5">
        <v>208.5</v>
      </c>
      <c r="G30703" s="5">
        <v>104</v>
      </c>
      <c r="H30703" s="5">
        <v>103.9</v>
      </c>
      <c r="I30703" s="5">
        <v>0</v>
      </c>
      <c r="J30703" s="5">
        <v>0</v>
      </c>
      <c r="K30703" s="5">
        <v>0</v>
      </c>
    </row>
    <row r="30704" spans="1:11" x14ac:dyDescent="0.25">
      <c r="A30704" s="5">
        <f>30697</f>
      </c>
      <c r="B30704" s="5" t="s">
        <v>30712</v>
      </c>
      <c r="C30704" s="5">
        <v>104.7</v>
      </c>
      <c r="D30704" s="5">
        <v>0.1</v>
      </c>
      <c r="E30704" s="5">
        <v>104.9</v>
      </c>
      <c r="F30704" s="5">
        <v>208.5</v>
      </c>
      <c r="G30704" s="5">
        <v>104</v>
      </c>
      <c r="H30704" s="5">
        <v>103.9</v>
      </c>
      <c r="I30704" s="5">
        <v>0</v>
      </c>
      <c r="J30704" s="5">
        <v>0</v>
      </c>
      <c r="K30704" s="5">
        <v>0</v>
      </c>
    </row>
    <row r="30705" spans="1:11" x14ac:dyDescent="0.25">
      <c r="A30705" s="5">
        <f>30698</f>
      </c>
      <c r="B30705" s="5" t="s">
        <v>30713</v>
      </c>
      <c r="C30705" s="5">
        <v>104</v>
      </c>
      <c r="D30705" s="5">
        <v>0.1</v>
      </c>
      <c r="E30705" s="5">
        <v>104</v>
      </c>
      <c r="F30705" s="5">
        <v>207.9</v>
      </c>
      <c r="G30705" s="5">
        <v>103.7</v>
      </c>
      <c r="H30705" s="5">
        <v>103.6</v>
      </c>
      <c r="I30705" s="5">
        <v>0</v>
      </c>
      <c r="J30705" s="5">
        <v>0</v>
      </c>
      <c r="K30705" s="5">
        <v>0</v>
      </c>
    </row>
    <row r="30706" spans="1:11" x14ac:dyDescent="0.25">
      <c r="A30706" s="5">
        <f>30699</f>
      </c>
      <c r="B30706" s="5" t="s">
        <v>30714</v>
      </c>
      <c r="C30706" s="5">
        <v>104</v>
      </c>
      <c r="D30706" s="5">
        <v>0.1</v>
      </c>
      <c r="E30706" s="5">
        <v>104</v>
      </c>
      <c r="F30706" s="5">
        <v>207.9</v>
      </c>
      <c r="G30706" s="5">
        <v>103.7</v>
      </c>
      <c r="H30706" s="5">
        <v>103.6</v>
      </c>
      <c r="I30706" s="5">
        <v>0</v>
      </c>
      <c r="J30706" s="5">
        <v>0</v>
      </c>
      <c r="K30706" s="5">
        <v>0</v>
      </c>
    </row>
    <row r="30707" spans="1:11" x14ac:dyDescent="0.25">
      <c r="A30707" s="5">
        <f>30700</f>
      </c>
      <c r="B30707" s="5" t="s">
        <v>30715</v>
      </c>
      <c r="C30707" s="5">
        <v>103.8</v>
      </c>
      <c r="D30707" s="5">
        <v>0.1</v>
      </c>
      <c r="E30707" s="5">
        <v>104</v>
      </c>
      <c r="F30707" s="5">
        <v>207</v>
      </c>
      <c r="G30707" s="5">
        <v>103.2</v>
      </c>
      <c r="H30707" s="5">
        <v>103.1</v>
      </c>
      <c r="I30707" s="5">
        <v>0</v>
      </c>
      <c r="J30707" s="5">
        <v>0</v>
      </c>
      <c r="K30707" s="5">
        <v>0</v>
      </c>
    </row>
    <row r="30708" spans="1:11" x14ac:dyDescent="0.25">
      <c r="A30708" s="5">
        <f>30701</f>
      </c>
      <c r="B30708" s="5" t="s">
        <v>30716</v>
      </c>
      <c r="C30708" s="5">
        <v>103.8</v>
      </c>
      <c r="D30708" s="5">
        <v>0.1</v>
      </c>
      <c r="E30708" s="5">
        <v>104</v>
      </c>
      <c r="F30708" s="5">
        <v>207</v>
      </c>
      <c r="G30708" s="5">
        <v>103.2</v>
      </c>
      <c r="H30708" s="5">
        <v>103.1</v>
      </c>
      <c r="I30708" s="5">
        <v>0</v>
      </c>
      <c r="J30708" s="5">
        <v>0</v>
      </c>
      <c r="K30708" s="5">
        <v>0</v>
      </c>
    </row>
    <row r="30709" spans="1:11" x14ac:dyDescent="0.25">
      <c r="A30709" s="5">
        <f>30702</f>
      </c>
      <c r="B30709" s="5" t="s">
        <v>30717</v>
      </c>
      <c r="C30709" s="5">
        <v>103.8</v>
      </c>
      <c r="D30709" s="5">
        <v>0.1</v>
      </c>
      <c r="E30709" s="5">
        <v>104</v>
      </c>
      <c r="F30709" s="5">
        <v>207</v>
      </c>
      <c r="G30709" s="5">
        <v>103.2</v>
      </c>
      <c r="H30709" s="5">
        <v>103.1</v>
      </c>
      <c r="I30709" s="5">
        <v>0</v>
      </c>
      <c r="J30709" s="5">
        <v>0</v>
      </c>
      <c r="K30709" s="5">
        <v>0</v>
      </c>
    </row>
    <row r="30710" spans="1:11" x14ac:dyDescent="0.25">
      <c r="A30710" s="5">
        <f>30703</f>
      </c>
      <c r="B30710" s="5" t="s">
        <v>30718</v>
      </c>
      <c r="C30710" s="5">
        <v>103.8</v>
      </c>
      <c r="D30710" s="5">
        <v>0.1</v>
      </c>
      <c r="E30710" s="5">
        <v>104</v>
      </c>
      <c r="F30710" s="5">
        <v>207</v>
      </c>
      <c r="G30710" s="5">
        <v>103.2</v>
      </c>
      <c r="H30710" s="5">
        <v>103.1</v>
      </c>
      <c r="I30710" s="5">
        <v>0</v>
      </c>
      <c r="J30710" s="5">
        <v>0</v>
      </c>
      <c r="K30710" s="5">
        <v>0</v>
      </c>
    </row>
    <row r="30711" spans="1:11" x14ac:dyDescent="0.25">
      <c r="A30711" s="5">
        <f>30704</f>
      </c>
      <c r="B30711" s="5" t="s">
        <v>30719</v>
      </c>
      <c r="C30711" s="5">
        <v>103.6</v>
      </c>
      <c r="D30711" s="5">
        <v>0.1</v>
      </c>
      <c r="E30711" s="5">
        <v>103.7</v>
      </c>
      <c r="F30711" s="5">
        <v>207.6</v>
      </c>
      <c r="G30711" s="5">
        <v>103.4</v>
      </c>
      <c r="H30711" s="5">
        <v>103.2</v>
      </c>
      <c r="I30711" s="5">
        <v>0</v>
      </c>
      <c r="J30711" s="5">
        <v>0</v>
      </c>
      <c r="K30711" s="5">
        <v>0</v>
      </c>
    </row>
    <row r="30712" spans="1:11" x14ac:dyDescent="0.25">
      <c r="A30712" s="5">
        <f>30705</f>
      </c>
      <c r="B30712" s="5" t="s">
        <v>30720</v>
      </c>
      <c r="C30712" s="5">
        <v>103.6</v>
      </c>
      <c r="D30712" s="5">
        <v>0.1</v>
      </c>
      <c r="E30712" s="5">
        <v>103.7</v>
      </c>
      <c r="F30712" s="5">
        <v>207.6</v>
      </c>
      <c r="G30712" s="5">
        <v>103.4</v>
      </c>
      <c r="H30712" s="5">
        <v>103.2</v>
      </c>
      <c r="I30712" s="5">
        <v>0</v>
      </c>
      <c r="J30712" s="5">
        <v>0</v>
      </c>
      <c r="K30712" s="5">
        <v>0</v>
      </c>
    </row>
    <row r="30713" spans="1:11" x14ac:dyDescent="0.25">
      <c r="A30713" s="5">
        <f>30706</f>
      </c>
      <c r="B30713" s="5" t="s">
        <v>30721</v>
      </c>
      <c r="C30713" s="5">
        <v>103.9</v>
      </c>
      <c r="D30713" s="5">
        <v>0.1</v>
      </c>
      <c r="E30713" s="5">
        <v>104</v>
      </c>
      <c r="F30713" s="5">
        <v>206.9</v>
      </c>
      <c r="G30713" s="5">
        <v>103.2</v>
      </c>
      <c r="H30713" s="5">
        <v>103.1</v>
      </c>
      <c r="I30713" s="5">
        <v>0</v>
      </c>
      <c r="J30713" s="5">
        <v>0</v>
      </c>
      <c r="K30713" s="5">
        <v>0</v>
      </c>
    </row>
    <row r="30714" spans="1:11" x14ac:dyDescent="0.25">
      <c r="A30714" s="5">
        <f>30707</f>
      </c>
      <c r="B30714" s="5" t="s">
        <v>30722</v>
      </c>
      <c r="C30714" s="5">
        <v>103.9</v>
      </c>
      <c r="D30714" s="5">
        <v>0.1</v>
      </c>
      <c r="E30714" s="5">
        <v>104</v>
      </c>
      <c r="F30714" s="5">
        <v>206.9</v>
      </c>
      <c r="G30714" s="5">
        <v>103.2</v>
      </c>
      <c r="H30714" s="5">
        <v>103.1</v>
      </c>
      <c r="I30714" s="5">
        <v>0</v>
      </c>
      <c r="J30714" s="5">
        <v>0</v>
      </c>
      <c r="K30714" s="5">
        <v>0</v>
      </c>
    </row>
    <row r="30715" spans="1:11" x14ac:dyDescent="0.25">
      <c r="A30715" s="5">
        <f>30708</f>
      </c>
      <c r="B30715" s="5" t="s">
        <v>30723</v>
      </c>
      <c r="C30715" s="5">
        <v>103.2</v>
      </c>
      <c r="D30715" s="5">
        <v>0.1</v>
      </c>
      <c r="E30715" s="5">
        <v>103.4</v>
      </c>
      <c r="F30715" s="5">
        <v>207.1</v>
      </c>
      <c r="G30715" s="5">
        <v>103.4</v>
      </c>
      <c r="H30715" s="5">
        <v>103.2</v>
      </c>
      <c r="I30715" s="5">
        <v>0</v>
      </c>
      <c r="J30715" s="5">
        <v>0</v>
      </c>
      <c r="K30715" s="5">
        <v>0</v>
      </c>
    </row>
    <row r="30716" spans="1:11" x14ac:dyDescent="0.25">
      <c r="A30716" s="5">
        <f>30709</f>
      </c>
      <c r="B30716" s="5" t="s">
        <v>30724</v>
      </c>
      <c r="C30716" s="5">
        <v>103.2</v>
      </c>
      <c r="D30716" s="5">
        <v>0.1</v>
      </c>
      <c r="E30716" s="5">
        <v>103.4</v>
      </c>
      <c r="F30716" s="5">
        <v>207.1</v>
      </c>
      <c r="G30716" s="5">
        <v>103.4</v>
      </c>
      <c r="H30716" s="5">
        <v>103.2</v>
      </c>
      <c r="I30716" s="5">
        <v>0</v>
      </c>
      <c r="J30716" s="5">
        <v>0</v>
      </c>
      <c r="K30716" s="5">
        <v>0</v>
      </c>
    </row>
    <row r="30717" spans="1:11" x14ac:dyDescent="0.25">
      <c r="A30717" s="5">
        <f>30710</f>
      </c>
      <c r="B30717" s="5" t="s">
        <v>30725</v>
      </c>
      <c r="C30717" s="5">
        <v>102.6</v>
      </c>
      <c r="D30717" s="5">
        <v>0.1</v>
      </c>
      <c r="E30717" s="5">
        <v>102.7</v>
      </c>
      <c r="F30717" s="5">
        <v>205.5</v>
      </c>
      <c r="G30717" s="5">
        <v>102.5</v>
      </c>
      <c r="H30717" s="5">
        <v>102.3</v>
      </c>
      <c r="I30717" s="5">
        <v>0</v>
      </c>
      <c r="J30717" s="5">
        <v>0</v>
      </c>
      <c r="K30717" s="5">
        <v>0</v>
      </c>
    </row>
    <row r="30718" spans="1:11" x14ac:dyDescent="0.25">
      <c r="A30718" s="5">
        <f>30711</f>
      </c>
      <c r="B30718" s="5" t="s">
        <v>30726</v>
      </c>
      <c r="C30718" s="5">
        <v>102.6</v>
      </c>
      <c r="D30718" s="5">
        <v>0.1</v>
      </c>
      <c r="E30718" s="5">
        <v>102.7</v>
      </c>
      <c r="F30718" s="5">
        <v>205.5</v>
      </c>
      <c r="G30718" s="5">
        <v>102.5</v>
      </c>
      <c r="H30718" s="5">
        <v>102.3</v>
      </c>
      <c r="I30718" s="5">
        <v>0</v>
      </c>
      <c r="J30718" s="5">
        <v>0</v>
      </c>
      <c r="K30718" s="5">
        <v>0</v>
      </c>
    </row>
    <row r="30719" spans="1:11" x14ac:dyDescent="0.25">
      <c r="A30719" s="5">
        <f>30712</f>
      </c>
      <c r="B30719" s="5" t="s">
        <v>30727</v>
      </c>
      <c r="C30719" s="5">
        <v>102.6</v>
      </c>
      <c r="D30719" s="5">
        <v>0.1</v>
      </c>
      <c r="E30719" s="5">
        <v>102.7</v>
      </c>
      <c r="F30719" s="5">
        <v>205.5</v>
      </c>
      <c r="G30719" s="5">
        <v>102.5</v>
      </c>
      <c r="H30719" s="5">
        <v>102.3</v>
      </c>
      <c r="I30719" s="5">
        <v>0</v>
      </c>
      <c r="J30719" s="5">
        <v>0</v>
      </c>
      <c r="K30719" s="5">
        <v>0</v>
      </c>
    </row>
    <row r="30720" spans="1:11" x14ac:dyDescent="0.25">
      <c r="A30720" s="5">
        <f>30713</f>
      </c>
      <c r="B30720" s="5" t="s">
        <v>30728</v>
      </c>
      <c r="C30720" s="5">
        <v>102.6</v>
      </c>
      <c r="D30720" s="5">
        <v>0.1</v>
      </c>
      <c r="E30720" s="5">
        <v>102.7</v>
      </c>
      <c r="F30720" s="5">
        <v>205.5</v>
      </c>
      <c r="G30720" s="5">
        <v>102.5</v>
      </c>
      <c r="H30720" s="5">
        <v>102.3</v>
      </c>
      <c r="I30720" s="5">
        <v>0</v>
      </c>
      <c r="J30720" s="5">
        <v>0</v>
      </c>
      <c r="K30720" s="5">
        <v>0</v>
      </c>
    </row>
    <row r="30721" spans="1:11" x14ac:dyDescent="0.25">
      <c r="A30721" s="5">
        <f>30714</f>
      </c>
      <c r="B30721" s="5" t="s">
        <v>30729</v>
      </c>
      <c r="C30721" s="5">
        <v>103.7</v>
      </c>
      <c r="D30721" s="5">
        <v>0.1</v>
      </c>
      <c r="E30721" s="5">
        <v>103.8</v>
      </c>
      <c r="F30721" s="5">
        <v>207.4</v>
      </c>
      <c r="G30721" s="5">
        <v>103.4</v>
      </c>
      <c r="H30721" s="5">
        <v>103.3</v>
      </c>
      <c r="I30721" s="5">
        <v>0</v>
      </c>
      <c r="J30721" s="5">
        <v>0</v>
      </c>
      <c r="K30721" s="5">
        <v>0</v>
      </c>
    </row>
    <row r="30722" spans="1:11" x14ac:dyDescent="0.25">
      <c r="A30722" s="5">
        <f>30715</f>
      </c>
      <c r="B30722" s="5" t="s">
        <v>30730</v>
      </c>
      <c r="C30722" s="5">
        <v>103.7</v>
      </c>
      <c r="D30722" s="5">
        <v>0.1</v>
      </c>
      <c r="E30722" s="5">
        <v>103.8</v>
      </c>
      <c r="F30722" s="5">
        <v>207.4</v>
      </c>
      <c r="G30722" s="5">
        <v>103.4</v>
      </c>
      <c r="H30722" s="5">
        <v>103.3</v>
      </c>
      <c r="I30722" s="5">
        <v>0</v>
      </c>
      <c r="J30722" s="5">
        <v>0</v>
      </c>
      <c r="K30722" s="5">
        <v>0</v>
      </c>
    </row>
    <row r="30723" spans="1:11" x14ac:dyDescent="0.25">
      <c r="A30723" s="5">
        <f>30716</f>
      </c>
      <c r="B30723" s="5" t="s">
        <v>30731</v>
      </c>
      <c r="C30723" s="5">
        <v>104</v>
      </c>
      <c r="D30723" s="5">
        <v>0.1</v>
      </c>
      <c r="E30723" s="5">
        <v>104.1</v>
      </c>
      <c r="F30723" s="5">
        <v>207.7</v>
      </c>
      <c r="G30723" s="5">
        <v>103.7</v>
      </c>
      <c r="H30723" s="5">
        <v>103.6</v>
      </c>
      <c r="I30723" s="5">
        <v>0</v>
      </c>
      <c r="J30723" s="5">
        <v>0</v>
      </c>
      <c r="K30723" s="5">
        <v>0</v>
      </c>
    </row>
    <row r="30724" spans="1:11" x14ac:dyDescent="0.25">
      <c r="A30724" s="5">
        <f>30717</f>
      </c>
      <c r="B30724" s="5" t="s">
        <v>30732</v>
      </c>
      <c r="C30724" s="5">
        <v>104</v>
      </c>
      <c r="D30724" s="5">
        <v>0.1</v>
      </c>
      <c r="E30724" s="5">
        <v>104.1</v>
      </c>
      <c r="F30724" s="5">
        <v>207.7</v>
      </c>
      <c r="G30724" s="5">
        <v>103.7</v>
      </c>
      <c r="H30724" s="5">
        <v>103.6</v>
      </c>
      <c r="I30724" s="5">
        <v>0</v>
      </c>
      <c r="J30724" s="5">
        <v>0</v>
      </c>
      <c r="K30724" s="5">
        <v>0</v>
      </c>
    </row>
    <row r="30725" spans="1:11" x14ac:dyDescent="0.25">
      <c r="A30725" s="5">
        <f>30718</f>
      </c>
      <c r="B30725" s="5" t="s">
        <v>30733</v>
      </c>
      <c r="C30725" s="5">
        <v>103.7</v>
      </c>
      <c r="D30725" s="5">
        <v>0.1</v>
      </c>
      <c r="E30725" s="5">
        <v>103.8</v>
      </c>
      <c r="F30725" s="5">
        <v>207.5</v>
      </c>
      <c r="G30725" s="5">
        <v>103.5</v>
      </c>
      <c r="H30725" s="5">
        <v>103.4</v>
      </c>
      <c r="I30725" s="5">
        <v>0</v>
      </c>
      <c r="J30725" s="5">
        <v>0</v>
      </c>
      <c r="K30725" s="5">
        <v>0</v>
      </c>
    </row>
    <row r="30726" spans="1:11" x14ac:dyDescent="0.25">
      <c r="A30726" s="5">
        <f>30719</f>
      </c>
      <c r="B30726" s="5" t="s">
        <v>30734</v>
      </c>
      <c r="C30726" s="5">
        <v>103.7</v>
      </c>
      <c r="D30726" s="5">
        <v>0.1</v>
      </c>
      <c r="E30726" s="5">
        <v>103.8</v>
      </c>
      <c r="F30726" s="5">
        <v>207.5</v>
      </c>
      <c r="G30726" s="5">
        <v>103.5</v>
      </c>
      <c r="H30726" s="5">
        <v>103.4</v>
      </c>
      <c r="I30726" s="5">
        <v>0</v>
      </c>
      <c r="J30726" s="5">
        <v>0</v>
      </c>
      <c r="K30726" s="5">
        <v>0</v>
      </c>
    </row>
    <row r="30727" spans="1:11" x14ac:dyDescent="0.25">
      <c r="A30727" s="5">
        <f>30720</f>
      </c>
      <c r="B30727" s="5" t="s">
        <v>30735</v>
      </c>
      <c r="C30727" s="5">
        <v>103.6</v>
      </c>
      <c r="D30727" s="5">
        <v>0.1</v>
      </c>
      <c r="E30727" s="5">
        <v>103.7</v>
      </c>
      <c r="F30727" s="5">
        <v>207.1</v>
      </c>
      <c r="G30727" s="5">
        <v>103.3</v>
      </c>
      <c r="H30727" s="5">
        <v>103.2</v>
      </c>
      <c r="I30727" s="5">
        <v>0</v>
      </c>
      <c r="J30727" s="5">
        <v>0</v>
      </c>
      <c r="K30727" s="5">
        <v>0</v>
      </c>
    </row>
    <row r="30728" spans="1:11" x14ac:dyDescent="0.25">
      <c r="A30728" s="5">
        <f>30721</f>
      </c>
      <c r="B30728" s="5" t="s">
        <v>30736</v>
      </c>
      <c r="C30728" s="5">
        <v>103.6</v>
      </c>
      <c r="D30728" s="5">
        <v>0.1</v>
      </c>
      <c r="E30728" s="5">
        <v>103.7</v>
      </c>
      <c r="F30728" s="5">
        <v>207.1</v>
      </c>
      <c r="G30728" s="5">
        <v>103.3</v>
      </c>
      <c r="H30728" s="5">
        <v>103.2</v>
      </c>
      <c r="I30728" s="5">
        <v>0</v>
      </c>
      <c r="J30728" s="5">
        <v>0</v>
      </c>
      <c r="K30728" s="5">
        <v>0</v>
      </c>
    </row>
    <row r="30729" spans="1:11" x14ac:dyDescent="0.25">
      <c r="A30729" s="5">
        <f>30722</f>
      </c>
      <c r="B30729" s="5" t="s">
        <v>30737</v>
      </c>
      <c r="C30729" s="5">
        <v>103.6</v>
      </c>
      <c r="D30729" s="5">
        <v>0.1</v>
      </c>
      <c r="E30729" s="5">
        <v>103.7</v>
      </c>
      <c r="F30729" s="5">
        <v>207.1</v>
      </c>
      <c r="G30729" s="5">
        <v>103.3</v>
      </c>
      <c r="H30729" s="5">
        <v>103.2</v>
      </c>
      <c r="I30729" s="5">
        <v>0</v>
      </c>
      <c r="J30729" s="5">
        <v>0</v>
      </c>
      <c r="K30729" s="5">
        <v>0</v>
      </c>
    </row>
    <row r="30730" spans="1:11" x14ac:dyDescent="0.25">
      <c r="A30730" s="5">
        <f>30723</f>
      </c>
      <c r="B30730" s="5" t="s">
        <v>30738</v>
      </c>
      <c r="C30730" s="5">
        <v>103.6</v>
      </c>
      <c r="D30730" s="5">
        <v>0.1</v>
      </c>
      <c r="E30730" s="5">
        <v>103.7</v>
      </c>
      <c r="F30730" s="5">
        <v>207.1</v>
      </c>
      <c r="G30730" s="5">
        <v>103.3</v>
      </c>
      <c r="H30730" s="5">
        <v>103.2</v>
      </c>
      <c r="I30730" s="5">
        <v>0</v>
      </c>
      <c r="J30730" s="5">
        <v>0</v>
      </c>
      <c r="K30730" s="5">
        <v>0</v>
      </c>
    </row>
    <row r="30731" spans="1:11" x14ac:dyDescent="0.25">
      <c r="A30731" s="5">
        <f>30724</f>
      </c>
      <c r="B30731" s="5" t="s">
        <v>30739</v>
      </c>
      <c r="C30731" s="5">
        <v>103.9</v>
      </c>
      <c r="D30731" s="5">
        <v>0.1</v>
      </c>
      <c r="E30731" s="5">
        <v>104</v>
      </c>
      <c r="F30731" s="5">
        <v>207.5</v>
      </c>
      <c r="G30731" s="5">
        <v>103.5</v>
      </c>
      <c r="H30731" s="5">
        <v>103.4</v>
      </c>
      <c r="I30731" s="5">
        <v>0</v>
      </c>
      <c r="J30731" s="5">
        <v>0</v>
      </c>
      <c r="K30731" s="5">
        <v>0</v>
      </c>
    </row>
    <row r="30732" spans="1:11" x14ac:dyDescent="0.25">
      <c r="A30732" s="5">
        <f>30725</f>
      </c>
      <c r="B30732" s="5" t="s">
        <v>30740</v>
      </c>
      <c r="C30732" s="5">
        <v>103.9</v>
      </c>
      <c r="D30732" s="5">
        <v>0.1</v>
      </c>
      <c r="E30732" s="5">
        <v>104</v>
      </c>
      <c r="F30732" s="5">
        <v>207.5</v>
      </c>
      <c r="G30732" s="5">
        <v>103.5</v>
      </c>
      <c r="H30732" s="5">
        <v>103.4</v>
      </c>
      <c r="I30732" s="5">
        <v>0</v>
      </c>
      <c r="J30732" s="5">
        <v>0</v>
      </c>
      <c r="K30732" s="5">
        <v>0</v>
      </c>
    </row>
    <row r="30733" spans="1:11" x14ac:dyDescent="0.25">
      <c r="A30733" s="5">
        <f>30726</f>
      </c>
      <c r="B30733" s="5" t="s">
        <v>30741</v>
      </c>
      <c r="C30733" s="5">
        <v>103.7</v>
      </c>
      <c r="D30733" s="5">
        <v>0.1</v>
      </c>
      <c r="E30733" s="5">
        <v>103.9</v>
      </c>
      <c r="F30733" s="5">
        <v>206.9</v>
      </c>
      <c r="G30733" s="5">
        <v>103.2</v>
      </c>
      <c r="H30733" s="5">
        <v>103.1</v>
      </c>
      <c r="I30733" s="5">
        <v>0</v>
      </c>
      <c r="J30733" s="5">
        <v>0</v>
      </c>
      <c r="K30733" s="5">
        <v>0</v>
      </c>
    </row>
    <row r="30734" spans="1:11" x14ac:dyDescent="0.25">
      <c r="A30734" s="5">
        <f>30727</f>
      </c>
      <c r="B30734" s="5" t="s">
        <v>30742</v>
      </c>
      <c r="C30734" s="5">
        <v>103.7</v>
      </c>
      <c r="D30734" s="5">
        <v>0.1</v>
      </c>
      <c r="E30734" s="5">
        <v>103.9</v>
      </c>
      <c r="F30734" s="5">
        <v>206.9</v>
      </c>
      <c r="G30734" s="5">
        <v>103.2</v>
      </c>
      <c r="H30734" s="5">
        <v>103.1</v>
      </c>
      <c r="I30734" s="5">
        <v>0</v>
      </c>
      <c r="J30734" s="5">
        <v>0</v>
      </c>
      <c r="K30734" s="5">
        <v>0</v>
      </c>
    </row>
    <row r="30735" spans="1:11" x14ac:dyDescent="0.25">
      <c r="A30735" s="5">
        <f>30728</f>
      </c>
      <c r="B30735" s="5" t="s">
        <v>30743</v>
      </c>
      <c r="C30735" s="5">
        <v>103.9</v>
      </c>
      <c r="D30735" s="5">
        <v>0.1</v>
      </c>
      <c r="E30735" s="5">
        <v>104</v>
      </c>
      <c r="F30735" s="5">
        <v>207.3</v>
      </c>
      <c r="G30735" s="5">
        <v>103.4</v>
      </c>
      <c r="H30735" s="5">
        <v>103.2</v>
      </c>
      <c r="I30735" s="5">
        <v>0</v>
      </c>
      <c r="J30735" s="5">
        <v>0</v>
      </c>
      <c r="K30735" s="5">
        <v>0</v>
      </c>
    </row>
    <row r="30736" spans="1:11" x14ac:dyDescent="0.25">
      <c r="A30736" s="5">
        <f>30729</f>
      </c>
      <c r="B30736" s="5" t="s">
        <v>30744</v>
      </c>
      <c r="C30736" s="5">
        <v>103.9</v>
      </c>
      <c r="D30736" s="5">
        <v>0.1</v>
      </c>
      <c r="E30736" s="5">
        <v>104</v>
      </c>
      <c r="F30736" s="5">
        <v>207.3</v>
      </c>
      <c r="G30736" s="5">
        <v>103.4</v>
      </c>
      <c r="H30736" s="5">
        <v>103.2</v>
      </c>
      <c r="I30736" s="5">
        <v>0</v>
      </c>
      <c r="J30736" s="5">
        <v>0</v>
      </c>
      <c r="K30736" s="5">
        <v>0</v>
      </c>
    </row>
    <row r="30737" spans="1:11" x14ac:dyDescent="0.25">
      <c r="A30737" s="5">
        <f>30730</f>
      </c>
      <c r="B30737" s="5" t="s">
        <v>30745</v>
      </c>
      <c r="C30737" s="5">
        <v>103.4</v>
      </c>
      <c r="D30737" s="5">
        <v>0.1</v>
      </c>
      <c r="E30737" s="5">
        <v>103.4</v>
      </c>
      <c r="F30737" s="5">
        <v>206.9</v>
      </c>
      <c r="G30737" s="5">
        <v>103.2</v>
      </c>
      <c r="H30737" s="5">
        <v>103.1</v>
      </c>
      <c r="I30737" s="5">
        <v>0</v>
      </c>
      <c r="J30737" s="5">
        <v>0</v>
      </c>
      <c r="K30737" s="5">
        <v>0</v>
      </c>
    </row>
    <row r="30738" spans="1:11" x14ac:dyDescent="0.25">
      <c r="A30738" s="5">
        <f>30731</f>
      </c>
      <c r="B30738" s="5" t="s">
        <v>30746</v>
      </c>
      <c r="C30738" s="5">
        <v>103.4</v>
      </c>
      <c r="D30738" s="5">
        <v>0.1</v>
      </c>
      <c r="E30738" s="5">
        <v>103.4</v>
      </c>
      <c r="F30738" s="5">
        <v>206.9</v>
      </c>
      <c r="G30738" s="5">
        <v>103.2</v>
      </c>
      <c r="H30738" s="5">
        <v>103.1</v>
      </c>
      <c r="I30738" s="5">
        <v>0</v>
      </c>
      <c r="J30738" s="5">
        <v>0</v>
      </c>
      <c r="K30738" s="5">
        <v>0</v>
      </c>
    </row>
    <row r="30739" spans="1:11" x14ac:dyDescent="0.25">
      <c r="A30739" s="5">
        <f>30732</f>
      </c>
      <c r="B30739" s="5" t="s">
        <v>30747</v>
      </c>
      <c r="C30739" s="5">
        <v>103.4</v>
      </c>
      <c r="D30739" s="5">
        <v>0.1</v>
      </c>
      <c r="E30739" s="5">
        <v>103.4</v>
      </c>
      <c r="F30739" s="5">
        <v>206.9</v>
      </c>
      <c r="G30739" s="5">
        <v>103.2</v>
      </c>
      <c r="H30739" s="5">
        <v>103.1</v>
      </c>
      <c r="I30739" s="5">
        <v>0</v>
      </c>
      <c r="J30739" s="5">
        <v>0</v>
      </c>
      <c r="K30739" s="5">
        <v>0</v>
      </c>
    </row>
    <row r="30740" spans="1:11" x14ac:dyDescent="0.25">
      <c r="A30740" s="5">
        <f>30733</f>
      </c>
      <c r="B30740" s="5" t="s">
        <v>30748</v>
      </c>
      <c r="C30740" s="5">
        <v>103.4</v>
      </c>
      <c r="D30740" s="5">
        <v>0.1</v>
      </c>
      <c r="E30740" s="5">
        <v>103.4</v>
      </c>
      <c r="F30740" s="5">
        <v>206.9</v>
      </c>
      <c r="G30740" s="5">
        <v>103.2</v>
      </c>
      <c r="H30740" s="5">
        <v>103.1</v>
      </c>
      <c r="I30740" s="5">
        <v>0</v>
      </c>
      <c r="J30740" s="5">
        <v>0</v>
      </c>
      <c r="K30740" s="5">
        <v>0</v>
      </c>
    </row>
    <row r="30741" spans="1:11" x14ac:dyDescent="0.25">
      <c r="A30741" s="5">
        <f>30734</f>
      </c>
      <c r="B30741" s="5" t="s">
        <v>30749</v>
      </c>
      <c r="C30741" s="5">
        <v>103.4</v>
      </c>
      <c r="D30741" s="5">
        <v>0.1</v>
      </c>
      <c r="E30741" s="5">
        <v>103.5</v>
      </c>
      <c r="F30741" s="5">
        <v>207.1</v>
      </c>
      <c r="G30741" s="5">
        <v>103.3</v>
      </c>
      <c r="H30741" s="5">
        <v>103.1</v>
      </c>
      <c r="I30741" s="5">
        <v>0</v>
      </c>
      <c r="J30741" s="5">
        <v>0</v>
      </c>
      <c r="K30741" s="5">
        <v>0</v>
      </c>
    </row>
    <row r="30742" spans="1:11" x14ac:dyDescent="0.25">
      <c r="A30742" s="5">
        <f>30735</f>
      </c>
      <c r="B30742" s="5" t="s">
        <v>30750</v>
      </c>
      <c r="C30742" s="5">
        <v>103.4</v>
      </c>
      <c r="D30742" s="5">
        <v>0.1</v>
      </c>
      <c r="E30742" s="5">
        <v>103.5</v>
      </c>
      <c r="F30742" s="5">
        <v>207.1</v>
      </c>
      <c r="G30742" s="5">
        <v>103.3</v>
      </c>
      <c r="H30742" s="5">
        <v>103.1</v>
      </c>
      <c r="I30742" s="5">
        <v>0</v>
      </c>
      <c r="J30742" s="5">
        <v>0</v>
      </c>
      <c r="K30742" s="5">
        <v>0</v>
      </c>
    </row>
    <row r="30743" spans="1:11" x14ac:dyDescent="0.25">
      <c r="A30743" s="5">
        <f>30736</f>
      </c>
      <c r="B30743" s="5" t="s">
        <v>30751</v>
      </c>
      <c r="C30743" s="5">
        <v>103.1</v>
      </c>
      <c r="D30743" s="5">
        <v>0.1</v>
      </c>
      <c r="E30743" s="5">
        <v>103.3</v>
      </c>
      <c r="F30743" s="5">
        <v>206.3</v>
      </c>
      <c r="G30743" s="5">
        <v>102.9</v>
      </c>
      <c r="H30743" s="5">
        <v>102.8</v>
      </c>
      <c r="I30743" s="5">
        <v>0</v>
      </c>
      <c r="J30743" s="5">
        <v>0</v>
      </c>
      <c r="K30743" s="5">
        <v>0</v>
      </c>
    </row>
    <row r="30744" spans="1:11" x14ac:dyDescent="0.25">
      <c r="A30744" s="5">
        <f>30737</f>
      </c>
      <c r="B30744" s="5" t="s">
        <v>30752</v>
      </c>
      <c r="C30744" s="5">
        <v>103.1</v>
      </c>
      <c r="D30744" s="5">
        <v>0.1</v>
      </c>
      <c r="E30744" s="5">
        <v>103.3</v>
      </c>
      <c r="F30744" s="5">
        <v>206.3</v>
      </c>
      <c r="G30744" s="5">
        <v>102.9</v>
      </c>
      <c r="H30744" s="5">
        <v>102.8</v>
      </c>
      <c r="I30744" s="5">
        <v>0</v>
      </c>
      <c r="J30744" s="5">
        <v>0</v>
      </c>
      <c r="K30744" s="5">
        <v>0</v>
      </c>
    </row>
    <row r="30745" spans="1:11" x14ac:dyDescent="0.25">
      <c r="A30745" s="5">
        <f>30738</f>
      </c>
      <c r="B30745" s="5" t="s">
        <v>30753</v>
      </c>
      <c r="C30745" s="5">
        <v>103.7</v>
      </c>
      <c r="D30745" s="5">
        <v>0.1</v>
      </c>
      <c r="E30745" s="5">
        <v>103.7</v>
      </c>
      <c r="F30745" s="5">
        <v>207.4</v>
      </c>
      <c r="G30745" s="5">
        <v>103.5</v>
      </c>
      <c r="H30745" s="5">
        <v>103.3</v>
      </c>
      <c r="I30745" s="5">
        <v>0</v>
      </c>
      <c r="J30745" s="5">
        <v>0</v>
      </c>
      <c r="K30745" s="5">
        <v>0</v>
      </c>
    </row>
    <row r="30746" spans="1:11" x14ac:dyDescent="0.25">
      <c r="A30746" s="5">
        <f>30739</f>
      </c>
      <c r="B30746" s="5" t="s">
        <v>30754</v>
      </c>
      <c r="C30746" s="5">
        <v>103.7</v>
      </c>
      <c r="D30746" s="5">
        <v>0.1</v>
      </c>
      <c r="E30746" s="5">
        <v>103.7</v>
      </c>
      <c r="F30746" s="5">
        <v>207.4</v>
      </c>
      <c r="G30746" s="5">
        <v>103.5</v>
      </c>
      <c r="H30746" s="5">
        <v>103.3</v>
      </c>
      <c r="I30746" s="5">
        <v>0</v>
      </c>
      <c r="J30746" s="5">
        <v>0</v>
      </c>
      <c r="K30746" s="5">
        <v>0</v>
      </c>
    </row>
    <row r="30747" spans="1:11" x14ac:dyDescent="0.25">
      <c r="A30747" s="5">
        <f>30740</f>
      </c>
      <c r="B30747" s="5" t="s">
        <v>30755</v>
      </c>
      <c r="C30747" s="5">
        <v>104.3</v>
      </c>
      <c r="D30747" s="5">
        <v>0.1</v>
      </c>
      <c r="E30747" s="5">
        <v>104.5</v>
      </c>
      <c r="F30747" s="5">
        <v>206.9</v>
      </c>
      <c r="G30747" s="5">
        <v>103.2</v>
      </c>
      <c r="H30747" s="5">
        <v>103.1</v>
      </c>
      <c r="I30747" s="5">
        <v>0</v>
      </c>
      <c r="J30747" s="5">
        <v>0</v>
      </c>
      <c r="K30747" s="5">
        <v>0</v>
      </c>
    </row>
    <row r="30748" spans="1:11" x14ac:dyDescent="0.25">
      <c r="A30748" s="5">
        <f>30741</f>
      </c>
      <c r="B30748" s="5" t="s">
        <v>30756</v>
      </c>
      <c r="C30748" s="5">
        <v>104.3</v>
      </c>
      <c r="D30748" s="5">
        <v>0.1</v>
      </c>
      <c r="E30748" s="5">
        <v>104.5</v>
      </c>
      <c r="F30748" s="5">
        <v>206.9</v>
      </c>
      <c r="G30748" s="5">
        <v>103.2</v>
      </c>
      <c r="H30748" s="5">
        <v>103.1</v>
      </c>
      <c r="I30748" s="5">
        <v>0</v>
      </c>
      <c r="J30748" s="5">
        <v>0</v>
      </c>
      <c r="K30748" s="5">
        <v>0</v>
      </c>
    </row>
    <row r="30749" spans="1:11" x14ac:dyDescent="0.25">
      <c r="A30749" s="5">
        <f>30742</f>
      </c>
      <c r="B30749" s="5" t="s">
        <v>30757</v>
      </c>
      <c r="C30749" s="5">
        <v>104.3</v>
      </c>
      <c r="D30749" s="5">
        <v>0.1</v>
      </c>
      <c r="E30749" s="5">
        <v>104.5</v>
      </c>
      <c r="F30749" s="5">
        <v>206.9</v>
      </c>
      <c r="G30749" s="5">
        <v>103.2</v>
      </c>
      <c r="H30749" s="5">
        <v>103.1</v>
      </c>
      <c r="I30749" s="5">
        <v>0</v>
      </c>
      <c r="J30749" s="5">
        <v>0</v>
      </c>
      <c r="K30749" s="5">
        <v>0</v>
      </c>
    </row>
    <row r="30750" spans="1:11" x14ac:dyDescent="0.25">
      <c r="A30750" s="5">
        <f>30743</f>
      </c>
      <c r="B30750" s="5" t="s">
        <v>30758</v>
      </c>
      <c r="C30750" s="5">
        <v>104.3</v>
      </c>
      <c r="D30750" s="5">
        <v>0.1</v>
      </c>
      <c r="E30750" s="5">
        <v>104.5</v>
      </c>
      <c r="F30750" s="5">
        <v>206.9</v>
      </c>
      <c r="G30750" s="5">
        <v>103.2</v>
      </c>
      <c r="H30750" s="5">
        <v>103.1</v>
      </c>
      <c r="I30750" s="5">
        <v>0</v>
      </c>
      <c r="J30750" s="5">
        <v>0</v>
      </c>
      <c r="K30750" s="5">
        <v>0</v>
      </c>
    </row>
    <row r="30751" spans="1:11" x14ac:dyDescent="0.25">
      <c r="A30751" s="5">
        <f>30744</f>
      </c>
      <c r="B30751" s="5" t="s">
        <v>30759</v>
      </c>
      <c r="C30751" s="5">
        <v>104.1</v>
      </c>
      <c r="D30751" s="5">
        <v>0.1</v>
      </c>
      <c r="E30751" s="5">
        <v>104.3</v>
      </c>
      <c r="F30751" s="5">
        <v>208</v>
      </c>
      <c r="G30751" s="5">
        <v>103.8</v>
      </c>
      <c r="H30751" s="5">
        <v>103.6</v>
      </c>
      <c r="I30751" s="5">
        <v>0</v>
      </c>
      <c r="J30751" s="5">
        <v>0</v>
      </c>
      <c r="K30751" s="5">
        <v>0</v>
      </c>
    </row>
    <row r="30752" spans="1:11" x14ac:dyDescent="0.25">
      <c r="A30752" s="5">
        <f>30745</f>
      </c>
      <c r="B30752" s="5" t="s">
        <v>30760</v>
      </c>
      <c r="C30752" s="5">
        <v>104.1</v>
      </c>
      <c r="D30752" s="5">
        <v>0.1</v>
      </c>
      <c r="E30752" s="5">
        <v>104.3</v>
      </c>
      <c r="F30752" s="5">
        <v>208</v>
      </c>
      <c r="G30752" s="5">
        <v>103.8</v>
      </c>
      <c r="H30752" s="5">
        <v>103.6</v>
      </c>
      <c r="I30752" s="5">
        <v>0</v>
      </c>
      <c r="J30752" s="5">
        <v>0</v>
      </c>
      <c r="K30752" s="5">
        <v>0</v>
      </c>
    </row>
    <row r="30753" spans="1:11" x14ac:dyDescent="0.25">
      <c r="A30753" s="5">
        <f>30746</f>
      </c>
      <c r="B30753" s="5" t="s">
        <v>30761</v>
      </c>
      <c r="C30753" s="5">
        <v>104</v>
      </c>
      <c r="D30753" s="5">
        <v>0.1</v>
      </c>
      <c r="E30753" s="5">
        <v>104</v>
      </c>
      <c r="F30753" s="5">
        <v>207.8</v>
      </c>
      <c r="G30753" s="5">
        <v>103.7</v>
      </c>
      <c r="H30753" s="5">
        <v>103.5</v>
      </c>
      <c r="I30753" s="5">
        <v>0</v>
      </c>
      <c r="J30753" s="5">
        <v>0</v>
      </c>
      <c r="K30753" s="5">
        <v>0</v>
      </c>
    </row>
    <row r="30754" spans="1:11" x14ac:dyDescent="0.25">
      <c r="A30754" s="5">
        <f>30747</f>
      </c>
      <c r="B30754" s="5" t="s">
        <v>30762</v>
      </c>
      <c r="C30754" s="5">
        <v>104</v>
      </c>
      <c r="D30754" s="5">
        <v>0.1</v>
      </c>
      <c r="E30754" s="5">
        <v>104</v>
      </c>
      <c r="F30754" s="5">
        <v>207.8</v>
      </c>
      <c r="G30754" s="5">
        <v>103.7</v>
      </c>
      <c r="H30754" s="5">
        <v>103.5</v>
      </c>
      <c r="I30754" s="5">
        <v>0</v>
      </c>
      <c r="J30754" s="5">
        <v>0</v>
      </c>
      <c r="K30754" s="5">
        <v>0</v>
      </c>
    </row>
    <row r="30755" spans="1:11" x14ac:dyDescent="0.25">
      <c r="A30755" s="5">
        <f>30748</f>
      </c>
      <c r="B30755" s="5" t="s">
        <v>30763</v>
      </c>
      <c r="C30755" s="5">
        <v>104</v>
      </c>
      <c r="D30755" s="5">
        <v>0.1</v>
      </c>
      <c r="E30755" s="5">
        <v>104.2</v>
      </c>
      <c r="F30755" s="5">
        <v>207.9</v>
      </c>
      <c r="G30755" s="5">
        <v>103.7</v>
      </c>
      <c r="H30755" s="5">
        <v>103.6</v>
      </c>
      <c r="I30755" s="5">
        <v>0</v>
      </c>
      <c r="J30755" s="5">
        <v>0</v>
      </c>
      <c r="K30755" s="5">
        <v>0</v>
      </c>
    </row>
    <row r="30756" spans="1:11" x14ac:dyDescent="0.25">
      <c r="A30756" s="5">
        <f>30749</f>
      </c>
      <c r="B30756" s="5" t="s">
        <v>30764</v>
      </c>
      <c r="C30756" s="5">
        <v>104</v>
      </c>
      <c r="D30756" s="5">
        <v>0.1</v>
      </c>
      <c r="E30756" s="5">
        <v>104.2</v>
      </c>
      <c r="F30756" s="5">
        <v>207.9</v>
      </c>
      <c r="G30756" s="5">
        <v>103.7</v>
      </c>
      <c r="H30756" s="5">
        <v>103.6</v>
      </c>
      <c r="I30756" s="5">
        <v>0</v>
      </c>
      <c r="J30756" s="5">
        <v>0</v>
      </c>
      <c r="K30756" s="5">
        <v>0</v>
      </c>
    </row>
    <row r="30757" spans="1:11" x14ac:dyDescent="0.25">
      <c r="A30757" s="5">
        <f>30750</f>
      </c>
      <c r="B30757" s="5" t="s">
        <v>30765</v>
      </c>
      <c r="C30757" s="5">
        <v>103.6</v>
      </c>
      <c r="D30757" s="5">
        <v>0.1</v>
      </c>
      <c r="E30757" s="5">
        <v>103.7</v>
      </c>
      <c r="F30757" s="5">
        <v>206.8</v>
      </c>
      <c r="G30757" s="5">
        <v>103.2</v>
      </c>
      <c r="H30757" s="5">
        <v>103</v>
      </c>
      <c r="I30757" s="5">
        <v>0</v>
      </c>
      <c r="J30757" s="5">
        <v>0</v>
      </c>
      <c r="K30757" s="5">
        <v>0</v>
      </c>
    </row>
    <row r="30758" spans="1:11" x14ac:dyDescent="0.25">
      <c r="A30758" s="5">
        <f>30751</f>
      </c>
      <c r="B30758" s="5" t="s">
        <v>30766</v>
      </c>
      <c r="C30758" s="5">
        <v>103.6</v>
      </c>
      <c r="D30758" s="5">
        <v>0.1</v>
      </c>
      <c r="E30758" s="5">
        <v>103.7</v>
      </c>
      <c r="F30758" s="5">
        <v>206.8</v>
      </c>
      <c r="G30758" s="5">
        <v>103.2</v>
      </c>
      <c r="H30758" s="5">
        <v>103</v>
      </c>
      <c r="I30758" s="5">
        <v>0</v>
      </c>
      <c r="J30758" s="5">
        <v>0</v>
      </c>
      <c r="K30758" s="5">
        <v>0</v>
      </c>
    </row>
    <row r="30759" spans="1:11" x14ac:dyDescent="0.25">
      <c r="A30759" s="5">
        <f>30752</f>
      </c>
      <c r="B30759" s="5" t="s">
        <v>30767</v>
      </c>
      <c r="C30759" s="5">
        <v>103.6</v>
      </c>
      <c r="D30759" s="5">
        <v>0.1</v>
      </c>
      <c r="E30759" s="5">
        <v>103.7</v>
      </c>
      <c r="F30759" s="5">
        <v>206.8</v>
      </c>
      <c r="G30759" s="5">
        <v>103.2</v>
      </c>
      <c r="H30759" s="5">
        <v>103</v>
      </c>
      <c r="I30759" s="5">
        <v>0</v>
      </c>
      <c r="J30759" s="5">
        <v>0</v>
      </c>
      <c r="K30759" s="5">
        <v>0</v>
      </c>
    </row>
    <row r="30760" spans="1:11" x14ac:dyDescent="0.25">
      <c r="A30760" s="5">
        <f>30753</f>
      </c>
      <c r="B30760" s="5" t="s">
        <v>30768</v>
      </c>
      <c r="C30760" s="5">
        <v>103.6</v>
      </c>
      <c r="D30760" s="5">
        <v>0.1</v>
      </c>
      <c r="E30760" s="5">
        <v>103.7</v>
      </c>
      <c r="F30760" s="5">
        <v>206.8</v>
      </c>
      <c r="G30760" s="5">
        <v>103.2</v>
      </c>
      <c r="H30760" s="5">
        <v>103</v>
      </c>
      <c r="I30760" s="5">
        <v>0</v>
      </c>
      <c r="J30760" s="5">
        <v>0</v>
      </c>
      <c r="K30760" s="5">
        <v>0</v>
      </c>
    </row>
    <row r="30761" spans="1:11" x14ac:dyDescent="0.25">
      <c r="A30761" s="5">
        <f>30754</f>
      </c>
      <c r="B30761" s="5" t="s">
        <v>30769</v>
      </c>
      <c r="C30761" s="5">
        <v>104</v>
      </c>
      <c r="D30761" s="5">
        <v>0.1</v>
      </c>
      <c r="E30761" s="5">
        <v>104.2</v>
      </c>
      <c r="F30761" s="5">
        <v>208.6</v>
      </c>
      <c r="G30761" s="5">
        <v>104.1</v>
      </c>
      <c r="H30761" s="5">
        <v>103.9</v>
      </c>
      <c r="I30761" s="5">
        <v>0</v>
      </c>
      <c r="J30761" s="5">
        <v>0</v>
      </c>
      <c r="K30761" s="5">
        <v>0</v>
      </c>
    </row>
    <row r="30762" spans="1:11" x14ac:dyDescent="0.25">
      <c r="A30762" s="5">
        <f>30755</f>
      </c>
      <c r="B30762" s="5" t="s">
        <v>30770</v>
      </c>
      <c r="C30762" s="5">
        <v>104</v>
      </c>
      <c r="D30762" s="5">
        <v>0.1</v>
      </c>
      <c r="E30762" s="5">
        <v>104.2</v>
      </c>
      <c r="F30762" s="5">
        <v>208.6</v>
      </c>
      <c r="G30762" s="5">
        <v>104.1</v>
      </c>
      <c r="H30762" s="5">
        <v>103.9</v>
      </c>
      <c r="I30762" s="5">
        <v>0</v>
      </c>
      <c r="J30762" s="5">
        <v>0</v>
      </c>
      <c r="K30762" s="5">
        <v>0</v>
      </c>
    </row>
    <row r="30763" spans="1:11" x14ac:dyDescent="0.25">
      <c r="A30763" s="5">
        <f>30756</f>
      </c>
      <c r="B30763" s="5" t="s">
        <v>30771</v>
      </c>
      <c r="C30763" s="5">
        <v>104</v>
      </c>
      <c r="D30763" s="5">
        <v>0.1</v>
      </c>
      <c r="E30763" s="5">
        <v>104.2</v>
      </c>
      <c r="F30763" s="5">
        <v>208.6</v>
      </c>
      <c r="G30763" s="5">
        <v>104.1</v>
      </c>
      <c r="H30763" s="5">
        <v>103.9</v>
      </c>
      <c r="I30763" s="5">
        <v>0</v>
      </c>
      <c r="J30763" s="5">
        <v>0</v>
      </c>
      <c r="K30763" s="5">
        <v>0</v>
      </c>
    </row>
    <row r="30764" spans="1:11" x14ac:dyDescent="0.25">
      <c r="A30764" s="5">
        <f>30757</f>
      </c>
      <c r="B30764" s="5" t="s">
        <v>30772</v>
      </c>
      <c r="C30764" s="5">
        <v>104</v>
      </c>
      <c r="D30764" s="5">
        <v>0.1</v>
      </c>
      <c r="E30764" s="5">
        <v>104.2</v>
      </c>
      <c r="F30764" s="5">
        <v>208.6</v>
      </c>
      <c r="G30764" s="5">
        <v>104.1</v>
      </c>
      <c r="H30764" s="5">
        <v>103.9</v>
      </c>
      <c r="I30764" s="5">
        <v>0</v>
      </c>
      <c r="J30764" s="5">
        <v>0</v>
      </c>
      <c r="K30764" s="5">
        <v>0</v>
      </c>
    </row>
    <row r="30765" spans="1:11" x14ac:dyDescent="0.25">
      <c r="A30765" s="5">
        <f>30758</f>
      </c>
      <c r="B30765" s="5" t="s">
        <v>30773</v>
      </c>
      <c r="C30765" s="5">
        <v>104</v>
      </c>
      <c r="D30765" s="5">
        <v>0.1</v>
      </c>
      <c r="E30765" s="5">
        <v>104.2</v>
      </c>
      <c r="F30765" s="5">
        <v>208.6</v>
      </c>
      <c r="G30765" s="5">
        <v>104.1</v>
      </c>
      <c r="H30765" s="5">
        <v>103.9</v>
      </c>
      <c r="I30765" s="5">
        <v>0</v>
      </c>
      <c r="J30765" s="5">
        <v>0</v>
      </c>
      <c r="K30765" s="5">
        <v>0</v>
      </c>
    </row>
    <row r="30766" spans="1:11" x14ac:dyDescent="0.25">
      <c r="A30766" s="5">
        <f>30759</f>
      </c>
      <c r="B30766" s="5" t="s">
        <v>30774</v>
      </c>
      <c r="C30766" s="5">
        <v>104</v>
      </c>
      <c r="D30766" s="5">
        <v>0.1</v>
      </c>
      <c r="E30766" s="5">
        <v>104.2</v>
      </c>
      <c r="F30766" s="5">
        <v>208.6</v>
      </c>
      <c r="G30766" s="5">
        <v>104.1</v>
      </c>
      <c r="H30766" s="5">
        <v>103.9</v>
      </c>
      <c r="I30766" s="5">
        <v>0</v>
      </c>
      <c r="J30766" s="5">
        <v>0</v>
      </c>
      <c r="K30766" s="5">
        <v>0</v>
      </c>
    </row>
    <row r="30767" spans="1:11" x14ac:dyDescent="0.25">
      <c r="A30767" s="5">
        <f>30760</f>
      </c>
      <c r="B30767" s="5" t="s">
        <v>30775</v>
      </c>
      <c r="C30767" s="5">
        <v>103.2</v>
      </c>
      <c r="D30767" s="5">
        <v>0.1</v>
      </c>
      <c r="E30767" s="5">
        <v>103.4</v>
      </c>
      <c r="F30767" s="5">
        <v>207.2</v>
      </c>
      <c r="G30767" s="5">
        <v>103.4</v>
      </c>
      <c r="H30767" s="5">
        <v>103.3</v>
      </c>
      <c r="I30767" s="5">
        <v>0</v>
      </c>
      <c r="J30767" s="5">
        <v>0</v>
      </c>
      <c r="K30767" s="5">
        <v>0</v>
      </c>
    </row>
    <row r="30768" spans="1:11" x14ac:dyDescent="0.25">
      <c r="A30768" s="5">
        <f>30761</f>
      </c>
      <c r="B30768" s="5" t="s">
        <v>30776</v>
      </c>
      <c r="C30768" s="5">
        <v>103.2</v>
      </c>
      <c r="D30768" s="5">
        <v>0.1</v>
      </c>
      <c r="E30768" s="5">
        <v>103.4</v>
      </c>
      <c r="F30768" s="5">
        <v>207.2</v>
      </c>
      <c r="G30768" s="5">
        <v>103.4</v>
      </c>
      <c r="H30768" s="5">
        <v>103.3</v>
      </c>
      <c r="I30768" s="5">
        <v>0</v>
      </c>
      <c r="J30768" s="5">
        <v>0</v>
      </c>
      <c r="K30768" s="5">
        <v>0</v>
      </c>
    </row>
    <row r="30769" spans="1:11" x14ac:dyDescent="0.25">
      <c r="A30769" s="5">
        <f>30762</f>
      </c>
      <c r="B30769" s="5" t="s">
        <v>30777</v>
      </c>
      <c r="C30769" s="5">
        <v>103.2</v>
      </c>
      <c r="D30769" s="5">
        <v>0.1</v>
      </c>
      <c r="E30769" s="5">
        <v>103.4</v>
      </c>
      <c r="F30769" s="5">
        <v>207.2</v>
      </c>
      <c r="G30769" s="5">
        <v>103.4</v>
      </c>
      <c r="H30769" s="5">
        <v>103.3</v>
      </c>
      <c r="I30769" s="5">
        <v>0</v>
      </c>
      <c r="J30769" s="5">
        <v>0</v>
      </c>
      <c r="K30769" s="5">
        <v>0</v>
      </c>
    </row>
    <row r="30770" spans="1:11" x14ac:dyDescent="0.25">
      <c r="A30770" s="5">
        <f>30763</f>
      </c>
      <c r="B30770" s="5" t="s">
        <v>30778</v>
      </c>
      <c r="C30770" s="5">
        <v>103.2</v>
      </c>
      <c r="D30770" s="5">
        <v>0.1</v>
      </c>
      <c r="E30770" s="5">
        <v>103.4</v>
      </c>
      <c r="F30770" s="5">
        <v>207.2</v>
      </c>
      <c r="G30770" s="5">
        <v>103.4</v>
      </c>
      <c r="H30770" s="5">
        <v>103.3</v>
      </c>
      <c r="I30770" s="5">
        <v>0</v>
      </c>
      <c r="J30770" s="5">
        <v>0</v>
      </c>
      <c r="K30770" s="5">
        <v>0</v>
      </c>
    </row>
    <row r="30771" spans="1:11" x14ac:dyDescent="0.25">
      <c r="A30771" s="5">
        <f>30764</f>
      </c>
      <c r="B30771" s="5" t="s">
        <v>30779</v>
      </c>
      <c r="C30771" s="5">
        <v>104.1</v>
      </c>
      <c r="D30771" s="5">
        <v>0.1</v>
      </c>
      <c r="E30771" s="5">
        <v>104.3</v>
      </c>
      <c r="F30771" s="5">
        <v>207.6</v>
      </c>
      <c r="G30771" s="5">
        <v>103.6</v>
      </c>
      <c r="H30771" s="5">
        <v>103.5</v>
      </c>
      <c r="I30771" s="5">
        <v>0</v>
      </c>
      <c r="J30771" s="5">
        <v>0</v>
      </c>
      <c r="K30771" s="5">
        <v>0</v>
      </c>
    </row>
    <row r="30772" spans="1:11" x14ac:dyDescent="0.25">
      <c r="A30772" s="5">
        <f>30765</f>
      </c>
      <c r="B30772" s="5" t="s">
        <v>30780</v>
      </c>
      <c r="C30772" s="5">
        <v>104.1</v>
      </c>
      <c r="D30772" s="5">
        <v>0.1</v>
      </c>
      <c r="E30772" s="5">
        <v>104.3</v>
      </c>
      <c r="F30772" s="5">
        <v>207.6</v>
      </c>
      <c r="G30772" s="5">
        <v>103.6</v>
      </c>
      <c r="H30772" s="5">
        <v>103.5</v>
      </c>
      <c r="I30772" s="5">
        <v>0</v>
      </c>
      <c r="J30772" s="5">
        <v>0</v>
      </c>
      <c r="K30772" s="5">
        <v>0</v>
      </c>
    </row>
    <row r="30773" spans="1:11" x14ac:dyDescent="0.25">
      <c r="A30773" s="5">
        <f>30766</f>
      </c>
      <c r="B30773" s="5" t="s">
        <v>30781</v>
      </c>
      <c r="C30773" s="5">
        <v>103.4</v>
      </c>
      <c r="D30773" s="5">
        <v>0.1</v>
      </c>
      <c r="E30773" s="5">
        <v>103.6</v>
      </c>
      <c r="F30773" s="5">
        <v>206.8</v>
      </c>
      <c r="G30773" s="5">
        <v>103.1</v>
      </c>
      <c r="H30773" s="5">
        <v>103</v>
      </c>
      <c r="I30773" s="5">
        <v>0</v>
      </c>
      <c r="J30773" s="5">
        <v>0</v>
      </c>
      <c r="K30773" s="5">
        <v>0</v>
      </c>
    </row>
    <row r="30774" spans="1:11" x14ac:dyDescent="0.25">
      <c r="A30774" s="5">
        <f>30767</f>
      </c>
      <c r="B30774" s="5" t="s">
        <v>30782</v>
      </c>
      <c r="C30774" s="5">
        <v>103.4</v>
      </c>
      <c r="D30774" s="5">
        <v>0.1</v>
      </c>
      <c r="E30774" s="5">
        <v>103.6</v>
      </c>
      <c r="F30774" s="5">
        <v>206.8</v>
      </c>
      <c r="G30774" s="5">
        <v>103.1</v>
      </c>
      <c r="H30774" s="5">
        <v>103</v>
      </c>
      <c r="I30774" s="5">
        <v>0</v>
      </c>
      <c r="J30774" s="5">
        <v>0</v>
      </c>
      <c r="K30774" s="5">
        <v>0</v>
      </c>
    </row>
    <row r="30775" spans="1:11" x14ac:dyDescent="0.25">
      <c r="A30775" s="5">
        <f>30768</f>
      </c>
      <c r="B30775" s="5" t="s">
        <v>30783</v>
      </c>
      <c r="C30775" s="5">
        <v>103.4</v>
      </c>
      <c r="D30775" s="5">
        <v>0.1</v>
      </c>
      <c r="E30775" s="5">
        <v>103.5</v>
      </c>
      <c r="F30775" s="5">
        <v>205.9</v>
      </c>
      <c r="G30775" s="5">
        <v>102.7</v>
      </c>
      <c r="H30775" s="5">
        <v>102.6</v>
      </c>
      <c r="I30775" s="5">
        <v>0</v>
      </c>
      <c r="J30775" s="5">
        <v>0</v>
      </c>
      <c r="K30775" s="5">
        <v>0</v>
      </c>
    </row>
    <row r="30776" spans="1:11" x14ac:dyDescent="0.25">
      <c r="A30776" s="5">
        <f>30769</f>
      </c>
      <c r="B30776" s="5" t="s">
        <v>30784</v>
      </c>
      <c r="C30776" s="5">
        <v>103.4</v>
      </c>
      <c r="D30776" s="5">
        <v>0.1</v>
      </c>
      <c r="E30776" s="5">
        <v>103.5</v>
      </c>
      <c r="F30776" s="5">
        <v>205.9</v>
      </c>
      <c r="G30776" s="5">
        <v>102.7</v>
      </c>
      <c r="H30776" s="5">
        <v>102.6</v>
      </c>
      <c r="I30776" s="5">
        <v>0</v>
      </c>
      <c r="J30776" s="5">
        <v>0</v>
      </c>
      <c r="K30776" s="5">
        <v>0</v>
      </c>
    </row>
    <row r="30777" spans="1:11" x14ac:dyDescent="0.25">
      <c r="A30777" s="5">
        <f>30770</f>
      </c>
      <c r="B30777" s="5" t="s">
        <v>30785</v>
      </c>
      <c r="C30777" s="5">
        <v>103.4</v>
      </c>
      <c r="D30777" s="5">
        <v>0.1</v>
      </c>
      <c r="E30777" s="5">
        <v>103.5</v>
      </c>
      <c r="F30777" s="5">
        <v>206.9</v>
      </c>
      <c r="G30777" s="5">
        <v>103.2</v>
      </c>
      <c r="H30777" s="5">
        <v>103.1</v>
      </c>
      <c r="I30777" s="5">
        <v>0</v>
      </c>
      <c r="J30777" s="5">
        <v>0</v>
      </c>
      <c r="K30777" s="5">
        <v>0</v>
      </c>
    </row>
    <row r="30778" spans="1:11" x14ac:dyDescent="0.25">
      <c r="A30778" s="5">
        <f>30771</f>
      </c>
      <c r="B30778" s="5" t="s">
        <v>30786</v>
      </c>
      <c r="C30778" s="5">
        <v>103.4</v>
      </c>
      <c r="D30778" s="5">
        <v>0.1</v>
      </c>
      <c r="E30778" s="5">
        <v>103.5</v>
      </c>
      <c r="F30778" s="5">
        <v>206.9</v>
      </c>
      <c r="G30778" s="5">
        <v>103.2</v>
      </c>
      <c r="H30778" s="5">
        <v>103.1</v>
      </c>
      <c r="I30778" s="5">
        <v>0</v>
      </c>
      <c r="J30778" s="5">
        <v>0</v>
      </c>
      <c r="K30778" s="5">
        <v>0</v>
      </c>
    </row>
    <row r="30779" spans="1:11" x14ac:dyDescent="0.25">
      <c r="A30779" s="5">
        <f>30772</f>
      </c>
      <c r="B30779" s="5" t="s">
        <v>30787</v>
      </c>
      <c r="C30779" s="5">
        <v>103.4</v>
      </c>
      <c r="D30779" s="5">
        <v>0.1</v>
      </c>
      <c r="E30779" s="5">
        <v>103.5</v>
      </c>
      <c r="F30779" s="5">
        <v>206.9</v>
      </c>
      <c r="G30779" s="5">
        <v>103.2</v>
      </c>
      <c r="H30779" s="5">
        <v>103.1</v>
      </c>
      <c r="I30779" s="5">
        <v>0</v>
      </c>
      <c r="J30779" s="5">
        <v>0</v>
      </c>
      <c r="K30779" s="5">
        <v>0</v>
      </c>
    </row>
    <row r="30780" spans="1:11" x14ac:dyDescent="0.25">
      <c r="A30780" s="5">
        <f>30773</f>
      </c>
      <c r="B30780" s="5" t="s">
        <v>30788</v>
      </c>
      <c r="C30780" s="5">
        <v>103.4</v>
      </c>
      <c r="D30780" s="5">
        <v>0.1</v>
      </c>
      <c r="E30780" s="5">
        <v>103.5</v>
      </c>
      <c r="F30780" s="5">
        <v>206.6</v>
      </c>
      <c r="G30780" s="5">
        <v>103</v>
      </c>
      <c r="H30780" s="5">
        <v>102.9</v>
      </c>
      <c r="I30780" s="5">
        <v>0</v>
      </c>
      <c r="J30780" s="5">
        <v>0</v>
      </c>
      <c r="K30780" s="5">
        <v>0</v>
      </c>
    </row>
    <row r="30781" spans="1:11" x14ac:dyDescent="0.25">
      <c r="A30781" s="5">
        <f>30774</f>
      </c>
      <c r="B30781" s="5" t="s">
        <v>30789</v>
      </c>
      <c r="C30781" s="5">
        <v>103.4</v>
      </c>
      <c r="D30781" s="5">
        <v>0.1</v>
      </c>
      <c r="E30781" s="5">
        <v>103.5</v>
      </c>
      <c r="F30781" s="5">
        <v>206.6</v>
      </c>
      <c r="G30781" s="5">
        <v>103</v>
      </c>
      <c r="H30781" s="5">
        <v>102.9</v>
      </c>
      <c r="I30781" s="5">
        <v>0</v>
      </c>
      <c r="J30781" s="5">
        <v>0</v>
      </c>
      <c r="K30781" s="5">
        <v>0</v>
      </c>
    </row>
    <row r="30782" spans="1:11" x14ac:dyDescent="0.25">
      <c r="A30782" s="5">
        <f>30775</f>
      </c>
      <c r="B30782" s="5" t="s">
        <v>30790</v>
      </c>
      <c r="C30782" s="5">
        <v>103.4</v>
      </c>
      <c r="D30782" s="5">
        <v>0.1</v>
      </c>
      <c r="E30782" s="5">
        <v>103.5</v>
      </c>
      <c r="F30782" s="5">
        <v>206.4</v>
      </c>
      <c r="G30782" s="5">
        <v>103</v>
      </c>
      <c r="H30782" s="5">
        <v>102.9</v>
      </c>
      <c r="I30782" s="5">
        <v>0</v>
      </c>
      <c r="J30782" s="5">
        <v>0</v>
      </c>
      <c r="K30782" s="5">
        <v>0</v>
      </c>
    </row>
    <row r="30783" spans="1:11" x14ac:dyDescent="0.25">
      <c r="A30783" s="5">
        <f>30776</f>
      </c>
      <c r="B30783" s="5" t="s">
        <v>30791</v>
      </c>
      <c r="C30783" s="5">
        <v>103.9</v>
      </c>
      <c r="D30783" s="5">
        <v>0.1</v>
      </c>
      <c r="E30783" s="5">
        <v>104</v>
      </c>
      <c r="F30783" s="5">
        <v>206.4</v>
      </c>
      <c r="G30783" s="5">
        <v>103</v>
      </c>
      <c r="H30783" s="5">
        <v>102.9</v>
      </c>
      <c r="I30783" s="5">
        <v>0</v>
      </c>
      <c r="J30783" s="5">
        <v>0</v>
      </c>
      <c r="K30783" s="5">
        <v>0</v>
      </c>
    </row>
    <row r="30784" spans="1:11" x14ac:dyDescent="0.25">
      <c r="A30784" s="5">
        <f>30777</f>
      </c>
      <c r="B30784" s="5" t="s">
        <v>30792</v>
      </c>
      <c r="C30784" s="5">
        <v>103.9</v>
      </c>
      <c r="D30784" s="5">
        <v>0.1</v>
      </c>
      <c r="E30784" s="5">
        <v>104</v>
      </c>
      <c r="F30784" s="5">
        <v>207.2</v>
      </c>
      <c r="G30784" s="5">
        <v>103.3</v>
      </c>
      <c r="H30784" s="5">
        <v>103.2</v>
      </c>
      <c r="I30784" s="5">
        <v>0</v>
      </c>
      <c r="J30784" s="5">
        <v>0</v>
      </c>
      <c r="K30784" s="5">
        <v>0</v>
      </c>
    </row>
    <row r="30785" spans="1:11" x14ac:dyDescent="0.25">
      <c r="A30785" s="5">
        <f>30778</f>
      </c>
      <c r="B30785" s="5" t="s">
        <v>30793</v>
      </c>
      <c r="C30785" s="5">
        <v>103.6</v>
      </c>
      <c r="D30785" s="5">
        <v>0.1</v>
      </c>
      <c r="E30785" s="5">
        <v>103.7</v>
      </c>
      <c r="F30785" s="5">
        <v>207.2</v>
      </c>
      <c r="G30785" s="5">
        <v>103.3</v>
      </c>
      <c r="H30785" s="5">
        <v>103.2</v>
      </c>
      <c r="I30785" s="5">
        <v>0</v>
      </c>
      <c r="J30785" s="5">
        <v>0</v>
      </c>
      <c r="K30785" s="5">
        <v>0</v>
      </c>
    </row>
    <row r="30786" spans="1:11" x14ac:dyDescent="0.25">
      <c r="A30786" s="5">
        <f>30779</f>
      </c>
      <c r="B30786" s="5" t="s">
        <v>30794</v>
      </c>
      <c r="C30786" s="5">
        <v>103.6</v>
      </c>
      <c r="D30786" s="5">
        <v>0.1</v>
      </c>
      <c r="E30786" s="5">
        <v>103.7</v>
      </c>
      <c r="F30786" s="5">
        <v>207.2</v>
      </c>
      <c r="G30786" s="5">
        <v>103.3</v>
      </c>
      <c r="H30786" s="5">
        <v>102.9</v>
      </c>
      <c r="I30786" s="5">
        <v>0</v>
      </c>
      <c r="J30786" s="5">
        <v>0</v>
      </c>
      <c r="K30786" s="5">
        <v>0</v>
      </c>
    </row>
    <row r="30787" spans="1:11" x14ac:dyDescent="0.25">
      <c r="A30787" s="5">
        <f>30780</f>
      </c>
      <c r="B30787" s="5" t="s">
        <v>30795</v>
      </c>
      <c r="C30787" s="5">
        <v>103.4</v>
      </c>
      <c r="D30787" s="5">
        <v>0.1</v>
      </c>
      <c r="E30787" s="5">
        <v>103.5</v>
      </c>
      <c r="F30787" s="5">
        <v>206.4</v>
      </c>
      <c r="G30787" s="5">
        <v>103</v>
      </c>
      <c r="H30787" s="5">
        <v>102.9</v>
      </c>
      <c r="I30787" s="5">
        <v>0</v>
      </c>
      <c r="J30787" s="5">
        <v>0</v>
      </c>
      <c r="K30787" s="5">
        <v>0</v>
      </c>
    </row>
    <row r="30788" spans="1:11" x14ac:dyDescent="0.25">
      <c r="A30788" s="5">
        <f>30781</f>
      </c>
      <c r="B30788" s="5" t="s">
        <v>30796</v>
      </c>
      <c r="C30788" s="5">
        <v>103.4</v>
      </c>
      <c r="D30788" s="5">
        <v>0.1</v>
      </c>
      <c r="E30788" s="5">
        <v>103.5</v>
      </c>
      <c r="F30788" s="5">
        <v>206.4</v>
      </c>
      <c r="G30788" s="5">
        <v>103</v>
      </c>
      <c r="H30788" s="5">
        <v>102.9</v>
      </c>
      <c r="I30788" s="5">
        <v>0</v>
      </c>
      <c r="J30788" s="5">
        <v>0</v>
      </c>
      <c r="K30788" s="5">
        <v>0</v>
      </c>
    </row>
    <row r="30789" spans="1:11" x14ac:dyDescent="0.25">
      <c r="A30789" s="5">
        <f>30782</f>
      </c>
      <c r="B30789" s="5" t="s">
        <v>30797</v>
      </c>
      <c r="C30789" s="5">
        <v>103.4</v>
      </c>
      <c r="D30789" s="5">
        <v>0.1</v>
      </c>
      <c r="E30789" s="5">
        <v>103.5</v>
      </c>
      <c r="F30789" s="5">
        <v>206.4</v>
      </c>
      <c r="G30789" s="5">
        <v>103</v>
      </c>
      <c r="H30789" s="5">
        <v>102.9</v>
      </c>
      <c r="I30789" s="5">
        <v>0</v>
      </c>
      <c r="J30789" s="5">
        <v>0</v>
      </c>
      <c r="K30789" s="5">
        <v>0</v>
      </c>
    </row>
    <row r="30790" spans="1:11" x14ac:dyDescent="0.25">
      <c r="A30790" s="5">
        <f>30783</f>
      </c>
      <c r="B30790" s="5" t="s">
        <v>30798</v>
      </c>
      <c r="C30790" s="5">
        <v>103.9</v>
      </c>
      <c r="D30790" s="5">
        <v>0.1</v>
      </c>
      <c r="E30790" s="5">
        <v>104</v>
      </c>
      <c r="F30790" s="5">
        <v>208</v>
      </c>
      <c r="G30790" s="5">
        <v>103.7</v>
      </c>
      <c r="H30790" s="5">
        <v>103.5</v>
      </c>
      <c r="I30790" s="5">
        <v>0</v>
      </c>
      <c r="J30790" s="5">
        <v>0</v>
      </c>
      <c r="K30790" s="5">
        <v>0</v>
      </c>
    </row>
    <row r="30791" spans="1:11" x14ac:dyDescent="0.25">
      <c r="A30791" s="5">
        <f>30784</f>
      </c>
      <c r="B30791" s="5" t="s">
        <v>30799</v>
      </c>
      <c r="C30791" s="5">
        <v>103.9</v>
      </c>
      <c r="D30791" s="5">
        <v>0.1</v>
      </c>
      <c r="E30791" s="5">
        <v>104</v>
      </c>
      <c r="F30791" s="5">
        <v>208</v>
      </c>
      <c r="G30791" s="5">
        <v>103.7</v>
      </c>
      <c r="H30791" s="5">
        <v>103.5</v>
      </c>
      <c r="I30791" s="5">
        <v>0</v>
      </c>
      <c r="J30791" s="5">
        <v>0</v>
      </c>
      <c r="K30791" s="5">
        <v>0</v>
      </c>
    </row>
    <row r="30792" spans="1:11" x14ac:dyDescent="0.25">
      <c r="A30792" s="5">
        <f>30785</f>
      </c>
      <c r="B30792" s="5" t="s">
        <v>30800</v>
      </c>
      <c r="C30792" s="5">
        <v>103.4</v>
      </c>
      <c r="D30792" s="5">
        <v>0.1</v>
      </c>
      <c r="E30792" s="5">
        <v>103.6</v>
      </c>
      <c r="F30792" s="5">
        <v>206.8</v>
      </c>
      <c r="G30792" s="5">
        <v>103.1</v>
      </c>
      <c r="H30792" s="5">
        <v>103</v>
      </c>
      <c r="I30792" s="5">
        <v>0</v>
      </c>
      <c r="J30792" s="5">
        <v>0</v>
      </c>
      <c r="K30792" s="5">
        <v>0</v>
      </c>
    </row>
    <row r="30793" spans="1:11" x14ac:dyDescent="0.25">
      <c r="A30793" s="5">
        <f>30786</f>
      </c>
      <c r="B30793" s="5" t="s">
        <v>30801</v>
      </c>
      <c r="C30793" s="5">
        <v>103.4</v>
      </c>
      <c r="D30793" s="5">
        <v>0.1</v>
      </c>
      <c r="E30793" s="5">
        <v>103.6</v>
      </c>
      <c r="F30793" s="5">
        <v>206.8</v>
      </c>
      <c r="G30793" s="5">
        <v>103.1</v>
      </c>
      <c r="H30793" s="5">
        <v>103</v>
      </c>
      <c r="I30793" s="5">
        <v>0</v>
      </c>
      <c r="J30793" s="5">
        <v>0</v>
      </c>
      <c r="K30793" s="5">
        <v>0</v>
      </c>
    </row>
    <row r="30794" spans="1:11" x14ac:dyDescent="0.25">
      <c r="A30794" s="5">
        <f>30787</f>
      </c>
      <c r="B30794" s="5" t="s">
        <v>30802</v>
      </c>
      <c r="C30794" s="5">
        <v>104.3</v>
      </c>
      <c r="D30794" s="5">
        <v>0.1</v>
      </c>
      <c r="E30794" s="5">
        <v>104.4</v>
      </c>
      <c r="F30794" s="5">
        <v>208.1</v>
      </c>
      <c r="G30794" s="5">
        <v>103.8</v>
      </c>
      <c r="H30794" s="5">
        <v>103.7</v>
      </c>
      <c r="I30794" s="5">
        <v>0</v>
      </c>
      <c r="J30794" s="5">
        <v>0</v>
      </c>
      <c r="K30794" s="5">
        <v>0</v>
      </c>
    </row>
    <row r="30795" spans="1:11" x14ac:dyDescent="0.25">
      <c r="A30795" s="5">
        <f>30788</f>
      </c>
      <c r="B30795" s="5" t="s">
        <v>30803</v>
      </c>
      <c r="C30795" s="5">
        <v>104.3</v>
      </c>
      <c r="D30795" s="5">
        <v>0.1</v>
      </c>
      <c r="E30795" s="5">
        <v>104.4</v>
      </c>
      <c r="F30795" s="5">
        <v>208.1</v>
      </c>
      <c r="G30795" s="5">
        <v>103.8</v>
      </c>
      <c r="H30795" s="5">
        <v>103.7</v>
      </c>
      <c r="I30795" s="5">
        <v>0</v>
      </c>
      <c r="J30795" s="5">
        <v>0</v>
      </c>
      <c r="K30795" s="5">
        <v>0</v>
      </c>
    </row>
    <row r="30796" spans="1:11" x14ac:dyDescent="0.25">
      <c r="A30796" s="5">
        <f>30789</f>
      </c>
      <c r="B30796" s="5" t="s">
        <v>30804</v>
      </c>
      <c r="C30796" s="5">
        <v>103.9</v>
      </c>
      <c r="D30796" s="5">
        <v>0.1</v>
      </c>
      <c r="E30796" s="5">
        <v>104</v>
      </c>
      <c r="F30796" s="5">
        <v>207.2</v>
      </c>
      <c r="G30796" s="5">
        <v>103.8</v>
      </c>
      <c r="H30796" s="5">
        <v>103.7</v>
      </c>
      <c r="I30796" s="5">
        <v>0</v>
      </c>
      <c r="J30796" s="5">
        <v>0</v>
      </c>
      <c r="K30796" s="5">
        <v>0</v>
      </c>
    </row>
    <row r="30797" spans="1:11" x14ac:dyDescent="0.25">
      <c r="A30797" s="5">
        <f>30790</f>
      </c>
      <c r="B30797" s="5" t="s">
        <v>30805</v>
      </c>
      <c r="C30797" s="5">
        <v>103.9</v>
      </c>
      <c r="D30797" s="5">
        <v>0.1</v>
      </c>
      <c r="E30797" s="5">
        <v>104</v>
      </c>
      <c r="F30797" s="5">
        <v>207.2</v>
      </c>
      <c r="G30797" s="5">
        <v>103.4</v>
      </c>
      <c r="H30797" s="5">
        <v>103.2</v>
      </c>
      <c r="I30797" s="5">
        <v>0</v>
      </c>
      <c r="J30797" s="5">
        <v>0</v>
      </c>
      <c r="K30797" s="5">
        <v>0</v>
      </c>
    </row>
    <row r="30798" spans="1:11" x14ac:dyDescent="0.25">
      <c r="A30798" s="5">
        <f>30791</f>
      </c>
      <c r="B30798" s="5" t="s">
        <v>30806</v>
      </c>
      <c r="C30798" s="5">
        <v>103.9</v>
      </c>
      <c r="D30798" s="5">
        <v>0.1</v>
      </c>
      <c r="E30798" s="5">
        <v>104</v>
      </c>
      <c r="F30798" s="5">
        <v>207.2</v>
      </c>
      <c r="G30798" s="5">
        <v>103.4</v>
      </c>
      <c r="H30798" s="5">
        <v>103.2</v>
      </c>
      <c r="I30798" s="5">
        <v>0</v>
      </c>
      <c r="J30798" s="5">
        <v>0</v>
      </c>
      <c r="K30798" s="5">
        <v>0</v>
      </c>
    </row>
    <row r="30799" spans="1:11" x14ac:dyDescent="0.25">
      <c r="A30799" s="5">
        <f>30792</f>
      </c>
      <c r="B30799" s="5" t="s">
        <v>30807</v>
      </c>
      <c r="C30799" s="5">
        <v>103.9</v>
      </c>
      <c r="D30799" s="5">
        <v>0.1</v>
      </c>
      <c r="E30799" s="5">
        <v>104</v>
      </c>
      <c r="F30799" s="5">
        <v>207.2</v>
      </c>
      <c r="G30799" s="5">
        <v>103.4</v>
      </c>
      <c r="H30799" s="5">
        <v>103.2</v>
      </c>
      <c r="I30799" s="5">
        <v>0</v>
      </c>
      <c r="J30799" s="5">
        <v>0</v>
      </c>
      <c r="K30799" s="5">
        <v>0</v>
      </c>
    </row>
    <row r="30800" spans="1:11" x14ac:dyDescent="0.25">
      <c r="A30800" s="5">
        <f>30793</f>
      </c>
      <c r="B30800" s="5" t="s">
        <v>30808</v>
      </c>
      <c r="C30800" s="5">
        <v>104.3</v>
      </c>
      <c r="D30800" s="5">
        <v>0.1</v>
      </c>
      <c r="E30800" s="5">
        <v>104</v>
      </c>
      <c r="F30800" s="5">
        <v>207.2</v>
      </c>
      <c r="G30800" s="5">
        <v>103.4</v>
      </c>
      <c r="H30800" s="5">
        <v>103.2</v>
      </c>
      <c r="I30800" s="5">
        <v>0</v>
      </c>
      <c r="J30800" s="5">
        <v>0</v>
      </c>
      <c r="K30800" s="5">
        <v>0</v>
      </c>
    </row>
    <row r="30801" spans="1:11" x14ac:dyDescent="0.25">
      <c r="A30801" s="5">
        <f>30794</f>
      </c>
      <c r="B30801" s="5" t="s">
        <v>30809</v>
      </c>
      <c r="C30801" s="5">
        <v>104.3</v>
      </c>
      <c r="D30801" s="5">
        <v>0.1</v>
      </c>
      <c r="E30801" s="5">
        <v>104.5</v>
      </c>
      <c r="F30801" s="5">
        <v>208.1</v>
      </c>
      <c r="G30801" s="5">
        <v>103.9</v>
      </c>
      <c r="H30801" s="5">
        <v>103.8</v>
      </c>
      <c r="I30801" s="5">
        <v>0</v>
      </c>
      <c r="J30801" s="5">
        <v>0</v>
      </c>
      <c r="K30801" s="5">
        <v>0</v>
      </c>
    </row>
    <row r="30802" spans="1:11" x14ac:dyDescent="0.25">
      <c r="A30802" s="5">
        <f>30795</f>
      </c>
      <c r="B30802" s="5" t="s">
        <v>30810</v>
      </c>
      <c r="C30802" s="5">
        <v>104.3</v>
      </c>
      <c r="D30802" s="5">
        <v>0.1</v>
      </c>
      <c r="E30802" s="5">
        <v>104.5</v>
      </c>
      <c r="F30802" s="5">
        <v>208.1</v>
      </c>
      <c r="G30802" s="5">
        <v>103.9</v>
      </c>
      <c r="H30802" s="5">
        <v>103.8</v>
      </c>
      <c r="I30802" s="5">
        <v>0</v>
      </c>
      <c r="J30802" s="5">
        <v>0</v>
      </c>
      <c r="K30802" s="5">
        <v>0</v>
      </c>
    </row>
    <row r="30803" spans="1:11" x14ac:dyDescent="0.25">
      <c r="A30803" s="5">
        <f>30796</f>
      </c>
      <c r="B30803" s="5" t="s">
        <v>30811</v>
      </c>
      <c r="C30803" s="5">
        <v>104</v>
      </c>
      <c r="D30803" s="5">
        <v>0.1</v>
      </c>
      <c r="E30803" s="5">
        <v>104.1</v>
      </c>
      <c r="F30803" s="5">
        <v>206.5</v>
      </c>
      <c r="G30803" s="5">
        <v>103.1</v>
      </c>
      <c r="H30803" s="5">
        <v>103</v>
      </c>
      <c r="I30803" s="5">
        <v>0</v>
      </c>
      <c r="J30803" s="5">
        <v>0</v>
      </c>
      <c r="K30803" s="5">
        <v>0</v>
      </c>
    </row>
    <row r="30804" spans="1:11" x14ac:dyDescent="0.25">
      <c r="A30804" s="5">
        <f>30797</f>
      </c>
      <c r="B30804" s="5" t="s">
        <v>30812</v>
      </c>
      <c r="C30804" s="5">
        <v>104</v>
      </c>
      <c r="D30804" s="5">
        <v>0.1</v>
      </c>
      <c r="E30804" s="5">
        <v>104.1</v>
      </c>
      <c r="F30804" s="5">
        <v>206.5</v>
      </c>
      <c r="G30804" s="5">
        <v>103.1</v>
      </c>
      <c r="H30804" s="5">
        <v>103</v>
      </c>
      <c r="I30804" s="5">
        <v>0</v>
      </c>
      <c r="J30804" s="5">
        <v>0</v>
      </c>
      <c r="K30804" s="5">
        <v>0</v>
      </c>
    </row>
    <row r="30805" spans="1:11" x14ac:dyDescent="0.25">
      <c r="A30805" s="5">
        <f>30798</f>
      </c>
      <c r="B30805" s="5" t="s">
        <v>30813</v>
      </c>
      <c r="C30805" s="5">
        <v>104</v>
      </c>
      <c r="D30805" s="5">
        <v>0.1</v>
      </c>
      <c r="E30805" s="5">
        <v>104.1</v>
      </c>
      <c r="F30805" s="5">
        <v>207.3</v>
      </c>
      <c r="G30805" s="5">
        <v>103.5</v>
      </c>
      <c r="H30805" s="5">
        <v>103.4</v>
      </c>
      <c r="I30805" s="5">
        <v>0</v>
      </c>
      <c r="J30805" s="5">
        <v>0</v>
      </c>
      <c r="K30805" s="5">
        <v>0</v>
      </c>
    </row>
    <row r="30806" spans="1:11" x14ac:dyDescent="0.25">
      <c r="A30806" s="5">
        <f>30799</f>
      </c>
      <c r="B30806" s="5" t="s">
        <v>30814</v>
      </c>
      <c r="C30806" s="5">
        <v>104</v>
      </c>
      <c r="D30806" s="5">
        <v>0.1</v>
      </c>
      <c r="E30806" s="5">
        <v>104.1</v>
      </c>
      <c r="F30806" s="5">
        <v>207.3</v>
      </c>
      <c r="G30806" s="5">
        <v>103.5</v>
      </c>
      <c r="H30806" s="5">
        <v>103.4</v>
      </c>
      <c r="I30806" s="5">
        <v>0</v>
      </c>
      <c r="J30806" s="5">
        <v>0</v>
      </c>
      <c r="K30806" s="5">
        <v>0</v>
      </c>
    </row>
    <row r="30807" spans="1:11" x14ac:dyDescent="0.25">
      <c r="A30807" s="5">
        <f>30800</f>
      </c>
      <c r="B30807" s="5" t="s">
        <v>30815</v>
      </c>
      <c r="C30807" s="5">
        <v>103.7</v>
      </c>
      <c r="D30807" s="5">
        <v>0.1</v>
      </c>
      <c r="E30807" s="5">
        <v>103.8</v>
      </c>
      <c r="F30807" s="5">
        <v>207.4</v>
      </c>
      <c r="G30807" s="5">
        <v>103.5</v>
      </c>
      <c r="H30807" s="5">
        <v>103.4</v>
      </c>
      <c r="I30807" s="5">
        <v>0</v>
      </c>
      <c r="J30807" s="5">
        <v>0</v>
      </c>
      <c r="K30807" s="5">
        <v>0</v>
      </c>
    </row>
    <row r="30808" spans="1:11" x14ac:dyDescent="0.25">
      <c r="A30808" s="5">
        <f>30801</f>
      </c>
      <c r="B30808" s="5" t="s">
        <v>30816</v>
      </c>
      <c r="C30808" s="5">
        <v>103.7</v>
      </c>
      <c r="D30808" s="5">
        <v>0.1</v>
      </c>
      <c r="E30808" s="5">
        <v>103.8</v>
      </c>
      <c r="F30808" s="5">
        <v>207.4</v>
      </c>
      <c r="G30808" s="5">
        <v>103.5</v>
      </c>
      <c r="H30808" s="5">
        <v>103.4</v>
      </c>
      <c r="I30808" s="5">
        <v>0</v>
      </c>
      <c r="J30808" s="5">
        <v>0</v>
      </c>
      <c r="K30808" s="5">
        <v>0</v>
      </c>
    </row>
    <row r="30809" spans="1:11" x14ac:dyDescent="0.25">
      <c r="A30809" s="5">
        <f>30802</f>
      </c>
      <c r="B30809" s="5" t="s">
        <v>30817</v>
      </c>
      <c r="C30809" s="5">
        <v>103.7</v>
      </c>
      <c r="D30809" s="5">
        <v>0.1</v>
      </c>
      <c r="E30809" s="5">
        <v>103.8</v>
      </c>
      <c r="F30809" s="5">
        <v>207.4</v>
      </c>
      <c r="G30809" s="5">
        <v>103.5</v>
      </c>
      <c r="H30809" s="5">
        <v>103.4</v>
      </c>
      <c r="I30809" s="5">
        <v>0</v>
      </c>
      <c r="J30809" s="5">
        <v>0</v>
      </c>
      <c r="K30809" s="5">
        <v>0</v>
      </c>
    </row>
    <row r="30810" spans="1:11" x14ac:dyDescent="0.25">
      <c r="A30810" s="5">
        <f>30803</f>
      </c>
      <c r="B30810" s="5" t="s">
        <v>30818</v>
      </c>
      <c r="C30810" s="5">
        <v>103.7</v>
      </c>
      <c r="D30810" s="5">
        <v>0.1</v>
      </c>
      <c r="E30810" s="5">
        <v>105</v>
      </c>
      <c r="F30810" s="5">
        <v>208.8</v>
      </c>
      <c r="G30810" s="5">
        <v>104.2</v>
      </c>
      <c r="H30810" s="5">
        <v>104.1</v>
      </c>
      <c r="I30810" s="5">
        <v>0</v>
      </c>
      <c r="J30810" s="5">
        <v>0</v>
      </c>
      <c r="K30810" s="5">
        <v>0</v>
      </c>
    </row>
    <row r="30811" spans="1:11" x14ac:dyDescent="0.25">
      <c r="A30811" s="5">
        <f>30804</f>
      </c>
      <c r="B30811" s="5" t="s">
        <v>30819</v>
      </c>
      <c r="C30811" s="5">
        <v>104.9</v>
      </c>
      <c r="D30811" s="5">
        <v>0.1</v>
      </c>
      <c r="E30811" s="5">
        <v>105</v>
      </c>
      <c r="F30811" s="5">
        <v>208.8</v>
      </c>
      <c r="G30811" s="5">
        <v>104.2</v>
      </c>
      <c r="H30811" s="5">
        <v>104.1</v>
      </c>
      <c r="I30811" s="5">
        <v>0</v>
      </c>
      <c r="J30811" s="5">
        <v>0</v>
      </c>
      <c r="K30811" s="5">
        <v>0</v>
      </c>
    </row>
    <row r="30812" spans="1:11" x14ac:dyDescent="0.25">
      <c r="A30812" s="5">
        <f>30805</f>
      </c>
      <c r="B30812" s="5" t="s">
        <v>30820</v>
      </c>
      <c r="C30812" s="5">
        <v>104.9</v>
      </c>
      <c r="D30812" s="5">
        <v>0.1</v>
      </c>
      <c r="E30812" s="5">
        <v>104.3</v>
      </c>
      <c r="F30812" s="5">
        <v>208.1</v>
      </c>
      <c r="G30812" s="5">
        <v>103.8</v>
      </c>
      <c r="H30812" s="5">
        <v>103.6</v>
      </c>
      <c r="I30812" s="5">
        <v>0</v>
      </c>
      <c r="J30812" s="5">
        <v>0</v>
      </c>
      <c r="K30812" s="5">
        <v>0</v>
      </c>
    </row>
    <row r="30813" spans="1:11" x14ac:dyDescent="0.25">
      <c r="A30813" s="5">
        <f>30806</f>
      </c>
      <c r="B30813" s="5" t="s">
        <v>30821</v>
      </c>
      <c r="C30813" s="5">
        <v>104.2</v>
      </c>
      <c r="D30813" s="5">
        <v>0.1</v>
      </c>
      <c r="E30813" s="5">
        <v>104.3</v>
      </c>
      <c r="F30813" s="5">
        <v>208.1</v>
      </c>
      <c r="G30813" s="5">
        <v>103.8</v>
      </c>
      <c r="H30813" s="5">
        <v>103.6</v>
      </c>
      <c r="I30813" s="5">
        <v>0</v>
      </c>
      <c r="J30813" s="5">
        <v>0</v>
      </c>
      <c r="K30813" s="5">
        <v>0</v>
      </c>
    </row>
    <row r="30814" spans="1:11" x14ac:dyDescent="0.25">
      <c r="A30814" s="5">
        <f>30807</f>
      </c>
      <c r="B30814" s="5" t="s">
        <v>30822</v>
      </c>
      <c r="C30814" s="5">
        <v>104.2</v>
      </c>
      <c r="D30814" s="5">
        <v>0.1</v>
      </c>
      <c r="E30814" s="5">
        <v>104.3</v>
      </c>
      <c r="F30814" s="5">
        <v>208.1</v>
      </c>
      <c r="G30814" s="5">
        <v>103.7</v>
      </c>
      <c r="H30814" s="5">
        <v>103.5</v>
      </c>
      <c r="I30814" s="5">
        <v>0</v>
      </c>
      <c r="J30814" s="5">
        <v>0</v>
      </c>
      <c r="K30814" s="5">
        <v>0</v>
      </c>
    </row>
    <row r="30815" spans="1:11" x14ac:dyDescent="0.25">
      <c r="A30815" s="5">
        <f>30808</f>
      </c>
      <c r="B30815" s="5" t="s">
        <v>30823</v>
      </c>
      <c r="C30815" s="5">
        <v>104</v>
      </c>
      <c r="D30815" s="5">
        <v>0.1</v>
      </c>
      <c r="E30815" s="5">
        <v>104.1</v>
      </c>
      <c r="F30815" s="5">
        <v>207.8</v>
      </c>
      <c r="G30815" s="5">
        <v>103.7</v>
      </c>
      <c r="H30815" s="5">
        <v>103.5</v>
      </c>
      <c r="I30815" s="5">
        <v>0</v>
      </c>
      <c r="J30815" s="5">
        <v>0</v>
      </c>
      <c r="K30815" s="5">
        <v>0</v>
      </c>
    </row>
    <row r="30816" spans="1:11" x14ac:dyDescent="0.25">
      <c r="A30816" s="5">
        <f>30809</f>
      </c>
      <c r="B30816" s="5" t="s">
        <v>30824</v>
      </c>
      <c r="C30816" s="5">
        <v>104</v>
      </c>
      <c r="D30816" s="5">
        <v>0.1</v>
      </c>
      <c r="E30816" s="5">
        <v>104.1</v>
      </c>
      <c r="F30816" s="5">
        <v>207.8</v>
      </c>
      <c r="G30816" s="5">
        <v>103.7</v>
      </c>
      <c r="H30816" s="5">
        <v>103.5</v>
      </c>
      <c r="I30816" s="5">
        <v>0</v>
      </c>
      <c r="J30816" s="5">
        <v>0</v>
      </c>
      <c r="K30816" s="5">
        <v>0</v>
      </c>
    </row>
    <row r="30817" spans="1:11" x14ac:dyDescent="0.25">
      <c r="A30817" s="5">
        <f>30810</f>
      </c>
      <c r="B30817" s="5" t="s">
        <v>30825</v>
      </c>
      <c r="C30817" s="5">
        <v>104.2</v>
      </c>
      <c r="D30817" s="5">
        <v>0.1</v>
      </c>
      <c r="E30817" s="5">
        <v>104.3</v>
      </c>
      <c r="F30817" s="5">
        <v>208.2</v>
      </c>
      <c r="G30817" s="5">
        <v>103.9</v>
      </c>
      <c r="H30817" s="5">
        <v>103.7</v>
      </c>
      <c r="I30817" s="5">
        <v>0</v>
      </c>
      <c r="J30817" s="5">
        <v>0</v>
      </c>
      <c r="K30817" s="5">
        <v>0</v>
      </c>
    </row>
    <row r="30818" spans="1:11" x14ac:dyDescent="0.25">
      <c r="A30818" s="5">
        <f>30811</f>
      </c>
      <c r="B30818" s="5" t="s">
        <v>30826</v>
      </c>
      <c r="C30818" s="5">
        <v>104.2</v>
      </c>
      <c r="D30818" s="5">
        <v>0.1</v>
      </c>
      <c r="E30818" s="5">
        <v>104.3</v>
      </c>
      <c r="F30818" s="5">
        <v>208.2</v>
      </c>
      <c r="G30818" s="5">
        <v>103.9</v>
      </c>
      <c r="H30818" s="5">
        <v>103.7</v>
      </c>
      <c r="I30818" s="5">
        <v>0</v>
      </c>
      <c r="J30818" s="5">
        <v>0</v>
      </c>
      <c r="K30818" s="5">
        <v>0</v>
      </c>
    </row>
    <row r="30819" spans="1:11" x14ac:dyDescent="0.25">
      <c r="A30819" s="5">
        <f>30812</f>
      </c>
      <c r="B30819" s="5" t="s">
        <v>30827</v>
      </c>
      <c r="C30819" s="5">
        <v>104.2</v>
      </c>
      <c r="D30819" s="5">
        <v>0.1</v>
      </c>
      <c r="E30819" s="5">
        <v>104.3</v>
      </c>
      <c r="F30819" s="5">
        <v>208.2</v>
      </c>
      <c r="G30819" s="5">
        <v>103.9</v>
      </c>
      <c r="H30819" s="5">
        <v>103.7</v>
      </c>
      <c r="I30819" s="5">
        <v>0</v>
      </c>
      <c r="J30819" s="5">
        <v>0</v>
      </c>
      <c r="K30819" s="5">
        <v>0</v>
      </c>
    </row>
    <row r="30820" spans="1:11" x14ac:dyDescent="0.25">
      <c r="A30820" s="5">
        <f>30813</f>
      </c>
      <c r="B30820" s="5" t="s">
        <v>30828</v>
      </c>
      <c r="C30820" s="5">
        <v>104.7</v>
      </c>
      <c r="D30820" s="5">
        <v>0.1</v>
      </c>
      <c r="E30820" s="5">
        <v>104.9</v>
      </c>
      <c r="F30820" s="5">
        <v>209.8</v>
      </c>
      <c r="G30820" s="5">
        <v>104.6</v>
      </c>
      <c r="H30820" s="5">
        <v>104.4</v>
      </c>
      <c r="I30820" s="5">
        <v>0</v>
      </c>
      <c r="J30820" s="5">
        <v>0</v>
      </c>
      <c r="K30820" s="5">
        <v>0</v>
      </c>
    </row>
    <row r="30821" spans="1:11" x14ac:dyDescent="0.25">
      <c r="A30821" s="5">
        <f>30814</f>
      </c>
      <c r="B30821" s="5" t="s">
        <v>30829</v>
      </c>
      <c r="C30821" s="5">
        <v>104.7</v>
      </c>
      <c r="D30821" s="5">
        <v>0.1</v>
      </c>
      <c r="E30821" s="5">
        <v>104.9</v>
      </c>
      <c r="F30821" s="5">
        <v>209.8</v>
      </c>
      <c r="G30821" s="5">
        <v>104.6</v>
      </c>
      <c r="H30821" s="5">
        <v>104.4</v>
      </c>
      <c r="I30821" s="5">
        <v>0</v>
      </c>
      <c r="J30821" s="5">
        <v>0</v>
      </c>
      <c r="K30821" s="5">
        <v>0</v>
      </c>
    </row>
    <row r="30822" spans="1:11" x14ac:dyDescent="0.25">
      <c r="A30822" s="5">
        <f>30815</f>
      </c>
      <c r="B30822" s="5" t="s">
        <v>30830</v>
      </c>
      <c r="C30822" s="5">
        <v>104.6</v>
      </c>
      <c r="D30822" s="5">
        <v>0.1</v>
      </c>
      <c r="E30822" s="5">
        <v>104.7</v>
      </c>
      <c r="F30822" s="5">
        <v>208.3</v>
      </c>
      <c r="G30822" s="5">
        <v>104</v>
      </c>
      <c r="H30822" s="5">
        <v>103.8</v>
      </c>
      <c r="I30822" s="5">
        <v>0</v>
      </c>
      <c r="J30822" s="5">
        <v>0</v>
      </c>
      <c r="K30822" s="5">
        <v>0</v>
      </c>
    </row>
    <row r="30823" spans="1:11" x14ac:dyDescent="0.25">
      <c r="A30823" s="5">
        <f>30816</f>
      </c>
      <c r="B30823" s="5" t="s">
        <v>30831</v>
      </c>
      <c r="C30823" s="5">
        <v>104.6</v>
      </c>
      <c r="D30823" s="5">
        <v>0.1</v>
      </c>
      <c r="E30823" s="5">
        <v>104.7</v>
      </c>
      <c r="F30823" s="5">
        <v>208.3</v>
      </c>
      <c r="G30823" s="5">
        <v>104</v>
      </c>
      <c r="H30823" s="5">
        <v>103.8</v>
      </c>
      <c r="I30823" s="5">
        <v>0</v>
      </c>
      <c r="J30823" s="5">
        <v>0</v>
      </c>
      <c r="K30823" s="5">
        <v>0</v>
      </c>
    </row>
    <row r="30824" spans="1:11" x14ac:dyDescent="0.25">
      <c r="A30824" s="5">
        <f>30817</f>
      </c>
      <c r="B30824" s="5" t="s">
        <v>30832</v>
      </c>
      <c r="C30824" s="5">
        <v>104</v>
      </c>
      <c r="D30824" s="5">
        <v>0.1</v>
      </c>
      <c r="E30824" s="5">
        <v>104.2</v>
      </c>
      <c r="F30824" s="5">
        <v>208</v>
      </c>
      <c r="G30824" s="5">
        <v>103.8</v>
      </c>
      <c r="H30824" s="5">
        <v>103.6</v>
      </c>
      <c r="I30824" s="5">
        <v>0</v>
      </c>
      <c r="J30824" s="5">
        <v>0</v>
      </c>
      <c r="K30824" s="5">
        <v>0</v>
      </c>
    </row>
    <row r="30825" spans="1:11" x14ac:dyDescent="0.25">
      <c r="A30825" s="5">
        <f>30818</f>
      </c>
      <c r="B30825" s="5" t="s">
        <v>30833</v>
      </c>
      <c r="C30825" s="5">
        <v>104</v>
      </c>
      <c r="D30825" s="5">
        <v>0.1</v>
      </c>
      <c r="E30825" s="5">
        <v>104.2</v>
      </c>
      <c r="F30825" s="5">
        <v>208</v>
      </c>
      <c r="G30825" s="5">
        <v>103.8</v>
      </c>
      <c r="H30825" s="5">
        <v>103.6</v>
      </c>
      <c r="I30825" s="5">
        <v>0</v>
      </c>
      <c r="J30825" s="5">
        <v>0</v>
      </c>
      <c r="K30825" s="5">
        <v>0</v>
      </c>
    </row>
    <row r="30826" spans="1:11" x14ac:dyDescent="0.25">
      <c r="A30826" s="5">
        <f>30819</f>
      </c>
      <c r="B30826" s="5" t="s">
        <v>30834</v>
      </c>
      <c r="C30826" s="5">
        <v>105</v>
      </c>
      <c r="D30826" s="5">
        <v>0.1</v>
      </c>
      <c r="E30826" s="5">
        <v>105.1</v>
      </c>
      <c r="F30826" s="5">
        <v>209</v>
      </c>
      <c r="G30826" s="5">
        <v>104.3</v>
      </c>
      <c r="H30826" s="5">
        <v>104.1</v>
      </c>
      <c r="I30826" s="5">
        <v>0</v>
      </c>
      <c r="J30826" s="5">
        <v>0</v>
      </c>
      <c r="K30826" s="5">
        <v>0</v>
      </c>
    </row>
    <row r="30827" spans="1:11" x14ac:dyDescent="0.25">
      <c r="A30827" s="5">
        <f>30820</f>
      </c>
      <c r="B30827" s="5" t="s">
        <v>30835</v>
      </c>
      <c r="C30827" s="5">
        <v>105</v>
      </c>
      <c r="D30827" s="5">
        <v>0.1</v>
      </c>
      <c r="E30827" s="5">
        <v>105.1</v>
      </c>
      <c r="F30827" s="5">
        <v>209</v>
      </c>
      <c r="G30827" s="5">
        <v>104.3</v>
      </c>
      <c r="H30827" s="5">
        <v>104.1</v>
      </c>
      <c r="I30827" s="5">
        <v>0</v>
      </c>
      <c r="J30827" s="5">
        <v>0</v>
      </c>
      <c r="K30827" s="5">
        <v>0</v>
      </c>
    </row>
    <row r="30828" spans="1:11" x14ac:dyDescent="0.25">
      <c r="A30828" s="5">
        <f>30821</f>
      </c>
      <c r="B30828" s="5" t="s">
        <v>30836</v>
      </c>
      <c r="C30828" s="5">
        <v>105</v>
      </c>
      <c r="D30828" s="5">
        <v>0.1</v>
      </c>
      <c r="E30828" s="5">
        <v>105.1</v>
      </c>
      <c r="F30828" s="5">
        <v>209</v>
      </c>
      <c r="G30828" s="5">
        <v>104.3</v>
      </c>
      <c r="H30828" s="5">
        <v>104.1</v>
      </c>
      <c r="I30828" s="5">
        <v>0</v>
      </c>
      <c r="J30828" s="5">
        <v>0</v>
      </c>
      <c r="K30828" s="5">
        <v>0</v>
      </c>
    </row>
    <row r="30829" spans="1:11" x14ac:dyDescent="0.25">
      <c r="A30829" s="5">
        <f>30822</f>
      </c>
      <c r="B30829" s="5" t="s">
        <v>30837</v>
      </c>
      <c r="C30829" s="5">
        <v>105</v>
      </c>
      <c r="D30829" s="5">
        <v>0.1</v>
      </c>
      <c r="E30829" s="5">
        <v>105.1</v>
      </c>
      <c r="F30829" s="5">
        <v>209</v>
      </c>
      <c r="G30829" s="5">
        <v>104.3</v>
      </c>
      <c r="H30829" s="5">
        <v>104.1</v>
      </c>
      <c r="I30829" s="5">
        <v>0</v>
      </c>
      <c r="J30829" s="5">
        <v>0</v>
      </c>
      <c r="K30829" s="5">
        <v>0</v>
      </c>
    </row>
    <row r="30830" spans="1:11" x14ac:dyDescent="0.25">
      <c r="A30830" s="5">
        <f>30823</f>
      </c>
      <c r="B30830" s="5" t="s">
        <v>30838</v>
      </c>
      <c r="C30830" s="5">
        <v>104.8</v>
      </c>
      <c r="D30830" s="5">
        <v>0.1</v>
      </c>
      <c r="E30830" s="5">
        <v>104.9</v>
      </c>
      <c r="F30830" s="5">
        <v>209.1</v>
      </c>
      <c r="G30830" s="5">
        <v>104.3</v>
      </c>
      <c r="H30830" s="5">
        <v>104.1</v>
      </c>
      <c r="I30830" s="5">
        <v>0</v>
      </c>
      <c r="J30830" s="5">
        <v>0</v>
      </c>
      <c r="K30830" s="5">
        <v>0</v>
      </c>
    </row>
    <row r="30831" spans="1:11" x14ac:dyDescent="0.25">
      <c r="A30831" s="5">
        <f>30824</f>
      </c>
      <c r="B30831" s="5" t="s">
        <v>30839</v>
      </c>
      <c r="C30831" s="5">
        <v>104.8</v>
      </c>
      <c r="D30831" s="5">
        <v>0.1</v>
      </c>
      <c r="E30831" s="5">
        <v>104.9</v>
      </c>
      <c r="F30831" s="5">
        <v>209.1</v>
      </c>
      <c r="G30831" s="5">
        <v>104.3</v>
      </c>
      <c r="H30831" s="5">
        <v>104.1</v>
      </c>
      <c r="I30831" s="5">
        <v>0</v>
      </c>
      <c r="J30831" s="5">
        <v>0</v>
      </c>
      <c r="K30831" s="5">
        <v>0</v>
      </c>
    </row>
    <row r="30832" spans="1:11" x14ac:dyDescent="0.25">
      <c r="A30832" s="5">
        <f>30825</f>
      </c>
      <c r="B30832" s="5" t="s">
        <v>30840</v>
      </c>
      <c r="C30832" s="5">
        <v>104.6</v>
      </c>
      <c r="D30832" s="5">
        <v>0.1</v>
      </c>
      <c r="E30832" s="5">
        <v>104.7</v>
      </c>
      <c r="F30832" s="5">
        <v>209</v>
      </c>
      <c r="G30832" s="5">
        <v>104.4</v>
      </c>
      <c r="H30832" s="5">
        <v>104.2</v>
      </c>
      <c r="I30832" s="5">
        <v>0</v>
      </c>
      <c r="J30832" s="5">
        <v>0</v>
      </c>
      <c r="K30832" s="5">
        <v>0</v>
      </c>
    </row>
    <row r="30833" spans="1:11" x14ac:dyDescent="0.25">
      <c r="A30833" s="5">
        <f>30826</f>
      </c>
      <c r="B30833" s="5" t="s">
        <v>30841</v>
      </c>
      <c r="C30833" s="5">
        <v>104.6</v>
      </c>
      <c r="D30833" s="5">
        <v>0.1</v>
      </c>
      <c r="E30833" s="5">
        <v>104.7</v>
      </c>
      <c r="F30833" s="5">
        <v>209</v>
      </c>
      <c r="G30833" s="5">
        <v>104.4</v>
      </c>
      <c r="H30833" s="5">
        <v>104.2</v>
      </c>
      <c r="I30833" s="5">
        <v>0</v>
      </c>
      <c r="J30833" s="5">
        <v>0</v>
      </c>
      <c r="K30833" s="5">
        <v>0</v>
      </c>
    </row>
    <row r="30834" spans="1:11" x14ac:dyDescent="0.25">
      <c r="A30834" s="5">
        <f>30827</f>
      </c>
      <c r="B30834" s="5" t="s">
        <v>30842</v>
      </c>
      <c r="C30834" s="5">
        <v>104.2</v>
      </c>
      <c r="D30834" s="5">
        <v>0.1</v>
      </c>
      <c r="E30834" s="5">
        <v>104.3</v>
      </c>
      <c r="F30834" s="5">
        <v>208.3</v>
      </c>
      <c r="G30834" s="5">
        <v>103.9</v>
      </c>
      <c r="H30834" s="5">
        <v>103.8</v>
      </c>
      <c r="I30834" s="5">
        <v>0</v>
      </c>
      <c r="J30834" s="5">
        <v>0</v>
      </c>
      <c r="K30834" s="5">
        <v>0</v>
      </c>
    </row>
    <row r="30835" spans="1:11" x14ac:dyDescent="0.25">
      <c r="A30835" s="5">
        <f>30828</f>
      </c>
      <c r="B30835" s="5" t="s">
        <v>30843</v>
      </c>
      <c r="C30835" s="5">
        <v>104.2</v>
      </c>
      <c r="D30835" s="5">
        <v>0.1</v>
      </c>
      <c r="E30835" s="5">
        <v>104.3</v>
      </c>
      <c r="F30835" s="5">
        <v>208.3</v>
      </c>
      <c r="G30835" s="5">
        <v>103.9</v>
      </c>
      <c r="H30835" s="5">
        <v>103.8</v>
      </c>
      <c r="I30835" s="5">
        <v>0</v>
      </c>
      <c r="J30835" s="5">
        <v>0</v>
      </c>
      <c r="K30835" s="5">
        <v>0</v>
      </c>
    </row>
    <row r="30836" spans="1:11" x14ac:dyDescent="0.25">
      <c r="A30836" s="5">
        <f>30829</f>
      </c>
      <c r="B30836" s="5" t="s">
        <v>30844</v>
      </c>
      <c r="C30836" s="5">
        <v>104.1</v>
      </c>
      <c r="D30836" s="5">
        <v>0.1</v>
      </c>
      <c r="E30836" s="5">
        <v>104.3</v>
      </c>
      <c r="F30836" s="5">
        <v>207.9</v>
      </c>
      <c r="G30836" s="5">
        <v>103.7</v>
      </c>
      <c r="H30836" s="5">
        <v>103.6</v>
      </c>
      <c r="I30836" s="5">
        <v>0</v>
      </c>
      <c r="J30836" s="5">
        <v>0</v>
      </c>
      <c r="K30836" s="5">
        <v>0</v>
      </c>
    </row>
    <row r="30837" spans="1:11" x14ac:dyDescent="0.25">
      <c r="A30837" s="5">
        <f>30830</f>
      </c>
      <c r="B30837" s="5" t="s">
        <v>30845</v>
      </c>
      <c r="C30837" s="5">
        <v>104.1</v>
      </c>
      <c r="D30837" s="5">
        <v>0.1</v>
      </c>
      <c r="E30837" s="5">
        <v>104.3</v>
      </c>
      <c r="F30837" s="5">
        <v>207.9</v>
      </c>
      <c r="G30837" s="5">
        <v>103.7</v>
      </c>
      <c r="H30837" s="5">
        <v>103.6</v>
      </c>
      <c r="I30837" s="5">
        <v>0</v>
      </c>
      <c r="J30837" s="5">
        <v>0</v>
      </c>
      <c r="K30837" s="5">
        <v>0</v>
      </c>
    </row>
    <row r="30838" spans="1:11" x14ac:dyDescent="0.25">
      <c r="A30838" s="5">
        <f>30831</f>
      </c>
      <c r="B30838" s="5" t="s">
        <v>30846</v>
      </c>
      <c r="C30838" s="5">
        <v>104.1</v>
      </c>
      <c r="D30838" s="5">
        <v>0.1</v>
      </c>
      <c r="E30838" s="5">
        <v>104.3</v>
      </c>
      <c r="F30838" s="5">
        <v>207.9</v>
      </c>
      <c r="G30838" s="5">
        <v>103.7</v>
      </c>
      <c r="H30838" s="5">
        <v>103.6</v>
      </c>
      <c r="I30838" s="5">
        <v>0</v>
      </c>
      <c r="J30838" s="5">
        <v>0</v>
      </c>
      <c r="K30838" s="5">
        <v>0</v>
      </c>
    </row>
    <row r="30839" spans="1:11" x14ac:dyDescent="0.25">
      <c r="A30839" s="5">
        <f>30832</f>
      </c>
      <c r="B30839" s="5" t="s">
        <v>30847</v>
      </c>
      <c r="C30839" s="5">
        <v>104.1</v>
      </c>
      <c r="D30839" s="5">
        <v>0.1</v>
      </c>
      <c r="E30839" s="5">
        <v>104.3</v>
      </c>
      <c r="F30839" s="5">
        <v>207.9</v>
      </c>
      <c r="G30839" s="5">
        <v>103.7</v>
      </c>
      <c r="H30839" s="5">
        <v>103.6</v>
      </c>
      <c r="I30839" s="5">
        <v>0</v>
      </c>
      <c r="J30839" s="5">
        <v>0</v>
      </c>
      <c r="K30839" s="5">
        <v>0</v>
      </c>
    </row>
    <row r="30840" spans="1:11" x14ac:dyDescent="0.25">
      <c r="A30840" s="5">
        <f>30833</f>
      </c>
      <c r="B30840" s="5" t="s">
        <v>30848</v>
      </c>
      <c r="C30840" s="5">
        <v>103.7</v>
      </c>
      <c r="D30840" s="5">
        <v>0.1</v>
      </c>
      <c r="E30840" s="5">
        <v>103.8</v>
      </c>
      <c r="F30840" s="5">
        <v>207.9</v>
      </c>
      <c r="G30840" s="5">
        <v>103.6</v>
      </c>
      <c r="H30840" s="5">
        <v>103.4</v>
      </c>
      <c r="I30840" s="5">
        <v>0</v>
      </c>
      <c r="J30840" s="5">
        <v>0</v>
      </c>
      <c r="K30840" s="5">
        <v>0</v>
      </c>
    </row>
    <row r="30841" spans="1:11" x14ac:dyDescent="0.25">
      <c r="A30841" s="5">
        <f>30834</f>
      </c>
      <c r="B30841" s="5" t="s">
        <v>30849</v>
      </c>
      <c r="C30841" s="5">
        <v>103.7</v>
      </c>
      <c r="D30841" s="5">
        <v>0.1</v>
      </c>
      <c r="E30841" s="5">
        <v>103.8</v>
      </c>
      <c r="F30841" s="5">
        <v>207.9</v>
      </c>
      <c r="G30841" s="5">
        <v>103.6</v>
      </c>
      <c r="H30841" s="5">
        <v>103.4</v>
      </c>
      <c r="I30841" s="5">
        <v>0</v>
      </c>
      <c r="J30841" s="5">
        <v>0</v>
      </c>
      <c r="K30841" s="5">
        <v>0</v>
      </c>
    </row>
    <row r="30842" spans="1:11" x14ac:dyDescent="0.25">
      <c r="A30842" s="5">
        <f>30835</f>
      </c>
      <c r="B30842" s="5" t="s">
        <v>30850</v>
      </c>
      <c r="C30842" s="5">
        <v>103.7</v>
      </c>
      <c r="D30842" s="5">
        <v>0.1</v>
      </c>
      <c r="E30842" s="5">
        <v>103.8</v>
      </c>
      <c r="F30842" s="5">
        <v>207.1</v>
      </c>
      <c r="G30842" s="5">
        <v>103.3</v>
      </c>
      <c r="H30842" s="5">
        <v>103.2</v>
      </c>
      <c r="I30842" s="5">
        <v>0</v>
      </c>
      <c r="J30842" s="5">
        <v>0</v>
      </c>
      <c r="K30842" s="5">
        <v>0</v>
      </c>
    </row>
    <row r="30843" spans="1:11" x14ac:dyDescent="0.25">
      <c r="A30843" s="5">
        <f>30836</f>
      </c>
      <c r="B30843" s="5" t="s">
        <v>30851</v>
      </c>
      <c r="C30843" s="5">
        <v>103.7</v>
      </c>
      <c r="D30843" s="5">
        <v>0.1</v>
      </c>
      <c r="E30843" s="5">
        <v>103.8</v>
      </c>
      <c r="F30843" s="5">
        <v>207.1</v>
      </c>
      <c r="G30843" s="5">
        <v>103.3</v>
      </c>
      <c r="H30843" s="5">
        <v>103.2</v>
      </c>
      <c r="I30843" s="5">
        <v>0</v>
      </c>
      <c r="J30843" s="5">
        <v>0</v>
      </c>
      <c r="K30843" s="5">
        <v>0</v>
      </c>
    </row>
    <row r="30844" spans="1:11" x14ac:dyDescent="0.25">
      <c r="A30844" s="5">
        <f>30837</f>
      </c>
      <c r="B30844" s="5" t="s">
        <v>30852</v>
      </c>
      <c r="C30844" s="5">
        <v>104.5</v>
      </c>
      <c r="D30844" s="5">
        <v>0.1</v>
      </c>
      <c r="E30844" s="5">
        <v>104.6</v>
      </c>
      <c r="F30844" s="5">
        <v>207.1</v>
      </c>
      <c r="G30844" s="5">
        <v>103.3</v>
      </c>
      <c r="H30844" s="5">
        <v>104</v>
      </c>
      <c r="I30844" s="5">
        <v>0</v>
      </c>
      <c r="J30844" s="5">
        <v>0</v>
      </c>
      <c r="K30844" s="5">
        <v>0</v>
      </c>
    </row>
    <row r="30845" spans="1:11" x14ac:dyDescent="0.25">
      <c r="A30845" s="5">
        <f>30838</f>
      </c>
      <c r="B30845" s="5" t="s">
        <v>30853</v>
      </c>
      <c r="C30845" s="5">
        <v>104.5</v>
      </c>
      <c r="D30845" s="5">
        <v>0.1</v>
      </c>
      <c r="E30845" s="5">
        <v>104.6</v>
      </c>
      <c r="F30845" s="5">
        <v>208.8</v>
      </c>
      <c r="G30845" s="5">
        <v>104.2</v>
      </c>
      <c r="H30845" s="5">
        <v>104</v>
      </c>
      <c r="I30845" s="5">
        <v>0</v>
      </c>
      <c r="J30845" s="5">
        <v>0</v>
      </c>
      <c r="K30845" s="5">
        <v>0</v>
      </c>
    </row>
    <row r="30846" spans="1:11" x14ac:dyDescent="0.25">
      <c r="A30846" s="5">
        <f>30839</f>
      </c>
      <c r="B30846" s="5" t="s">
        <v>30854</v>
      </c>
      <c r="C30846" s="5">
        <v>104.5</v>
      </c>
      <c r="D30846" s="5">
        <v>0.1</v>
      </c>
      <c r="E30846" s="5">
        <v>104.6</v>
      </c>
      <c r="F30846" s="5">
        <v>208.8</v>
      </c>
      <c r="G30846" s="5">
        <v>104.2</v>
      </c>
      <c r="H30846" s="5">
        <v>104</v>
      </c>
      <c r="I30846" s="5">
        <v>0</v>
      </c>
      <c r="J30846" s="5">
        <v>0</v>
      </c>
      <c r="K30846" s="5">
        <v>0</v>
      </c>
    </row>
    <row r="30847" spans="1:11" x14ac:dyDescent="0.25">
      <c r="A30847" s="5">
        <f>30840</f>
      </c>
      <c r="B30847" s="5" t="s">
        <v>30855</v>
      </c>
      <c r="C30847" s="5">
        <v>104.5</v>
      </c>
      <c r="D30847" s="5">
        <v>0.1</v>
      </c>
      <c r="E30847" s="5">
        <v>104.6</v>
      </c>
      <c r="F30847" s="5">
        <v>209</v>
      </c>
      <c r="G30847" s="5">
        <v>104.3</v>
      </c>
      <c r="H30847" s="5">
        <v>104.1</v>
      </c>
      <c r="I30847" s="5">
        <v>0</v>
      </c>
      <c r="J30847" s="5">
        <v>0</v>
      </c>
      <c r="K30847" s="5">
        <v>0</v>
      </c>
    </row>
    <row r="30848" spans="1:11" x14ac:dyDescent="0.25">
      <c r="A30848" s="5">
        <f>30841</f>
      </c>
      <c r="B30848" s="5" t="s">
        <v>30856</v>
      </c>
      <c r="C30848" s="5">
        <v>104.5</v>
      </c>
      <c r="D30848" s="5">
        <v>0.1</v>
      </c>
      <c r="E30848" s="5">
        <v>104.6</v>
      </c>
      <c r="F30848" s="5">
        <v>209</v>
      </c>
      <c r="G30848" s="5">
        <v>104.3</v>
      </c>
      <c r="H30848" s="5">
        <v>104.1</v>
      </c>
      <c r="I30848" s="5">
        <v>0</v>
      </c>
      <c r="J30848" s="5">
        <v>0</v>
      </c>
      <c r="K30848" s="5">
        <v>0</v>
      </c>
    </row>
    <row r="30849" spans="1:11" x14ac:dyDescent="0.25">
      <c r="A30849" s="5">
        <f>30842</f>
      </c>
      <c r="B30849" s="5" t="s">
        <v>30857</v>
      </c>
      <c r="C30849" s="5">
        <v>104.5</v>
      </c>
      <c r="D30849" s="5">
        <v>0.1</v>
      </c>
      <c r="E30849" s="5">
        <v>104.6</v>
      </c>
      <c r="F30849" s="5">
        <v>209</v>
      </c>
      <c r="G30849" s="5">
        <v>104.3</v>
      </c>
      <c r="H30849" s="5">
        <v>104.1</v>
      </c>
      <c r="I30849" s="5">
        <v>0</v>
      </c>
      <c r="J30849" s="5">
        <v>0</v>
      </c>
      <c r="K30849" s="5">
        <v>0</v>
      </c>
    </row>
    <row r="30850" spans="1:11" x14ac:dyDescent="0.25">
      <c r="A30850" s="5">
        <f>30843</f>
      </c>
      <c r="B30850" s="5" t="s">
        <v>30858</v>
      </c>
      <c r="C30850" s="5">
        <v>103.9</v>
      </c>
      <c r="D30850" s="5">
        <v>0.1</v>
      </c>
      <c r="E30850" s="5">
        <v>104</v>
      </c>
      <c r="F30850" s="5">
        <v>208.4</v>
      </c>
      <c r="G30850" s="5">
        <v>104</v>
      </c>
      <c r="H30850" s="5">
        <v>103.8</v>
      </c>
      <c r="I30850" s="5">
        <v>0</v>
      </c>
      <c r="J30850" s="5">
        <v>0</v>
      </c>
      <c r="K30850" s="5">
        <v>0</v>
      </c>
    </row>
    <row r="30851" spans="1:11" x14ac:dyDescent="0.25">
      <c r="A30851" s="5">
        <f>30844</f>
      </c>
      <c r="B30851" s="5" t="s">
        <v>30859</v>
      </c>
      <c r="C30851" s="5">
        <v>103.9</v>
      </c>
      <c r="D30851" s="5">
        <v>0.1</v>
      </c>
      <c r="E30851" s="5">
        <v>104</v>
      </c>
      <c r="F30851" s="5">
        <v>208.4</v>
      </c>
      <c r="G30851" s="5">
        <v>104</v>
      </c>
      <c r="H30851" s="5">
        <v>103.8</v>
      </c>
      <c r="I30851" s="5">
        <v>0</v>
      </c>
      <c r="J30851" s="5">
        <v>0</v>
      </c>
      <c r="K30851" s="5">
        <v>0</v>
      </c>
    </row>
    <row r="30852" spans="1:11" x14ac:dyDescent="0.25">
      <c r="A30852" s="5">
        <f>30845</f>
      </c>
      <c r="B30852" s="5" t="s">
        <v>30860</v>
      </c>
      <c r="C30852" s="5">
        <v>103.6</v>
      </c>
      <c r="D30852" s="5">
        <v>0.1</v>
      </c>
      <c r="E30852" s="5">
        <v>103.7</v>
      </c>
      <c r="F30852" s="5">
        <v>208.2</v>
      </c>
      <c r="G30852" s="5">
        <v>103.9</v>
      </c>
      <c r="H30852" s="5">
        <v>103.8</v>
      </c>
      <c r="I30852" s="5">
        <v>0</v>
      </c>
      <c r="J30852" s="5">
        <v>0</v>
      </c>
      <c r="K30852" s="5">
        <v>0</v>
      </c>
    </row>
    <row r="30853" spans="1:11" x14ac:dyDescent="0.25">
      <c r="A30853" s="5">
        <f>30846</f>
      </c>
      <c r="B30853" s="5" t="s">
        <v>30861</v>
      </c>
      <c r="C30853" s="5">
        <v>103.6</v>
      </c>
      <c r="D30853" s="5">
        <v>0.1</v>
      </c>
      <c r="E30853" s="5">
        <v>103.7</v>
      </c>
      <c r="F30853" s="5">
        <v>208.2</v>
      </c>
      <c r="G30853" s="5">
        <v>103.9</v>
      </c>
      <c r="H30853" s="5">
        <v>103.8</v>
      </c>
      <c r="I30853" s="5">
        <v>0</v>
      </c>
      <c r="J30853" s="5">
        <v>0</v>
      </c>
      <c r="K30853" s="5">
        <v>0</v>
      </c>
    </row>
    <row r="30854" spans="1:11" x14ac:dyDescent="0.25">
      <c r="A30854" s="5">
        <f>30847</f>
      </c>
      <c r="B30854" s="5" t="s">
        <v>30862</v>
      </c>
      <c r="C30854" s="5">
        <v>103.5</v>
      </c>
      <c r="D30854" s="5">
        <v>0.1</v>
      </c>
      <c r="E30854" s="5">
        <v>103.7</v>
      </c>
      <c r="F30854" s="5">
        <v>207</v>
      </c>
      <c r="G30854" s="5">
        <v>103.3</v>
      </c>
      <c r="H30854" s="5">
        <v>103.2</v>
      </c>
      <c r="I30854" s="5">
        <v>0</v>
      </c>
      <c r="J30854" s="5">
        <v>0</v>
      </c>
      <c r="K30854" s="5">
        <v>0</v>
      </c>
    </row>
    <row r="30855" spans="1:11" x14ac:dyDescent="0.25">
      <c r="A30855" s="5">
        <f>30848</f>
      </c>
      <c r="B30855" s="5" t="s">
        <v>30863</v>
      </c>
      <c r="C30855" s="5">
        <v>103.5</v>
      </c>
      <c r="D30855" s="5">
        <v>0.1</v>
      </c>
      <c r="E30855" s="5">
        <v>103.7</v>
      </c>
      <c r="F30855" s="5">
        <v>207</v>
      </c>
      <c r="G30855" s="5">
        <v>103.3</v>
      </c>
      <c r="H30855" s="5">
        <v>103.2</v>
      </c>
      <c r="I30855" s="5">
        <v>0</v>
      </c>
      <c r="J30855" s="5">
        <v>0</v>
      </c>
      <c r="K30855" s="5">
        <v>0</v>
      </c>
    </row>
    <row r="30856" spans="1:11" x14ac:dyDescent="0.25">
      <c r="A30856" s="5">
        <f>30849</f>
      </c>
      <c r="B30856" s="5" t="s">
        <v>30864</v>
      </c>
      <c r="C30856" s="5">
        <v>104.4</v>
      </c>
      <c r="D30856" s="5">
        <v>0.1</v>
      </c>
      <c r="E30856" s="5">
        <v>104.6</v>
      </c>
      <c r="F30856" s="5">
        <v>208.8</v>
      </c>
      <c r="G30856" s="5">
        <v>104.2</v>
      </c>
      <c r="H30856" s="5">
        <v>104.1</v>
      </c>
      <c r="I30856" s="5">
        <v>0</v>
      </c>
      <c r="J30856" s="5">
        <v>0</v>
      </c>
      <c r="K30856" s="5">
        <v>0</v>
      </c>
    </row>
    <row r="30857" spans="1:11" x14ac:dyDescent="0.25">
      <c r="A30857" s="5">
        <f>30850</f>
      </c>
      <c r="B30857" s="5" t="s">
        <v>30865</v>
      </c>
      <c r="C30857" s="5">
        <v>104.4</v>
      </c>
      <c r="D30857" s="5">
        <v>0.1</v>
      </c>
      <c r="E30857" s="5">
        <v>104.6</v>
      </c>
      <c r="F30857" s="5">
        <v>208.8</v>
      </c>
      <c r="G30857" s="5">
        <v>104.2</v>
      </c>
      <c r="H30857" s="5">
        <v>104.1</v>
      </c>
      <c r="I30857" s="5">
        <v>0</v>
      </c>
      <c r="J30857" s="5">
        <v>0</v>
      </c>
      <c r="K30857" s="5">
        <v>0</v>
      </c>
    </row>
    <row r="30858" spans="1:11" x14ac:dyDescent="0.25">
      <c r="A30858" s="5">
        <f>30851</f>
      </c>
      <c r="B30858" s="5" t="s">
        <v>30866</v>
      </c>
      <c r="C30858" s="5">
        <v>104.4</v>
      </c>
      <c r="D30858" s="5">
        <v>0.1</v>
      </c>
      <c r="E30858" s="5">
        <v>104.6</v>
      </c>
      <c r="F30858" s="5">
        <v>208.8</v>
      </c>
      <c r="G30858" s="5">
        <v>104.2</v>
      </c>
      <c r="H30858" s="5">
        <v>104.1</v>
      </c>
      <c r="I30858" s="5">
        <v>0</v>
      </c>
      <c r="J30858" s="5">
        <v>0</v>
      </c>
      <c r="K30858" s="5">
        <v>0</v>
      </c>
    </row>
    <row r="30859" spans="1:11" x14ac:dyDescent="0.25">
      <c r="A30859" s="5">
        <f>30852</f>
      </c>
      <c r="B30859" s="5" t="s">
        <v>30867</v>
      </c>
      <c r="C30859" s="5">
        <v>104.4</v>
      </c>
      <c r="D30859" s="5">
        <v>0.1</v>
      </c>
      <c r="E30859" s="5">
        <v>104.6</v>
      </c>
      <c r="F30859" s="5">
        <v>208.8</v>
      </c>
      <c r="G30859" s="5">
        <v>104.2</v>
      </c>
      <c r="H30859" s="5">
        <v>104.1</v>
      </c>
      <c r="I30859" s="5">
        <v>0</v>
      </c>
      <c r="J30859" s="5">
        <v>0</v>
      </c>
      <c r="K30859" s="5">
        <v>0</v>
      </c>
    </row>
    <row r="30860" spans="1:11" x14ac:dyDescent="0.25">
      <c r="A30860" s="5">
        <f>30853</f>
      </c>
      <c r="B30860" s="5" t="s">
        <v>30868</v>
      </c>
      <c r="C30860" s="5">
        <v>103.8</v>
      </c>
      <c r="D30860" s="5">
        <v>0.1</v>
      </c>
      <c r="E30860" s="5">
        <v>104</v>
      </c>
      <c r="F30860" s="5">
        <v>207.2</v>
      </c>
      <c r="G30860" s="5">
        <v>103.4</v>
      </c>
      <c r="H30860" s="5">
        <v>103.2</v>
      </c>
      <c r="I30860" s="5">
        <v>0</v>
      </c>
      <c r="J30860" s="5">
        <v>0</v>
      </c>
      <c r="K30860" s="5">
        <v>0</v>
      </c>
    </row>
    <row r="30861" spans="1:11" x14ac:dyDescent="0.25">
      <c r="A30861" s="5">
        <f>30854</f>
      </c>
      <c r="B30861" s="5" t="s">
        <v>30869</v>
      </c>
      <c r="C30861" s="5">
        <v>103.8</v>
      </c>
      <c r="D30861" s="5">
        <v>0.1</v>
      </c>
      <c r="E30861" s="5">
        <v>104</v>
      </c>
      <c r="F30861" s="5">
        <v>207.2</v>
      </c>
      <c r="G30861" s="5">
        <v>103.4</v>
      </c>
      <c r="H30861" s="5">
        <v>103.2</v>
      </c>
      <c r="I30861" s="5">
        <v>0</v>
      </c>
      <c r="J30861" s="5">
        <v>0</v>
      </c>
      <c r="K30861" s="5">
        <v>0</v>
      </c>
    </row>
    <row r="30862" spans="1:11" x14ac:dyDescent="0.25">
      <c r="A30862" s="5">
        <f>30855</f>
      </c>
      <c r="B30862" s="5" t="s">
        <v>30870</v>
      </c>
      <c r="C30862" s="5">
        <v>103.5</v>
      </c>
      <c r="D30862" s="5">
        <v>0.1</v>
      </c>
      <c r="E30862" s="5">
        <v>103.7</v>
      </c>
      <c r="F30862" s="5">
        <v>206.7</v>
      </c>
      <c r="G30862" s="5">
        <v>103.1</v>
      </c>
      <c r="H30862" s="5">
        <v>103</v>
      </c>
      <c r="I30862" s="5">
        <v>0</v>
      </c>
      <c r="J30862" s="5">
        <v>0</v>
      </c>
      <c r="K30862" s="5">
        <v>0</v>
      </c>
    </row>
    <row r="30863" spans="1:11" x14ac:dyDescent="0.25">
      <c r="A30863" s="5">
        <f>30856</f>
      </c>
      <c r="B30863" s="5" t="s">
        <v>30871</v>
      </c>
      <c r="C30863" s="5">
        <v>103.5</v>
      </c>
      <c r="D30863" s="5">
        <v>0.1</v>
      </c>
      <c r="E30863" s="5">
        <v>103.7</v>
      </c>
      <c r="F30863" s="5">
        <v>206.7</v>
      </c>
      <c r="G30863" s="5">
        <v>103.1</v>
      </c>
      <c r="H30863" s="5">
        <v>103</v>
      </c>
      <c r="I30863" s="5">
        <v>0</v>
      </c>
      <c r="J30863" s="5">
        <v>0</v>
      </c>
      <c r="K30863" s="5">
        <v>0</v>
      </c>
    </row>
    <row r="30864" spans="1:11" x14ac:dyDescent="0.25">
      <c r="A30864" s="5">
        <f>30857</f>
      </c>
      <c r="B30864" s="5" t="s">
        <v>30872</v>
      </c>
      <c r="C30864" s="5">
        <v>103.4</v>
      </c>
      <c r="D30864" s="5">
        <v>0.1</v>
      </c>
      <c r="E30864" s="5">
        <v>103.6</v>
      </c>
      <c r="F30864" s="5">
        <v>206.4</v>
      </c>
      <c r="G30864" s="5">
        <v>103</v>
      </c>
      <c r="H30864" s="5">
        <v>102.9</v>
      </c>
      <c r="I30864" s="5">
        <v>0</v>
      </c>
      <c r="J30864" s="5">
        <v>0</v>
      </c>
      <c r="K30864" s="5">
        <v>0</v>
      </c>
    </row>
    <row r="30865" spans="1:11" x14ac:dyDescent="0.25">
      <c r="A30865" s="5">
        <f>30858</f>
      </c>
      <c r="B30865" s="5" t="s">
        <v>30873</v>
      </c>
      <c r="C30865" s="5">
        <v>103.4</v>
      </c>
      <c r="D30865" s="5">
        <v>0.1</v>
      </c>
      <c r="E30865" s="5">
        <v>103.6</v>
      </c>
      <c r="F30865" s="5">
        <v>206.4</v>
      </c>
      <c r="G30865" s="5">
        <v>103</v>
      </c>
      <c r="H30865" s="5">
        <v>102.9</v>
      </c>
      <c r="I30865" s="5">
        <v>0</v>
      </c>
      <c r="J30865" s="5">
        <v>0</v>
      </c>
      <c r="K30865" s="5">
        <v>0</v>
      </c>
    </row>
    <row r="30866" spans="1:11" x14ac:dyDescent="0.25">
      <c r="A30866" s="5">
        <f>30859</f>
      </c>
      <c r="B30866" s="5" t="s">
        <v>30874</v>
      </c>
      <c r="C30866" s="5">
        <v>103.1</v>
      </c>
      <c r="D30866" s="5">
        <v>0.1</v>
      </c>
      <c r="E30866" s="5">
        <v>103.1</v>
      </c>
      <c r="F30866" s="5">
        <v>206.2</v>
      </c>
      <c r="G30866" s="5">
        <v>102.9</v>
      </c>
      <c r="H30866" s="5">
        <v>102.7</v>
      </c>
      <c r="I30866" s="5">
        <v>0</v>
      </c>
      <c r="J30866" s="5">
        <v>0</v>
      </c>
      <c r="K30866" s="5">
        <v>0</v>
      </c>
    </row>
    <row r="30867" spans="1:11" x14ac:dyDescent="0.25">
      <c r="A30867" s="5">
        <f>30860</f>
      </c>
      <c r="B30867" s="5" t="s">
        <v>30875</v>
      </c>
      <c r="C30867" s="5">
        <v>103.1</v>
      </c>
      <c r="D30867" s="5">
        <v>0.1</v>
      </c>
      <c r="E30867" s="5">
        <v>103.1</v>
      </c>
      <c r="F30867" s="5">
        <v>206.2</v>
      </c>
      <c r="G30867" s="5">
        <v>102.9</v>
      </c>
      <c r="H30867" s="5">
        <v>102.7</v>
      </c>
      <c r="I30867" s="5">
        <v>0</v>
      </c>
      <c r="J30867" s="5">
        <v>0</v>
      </c>
      <c r="K30867" s="5">
        <v>0</v>
      </c>
    </row>
    <row r="30868" spans="1:11" x14ac:dyDescent="0.25">
      <c r="A30868" s="5">
        <f>30861</f>
      </c>
      <c r="B30868" s="5" t="s">
        <v>30876</v>
      </c>
      <c r="C30868" s="5">
        <v>103.1</v>
      </c>
      <c r="D30868" s="5">
        <v>0.1</v>
      </c>
      <c r="E30868" s="5">
        <v>103.1</v>
      </c>
      <c r="F30868" s="5">
        <v>206.2</v>
      </c>
      <c r="G30868" s="5">
        <v>102.9</v>
      </c>
      <c r="H30868" s="5">
        <v>102.7</v>
      </c>
      <c r="I30868" s="5">
        <v>0</v>
      </c>
      <c r="J30868" s="5">
        <v>0</v>
      </c>
      <c r="K30868" s="5">
        <v>0</v>
      </c>
    </row>
    <row r="30869" spans="1:11" x14ac:dyDescent="0.25">
      <c r="A30869" s="5">
        <f>30862</f>
      </c>
      <c r="B30869" s="5" t="s">
        <v>30877</v>
      </c>
      <c r="C30869" s="5">
        <v>103.1</v>
      </c>
      <c r="D30869" s="5">
        <v>0.1</v>
      </c>
      <c r="E30869" s="5">
        <v>103.1</v>
      </c>
      <c r="F30869" s="5">
        <v>206.2</v>
      </c>
      <c r="G30869" s="5">
        <v>102.9</v>
      </c>
      <c r="H30869" s="5">
        <v>102.7</v>
      </c>
      <c r="I30869" s="5">
        <v>0</v>
      </c>
      <c r="J30869" s="5">
        <v>0</v>
      </c>
      <c r="K30869" s="5">
        <v>0</v>
      </c>
    </row>
    <row r="30870" spans="1:11" x14ac:dyDescent="0.25">
      <c r="A30870" s="5">
        <f>30863</f>
      </c>
      <c r="B30870" s="5" t="s">
        <v>30878</v>
      </c>
      <c r="C30870" s="5">
        <v>103.3</v>
      </c>
      <c r="D30870" s="5">
        <v>0.1</v>
      </c>
      <c r="E30870" s="5">
        <v>103.4</v>
      </c>
      <c r="F30870" s="5">
        <v>205.5</v>
      </c>
      <c r="G30870" s="5">
        <v>102.5</v>
      </c>
      <c r="H30870" s="5">
        <v>102.4</v>
      </c>
      <c r="I30870" s="5">
        <v>0</v>
      </c>
      <c r="J30870" s="5">
        <v>0</v>
      </c>
      <c r="K30870" s="5">
        <v>0</v>
      </c>
    </row>
    <row r="30871" spans="1:11" x14ac:dyDescent="0.25">
      <c r="A30871" s="5">
        <f>30864</f>
      </c>
      <c r="B30871" s="5" t="s">
        <v>30879</v>
      </c>
      <c r="C30871" s="5">
        <v>103.3</v>
      </c>
      <c r="D30871" s="5">
        <v>0.1</v>
      </c>
      <c r="E30871" s="5">
        <v>103.4</v>
      </c>
      <c r="F30871" s="5">
        <v>205.5</v>
      </c>
      <c r="G30871" s="5">
        <v>102.5</v>
      </c>
      <c r="H30871" s="5">
        <v>102.4</v>
      </c>
      <c r="I30871" s="5">
        <v>0</v>
      </c>
      <c r="J30871" s="5">
        <v>0</v>
      </c>
      <c r="K30871" s="5">
        <v>0</v>
      </c>
    </row>
    <row r="30872" spans="1:11" x14ac:dyDescent="0.25">
      <c r="A30872" s="5">
        <f>30865</f>
      </c>
      <c r="B30872" s="5" t="s">
        <v>30880</v>
      </c>
      <c r="C30872" s="5">
        <v>102.8</v>
      </c>
      <c r="D30872" s="5">
        <v>0.1</v>
      </c>
      <c r="E30872" s="5">
        <v>103</v>
      </c>
      <c r="F30872" s="5">
        <v>205.4</v>
      </c>
      <c r="G30872" s="5">
        <v>102.4</v>
      </c>
      <c r="H30872" s="5">
        <v>102.3</v>
      </c>
      <c r="I30872" s="5">
        <v>0</v>
      </c>
      <c r="J30872" s="5">
        <v>0</v>
      </c>
      <c r="K30872" s="5">
        <v>0</v>
      </c>
    </row>
    <row r="30873" spans="1:11" x14ac:dyDescent="0.25">
      <c r="A30873" s="5">
        <f>30866</f>
      </c>
      <c r="B30873" s="5" t="s">
        <v>30881</v>
      </c>
      <c r="C30873" s="5">
        <v>102.8</v>
      </c>
      <c r="D30873" s="5">
        <v>0.1</v>
      </c>
      <c r="E30873" s="5">
        <v>103</v>
      </c>
      <c r="F30873" s="5">
        <v>205.4</v>
      </c>
      <c r="G30873" s="5">
        <v>102.4</v>
      </c>
      <c r="H30873" s="5">
        <v>102.3</v>
      </c>
      <c r="I30873" s="5">
        <v>0</v>
      </c>
      <c r="J30873" s="5">
        <v>0</v>
      </c>
      <c r="K30873" s="5">
        <v>0</v>
      </c>
    </row>
    <row r="30874" spans="1:11" x14ac:dyDescent="0.25">
      <c r="A30874" s="5">
        <f>30867</f>
      </c>
      <c r="B30874" s="5" t="s">
        <v>30882</v>
      </c>
      <c r="C30874" s="5">
        <v>103.7</v>
      </c>
      <c r="D30874" s="5">
        <v>0.1</v>
      </c>
      <c r="E30874" s="5">
        <v>103.9</v>
      </c>
      <c r="F30874" s="5">
        <v>206.6</v>
      </c>
      <c r="G30874" s="5">
        <v>103.1</v>
      </c>
      <c r="H30874" s="5">
        <v>103</v>
      </c>
      <c r="I30874" s="5">
        <v>0</v>
      </c>
      <c r="J30874" s="5">
        <v>0</v>
      </c>
      <c r="K30874" s="5">
        <v>0</v>
      </c>
    </row>
    <row r="30875" spans="1:11" x14ac:dyDescent="0.25">
      <c r="A30875" s="5">
        <f>30868</f>
      </c>
      <c r="B30875" s="5" t="s">
        <v>30883</v>
      </c>
      <c r="C30875" s="5">
        <v>103.7</v>
      </c>
      <c r="D30875" s="5">
        <v>0.1</v>
      </c>
      <c r="E30875" s="5">
        <v>103.9</v>
      </c>
      <c r="F30875" s="5">
        <v>206.6</v>
      </c>
      <c r="G30875" s="5">
        <v>103.1</v>
      </c>
      <c r="H30875" s="5">
        <v>103</v>
      </c>
      <c r="I30875" s="5">
        <v>0</v>
      </c>
      <c r="J30875" s="5">
        <v>0</v>
      </c>
      <c r="K30875" s="5">
        <v>0</v>
      </c>
    </row>
    <row r="30876" spans="1:11" x14ac:dyDescent="0.25">
      <c r="A30876" s="5">
        <f>30869</f>
      </c>
      <c r="B30876" s="5" t="s">
        <v>30884</v>
      </c>
      <c r="C30876" s="5">
        <v>103.1</v>
      </c>
      <c r="D30876" s="5">
        <v>0.1</v>
      </c>
      <c r="E30876" s="5">
        <v>103.2</v>
      </c>
      <c r="F30876" s="5">
        <v>205.9</v>
      </c>
      <c r="G30876" s="5">
        <v>102.8</v>
      </c>
      <c r="H30876" s="5">
        <v>102.6</v>
      </c>
      <c r="I30876" s="5">
        <v>0</v>
      </c>
      <c r="J30876" s="5">
        <v>0</v>
      </c>
      <c r="K30876" s="5">
        <v>0</v>
      </c>
    </row>
    <row r="30877" spans="1:11" x14ac:dyDescent="0.25">
      <c r="A30877" s="5">
        <f>30870</f>
      </c>
      <c r="B30877" s="5" t="s">
        <v>30885</v>
      </c>
      <c r="C30877" s="5">
        <v>103.1</v>
      </c>
      <c r="D30877" s="5">
        <v>0.1</v>
      </c>
      <c r="E30877" s="5">
        <v>103.2</v>
      </c>
      <c r="F30877" s="5">
        <v>205.9</v>
      </c>
      <c r="G30877" s="5">
        <v>102.8</v>
      </c>
      <c r="H30877" s="5">
        <v>102.6</v>
      </c>
      <c r="I30877" s="5">
        <v>0</v>
      </c>
      <c r="J30877" s="5">
        <v>0</v>
      </c>
      <c r="K30877" s="5">
        <v>0</v>
      </c>
    </row>
    <row r="30878" spans="1:11" x14ac:dyDescent="0.25">
      <c r="A30878" s="5">
        <f>30871</f>
      </c>
      <c r="B30878" s="5" t="s">
        <v>30886</v>
      </c>
      <c r="C30878" s="5">
        <v>103.1</v>
      </c>
      <c r="D30878" s="5">
        <v>0.1</v>
      </c>
      <c r="E30878" s="5">
        <v>103.2</v>
      </c>
      <c r="F30878" s="5">
        <v>205.9</v>
      </c>
      <c r="G30878" s="5">
        <v>102.8</v>
      </c>
      <c r="H30878" s="5">
        <v>102.6</v>
      </c>
      <c r="I30878" s="5">
        <v>0</v>
      </c>
      <c r="J30878" s="5">
        <v>0</v>
      </c>
      <c r="K30878" s="5">
        <v>0</v>
      </c>
    </row>
    <row r="30879" spans="1:11" x14ac:dyDescent="0.25">
      <c r="A30879" s="5">
        <f>30872</f>
      </c>
      <c r="B30879" s="5" t="s">
        <v>30887</v>
      </c>
      <c r="C30879" s="5">
        <v>103.1</v>
      </c>
      <c r="D30879" s="5">
        <v>0.1</v>
      </c>
      <c r="E30879" s="5">
        <v>103.2</v>
      </c>
      <c r="F30879" s="5">
        <v>205.9</v>
      </c>
      <c r="G30879" s="5">
        <v>102.8</v>
      </c>
      <c r="H30879" s="5">
        <v>102.6</v>
      </c>
      <c r="I30879" s="5">
        <v>0</v>
      </c>
      <c r="J30879" s="5">
        <v>0</v>
      </c>
      <c r="K30879" s="5">
        <v>0</v>
      </c>
    </row>
    <row r="30880" spans="1:11" x14ac:dyDescent="0.25">
      <c r="A30880" s="5">
        <f>30873</f>
      </c>
      <c r="B30880" s="5" t="s">
        <v>30888</v>
      </c>
      <c r="C30880" s="5">
        <v>102.1</v>
      </c>
      <c r="D30880" s="5">
        <v>0.1</v>
      </c>
      <c r="E30880" s="5">
        <v>102.3</v>
      </c>
      <c r="F30880" s="5">
        <v>203.6</v>
      </c>
      <c r="G30880" s="5">
        <v>101.6</v>
      </c>
      <c r="H30880" s="5">
        <v>101.5</v>
      </c>
      <c r="I30880" s="5">
        <v>0</v>
      </c>
      <c r="J30880" s="5">
        <v>0</v>
      </c>
      <c r="K30880" s="5">
        <v>0</v>
      </c>
    </row>
    <row r="30881" spans="1:11" x14ac:dyDescent="0.25">
      <c r="A30881" s="5">
        <f>30874</f>
      </c>
      <c r="B30881" s="5" t="s">
        <v>30889</v>
      </c>
      <c r="C30881" s="5">
        <v>102.1</v>
      </c>
      <c r="D30881" s="5">
        <v>0.1</v>
      </c>
      <c r="E30881" s="5">
        <v>102.3</v>
      </c>
      <c r="F30881" s="5">
        <v>203.6</v>
      </c>
      <c r="G30881" s="5">
        <v>101.6</v>
      </c>
      <c r="H30881" s="5">
        <v>101.5</v>
      </c>
      <c r="I30881" s="5">
        <v>0</v>
      </c>
      <c r="J30881" s="5">
        <v>0</v>
      </c>
      <c r="K30881" s="5">
        <v>0</v>
      </c>
    </row>
    <row r="30882" spans="1:11" x14ac:dyDescent="0.25">
      <c r="A30882" s="5">
        <f>30875</f>
      </c>
      <c r="B30882" s="5" t="s">
        <v>30890</v>
      </c>
      <c r="C30882" s="5">
        <v>101.7</v>
      </c>
      <c r="D30882" s="5">
        <v>0.1</v>
      </c>
      <c r="E30882" s="5">
        <v>101.8</v>
      </c>
      <c r="F30882" s="5">
        <v>203.5</v>
      </c>
      <c r="G30882" s="5">
        <v>101.5</v>
      </c>
      <c r="H30882" s="5">
        <v>101.4</v>
      </c>
      <c r="I30882" s="5">
        <v>0</v>
      </c>
      <c r="J30882" s="5">
        <v>0</v>
      </c>
      <c r="K30882" s="5">
        <v>0</v>
      </c>
    </row>
    <row r="30883" spans="1:11" x14ac:dyDescent="0.25">
      <c r="A30883" s="5">
        <f>30876</f>
      </c>
      <c r="B30883" s="5" t="s">
        <v>30891</v>
      </c>
      <c r="C30883" s="5">
        <v>101.7</v>
      </c>
      <c r="D30883" s="5">
        <v>0.1</v>
      </c>
      <c r="E30883" s="5">
        <v>101.8</v>
      </c>
      <c r="F30883" s="5">
        <v>203.5</v>
      </c>
      <c r="G30883" s="5">
        <v>101.5</v>
      </c>
      <c r="H30883" s="5">
        <v>101.4</v>
      </c>
      <c r="I30883" s="5">
        <v>0</v>
      </c>
      <c r="J30883" s="5">
        <v>0</v>
      </c>
      <c r="K30883" s="5">
        <v>0</v>
      </c>
    </row>
    <row r="30884" spans="1:11" x14ac:dyDescent="0.25">
      <c r="A30884" s="5">
        <f>30877</f>
      </c>
      <c r="B30884" s="5" t="s">
        <v>30892</v>
      </c>
      <c r="C30884" s="5">
        <v>102</v>
      </c>
      <c r="D30884" s="5">
        <v>0.1</v>
      </c>
      <c r="E30884" s="5">
        <v>102.1</v>
      </c>
      <c r="F30884" s="5">
        <v>204.6</v>
      </c>
      <c r="G30884" s="5">
        <v>102</v>
      </c>
      <c r="H30884" s="5">
        <v>101.8</v>
      </c>
      <c r="I30884" s="5">
        <v>0</v>
      </c>
      <c r="J30884" s="5">
        <v>0</v>
      </c>
      <c r="K30884" s="5">
        <v>0</v>
      </c>
    </row>
    <row r="30885" spans="1:11" x14ac:dyDescent="0.25">
      <c r="A30885" s="5">
        <f>30878</f>
      </c>
      <c r="B30885" s="5" t="s">
        <v>30893</v>
      </c>
      <c r="C30885" s="5">
        <v>102</v>
      </c>
      <c r="D30885" s="5">
        <v>0.1</v>
      </c>
      <c r="E30885" s="5">
        <v>102.1</v>
      </c>
      <c r="F30885" s="5">
        <v>204.6</v>
      </c>
      <c r="G30885" s="5">
        <v>102</v>
      </c>
      <c r="H30885" s="5">
        <v>101.8</v>
      </c>
      <c r="I30885" s="5">
        <v>0</v>
      </c>
      <c r="J30885" s="5">
        <v>0</v>
      </c>
      <c r="K30885" s="5">
        <v>0</v>
      </c>
    </row>
    <row r="30886" spans="1:11" x14ac:dyDescent="0.25">
      <c r="A30886" s="5">
        <f>30879</f>
      </c>
      <c r="B30886" s="5" t="s">
        <v>30894</v>
      </c>
      <c r="C30886" s="5">
        <v>102.8</v>
      </c>
      <c r="D30886" s="5">
        <v>0.1</v>
      </c>
      <c r="E30886" s="5">
        <v>103</v>
      </c>
      <c r="F30886" s="5">
        <v>205.8</v>
      </c>
      <c r="G30886" s="5">
        <v>102.7</v>
      </c>
      <c r="H30886" s="5">
        <v>102.5</v>
      </c>
      <c r="I30886" s="5">
        <v>0</v>
      </c>
      <c r="J30886" s="5">
        <v>0</v>
      </c>
      <c r="K30886" s="5">
        <v>0</v>
      </c>
    </row>
    <row r="30887" spans="1:11" x14ac:dyDescent="0.25">
      <c r="A30887" s="5">
        <f>30880</f>
      </c>
      <c r="B30887" s="5" t="s">
        <v>30895</v>
      </c>
      <c r="C30887" s="5">
        <v>102.8</v>
      </c>
      <c r="D30887" s="5">
        <v>0.1</v>
      </c>
      <c r="E30887" s="5">
        <v>103</v>
      </c>
      <c r="F30887" s="5">
        <v>205.8</v>
      </c>
      <c r="G30887" s="5">
        <v>102.7</v>
      </c>
      <c r="H30887" s="5">
        <v>102.5</v>
      </c>
      <c r="I30887" s="5">
        <v>0</v>
      </c>
      <c r="J30887" s="5">
        <v>0</v>
      </c>
      <c r="K30887" s="5">
        <v>0</v>
      </c>
    </row>
    <row r="30888" spans="1:11" x14ac:dyDescent="0.25">
      <c r="A30888" s="5">
        <f>30881</f>
      </c>
      <c r="B30888" s="5" t="s">
        <v>30896</v>
      </c>
      <c r="C30888" s="5">
        <v>102.8</v>
      </c>
      <c r="D30888" s="5">
        <v>0.1</v>
      </c>
      <c r="E30888" s="5">
        <v>103</v>
      </c>
      <c r="F30888" s="5">
        <v>205.8</v>
      </c>
      <c r="G30888" s="5">
        <v>102.7</v>
      </c>
      <c r="H30888" s="5">
        <v>102.5</v>
      </c>
      <c r="I30888" s="5">
        <v>0</v>
      </c>
      <c r="J30888" s="5">
        <v>0</v>
      </c>
      <c r="K30888" s="5">
        <v>0</v>
      </c>
    </row>
    <row r="30889" spans="1:11" x14ac:dyDescent="0.25">
      <c r="A30889" s="5">
        <f>30882</f>
      </c>
      <c r="B30889" s="5" t="s">
        <v>30897</v>
      </c>
      <c r="C30889" s="5">
        <v>102.8</v>
      </c>
      <c r="D30889" s="5">
        <v>0.1</v>
      </c>
      <c r="E30889" s="5">
        <v>103</v>
      </c>
      <c r="F30889" s="5">
        <v>205.8</v>
      </c>
      <c r="G30889" s="5">
        <v>102.7</v>
      </c>
      <c r="H30889" s="5">
        <v>102.5</v>
      </c>
      <c r="I30889" s="5">
        <v>0</v>
      </c>
      <c r="J30889" s="5">
        <v>0</v>
      </c>
      <c r="K30889" s="5">
        <v>0</v>
      </c>
    </row>
    <row r="30890" spans="1:11" x14ac:dyDescent="0.25">
      <c r="A30890" s="5">
        <f>30883</f>
      </c>
      <c r="B30890" s="5" t="s">
        <v>30898</v>
      </c>
      <c r="C30890" s="5">
        <v>102.8</v>
      </c>
      <c r="D30890" s="5">
        <v>0.1</v>
      </c>
      <c r="E30890" s="5">
        <v>103</v>
      </c>
      <c r="F30890" s="5">
        <v>205.8</v>
      </c>
      <c r="G30890" s="5">
        <v>102.7</v>
      </c>
      <c r="H30890" s="5">
        <v>102.5</v>
      </c>
      <c r="I30890" s="5">
        <v>0</v>
      </c>
      <c r="J30890" s="5">
        <v>0</v>
      </c>
      <c r="K30890" s="5">
        <v>0</v>
      </c>
    </row>
    <row r="30891" spans="1:11" x14ac:dyDescent="0.25">
      <c r="A30891" s="5">
        <f>30884</f>
      </c>
      <c r="B30891" s="5" t="s">
        <v>30899</v>
      </c>
      <c r="C30891" s="5">
        <v>102.8</v>
      </c>
      <c r="D30891" s="5">
        <v>0.1</v>
      </c>
      <c r="E30891" s="5">
        <v>103</v>
      </c>
      <c r="F30891" s="5">
        <v>205.8</v>
      </c>
      <c r="G30891" s="5">
        <v>102.7</v>
      </c>
      <c r="H30891" s="5">
        <v>102.5</v>
      </c>
      <c r="I30891" s="5">
        <v>0</v>
      </c>
      <c r="J30891" s="5">
        <v>0</v>
      </c>
      <c r="K30891" s="5">
        <v>0</v>
      </c>
    </row>
    <row r="30892" spans="1:11" x14ac:dyDescent="0.25">
      <c r="A30892" s="5">
        <f>30885</f>
      </c>
      <c r="B30892" s="5" t="s">
        <v>30900</v>
      </c>
      <c r="C30892" s="5">
        <v>103.1</v>
      </c>
      <c r="D30892" s="5">
        <v>0.1</v>
      </c>
      <c r="E30892" s="5">
        <v>103.3</v>
      </c>
      <c r="F30892" s="5">
        <v>206</v>
      </c>
      <c r="G30892" s="5">
        <v>102.7</v>
      </c>
      <c r="H30892" s="5">
        <v>102.6</v>
      </c>
      <c r="I30892" s="5">
        <v>0</v>
      </c>
      <c r="J30892" s="5">
        <v>0</v>
      </c>
      <c r="K30892" s="5">
        <v>0</v>
      </c>
    </row>
    <row r="30893" spans="1:11" x14ac:dyDescent="0.25">
      <c r="A30893" s="5">
        <f>30886</f>
      </c>
      <c r="B30893" s="5" t="s">
        <v>30901</v>
      </c>
      <c r="C30893" s="5">
        <v>103.1</v>
      </c>
      <c r="D30893" s="5">
        <v>0.1</v>
      </c>
      <c r="E30893" s="5">
        <v>103.3</v>
      </c>
      <c r="F30893" s="5">
        <v>206</v>
      </c>
      <c r="G30893" s="5">
        <v>102.7</v>
      </c>
      <c r="H30893" s="5">
        <v>102.6</v>
      </c>
      <c r="I30893" s="5">
        <v>0</v>
      </c>
      <c r="J30893" s="5">
        <v>0</v>
      </c>
      <c r="K30893" s="5">
        <v>0</v>
      </c>
    </row>
    <row r="30894" spans="1:11" x14ac:dyDescent="0.25">
      <c r="A30894" s="5">
        <f>30887</f>
      </c>
      <c r="B30894" s="5" t="s">
        <v>30902</v>
      </c>
      <c r="C30894" s="5">
        <v>102.2</v>
      </c>
      <c r="D30894" s="5">
        <v>0.1</v>
      </c>
      <c r="E30894" s="5">
        <v>102.4</v>
      </c>
      <c r="F30894" s="5">
        <v>204.3</v>
      </c>
      <c r="G30894" s="5">
        <v>102</v>
      </c>
      <c r="H30894" s="5">
        <v>101.8</v>
      </c>
      <c r="I30894" s="5">
        <v>0</v>
      </c>
      <c r="J30894" s="5">
        <v>0</v>
      </c>
      <c r="K30894" s="5">
        <v>0</v>
      </c>
    </row>
    <row r="30895" spans="1:11" x14ac:dyDescent="0.25">
      <c r="A30895" s="5">
        <f>30888</f>
      </c>
      <c r="B30895" s="5" t="s">
        <v>30903</v>
      </c>
      <c r="C30895" s="5">
        <v>102.2</v>
      </c>
      <c r="D30895" s="5">
        <v>0.1</v>
      </c>
      <c r="E30895" s="5">
        <v>102.4</v>
      </c>
      <c r="F30895" s="5">
        <v>204.3</v>
      </c>
      <c r="G30895" s="5">
        <v>102</v>
      </c>
      <c r="H30895" s="5">
        <v>101.8</v>
      </c>
      <c r="I30895" s="5">
        <v>0</v>
      </c>
      <c r="J30895" s="5">
        <v>0</v>
      </c>
      <c r="K30895" s="5">
        <v>0</v>
      </c>
    </row>
    <row r="30896" spans="1:11" x14ac:dyDescent="0.25">
      <c r="A30896" s="5">
        <f>30889</f>
      </c>
      <c r="B30896" s="5" t="s">
        <v>30904</v>
      </c>
      <c r="C30896" s="5">
        <v>102.4</v>
      </c>
      <c r="D30896" s="5">
        <v>0.1</v>
      </c>
      <c r="E30896" s="5">
        <v>102.6</v>
      </c>
      <c r="F30896" s="5">
        <v>204.9</v>
      </c>
      <c r="G30896" s="5">
        <v>102.2</v>
      </c>
      <c r="H30896" s="5">
        <v>102</v>
      </c>
      <c r="I30896" s="5">
        <v>0</v>
      </c>
      <c r="J30896" s="5">
        <v>0</v>
      </c>
      <c r="K30896" s="5">
        <v>0</v>
      </c>
    </row>
    <row r="30897" spans="1:11" x14ac:dyDescent="0.25">
      <c r="A30897" s="5">
        <f>30890</f>
      </c>
      <c r="B30897" s="5" t="s">
        <v>30905</v>
      </c>
      <c r="C30897" s="5">
        <v>102.4</v>
      </c>
      <c r="D30897" s="5">
        <v>0.1</v>
      </c>
      <c r="E30897" s="5">
        <v>102.6</v>
      </c>
      <c r="F30897" s="5">
        <v>204.9</v>
      </c>
      <c r="G30897" s="5">
        <v>102.2</v>
      </c>
      <c r="H30897" s="5">
        <v>102</v>
      </c>
      <c r="I30897" s="5">
        <v>0</v>
      </c>
      <c r="J30897" s="5">
        <v>0</v>
      </c>
      <c r="K30897" s="5">
        <v>0</v>
      </c>
    </row>
    <row r="30898" spans="1:11" x14ac:dyDescent="0.25">
      <c r="A30898" s="5">
        <f>30891</f>
      </c>
      <c r="B30898" s="5" t="s">
        <v>30906</v>
      </c>
      <c r="C30898" s="5">
        <v>102.4</v>
      </c>
      <c r="D30898" s="5">
        <v>0.1</v>
      </c>
      <c r="E30898" s="5">
        <v>102.6</v>
      </c>
      <c r="F30898" s="5">
        <v>204.9</v>
      </c>
      <c r="G30898" s="5">
        <v>102.2</v>
      </c>
      <c r="H30898" s="5">
        <v>102</v>
      </c>
      <c r="I30898" s="5">
        <v>0</v>
      </c>
      <c r="J30898" s="5">
        <v>0</v>
      </c>
      <c r="K30898" s="5">
        <v>0</v>
      </c>
    </row>
    <row r="30899" spans="1:11" x14ac:dyDescent="0.25">
      <c r="A30899" s="5">
        <f>30892</f>
      </c>
      <c r="B30899" s="5" t="s">
        <v>30907</v>
      </c>
      <c r="C30899" s="5">
        <v>102.4</v>
      </c>
      <c r="D30899" s="5">
        <v>0.1</v>
      </c>
      <c r="E30899" s="5">
        <v>102.6</v>
      </c>
      <c r="F30899" s="5">
        <v>204.9</v>
      </c>
      <c r="G30899" s="5">
        <v>102.2</v>
      </c>
      <c r="H30899" s="5">
        <v>102</v>
      </c>
      <c r="I30899" s="5">
        <v>0</v>
      </c>
      <c r="J30899" s="5">
        <v>0</v>
      </c>
      <c r="K30899" s="5">
        <v>0</v>
      </c>
    </row>
    <row r="30900" spans="1:11" x14ac:dyDescent="0.25">
      <c r="A30900" s="5">
        <f>30893</f>
      </c>
      <c r="B30900" s="5" t="s">
        <v>30908</v>
      </c>
      <c r="C30900" s="5">
        <v>103.5</v>
      </c>
      <c r="D30900" s="5">
        <v>0.1</v>
      </c>
      <c r="E30900" s="5">
        <v>103.7</v>
      </c>
      <c r="F30900" s="5">
        <v>206</v>
      </c>
      <c r="G30900" s="5">
        <v>102.8</v>
      </c>
      <c r="H30900" s="5">
        <v>102.6</v>
      </c>
      <c r="I30900" s="5">
        <v>0</v>
      </c>
      <c r="J30900" s="5">
        <v>0</v>
      </c>
      <c r="K30900" s="5">
        <v>0</v>
      </c>
    </row>
    <row r="30901" spans="1:11" x14ac:dyDescent="0.25">
      <c r="A30901" s="5">
        <f>30894</f>
      </c>
      <c r="B30901" s="5" t="s">
        <v>30909</v>
      </c>
      <c r="C30901" s="5">
        <v>103.5</v>
      </c>
      <c r="D30901" s="5">
        <v>0.1</v>
      </c>
      <c r="E30901" s="5">
        <v>103.7</v>
      </c>
      <c r="F30901" s="5">
        <v>206</v>
      </c>
      <c r="G30901" s="5">
        <v>102.8</v>
      </c>
      <c r="H30901" s="5">
        <v>102.6</v>
      </c>
      <c r="I30901" s="5">
        <v>0</v>
      </c>
      <c r="J30901" s="5">
        <v>0</v>
      </c>
      <c r="K30901" s="5">
        <v>0</v>
      </c>
    </row>
    <row r="30902" spans="1:11" x14ac:dyDescent="0.25">
      <c r="A30902" s="5">
        <f>30895</f>
      </c>
      <c r="B30902" s="5" t="s">
        <v>30910</v>
      </c>
      <c r="C30902" s="5">
        <v>102.7</v>
      </c>
      <c r="D30902" s="5">
        <v>0.1</v>
      </c>
      <c r="E30902" s="5">
        <v>102.8</v>
      </c>
      <c r="F30902" s="5">
        <v>204.6</v>
      </c>
      <c r="G30902" s="5">
        <v>102.1</v>
      </c>
      <c r="H30902" s="5">
        <v>101.9</v>
      </c>
      <c r="I30902" s="5">
        <v>0</v>
      </c>
      <c r="J30902" s="5">
        <v>0</v>
      </c>
      <c r="K30902" s="5">
        <v>0</v>
      </c>
    </row>
    <row r="30903" spans="1:11" x14ac:dyDescent="0.25">
      <c r="A30903" s="5">
        <f>30896</f>
      </c>
      <c r="B30903" s="5" t="s">
        <v>30911</v>
      </c>
      <c r="C30903" s="5">
        <v>102.7</v>
      </c>
      <c r="D30903" s="5">
        <v>0.1</v>
      </c>
      <c r="E30903" s="5">
        <v>102.8</v>
      </c>
      <c r="F30903" s="5">
        <v>204.6</v>
      </c>
      <c r="G30903" s="5">
        <v>102.1</v>
      </c>
      <c r="H30903" s="5">
        <v>101.9</v>
      </c>
      <c r="I30903" s="5">
        <v>0</v>
      </c>
      <c r="J30903" s="5">
        <v>0</v>
      </c>
      <c r="K30903" s="5">
        <v>0</v>
      </c>
    </row>
    <row r="30904" spans="1:11" x14ac:dyDescent="0.25">
      <c r="A30904" s="5">
        <f>30897</f>
      </c>
      <c r="B30904" s="5" t="s">
        <v>30912</v>
      </c>
      <c r="C30904" s="5">
        <v>103.5</v>
      </c>
      <c r="D30904" s="5">
        <v>0.1</v>
      </c>
      <c r="E30904" s="5">
        <v>103.7</v>
      </c>
      <c r="F30904" s="5">
        <v>206.7</v>
      </c>
      <c r="G30904" s="5">
        <v>103.1</v>
      </c>
      <c r="H30904" s="5">
        <v>103</v>
      </c>
      <c r="I30904" s="5">
        <v>0</v>
      </c>
      <c r="J30904" s="5">
        <v>0</v>
      </c>
      <c r="K30904" s="5">
        <v>0</v>
      </c>
    </row>
    <row r="30905" spans="1:11" x14ac:dyDescent="0.25">
      <c r="A30905" s="5">
        <f>30898</f>
      </c>
      <c r="B30905" s="5" t="s">
        <v>30913</v>
      </c>
      <c r="C30905" s="5">
        <v>103.5</v>
      </c>
      <c r="D30905" s="5">
        <v>0.1</v>
      </c>
      <c r="E30905" s="5">
        <v>103.7</v>
      </c>
      <c r="F30905" s="5">
        <v>206.7</v>
      </c>
      <c r="G30905" s="5">
        <v>103.1</v>
      </c>
      <c r="H30905" s="5">
        <v>103</v>
      </c>
      <c r="I30905" s="5">
        <v>0</v>
      </c>
      <c r="J30905" s="5">
        <v>0</v>
      </c>
      <c r="K30905" s="5">
        <v>0</v>
      </c>
    </row>
    <row r="30906" spans="1:11" x14ac:dyDescent="0.25">
      <c r="A30906" s="5">
        <f>30899</f>
      </c>
      <c r="B30906" s="5" t="s">
        <v>30914</v>
      </c>
      <c r="C30906" s="5">
        <v>103.7</v>
      </c>
      <c r="D30906" s="5">
        <v>0.1</v>
      </c>
      <c r="E30906" s="5">
        <v>103.8</v>
      </c>
      <c r="F30906" s="5">
        <v>206.8</v>
      </c>
      <c r="G30906" s="5">
        <v>103.2</v>
      </c>
      <c r="H30906" s="5">
        <v>103.1</v>
      </c>
      <c r="I30906" s="5">
        <v>0</v>
      </c>
      <c r="J30906" s="5">
        <v>0</v>
      </c>
      <c r="K30906" s="5">
        <v>0</v>
      </c>
    </row>
    <row r="30907" spans="1:11" x14ac:dyDescent="0.25">
      <c r="A30907" s="5">
        <f>30900</f>
      </c>
      <c r="B30907" s="5" t="s">
        <v>30915</v>
      </c>
      <c r="C30907" s="5">
        <v>103.7</v>
      </c>
      <c r="D30907" s="5">
        <v>0.1</v>
      </c>
      <c r="E30907" s="5">
        <v>103.8</v>
      </c>
      <c r="F30907" s="5">
        <v>206.8</v>
      </c>
      <c r="G30907" s="5">
        <v>103.2</v>
      </c>
      <c r="H30907" s="5">
        <v>103.1</v>
      </c>
      <c r="I30907" s="5">
        <v>0</v>
      </c>
      <c r="J30907" s="5">
        <v>0</v>
      </c>
      <c r="K30907" s="5">
        <v>0</v>
      </c>
    </row>
    <row r="30908" spans="1:11" x14ac:dyDescent="0.25">
      <c r="A30908" s="5">
        <f>30901</f>
      </c>
      <c r="B30908" s="5" t="s">
        <v>30916</v>
      </c>
      <c r="C30908" s="5">
        <v>103.7</v>
      </c>
      <c r="D30908" s="5">
        <v>0.1</v>
      </c>
      <c r="E30908" s="5">
        <v>103.8</v>
      </c>
      <c r="F30908" s="5">
        <v>206.8</v>
      </c>
      <c r="G30908" s="5">
        <v>103.2</v>
      </c>
      <c r="H30908" s="5">
        <v>103.1</v>
      </c>
      <c r="I30908" s="5">
        <v>0</v>
      </c>
      <c r="J30908" s="5">
        <v>0</v>
      </c>
      <c r="K30908" s="5">
        <v>0</v>
      </c>
    </row>
    <row r="30909" spans="1:11" x14ac:dyDescent="0.25">
      <c r="A30909" s="5">
        <f>30902</f>
      </c>
      <c r="B30909" s="5" t="s">
        <v>30917</v>
      </c>
      <c r="C30909" s="5">
        <v>103.7</v>
      </c>
      <c r="D30909" s="5">
        <v>0.1</v>
      </c>
      <c r="E30909" s="5">
        <v>103.8</v>
      </c>
      <c r="F30909" s="5">
        <v>206.8</v>
      </c>
      <c r="G30909" s="5">
        <v>103.2</v>
      </c>
      <c r="H30909" s="5">
        <v>102.2</v>
      </c>
      <c r="I30909" s="5">
        <v>0</v>
      </c>
      <c r="J30909" s="5">
        <v>0</v>
      </c>
      <c r="K30909" s="5">
        <v>0</v>
      </c>
    </row>
    <row r="30910" spans="1:11" x14ac:dyDescent="0.25">
      <c r="A30910" s="5">
        <f>30903</f>
      </c>
      <c r="B30910" s="5" t="s">
        <v>30918</v>
      </c>
      <c r="C30910" s="5">
        <v>102.8</v>
      </c>
      <c r="D30910" s="5">
        <v>0.1</v>
      </c>
      <c r="E30910" s="5">
        <v>102.9</v>
      </c>
      <c r="F30910" s="5">
        <v>205.1</v>
      </c>
      <c r="G30910" s="5">
        <v>102.3</v>
      </c>
      <c r="H30910" s="5">
        <v>102.2</v>
      </c>
      <c r="I30910" s="5">
        <v>0</v>
      </c>
      <c r="J30910" s="5">
        <v>0</v>
      </c>
      <c r="K30910" s="5">
        <v>0</v>
      </c>
    </row>
    <row r="30911" spans="1:11" x14ac:dyDescent="0.25">
      <c r="A30911" s="5">
        <f>30904</f>
      </c>
      <c r="B30911" s="5" t="s">
        <v>30919</v>
      </c>
      <c r="C30911" s="5">
        <v>102.8</v>
      </c>
      <c r="D30911" s="5">
        <v>0.1</v>
      </c>
      <c r="E30911" s="5">
        <v>102.9</v>
      </c>
      <c r="F30911" s="5">
        <v>205.1</v>
      </c>
      <c r="G30911" s="5">
        <v>102.3</v>
      </c>
      <c r="H30911" s="5">
        <v>102.2</v>
      </c>
      <c r="I30911" s="5">
        <v>0</v>
      </c>
      <c r="J30911" s="5">
        <v>0</v>
      </c>
      <c r="K30911" s="5">
        <v>0</v>
      </c>
    </row>
    <row r="30912" spans="1:11" x14ac:dyDescent="0.25">
      <c r="A30912" s="5">
        <f>30905</f>
      </c>
      <c r="B30912" s="5" t="s">
        <v>30920</v>
      </c>
      <c r="C30912" s="5">
        <v>103.3</v>
      </c>
      <c r="D30912" s="5">
        <v>0.1</v>
      </c>
      <c r="E30912" s="5">
        <v>103.4</v>
      </c>
      <c r="F30912" s="5">
        <v>206.4</v>
      </c>
      <c r="G30912" s="5">
        <v>103</v>
      </c>
      <c r="H30912" s="5">
        <v>102.8</v>
      </c>
      <c r="I30912" s="5">
        <v>0</v>
      </c>
      <c r="J30912" s="5">
        <v>0</v>
      </c>
      <c r="K30912" s="5">
        <v>0</v>
      </c>
    </row>
    <row r="30913" spans="1:11" x14ac:dyDescent="0.25">
      <c r="A30913" s="5">
        <f>30906</f>
      </c>
      <c r="B30913" s="5" t="s">
        <v>30921</v>
      </c>
      <c r="C30913" s="5">
        <v>103.3</v>
      </c>
      <c r="D30913" s="5">
        <v>0.1</v>
      </c>
      <c r="E30913" s="5">
        <v>103.4</v>
      </c>
      <c r="F30913" s="5">
        <v>206.4</v>
      </c>
      <c r="G30913" s="5">
        <v>103</v>
      </c>
      <c r="H30913" s="5">
        <v>102.8</v>
      </c>
      <c r="I30913" s="5">
        <v>0</v>
      </c>
      <c r="J30913" s="5">
        <v>0</v>
      </c>
      <c r="K30913" s="5">
        <v>0</v>
      </c>
    </row>
    <row r="30914" spans="1:11" x14ac:dyDescent="0.25">
      <c r="A30914" s="5">
        <f>30907</f>
      </c>
      <c r="B30914" s="5" t="s">
        <v>30922</v>
      </c>
      <c r="C30914" s="5">
        <v>102.5</v>
      </c>
      <c r="D30914" s="5">
        <v>0.1</v>
      </c>
      <c r="E30914" s="5">
        <v>102.6</v>
      </c>
      <c r="F30914" s="5">
        <v>205.5</v>
      </c>
      <c r="G30914" s="5">
        <v>102.5</v>
      </c>
      <c r="H30914" s="5">
        <v>102.3</v>
      </c>
      <c r="I30914" s="5">
        <v>0</v>
      </c>
      <c r="J30914" s="5">
        <v>0</v>
      </c>
      <c r="K30914" s="5">
        <v>0</v>
      </c>
    </row>
    <row r="30915" spans="1:11" x14ac:dyDescent="0.25">
      <c r="A30915" s="5">
        <f>30908</f>
      </c>
      <c r="B30915" s="5" t="s">
        <v>30923</v>
      </c>
      <c r="C30915" s="5">
        <v>102.5</v>
      </c>
      <c r="D30915" s="5">
        <v>0.1</v>
      </c>
      <c r="E30915" s="5">
        <v>102.6</v>
      </c>
      <c r="F30915" s="5">
        <v>205.5</v>
      </c>
      <c r="G30915" s="5">
        <v>102.5</v>
      </c>
      <c r="H30915" s="5">
        <v>102.3</v>
      </c>
      <c r="I30915" s="5">
        <v>0</v>
      </c>
      <c r="J30915" s="5">
        <v>0</v>
      </c>
      <c r="K30915" s="5">
        <v>0</v>
      </c>
    </row>
    <row r="30916" spans="1:11" x14ac:dyDescent="0.25">
      <c r="A30916" s="5">
        <f>30909</f>
      </c>
      <c r="B30916" s="5" t="s">
        <v>30924</v>
      </c>
      <c r="C30916" s="5">
        <v>102.5</v>
      </c>
      <c r="D30916" s="5">
        <v>0.1</v>
      </c>
      <c r="E30916" s="5">
        <v>102.7</v>
      </c>
      <c r="F30916" s="5">
        <v>205.9</v>
      </c>
      <c r="G30916" s="5">
        <v>102.7</v>
      </c>
      <c r="H30916" s="5">
        <v>102.5</v>
      </c>
      <c r="I30916" s="5">
        <v>0</v>
      </c>
      <c r="J30916" s="5">
        <v>0</v>
      </c>
      <c r="K30916" s="5">
        <v>0</v>
      </c>
    </row>
    <row r="30917" spans="1:11" x14ac:dyDescent="0.25">
      <c r="A30917" s="5">
        <f>30910</f>
      </c>
      <c r="B30917" s="5" t="s">
        <v>30925</v>
      </c>
      <c r="C30917" s="5">
        <v>102.5</v>
      </c>
      <c r="D30917" s="5">
        <v>0.1</v>
      </c>
      <c r="E30917" s="5">
        <v>102.7</v>
      </c>
      <c r="F30917" s="5">
        <v>205.9</v>
      </c>
      <c r="G30917" s="5">
        <v>102.7</v>
      </c>
      <c r="H30917" s="5">
        <v>102.5</v>
      </c>
      <c r="I30917" s="5">
        <v>0</v>
      </c>
      <c r="J30917" s="5">
        <v>0</v>
      </c>
      <c r="K30917" s="5">
        <v>0</v>
      </c>
    </row>
    <row r="30918" spans="1:11" x14ac:dyDescent="0.25">
      <c r="A30918" s="5">
        <f>30911</f>
      </c>
      <c r="B30918" s="5" t="s">
        <v>30926</v>
      </c>
      <c r="C30918" s="5">
        <v>102.5</v>
      </c>
      <c r="D30918" s="5">
        <v>0.1</v>
      </c>
      <c r="E30918" s="5">
        <v>102.7</v>
      </c>
      <c r="F30918" s="5">
        <v>205.9</v>
      </c>
      <c r="G30918" s="5">
        <v>102.7</v>
      </c>
      <c r="H30918" s="5">
        <v>102.5</v>
      </c>
      <c r="I30918" s="5">
        <v>0</v>
      </c>
      <c r="J30918" s="5">
        <v>0</v>
      </c>
      <c r="K30918" s="5">
        <v>0</v>
      </c>
    </row>
    <row r="30919" spans="1:11" x14ac:dyDescent="0.25">
      <c r="A30919" s="5">
        <f>30912</f>
      </c>
      <c r="B30919" s="5" t="s">
        <v>30927</v>
      </c>
      <c r="C30919" s="5">
        <v>102.9</v>
      </c>
      <c r="D30919" s="5">
        <v>0.1</v>
      </c>
      <c r="E30919" s="5">
        <v>103.1</v>
      </c>
      <c r="F30919" s="5">
        <v>205.8</v>
      </c>
      <c r="G30919" s="5">
        <v>102.6</v>
      </c>
      <c r="H30919" s="5">
        <v>102.4</v>
      </c>
      <c r="I30919" s="5">
        <v>0</v>
      </c>
      <c r="J30919" s="5">
        <v>0</v>
      </c>
      <c r="K30919" s="5">
        <v>0</v>
      </c>
    </row>
    <row r="30920" spans="1:11" x14ac:dyDescent="0.25">
      <c r="A30920" s="5">
        <f>30913</f>
      </c>
      <c r="B30920" s="5" t="s">
        <v>30928</v>
      </c>
      <c r="C30920" s="5">
        <v>102.9</v>
      </c>
      <c r="D30920" s="5">
        <v>0.1</v>
      </c>
      <c r="E30920" s="5">
        <v>103.1</v>
      </c>
      <c r="F30920" s="5">
        <v>205.8</v>
      </c>
      <c r="G30920" s="5">
        <v>102.6</v>
      </c>
      <c r="H30920" s="5">
        <v>102.4</v>
      </c>
      <c r="I30920" s="5">
        <v>0</v>
      </c>
      <c r="J30920" s="5">
        <v>0</v>
      </c>
      <c r="K30920" s="5">
        <v>0</v>
      </c>
    </row>
    <row r="30921" spans="1:11" x14ac:dyDescent="0.25">
      <c r="A30921" s="5">
        <f>30914</f>
      </c>
      <c r="B30921" s="5" t="s">
        <v>30929</v>
      </c>
      <c r="C30921" s="5">
        <v>103.1</v>
      </c>
      <c r="D30921" s="5">
        <v>0.1</v>
      </c>
      <c r="E30921" s="5">
        <v>103.3</v>
      </c>
      <c r="F30921" s="5">
        <v>206.3</v>
      </c>
      <c r="G30921" s="5">
        <v>102.6</v>
      </c>
      <c r="H30921" s="5">
        <v>102.4</v>
      </c>
      <c r="I30921" s="5">
        <v>0</v>
      </c>
      <c r="J30921" s="5">
        <v>0</v>
      </c>
      <c r="K30921" s="5">
        <v>0</v>
      </c>
    </row>
    <row r="30922" spans="1:11" x14ac:dyDescent="0.25">
      <c r="A30922" s="5">
        <f>30915</f>
      </c>
      <c r="B30922" s="5" t="s">
        <v>30930</v>
      </c>
      <c r="C30922" s="5">
        <v>103.1</v>
      </c>
      <c r="D30922" s="5">
        <v>0.1</v>
      </c>
      <c r="E30922" s="5">
        <v>103.3</v>
      </c>
      <c r="F30922" s="5">
        <v>206.3</v>
      </c>
      <c r="G30922" s="5">
        <v>102.9</v>
      </c>
      <c r="H30922" s="5">
        <v>102.7</v>
      </c>
      <c r="I30922" s="5">
        <v>0</v>
      </c>
      <c r="J30922" s="5">
        <v>0</v>
      </c>
      <c r="K30922" s="5">
        <v>0</v>
      </c>
    </row>
    <row r="30923" spans="1:11" x14ac:dyDescent="0.25">
      <c r="A30923" s="5">
        <f>30916</f>
      </c>
      <c r="B30923" s="5" t="s">
        <v>30931</v>
      </c>
      <c r="C30923" s="5">
        <v>102.8</v>
      </c>
      <c r="D30923" s="5">
        <v>0.1</v>
      </c>
      <c r="E30923" s="5">
        <v>103</v>
      </c>
      <c r="F30923" s="5">
        <v>206.3</v>
      </c>
      <c r="G30923" s="5">
        <v>102.9</v>
      </c>
      <c r="H30923" s="5">
        <v>102.7</v>
      </c>
      <c r="I30923" s="5">
        <v>0</v>
      </c>
      <c r="J30923" s="5">
        <v>0</v>
      </c>
      <c r="K30923" s="5">
        <v>0</v>
      </c>
    </row>
    <row r="30924" spans="1:11" x14ac:dyDescent="0.25">
      <c r="A30924" s="5">
        <f>30917</f>
      </c>
      <c r="B30924" s="5" t="s">
        <v>30932</v>
      </c>
      <c r="C30924" s="5">
        <v>102.8</v>
      </c>
      <c r="D30924" s="5">
        <v>0.1</v>
      </c>
      <c r="E30924" s="5">
        <v>103</v>
      </c>
      <c r="F30924" s="5">
        <v>206.3</v>
      </c>
      <c r="G30924" s="5">
        <v>102.9</v>
      </c>
      <c r="H30924" s="5">
        <v>102.7</v>
      </c>
      <c r="I30924" s="5">
        <v>0</v>
      </c>
      <c r="J30924" s="5">
        <v>0</v>
      </c>
      <c r="K30924" s="5">
        <v>0</v>
      </c>
    </row>
    <row r="30925" spans="1:11" x14ac:dyDescent="0.25">
      <c r="A30925" s="5">
        <f>30918</f>
      </c>
      <c r="B30925" s="5" t="s">
        <v>30933</v>
      </c>
      <c r="C30925" s="5">
        <v>103.4</v>
      </c>
      <c r="D30925" s="5">
        <v>0.1</v>
      </c>
      <c r="E30925" s="5">
        <v>103</v>
      </c>
      <c r="F30925" s="5">
        <v>206.3</v>
      </c>
      <c r="G30925" s="5">
        <v>102.9</v>
      </c>
      <c r="H30925" s="5">
        <v>102.7</v>
      </c>
      <c r="I30925" s="5">
        <v>0</v>
      </c>
      <c r="J30925" s="5">
        <v>0</v>
      </c>
      <c r="K30925" s="5">
        <v>0</v>
      </c>
    </row>
    <row r="30926" spans="1:11" x14ac:dyDescent="0.25">
      <c r="A30926" s="5">
        <f>30919</f>
      </c>
      <c r="B30926" s="5" t="s">
        <v>30934</v>
      </c>
      <c r="C30926" s="5">
        <v>103.4</v>
      </c>
      <c r="D30926" s="5">
        <v>0.1</v>
      </c>
      <c r="E30926" s="5">
        <v>103.5</v>
      </c>
      <c r="F30926" s="5">
        <v>207.1</v>
      </c>
      <c r="G30926" s="5">
        <v>103.3</v>
      </c>
      <c r="H30926" s="5">
        <v>103.2</v>
      </c>
      <c r="I30926" s="5">
        <v>0</v>
      </c>
      <c r="J30926" s="5">
        <v>0</v>
      </c>
      <c r="K30926" s="5">
        <v>0</v>
      </c>
    </row>
    <row r="30927" spans="1:11" x14ac:dyDescent="0.25">
      <c r="A30927" s="5">
        <f>30920</f>
      </c>
      <c r="B30927" s="5" t="s">
        <v>30935</v>
      </c>
      <c r="C30927" s="5">
        <v>103.4</v>
      </c>
      <c r="D30927" s="5">
        <v>0.1</v>
      </c>
      <c r="E30927" s="5">
        <v>103.5</v>
      </c>
      <c r="F30927" s="5">
        <v>207.1</v>
      </c>
      <c r="G30927" s="5">
        <v>103.3</v>
      </c>
      <c r="H30927" s="5">
        <v>103.2</v>
      </c>
      <c r="I30927" s="5">
        <v>0</v>
      </c>
      <c r="J30927" s="5">
        <v>0</v>
      </c>
      <c r="K30927" s="5">
        <v>0</v>
      </c>
    </row>
    <row r="30928" spans="1:11" x14ac:dyDescent="0.25">
      <c r="A30928" s="5">
        <f>30921</f>
      </c>
      <c r="B30928" s="5" t="s">
        <v>30936</v>
      </c>
      <c r="C30928" s="5">
        <v>103.4</v>
      </c>
      <c r="D30928" s="5">
        <v>0.1</v>
      </c>
      <c r="E30928" s="5">
        <v>103.5</v>
      </c>
      <c r="F30928" s="5">
        <v>207.1</v>
      </c>
      <c r="G30928" s="5">
        <v>103.3</v>
      </c>
      <c r="H30928" s="5">
        <v>103.2</v>
      </c>
      <c r="I30928" s="5">
        <v>0</v>
      </c>
      <c r="J30928" s="5">
        <v>0</v>
      </c>
      <c r="K30928" s="5">
        <v>0</v>
      </c>
    </row>
    <row r="30929" spans="1:11" x14ac:dyDescent="0.25">
      <c r="A30929" s="5">
        <f>30922</f>
      </c>
      <c r="B30929" s="5" t="s">
        <v>30937</v>
      </c>
      <c r="C30929" s="5">
        <v>103.4</v>
      </c>
      <c r="D30929" s="5">
        <v>0.1</v>
      </c>
      <c r="E30929" s="5">
        <v>103.5</v>
      </c>
      <c r="F30929" s="5">
        <v>207.1</v>
      </c>
      <c r="G30929" s="5">
        <v>103.3</v>
      </c>
      <c r="H30929" s="5">
        <v>103.2</v>
      </c>
      <c r="I30929" s="5">
        <v>0</v>
      </c>
      <c r="J30929" s="5">
        <v>0</v>
      </c>
      <c r="K30929" s="5">
        <v>0</v>
      </c>
    </row>
    <row r="30930" spans="1:11" x14ac:dyDescent="0.25">
      <c r="A30930" s="5">
        <f>30923</f>
      </c>
      <c r="B30930" s="5" t="s">
        <v>30938</v>
      </c>
      <c r="C30930" s="5">
        <v>103.4</v>
      </c>
      <c r="D30930" s="5">
        <v>0.1</v>
      </c>
      <c r="E30930" s="5">
        <v>103.6</v>
      </c>
      <c r="F30930" s="5">
        <v>206.4</v>
      </c>
      <c r="G30930" s="5">
        <v>103</v>
      </c>
      <c r="H30930" s="5">
        <v>102.9</v>
      </c>
      <c r="I30930" s="5">
        <v>0</v>
      </c>
      <c r="J30930" s="5">
        <v>0</v>
      </c>
      <c r="K30930" s="5">
        <v>0</v>
      </c>
    </row>
    <row r="30931" spans="1:11" x14ac:dyDescent="0.25">
      <c r="A30931" s="5">
        <f>30924</f>
      </c>
      <c r="B30931" s="5" t="s">
        <v>30939</v>
      </c>
      <c r="C30931" s="5">
        <v>103.4</v>
      </c>
      <c r="D30931" s="5">
        <v>0.1</v>
      </c>
      <c r="E30931" s="5">
        <v>103.6</v>
      </c>
      <c r="F30931" s="5">
        <v>206.4</v>
      </c>
      <c r="G30931" s="5">
        <v>103</v>
      </c>
      <c r="H30931" s="5">
        <v>102.9</v>
      </c>
      <c r="I30931" s="5">
        <v>0</v>
      </c>
      <c r="J30931" s="5">
        <v>0</v>
      </c>
      <c r="K30931" s="5">
        <v>0</v>
      </c>
    </row>
    <row r="30932" spans="1:11" x14ac:dyDescent="0.25">
      <c r="A30932" s="5">
        <f>30925</f>
      </c>
      <c r="B30932" s="5" t="s">
        <v>30940</v>
      </c>
      <c r="C30932" s="5">
        <v>103.8</v>
      </c>
      <c r="D30932" s="5">
        <v>0.1</v>
      </c>
      <c r="E30932" s="5">
        <v>104</v>
      </c>
      <c r="F30932" s="5">
        <v>207</v>
      </c>
      <c r="G30932" s="5">
        <v>103.3</v>
      </c>
      <c r="H30932" s="5">
        <v>103.2</v>
      </c>
      <c r="I30932" s="5">
        <v>0</v>
      </c>
      <c r="J30932" s="5">
        <v>0</v>
      </c>
      <c r="K30932" s="5">
        <v>0</v>
      </c>
    </row>
    <row r="30933" spans="1:11" x14ac:dyDescent="0.25">
      <c r="A30933" s="5">
        <f>30926</f>
      </c>
      <c r="B30933" s="5" t="s">
        <v>30941</v>
      </c>
      <c r="C30933" s="5">
        <v>103.8</v>
      </c>
      <c r="D30933" s="5">
        <v>0.1</v>
      </c>
      <c r="E30933" s="5">
        <v>104</v>
      </c>
      <c r="F30933" s="5">
        <v>207</v>
      </c>
      <c r="G30933" s="5">
        <v>103.3</v>
      </c>
      <c r="H30933" s="5">
        <v>103.2</v>
      </c>
      <c r="I30933" s="5">
        <v>0</v>
      </c>
      <c r="J30933" s="5">
        <v>0</v>
      </c>
      <c r="K30933" s="5">
        <v>0</v>
      </c>
    </row>
    <row r="30934" spans="1:11" x14ac:dyDescent="0.25">
      <c r="A30934" s="5">
        <f>30927</f>
      </c>
      <c r="B30934" s="5" t="s">
        <v>30942</v>
      </c>
      <c r="C30934" s="5">
        <v>103.2</v>
      </c>
      <c r="D30934" s="5">
        <v>0.1</v>
      </c>
      <c r="E30934" s="5">
        <v>103.4</v>
      </c>
      <c r="F30934" s="5">
        <v>206.7</v>
      </c>
      <c r="G30934" s="5">
        <v>103.1</v>
      </c>
      <c r="H30934" s="5">
        <v>102.9</v>
      </c>
      <c r="I30934" s="5">
        <v>0</v>
      </c>
      <c r="J30934" s="5">
        <v>0</v>
      </c>
      <c r="K30934" s="5">
        <v>0</v>
      </c>
    </row>
    <row r="30935" spans="1:11" x14ac:dyDescent="0.25">
      <c r="A30935" s="5">
        <f>30928</f>
      </c>
      <c r="B30935" s="5" t="s">
        <v>30943</v>
      </c>
      <c r="C30935" s="5">
        <v>103.2</v>
      </c>
      <c r="D30935" s="5">
        <v>0.1</v>
      </c>
      <c r="E30935" s="5">
        <v>103.4</v>
      </c>
      <c r="F30935" s="5">
        <v>206.7</v>
      </c>
      <c r="G30935" s="5">
        <v>103.1</v>
      </c>
      <c r="H30935" s="5">
        <v>102.9</v>
      </c>
      <c r="I30935" s="5">
        <v>0</v>
      </c>
      <c r="J30935" s="5">
        <v>0</v>
      </c>
      <c r="K30935" s="5">
        <v>0</v>
      </c>
    </row>
    <row r="30936" spans="1:11" x14ac:dyDescent="0.25">
      <c r="A30936" s="5">
        <f>30929</f>
      </c>
      <c r="B30936" s="5" t="s">
        <v>30944</v>
      </c>
      <c r="C30936" s="5">
        <v>103.4</v>
      </c>
      <c r="D30936" s="5">
        <v>0.1</v>
      </c>
      <c r="E30936" s="5">
        <v>103.5</v>
      </c>
      <c r="F30936" s="5">
        <v>206.4</v>
      </c>
      <c r="G30936" s="5">
        <v>102.9</v>
      </c>
      <c r="H30936" s="5">
        <v>102.8</v>
      </c>
      <c r="I30936" s="5">
        <v>0</v>
      </c>
      <c r="J30936" s="5">
        <v>0</v>
      </c>
      <c r="K30936" s="5">
        <v>0</v>
      </c>
    </row>
    <row r="30937" spans="1:11" x14ac:dyDescent="0.25">
      <c r="A30937" s="5">
        <f>30930</f>
      </c>
      <c r="B30937" s="5" t="s">
        <v>30945</v>
      </c>
      <c r="C30937" s="5">
        <v>103.4</v>
      </c>
      <c r="D30937" s="5">
        <v>0.1</v>
      </c>
      <c r="E30937" s="5">
        <v>103.5</v>
      </c>
      <c r="F30937" s="5">
        <v>206.4</v>
      </c>
      <c r="G30937" s="5">
        <v>102.9</v>
      </c>
      <c r="H30937" s="5">
        <v>102.8</v>
      </c>
      <c r="I30937" s="5">
        <v>0</v>
      </c>
      <c r="J30937" s="5">
        <v>0</v>
      </c>
      <c r="K30937" s="5">
        <v>0</v>
      </c>
    </row>
    <row r="30938" spans="1:11" x14ac:dyDescent="0.25">
      <c r="A30938" s="5">
        <f>30931</f>
      </c>
      <c r="B30938" s="5" t="s">
        <v>30946</v>
      </c>
      <c r="C30938" s="5">
        <v>103.4</v>
      </c>
      <c r="D30938" s="5">
        <v>0.1</v>
      </c>
      <c r="E30938" s="5">
        <v>103.5</v>
      </c>
      <c r="F30938" s="5">
        <v>206.4</v>
      </c>
      <c r="G30938" s="5">
        <v>102.9</v>
      </c>
      <c r="H30938" s="5">
        <v>102.8</v>
      </c>
      <c r="I30938" s="5">
        <v>0</v>
      </c>
      <c r="J30938" s="5">
        <v>0</v>
      </c>
      <c r="K30938" s="5">
        <v>0</v>
      </c>
    </row>
    <row r="30939" spans="1:11" x14ac:dyDescent="0.25">
      <c r="A30939" s="5">
        <f>30932</f>
      </c>
      <c r="B30939" s="5" t="s">
        <v>30947</v>
      </c>
      <c r="C30939" s="5">
        <v>103.4</v>
      </c>
      <c r="D30939" s="5">
        <v>0.1</v>
      </c>
      <c r="E30939" s="5">
        <v>103.5</v>
      </c>
      <c r="F30939" s="5">
        <v>206.4</v>
      </c>
      <c r="G30939" s="5">
        <v>102.9</v>
      </c>
      <c r="H30939" s="5">
        <v>102.8</v>
      </c>
      <c r="I30939" s="5">
        <v>0</v>
      </c>
      <c r="J30939" s="5">
        <v>0</v>
      </c>
      <c r="K30939" s="5">
        <v>0</v>
      </c>
    </row>
    <row r="30940" spans="1:11" x14ac:dyDescent="0.25">
      <c r="A30940" s="5">
        <f>30933</f>
      </c>
      <c r="B30940" s="5" t="s">
        <v>30948</v>
      </c>
      <c r="C30940" s="5">
        <v>103.4</v>
      </c>
      <c r="D30940" s="5">
        <v>0.1</v>
      </c>
      <c r="E30940" s="5">
        <v>103.6</v>
      </c>
      <c r="F30940" s="5">
        <v>205.9</v>
      </c>
      <c r="G30940" s="5">
        <v>102.7</v>
      </c>
      <c r="H30940" s="5">
        <v>102.6</v>
      </c>
      <c r="I30940" s="5">
        <v>0</v>
      </c>
      <c r="J30940" s="5">
        <v>0</v>
      </c>
      <c r="K30940" s="5">
        <v>0</v>
      </c>
    </row>
    <row r="30941" spans="1:11" x14ac:dyDescent="0.25">
      <c r="A30941" s="5">
        <f>30934</f>
      </c>
      <c r="B30941" s="5" t="s">
        <v>30949</v>
      </c>
      <c r="C30941" s="5">
        <v>103.4</v>
      </c>
      <c r="D30941" s="5">
        <v>0.1</v>
      </c>
      <c r="E30941" s="5">
        <v>103.6</v>
      </c>
      <c r="F30941" s="5">
        <v>205.9</v>
      </c>
      <c r="G30941" s="5">
        <v>102.7</v>
      </c>
      <c r="H30941" s="5">
        <v>102.6</v>
      </c>
      <c r="I30941" s="5">
        <v>0</v>
      </c>
      <c r="J30941" s="5">
        <v>0</v>
      </c>
      <c r="K30941" s="5">
        <v>0</v>
      </c>
    </row>
    <row r="30942" spans="1:11" x14ac:dyDescent="0.25">
      <c r="A30942" s="5">
        <f>30935</f>
      </c>
      <c r="B30942" s="5" t="s">
        <v>30950</v>
      </c>
      <c r="C30942" s="5">
        <v>103.6</v>
      </c>
      <c r="D30942" s="5">
        <v>0.1</v>
      </c>
      <c r="E30942" s="5">
        <v>103.7</v>
      </c>
      <c r="F30942" s="5">
        <v>206.6</v>
      </c>
      <c r="G30942" s="5">
        <v>103.1</v>
      </c>
      <c r="H30942" s="5">
        <v>102.8</v>
      </c>
      <c r="I30942" s="5">
        <v>0</v>
      </c>
      <c r="J30942" s="5">
        <v>0</v>
      </c>
      <c r="K30942" s="5">
        <v>0</v>
      </c>
    </row>
    <row r="30943" spans="1:11" x14ac:dyDescent="0.25">
      <c r="A30943" s="5">
        <f>30936</f>
      </c>
      <c r="B30943" s="5" t="s">
        <v>30951</v>
      </c>
      <c r="C30943" s="5">
        <v>103.6</v>
      </c>
      <c r="D30943" s="5">
        <v>0.1</v>
      </c>
      <c r="E30943" s="5">
        <v>103.7</v>
      </c>
      <c r="F30943" s="5">
        <v>206.6</v>
      </c>
      <c r="G30943" s="5">
        <v>103.1</v>
      </c>
      <c r="H30943" s="5">
        <v>102.8</v>
      </c>
      <c r="I30943" s="5">
        <v>0</v>
      </c>
      <c r="J30943" s="5">
        <v>0</v>
      </c>
      <c r="K30943" s="5">
        <v>0</v>
      </c>
    </row>
    <row r="30944" spans="1:11" x14ac:dyDescent="0.25">
      <c r="A30944" s="5">
        <f>30937</f>
      </c>
      <c r="B30944" s="5" t="s">
        <v>30952</v>
      </c>
      <c r="C30944" s="5">
        <v>101.8</v>
      </c>
      <c r="D30944" s="5">
        <v>0.1</v>
      </c>
      <c r="E30944" s="5">
        <v>101.9</v>
      </c>
      <c r="F30944" s="5">
        <v>204.1</v>
      </c>
      <c r="G30944" s="5">
        <v>101.7</v>
      </c>
      <c r="H30944" s="5">
        <v>101.5</v>
      </c>
      <c r="I30944" s="5">
        <v>0</v>
      </c>
      <c r="J30944" s="5">
        <v>0</v>
      </c>
      <c r="K30944" s="5">
        <v>0</v>
      </c>
    </row>
    <row r="30945" spans="1:11" x14ac:dyDescent="0.25">
      <c r="A30945" s="5">
        <f>30938</f>
      </c>
      <c r="B30945" s="5" t="s">
        <v>30953</v>
      </c>
      <c r="C30945" s="5">
        <v>101.8</v>
      </c>
      <c r="D30945" s="5">
        <v>0.1</v>
      </c>
      <c r="E30945" s="5">
        <v>101.9</v>
      </c>
      <c r="F30945" s="5">
        <v>204.1</v>
      </c>
      <c r="G30945" s="5">
        <v>101.7</v>
      </c>
      <c r="H30945" s="5">
        <v>101.5</v>
      </c>
      <c r="I30945" s="5">
        <v>0</v>
      </c>
      <c r="J30945" s="5">
        <v>0</v>
      </c>
      <c r="K30945" s="5">
        <v>0</v>
      </c>
    </row>
    <row r="30946" spans="1:11" x14ac:dyDescent="0.25">
      <c r="A30946" s="5">
        <f>30939</f>
      </c>
      <c r="B30946" s="5" t="s">
        <v>30954</v>
      </c>
      <c r="C30946" s="5">
        <v>103.1</v>
      </c>
      <c r="D30946" s="5">
        <v>0.1</v>
      </c>
      <c r="E30946" s="5">
        <v>103.2</v>
      </c>
      <c r="F30946" s="5">
        <v>206.1</v>
      </c>
      <c r="G30946" s="5">
        <v>102.8</v>
      </c>
      <c r="H30946" s="5">
        <v>102.7</v>
      </c>
      <c r="I30946" s="5">
        <v>0</v>
      </c>
      <c r="J30946" s="5">
        <v>0</v>
      </c>
      <c r="K30946" s="5">
        <v>0</v>
      </c>
    </row>
    <row r="30947" spans="1:11" x14ac:dyDescent="0.25">
      <c r="A30947" s="5">
        <f>30940</f>
      </c>
      <c r="B30947" s="5" t="s">
        <v>30955</v>
      </c>
      <c r="C30947" s="5">
        <v>103.1</v>
      </c>
      <c r="D30947" s="5">
        <v>0.1</v>
      </c>
      <c r="E30947" s="5">
        <v>103.2</v>
      </c>
      <c r="F30947" s="5">
        <v>206.1</v>
      </c>
      <c r="G30947" s="5">
        <v>102.8</v>
      </c>
      <c r="H30947" s="5">
        <v>102.7</v>
      </c>
      <c r="I30947" s="5">
        <v>0</v>
      </c>
      <c r="J30947" s="5">
        <v>0</v>
      </c>
      <c r="K30947" s="5">
        <v>0</v>
      </c>
    </row>
    <row r="30948" spans="1:11" x14ac:dyDescent="0.25">
      <c r="A30948" s="5">
        <f>30941</f>
      </c>
      <c r="B30948" s="5" t="s">
        <v>30956</v>
      </c>
      <c r="C30948" s="5">
        <v>103.1</v>
      </c>
      <c r="D30948" s="5">
        <v>0.1</v>
      </c>
      <c r="E30948" s="5">
        <v>103.2</v>
      </c>
      <c r="F30948" s="5">
        <v>206.1</v>
      </c>
      <c r="G30948" s="5">
        <v>102.8</v>
      </c>
      <c r="H30948" s="5">
        <v>102.7</v>
      </c>
      <c r="I30948" s="5">
        <v>0</v>
      </c>
      <c r="J30948" s="5">
        <v>0</v>
      </c>
      <c r="K30948" s="5">
        <v>0</v>
      </c>
    </row>
    <row r="30949" spans="1:11" x14ac:dyDescent="0.25">
      <c r="A30949" s="5">
        <f>30942</f>
      </c>
      <c r="B30949" s="5" t="s">
        <v>30957</v>
      </c>
      <c r="C30949" s="5">
        <v>103.1</v>
      </c>
      <c r="D30949" s="5">
        <v>0.1</v>
      </c>
      <c r="E30949" s="5">
        <v>103</v>
      </c>
      <c r="F30949" s="5">
        <v>205.8</v>
      </c>
      <c r="G30949" s="5">
        <v>102.7</v>
      </c>
      <c r="H30949" s="5">
        <v>102.5</v>
      </c>
      <c r="I30949" s="5">
        <v>0</v>
      </c>
      <c r="J30949" s="5">
        <v>0</v>
      </c>
      <c r="K30949" s="5">
        <v>0</v>
      </c>
    </row>
    <row r="30950" spans="1:11" x14ac:dyDescent="0.25">
      <c r="A30950" s="5">
        <f>30943</f>
      </c>
      <c r="B30950" s="5" t="s">
        <v>30958</v>
      </c>
      <c r="C30950" s="5">
        <v>102.8</v>
      </c>
      <c r="D30950" s="5">
        <v>0.1</v>
      </c>
      <c r="E30950" s="5">
        <v>103</v>
      </c>
      <c r="F30950" s="5">
        <v>205.8</v>
      </c>
      <c r="G30950" s="5">
        <v>102.7</v>
      </c>
      <c r="H30950" s="5">
        <v>102.5</v>
      </c>
      <c r="I30950" s="5">
        <v>0</v>
      </c>
      <c r="J30950" s="5">
        <v>0</v>
      </c>
      <c r="K30950" s="5">
        <v>0</v>
      </c>
    </row>
    <row r="30951" spans="1:11" x14ac:dyDescent="0.25">
      <c r="A30951" s="5">
        <f>30944</f>
      </c>
      <c r="B30951" s="5" t="s">
        <v>30959</v>
      </c>
      <c r="C30951" s="5">
        <v>102.8</v>
      </c>
      <c r="D30951" s="5">
        <v>0.1</v>
      </c>
      <c r="E30951" s="5">
        <v>103</v>
      </c>
      <c r="F30951" s="5">
        <v>205.8</v>
      </c>
      <c r="G30951" s="5">
        <v>102.6</v>
      </c>
      <c r="H30951" s="5">
        <v>102.5</v>
      </c>
      <c r="I30951" s="5">
        <v>0</v>
      </c>
      <c r="J30951" s="5">
        <v>0</v>
      </c>
      <c r="K30951" s="5">
        <v>0</v>
      </c>
    </row>
    <row r="30952" spans="1:11" x14ac:dyDescent="0.25">
      <c r="A30952" s="5">
        <f>30945</f>
      </c>
      <c r="B30952" s="5" t="s">
        <v>30960</v>
      </c>
      <c r="C30952" s="5">
        <v>103</v>
      </c>
      <c r="D30952" s="5">
        <v>0.1</v>
      </c>
      <c r="E30952" s="5">
        <v>103.1</v>
      </c>
      <c r="F30952" s="5">
        <v>205.8</v>
      </c>
      <c r="G30952" s="5">
        <v>102.6</v>
      </c>
      <c r="H30952" s="5">
        <v>102.5</v>
      </c>
      <c r="I30952" s="5">
        <v>0</v>
      </c>
      <c r="J30952" s="5">
        <v>0</v>
      </c>
      <c r="K30952" s="5">
        <v>0</v>
      </c>
    </row>
    <row r="30953" spans="1:11" x14ac:dyDescent="0.25">
      <c r="A30953" s="5">
        <f>30946</f>
      </c>
      <c r="B30953" s="5" t="s">
        <v>30961</v>
      </c>
      <c r="C30953" s="5">
        <v>103</v>
      </c>
      <c r="D30953" s="5">
        <v>0.1</v>
      </c>
      <c r="E30953" s="5">
        <v>103.1</v>
      </c>
      <c r="F30953" s="5">
        <v>205.8</v>
      </c>
      <c r="G30953" s="5">
        <v>102.6</v>
      </c>
      <c r="H30953" s="5">
        <v>102.4</v>
      </c>
      <c r="I30953" s="5">
        <v>0</v>
      </c>
      <c r="J30953" s="5">
        <v>0</v>
      </c>
      <c r="K30953" s="5">
        <v>0</v>
      </c>
    </row>
    <row r="30954" spans="1:11" x14ac:dyDescent="0.25">
      <c r="A30954" s="5">
        <f>30947</f>
      </c>
      <c r="B30954" s="5" t="s">
        <v>30962</v>
      </c>
      <c r="C30954" s="5">
        <v>102.9</v>
      </c>
      <c r="D30954" s="5">
        <v>0.1</v>
      </c>
      <c r="E30954" s="5">
        <v>103</v>
      </c>
      <c r="F30954" s="5">
        <v>205.4</v>
      </c>
      <c r="G30954" s="5">
        <v>102.5</v>
      </c>
      <c r="H30954" s="5">
        <v>102.4</v>
      </c>
      <c r="I30954" s="5">
        <v>0</v>
      </c>
      <c r="J30954" s="5">
        <v>0</v>
      </c>
      <c r="K30954" s="5">
        <v>0</v>
      </c>
    </row>
    <row r="30955" spans="1:11" x14ac:dyDescent="0.25">
      <c r="A30955" s="5">
        <f>30948</f>
      </c>
      <c r="B30955" s="5" t="s">
        <v>30963</v>
      </c>
      <c r="C30955" s="5">
        <v>102.9</v>
      </c>
      <c r="D30955" s="5">
        <v>0.1</v>
      </c>
      <c r="E30955" s="5">
        <v>103</v>
      </c>
      <c r="F30955" s="5">
        <v>205.4</v>
      </c>
      <c r="G30955" s="5">
        <v>102.5</v>
      </c>
      <c r="H30955" s="5">
        <v>102.4</v>
      </c>
      <c r="I30955" s="5">
        <v>0</v>
      </c>
      <c r="J30955" s="5">
        <v>0</v>
      </c>
      <c r="K30955" s="5">
        <v>0</v>
      </c>
    </row>
    <row r="30956" spans="1:11" x14ac:dyDescent="0.25">
      <c r="A30956" s="5">
        <f>30949</f>
      </c>
      <c r="B30956" s="5" t="s">
        <v>30964</v>
      </c>
      <c r="C30956" s="5">
        <v>102.3</v>
      </c>
      <c r="D30956" s="5">
        <v>0.1</v>
      </c>
      <c r="E30956" s="5">
        <v>102.4</v>
      </c>
      <c r="F30956" s="5">
        <v>205</v>
      </c>
      <c r="G30956" s="5">
        <v>102.2</v>
      </c>
      <c r="H30956" s="5">
        <v>102.1</v>
      </c>
      <c r="I30956" s="5">
        <v>0</v>
      </c>
      <c r="J30956" s="5">
        <v>0</v>
      </c>
      <c r="K30956" s="5">
        <v>0</v>
      </c>
    </row>
    <row r="30957" spans="1:11" x14ac:dyDescent="0.25">
      <c r="A30957" s="5">
        <f>30950</f>
      </c>
      <c r="B30957" s="5" t="s">
        <v>30965</v>
      </c>
      <c r="C30957" s="5">
        <v>102.3</v>
      </c>
      <c r="D30957" s="5">
        <v>0.1</v>
      </c>
      <c r="E30957" s="5">
        <v>102.4</v>
      </c>
      <c r="F30957" s="5">
        <v>205</v>
      </c>
      <c r="G30957" s="5">
        <v>102.2</v>
      </c>
      <c r="H30957" s="5">
        <v>102.1</v>
      </c>
      <c r="I30957" s="5">
        <v>0</v>
      </c>
      <c r="J30957" s="5">
        <v>0</v>
      </c>
      <c r="K30957" s="5">
        <v>0</v>
      </c>
    </row>
    <row r="30958" spans="1:11" x14ac:dyDescent="0.25">
      <c r="A30958" s="5">
        <f>30951</f>
      </c>
      <c r="B30958" s="5" t="s">
        <v>30966</v>
      </c>
      <c r="C30958" s="5">
        <v>102.3</v>
      </c>
      <c r="D30958" s="5">
        <v>0.1</v>
      </c>
      <c r="E30958" s="5">
        <v>102.4</v>
      </c>
      <c r="F30958" s="5">
        <v>205</v>
      </c>
      <c r="G30958" s="5">
        <v>102.2</v>
      </c>
      <c r="H30958" s="5">
        <v>102.1</v>
      </c>
      <c r="I30958" s="5">
        <v>0</v>
      </c>
      <c r="J30958" s="5">
        <v>0</v>
      </c>
      <c r="K30958" s="5">
        <v>0</v>
      </c>
    </row>
    <row r="30959" spans="1:11" x14ac:dyDescent="0.25">
      <c r="A30959" s="5">
        <f>30952</f>
      </c>
      <c r="B30959" s="5" t="s">
        <v>30967</v>
      </c>
      <c r="C30959" s="5">
        <v>102.9</v>
      </c>
      <c r="D30959" s="5">
        <v>0.1</v>
      </c>
      <c r="E30959" s="5">
        <v>103.1</v>
      </c>
      <c r="F30959" s="5">
        <v>205.7</v>
      </c>
      <c r="G30959" s="5">
        <v>102.7</v>
      </c>
      <c r="H30959" s="5">
        <v>102.6</v>
      </c>
      <c r="I30959" s="5">
        <v>0</v>
      </c>
      <c r="J30959" s="5">
        <v>0</v>
      </c>
      <c r="K30959" s="5">
        <v>0</v>
      </c>
    </row>
    <row r="30960" spans="1:11" x14ac:dyDescent="0.25">
      <c r="A30960" s="5">
        <f>30953</f>
      </c>
      <c r="B30960" s="5" t="s">
        <v>30968</v>
      </c>
      <c r="C30960" s="5">
        <v>102.9</v>
      </c>
      <c r="D30960" s="5">
        <v>0.1</v>
      </c>
      <c r="E30960" s="5">
        <v>103.1</v>
      </c>
      <c r="F30960" s="5">
        <v>205.7</v>
      </c>
      <c r="G30960" s="5">
        <v>102.7</v>
      </c>
      <c r="H30960" s="5">
        <v>102.6</v>
      </c>
      <c r="I30960" s="5">
        <v>0</v>
      </c>
      <c r="J30960" s="5">
        <v>0</v>
      </c>
      <c r="K30960" s="5">
        <v>0</v>
      </c>
    </row>
    <row r="30961" spans="1:11" x14ac:dyDescent="0.25">
      <c r="A30961" s="5">
        <f>30954</f>
      </c>
      <c r="B30961" s="5" t="s">
        <v>30969</v>
      </c>
      <c r="C30961" s="5">
        <v>102.8</v>
      </c>
      <c r="D30961" s="5">
        <v>0.1</v>
      </c>
      <c r="E30961" s="5">
        <v>103</v>
      </c>
      <c r="F30961" s="5">
        <v>205.6</v>
      </c>
      <c r="G30961" s="5">
        <v>102.5</v>
      </c>
      <c r="H30961" s="5">
        <v>102.4</v>
      </c>
      <c r="I30961" s="5">
        <v>0</v>
      </c>
      <c r="J30961" s="5">
        <v>0</v>
      </c>
      <c r="K30961" s="5">
        <v>0</v>
      </c>
    </row>
    <row r="30962" spans="1:11" x14ac:dyDescent="0.25">
      <c r="A30962" s="5">
        <f>30955</f>
      </c>
      <c r="B30962" s="5" t="s">
        <v>30970</v>
      </c>
      <c r="C30962" s="5">
        <v>102.8</v>
      </c>
      <c r="D30962" s="5">
        <v>0.1</v>
      </c>
      <c r="E30962" s="5">
        <v>103</v>
      </c>
      <c r="F30962" s="5">
        <v>205.6</v>
      </c>
      <c r="G30962" s="5">
        <v>102.5</v>
      </c>
      <c r="H30962" s="5">
        <v>102.4</v>
      </c>
      <c r="I30962" s="5">
        <v>0</v>
      </c>
      <c r="J30962" s="5">
        <v>0</v>
      </c>
      <c r="K30962" s="5">
        <v>0</v>
      </c>
    </row>
    <row r="30963" spans="1:11" x14ac:dyDescent="0.25">
      <c r="A30963" s="5">
        <f>30956</f>
      </c>
      <c r="B30963" s="5" t="s">
        <v>30971</v>
      </c>
      <c r="C30963" s="5">
        <v>102.5</v>
      </c>
      <c r="D30963" s="5">
        <v>0.1</v>
      </c>
      <c r="E30963" s="5">
        <v>102.7</v>
      </c>
      <c r="F30963" s="5">
        <v>205.3</v>
      </c>
      <c r="G30963" s="5">
        <v>102.4</v>
      </c>
      <c r="H30963" s="5">
        <v>102.2</v>
      </c>
      <c r="I30963" s="5">
        <v>0</v>
      </c>
      <c r="J30963" s="5">
        <v>0</v>
      </c>
      <c r="K30963" s="5">
        <v>0</v>
      </c>
    </row>
    <row r="30964" spans="1:11" x14ac:dyDescent="0.25">
      <c r="A30964" s="5">
        <f>30957</f>
      </c>
      <c r="B30964" s="5" t="s">
        <v>30972</v>
      </c>
      <c r="C30964" s="5">
        <v>102.5</v>
      </c>
      <c r="D30964" s="5">
        <v>0.1</v>
      </c>
      <c r="E30964" s="5">
        <v>102.7</v>
      </c>
      <c r="F30964" s="5">
        <v>205.3</v>
      </c>
      <c r="G30964" s="5">
        <v>102.4</v>
      </c>
      <c r="H30964" s="5">
        <v>102.2</v>
      </c>
      <c r="I30964" s="5">
        <v>0</v>
      </c>
      <c r="J30964" s="5">
        <v>0</v>
      </c>
      <c r="K30964" s="5">
        <v>0</v>
      </c>
    </row>
    <row r="30965" spans="1:11" x14ac:dyDescent="0.25">
      <c r="A30965" s="5">
        <f>30958</f>
      </c>
      <c r="B30965" s="5" t="s">
        <v>30973</v>
      </c>
      <c r="C30965" s="5">
        <v>102.2</v>
      </c>
      <c r="D30965" s="5">
        <v>0.1</v>
      </c>
      <c r="E30965" s="5">
        <v>102.4</v>
      </c>
      <c r="F30965" s="5">
        <v>204.7</v>
      </c>
      <c r="G30965" s="5">
        <v>102.1</v>
      </c>
      <c r="H30965" s="5">
        <v>102</v>
      </c>
      <c r="I30965" s="5">
        <v>0</v>
      </c>
      <c r="J30965" s="5">
        <v>0</v>
      </c>
      <c r="K30965" s="5">
        <v>0</v>
      </c>
    </row>
    <row r="30966" spans="1:11" x14ac:dyDescent="0.25">
      <c r="A30966" s="5">
        <f>30959</f>
      </c>
      <c r="B30966" s="5" t="s">
        <v>30974</v>
      </c>
      <c r="C30966" s="5">
        <v>102.2</v>
      </c>
      <c r="D30966" s="5">
        <v>0.1</v>
      </c>
      <c r="E30966" s="5">
        <v>102.4</v>
      </c>
      <c r="F30966" s="5">
        <v>204.7</v>
      </c>
      <c r="G30966" s="5">
        <v>102.1</v>
      </c>
      <c r="H30966" s="5">
        <v>102</v>
      </c>
      <c r="I30966" s="5">
        <v>0</v>
      </c>
      <c r="J30966" s="5">
        <v>0</v>
      </c>
      <c r="K30966" s="5">
        <v>0</v>
      </c>
    </row>
    <row r="30967" spans="1:11" x14ac:dyDescent="0.25">
      <c r="A30967" s="5">
        <f>30960</f>
      </c>
      <c r="B30967" s="5" t="s">
        <v>30975</v>
      </c>
      <c r="C30967" s="5">
        <v>102.2</v>
      </c>
      <c r="D30967" s="5">
        <v>0.1</v>
      </c>
      <c r="E30967" s="5">
        <v>102.4</v>
      </c>
      <c r="F30967" s="5">
        <v>204.7</v>
      </c>
      <c r="G30967" s="5">
        <v>102.1</v>
      </c>
      <c r="H30967" s="5">
        <v>102</v>
      </c>
      <c r="I30967" s="5">
        <v>0</v>
      </c>
      <c r="J30967" s="5">
        <v>0</v>
      </c>
      <c r="K30967" s="5">
        <v>0</v>
      </c>
    </row>
    <row r="30968" spans="1:11" x14ac:dyDescent="0.25">
      <c r="A30968" s="5">
        <f>30961</f>
      </c>
      <c r="B30968" s="5" t="s">
        <v>30976</v>
      </c>
      <c r="C30968" s="5">
        <v>102.2</v>
      </c>
      <c r="D30968" s="5">
        <v>0.1</v>
      </c>
      <c r="E30968" s="5">
        <v>102.4</v>
      </c>
      <c r="F30968" s="5">
        <v>204.7</v>
      </c>
      <c r="G30968" s="5">
        <v>102.1</v>
      </c>
      <c r="H30968" s="5">
        <v>102</v>
      </c>
      <c r="I30968" s="5">
        <v>0</v>
      </c>
      <c r="J30968" s="5">
        <v>0</v>
      </c>
      <c r="K30968" s="5">
        <v>0</v>
      </c>
    </row>
    <row r="30969" spans="1:11" x14ac:dyDescent="0.25">
      <c r="A30969" s="5">
        <f>30962</f>
      </c>
      <c r="B30969" s="5" t="s">
        <v>30977</v>
      </c>
      <c r="C30969" s="5">
        <v>102.3</v>
      </c>
      <c r="D30969" s="5">
        <v>0.1</v>
      </c>
      <c r="E30969" s="5">
        <v>102.4</v>
      </c>
      <c r="F30969" s="5">
        <v>205.4</v>
      </c>
      <c r="G30969" s="5">
        <v>102.2</v>
      </c>
      <c r="H30969" s="5">
        <v>101.9</v>
      </c>
      <c r="I30969" s="5">
        <v>0</v>
      </c>
      <c r="J30969" s="5">
        <v>0</v>
      </c>
      <c r="K30969" s="5">
        <v>0</v>
      </c>
    </row>
    <row r="30970" spans="1:11" x14ac:dyDescent="0.25">
      <c r="A30970" s="5">
        <f>30963</f>
      </c>
      <c r="B30970" s="5" t="s">
        <v>30978</v>
      </c>
      <c r="C30970" s="5">
        <v>102.3</v>
      </c>
      <c r="D30970" s="5">
        <v>0.1</v>
      </c>
      <c r="E30970" s="5">
        <v>102.4</v>
      </c>
      <c r="F30970" s="5">
        <v>205.4</v>
      </c>
      <c r="G30970" s="5">
        <v>102.2</v>
      </c>
      <c r="H30970" s="5">
        <v>101.9</v>
      </c>
      <c r="I30970" s="5">
        <v>0</v>
      </c>
      <c r="J30970" s="5">
        <v>0</v>
      </c>
      <c r="K30970" s="5">
        <v>0</v>
      </c>
    </row>
    <row r="30971" spans="1:11" x14ac:dyDescent="0.25">
      <c r="A30971" s="5">
        <f>30964</f>
      </c>
      <c r="B30971" s="5" t="s">
        <v>30979</v>
      </c>
      <c r="C30971" s="5">
        <v>102.5</v>
      </c>
      <c r="D30971" s="5">
        <v>0.1</v>
      </c>
      <c r="E30971" s="5">
        <v>102.6</v>
      </c>
      <c r="F30971" s="5">
        <v>205.7</v>
      </c>
      <c r="G30971" s="5">
        <v>102.4</v>
      </c>
      <c r="H30971" s="5">
        <v>102.1</v>
      </c>
      <c r="I30971" s="5">
        <v>0</v>
      </c>
      <c r="J30971" s="5">
        <v>0</v>
      </c>
      <c r="K30971" s="5">
        <v>0</v>
      </c>
    </row>
    <row r="30972" spans="1:11" x14ac:dyDescent="0.25">
      <c r="A30972" s="5">
        <f>30965</f>
      </c>
      <c r="B30972" s="5" t="s">
        <v>30980</v>
      </c>
      <c r="C30972" s="5">
        <v>102.5</v>
      </c>
      <c r="D30972" s="5">
        <v>0.1</v>
      </c>
      <c r="E30972" s="5">
        <v>102.6</v>
      </c>
      <c r="F30972" s="5">
        <v>205.7</v>
      </c>
      <c r="G30972" s="5">
        <v>102.4</v>
      </c>
      <c r="H30972" s="5">
        <v>102.1</v>
      </c>
      <c r="I30972" s="5">
        <v>0</v>
      </c>
      <c r="J30972" s="5">
        <v>0</v>
      </c>
      <c r="K30972" s="5">
        <v>0</v>
      </c>
    </row>
    <row r="30973" spans="1:11" x14ac:dyDescent="0.25">
      <c r="A30973" s="5">
        <f>30966</f>
      </c>
      <c r="B30973" s="5" t="s">
        <v>30981</v>
      </c>
      <c r="C30973" s="5">
        <v>102.4</v>
      </c>
      <c r="D30973" s="5">
        <v>0.1</v>
      </c>
      <c r="E30973" s="5">
        <v>102.6</v>
      </c>
      <c r="F30973" s="5">
        <v>204.8</v>
      </c>
      <c r="G30973" s="5">
        <v>102.2</v>
      </c>
      <c r="H30973" s="5">
        <v>102</v>
      </c>
      <c r="I30973" s="5">
        <v>0</v>
      </c>
      <c r="J30973" s="5">
        <v>0</v>
      </c>
      <c r="K30973" s="5">
        <v>0</v>
      </c>
    </row>
    <row r="30974" spans="1:11" x14ac:dyDescent="0.25">
      <c r="A30974" s="5">
        <f>30967</f>
      </c>
      <c r="B30974" s="5" t="s">
        <v>30982</v>
      </c>
      <c r="C30974" s="5">
        <v>102.4</v>
      </c>
      <c r="D30974" s="5">
        <v>0.1</v>
      </c>
      <c r="E30974" s="5">
        <v>102.6</v>
      </c>
      <c r="F30974" s="5">
        <v>204.8</v>
      </c>
      <c r="G30974" s="5">
        <v>102.2</v>
      </c>
      <c r="H30974" s="5">
        <v>102</v>
      </c>
      <c r="I30974" s="5">
        <v>0</v>
      </c>
      <c r="J30974" s="5">
        <v>0</v>
      </c>
      <c r="K30974" s="5">
        <v>0</v>
      </c>
    </row>
    <row r="30975" spans="1:11" x14ac:dyDescent="0.25">
      <c r="A30975" s="5">
        <f>30968</f>
      </c>
      <c r="B30975" s="5" t="s">
        <v>30983</v>
      </c>
      <c r="C30975" s="5">
        <v>103.5</v>
      </c>
      <c r="D30975" s="5">
        <v>0.1</v>
      </c>
      <c r="E30975" s="5">
        <v>103.7</v>
      </c>
      <c r="F30975" s="5">
        <v>206.3</v>
      </c>
      <c r="G30975" s="5">
        <v>103</v>
      </c>
      <c r="H30975" s="5">
        <v>102.8</v>
      </c>
      <c r="I30975" s="5">
        <v>0</v>
      </c>
      <c r="J30975" s="5">
        <v>0</v>
      </c>
      <c r="K30975" s="5">
        <v>0</v>
      </c>
    </row>
    <row r="30976" spans="1:11" x14ac:dyDescent="0.25">
      <c r="A30976" s="5">
        <f>30969</f>
      </c>
      <c r="B30976" s="5" t="s">
        <v>30984</v>
      </c>
      <c r="C30976" s="5">
        <v>103.5</v>
      </c>
      <c r="D30976" s="5">
        <v>0.1</v>
      </c>
      <c r="E30976" s="5">
        <v>103.7</v>
      </c>
      <c r="F30976" s="5">
        <v>206.3</v>
      </c>
      <c r="G30976" s="5">
        <v>103</v>
      </c>
      <c r="H30976" s="5">
        <v>102.8</v>
      </c>
      <c r="I30976" s="5">
        <v>0</v>
      </c>
      <c r="J30976" s="5">
        <v>0</v>
      </c>
      <c r="K30976" s="5">
        <v>0</v>
      </c>
    </row>
    <row r="30977" spans="1:11" x14ac:dyDescent="0.25">
      <c r="A30977" s="5">
        <f>30970</f>
      </c>
      <c r="B30977" s="5" t="s">
        <v>30985</v>
      </c>
      <c r="C30977" s="5">
        <v>103.5</v>
      </c>
      <c r="D30977" s="5">
        <v>0.1</v>
      </c>
      <c r="E30977" s="5">
        <v>103.7</v>
      </c>
      <c r="F30977" s="5">
        <v>206.3</v>
      </c>
      <c r="G30977" s="5">
        <v>103</v>
      </c>
      <c r="H30977" s="5">
        <v>102.8</v>
      </c>
      <c r="I30977" s="5">
        <v>0</v>
      </c>
      <c r="J30977" s="5">
        <v>0</v>
      </c>
      <c r="K30977" s="5">
        <v>0</v>
      </c>
    </row>
    <row r="30978" spans="1:11" x14ac:dyDescent="0.25">
      <c r="A30978" s="5">
        <f>30971</f>
      </c>
      <c r="B30978" s="5" t="s">
        <v>30986</v>
      </c>
      <c r="C30978" s="5">
        <v>103.5</v>
      </c>
      <c r="D30978" s="5">
        <v>0.1</v>
      </c>
      <c r="E30978" s="5">
        <v>103.7</v>
      </c>
      <c r="F30978" s="5">
        <v>206.3</v>
      </c>
      <c r="G30978" s="5">
        <v>103</v>
      </c>
      <c r="H30978" s="5">
        <v>102.8</v>
      </c>
      <c r="I30978" s="5">
        <v>0</v>
      </c>
      <c r="J30978" s="5">
        <v>0</v>
      </c>
      <c r="K30978" s="5">
        <v>0</v>
      </c>
    </row>
    <row r="30979" spans="1:11" x14ac:dyDescent="0.25">
      <c r="A30979" s="5">
        <f>30972</f>
      </c>
      <c r="B30979" s="5" t="s">
        <v>30987</v>
      </c>
      <c r="C30979" s="5">
        <v>103.3</v>
      </c>
      <c r="D30979" s="5">
        <v>0.1</v>
      </c>
      <c r="E30979" s="5">
        <v>103.4</v>
      </c>
      <c r="F30979" s="5">
        <v>205.6</v>
      </c>
      <c r="G30979" s="5">
        <v>102.5</v>
      </c>
      <c r="H30979" s="5">
        <v>102.3</v>
      </c>
      <c r="I30979" s="5">
        <v>0</v>
      </c>
      <c r="J30979" s="5">
        <v>0</v>
      </c>
      <c r="K30979" s="5">
        <v>0</v>
      </c>
    </row>
    <row r="30980" spans="1:11" x14ac:dyDescent="0.25">
      <c r="A30980" s="5">
        <f>30973</f>
      </c>
      <c r="B30980" s="5" t="s">
        <v>30988</v>
      </c>
      <c r="C30980" s="5">
        <v>103.3</v>
      </c>
      <c r="D30980" s="5">
        <v>0.1</v>
      </c>
      <c r="E30980" s="5">
        <v>103.4</v>
      </c>
      <c r="F30980" s="5">
        <v>205.6</v>
      </c>
      <c r="G30980" s="5">
        <v>102.5</v>
      </c>
      <c r="H30980" s="5">
        <v>102.3</v>
      </c>
      <c r="I30980" s="5">
        <v>0</v>
      </c>
      <c r="J30980" s="5">
        <v>0</v>
      </c>
      <c r="K30980" s="5">
        <v>0</v>
      </c>
    </row>
    <row r="30981" spans="1:11" x14ac:dyDescent="0.25">
      <c r="A30981" s="5">
        <f>30974</f>
      </c>
      <c r="B30981" s="5" t="s">
        <v>30989</v>
      </c>
      <c r="C30981" s="5">
        <v>103</v>
      </c>
      <c r="D30981" s="5">
        <v>0.1</v>
      </c>
      <c r="E30981" s="5">
        <v>103.1</v>
      </c>
      <c r="F30981" s="5">
        <v>205.6</v>
      </c>
      <c r="G30981" s="5">
        <v>102.5</v>
      </c>
      <c r="H30981" s="5">
        <v>102.5</v>
      </c>
      <c r="I30981" s="5">
        <v>0</v>
      </c>
      <c r="J30981" s="5">
        <v>0</v>
      </c>
      <c r="K30981" s="5">
        <v>0</v>
      </c>
    </row>
    <row r="30982" spans="1:11" x14ac:dyDescent="0.25">
      <c r="A30982" s="5">
        <f>30975</f>
      </c>
      <c r="B30982" s="5" t="s">
        <v>30990</v>
      </c>
      <c r="C30982" s="5">
        <v>103</v>
      </c>
      <c r="D30982" s="5">
        <v>0.1</v>
      </c>
      <c r="E30982" s="5">
        <v>103.1</v>
      </c>
      <c r="F30982" s="5">
        <v>205.6</v>
      </c>
      <c r="G30982" s="5">
        <v>102.5</v>
      </c>
      <c r="H30982" s="5">
        <v>102.5</v>
      </c>
      <c r="I30982" s="5">
        <v>0</v>
      </c>
      <c r="J30982" s="5">
        <v>0</v>
      </c>
      <c r="K30982" s="5">
        <v>0</v>
      </c>
    </row>
    <row r="30983" spans="1:11" x14ac:dyDescent="0.25">
      <c r="A30983" s="5">
        <f>30976</f>
      </c>
      <c r="B30983" s="5" t="s">
        <v>30991</v>
      </c>
      <c r="C30983" s="5">
        <v>103.6</v>
      </c>
      <c r="D30983" s="5">
        <v>0.1</v>
      </c>
      <c r="E30983" s="5">
        <v>103.7</v>
      </c>
      <c r="F30983" s="5">
        <v>206.7</v>
      </c>
      <c r="G30983" s="5">
        <v>103.2</v>
      </c>
      <c r="H30983" s="5">
        <v>103</v>
      </c>
      <c r="I30983" s="5">
        <v>0</v>
      </c>
      <c r="J30983" s="5">
        <v>0</v>
      </c>
      <c r="K30983" s="5">
        <v>0</v>
      </c>
    </row>
    <row r="30984" spans="1:11" x14ac:dyDescent="0.25">
      <c r="A30984" s="5">
        <f>30977</f>
      </c>
      <c r="B30984" s="5" t="s">
        <v>30992</v>
      </c>
      <c r="C30984" s="5">
        <v>103.6</v>
      </c>
      <c r="D30984" s="5">
        <v>0.1</v>
      </c>
      <c r="E30984" s="5">
        <v>103.7</v>
      </c>
      <c r="F30984" s="5">
        <v>206.7</v>
      </c>
      <c r="G30984" s="5">
        <v>103.2</v>
      </c>
      <c r="H30984" s="5">
        <v>103</v>
      </c>
      <c r="I30984" s="5">
        <v>0</v>
      </c>
      <c r="J30984" s="5">
        <v>0</v>
      </c>
      <c r="K30984" s="5">
        <v>0</v>
      </c>
    </row>
    <row r="30985" spans="1:11" x14ac:dyDescent="0.25">
      <c r="A30985" s="5">
        <f>30978</f>
      </c>
      <c r="B30985" s="5" t="s">
        <v>30993</v>
      </c>
      <c r="C30985" s="5">
        <v>103.7</v>
      </c>
      <c r="D30985" s="5">
        <v>0.1</v>
      </c>
      <c r="E30985" s="5">
        <v>103.9</v>
      </c>
      <c r="F30985" s="5">
        <v>207.1</v>
      </c>
      <c r="G30985" s="5">
        <v>103.3</v>
      </c>
      <c r="H30985" s="5">
        <v>103.1</v>
      </c>
      <c r="I30985" s="5">
        <v>0</v>
      </c>
      <c r="J30985" s="5">
        <v>0</v>
      </c>
      <c r="K30985" s="5">
        <v>0</v>
      </c>
    </row>
    <row r="30986" spans="1:11" x14ac:dyDescent="0.25">
      <c r="A30986" s="5">
        <f>30979</f>
      </c>
      <c r="B30986" s="5" t="s">
        <v>30994</v>
      </c>
      <c r="C30986" s="5">
        <v>103.7</v>
      </c>
      <c r="D30986" s="5">
        <v>0.1</v>
      </c>
      <c r="E30986" s="5">
        <v>103.9</v>
      </c>
      <c r="F30986" s="5">
        <v>207.1</v>
      </c>
      <c r="G30986" s="5">
        <v>103.3</v>
      </c>
      <c r="H30986" s="5">
        <v>103.1</v>
      </c>
      <c r="I30986" s="5">
        <v>0</v>
      </c>
      <c r="J30986" s="5">
        <v>0</v>
      </c>
      <c r="K30986" s="5">
        <v>0</v>
      </c>
    </row>
    <row r="30987" spans="1:11" x14ac:dyDescent="0.25">
      <c r="A30987" s="5">
        <f>30980</f>
      </c>
      <c r="B30987" s="5" t="s">
        <v>30995</v>
      </c>
      <c r="C30987" s="5">
        <v>103.7</v>
      </c>
      <c r="D30987" s="5">
        <v>0.1</v>
      </c>
      <c r="E30987" s="5">
        <v>103.9</v>
      </c>
      <c r="F30987" s="5">
        <v>207.1</v>
      </c>
      <c r="G30987" s="5">
        <v>103.3</v>
      </c>
      <c r="H30987" s="5">
        <v>103.1</v>
      </c>
      <c r="I30987" s="5">
        <v>0</v>
      </c>
      <c r="J30987" s="5">
        <v>0</v>
      </c>
      <c r="K30987" s="5">
        <v>0</v>
      </c>
    </row>
    <row r="30988" spans="1:11" x14ac:dyDescent="0.25">
      <c r="A30988" s="5">
        <f>30981</f>
      </c>
      <c r="B30988" s="5" t="s">
        <v>30996</v>
      </c>
      <c r="C30988" s="5">
        <v>103.7</v>
      </c>
      <c r="D30988" s="5">
        <v>0.1</v>
      </c>
      <c r="E30988" s="5">
        <v>103.9</v>
      </c>
      <c r="F30988" s="5">
        <v>207.1</v>
      </c>
      <c r="G30988" s="5">
        <v>103.3</v>
      </c>
      <c r="H30988" s="5">
        <v>103.1</v>
      </c>
      <c r="I30988" s="5">
        <v>0</v>
      </c>
      <c r="J30988" s="5">
        <v>0</v>
      </c>
      <c r="K30988" s="5">
        <v>0</v>
      </c>
    </row>
    <row r="30989" spans="1:11" x14ac:dyDescent="0.25">
      <c r="A30989" s="5">
        <f>30982</f>
      </c>
      <c r="B30989" s="5" t="s">
        <v>30997</v>
      </c>
      <c r="C30989" s="5">
        <v>103.3</v>
      </c>
      <c r="D30989" s="5">
        <v>0.1</v>
      </c>
      <c r="E30989" s="5">
        <v>103.4</v>
      </c>
      <c r="F30989" s="5">
        <v>206.1</v>
      </c>
      <c r="G30989" s="5">
        <v>102.8</v>
      </c>
      <c r="H30989" s="5">
        <v>102.7</v>
      </c>
      <c r="I30989" s="5">
        <v>0</v>
      </c>
      <c r="J30989" s="5">
        <v>0</v>
      </c>
      <c r="K30989" s="5">
        <v>0</v>
      </c>
    </row>
    <row r="30990" spans="1:11" x14ac:dyDescent="0.25">
      <c r="A30990" s="5">
        <f>30983</f>
      </c>
      <c r="B30990" s="5" t="s">
        <v>30998</v>
      </c>
      <c r="C30990" s="5">
        <v>103.3</v>
      </c>
      <c r="D30990" s="5">
        <v>0.1</v>
      </c>
      <c r="E30990" s="5">
        <v>103.4</v>
      </c>
      <c r="F30990" s="5">
        <v>206.1</v>
      </c>
      <c r="G30990" s="5">
        <v>102.8</v>
      </c>
      <c r="H30990" s="5">
        <v>102.7</v>
      </c>
      <c r="I30990" s="5">
        <v>0</v>
      </c>
      <c r="J30990" s="5">
        <v>0</v>
      </c>
      <c r="K30990" s="5">
        <v>0</v>
      </c>
    </row>
    <row r="30991" spans="1:11" x14ac:dyDescent="0.25">
      <c r="A30991" s="5">
        <f>30984</f>
      </c>
      <c r="B30991" s="5" t="s">
        <v>30999</v>
      </c>
      <c r="C30991" s="5">
        <v>102.9</v>
      </c>
      <c r="D30991" s="5">
        <v>0.1</v>
      </c>
      <c r="E30991" s="5">
        <v>103.1</v>
      </c>
      <c r="F30991" s="5">
        <v>205.2</v>
      </c>
      <c r="G30991" s="5">
        <v>102.4</v>
      </c>
      <c r="H30991" s="5">
        <v>102.3</v>
      </c>
      <c r="I30991" s="5">
        <v>0</v>
      </c>
      <c r="J30991" s="5">
        <v>0</v>
      </c>
      <c r="K30991" s="5">
        <v>0</v>
      </c>
    </row>
    <row r="30992" spans="1:11" x14ac:dyDescent="0.25">
      <c r="A30992" s="5">
        <f>30985</f>
      </c>
      <c r="B30992" s="5" t="s">
        <v>31000</v>
      </c>
      <c r="C30992" s="5">
        <v>102.9</v>
      </c>
      <c r="D30992" s="5">
        <v>0.1</v>
      </c>
      <c r="E30992" s="5">
        <v>103.1</v>
      </c>
      <c r="F30992" s="5">
        <v>205.2</v>
      </c>
      <c r="G30992" s="5">
        <v>102.4</v>
      </c>
      <c r="H30992" s="5">
        <v>102.3</v>
      </c>
      <c r="I30992" s="5">
        <v>0</v>
      </c>
      <c r="J30992" s="5">
        <v>0</v>
      </c>
      <c r="K30992" s="5">
        <v>0</v>
      </c>
    </row>
    <row r="30993" spans="1:11" x14ac:dyDescent="0.25">
      <c r="A30993" s="5">
        <f>30986</f>
      </c>
      <c r="B30993" s="5" t="s">
        <v>31001</v>
      </c>
      <c r="C30993" s="5">
        <v>102.7</v>
      </c>
      <c r="D30993" s="5">
        <v>0.1</v>
      </c>
      <c r="E30993" s="5">
        <v>102.8</v>
      </c>
      <c r="F30993" s="5">
        <v>205.5</v>
      </c>
      <c r="G30993" s="5">
        <v>102.4</v>
      </c>
      <c r="H30993" s="5">
        <v>102.4</v>
      </c>
      <c r="I30993" s="5">
        <v>0</v>
      </c>
      <c r="J30993" s="5">
        <v>0</v>
      </c>
      <c r="K30993" s="5">
        <v>0</v>
      </c>
    </row>
    <row r="30994" spans="1:11" x14ac:dyDescent="0.25">
      <c r="A30994" s="5">
        <f>30987</f>
      </c>
      <c r="B30994" s="5" t="s">
        <v>31002</v>
      </c>
      <c r="C30994" s="5">
        <v>102.7</v>
      </c>
      <c r="D30994" s="5">
        <v>0.1</v>
      </c>
      <c r="E30994" s="5">
        <v>102.8</v>
      </c>
      <c r="F30994" s="5">
        <v>205.5</v>
      </c>
      <c r="G30994" s="5">
        <v>102.5</v>
      </c>
      <c r="H30994" s="5">
        <v>102.4</v>
      </c>
      <c r="I30994" s="5">
        <v>0</v>
      </c>
      <c r="J30994" s="5">
        <v>0</v>
      </c>
      <c r="K30994" s="5">
        <v>0</v>
      </c>
    </row>
    <row r="30995" spans="1:11" x14ac:dyDescent="0.25">
      <c r="A30995" s="5">
        <f>30988</f>
      </c>
      <c r="B30995" s="5" t="s">
        <v>31003</v>
      </c>
      <c r="C30995" s="5">
        <v>103.3</v>
      </c>
      <c r="D30995" s="5">
        <v>0.1</v>
      </c>
      <c r="E30995" s="5">
        <v>102.8</v>
      </c>
      <c r="F30995" s="5">
        <v>205.5</v>
      </c>
      <c r="G30995" s="5">
        <v>102.5</v>
      </c>
      <c r="H30995" s="5">
        <v>102.7</v>
      </c>
      <c r="I30995" s="5">
        <v>0</v>
      </c>
      <c r="J30995" s="5">
        <v>0</v>
      </c>
      <c r="K30995" s="5">
        <v>0</v>
      </c>
    </row>
    <row r="30996" spans="1:11" x14ac:dyDescent="0.25">
      <c r="A30996" s="5">
        <f>30989</f>
      </c>
      <c r="B30996" s="5" t="s">
        <v>31004</v>
      </c>
      <c r="C30996" s="5">
        <v>103.3</v>
      </c>
      <c r="D30996" s="5">
        <v>0.1</v>
      </c>
      <c r="E30996" s="5">
        <v>103.4</v>
      </c>
      <c r="F30996" s="5">
        <v>206.1</v>
      </c>
      <c r="G30996" s="5">
        <v>102.8</v>
      </c>
      <c r="H30996" s="5">
        <v>102.7</v>
      </c>
      <c r="I30996" s="5">
        <v>0</v>
      </c>
      <c r="J30996" s="5">
        <v>0</v>
      </c>
      <c r="K30996" s="5">
        <v>0</v>
      </c>
    </row>
    <row r="30997" spans="1:11" x14ac:dyDescent="0.25">
      <c r="A30997" s="5">
        <f>30990</f>
      </c>
      <c r="B30997" s="5" t="s">
        <v>31005</v>
      </c>
      <c r="C30997" s="5">
        <v>103.3</v>
      </c>
      <c r="D30997" s="5">
        <v>0.1</v>
      </c>
      <c r="E30997" s="5">
        <v>103.4</v>
      </c>
      <c r="F30997" s="5">
        <v>206.1</v>
      </c>
      <c r="G30997" s="5">
        <v>102.8</v>
      </c>
      <c r="H30997" s="5">
        <v>102.7</v>
      </c>
      <c r="I30997" s="5">
        <v>0</v>
      </c>
      <c r="J30997" s="5">
        <v>0</v>
      </c>
      <c r="K30997" s="5">
        <v>0</v>
      </c>
    </row>
    <row r="30998" spans="1:11" x14ac:dyDescent="0.25">
      <c r="A30998" s="5">
        <f>30991</f>
      </c>
      <c r="B30998" s="5" t="s">
        <v>31006</v>
      </c>
      <c r="C30998" s="5">
        <v>103.3</v>
      </c>
      <c r="D30998" s="5">
        <v>0.1</v>
      </c>
      <c r="E30998" s="5">
        <v>103.4</v>
      </c>
      <c r="F30998" s="5">
        <v>206.1</v>
      </c>
      <c r="G30998" s="5">
        <v>102.8</v>
      </c>
      <c r="H30998" s="5">
        <v>102.7</v>
      </c>
      <c r="I30998" s="5">
        <v>0</v>
      </c>
      <c r="J30998" s="5">
        <v>0</v>
      </c>
      <c r="K30998" s="5">
        <v>0</v>
      </c>
    </row>
    <row r="30999" spans="1:11" x14ac:dyDescent="0.25">
      <c r="A30999" s="5">
        <f>30992</f>
      </c>
      <c r="B30999" s="5" t="s">
        <v>31007</v>
      </c>
      <c r="C30999" s="5">
        <v>102.7</v>
      </c>
      <c r="D30999" s="5">
        <v>0.1</v>
      </c>
      <c r="E30999" s="5">
        <v>102.8</v>
      </c>
      <c r="F30999" s="5">
        <v>205.2</v>
      </c>
      <c r="G30999" s="5">
        <v>102.4</v>
      </c>
      <c r="H30999" s="5">
        <v>102.2</v>
      </c>
      <c r="I30999" s="5">
        <v>0</v>
      </c>
      <c r="J30999" s="5">
        <v>0</v>
      </c>
      <c r="K30999" s="5">
        <v>0</v>
      </c>
    </row>
    <row r="31000" spans="1:11" x14ac:dyDescent="0.25">
      <c r="A31000" s="5">
        <f>30993</f>
      </c>
      <c r="B31000" s="5" t="s">
        <v>31008</v>
      </c>
      <c r="C31000" s="5">
        <v>102.7</v>
      </c>
      <c r="D31000" s="5">
        <v>0.1</v>
      </c>
      <c r="E31000" s="5">
        <v>102.8</v>
      </c>
      <c r="F31000" s="5">
        <v>205.2</v>
      </c>
      <c r="G31000" s="5">
        <v>102.4</v>
      </c>
      <c r="H31000" s="5">
        <v>102.2</v>
      </c>
      <c r="I31000" s="5">
        <v>0</v>
      </c>
      <c r="J31000" s="5">
        <v>0</v>
      </c>
      <c r="K31000" s="5">
        <v>0</v>
      </c>
    </row>
    <row r="31001" spans="1:11" x14ac:dyDescent="0.25">
      <c r="A31001" s="5">
        <f>30994</f>
      </c>
      <c r="B31001" s="5" t="s">
        <v>31009</v>
      </c>
      <c r="C31001" s="5">
        <v>103.1</v>
      </c>
      <c r="D31001" s="5">
        <v>0.1</v>
      </c>
      <c r="E31001" s="5">
        <v>103.2</v>
      </c>
      <c r="F31001" s="5">
        <v>206.3</v>
      </c>
      <c r="G31001" s="5">
        <v>102.9</v>
      </c>
      <c r="H31001" s="5">
        <v>102.7</v>
      </c>
      <c r="I31001" s="5">
        <v>0</v>
      </c>
      <c r="J31001" s="5">
        <v>0</v>
      </c>
      <c r="K31001" s="5">
        <v>0</v>
      </c>
    </row>
    <row r="31002" spans="1:11" x14ac:dyDescent="0.25">
      <c r="A31002" s="5">
        <f>30995</f>
      </c>
      <c r="B31002" s="5" t="s">
        <v>31010</v>
      </c>
      <c r="C31002" s="5">
        <v>103.1</v>
      </c>
      <c r="D31002" s="5">
        <v>0.1</v>
      </c>
      <c r="E31002" s="5">
        <v>103.2</v>
      </c>
      <c r="F31002" s="5">
        <v>206.3</v>
      </c>
      <c r="G31002" s="5">
        <v>102.9</v>
      </c>
      <c r="H31002" s="5">
        <v>102.7</v>
      </c>
      <c r="I31002" s="5">
        <v>0</v>
      </c>
      <c r="J31002" s="5">
        <v>0</v>
      </c>
      <c r="K31002" s="5">
        <v>0</v>
      </c>
    </row>
    <row r="31003" spans="1:11" x14ac:dyDescent="0.25">
      <c r="A31003" s="5">
        <f>30996</f>
      </c>
      <c r="B31003" s="5" t="s">
        <v>31011</v>
      </c>
      <c r="C31003" s="5">
        <v>103</v>
      </c>
      <c r="D31003" s="5">
        <v>0.1</v>
      </c>
      <c r="E31003" s="5">
        <v>103.1</v>
      </c>
      <c r="F31003" s="5">
        <v>205.6</v>
      </c>
      <c r="G31003" s="5">
        <v>102.6</v>
      </c>
      <c r="H31003" s="5">
        <v>102.5</v>
      </c>
      <c r="I31003" s="5">
        <v>0</v>
      </c>
      <c r="J31003" s="5">
        <v>0</v>
      </c>
      <c r="K31003" s="5">
        <v>0</v>
      </c>
    </row>
    <row r="31004" spans="1:11" x14ac:dyDescent="0.25">
      <c r="A31004" s="5">
        <f>30997</f>
      </c>
      <c r="B31004" s="5" t="s">
        <v>31012</v>
      </c>
      <c r="C31004" s="5">
        <v>103</v>
      </c>
      <c r="D31004" s="5">
        <v>0.1</v>
      </c>
      <c r="E31004" s="5">
        <v>103.1</v>
      </c>
      <c r="F31004" s="5">
        <v>205.6</v>
      </c>
      <c r="G31004" s="5">
        <v>102.6</v>
      </c>
      <c r="H31004" s="5">
        <v>102.5</v>
      </c>
      <c r="I31004" s="5">
        <v>0</v>
      </c>
      <c r="J31004" s="5">
        <v>0</v>
      </c>
      <c r="K31004" s="5">
        <v>0</v>
      </c>
    </row>
    <row r="31005" spans="1:11" x14ac:dyDescent="0.25">
      <c r="A31005" s="5">
        <f>30998</f>
      </c>
      <c r="B31005" s="5" t="s">
        <v>31013</v>
      </c>
      <c r="C31005" s="5">
        <v>102.7</v>
      </c>
      <c r="D31005" s="5">
        <v>0.1</v>
      </c>
      <c r="E31005" s="5">
        <v>102.8</v>
      </c>
      <c r="F31005" s="5">
        <v>205.6</v>
      </c>
      <c r="G31005" s="5">
        <v>102.6</v>
      </c>
      <c r="H31005" s="5">
        <v>102.4</v>
      </c>
      <c r="I31005" s="5">
        <v>0</v>
      </c>
      <c r="J31005" s="5">
        <v>0</v>
      </c>
      <c r="K31005" s="5">
        <v>0</v>
      </c>
    </row>
    <row r="31006" spans="1:11" x14ac:dyDescent="0.25">
      <c r="A31006" s="5">
        <f>30999</f>
      </c>
      <c r="B31006" s="5" t="s">
        <v>31014</v>
      </c>
      <c r="C31006" s="5">
        <v>102.7</v>
      </c>
      <c r="D31006" s="5">
        <v>0.1</v>
      </c>
      <c r="E31006" s="5">
        <v>102.8</v>
      </c>
      <c r="F31006" s="5">
        <v>205.6</v>
      </c>
      <c r="G31006" s="5">
        <v>102.6</v>
      </c>
      <c r="H31006" s="5">
        <v>102.4</v>
      </c>
      <c r="I31006" s="5">
        <v>0</v>
      </c>
      <c r="J31006" s="5">
        <v>0</v>
      </c>
      <c r="K31006" s="5">
        <v>0</v>
      </c>
    </row>
    <row r="31007" spans="1:11" x14ac:dyDescent="0.25">
      <c r="A31007" s="5">
        <f>31000</f>
      </c>
      <c r="B31007" s="5" t="s">
        <v>31015</v>
      </c>
      <c r="C31007" s="5">
        <v>102.7</v>
      </c>
      <c r="D31007" s="5">
        <v>0.1</v>
      </c>
      <c r="E31007" s="5">
        <v>102.8</v>
      </c>
      <c r="F31007" s="5">
        <v>205.6</v>
      </c>
      <c r="G31007" s="5">
        <v>102.6</v>
      </c>
      <c r="H31007" s="5">
        <v>102.4</v>
      </c>
      <c r="I31007" s="5">
        <v>0</v>
      </c>
      <c r="J31007" s="5">
        <v>0</v>
      </c>
      <c r="K31007" s="5">
        <v>0</v>
      </c>
    </row>
    <row r="31008" spans="1:11" x14ac:dyDescent="0.25">
      <c r="A31008" s="5">
        <f>31001</f>
      </c>
      <c r="B31008" s="5" t="s">
        <v>31016</v>
      </c>
      <c r="C31008" s="5">
        <v>102.7</v>
      </c>
      <c r="D31008" s="5">
        <v>0.1</v>
      </c>
      <c r="E31008" s="5">
        <v>102.8</v>
      </c>
      <c r="F31008" s="5">
        <v>205.6</v>
      </c>
      <c r="G31008" s="5">
        <v>102.6</v>
      </c>
      <c r="H31008" s="5">
        <v>102.4</v>
      </c>
      <c r="I31008" s="5">
        <v>0</v>
      </c>
      <c r="J31008" s="5">
        <v>0</v>
      </c>
      <c r="K31008" s="5">
        <v>0</v>
      </c>
    </row>
    <row r="31009" spans="1:11" x14ac:dyDescent="0.25">
      <c r="A31009" s="5">
        <f>31002</f>
      </c>
      <c r="B31009" s="5" t="s">
        <v>31017</v>
      </c>
      <c r="C31009" s="5">
        <v>102.7</v>
      </c>
      <c r="D31009" s="5">
        <v>0.1</v>
      </c>
      <c r="E31009" s="5">
        <v>102.8</v>
      </c>
      <c r="F31009" s="5">
        <v>205.2</v>
      </c>
      <c r="G31009" s="5">
        <v>102.4</v>
      </c>
      <c r="H31009" s="5">
        <v>102.3</v>
      </c>
      <c r="I31009" s="5">
        <v>0</v>
      </c>
      <c r="J31009" s="5">
        <v>0</v>
      </c>
      <c r="K31009" s="5">
        <v>0</v>
      </c>
    </row>
    <row r="31010" spans="1:11" x14ac:dyDescent="0.25">
      <c r="A31010" s="5">
        <f>31003</f>
      </c>
      <c r="B31010" s="5" t="s">
        <v>31018</v>
      </c>
      <c r="C31010" s="5">
        <v>102.7</v>
      </c>
      <c r="D31010" s="5">
        <v>0.1</v>
      </c>
      <c r="E31010" s="5">
        <v>102.8</v>
      </c>
      <c r="F31010" s="5">
        <v>205.2</v>
      </c>
      <c r="G31010" s="5">
        <v>102.4</v>
      </c>
      <c r="H31010" s="5">
        <v>102.3</v>
      </c>
      <c r="I31010" s="5">
        <v>0</v>
      </c>
      <c r="J31010" s="5">
        <v>0</v>
      </c>
      <c r="K31010" s="5">
        <v>0</v>
      </c>
    </row>
    <row r="31011" spans="1:11" x14ac:dyDescent="0.25">
      <c r="A31011" s="5">
        <f>31004</f>
      </c>
      <c r="B31011" s="5" t="s">
        <v>31019</v>
      </c>
      <c r="C31011" s="5">
        <v>103.1</v>
      </c>
      <c r="D31011" s="5">
        <v>0.1</v>
      </c>
      <c r="E31011" s="5">
        <v>103.2</v>
      </c>
      <c r="F31011" s="5">
        <v>205.9</v>
      </c>
      <c r="G31011" s="5">
        <v>102.7</v>
      </c>
      <c r="H31011" s="5">
        <v>102.6</v>
      </c>
      <c r="I31011" s="5">
        <v>0</v>
      </c>
      <c r="J31011" s="5">
        <v>0</v>
      </c>
      <c r="K31011" s="5">
        <v>0</v>
      </c>
    </row>
    <row r="31012" spans="1:11" x14ac:dyDescent="0.25">
      <c r="A31012" s="5">
        <f>31005</f>
      </c>
      <c r="B31012" s="5" t="s">
        <v>31020</v>
      </c>
      <c r="C31012" s="5">
        <v>103.1</v>
      </c>
      <c r="D31012" s="5">
        <v>0.1</v>
      </c>
      <c r="E31012" s="5">
        <v>103.2</v>
      </c>
      <c r="F31012" s="5">
        <v>205.9</v>
      </c>
      <c r="G31012" s="5">
        <v>102.7</v>
      </c>
      <c r="H31012" s="5">
        <v>102.6</v>
      </c>
      <c r="I31012" s="5">
        <v>0</v>
      </c>
      <c r="J31012" s="5">
        <v>0</v>
      </c>
      <c r="K31012" s="5">
        <v>0</v>
      </c>
    </row>
    <row r="31013" spans="1:11" x14ac:dyDescent="0.25">
      <c r="A31013" s="5">
        <f>31006</f>
      </c>
      <c r="B31013" s="5" t="s">
        <v>31021</v>
      </c>
      <c r="C31013" s="5">
        <v>102.4</v>
      </c>
      <c r="D31013" s="5">
        <v>0.1</v>
      </c>
      <c r="E31013" s="5">
        <v>102.4</v>
      </c>
      <c r="F31013" s="5">
        <v>204.3</v>
      </c>
      <c r="G31013" s="5">
        <v>101.9</v>
      </c>
      <c r="H31013" s="5">
        <v>101.8</v>
      </c>
      <c r="I31013" s="5">
        <v>0</v>
      </c>
      <c r="J31013" s="5">
        <v>0</v>
      </c>
      <c r="K31013" s="5">
        <v>0</v>
      </c>
    </row>
    <row r="31014" spans="1:11" x14ac:dyDescent="0.25">
      <c r="A31014" s="5">
        <f>31007</f>
      </c>
      <c r="B31014" s="5" t="s">
        <v>31022</v>
      </c>
      <c r="C31014" s="5">
        <v>102.4</v>
      </c>
      <c r="D31014" s="5">
        <v>0.1</v>
      </c>
      <c r="E31014" s="5">
        <v>102.4</v>
      </c>
      <c r="F31014" s="5">
        <v>204.3</v>
      </c>
      <c r="G31014" s="5">
        <v>101.9</v>
      </c>
      <c r="H31014" s="5">
        <v>101.8</v>
      </c>
      <c r="I31014" s="5">
        <v>0</v>
      </c>
      <c r="J31014" s="5">
        <v>0</v>
      </c>
      <c r="K31014" s="5">
        <v>0</v>
      </c>
    </row>
    <row r="31015" spans="1:11" x14ac:dyDescent="0.25">
      <c r="A31015" s="5">
        <f>31008</f>
      </c>
      <c r="B31015" s="5" t="s">
        <v>31023</v>
      </c>
      <c r="C31015" s="5">
        <v>102.9</v>
      </c>
      <c r="D31015" s="5">
        <v>0.1</v>
      </c>
      <c r="E31015" s="5">
        <v>103.1</v>
      </c>
      <c r="F31015" s="5">
        <v>205.8</v>
      </c>
      <c r="G31015" s="5">
        <v>102.7</v>
      </c>
      <c r="H31015" s="5">
        <v>102.5</v>
      </c>
      <c r="I31015" s="5">
        <v>0</v>
      </c>
      <c r="J31015" s="5">
        <v>0</v>
      </c>
      <c r="K31015" s="5">
        <v>0</v>
      </c>
    </row>
    <row r="31016" spans="1:11" x14ac:dyDescent="0.25">
      <c r="A31016" s="5">
        <f>31009</f>
      </c>
      <c r="B31016" s="5" t="s">
        <v>31024</v>
      </c>
      <c r="C31016" s="5">
        <v>102.9</v>
      </c>
      <c r="D31016" s="5">
        <v>0.1</v>
      </c>
      <c r="E31016" s="5">
        <v>103.1</v>
      </c>
      <c r="F31016" s="5">
        <v>205.8</v>
      </c>
      <c r="G31016" s="5">
        <v>102.7</v>
      </c>
      <c r="H31016" s="5">
        <v>102.5</v>
      </c>
      <c r="I31016" s="5">
        <v>0</v>
      </c>
      <c r="J31016" s="5">
        <v>0</v>
      </c>
      <c r="K31016" s="5">
        <v>0</v>
      </c>
    </row>
    <row r="31017" spans="1:11" x14ac:dyDescent="0.25">
      <c r="A31017" s="5">
        <f>31010</f>
      </c>
      <c r="B31017" s="5" t="s">
        <v>31025</v>
      </c>
      <c r="C31017" s="5">
        <v>102.9</v>
      </c>
      <c r="D31017" s="5">
        <v>0.1</v>
      </c>
      <c r="E31017" s="5">
        <v>103.1</v>
      </c>
      <c r="F31017" s="5">
        <v>205.8</v>
      </c>
      <c r="G31017" s="5">
        <v>102.7</v>
      </c>
      <c r="H31017" s="5">
        <v>102.5</v>
      </c>
      <c r="I31017" s="5">
        <v>0</v>
      </c>
      <c r="J31017" s="5">
        <v>0</v>
      </c>
      <c r="K31017" s="5">
        <v>0</v>
      </c>
    </row>
    <row r="31018" spans="1:11" x14ac:dyDescent="0.25">
      <c r="A31018" s="5">
        <f>31011</f>
      </c>
      <c r="B31018" s="5" t="s">
        <v>31026</v>
      </c>
      <c r="C31018" s="5">
        <v>102.9</v>
      </c>
      <c r="D31018" s="5">
        <v>0.1</v>
      </c>
      <c r="E31018" s="5">
        <v>103.1</v>
      </c>
      <c r="F31018" s="5">
        <v>205.8</v>
      </c>
      <c r="G31018" s="5">
        <v>102.7</v>
      </c>
      <c r="H31018" s="5">
        <v>102.5</v>
      </c>
      <c r="I31018" s="5">
        <v>0</v>
      </c>
      <c r="J31018" s="5">
        <v>0</v>
      </c>
      <c r="K31018" s="5">
        <v>0</v>
      </c>
    </row>
    <row r="31019" spans="1:11" x14ac:dyDescent="0.25">
      <c r="A31019" s="5">
        <f>31012</f>
      </c>
      <c r="B31019" s="5" t="s">
        <v>31027</v>
      </c>
      <c r="C31019" s="5">
        <v>102.8</v>
      </c>
      <c r="D31019" s="5">
        <v>0.1</v>
      </c>
      <c r="E31019" s="5">
        <v>103</v>
      </c>
      <c r="F31019" s="5">
        <v>206</v>
      </c>
      <c r="G31019" s="5">
        <v>102.7</v>
      </c>
      <c r="H31019" s="5">
        <v>102.5</v>
      </c>
      <c r="I31019" s="5">
        <v>0</v>
      </c>
      <c r="J31019" s="5">
        <v>0</v>
      </c>
      <c r="K31019" s="5">
        <v>0</v>
      </c>
    </row>
    <row r="31020" spans="1:11" x14ac:dyDescent="0.25">
      <c r="A31020" s="5">
        <f>31013</f>
      </c>
      <c r="B31020" s="5" t="s">
        <v>31028</v>
      </c>
      <c r="C31020" s="5">
        <v>102.8</v>
      </c>
      <c r="D31020" s="5">
        <v>0.1</v>
      </c>
      <c r="E31020" s="5">
        <v>103</v>
      </c>
      <c r="F31020" s="5">
        <v>206</v>
      </c>
      <c r="G31020" s="5">
        <v>102.7</v>
      </c>
      <c r="H31020" s="5">
        <v>102.5</v>
      </c>
      <c r="I31020" s="5">
        <v>0</v>
      </c>
      <c r="J31020" s="5">
        <v>0</v>
      </c>
      <c r="K31020" s="5">
        <v>0</v>
      </c>
    </row>
    <row r="31021" spans="1:11" x14ac:dyDescent="0.25">
      <c r="A31021" s="5">
        <f>31014</f>
      </c>
      <c r="B31021" s="5" t="s">
        <v>31029</v>
      </c>
      <c r="C31021" s="5">
        <v>102.7</v>
      </c>
      <c r="D31021" s="5">
        <v>0.1</v>
      </c>
      <c r="E31021" s="5">
        <v>102.8</v>
      </c>
      <c r="F31021" s="5">
        <v>205.7</v>
      </c>
      <c r="G31021" s="5">
        <v>102.6</v>
      </c>
      <c r="H31021" s="5">
        <v>102.4</v>
      </c>
      <c r="I31021" s="5">
        <v>0</v>
      </c>
      <c r="J31021" s="5">
        <v>0</v>
      </c>
      <c r="K31021" s="5">
        <v>0</v>
      </c>
    </row>
    <row r="31022" spans="1:11" x14ac:dyDescent="0.25">
      <c r="A31022" s="5">
        <f>31015</f>
      </c>
      <c r="B31022" s="5" t="s">
        <v>31030</v>
      </c>
      <c r="C31022" s="5">
        <v>102.7</v>
      </c>
      <c r="D31022" s="5">
        <v>0.1</v>
      </c>
      <c r="E31022" s="5">
        <v>102.8</v>
      </c>
      <c r="F31022" s="5">
        <v>205.7</v>
      </c>
      <c r="G31022" s="5">
        <v>102.6</v>
      </c>
      <c r="H31022" s="5">
        <v>102.4</v>
      </c>
      <c r="I31022" s="5">
        <v>0</v>
      </c>
      <c r="J31022" s="5">
        <v>0</v>
      </c>
      <c r="K31022" s="5">
        <v>0</v>
      </c>
    </row>
    <row r="31023" spans="1:11" x14ac:dyDescent="0.25">
      <c r="A31023" s="5">
        <f>31016</f>
      </c>
      <c r="B31023" s="5" t="s">
        <v>31031</v>
      </c>
      <c r="C31023" s="5">
        <v>103.2</v>
      </c>
      <c r="D31023" s="5">
        <v>0.1</v>
      </c>
      <c r="E31023" s="5">
        <v>103.4</v>
      </c>
      <c r="F31023" s="5">
        <v>205.1</v>
      </c>
      <c r="G31023" s="5">
        <v>102.4</v>
      </c>
      <c r="H31023" s="5">
        <v>102.3</v>
      </c>
      <c r="I31023" s="5">
        <v>0</v>
      </c>
      <c r="J31023" s="5">
        <v>0</v>
      </c>
      <c r="K31023" s="5">
        <v>0</v>
      </c>
    </row>
    <row r="31024" spans="1:11" x14ac:dyDescent="0.25">
      <c r="A31024" s="5">
        <f>31017</f>
      </c>
      <c r="B31024" s="5" t="s">
        <v>31032</v>
      </c>
      <c r="C31024" s="5">
        <v>103.2</v>
      </c>
      <c r="D31024" s="5">
        <v>0.1</v>
      </c>
      <c r="E31024" s="5">
        <v>103.4</v>
      </c>
      <c r="F31024" s="5">
        <v>205.1</v>
      </c>
      <c r="G31024" s="5">
        <v>102.4</v>
      </c>
      <c r="H31024" s="5">
        <v>102.3</v>
      </c>
      <c r="I31024" s="5">
        <v>0</v>
      </c>
      <c r="J31024" s="5">
        <v>0</v>
      </c>
      <c r="K31024" s="5">
        <v>0</v>
      </c>
    </row>
    <row r="31025" spans="1:11" x14ac:dyDescent="0.25">
      <c r="A31025" s="5">
        <f>31018</f>
      </c>
      <c r="B31025" s="5" t="s">
        <v>31033</v>
      </c>
      <c r="C31025" s="5">
        <v>103.4</v>
      </c>
      <c r="D31025" s="5">
        <v>0.1</v>
      </c>
      <c r="E31025" s="5">
        <v>103.5</v>
      </c>
      <c r="F31025" s="5">
        <v>205.4</v>
      </c>
      <c r="G31025" s="5">
        <v>102.5</v>
      </c>
      <c r="H31025" s="5">
        <v>102.3</v>
      </c>
      <c r="I31025" s="5">
        <v>0</v>
      </c>
      <c r="J31025" s="5">
        <v>0</v>
      </c>
      <c r="K31025" s="5">
        <v>0</v>
      </c>
    </row>
    <row r="31026" spans="1:11" x14ac:dyDescent="0.25">
      <c r="A31026" s="5">
        <f>31019</f>
      </c>
      <c r="B31026" s="5" t="s">
        <v>31034</v>
      </c>
      <c r="C31026" s="5">
        <v>103.4</v>
      </c>
      <c r="D31026" s="5">
        <v>0.1</v>
      </c>
      <c r="E31026" s="5">
        <v>103.5</v>
      </c>
      <c r="F31026" s="5">
        <v>205.4</v>
      </c>
      <c r="G31026" s="5">
        <v>102.5</v>
      </c>
      <c r="H31026" s="5">
        <v>102.3</v>
      </c>
      <c r="I31026" s="5">
        <v>0</v>
      </c>
      <c r="J31026" s="5">
        <v>0</v>
      </c>
      <c r="K31026" s="5">
        <v>0</v>
      </c>
    </row>
    <row r="31027" spans="1:11" x14ac:dyDescent="0.25">
      <c r="A31027" s="5">
        <f>31020</f>
      </c>
      <c r="B31027" s="5" t="s">
        <v>31035</v>
      </c>
      <c r="C31027" s="5">
        <v>103.4</v>
      </c>
      <c r="D31027" s="5">
        <v>0.1</v>
      </c>
      <c r="E31027" s="5">
        <v>103.5</v>
      </c>
      <c r="F31027" s="5">
        <v>205.4</v>
      </c>
      <c r="G31027" s="5">
        <v>102.5</v>
      </c>
      <c r="H31027" s="5">
        <v>102.3</v>
      </c>
      <c r="I31027" s="5">
        <v>0</v>
      </c>
      <c r="J31027" s="5">
        <v>0</v>
      </c>
      <c r="K31027" s="5">
        <v>0</v>
      </c>
    </row>
    <row r="31028" spans="1:11" x14ac:dyDescent="0.25">
      <c r="A31028" s="5">
        <f>31021</f>
      </c>
      <c r="B31028" s="5" t="s">
        <v>31036</v>
      </c>
      <c r="C31028" s="5">
        <v>103.4</v>
      </c>
      <c r="D31028" s="5">
        <v>0.1</v>
      </c>
      <c r="E31028" s="5">
        <v>103.5</v>
      </c>
      <c r="F31028" s="5">
        <v>205.4</v>
      </c>
      <c r="G31028" s="5">
        <v>102.5</v>
      </c>
      <c r="H31028" s="5">
        <v>102.3</v>
      </c>
      <c r="I31028" s="5">
        <v>0</v>
      </c>
      <c r="J31028" s="5">
        <v>0</v>
      </c>
      <c r="K31028" s="5">
        <v>0</v>
      </c>
    </row>
    <row r="31029" spans="1:11" x14ac:dyDescent="0.25">
      <c r="A31029" s="5">
        <f>31022</f>
      </c>
      <c r="B31029" s="5" t="s">
        <v>31037</v>
      </c>
      <c r="C31029" s="5">
        <v>103.4</v>
      </c>
      <c r="D31029" s="5">
        <v>0.1</v>
      </c>
      <c r="E31029" s="5">
        <v>103.6</v>
      </c>
      <c r="F31029" s="5">
        <v>206.1</v>
      </c>
      <c r="G31029" s="5">
        <v>102.8</v>
      </c>
      <c r="H31029" s="5">
        <v>102.7</v>
      </c>
      <c r="I31029" s="5">
        <v>0</v>
      </c>
      <c r="J31029" s="5">
        <v>0</v>
      </c>
      <c r="K31029" s="5">
        <v>0</v>
      </c>
    </row>
    <row r="31030" spans="1:11" x14ac:dyDescent="0.25">
      <c r="A31030" s="5">
        <f>31023</f>
      </c>
      <c r="B31030" s="5" t="s">
        <v>31038</v>
      </c>
      <c r="C31030" s="5">
        <v>103.4</v>
      </c>
      <c r="D31030" s="5">
        <v>0.1</v>
      </c>
      <c r="E31030" s="5">
        <v>103.6</v>
      </c>
      <c r="F31030" s="5">
        <v>206.1</v>
      </c>
      <c r="G31030" s="5">
        <v>102.8</v>
      </c>
      <c r="H31030" s="5">
        <v>102.7</v>
      </c>
      <c r="I31030" s="5">
        <v>0</v>
      </c>
      <c r="J31030" s="5">
        <v>0</v>
      </c>
      <c r="K31030" s="5">
        <v>0</v>
      </c>
    </row>
    <row r="31031" spans="1:11" x14ac:dyDescent="0.25">
      <c r="A31031" s="5">
        <f>31024</f>
      </c>
      <c r="B31031" s="5" t="s">
        <v>31039</v>
      </c>
      <c r="C31031" s="5">
        <v>102.8</v>
      </c>
      <c r="D31031" s="5">
        <v>0.1</v>
      </c>
      <c r="E31031" s="5">
        <v>103</v>
      </c>
      <c r="F31031" s="5">
        <v>205.8</v>
      </c>
      <c r="G31031" s="5">
        <v>102.6</v>
      </c>
      <c r="H31031" s="5">
        <v>102.5</v>
      </c>
      <c r="I31031" s="5">
        <v>0</v>
      </c>
      <c r="J31031" s="5">
        <v>0</v>
      </c>
      <c r="K31031" s="5">
        <v>0</v>
      </c>
    </row>
    <row r="31032" spans="1:11" x14ac:dyDescent="0.25">
      <c r="A31032" s="5">
        <f>31025</f>
      </c>
      <c r="B31032" s="5" t="s">
        <v>31040</v>
      </c>
      <c r="C31032" s="5">
        <v>102.8</v>
      </c>
      <c r="D31032" s="5">
        <v>0.1</v>
      </c>
      <c r="E31032" s="5">
        <v>103</v>
      </c>
      <c r="F31032" s="5">
        <v>205.8</v>
      </c>
      <c r="G31032" s="5">
        <v>102.6</v>
      </c>
      <c r="H31032" s="5">
        <v>102.5</v>
      </c>
      <c r="I31032" s="5">
        <v>0</v>
      </c>
      <c r="J31032" s="5">
        <v>0</v>
      </c>
      <c r="K31032" s="5">
        <v>0</v>
      </c>
    </row>
    <row r="31033" spans="1:11" x14ac:dyDescent="0.25">
      <c r="A31033" s="5">
        <f>31026</f>
      </c>
      <c r="B31033" s="5" t="s">
        <v>31041</v>
      </c>
      <c r="C31033" s="5">
        <v>103.1</v>
      </c>
      <c r="D31033" s="5">
        <v>0.1</v>
      </c>
      <c r="E31033" s="5">
        <v>103.2</v>
      </c>
      <c r="F31033" s="5">
        <v>205.7</v>
      </c>
      <c r="G31033" s="5">
        <v>102.6</v>
      </c>
      <c r="H31033" s="5">
        <v>102.5</v>
      </c>
      <c r="I31033" s="5">
        <v>0</v>
      </c>
      <c r="J31033" s="5">
        <v>0</v>
      </c>
      <c r="K31033" s="5">
        <v>0</v>
      </c>
    </row>
    <row r="31034" spans="1:11" x14ac:dyDescent="0.25">
      <c r="A31034" s="5">
        <f>31027</f>
      </c>
      <c r="B31034" s="5" t="s">
        <v>31042</v>
      </c>
      <c r="C31034" s="5">
        <v>103.1</v>
      </c>
      <c r="D31034" s="5">
        <v>0.1</v>
      </c>
      <c r="E31034" s="5">
        <v>103.2</v>
      </c>
      <c r="F31034" s="5">
        <v>205.7</v>
      </c>
      <c r="G31034" s="5">
        <v>102.6</v>
      </c>
      <c r="H31034" s="5">
        <v>102.5</v>
      </c>
      <c r="I31034" s="5">
        <v>0</v>
      </c>
      <c r="J31034" s="5">
        <v>0</v>
      </c>
      <c r="K31034" s="5">
        <v>0</v>
      </c>
    </row>
    <row r="31035" spans="1:11" x14ac:dyDescent="0.25">
      <c r="A31035" s="5">
        <f>31028</f>
      </c>
      <c r="B31035" s="5" t="s">
        <v>31043</v>
      </c>
      <c r="C31035" s="5">
        <v>103.1</v>
      </c>
      <c r="D31035" s="5">
        <v>0.1</v>
      </c>
      <c r="E31035" s="5">
        <v>103.1</v>
      </c>
      <c r="F31035" s="5">
        <v>205.7</v>
      </c>
      <c r="G31035" s="5">
        <v>102.6</v>
      </c>
      <c r="H31035" s="5">
        <v>102.5</v>
      </c>
      <c r="I31035" s="5">
        <v>0</v>
      </c>
      <c r="J31035" s="5">
        <v>0</v>
      </c>
      <c r="K31035" s="5">
        <v>0</v>
      </c>
    </row>
    <row r="31036" spans="1:11" x14ac:dyDescent="0.25">
      <c r="A31036" s="5">
        <f>31029</f>
      </c>
      <c r="B31036" s="5" t="s">
        <v>31044</v>
      </c>
      <c r="C31036" s="5">
        <v>103.1</v>
      </c>
      <c r="D31036" s="5">
        <v>0.1</v>
      </c>
      <c r="E31036" s="5">
        <v>103.1</v>
      </c>
      <c r="F31036" s="5">
        <v>205.7</v>
      </c>
      <c r="G31036" s="5">
        <v>102.6</v>
      </c>
      <c r="H31036" s="5">
        <v>102.5</v>
      </c>
      <c r="I31036" s="5">
        <v>0</v>
      </c>
      <c r="J31036" s="5">
        <v>0</v>
      </c>
      <c r="K31036" s="5">
        <v>0</v>
      </c>
    </row>
    <row r="31037" spans="1:11" x14ac:dyDescent="0.25">
      <c r="A31037" s="5">
        <f>31030</f>
      </c>
      <c r="B31037" s="5" t="s">
        <v>31045</v>
      </c>
      <c r="C31037" s="5">
        <v>103.1</v>
      </c>
      <c r="D31037" s="5">
        <v>0.1</v>
      </c>
      <c r="E31037" s="5">
        <v>103.1</v>
      </c>
      <c r="F31037" s="5">
        <v>205.7</v>
      </c>
      <c r="G31037" s="5">
        <v>102.6</v>
      </c>
      <c r="H31037" s="5">
        <v>102.5</v>
      </c>
      <c r="I31037" s="5">
        <v>0</v>
      </c>
      <c r="J31037" s="5">
        <v>0</v>
      </c>
      <c r="K31037" s="5">
        <v>0</v>
      </c>
    </row>
    <row r="31038" spans="1:11" x14ac:dyDescent="0.25">
      <c r="A31038" s="5">
        <f>31031</f>
      </c>
      <c r="B31038" s="5" t="s">
        <v>31046</v>
      </c>
      <c r="C31038" s="5">
        <v>103.1</v>
      </c>
      <c r="D31038" s="5">
        <v>0.1</v>
      </c>
      <c r="E31038" s="5">
        <v>103.1</v>
      </c>
      <c r="F31038" s="5">
        <v>205.7</v>
      </c>
      <c r="G31038" s="5">
        <v>102.6</v>
      </c>
      <c r="H31038" s="5">
        <v>102.5</v>
      </c>
      <c r="I31038" s="5">
        <v>0</v>
      </c>
      <c r="J31038" s="5">
        <v>0</v>
      </c>
      <c r="K31038" s="5">
        <v>0</v>
      </c>
    </row>
    <row r="31039" spans="1:11" x14ac:dyDescent="0.25">
      <c r="A31039" s="5">
        <f>31032</f>
      </c>
      <c r="B31039" s="5" t="s">
        <v>31047</v>
      </c>
      <c r="C31039" s="5">
        <v>103</v>
      </c>
      <c r="D31039" s="5">
        <v>0.1</v>
      </c>
      <c r="E31039" s="5">
        <v>103.1</v>
      </c>
      <c r="F31039" s="5">
        <v>205.7</v>
      </c>
      <c r="G31039" s="5">
        <v>102.7</v>
      </c>
      <c r="H31039" s="5">
        <v>102.6</v>
      </c>
      <c r="I31039" s="5">
        <v>0</v>
      </c>
      <c r="J31039" s="5">
        <v>0</v>
      </c>
      <c r="K31039" s="5">
        <v>0</v>
      </c>
    </row>
    <row r="31040" spans="1:11" x14ac:dyDescent="0.25">
      <c r="A31040" s="5">
        <f>31033</f>
      </c>
      <c r="B31040" s="5" t="s">
        <v>31048</v>
      </c>
      <c r="C31040" s="5">
        <v>103</v>
      </c>
      <c r="D31040" s="5">
        <v>0.1</v>
      </c>
      <c r="E31040" s="5">
        <v>103.1</v>
      </c>
      <c r="F31040" s="5">
        <v>205.7</v>
      </c>
      <c r="G31040" s="5">
        <v>102.7</v>
      </c>
      <c r="H31040" s="5">
        <v>102.6</v>
      </c>
      <c r="I31040" s="5">
        <v>0</v>
      </c>
      <c r="J31040" s="5">
        <v>0</v>
      </c>
      <c r="K31040" s="5">
        <v>0</v>
      </c>
    </row>
    <row r="31041" spans="1:11" x14ac:dyDescent="0.25">
      <c r="A31041" s="5">
        <f>31034</f>
      </c>
      <c r="B31041" s="5" t="s">
        <v>31049</v>
      </c>
      <c r="C31041" s="5">
        <v>103.7</v>
      </c>
      <c r="D31041" s="5">
        <v>0.1</v>
      </c>
      <c r="E31041" s="5">
        <v>103.8</v>
      </c>
      <c r="F31041" s="5">
        <v>206.8</v>
      </c>
      <c r="G31041" s="5">
        <v>103.2</v>
      </c>
      <c r="H31041" s="5">
        <v>103.1</v>
      </c>
      <c r="I31041" s="5">
        <v>0</v>
      </c>
      <c r="J31041" s="5">
        <v>0</v>
      </c>
      <c r="K31041" s="5">
        <v>0</v>
      </c>
    </row>
    <row r="31042" spans="1:11" x14ac:dyDescent="0.25">
      <c r="A31042" s="5">
        <f>31035</f>
      </c>
      <c r="B31042" s="5" t="s">
        <v>31050</v>
      </c>
      <c r="C31042" s="5">
        <v>103.7</v>
      </c>
      <c r="D31042" s="5">
        <v>0.1</v>
      </c>
      <c r="E31042" s="5">
        <v>103.8</v>
      </c>
      <c r="F31042" s="5">
        <v>206.8</v>
      </c>
      <c r="G31042" s="5">
        <v>103.2</v>
      </c>
      <c r="H31042" s="5">
        <v>103.1</v>
      </c>
      <c r="I31042" s="5">
        <v>0</v>
      </c>
      <c r="J31042" s="5">
        <v>0</v>
      </c>
      <c r="K31042" s="5">
        <v>0</v>
      </c>
    </row>
    <row r="31043" spans="1:11" x14ac:dyDescent="0.25">
      <c r="A31043" s="5">
        <f>31036</f>
      </c>
      <c r="B31043" s="5" t="s">
        <v>31051</v>
      </c>
      <c r="C31043" s="5">
        <v>103.6</v>
      </c>
      <c r="D31043" s="5">
        <v>0.1</v>
      </c>
      <c r="E31043" s="5">
        <v>103.7</v>
      </c>
      <c r="F31043" s="5">
        <v>206.7</v>
      </c>
      <c r="G31043" s="5">
        <v>103.1</v>
      </c>
      <c r="H31043" s="5">
        <v>103</v>
      </c>
      <c r="I31043" s="5">
        <v>0</v>
      </c>
      <c r="J31043" s="5">
        <v>0</v>
      </c>
      <c r="K31043" s="5">
        <v>0</v>
      </c>
    </row>
    <row r="31044" spans="1:11" x14ac:dyDescent="0.25">
      <c r="A31044" s="5">
        <f>31037</f>
      </c>
      <c r="B31044" s="5" t="s">
        <v>31052</v>
      </c>
      <c r="C31044" s="5">
        <v>103.6</v>
      </c>
      <c r="D31044" s="5">
        <v>0.1</v>
      </c>
      <c r="E31044" s="5">
        <v>103.7</v>
      </c>
      <c r="F31044" s="5">
        <v>206.7</v>
      </c>
      <c r="G31044" s="5">
        <v>103.1</v>
      </c>
      <c r="H31044" s="5">
        <v>103</v>
      </c>
      <c r="I31044" s="5">
        <v>0</v>
      </c>
      <c r="J31044" s="5">
        <v>0</v>
      </c>
      <c r="K31044" s="5">
        <v>0</v>
      </c>
    </row>
    <row r="31045" spans="1:11" x14ac:dyDescent="0.25">
      <c r="A31045" s="5">
        <f>31038</f>
      </c>
      <c r="B31045" s="5" t="s">
        <v>31053</v>
      </c>
      <c r="C31045" s="5">
        <v>103.8</v>
      </c>
      <c r="D31045" s="5">
        <v>0.1</v>
      </c>
      <c r="E31045" s="5">
        <v>104</v>
      </c>
      <c r="F31045" s="5">
        <v>207.1</v>
      </c>
      <c r="G31045" s="5">
        <v>103.3</v>
      </c>
      <c r="H31045" s="5">
        <v>103.1</v>
      </c>
      <c r="I31045" s="5">
        <v>0</v>
      </c>
      <c r="J31045" s="5">
        <v>0</v>
      </c>
      <c r="K31045" s="5">
        <v>0</v>
      </c>
    </row>
    <row r="31046" spans="1:11" x14ac:dyDescent="0.25">
      <c r="A31046" s="5">
        <f>31039</f>
      </c>
      <c r="B31046" s="5" t="s">
        <v>31054</v>
      </c>
      <c r="C31046" s="5">
        <v>103.8</v>
      </c>
      <c r="D31046" s="5">
        <v>0.1</v>
      </c>
      <c r="E31046" s="5">
        <v>104</v>
      </c>
      <c r="F31046" s="5">
        <v>207.1</v>
      </c>
      <c r="G31046" s="5">
        <v>103.3</v>
      </c>
      <c r="H31046" s="5">
        <v>103.1</v>
      </c>
      <c r="I31046" s="5">
        <v>0</v>
      </c>
      <c r="J31046" s="5">
        <v>0</v>
      </c>
      <c r="K31046" s="5">
        <v>0</v>
      </c>
    </row>
    <row r="31047" spans="1:11" x14ac:dyDescent="0.25">
      <c r="A31047" s="5">
        <f>31040</f>
      </c>
      <c r="B31047" s="5" t="s">
        <v>31055</v>
      </c>
      <c r="C31047" s="5">
        <v>103.8</v>
      </c>
      <c r="D31047" s="5">
        <v>0.1</v>
      </c>
      <c r="E31047" s="5">
        <v>104</v>
      </c>
      <c r="F31047" s="5">
        <v>207.1</v>
      </c>
      <c r="G31047" s="5">
        <v>103.3</v>
      </c>
      <c r="H31047" s="5">
        <v>103.1</v>
      </c>
      <c r="I31047" s="5">
        <v>0</v>
      </c>
      <c r="J31047" s="5">
        <v>0</v>
      </c>
      <c r="K31047" s="5">
        <v>0</v>
      </c>
    </row>
    <row r="31048" spans="1:11" x14ac:dyDescent="0.25">
      <c r="A31048" s="5">
        <f>31041</f>
      </c>
      <c r="B31048" s="5" t="s">
        <v>31056</v>
      </c>
      <c r="C31048" s="5">
        <v>103.8</v>
      </c>
      <c r="D31048" s="5">
        <v>0.1</v>
      </c>
      <c r="E31048" s="5">
        <v>104</v>
      </c>
      <c r="F31048" s="5">
        <v>207.1</v>
      </c>
      <c r="G31048" s="5">
        <v>103.3</v>
      </c>
      <c r="H31048" s="5">
        <v>103.1</v>
      </c>
      <c r="I31048" s="5">
        <v>0</v>
      </c>
      <c r="J31048" s="5">
        <v>0</v>
      </c>
      <c r="K31048" s="5">
        <v>0</v>
      </c>
    </row>
    <row r="31049" spans="1:11" x14ac:dyDescent="0.25">
      <c r="A31049" s="5">
        <f>31042</f>
      </c>
      <c r="B31049" s="5" t="s">
        <v>31057</v>
      </c>
      <c r="C31049" s="5">
        <v>103.2</v>
      </c>
      <c r="D31049" s="5">
        <v>0.1</v>
      </c>
      <c r="E31049" s="5">
        <v>103.4</v>
      </c>
      <c r="F31049" s="5">
        <v>206</v>
      </c>
      <c r="G31049" s="5">
        <v>102.8</v>
      </c>
      <c r="H31049" s="5">
        <v>102.6</v>
      </c>
      <c r="I31049" s="5">
        <v>0</v>
      </c>
      <c r="J31049" s="5">
        <v>0</v>
      </c>
      <c r="K31049" s="5">
        <v>0</v>
      </c>
    </row>
    <row r="31050" spans="1:11" x14ac:dyDescent="0.25">
      <c r="A31050" s="5">
        <f>31043</f>
      </c>
      <c r="B31050" s="5" t="s">
        <v>31058</v>
      </c>
      <c r="C31050" s="5">
        <v>103.2</v>
      </c>
      <c r="D31050" s="5">
        <v>0.1</v>
      </c>
      <c r="E31050" s="5">
        <v>103.4</v>
      </c>
      <c r="F31050" s="5">
        <v>206</v>
      </c>
      <c r="G31050" s="5">
        <v>102.8</v>
      </c>
      <c r="H31050" s="5">
        <v>102.6</v>
      </c>
      <c r="I31050" s="5">
        <v>0</v>
      </c>
      <c r="J31050" s="5">
        <v>0</v>
      </c>
      <c r="K31050" s="5">
        <v>0</v>
      </c>
    </row>
    <row r="31051" spans="1:11" x14ac:dyDescent="0.25">
      <c r="A31051" s="5">
        <f>31044</f>
      </c>
      <c r="B31051" s="5" t="s">
        <v>31059</v>
      </c>
      <c r="C31051" s="5">
        <v>103.7</v>
      </c>
      <c r="D31051" s="5">
        <v>0.1</v>
      </c>
      <c r="E31051" s="5">
        <v>103.8</v>
      </c>
      <c r="F31051" s="5">
        <v>207.1</v>
      </c>
      <c r="G31051" s="5">
        <v>103.3</v>
      </c>
      <c r="H31051" s="5">
        <v>103.2</v>
      </c>
      <c r="I31051" s="5">
        <v>0</v>
      </c>
      <c r="J31051" s="5">
        <v>0</v>
      </c>
      <c r="K31051" s="5">
        <v>0</v>
      </c>
    </row>
    <row r="31052" spans="1:11" x14ac:dyDescent="0.25">
      <c r="A31052" s="5">
        <f>31045</f>
      </c>
      <c r="B31052" s="5" t="s">
        <v>31060</v>
      </c>
      <c r="C31052" s="5">
        <v>103.7</v>
      </c>
      <c r="D31052" s="5">
        <v>0.1</v>
      </c>
      <c r="E31052" s="5">
        <v>103.8</v>
      </c>
      <c r="F31052" s="5">
        <v>207.1</v>
      </c>
      <c r="G31052" s="5">
        <v>103.3</v>
      </c>
      <c r="H31052" s="5">
        <v>103.2</v>
      </c>
      <c r="I31052" s="5">
        <v>0</v>
      </c>
      <c r="J31052" s="5">
        <v>0</v>
      </c>
      <c r="K31052" s="5">
        <v>0</v>
      </c>
    </row>
    <row r="31053" spans="1:11" x14ac:dyDescent="0.25">
      <c r="A31053" s="5">
        <f>31046</f>
      </c>
      <c r="B31053" s="5" t="s">
        <v>31061</v>
      </c>
      <c r="C31053" s="5">
        <v>104</v>
      </c>
      <c r="D31053" s="5">
        <v>0.1</v>
      </c>
      <c r="E31053" s="5">
        <v>104.2</v>
      </c>
      <c r="F31053" s="5">
        <v>207.7</v>
      </c>
      <c r="G31053" s="5">
        <v>103.6</v>
      </c>
      <c r="H31053" s="5">
        <v>103.4</v>
      </c>
      <c r="I31053" s="5">
        <v>0</v>
      </c>
      <c r="J31053" s="5">
        <v>0</v>
      </c>
      <c r="K31053" s="5">
        <v>0</v>
      </c>
    </row>
    <row r="31054" spans="1:11" x14ac:dyDescent="0.25">
      <c r="A31054" s="5">
        <f>31047</f>
      </c>
      <c r="B31054" s="5" t="s">
        <v>31062</v>
      </c>
      <c r="C31054" s="5">
        <v>104</v>
      </c>
      <c r="D31054" s="5">
        <v>0.1</v>
      </c>
      <c r="E31054" s="5">
        <v>104.2</v>
      </c>
      <c r="F31054" s="5">
        <v>207.7</v>
      </c>
      <c r="G31054" s="5">
        <v>103.6</v>
      </c>
      <c r="H31054" s="5">
        <v>103.4</v>
      </c>
      <c r="I31054" s="5">
        <v>0</v>
      </c>
      <c r="J31054" s="5">
        <v>0</v>
      </c>
      <c r="K31054" s="5">
        <v>0</v>
      </c>
    </row>
    <row r="31055" spans="1:11" x14ac:dyDescent="0.25">
      <c r="A31055" s="5">
        <f>31048</f>
      </c>
      <c r="B31055" s="5" t="s">
        <v>31063</v>
      </c>
      <c r="C31055" s="5">
        <v>104</v>
      </c>
      <c r="D31055" s="5">
        <v>0.1</v>
      </c>
      <c r="E31055" s="5">
        <v>104.2</v>
      </c>
      <c r="F31055" s="5">
        <v>207.2</v>
      </c>
      <c r="G31055" s="5">
        <v>103.4</v>
      </c>
      <c r="H31055" s="5">
        <v>103.3</v>
      </c>
      <c r="I31055" s="5">
        <v>0</v>
      </c>
      <c r="J31055" s="5">
        <v>0</v>
      </c>
      <c r="K31055" s="5">
        <v>0</v>
      </c>
    </row>
    <row r="31056" spans="1:11" x14ac:dyDescent="0.25">
      <c r="A31056" s="5">
        <f>31049</f>
      </c>
      <c r="B31056" s="5" t="s">
        <v>31064</v>
      </c>
      <c r="C31056" s="5">
        <v>104</v>
      </c>
      <c r="D31056" s="5">
        <v>0.1</v>
      </c>
      <c r="E31056" s="5">
        <v>104.2</v>
      </c>
      <c r="F31056" s="5">
        <v>207.2</v>
      </c>
      <c r="G31056" s="5">
        <v>103.4</v>
      </c>
      <c r="H31056" s="5">
        <v>103.3</v>
      </c>
      <c r="I31056" s="5">
        <v>0</v>
      </c>
      <c r="J31056" s="5">
        <v>0</v>
      </c>
      <c r="K31056" s="5">
        <v>0</v>
      </c>
    </row>
    <row r="31057" spans="1:11" x14ac:dyDescent="0.25">
      <c r="A31057" s="5">
        <f>31050</f>
      </c>
      <c r="B31057" s="5" t="s">
        <v>31065</v>
      </c>
      <c r="C31057" s="5">
        <v>104</v>
      </c>
      <c r="D31057" s="5">
        <v>0.1</v>
      </c>
      <c r="E31057" s="5">
        <v>104.2</v>
      </c>
      <c r="F31057" s="5">
        <v>207.2</v>
      </c>
      <c r="G31057" s="5">
        <v>103.4</v>
      </c>
      <c r="H31057" s="5">
        <v>103.3</v>
      </c>
      <c r="I31057" s="5">
        <v>0</v>
      </c>
      <c r="J31057" s="5">
        <v>0</v>
      </c>
      <c r="K31057" s="5">
        <v>0</v>
      </c>
    </row>
    <row r="31058" spans="1:11" x14ac:dyDescent="0.25">
      <c r="A31058" s="5">
        <f>31051</f>
      </c>
      <c r="B31058" s="5" t="s">
        <v>31066</v>
      </c>
      <c r="C31058" s="5">
        <v>104</v>
      </c>
      <c r="D31058" s="5">
        <v>0.1</v>
      </c>
      <c r="E31058" s="5">
        <v>104.2</v>
      </c>
      <c r="F31058" s="5">
        <v>207.2</v>
      </c>
      <c r="G31058" s="5">
        <v>103.4</v>
      </c>
      <c r="H31058" s="5">
        <v>103.3</v>
      </c>
      <c r="I31058" s="5">
        <v>0</v>
      </c>
      <c r="J31058" s="5">
        <v>0</v>
      </c>
      <c r="K31058" s="5">
        <v>0</v>
      </c>
    </row>
    <row r="31059" spans="1:11" x14ac:dyDescent="0.25">
      <c r="A31059" s="5">
        <f>31052</f>
      </c>
      <c r="B31059" s="5" t="s">
        <v>31067</v>
      </c>
      <c r="C31059" s="5">
        <v>103</v>
      </c>
      <c r="D31059" s="5">
        <v>0.1</v>
      </c>
      <c r="E31059" s="5">
        <v>103.1</v>
      </c>
      <c r="F31059" s="5">
        <v>205.7</v>
      </c>
      <c r="G31059" s="5">
        <v>102.6</v>
      </c>
      <c r="H31059" s="5">
        <v>102.5</v>
      </c>
      <c r="I31059" s="5">
        <v>0</v>
      </c>
      <c r="J31059" s="5">
        <v>0</v>
      </c>
      <c r="K31059" s="5">
        <v>0</v>
      </c>
    </row>
    <row r="31060" spans="1:11" x14ac:dyDescent="0.25">
      <c r="A31060" s="5">
        <f>31053</f>
      </c>
      <c r="B31060" s="5" t="s">
        <v>31068</v>
      </c>
      <c r="C31060" s="5">
        <v>103</v>
      </c>
      <c r="D31060" s="5">
        <v>0.1</v>
      </c>
      <c r="E31060" s="5">
        <v>103.1</v>
      </c>
      <c r="F31060" s="5">
        <v>205.7</v>
      </c>
      <c r="G31060" s="5">
        <v>102.6</v>
      </c>
      <c r="H31060" s="5">
        <v>102.5</v>
      </c>
      <c r="I31060" s="5">
        <v>0</v>
      </c>
      <c r="J31060" s="5">
        <v>0</v>
      </c>
      <c r="K31060" s="5">
        <v>0</v>
      </c>
    </row>
    <row r="31061" spans="1:11" x14ac:dyDescent="0.25">
      <c r="A31061" s="5">
        <f>31054</f>
      </c>
      <c r="B31061" s="5" t="s">
        <v>31069</v>
      </c>
      <c r="C31061" s="5">
        <v>102.8</v>
      </c>
      <c r="D31061" s="5">
        <v>0.1</v>
      </c>
      <c r="E31061" s="5">
        <v>103</v>
      </c>
      <c r="F31061" s="5">
        <v>205.7</v>
      </c>
      <c r="G31061" s="5">
        <v>102.6</v>
      </c>
      <c r="H31061" s="5">
        <v>102.5</v>
      </c>
      <c r="I31061" s="5">
        <v>0</v>
      </c>
      <c r="J31061" s="5">
        <v>0</v>
      </c>
      <c r="K31061" s="5">
        <v>0</v>
      </c>
    </row>
    <row r="31062" spans="1:11" x14ac:dyDescent="0.25">
      <c r="A31062" s="5">
        <f>31055</f>
      </c>
      <c r="B31062" s="5" t="s">
        <v>31070</v>
      </c>
      <c r="C31062" s="5">
        <v>102.8</v>
      </c>
      <c r="D31062" s="5">
        <v>0.1</v>
      </c>
      <c r="E31062" s="5">
        <v>103</v>
      </c>
      <c r="F31062" s="5">
        <v>205.7</v>
      </c>
      <c r="G31062" s="5">
        <v>102.6</v>
      </c>
      <c r="H31062" s="5">
        <v>102.5</v>
      </c>
      <c r="I31062" s="5">
        <v>0</v>
      </c>
      <c r="J31062" s="5">
        <v>0</v>
      </c>
      <c r="K31062" s="5">
        <v>0</v>
      </c>
    </row>
    <row r="31063" spans="1:11" x14ac:dyDescent="0.25">
      <c r="A31063" s="5">
        <f>31056</f>
      </c>
      <c r="B31063" s="5" t="s">
        <v>31071</v>
      </c>
      <c r="C31063" s="5">
        <v>103</v>
      </c>
      <c r="D31063" s="5">
        <v>0.1</v>
      </c>
      <c r="E31063" s="5">
        <v>103.1</v>
      </c>
      <c r="F31063" s="5">
        <v>205.5</v>
      </c>
      <c r="G31063" s="5">
        <v>102.5</v>
      </c>
      <c r="H31063" s="5">
        <v>102.4</v>
      </c>
      <c r="I31063" s="5">
        <v>0</v>
      </c>
      <c r="J31063" s="5">
        <v>0</v>
      </c>
      <c r="K31063" s="5">
        <v>0</v>
      </c>
    </row>
    <row r="31064" spans="1:11" x14ac:dyDescent="0.25">
      <c r="A31064" s="5">
        <f>31057</f>
      </c>
      <c r="B31064" s="5" t="s">
        <v>31072</v>
      </c>
      <c r="C31064" s="5">
        <v>103</v>
      </c>
      <c r="D31064" s="5">
        <v>0.1</v>
      </c>
      <c r="E31064" s="5">
        <v>103.1</v>
      </c>
      <c r="F31064" s="5">
        <v>205.5</v>
      </c>
      <c r="G31064" s="5">
        <v>102.5</v>
      </c>
      <c r="H31064" s="5">
        <v>102.4</v>
      </c>
      <c r="I31064" s="5">
        <v>0</v>
      </c>
      <c r="J31064" s="5">
        <v>0</v>
      </c>
      <c r="K31064" s="5">
        <v>0</v>
      </c>
    </row>
    <row r="31065" spans="1:11" x14ac:dyDescent="0.25">
      <c r="A31065" s="5">
        <f>31058</f>
      </c>
      <c r="B31065" s="5" t="s">
        <v>31073</v>
      </c>
      <c r="C31065" s="5">
        <v>103.7</v>
      </c>
      <c r="D31065" s="5">
        <v>0.1</v>
      </c>
      <c r="E31065" s="5">
        <v>103.8</v>
      </c>
      <c r="F31065" s="5">
        <v>206.2</v>
      </c>
      <c r="G31065" s="5">
        <v>102.9</v>
      </c>
      <c r="H31065" s="5">
        <v>102.8</v>
      </c>
      <c r="I31065" s="5">
        <v>0</v>
      </c>
      <c r="J31065" s="5">
        <v>0</v>
      </c>
      <c r="K31065" s="5">
        <v>0</v>
      </c>
    </row>
    <row r="31066" spans="1:11" x14ac:dyDescent="0.25">
      <c r="A31066" s="5">
        <f>31059</f>
      </c>
      <c r="B31066" s="5" t="s">
        <v>31074</v>
      </c>
      <c r="C31066" s="5">
        <v>103.7</v>
      </c>
      <c r="D31066" s="5">
        <v>0.1</v>
      </c>
      <c r="E31066" s="5">
        <v>103.8</v>
      </c>
      <c r="F31066" s="5">
        <v>206.2</v>
      </c>
      <c r="G31066" s="5">
        <v>102.9</v>
      </c>
      <c r="H31066" s="5">
        <v>102.8</v>
      </c>
      <c r="I31066" s="5">
        <v>0</v>
      </c>
      <c r="J31066" s="5">
        <v>0</v>
      </c>
      <c r="K31066" s="5">
        <v>0</v>
      </c>
    </row>
    <row r="31067" spans="1:11" x14ac:dyDescent="0.25">
      <c r="A31067" s="5">
        <f>31060</f>
      </c>
      <c r="B31067" s="5" t="s">
        <v>31075</v>
      </c>
      <c r="C31067" s="5">
        <v>103.7</v>
      </c>
      <c r="D31067" s="5">
        <v>0.1</v>
      </c>
      <c r="E31067" s="5">
        <v>103.8</v>
      </c>
      <c r="F31067" s="5">
        <v>206.2</v>
      </c>
      <c r="G31067" s="5">
        <v>102.9</v>
      </c>
      <c r="H31067" s="5">
        <v>102.8</v>
      </c>
      <c r="I31067" s="5">
        <v>0</v>
      </c>
      <c r="J31067" s="5">
        <v>0</v>
      </c>
      <c r="K31067" s="5">
        <v>0</v>
      </c>
    </row>
    <row r="31068" spans="1:11" x14ac:dyDescent="0.25">
      <c r="A31068" s="5">
        <f>31061</f>
      </c>
      <c r="B31068" s="5" t="s">
        <v>31076</v>
      </c>
      <c r="C31068" s="5">
        <v>103.7</v>
      </c>
      <c r="D31068" s="5">
        <v>0.1</v>
      </c>
      <c r="E31068" s="5">
        <v>103.8</v>
      </c>
      <c r="F31068" s="5">
        <v>206.2</v>
      </c>
      <c r="G31068" s="5">
        <v>102.9</v>
      </c>
      <c r="H31068" s="5">
        <v>102.8</v>
      </c>
      <c r="I31068" s="5">
        <v>0</v>
      </c>
      <c r="J31068" s="5">
        <v>0</v>
      </c>
      <c r="K31068" s="5">
        <v>0</v>
      </c>
    </row>
    <row r="31069" spans="1:11" x14ac:dyDescent="0.25">
      <c r="A31069" s="5">
        <f>31062</f>
      </c>
      <c r="B31069" s="5" t="s">
        <v>31077</v>
      </c>
      <c r="C31069" s="5">
        <v>103.4</v>
      </c>
      <c r="D31069" s="5">
        <v>0.1</v>
      </c>
      <c r="E31069" s="5">
        <v>103.5</v>
      </c>
      <c r="F31069" s="5">
        <v>206.3</v>
      </c>
      <c r="G31069" s="5">
        <v>102.9</v>
      </c>
      <c r="H31069" s="5">
        <v>102.8</v>
      </c>
      <c r="I31069" s="5">
        <v>0</v>
      </c>
      <c r="J31069" s="5">
        <v>0</v>
      </c>
      <c r="K31069" s="5">
        <v>0</v>
      </c>
    </row>
    <row r="31070" spans="1:11" x14ac:dyDescent="0.25">
      <c r="A31070" s="5">
        <f>31063</f>
      </c>
      <c r="B31070" s="5" t="s">
        <v>31078</v>
      </c>
      <c r="C31070" s="5">
        <v>103.4</v>
      </c>
      <c r="D31070" s="5">
        <v>0.1</v>
      </c>
      <c r="E31070" s="5">
        <v>103.5</v>
      </c>
      <c r="F31070" s="5">
        <v>206.3</v>
      </c>
      <c r="G31070" s="5">
        <v>102.9</v>
      </c>
      <c r="H31070" s="5">
        <v>102.8</v>
      </c>
      <c r="I31070" s="5">
        <v>0</v>
      </c>
      <c r="J31070" s="5">
        <v>0</v>
      </c>
      <c r="K31070" s="5">
        <v>0</v>
      </c>
    </row>
    <row r="31071" spans="1:11" x14ac:dyDescent="0.25">
      <c r="A31071" s="5">
        <f>31064</f>
      </c>
      <c r="B31071" s="5" t="s">
        <v>31079</v>
      </c>
      <c r="C31071" s="5">
        <v>103</v>
      </c>
      <c r="D31071" s="5">
        <v>0.1</v>
      </c>
      <c r="E31071" s="5">
        <v>103.1</v>
      </c>
      <c r="F31071" s="5">
        <v>205.6</v>
      </c>
      <c r="G31071" s="5">
        <v>102.6</v>
      </c>
      <c r="H31071" s="5">
        <v>102.5</v>
      </c>
      <c r="I31071" s="5">
        <v>0</v>
      </c>
      <c r="J31071" s="5">
        <v>0</v>
      </c>
      <c r="K31071" s="5">
        <v>0</v>
      </c>
    </row>
    <row r="31072" spans="1:11" x14ac:dyDescent="0.25">
      <c r="A31072" s="5">
        <f>31065</f>
      </c>
      <c r="B31072" s="5" t="s">
        <v>31080</v>
      </c>
      <c r="C31072" s="5">
        <v>103</v>
      </c>
      <c r="D31072" s="5">
        <v>0.1</v>
      </c>
      <c r="E31072" s="5">
        <v>103.1</v>
      </c>
      <c r="F31072" s="5">
        <v>205.6</v>
      </c>
      <c r="G31072" s="5">
        <v>102.6</v>
      </c>
      <c r="H31072" s="5">
        <v>102.5</v>
      </c>
      <c r="I31072" s="5">
        <v>0</v>
      </c>
      <c r="J31072" s="5">
        <v>0</v>
      </c>
      <c r="K31072" s="5">
        <v>0</v>
      </c>
    </row>
    <row r="31073" spans="1:11" x14ac:dyDescent="0.25">
      <c r="A31073" s="5">
        <f>31066</f>
      </c>
      <c r="B31073" s="5" t="s">
        <v>31081</v>
      </c>
      <c r="C31073" s="5">
        <v>102.8</v>
      </c>
      <c r="D31073" s="5">
        <v>0.1</v>
      </c>
      <c r="E31073" s="5">
        <v>103</v>
      </c>
      <c r="F31073" s="5">
        <v>205.7</v>
      </c>
      <c r="G31073" s="5">
        <v>102.7</v>
      </c>
      <c r="H31073" s="5">
        <v>102.6</v>
      </c>
      <c r="I31073" s="5">
        <v>0</v>
      </c>
      <c r="J31073" s="5">
        <v>0</v>
      </c>
      <c r="K31073" s="5">
        <v>0</v>
      </c>
    </row>
    <row r="31074" spans="1:11" x14ac:dyDescent="0.25">
      <c r="A31074" s="5">
        <f>31067</f>
      </c>
      <c r="B31074" s="5" t="s">
        <v>31082</v>
      </c>
      <c r="C31074" s="5">
        <v>102.8</v>
      </c>
      <c r="D31074" s="5">
        <v>0.1</v>
      </c>
      <c r="E31074" s="5">
        <v>103</v>
      </c>
      <c r="F31074" s="5">
        <v>205.7</v>
      </c>
      <c r="G31074" s="5">
        <v>102.7</v>
      </c>
      <c r="H31074" s="5">
        <v>102.6</v>
      </c>
      <c r="I31074" s="5">
        <v>0</v>
      </c>
      <c r="J31074" s="5">
        <v>0</v>
      </c>
      <c r="K31074" s="5">
        <v>0</v>
      </c>
    </row>
    <row r="31075" spans="1:11" x14ac:dyDescent="0.25">
      <c r="A31075" s="5">
        <f>31068</f>
      </c>
      <c r="B31075" s="5" t="s">
        <v>31083</v>
      </c>
      <c r="C31075" s="5">
        <v>104</v>
      </c>
      <c r="D31075" s="5">
        <v>0.1</v>
      </c>
      <c r="E31075" s="5">
        <v>104.1</v>
      </c>
      <c r="F31075" s="5">
        <v>207.2</v>
      </c>
      <c r="G31075" s="5">
        <v>103.3</v>
      </c>
      <c r="H31075" s="5">
        <v>103.2</v>
      </c>
      <c r="I31075" s="5">
        <v>0</v>
      </c>
      <c r="J31075" s="5">
        <v>0</v>
      </c>
      <c r="K31075" s="5">
        <v>0</v>
      </c>
    </row>
    <row r="31076" spans="1:11" x14ac:dyDescent="0.25">
      <c r="A31076" s="5">
        <f>31069</f>
      </c>
      <c r="B31076" s="5" t="s">
        <v>31084</v>
      </c>
      <c r="C31076" s="5">
        <v>104</v>
      </c>
      <c r="D31076" s="5">
        <v>0.1</v>
      </c>
      <c r="E31076" s="5">
        <v>104.1</v>
      </c>
      <c r="F31076" s="5">
        <v>207.2</v>
      </c>
      <c r="G31076" s="5">
        <v>103.3</v>
      </c>
      <c r="H31076" s="5">
        <v>103.2</v>
      </c>
      <c r="I31076" s="5">
        <v>0</v>
      </c>
      <c r="J31076" s="5">
        <v>0</v>
      </c>
      <c r="K31076" s="5">
        <v>0</v>
      </c>
    </row>
    <row r="31077" spans="1:11" x14ac:dyDescent="0.25">
      <c r="A31077" s="5">
        <f>31070</f>
      </c>
      <c r="B31077" s="5" t="s">
        <v>31085</v>
      </c>
      <c r="C31077" s="5">
        <v>104</v>
      </c>
      <c r="D31077" s="5">
        <v>0.1</v>
      </c>
      <c r="E31077" s="5">
        <v>104.1</v>
      </c>
      <c r="F31077" s="5">
        <v>207.2</v>
      </c>
      <c r="G31077" s="5">
        <v>103.3</v>
      </c>
      <c r="H31077" s="5">
        <v>103.2</v>
      </c>
      <c r="I31077" s="5">
        <v>0</v>
      </c>
      <c r="J31077" s="5">
        <v>0</v>
      </c>
      <c r="K31077" s="5">
        <v>0</v>
      </c>
    </row>
    <row r="31078" spans="1:11" x14ac:dyDescent="0.25">
      <c r="A31078" s="5">
        <f>31071</f>
      </c>
      <c r="B31078" s="5" t="s">
        <v>31086</v>
      </c>
      <c r="C31078" s="5">
        <v>104</v>
      </c>
      <c r="D31078" s="5">
        <v>0.1</v>
      </c>
      <c r="E31078" s="5">
        <v>104.1</v>
      </c>
      <c r="F31078" s="5">
        <v>205.6</v>
      </c>
      <c r="G31078" s="5">
        <v>102.5</v>
      </c>
      <c r="H31078" s="5">
        <v>102.3</v>
      </c>
      <c r="I31078" s="5">
        <v>0</v>
      </c>
      <c r="J31078" s="5">
        <v>0</v>
      </c>
      <c r="K31078" s="5">
        <v>0</v>
      </c>
    </row>
    <row r="31079" spans="1:11" x14ac:dyDescent="0.25">
      <c r="A31079" s="5">
        <f>31072</f>
      </c>
      <c r="B31079" s="5" t="s">
        <v>31087</v>
      </c>
      <c r="C31079" s="5">
        <v>102.9</v>
      </c>
      <c r="D31079" s="5">
        <v>0.1</v>
      </c>
      <c r="E31079" s="5">
        <v>103.1</v>
      </c>
      <c r="F31079" s="5">
        <v>205.6</v>
      </c>
      <c r="G31079" s="5">
        <v>102.5</v>
      </c>
      <c r="H31079" s="5">
        <v>102.3</v>
      </c>
      <c r="I31079" s="5">
        <v>0</v>
      </c>
      <c r="J31079" s="5">
        <v>0</v>
      </c>
      <c r="K31079" s="5">
        <v>0</v>
      </c>
    </row>
    <row r="31080" spans="1:11" x14ac:dyDescent="0.25">
      <c r="A31080" s="5">
        <f>31073</f>
      </c>
      <c r="B31080" s="5" t="s">
        <v>31088</v>
      </c>
      <c r="C31080" s="5">
        <v>102.9</v>
      </c>
      <c r="D31080" s="5">
        <v>0.1</v>
      </c>
      <c r="E31080" s="5">
        <v>103.1</v>
      </c>
      <c r="F31080" s="5">
        <v>205.6</v>
      </c>
      <c r="G31080" s="5">
        <v>102.6</v>
      </c>
      <c r="H31080" s="5">
        <v>102.5</v>
      </c>
      <c r="I31080" s="5">
        <v>0</v>
      </c>
      <c r="J31080" s="5">
        <v>0</v>
      </c>
      <c r="K31080" s="5">
        <v>0</v>
      </c>
    </row>
    <row r="31081" spans="1:11" x14ac:dyDescent="0.25">
      <c r="A31081" s="5">
        <f>31074</f>
      </c>
      <c r="B31081" s="5" t="s">
        <v>31089</v>
      </c>
      <c r="C31081" s="5">
        <v>103.2</v>
      </c>
      <c r="D31081" s="5">
        <v>0.1</v>
      </c>
      <c r="E31081" s="5">
        <v>103.4</v>
      </c>
      <c r="F31081" s="5">
        <v>205.6</v>
      </c>
      <c r="G31081" s="5">
        <v>102.6</v>
      </c>
      <c r="H31081" s="5">
        <v>102.5</v>
      </c>
      <c r="I31081" s="5">
        <v>0</v>
      </c>
      <c r="J31081" s="5">
        <v>0</v>
      </c>
      <c r="K31081" s="5">
        <v>0</v>
      </c>
    </row>
    <row r="31082" spans="1:11" x14ac:dyDescent="0.25">
      <c r="A31082" s="5">
        <f>31075</f>
      </c>
      <c r="B31082" s="5" t="s">
        <v>31090</v>
      </c>
      <c r="C31082" s="5">
        <v>103.2</v>
      </c>
      <c r="D31082" s="5">
        <v>0.1</v>
      </c>
      <c r="E31082" s="5">
        <v>103.4</v>
      </c>
      <c r="F31082" s="5">
        <v>205.6</v>
      </c>
      <c r="G31082" s="5">
        <v>102.6</v>
      </c>
      <c r="H31082" s="5">
        <v>102.5</v>
      </c>
      <c r="I31082" s="5">
        <v>0</v>
      </c>
      <c r="J31082" s="5">
        <v>0</v>
      </c>
      <c r="K31082" s="5">
        <v>0</v>
      </c>
    </row>
    <row r="31083" spans="1:11" x14ac:dyDescent="0.25">
      <c r="A31083" s="5">
        <f>31076</f>
      </c>
      <c r="B31083" s="5" t="s">
        <v>31091</v>
      </c>
      <c r="C31083" s="5">
        <v>102.5</v>
      </c>
      <c r="D31083" s="5">
        <v>0.1</v>
      </c>
      <c r="E31083" s="5">
        <v>102.7</v>
      </c>
      <c r="F31083" s="5">
        <v>204.7</v>
      </c>
      <c r="G31083" s="5">
        <v>102.1</v>
      </c>
      <c r="H31083" s="5">
        <v>102</v>
      </c>
      <c r="I31083" s="5">
        <v>0</v>
      </c>
      <c r="J31083" s="5">
        <v>0</v>
      </c>
      <c r="K31083" s="5">
        <v>0</v>
      </c>
    </row>
    <row r="31084" spans="1:11" x14ac:dyDescent="0.25">
      <c r="A31084" s="5">
        <f>31077</f>
      </c>
      <c r="B31084" s="5" t="s">
        <v>31092</v>
      </c>
      <c r="C31084" s="5">
        <v>102.5</v>
      </c>
      <c r="D31084" s="5">
        <v>0.1</v>
      </c>
      <c r="E31084" s="5">
        <v>102.7</v>
      </c>
      <c r="F31084" s="5">
        <v>204.7</v>
      </c>
      <c r="G31084" s="5">
        <v>102.1</v>
      </c>
      <c r="H31084" s="5">
        <v>102</v>
      </c>
      <c r="I31084" s="5">
        <v>0</v>
      </c>
      <c r="J31084" s="5">
        <v>0</v>
      </c>
      <c r="K31084" s="5">
        <v>0</v>
      </c>
    </row>
    <row r="31085" spans="1:11" x14ac:dyDescent="0.25">
      <c r="A31085" s="5">
        <f>31078</f>
      </c>
      <c r="B31085" s="5" t="s">
        <v>31093</v>
      </c>
      <c r="C31085" s="5">
        <v>102.4</v>
      </c>
      <c r="D31085" s="5">
        <v>0.1</v>
      </c>
      <c r="E31085" s="5">
        <v>102.5</v>
      </c>
      <c r="F31085" s="5">
        <v>204.6</v>
      </c>
      <c r="G31085" s="5">
        <v>102.1</v>
      </c>
      <c r="H31085" s="5">
        <v>101.9</v>
      </c>
      <c r="I31085" s="5">
        <v>0</v>
      </c>
      <c r="J31085" s="5">
        <v>0</v>
      </c>
      <c r="K31085" s="5">
        <v>0</v>
      </c>
    </row>
    <row r="31086" spans="1:11" x14ac:dyDescent="0.25">
      <c r="A31086" s="5">
        <f>31079</f>
      </c>
      <c r="B31086" s="5" t="s">
        <v>31094</v>
      </c>
      <c r="C31086" s="5">
        <v>102.4</v>
      </c>
      <c r="D31086" s="5">
        <v>0.1</v>
      </c>
      <c r="E31086" s="5">
        <v>102.5</v>
      </c>
      <c r="F31086" s="5">
        <v>204.6</v>
      </c>
      <c r="G31086" s="5">
        <v>102.1</v>
      </c>
      <c r="H31086" s="5">
        <v>101.9</v>
      </c>
      <c r="I31086" s="5">
        <v>0</v>
      </c>
      <c r="J31086" s="5">
        <v>0</v>
      </c>
      <c r="K31086" s="5">
        <v>0</v>
      </c>
    </row>
    <row r="31087" spans="1:11" x14ac:dyDescent="0.25">
      <c r="A31087" s="5">
        <f>31080</f>
      </c>
      <c r="B31087" s="5" t="s">
        <v>31095</v>
      </c>
      <c r="C31087" s="5">
        <v>102.4</v>
      </c>
      <c r="D31087" s="5">
        <v>0.1</v>
      </c>
      <c r="E31087" s="5">
        <v>102.5</v>
      </c>
      <c r="F31087" s="5">
        <v>204.6</v>
      </c>
      <c r="G31087" s="5">
        <v>102.1</v>
      </c>
      <c r="H31087" s="5">
        <v>101.9</v>
      </c>
      <c r="I31087" s="5">
        <v>0</v>
      </c>
      <c r="J31087" s="5">
        <v>0</v>
      </c>
      <c r="K31087" s="5">
        <v>0</v>
      </c>
    </row>
    <row r="31088" spans="1:11" x14ac:dyDescent="0.25">
      <c r="A31088" s="5">
        <f>31081</f>
      </c>
      <c r="B31088" s="5" t="s">
        <v>31096</v>
      </c>
      <c r="C31088" s="5">
        <v>102.2</v>
      </c>
      <c r="D31088" s="5">
        <v>0.1</v>
      </c>
      <c r="E31088" s="5">
        <v>102.4</v>
      </c>
      <c r="F31088" s="5">
        <v>204.5</v>
      </c>
      <c r="G31088" s="5">
        <v>102</v>
      </c>
      <c r="H31088" s="5">
        <v>101.9</v>
      </c>
      <c r="I31088" s="5">
        <v>0</v>
      </c>
      <c r="J31088" s="5">
        <v>0</v>
      </c>
      <c r="K31088" s="5">
        <v>0</v>
      </c>
    </row>
    <row r="31089" spans="1:11" x14ac:dyDescent="0.25">
      <c r="A31089" s="5">
        <f>31082</f>
      </c>
      <c r="B31089" s="5" t="s">
        <v>31097</v>
      </c>
      <c r="C31089" s="5">
        <v>102.2</v>
      </c>
      <c r="D31089" s="5">
        <v>0.1</v>
      </c>
      <c r="E31089" s="5">
        <v>102.4</v>
      </c>
      <c r="F31089" s="5">
        <v>204.5</v>
      </c>
      <c r="G31089" s="5">
        <v>102</v>
      </c>
      <c r="H31089" s="5">
        <v>101.9</v>
      </c>
      <c r="I31089" s="5">
        <v>0</v>
      </c>
      <c r="J31089" s="5">
        <v>0</v>
      </c>
      <c r="K31089" s="5">
        <v>0</v>
      </c>
    </row>
    <row r="31090" spans="1:11" x14ac:dyDescent="0.25">
      <c r="A31090" s="5">
        <f>31083</f>
      </c>
      <c r="B31090" s="5" t="s">
        <v>31098</v>
      </c>
      <c r="C31090" s="5">
        <v>103.1</v>
      </c>
      <c r="D31090" s="5">
        <v>0.1</v>
      </c>
      <c r="E31090" s="5">
        <v>103.2</v>
      </c>
      <c r="F31090" s="5">
        <v>205.6</v>
      </c>
      <c r="G31090" s="5">
        <v>102.6</v>
      </c>
      <c r="H31090" s="5">
        <v>102.4</v>
      </c>
      <c r="I31090" s="5">
        <v>0</v>
      </c>
      <c r="J31090" s="5">
        <v>0</v>
      </c>
      <c r="K31090" s="5">
        <v>0</v>
      </c>
    </row>
    <row r="31091" spans="1:11" x14ac:dyDescent="0.25">
      <c r="A31091" s="5">
        <f>31084</f>
      </c>
      <c r="B31091" s="5" t="s">
        <v>31099</v>
      </c>
      <c r="C31091" s="5">
        <v>103.1</v>
      </c>
      <c r="D31091" s="5">
        <v>0.1</v>
      </c>
      <c r="E31091" s="5">
        <v>103.2</v>
      </c>
      <c r="F31091" s="5">
        <v>205.6</v>
      </c>
      <c r="G31091" s="5">
        <v>102.6</v>
      </c>
      <c r="H31091" s="5">
        <v>102.4</v>
      </c>
      <c r="I31091" s="5">
        <v>0</v>
      </c>
      <c r="J31091" s="5">
        <v>0</v>
      </c>
      <c r="K31091" s="5">
        <v>0</v>
      </c>
    </row>
    <row r="31092" spans="1:11" x14ac:dyDescent="0.25">
      <c r="A31092" s="5">
        <f>31085</f>
      </c>
      <c r="B31092" s="5" t="s">
        <v>31100</v>
      </c>
      <c r="C31092" s="5">
        <v>102.8</v>
      </c>
      <c r="D31092" s="5">
        <v>0.1</v>
      </c>
      <c r="E31092" s="5">
        <v>103</v>
      </c>
      <c r="F31092" s="5">
        <v>205.7</v>
      </c>
      <c r="G31092" s="5">
        <v>102.6</v>
      </c>
      <c r="H31092" s="5">
        <v>102.4</v>
      </c>
      <c r="I31092" s="5">
        <v>0</v>
      </c>
      <c r="J31092" s="5">
        <v>0</v>
      </c>
      <c r="K31092" s="5">
        <v>0</v>
      </c>
    </row>
    <row r="31093" spans="1:11" x14ac:dyDescent="0.25">
      <c r="A31093" s="5">
        <f>31086</f>
      </c>
      <c r="B31093" s="5" t="s">
        <v>31101</v>
      </c>
      <c r="C31093" s="5">
        <v>102.8</v>
      </c>
      <c r="D31093" s="5">
        <v>0.1</v>
      </c>
      <c r="E31093" s="5">
        <v>103</v>
      </c>
      <c r="F31093" s="5">
        <v>205.7</v>
      </c>
      <c r="G31093" s="5">
        <v>102.6</v>
      </c>
      <c r="H31093" s="5">
        <v>102.4</v>
      </c>
      <c r="I31093" s="5">
        <v>0</v>
      </c>
      <c r="J31093" s="5">
        <v>0</v>
      </c>
      <c r="K31093" s="5">
        <v>0</v>
      </c>
    </row>
    <row r="31094" spans="1:11" x14ac:dyDescent="0.25">
      <c r="A31094" s="5">
        <f>31087</f>
      </c>
      <c r="B31094" s="5" t="s">
        <v>31102</v>
      </c>
      <c r="C31094" s="5">
        <v>103.1</v>
      </c>
      <c r="D31094" s="5">
        <v>0.1</v>
      </c>
      <c r="E31094" s="5">
        <v>103.3</v>
      </c>
      <c r="F31094" s="5">
        <v>205.9</v>
      </c>
      <c r="G31094" s="5">
        <v>102.7</v>
      </c>
      <c r="H31094" s="5">
        <v>102.5</v>
      </c>
      <c r="I31094" s="5">
        <v>0</v>
      </c>
      <c r="J31094" s="5">
        <v>0</v>
      </c>
      <c r="K31094" s="5">
        <v>0</v>
      </c>
    </row>
    <row r="31095" spans="1:11" x14ac:dyDescent="0.25">
      <c r="A31095" s="5">
        <f>31088</f>
      </c>
      <c r="B31095" s="5" t="s">
        <v>31103</v>
      </c>
      <c r="C31095" s="5">
        <v>103.1</v>
      </c>
      <c r="D31095" s="5">
        <v>0.1</v>
      </c>
      <c r="E31095" s="5">
        <v>103.3</v>
      </c>
      <c r="F31095" s="5">
        <v>205.9</v>
      </c>
      <c r="G31095" s="5">
        <v>102.7</v>
      </c>
      <c r="H31095" s="5">
        <v>102.5</v>
      </c>
      <c r="I31095" s="5">
        <v>0</v>
      </c>
      <c r="J31095" s="5">
        <v>0</v>
      </c>
      <c r="K31095" s="5">
        <v>0</v>
      </c>
    </row>
    <row r="31096" spans="1:11" x14ac:dyDescent="0.25">
      <c r="A31096" s="5">
        <f>31089</f>
      </c>
      <c r="B31096" s="5" t="s">
        <v>31104</v>
      </c>
      <c r="C31096" s="5">
        <v>103.1</v>
      </c>
      <c r="D31096" s="5">
        <v>0.1</v>
      </c>
      <c r="E31096" s="5">
        <v>103.3</v>
      </c>
      <c r="F31096" s="5">
        <v>205.9</v>
      </c>
      <c r="G31096" s="5">
        <v>102.7</v>
      </c>
      <c r="H31096" s="5">
        <v>102.5</v>
      </c>
      <c r="I31096" s="5">
        <v>0</v>
      </c>
      <c r="J31096" s="5">
        <v>0</v>
      </c>
      <c r="K31096" s="5">
        <v>0</v>
      </c>
    </row>
    <row r="31097" spans="1:11" x14ac:dyDescent="0.25">
      <c r="A31097" s="5">
        <f>31090</f>
      </c>
      <c r="B31097" s="5" t="s">
        <v>31105</v>
      </c>
      <c r="C31097" s="5">
        <v>103.1</v>
      </c>
      <c r="D31097" s="5">
        <v>0.1</v>
      </c>
      <c r="E31097" s="5">
        <v>103.3</v>
      </c>
      <c r="F31097" s="5">
        <v>205.9</v>
      </c>
      <c r="G31097" s="5">
        <v>102.7</v>
      </c>
      <c r="H31097" s="5">
        <v>102.5</v>
      </c>
      <c r="I31097" s="5">
        <v>0</v>
      </c>
      <c r="J31097" s="5">
        <v>0</v>
      </c>
      <c r="K31097" s="5">
        <v>0</v>
      </c>
    </row>
    <row r="31098" spans="1:11" x14ac:dyDescent="0.25">
      <c r="A31098" s="5">
        <f>31091</f>
      </c>
      <c r="B31098" s="5" t="s">
        <v>31106</v>
      </c>
      <c r="C31098" s="5">
        <v>102.5</v>
      </c>
      <c r="D31098" s="5">
        <v>0.1</v>
      </c>
      <c r="E31098" s="5">
        <v>102.7</v>
      </c>
      <c r="F31098" s="5">
        <v>204.9</v>
      </c>
      <c r="G31098" s="5">
        <v>102.1</v>
      </c>
      <c r="H31098" s="5">
        <v>102</v>
      </c>
      <c r="I31098" s="5">
        <v>0</v>
      </c>
      <c r="J31098" s="5">
        <v>0</v>
      </c>
      <c r="K31098" s="5">
        <v>0</v>
      </c>
    </row>
    <row r="31099" spans="1:11" x14ac:dyDescent="0.25">
      <c r="A31099" s="5">
        <f>31092</f>
      </c>
      <c r="B31099" s="5" t="s">
        <v>31107</v>
      </c>
      <c r="C31099" s="5">
        <v>102.5</v>
      </c>
      <c r="D31099" s="5">
        <v>0.1</v>
      </c>
      <c r="E31099" s="5">
        <v>102.7</v>
      </c>
      <c r="F31099" s="5">
        <v>204.9</v>
      </c>
      <c r="G31099" s="5">
        <v>102.1</v>
      </c>
      <c r="H31099" s="5">
        <v>102</v>
      </c>
      <c r="I31099" s="5">
        <v>0</v>
      </c>
      <c r="J31099" s="5">
        <v>0</v>
      </c>
      <c r="K31099" s="5">
        <v>0</v>
      </c>
    </row>
    <row r="31100" spans="1:11" x14ac:dyDescent="0.25">
      <c r="A31100" s="5">
        <f>31093</f>
      </c>
      <c r="B31100" s="5" t="s">
        <v>31108</v>
      </c>
      <c r="C31100" s="5">
        <v>102.7</v>
      </c>
      <c r="D31100" s="5">
        <v>0.1</v>
      </c>
      <c r="E31100" s="5">
        <v>102.9</v>
      </c>
      <c r="F31100" s="5">
        <v>205.1</v>
      </c>
      <c r="G31100" s="5">
        <v>102.4</v>
      </c>
      <c r="H31100" s="5">
        <v>102</v>
      </c>
      <c r="I31100" s="5">
        <v>0</v>
      </c>
      <c r="J31100" s="5">
        <v>0</v>
      </c>
      <c r="K31100" s="5">
        <v>0</v>
      </c>
    </row>
    <row r="31101" spans="1:11" x14ac:dyDescent="0.25">
      <c r="A31101" s="5">
        <f>31094</f>
      </c>
      <c r="B31101" s="5" t="s">
        <v>31109</v>
      </c>
      <c r="C31101" s="5">
        <v>102.7</v>
      </c>
      <c r="D31101" s="5">
        <v>0.1</v>
      </c>
      <c r="E31101" s="5">
        <v>102.9</v>
      </c>
      <c r="F31101" s="5">
        <v>205.1</v>
      </c>
      <c r="G31101" s="5">
        <v>102.4</v>
      </c>
      <c r="H31101" s="5">
        <v>102.2</v>
      </c>
      <c r="I31101" s="5">
        <v>0</v>
      </c>
      <c r="J31101" s="5">
        <v>0</v>
      </c>
      <c r="K31101" s="5">
        <v>0</v>
      </c>
    </row>
    <row r="31102" spans="1:11" x14ac:dyDescent="0.25">
      <c r="A31102" s="5">
        <f>31095</f>
      </c>
      <c r="B31102" s="5" t="s">
        <v>31110</v>
      </c>
      <c r="C31102" s="5">
        <v>102.8</v>
      </c>
      <c r="D31102" s="5">
        <v>0.1</v>
      </c>
      <c r="E31102" s="5">
        <v>103</v>
      </c>
      <c r="F31102" s="5">
        <v>205.4</v>
      </c>
      <c r="G31102" s="5">
        <v>102.4</v>
      </c>
      <c r="H31102" s="5">
        <v>102.2</v>
      </c>
      <c r="I31102" s="5">
        <v>0</v>
      </c>
      <c r="J31102" s="5">
        <v>0</v>
      </c>
      <c r="K31102" s="5">
        <v>0</v>
      </c>
    </row>
    <row r="31103" spans="1:11" x14ac:dyDescent="0.25">
      <c r="A31103" s="5">
        <f>31096</f>
      </c>
      <c r="B31103" s="5" t="s">
        <v>31111</v>
      </c>
      <c r="C31103" s="5">
        <v>102.8</v>
      </c>
      <c r="D31103" s="5">
        <v>0.1</v>
      </c>
      <c r="E31103" s="5">
        <v>103</v>
      </c>
      <c r="F31103" s="5">
        <v>205.4</v>
      </c>
      <c r="G31103" s="5">
        <v>102.5</v>
      </c>
      <c r="H31103" s="5">
        <v>102.4</v>
      </c>
      <c r="I31103" s="5">
        <v>0</v>
      </c>
      <c r="J31103" s="5">
        <v>0</v>
      </c>
      <c r="K31103" s="5">
        <v>0</v>
      </c>
    </row>
    <row r="31104" spans="1:11" x14ac:dyDescent="0.25">
      <c r="A31104" s="5">
        <f>31097</f>
      </c>
      <c r="B31104" s="5" t="s">
        <v>31112</v>
      </c>
      <c r="C31104" s="5">
        <v>103.2</v>
      </c>
      <c r="D31104" s="5">
        <v>0.1</v>
      </c>
      <c r="E31104" s="5">
        <v>103</v>
      </c>
      <c r="F31104" s="5">
        <v>205.4</v>
      </c>
      <c r="G31104" s="5">
        <v>102.5</v>
      </c>
      <c r="H31104" s="5">
        <v>102.4</v>
      </c>
      <c r="I31104" s="5">
        <v>0</v>
      </c>
      <c r="J31104" s="5">
        <v>0</v>
      </c>
      <c r="K31104" s="5">
        <v>0</v>
      </c>
    </row>
    <row r="31105" spans="1:11" x14ac:dyDescent="0.25">
      <c r="A31105" s="5">
        <f>31098</f>
      </c>
      <c r="B31105" s="5" t="s">
        <v>31113</v>
      </c>
      <c r="C31105" s="5">
        <v>103.2</v>
      </c>
      <c r="D31105" s="5">
        <v>0.1</v>
      </c>
      <c r="E31105" s="5">
        <v>103.4</v>
      </c>
      <c r="F31105" s="5">
        <v>206.3</v>
      </c>
      <c r="G31105" s="5">
        <v>102.9</v>
      </c>
      <c r="H31105" s="5">
        <v>102.7</v>
      </c>
      <c r="I31105" s="5">
        <v>0</v>
      </c>
      <c r="J31105" s="5">
        <v>0</v>
      </c>
      <c r="K31105" s="5">
        <v>0</v>
      </c>
    </row>
    <row r="31106" spans="1:11" x14ac:dyDescent="0.25">
      <c r="A31106" s="5">
        <f>31099</f>
      </c>
      <c r="B31106" s="5" t="s">
        <v>31114</v>
      </c>
      <c r="C31106" s="5">
        <v>103.2</v>
      </c>
      <c r="D31106" s="5">
        <v>0.1</v>
      </c>
      <c r="E31106" s="5">
        <v>103.4</v>
      </c>
      <c r="F31106" s="5">
        <v>206.3</v>
      </c>
      <c r="G31106" s="5">
        <v>102.9</v>
      </c>
      <c r="H31106" s="5">
        <v>102.7</v>
      </c>
      <c r="I31106" s="5">
        <v>0</v>
      </c>
      <c r="J31106" s="5">
        <v>0</v>
      </c>
      <c r="K31106" s="5">
        <v>0</v>
      </c>
    </row>
    <row r="31107" spans="1:11" x14ac:dyDescent="0.25">
      <c r="A31107" s="5">
        <f>31100</f>
      </c>
      <c r="B31107" s="5" t="s">
        <v>31115</v>
      </c>
      <c r="C31107" s="5">
        <v>103.2</v>
      </c>
      <c r="D31107" s="5">
        <v>0.1</v>
      </c>
      <c r="E31107" s="5">
        <v>103.4</v>
      </c>
      <c r="F31107" s="5">
        <v>206.3</v>
      </c>
      <c r="G31107" s="5">
        <v>102.9</v>
      </c>
      <c r="H31107" s="5">
        <v>102.7</v>
      </c>
      <c r="I31107" s="5">
        <v>0</v>
      </c>
      <c r="J31107" s="5">
        <v>0</v>
      </c>
      <c r="K31107" s="5">
        <v>0</v>
      </c>
    </row>
    <row r="31108" spans="1:11" x14ac:dyDescent="0.25">
      <c r="A31108" s="5">
        <f>31101</f>
      </c>
      <c r="B31108" s="5" t="s">
        <v>31116</v>
      </c>
      <c r="C31108" s="5">
        <v>103.2</v>
      </c>
      <c r="D31108" s="5">
        <v>0.1</v>
      </c>
      <c r="E31108" s="5">
        <v>102.9</v>
      </c>
      <c r="F31108" s="5">
        <v>205.1</v>
      </c>
      <c r="G31108" s="5">
        <v>102.3</v>
      </c>
      <c r="H31108" s="5">
        <v>102.2</v>
      </c>
      <c r="I31108" s="5">
        <v>0</v>
      </c>
      <c r="J31108" s="5">
        <v>0</v>
      </c>
      <c r="K31108" s="5">
        <v>0</v>
      </c>
    </row>
    <row r="31109" spans="1:11" x14ac:dyDescent="0.25">
      <c r="A31109" s="5">
        <f>31102</f>
      </c>
      <c r="B31109" s="5" t="s">
        <v>31117</v>
      </c>
      <c r="C31109" s="5">
        <v>102.7</v>
      </c>
      <c r="D31109" s="5">
        <v>0.1</v>
      </c>
      <c r="E31109" s="5">
        <v>102.9</v>
      </c>
      <c r="F31109" s="5">
        <v>205.1</v>
      </c>
      <c r="G31109" s="5">
        <v>102.3</v>
      </c>
      <c r="H31109" s="5">
        <v>102.2</v>
      </c>
      <c r="I31109" s="5">
        <v>0</v>
      </c>
      <c r="J31109" s="5">
        <v>0</v>
      </c>
      <c r="K31109" s="5">
        <v>0</v>
      </c>
    </row>
    <row r="31110" spans="1:11" x14ac:dyDescent="0.25">
      <c r="A31110" s="5">
        <f>31103</f>
      </c>
      <c r="B31110" s="5" t="s">
        <v>31118</v>
      </c>
      <c r="C31110" s="5">
        <v>102.7</v>
      </c>
      <c r="D31110" s="5">
        <v>0.1</v>
      </c>
      <c r="E31110" s="5">
        <v>102.9</v>
      </c>
      <c r="F31110" s="5">
        <v>205.1</v>
      </c>
      <c r="G31110" s="5">
        <v>102.9</v>
      </c>
      <c r="H31110" s="5">
        <v>102.7</v>
      </c>
      <c r="I31110" s="5">
        <v>0</v>
      </c>
      <c r="J31110" s="5">
        <v>0</v>
      </c>
      <c r="K31110" s="5">
        <v>0</v>
      </c>
    </row>
    <row r="31111" spans="1:11" x14ac:dyDescent="0.25">
      <c r="A31111" s="5">
        <f>31104</f>
      </c>
      <c r="B31111" s="5" t="s">
        <v>31119</v>
      </c>
      <c r="C31111" s="5">
        <v>103.4</v>
      </c>
      <c r="D31111" s="5">
        <v>0.1</v>
      </c>
      <c r="E31111" s="5">
        <v>103.6</v>
      </c>
      <c r="F31111" s="5">
        <v>206.2</v>
      </c>
      <c r="G31111" s="5">
        <v>102.9</v>
      </c>
      <c r="H31111" s="5">
        <v>102.7</v>
      </c>
      <c r="I31111" s="5">
        <v>0</v>
      </c>
      <c r="J31111" s="5">
        <v>0</v>
      </c>
      <c r="K31111" s="5">
        <v>0</v>
      </c>
    </row>
    <row r="31112" spans="1:11" x14ac:dyDescent="0.25">
      <c r="A31112" s="5">
        <f>31105</f>
      </c>
      <c r="B31112" s="5" t="s">
        <v>31120</v>
      </c>
      <c r="C31112" s="5">
        <v>103.4</v>
      </c>
      <c r="D31112" s="5">
        <v>0.1</v>
      </c>
      <c r="E31112" s="5">
        <v>103.6</v>
      </c>
      <c r="F31112" s="5">
        <v>206.2</v>
      </c>
      <c r="G31112" s="5">
        <v>102.9</v>
      </c>
      <c r="H31112" s="5">
        <v>102.7</v>
      </c>
      <c r="I31112" s="5">
        <v>0</v>
      </c>
      <c r="J31112" s="5">
        <v>0</v>
      </c>
      <c r="K31112" s="5">
        <v>0</v>
      </c>
    </row>
    <row r="31113" spans="1:11" x14ac:dyDescent="0.25">
      <c r="A31113" s="5">
        <f>31106</f>
      </c>
      <c r="B31113" s="5" t="s">
        <v>31121</v>
      </c>
      <c r="C31113" s="5">
        <v>102.7</v>
      </c>
      <c r="D31113" s="5">
        <v>0.1</v>
      </c>
      <c r="E31113" s="5">
        <v>102.9</v>
      </c>
      <c r="F31113" s="5">
        <v>204.8</v>
      </c>
      <c r="G31113" s="5">
        <v>102.2</v>
      </c>
      <c r="H31113" s="5">
        <v>102.2</v>
      </c>
      <c r="I31113" s="5">
        <v>0</v>
      </c>
      <c r="J31113" s="5">
        <v>0</v>
      </c>
      <c r="K31113" s="5">
        <v>0</v>
      </c>
    </row>
    <row r="31114" spans="1:11" x14ac:dyDescent="0.25">
      <c r="A31114" s="5">
        <f>31107</f>
      </c>
      <c r="B31114" s="5" t="s">
        <v>31122</v>
      </c>
      <c r="C31114" s="5">
        <v>102.7</v>
      </c>
      <c r="D31114" s="5">
        <v>0.1</v>
      </c>
      <c r="E31114" s="5">
        <v>102.9</v>
      </c>
      <c r="F31114" s="5">
        <v>204.8</v>
      </c>
      <c r="G31114" s="5">
        <v>102.2</v>
      </c>
      <c r="H31114" s="5">
        <v>102.2</v>
      </c>
      <c r="I31114" s="5">
        <v>0</v>
      </c>
      <c r="J31114" s="5">
        <v>0</v>
      </c>
      <c r="K31114" s="5">
        <v>0</v>
      </c>
    </row>
    <row r="31115" spans="1:11" x14ac:dyDescent="0.25">
      <c r="A31115" s="5">
        <f>31108</f>
      </c>
      <c r="B31115" s="5" t="s">
        <v>31123</v>
      </c>
      <c r="C31115" s="5">
        <v>103.2</v>
      </c>
      <c r="D31115" s="5">
        <v>0.1</v>
      </c>
      <c r="E31115" s="5">
        <v>103.4</v>
      </c>
      <c r="F31115" s="5">
        <v>206.2</v>
      </c>
      <c r="G31115" s="5">
        <v>102.9</v>
      </c>
      <c r="H31115" s="5">
        <v>102.8</v>
      </c>
      <c r="I31115" s="5">
        <v>0</v>
      </c>
      <c r="J31115" s="5">
        <v>0</v>
      </c>
      <c r="K31115" s="5">
        <v>0</v>
      </c>
    </row>
    <row r="31116" spans="1:11" x14ac:dyDescent="0.25">
      <c r="A31116" s="5">
        <f>31109</f>
      </c>
      <c r="B31116" s="5" t="s">
        <v>31124</v>
      </c>
      <c r="C31116" s="5">
        <v>103.2</v>
      </c>
      <c r="D31116" s="5">
        <v>0.1</v>
      </c>
      <c r="E31116" s="5">
        <v>103.4</v>
      </c>
      <c r="F31116" s="5">
        <v>206.2</v>
      </c>
      <c r="G31116" s="5">
        <v>102.9</v>
      </c>
      <c r="H31116" s="5">
        <v>102.8</v>
      </c>
      <c r="I31116" s="5">
        <v>0</v>
      </c>
      <c r="J31116" s="5">
        <v>0</v>
      </c>
      <c r="K31116" s="5">
        <v>0</v>
      </c>
    </row>
    <row r="31117" spans="1:11" x14ac:dyDescent="0.25">
      <c r="A31117" s="5">
        <f>31110</f>
      </c>
      <c r="B31117" s="5" t="s">
        <v>31125</v>
      </c>
      <c r="C31117" s="5">
        <v>103.2</v>
      </c>
      <c r="D31117" s="5">
        <v>0.1</v>
      </c>
      <c r="E31117" s="5">
        <v>103.4</v>
      </c>
      <c r="F31117" s="5">
        <v>206.2</v>
      </c>
      <c r="G31117" s="5">
        <v>102.9</v>
      </c>
      <c r="H31117" s="5">
        <v>102.8</v>
      </c>
      <c r="I31117" s="5">
        <v>0</v>
      </c>
      <c r="J31117" s="5">
        <v>0</v>
      </c>
      <c r="K31117" s="5">
        <v>0</v>
      </c>
    </row>
    <row r="31118" spans="1:11" x14ac:dyDescent="0.25">
      <c r="A31118" s="5">
        <f>31111</f>
      </c>
      <c r="B31118" s="5" t="s">
        <v>31126</v>
      </c>
      <c r="C31118" s="5">
        <v>102.9</v>
      </c>
      <c r="D31118" s="5">
        <v>0.1</v>
      </c>
      <c r="E31118" s="5">
        <v>103.1</v>
      </c>
      <c r="F31118" s="5">
        <v>205.3</v>
      </c>
      <c r="G31118" s="5">
        <v>102.5</v>
      </c>
      <c r="H31118" s="5">
        <v>102.4</v>
      </c>
      <c r="I31118" s="5">
        <v>0</v>
      </c>
      <c r="J31118" s="5">
        <v>0</v>
      </c>
      <c r="K31118" s="5">
        <v>0</v>
      </c>
    </row>
    <row r="31119" spans="1:11" x14ac:dyDescent="0.25">
      <c r="A31119" s="5">
        <f>31112</f>
      </c>
      <c r="B31119" s="5" t="s">
        <v>31127</v>
      </c>
      <c r="C31119" s="5">
        <v>102.9</v>
      </c>
      <c r="D31119" s="5">
        <v>0.1</v>
      </c>
      <c r="E31119" s="5">
        <v>103.1</v>
      </c>
      <c r="F31119" s="5">
        <v>205.3</v>
      </c>
      <c r="G31119" s="5">
        <v>102.5</v>
      </c>
      <c r="H31119" s="5">
        <v>102.4</v>
      </c>
      <c r="I31119" s="5">
        <v>0</v>
      </c>
      <c r="J31119" s="5">
        <v>0</v>
      </c>
      <c r="K31119" s="5">
        <v>0</v>
      </c>
    </row>
    <row r="31120" spans="1:11" x14ac:dyDescent="0.25">
      <c r="A31120" s="5">
        <f>31113</f>
      </c>
      <c r="B31120" s="5" t="s">
        <v>31128</v>
      </c>
      <c r="C31120" s="5">
        <v>102.1</v>
      </c>
      <c r="D31120" s="5">
        <v>0.1</v>
      </c>
      <c r="E31120" s="5">
        <v>102.3</v>
      </c>
      <c r="F31120" s="5">
        <v>204</v>
      </c>
      <c r="G31120" s="5">
        <v>101.8</v>
      </c>
      <c r="H31120" s="5">
        <v>101.6</v>
      </c>
      <c r="I31120" s="5">
        <v>0</v>
      </c>
      <c r="J31120" s="5">
        <v>0</v>
      </c>
      <c r="K31120" s="5">
        <v>0</v>
      </c>
    </row>
    <row r="31121" spans="1:11" x14ac:dyDescent="0.25">
      <c r="A31121" s="5">
        <f>31114</f>
      </c>
      <c r="B31121" s="5" t="s">
        <v>31129</v>
      </c>
      <c r="C31121" s="5">
        <v>102.1</v>
      </c>
      <c r="D31121" s="5">
        <v>0.1</v>
      </c>
      <c r="E31121" s="5">
        <v>102.3</v>
      </c>
      <c r="F31121" s="5">
        <v>204</v>
      </c>
      <c r="G31121" s="5">
        <v>101.8</v>
      </c>
      <c r="H31121" s="5">
        <v>101.6</v>
      </c>
      <c r="I31121" s="5">
        <v>0</v>
      </c>
      <c r="J31121" s="5">
        <v>0</v>
      </c>
      <c r="K31121" s="5">
        <v>0</v>
      </c>
    </row>
    <row r="31122" spans="1:11" x14ac:dyDescent="0.25">
      <c r="A31122" s="5">
        <f>31115</f>
      </c>
      <c r="B31122" s="5" t="s">
        <v>31130</v>
      </c>
      <c r="C31122" s="5">
        <v>103</v>
      </c>
      <c r="D31122" s="5">
        <v>0.1</v>
      </c>
      <c r="E31122" s="5">
        <v>103.1</v>
      </c>
      <c r="F31122" s="5">
        <v>205.4</v>
      </c>
      <c r="G31122" s="5">
        <v>102.5</v>
      </c>
      <c r="H31122" s="5">
        <v>102.3</v>
      </c>
      <c r="I31122" s="5">
        <v>0</v>
      </c>
      <c r="J31122" s="5">
        <v>0</v>
      </c>
      <c r="K31122" s="5">
        <v>0</v>
      </c>
    </row>
    <row r="31123" spans="1:11" x14ac:dyDescent="0.25">
      <c r="A31123" s="5">
        <f>31116</f>
      </c>
      <c r="B31123" s="5" t="s">
        <v>31131</v>
      </c>
      <c r="C31123" s="5">
        <v>103</v>
      </c>
      <c r="D31123" s="5">
        <v>0.1</v>
      </c>
      <c r="E31123" s="5">
        <v>103.1</v>
      </c>
      <c r="F31123" s="5">
        <v>205.4</v>
      </c>
      <c r="G31123" s="5">
        <v>102.5</v>
      </c>
      <c r="H31123" s="5">
        <v>102.3</v>
      </c>
      <c r="I31123" s="5">
        <v>0</v>
      </c>
      <c r="J31123" s="5">
        <v>0</v>
      </c>
      <c r="K31123" s="5">
        <v>0</v>
      </c>
    </row>
    <row r="31124" spans="1:11" x14ac:dyDescent="0.25">
      <c r="A31124" s="5">
        <f>31117</f>
      </c>
      <c r="B31124" s="5" t="s">
        <v>31132</v>
      </c>
      <c r="C31124" s="5">
        <v>103.2</v>
      </c>
      <c r="D31124" s="5">
        <v>0.1</v>
      </c>
      <c r="E31124" s="5">
        <v>103.3</v>
      </c>
      <c r="F31124" s="5">
        <v>206.3</v>
      </c>
      <c r="G31124" s="5">
        <v>102.9</v>
      </c>
      <c r="H31124" s="5">
        <v>102.8</v>
      </c>
      <c r="I31124" s="5">
        <v>0</v>
      </c>
      <c r="J31124" s="5">
        <v>0</v>
      </c>
      <c r="K31124" s="5">
        <v>0</v>
      </c>
    </row>
    <row r="31125" spans="1:11" x14ac:dyDescent="0.25">
      <c r="A31125" s="5">
        <f>31118</f>
      </c>
      <c r="B31125" s="5" t="s">
        <v>31133</v>
      </c>
      <c r="C31125" s="5">
        <v>103.2</v>
      </c>
      <c r="D31125" s="5">
        <v>0.1</v>
      </c>
      <c r="E31125" s="5">
        <v>103.3</v>
      </c>
      <c r="F31125" s="5">
        <v>206.3</v>
      </c>
      <c r="G31125" s="5">
        <v>102.9</v>
      </c>
      <c r="H31125" s="5">
        <v>102.8</v>
      </c>
      <c r="I31125" s="5">
        <v>0</v>
      </c>
      <c r="J31125" s="5">
        <v>0</v>
      </c>
      <c r="K31125" s="5">
        <v>0</v>
      </c>
    </row>
    <row r="31126" spans="1:11" x14ac:dyDescent="0.25">
      <c r="A31126" s="5">
        <f>31119</f>
      </c>
      <c r="B31126" s="5" t="s">
        <v>31134</v>
      </c>
      <c r="C31126" s="5">
        <v>103.2</v>
      </c>
      <c r="D31126" s="5">
        <v>0.1</v>
      </c>
      <c r="E31126" s="5">
        <v>103.3</v>
      </c>
      <c r="F31126" s="5">
        <v>206.3</v>
      </c>
      <c r="G31126" s="5">
        <v>102.9</v>
      </c>
      <c r="H31126" s="5">
        <v>102.8</v>
      </c>
      <c r="I31126" s="5">
        <v>0</v>
      </c>
      <c r="J31126" s="5">
        <v>0</v>
      </c>
      <c r="K31126" s="5">
        <v>0</v>
      </c>
    </row>
    <row r="31127" spans="1:11" x14ac:dyDescent="0.25">
      <c r="A31127" s="5">
        <f>31120</f>
      </c>
      <c r="B31127" s="5" t="s">
        <v>31135</v>
      </c>
      <c r="C31127" s="5">
        <v>103.2</v>
      </c>
      <c r="D31127" s="5">
        <v>0.1</v>
      </c>
      <c r="E31127" s="5">
        <v>103.3</v>
      </c>
      <c r="F31127" s="5">
        <v>206.3</v>
      </c>
      <c r="G31127" s="5">
        <v>102.9</v>
      </c>
      <c r="H31127" s="5">
        <v>102.8</v>
      </c>
      <c r="I31127" s="5">
        <v>0</v>
      </c>
      <c r="J31127" s="5">
        <v>0</v>
      </c>
      <c r="K31127" s="5">
        <v>0</v>
      </c>
    </row>
    <row r="31128" spans="1:11" x14ac:dyDescent="0.25">
      <c r="A31128" s="5">
        <f>31121</f>
      </c>
      <c r="B31128" s="5" t="s">
        <v>31136</v>
      </c>
      <c r="C31128" s="5">
        <v>103.3</v>
      </c>
      <c r="D31128" s="5">
        <v>0.1</v>
      </c>
      <c r="E31128" s="5">
        <v>103.4</v>
      </c>
      <c r="F31128" s="5">
        <v>205.9</v>
      </c>
      <c r="G31128" s="5">
        <v>102.7</v>
      </c>
      <c r="H31128" s="5">
        <v>102.6</v>
      </c>
      <c r="I31128" s="5">
        <v>0</v>
      </c>
      <c r="J31128" s="5">
        <v>0</v>
      </c>
      <c r="K31128" s="5">
        <v>0</v>
      </c>
    </row>
    <row r="31129" spans="1:11" x14ac:dyDescent="0.25">
      <c r="A31129" s="5">
        <f>31122</f>
      </c>
      <c r="B31129" s="5" t="s">
        <v>31137</v>
      </c>
      <c r="C31129" s="5">
        <v>103.3</v>
      </c>
      <c r="D31129" s="5">
        <v>0.1</v>
      </c>
      <c r="E31129" s="5">
        <v>103.4</v>
      </c>
      <c r="F31129" s="5">
        <v>205.9</v>
      </c>
      <c r="G31129" s="5">
        <v>102.7</v>
      </c>
      <c r="H31129" s="5">
        <v>102.6</v>
      </c>
      <c r="I31129" s="5">
        <v>0</v>
      </c>
      <c r="J31129" s="5">
        <v>0</v>
      </c>
      <c r="K31129" s="5">
        <v>0</v>
      </c>
    </row>
    <row r="31130" spans="1:11" x14ac:dyDescent="0.25">
      <c r="A31130" s="5">
        <f>31123</f>
      </c>
      <c r="B31130" s="5" t="s">
        <v>31138</v>
      </c>
      <c r="C31130" s="5">
        <v>103.5</v>
      </c>
      <c r="D31130" s="5">
        <v>0.1</v>
      </c>
      <c r="E31130" s="5">
        <v>103.7</v>
      </c>
      <c r="F31130" s="5">
        <v>206.7</v>
      </c>
      <c r="G31130" s="5">
        <v>103.1</v>
      </c>
      <c r="H31130" s="5">
        <v>103</v>
      </c>
      <c r="I31130" s="5">
        <v>0</v>
      </c>
      <c r="J31130" s="5">
        <v>0</v>
      </c>
      <c r="K31130" s="5">
        <v>0</v>
      </c>
    </row>
    <row r="31131" spans="1:11" x14ac:dyDescent="0.25">
      <c r="A31131" s="5">
        <f>31124</f>
      </c>
      <c r="B31131" s="5" t="s">
        <v>31139</v>
      </c>
      <c r="C31131" s="5">
        <v>103.5</v>
      </c>
      <c r="D31131" s="5">
        <v>0.1</v>
      </c>
      <c r="E31131" s="5">
        <v>103.7</v>
      </c>
      <c r="F31131" s="5">
        <v>206.7</v>
      </c>
      <c r="G31131" s="5">
        <v>103.1</v>
      </c>
      <c r="H31131" s="5">
        <v>103</v>
      </c>
      <c r="I31131" s="5">
        <v>0</v>
      </c>
      <c r="J31131" s="5">
        <v>0</v>
      </c>
      <c r="K31131" s="5">
        <v>0</v>
      </c>
    </row>
    <row r="31132" spans="1:11" x14ac:dyDescent="0.25">
      <c r="A31132" s="5">
        <f>31125</f>
      </c>
      <c r="B31132" s="5" t="s">
        <v>31140</v>
      </c>
      <c r="C31132" s="5">
        <v>104</v>
      </c>
      <c r="D31132" s="5">
        <v>0.1</v>
      </c>
      <c r="E31132" s="5">
        <v>104.2</v>
      </c>
      <c r="F31132" s="5">
        <v>207.8</v>
      </c>
      <c r="G31132" s="5">
        <v>103.7</v>
      </c>
      <c r="H31132" s="5">
        <v>103.5</v>
      </c>
      <c r="I31132" s="5">
        <v>0</v>
      </c>
      <c r="J31132" s="5">
        <v>0</v>
      </c>
      <c r="K31132" s="5">
        <v>0</v>
      </c>
    </row>
    <row r="31133" spans="1:11" x14ac:dyDescent="0.25">
      <c r="A31133" s="5">
        <f>31126</f>
      </c>
      <c r="B31133" s="5" t="s">
        <v>31141</v>
      </c>
      <c r="C31133" s="5">
        <v>104</v>
      </c>
      <c r="D31133" s="5">
        <v>0.1</v>
      </c>
      <c r="E31133" s="5">
        <v>104.2</v>
      </c>
      <c r="F31133" s="5">
        <v>207.8</v>
      </c>
      <c r="G31133" s="5">
        <v>103.7</v>
      </c>
      <c r="H31133" s="5">
        <v>103.5</v>
      </c>
      <c r="I31133" s="5">
        <v>0</v>
      </c>
      <c r="J31133" s="5">
        <v>0</v>
      </c>
      <c r="K31133" s="5">
        <v>0</v>
      </c>
    </row>
    <row r="31134" spans="1:11" x14ac:dyDescent="0.25">
      <c r="A31134" s="5">
        <f>31127</f>
      </c>
      <c r="B31134" s="5" t="s">
        <v>31142</v>
      </c>
      <c r="C31134" s="5">
        <v>103.7</v>
      </c>
      <c r="D31134" s="5">
        <v>0.1</v>
      </c>
      <c r="E31134" s="5">
        <v>103.8</v>
      </c>
      <c r="F31134" s="5">
        <v>207.9</v>
      </c>
      <c r="G31134" s="5">
        <v>103.6</v>
      </c>
      <c r="H31134" s="5">
        <v>103.5</v>
      </c>
      <c r="I31134" s="5">
        <v>0</v>
      </c>
      <c r="J31134" s="5">
        <v>0</v>
      </c>
      <c r="K31134" s="5">
        <v>0</v>
      </c>
    </row>
    <row r="31135" spans="1:11" x14ac:dyDescent="0.25">
      <c r="A31135" s="5">
        <f>31128</f>
      </c>
      <c r="B31135" s="5" t="s">
        <v>31143</v>
      </c>
      <c r="C31135" s="5">
        <v>103.7</v>
      </c>
      <c r="D31135" s="5">
        <v>0.1</v>
      </c>
      <c r="E31135" s="5">
        <v>103.8</v>
      </c>
      <c r="F31135" s="5">
        <v>207.9</v>
      </c>
      <c r="G31135" s="5">
        <v>103.6</v>
      </c>
      <c r="H31135" s="5">
        <v>103.5</v>
      </c>
      <c r="I31135" s="5">
        <v>0</v>
      </c>
      <c r="J31135" s="5">
        <v>0</v>
      </c>
      <c r="K31135" s="5">
        <v>0</v>
      </c>
    </row>
    <row r="31136" spans="1:11" x14ac:dyDescent="0.25">
      <c r="A31136" s="5">
        <f>31129</f>
      </c>
      <c r="B31136" s="5" t="s">
        <v>31144</v>
      </c>
      <c r="C31136" s="5">
        <v>103.7</v>
      </c>
      <c r="D31136" s="5">
        <v>0.1</v>
      </c>
      <c r="E31136" s="5">
        <v>103.8</v>
      </c>
      <c r="F31136" s="5">
        <v>207.9</v>
      </c>
      <c r="G31136" s="5">
        <v>103.6</v>
      </c>
      <c r="H31136" s="5">
        <v>103.5</v>
      </c>
      <c r="I31136" s="5">
        <v>0</v>
      </c>
      <c r="J31136" s="5">
        <v>0</v>
      </c>
      <c r="K31136" s="5">
        <v>0</v>
      </c>
    </row>
    <row r="31137" spans="1:11" x14ac:dyDescent="0.25">
      <c r="A31137" s="5">
        <f>31130</f>
      </c>
      <c r="B31137" s="5" t="s">
        <v>31145</v>
      </c>
      <c r="C31137" s="5">
        <v>103.7</v>
      </c>
      <c r="D31137" s="5">
        <v>0.1</v>
      </c>
      <c r="E31137" s="5">
        <v>103.8</v>
      </c>
      <c r="F31137" s="5">
        <v>207.9</v>
      </c>
      <c r="G31137" s="5">
        <v>103.6</v>
      </c>
      <c r="H31137" s="5">
        <v>103.5</v>
      </c>
      <c r="I31137" s="5">
        <v>0</v>
      </c>
      <c r="J31137" s="5">
        <v>0</v>
      </c>
      <c r="K31137" s="5">
        <v>0</v>
      </c>
    </row>
    <row r="31138" spans="1:11" x14ac:dyDescent="0.25">
      <c r="A31138" s="5">
        <f>31131</f>
      </c>
      <c r="B31138" s="5" t="s">
        <v>31146</v>
      </c>
      <c r="C31138" s="5">
        <v>104.2</v>
      </c>
      <c r="D31138" s="5">
        <v>0.1</v>
      </c>
      <c r="E31138" s="5">
        <v>104.3</v>
      </c>
      <c r="F31138" s="5">
        <v>208.1</v>
      </c>
      <c r="G31138" s="5">
        <v>103.8</v>
      </c>
      <c r="H31138" s="5">
        <v>103.6</v>
      </c>
      <c r="I31138" s="5">
        <v>0</v>
      </c>
      <c r="J31138" s="5">
        <v>0</v>
      </c>
      <c r="K31138" s="5">
        <v>0</v>
      </c>
    </row>
    <row r="31139" spans="1:11" x14ac:dyDescent="0.25">
      <c r="A31139" s="5">
        <f>31132</f>
      </c>
      <c r="B31139" s="5" t="s">
        <v>31147</v>
      </c>
      <c r="C31139" s="5">
        <v>104.2</v>
      </c>
      <c r="D31139" s="5">
        <v>0.1</v>
      </c>
      <c r="E31139" s="5">
        <v>104.3</v>
      </c>
      <c r="F31139" s="5">
        <v>208.1</v>
      </c>
      <c r="G31139" s="5">
        <v>103.8</v>
      </c>
      <c r="H31139" s="5">
        <v>103.6</v>
      </c>
      <c r="I31139" s="5">
        <v>0</v>
      </c>
      <c r="J31139" s="5">
        <v>0</v>
      </c>
      <c r="K31139" s="5">
        <v>0</v>
      </c>
    </row>
    <row r="31140" spans="1:11" x14ac:dyDescent="0.25">
      <c r="A31140" s="5">
        <f>31133</f>
      </c>
      <c r="B31140" s="5" t="s">
        <v>31148</v>
      </c>
      <c r="C31140" s="5">
        <v>104.9</v>
      </c>
      <c r="D31140" s="5">
        <v>0.1</v>
      </c>
      <c r="E31140" s="5">
        <v>105</v>
      </c>
      <c r="F31140" s="5">
        <v>208.9</v>
      </c>
      <c r="G31140" s="5">
        <v>104.2</v>
      </c>
      <c r="H31140" s="5">
        <v>104.1</v>
      </c>
      <c r="I31140" s="5">
        <v>0</v>
      </c>
      <c r="J31140" s="5">
        <v>0</v>
      </c>
      <c r="K31140" s="5">
        <v>0</v>
      </c>
    </row>
    <row r="31141" spans="1:11" x14ac:dyDescent="0.25">
      <c r="A31141" s="5">
        <f>31134</f>
      </c>
      <c r="B31141" s="5" t="s">
        <v>31149</v>
      </c>
      <c r="C31141" s="5">
        <v>104.9</v>
      </c>
      <c r="D31141" s="5">
        <v>0.1</v>
      </c>
      <c r="E31141" s="5">
        <v>105</v>
      </c>
      <c r="F31141" s="5">
        <v>208.9</v>
      </c>
      <c r="G31141" s="5">
        <v>104.2</v>
      </c>
      <c r="H31141" s="5">
        <v>104.1</v>
      </c>
      <c r="I31141" s="5">
        <v>0</v>
      </c>
      <c r="J31141" s="5">
        <v>0</v>
      </c>
      <c r="K31141" s="5">
        <v>0</v>
      </c>
    </row>
    <row r="31142" spans="1:11" x14ac:dyDescent="0.25">
      <c r="A31142" s="5">
        <f>31135</f>
      </c>
      <c r="B31142" s="5" t="s">
        <v>31150</v>
      </c>
      <c r="C31142" s="5">
        <v>105</v>
      </c>
      <c r="D31142" s="5">
        <v>0.1</v>
      </c>
      <c r="E31142" s="5">
        <v>105.2</v>
      </c>
      <c r="F31142" s="5">
        <v>209.2</v>
      </c>
      <c r="G31142" s="5">
        <v>104.4</v>
      </c>
      <c r="H31142" s="5">
        <v>104.2</v>
      </c>
      <c r="I31142" s="5">
        <v>0</v>
      </c>
      <c r="J31142" s="5">
        <v>0</v>
      </c>
      <c r="K31142" s="5">
        <v>0</v>
      </c>
    </row>
    <row r="31143" spans="1:11" x14ac:dyDescent="0.25">
      <c r="A31143" s="5">
        <f>31136</f>
      </c>
      <c r="B31143" s="5" t="s">
        <v>31151</v>
      </c>
      <c r="C31143" s="5">
        <v>105</v>
      </c>
      <c r="D31143" s="5">
        <v>0.1</v>
      </c>
      <c r="E31143" s="5">
        <v>105.2</v>
      </c>
      <c r="F31143" s="5">
        <v>209.2</v>
      </c>
      <c r="G31143" s="5">
        <v>104.4</v>
      </c>
      <c r="H31143" s="5">
        <v>104.2</v>
      </c>
      <c r="I31143" s="5">
        <v>0</v>
      </c>
      <c r="J31143" s="5">
        <v>0</v>
      </c>
      <c r="K31143" s="5">
        <v>0</v>
      </c>
    </row>
    <row r="31144" spans="1:11" x14ac:dyDescent="0.25">
      <c r="A31144" s="5">
        <f>31137</f>
      </c>
      <c r="B31144" s="5" t="s">
        <v>31152</v>
      </c>
      <c r="C31144" s="5">
        <v>104.7</v>
      </c>
      <c r="D31144" s="5">
        <v>0.1</v>
      </c>
      <c r="E31144" s="5">
        <v>104.8</v>
      </c>
      <c r="F31144" s="5">
        <v>208.8</v>
      </c>
      <c r="G31144" s="5">
        <v>104.2</v>
      </c>
      <c r="H31144" s="5">
        <v>104</v>
      </c>
      <c r="I31144" s="5">
        <v>0</v>
      </c>
      <c r="J31144" s="5">
        <v>0</v>
      </c>
      <c r="K31144" s="5">
        <v>0</v>
      </c>
    </row>
    <row r="31145" spans="1:11" x14ac:dyDescent="0.25">
      <c r="A31145" s="5">
        <f>31138</f>
      </c>
      <c r="B31145" s="5" t="s">
        <v>31153</v>
      </c>
      <c r="C31145" s="5">
        <v>104.7</v>
      </c>
      <c r="D31145" s="5">
        <v>0.1</v>
      </c>
      <c r="E31145" s="5">
        <v>104.8</v>
      </c>
      <c r="F31145" s="5">
        <v>208.8</v>
      </c>
      <c r="G31145" s="5">
        <v>104.2</v>
      </c>
      <c r="H31145" s="5">
        <v>104</v>
      </c>
      <c r="I31145" s="5">
        <v>0</v>
      </c>
      <c r="J31145" s="5">
        <v>0</v>
      </c>
      <c r="K31145" s="5">
        <v>0</v>
      </c>
    </row>
    <row r="31146" spans="1:11" x14ac:dyDescent="0.25">
      <c r="A31146" s="5">
        <f>31139</f>
      </c>
      <c r="B31146" s="5" t="s">
        <v>31154</v>
      </c>
      <c r="C31146" s="5">
        <v>104.7</v>
      </c>
      <c r="D31146" s="5">
        <v>0.1</v>
      </c>
      <c r="E31146" s="5">
        <v>104.8</v>
      </c>
      <c r="F31146" s="5">
        <v>208.8</v>
      </c>
      <c r="G31146" s="5">
        <v>104.2</v>
      </c>
      <c r="H31146" s="5">
        <v>104</v>
      </c>
      <c r="I31146" s="5">
        <v>0</v>
      </c>
      <c r="J31146" s="5">
        <v>0</v>
      </c>
      <c r="K31146" s="5">
        <v>0</v>
      </c>
    </row>
    <row r="31147" spans="1:11" x14ac:dyDescent="0.25">
      <c r="A31147" s="5">
        <f>31140</f>
      </c>
      <c r="B31147" s="5" t="s">
        <v>31155</v>
      </c>
      <c r="C31147" s="5">
        <v>104.7</v>
      </c>
      <c r="D31147" s="5">
        <v>0.1</v>
      </c>
      <c r="E31147" s="5">
        <v>104.8</v>
      </c>
      <c r="F31147" s="5">
        <v>208.8</v>
      </c>
      <c r="G31147" s="5">
        <v>104.2</v>
      </c>
      <c r="H31147" s="5">
        <v>104</v>
      </c>
      <c r="I31147" s="5">
        <v>0</v>
      </c>
      <c r="J31147" s="5">
        <v>0</v>
      </c>
      <c r="K31147" s="5">
        <v>0</v>
      </c>
    </row>
    <row r="31148" spans="1:11" x14ac:dyDescent="0.25">
      <c r="A31148" s="5">
        <f>31141</f>
      </c>
      <c r="B31148" s="5" t="s">
        <v>31156</v>
      </c>
      <c r="C31148" s="5">
        <v>103.6</v>
      </c>
      <c r="D31148" s="5">
        <v>0.1</v>
      </c>
      <c r="E31148" s="5">
        <v>103.7</v>
      </c>
      <c r="F31148" s="5">
        <v>207.8</v>
      </c>
      <c r="G31148" s="5">
        <v>103.6</v>
      </c>
      <c r="H31148" s="5">
        <v>103.5</v>
      </c>
      <c r="I31148" s="5">
        <v>0</v>
      </c>
      <c r="J31148" s="5">
        <v>0</v>
      </c>
      <c r="K31148" s="5">
        <v>0</v>
      </c>
    </row>
    <row r="31149" spans="1:11" x14ac:dyDescent="0.25">
      <c r="A31149" s="5">
        <f>31142</f>
      </c>
      <c r="B31149" s="5" t="s">
        <v>31157</v>
      </c>
      <c r="C31149" s="5">
        <v>103.6</v>
      </c>
      <c r="D31149" s="5">
        <v>0.1</v>
      </c>
      <c r="E31149" s="5">
        <v>103.7</v>
      </c>
      <c r="F31149" s="5">
        <v>207.8</v>
      </c>
      <c r="G31149" s="5">
        <v>103.6</v>
      </c>
      <c r="H31149" s="5">
        <v>103.5</v>
      </c>
      <c r="I31149" s="5">
        <v>0</v>
      </c>
      <c r="J31149" s="5">
        <v>0</v>
      </c>
      <c r="K31149" s="5">
        <v>0</v>
      </c>
    </row>
    <row r="31150" spans="1:11" x14ac:dyDescent="0.25">
      <c r="A31150" s="5">
        <f>31143</f>
      </c>
      <c r="B31150" s="5" t="s">
        <v>31158</v>
      </c>
      <c r="C31150" s="5">
        <v>104.3</v>
      </c>
      <c r="D31150" s="5">
        <v>0.1</v>
      </c>
      <c r="E31150" s="5">
        <v>104.5</v>
      </c>
      <c r="F31150" s="5">
        <v>208.7</v>
      </c>
      <c r="G31150" s="5">
        <v>104.1</v>
      </c>
      <c r="H31150" s="5">
        <v>103.9</v>
      </c>
      <c r="I31150" s="5">
        <v>0</v>
      </c>
      <c r="J31150" s="5">
        <v>0</v>
      </c>
      <c r="K31150" s="5">
        <v>0</v>
      </c>
    </row>
    <row r="31151" spans="1:11" x14ac:dyDescent="0.25">
      <c r="A31151" s="5">
        <f>31144</f>
      </c>
      <c r="B31151" s="5" t="s">
        <v>31159</v>
      </c>
      <c r="C31151" s="5">
        <v>104.3</v>
      </c>
      <c r="D31151" s="5">
        <v>0.1</v>
      </c>
      <c r="E31151" s="5">
        <v>104.5</v>
      </c>
      <c r="F31151" s="5">
        <v>208.7</v>
      </c>
      <c r="G31151" s="5">
        <v>104.1</v>
      </c>
      <c r="H31151" s="5">
        <v>103.9</v>
      </c>
      <c r="I31151" s="5">
        <v>0</v>
      </c>
      <c r="J31151" s="5">
        <v>0</v>
      </c>
      <c r="K31151" s="5">
        <v>0</v>
      </c>
    </row>
    <row r="31152" spans="1:11" x14ac:dyDescent="0.25">
      <c r="A31152" s="5">
        <f>31145</f>
      </c>
      <c r="B31152" s="5" t="s">
        <v>31160</v>
      </c>
      <c r="C31152" s="5">
        <v>104.7</v>
      </c>
      <c r="D31152" s="5">
        <v>0.1</v>
      </c>
      <c r="E31152" s="5">
        <v>104.9</v>
      </c>
      <c r="F31152" s="5">
        <v>208.3</v>
      </c>
      <c r="G31152" s="5">
        <v>104</v>
      </c>
      <c r="H31152" s="5">
        <v>103.8</v>
      </c>
      <c r="I31152" s="5">
        <v>0</v>
      </c>
      <c r="J31152" s="5">
        <v>0</v>
      </c>
      <c r="K31152" s="5">
        <v>0</v>
      </c>
    </row>
    <row r="31153" spans="1:11" x14ac:dyDescent="0.25">
      <c r="A31153" s="5">
        <f>31146</f>
      </c>
      <c r="B31153" s="5" t="s">
        <v>31161</v>
      </c>
      <c r="C31153" s="5">
        <v>104.7</v>
      </c>
      <c r="D31153" s="5">
        <v>0.1</v>
      </c>
      <c r="E31153" s="5">
        <v>104.9</v>
      </c>
      <c r="F31153" s="5">
        <v>208.3</v>
      </c>
      <c r="G31153" s="5">
        <v>104</v>
      </c>
      <c r="H31153" s="5">
        <v>103.8</v>
      </c>
      <c r="I31153" s="5">
        <v>0</v>
      </c>
      <c r="J31153" s="5">
        <v>0</v>
      </c>
      <c r="K31153" s="5">
        <v>0</v>
      </c>
    </row>
    <row r="31154" spans="1:11" x14ac:dyDescent="0.25">
      <c r="A31154" s="5">
        <f>31147</f>
      </c>
      <c r="B31154" s="5" t="s">
        <v>31162</v>
      </c>
      <c r="C31154" s="5">
        <v>104.3</v>
      </c>
      <c r="D31154" s="5">
        <v>0.1</v>
      </c>
      <c r="E31154" s="5">
        <v>104.4</v>
      </c>
      <c r="F31154" s="5">
        <v>208.5</v>
      </c>
      <c r="G31154" s="5">
        <v>104</v>
      </c>
      <c r="H31154" s="5">
        <v>103.9</v>
      </c>
      <c r="I31154" s="5">
        <v>0</v>
      </c>
      <c r="J31154" s="5">
        <v>0</v>
      </c>
      <c r="K31154" s="5">
        <v>0</v>
      </c>
    </row>
    <row r="31155" spans="1:11" x14ac:dyDescent="0.25">
      <c r="A31155" s="5">
        <f>31148</f>
      </c>
      <c r="B31155" s="5" t="s">
        <v>31163</v>
      </c>
      <c r="C31155" s="5">
        <v>104.3</v>
      </c>
      <c r="D31155" s="5">
        <v>0.1</v>
      </c>
      <c r="E31155" s="5">
        <v>104.4</v>
      </c>
      <c r="F31155" s="5">
        <v>208.5</v>
      </c>
      <c r="G31155" s="5">
        <v>104</v>
      </c>
      <c r="H31155" s="5">
        <v>103.9</v>
      </c>
      <c r="I31155" s="5">
        <v>0</v>
      </c>
      <c r="J31155" s="5">
        <v>0</v>
      </c>
      <c r="K31155" s="5">
        <v>0</v>
      </c>
    </row>
    <row r="31156" spans="1:11" x14ac:dyDescent="0.25">
      <c r="A31156" s="5">
        <f>31149</f>
      </c>
      <c r="B31156" s="5" t="s">
        <v>31164</v>
      </c>
      <c r="C31156" s="5">
        <v>104.3</v>
      </c>
      <c r="D31156" s="5">
        <v>0.1</v>
      </c>
      <c r="E31156" s="5">
        <v>104.4</v>
      </c>
      <c r="F31156" s="5">
        <v>208.5</v>
      </c>
      <c r="G31156" s="5">
        <v>104</v>
      </c>
      <c r="H31156" s="5">
        <v>103.9</v>
      </c>
      <c r="I31156" s="5">
        <v>0</v>
      </c>
      <c r="J31156" s="5">
        <v>0</v>
      </c>
      <c r="K31156" s="5">
        <v>0</v>
      </c>
    </row>
    <row r="31157" spans="1:11" x14ac:dyDescent="0.25">
      <c r="A31157" s="5">
        <f>31150</f>
      </c>
      <c r="B31157" s="5" t="s">
        <v>31165</v>
      </c>
      <c r="C31157" s="5">
        <v>104.3</v>
      </c>
      <c r="D31157" s="5">
        <v>0.1</v>
      </c>
      <c r="E31157" s="5">
        <v>104.4</v>
      </c>
      <c r="F31157" s="5">
        <v>208.5</v>
      </c>
      <c r="G31157" s="5">
        <v>104</v>
      </c>
      <c r="H31157" s="5">
        <v>103.9</v>
      </c>
      <c r="I31157" s="5">
        <v>0</v>
      </c>
      <c r="J31157" s="5">
        <v>0</v>
      </c>
      <c r="K31157" s="5">
        <v>0</v>
      </c>
    </row>
    <row r="31158" spans="1:11" x14ac:dyDescent="0.25">
      <c r="A31158" s="5">
        <f>31151</f>
      </c>
      <c r="B31158" s="5" t="s">
        <v>31166</v>
      </c>
      <c r="C31158" s="5">
        <v>103.8</v>
      </c>
      <c r="D31158" s="5">
        <v>0.1</v>
      </c>
      <c r="E31158" s="5">
        <v>104</v>
      </c>
      <c r="F31158" s="5">
        <v>207.4</v>
      </c>
      <c r="G31158" s="5">
        <v>103.4</v>
      </c>
      <c r="H31158" s="5">
        <v>103.3</v>
      </c>
      <c r="I31158" s="5">
        <v>0</v>
      </c>
      <c r="J31158" s="5">
        <v>0</v>
      </c>
      <c r="K31158" s="5">
        <v>0</v>
      </c>
    </row>
    <row r="31159" spans="1:11" x14ac:dyDescent="0.25">
      <c r="A31159" s="5">
        <f>31152</f>
      </c>
      <c r="B31159" s="5" t="s">
        <v>31167</v>
      </c>
      <c r="C31159" s="5">
        <v>103.8</v>
      </c>
      <c r="D31159" s="5">
        <v>0.1</v>
      </c>
      <c r="E31159" s="5">
        <v>104</v>
      </c>
      <c r="F31159" s="5">
        <v>207.4</v>
      </c>
      <c r="G31159" s="5">
        <v>103.4</v>
      </c>
      <c r="H31159" s="5">
        <v>103.3</v>
      </c>
      <c r="I31159" s="5">
        <v>0</v>
      </c>
      <c r="J31159" s="5">
        <v>0</v>
      </c>
      <c r="K31159" s="5">
        <v>0</v>
      </c>
    </row>
    <row r="31160" spans="1:11" x14ac:dyDescent="0.25">
      <c r="A31160" s="5">
        <f>31153</f>
      </c>
      <c r="B31160" s="5" t="s">
        <v>31168</v>
      </c>
      <c r="C31160" s="5">
        <v>103.8</v>
      </c>
      <c r="D31160" s="5">
        <v>0.1</v>
      </c>
      <c r="E31160" s="5">
        <v>104</v>
      </c>
      <c r="F31160" s="5">
        <v>207.1</v>
      </c>
      <c r="G31160" s="5">
        <v>103.3</v>
      </c>
      <c r="H31160" s="5">
        <v>103.2</v>
      </c>
      <c r="I31160" s="5">
        <v>0</v>
      </c>
      <c r="J31160" s="5">
        <v>0</v>
      </c>
      <c r="K31160" s="5">
        <v>0</v>
      </c>
    </row>
    <row r="31161" spans="1:11" x14ac:dyDescent="0.25">
      <c r="A31161" s="5">
        <f>31154</f>
      </c>
      <c r="B31161" s="5" t="s">
        <v>31169</v>
      </c>
      <c r="C31161" s="5">
        <v>103.8</v>
      </c>
      <c r="D31161" s="5">
        <v>0.1</v>
      </c>
      <c r="E31161" s="5">
        <v>104</v>
      </c>
      <c r="F31161" s="5">
        <v>207.1</v>
      </c>
      <c r="G31161" s="5">
        <v>103.3</v>
      </c>
      <c r="H31161" s="5">
        <v>103.2</v>
      </c>
      <c r="I31161" s="5">
        <v>0</v>
      </c>
      <c r="J31161" s="5">
        <v>0</v>
      </c>
      <c r="K31161" s="5">
        <v>0</v>
      </c>
    </row>
    <row r="31162" spans="1:11" x14ac:dyDescent="0.25">
      <c r="A31162" s="5">
        <f>31155</f>
      </c>
      <c r="B31162" s="5" t="s">
        <v>31170</v>
      </c>
      <c r="C31162" s="5">
        <v>103.4</v>
      </c>
      <c r="D31162" s="5">
        <v>0.1</v>
      </c>
      <c r="E31162" s="5">
        <v>103.5</v>
      </c>
      <c r="F31162" s="5">
        <v>205.8</v>
      </c>
      <c r="G31162" s="5">
        <v>102.7</v>
      </c>
      <c r="H31162" s="5">
        <v>102.6</v>
      </c>
      <c r="I31162" s="5">
        <v>0</v>
      </c>
      <c r="J31162" s="5">
        <v>0</v>
      </c>
      <c r="K31162" s="5">
        <v>0</v>
      </c>
    </row>
    <row r="31163" spans="1:11" x14ac:dyDescent="0.25">
      <c r="A31163" s="5">
        <f>31156</f>
      </c>
      <c r="B31163" s="5" t="s">
        <v>31171</v>
      </c>
      <c r="C31163" s="5">
        <v>103.4</v>
      </c>
      <c r="D31163" s="5">
        <v>0.1</v>
      </c>
      <c r="E31163" s="5">
        <v>103.5</v>
      </c>
      <c r="F31163" s="5">
        <v>205.8</v>
      </c>
      <c r="G31163" s="5">
        <v>102.7</v>
      </c>
      <c r="H31163" s="5">
        <v>102.6</v>
      </c>
      <c r="I31163" s="5">
        <v>0</v>
      </c>
      <c r="J31163" s="5">
        <v>0</v>
      </c>
      <c r="K31163" s="5">
        <v>0</v>
      </c>
    </row>
    <row r="31164" spans="1:11" x14ac:dyDescent="0.25">
      <c r="A31164" s="5">
        <f>31157</f>
      </c>
      <c r="B31164" s="5" t="s">
        <v>31172</v>
      </c>
      <c r="C31164" s="5">
        <v>103.7</v>
      </c>
      <c r="D31164" s="5">
        <v>0.1</v>
      </c>
      <c r="E31164" s="5">
        <v>103.9</v>
      </c>
      <c r="F31164" s="5">
        <v>207.1</v>
      </c>
      <c r="G31164" s="5">
        <v>103.3</v>
      </c>
      <c r="H31164" s="5">
        <v>103.1</v>
      </c>
      <c r="I31164" s="5">
        <v>0</v>
      </c>
      <c r="J31164" s="5">
        <v>0</v>
      </c>
      <c r="K31164" s="5">
        <v>0</v>
      </c>
    </row>
    <row r="31165" spans="1:11" x14ac:dyDescent="0.25">
      <c r="A31165" s="5">
        <f>31158</f>
      </c>
      <c r="B31165" s="5" t="s">
        <v>31173</v>
      </c>
      <c r="C31165" s="5">
        <v>103.7</v>
      </c>
      <c r="D31165" s="5">
        <v>0.1</v>
      </c>
      <c r="E31165" s="5">
        <v>103.9</v>
      </c>
      <c r="F31165" s="5">
        <v>207.1</v>
      </c>
      <c r="G31165" s="5">
        <v>103.3</v>
      </c>
      <c r="H31165" s="5">
        <v>103.1</v>
      </c>
      <c r="I31165" s="5">
        <v>0</v>
      </c>
      <c r="J31165" s="5">
        <v>0</v>
      </c>
      <c r="K31165" s="5">
        <v>0</v>
      </c>
    </row>
    <row r="31166" spans="1:11" x14ac:dyDescent="0.25">
      <c r="A31166" s="5">
        <f>31159</f>
      </c>
      <c r="B31166" s="5" t="s">
        <v>31174</v>
      </c>
      <c r="C31166" s="5">
        <v>103.7</v>
      </c>
      <c r="D31166" s="5">
        <v>0.1</v>
      </c>
      <c r="E31166" s="5">
        <v>103.9</v>
      </c>
      <c r="F31166" s="5">
        <v>207.1</v>
      </c>
      <c r="G31166" s="5">
        <v>103.3</v>
      </c>
      <c r="H31166" s="5">
        <v>103.1</v>
      </c>
      <c r="I31166" s="5">
        <v>0</v>
      </c>
      <c r="J31166" s="5">
        <v>0</v>
      </c>
      <c r="K31166" s="5">
        <v>0</v>
      </c>
    </row>
    <row r="31167" spans="1:11" x14ac:dyDescent="0.25">
      <c r="A31167" s="5">
        <f>31160</f>
      </c>
      <c r="B31167" s="5" t="s">
        <v>31175</v>
      </c>
      <c r="C31167" s="5">
        <v>103.7</v>
      </c>
      <c r="D31167" s="5">
        <v>0.1</v>
      </c>
      <c r="E31167" s="5">
        <v>103.9</v>
      </c>
      <c r="F31167" s="5">
        <v>207.1</v>
      </c>
      <c r="G31167" s="5">
        <v>103.3</v>
      </c>
      <c r="H31167" s="5">
        <v>103.1</v>
      </c>
      <c r="I31167" s="5">
        <v>0</v>
      </c>
      <c r="J31167" s="5">
        <v>0</v>
      </c>
      <c r="K31167" s="5">
        <v>0</v>
      </c>
    </row>
    <row r="31168" spans="1:11" x14ac:dyDescent="0.25">
      <c r="A31168" s="5">
        <f>31161</f>
      </c>
      <c r="B31168" s="5" t="s">
        <v>31176</v>
      </c>
      <c r="C31168" s="5">
        <v>103.7</v>
      </c>
      <c r="D31168" s="5">
        <v>0.1</v>
      </c>
      <c r="E31168" s="5">
        <v>103.8</v>
      </c>
      <c r="F31168" s="5">
        <v>207.5</v>
      </c>
      <c r="G31168" s="5">
        <v>103.5</v>
      </c>
      <c r="H31168" s="5">
        <v>103.4</v>
      </c>
      <c r="I31168" s="5">
        <v>0</v>
      </c>
      <c r="J31168" s="5">
        <v>0</v>
      </c>
      <c r="K31168" s="5">
        <v>0</v>
      </c>
    </row>
    <row r="31169" spans="1:11" x14ac:dyDescent="0.25">
      <c r="A31169" s="5">
        <f>31162</f>
      </c>
      <c r="B31169" s="5" t="s">
        <v>31177</v>
      </c>
      <c r="C31169" s="5">
        <v>103.7</v>
      </c>
      <c r="D31169" s="5">
        <v>0.1</v>
      </c>
      <c r="E31169" s="5">
        <v>103.8</v>
      </c>
      <c r="F31169" s="5">
        <v>207.5</v>
      </c>
      <c r="G31169" s="5">
        <v>103.5</v>
      </c>
      <c r="H31169" s="5">
        <v>103.4</v>
      </c>
      <c r="I31169" s="5">
        <v>0</v>
      </c>
      <c r="J31169" s="5">
        <v>0</v>
      </c>
      <c r="K31169" s="5">
        <v>0</v>
      </c>
    </row>
    <row r="31170" spans="1:11" x14ac:dyDescent="0.25">
      <c r="A31170" s="5">
        <f>31163</f>
      </c>
      <c r="B31170" s="5" t="s">
        <v>31178</v>
      </c>
      <c r="C31170" s="5">
        <v>104</v>
      </c>
      <c r="D31170" s="5">
        <v>0.1</v>
      </c>
      <c r="E31170" s="5">
        <v>104.1</v>
      </c>
      <c r="F31170" s="5">
        <v>207.7</v>
      </c>
      <c r="G31170" s="5">
        <v>103.6</v>
      </c>
      <c r="H31170" s="5">
        <v>103.4</v>
      </c>
      <c r="I31170" s="5">
        <v>0</v>
      </c>
      <c r="J31170" s="5">
        <v>0</v>
      </c>
      <c r="K31170" s="5">
        <v>0</v>
      </c>
    </row>
    <row r="31171" spans="1:11" x14ac:dyDescent="0.25">
      <c r="A31171" s="5">
        <f>31164</f>
      </c>
      <c r="B31171" s="5" t="s">
        <v>31179</v>
      </c>
      <c r="C31171" s="5">
        <v>104</v>
      </c>
      <c r="D31171" s="5">
        <v>0.1</v>
      </c>
      <c r="E31171" s="5">
        <v>104.1</v>
      </c>
      <c r="F31171" s="5">
        <v>207.7</v>
      </c>
      <c r="G31171" s="5">
        <v>103.6</v>
      </c>
      <c r="H31171" s="5">
        <v>103.4</v>
      </c>
      <c r="I31171" s="5">
        <v>0</v>
      </c>
      <c r="J31171" s="5">
        <v>0</v>
      </c>
      <c r="K31171" s="5">
        <v>0</v>
      </c>
    </row>
    <row r="31172" spans="1:11" x14ac:dyDescent="0.25">
      <c r="A31172" s="5">
        <f>31165</f>
      </c>
      <c r="B31172" s="5" t="s">
        <v>31180</v>
      </c>
      <c r="C31172" s="5">
        <v>103.4</v>
      </c>
      <c r="D31172" s="5">
        <v>0.1</v>
      </c>
      <c r="E31172" s="5">
        <v>103.5</v>
      </c>
      <c r="F31172" s="5">
        <v>206.7</v>
      </c>
      <c r="G31172" s="5">
        <v>103.1</v>
      </c>
      <c r="H31172" s="5">
        <v>103</v>
      </c>
      <c r="I31172" s="5">
        <v>0</v>
      </c>
      <c r="J31172" s="5">
        <v>0</v>
      </c>
      <c r="K31172" s="5">
        <v>0</v>
      </c>
    </row>
    <row r="31173" spans="1:11" x14ac:dyDescent="0.25">
      <c r="A31173" s="5">
        <f>31166</f>
      </c>
      <c r="B31173" s="5" t="s">
        <v>31181</v>
      </c>
      <c r="C31173" s="5">
        <v>103.4</v>
      </c>
      <c r="D31173" s="5">
        <v>0.1</v>
      </c>
      <c r="E31173" s="5">
        <v>103.5</v>
      </c>
      <c r="F31173" s="5">
        <v>206.7</v>
      </c>
      <c r="G31173" s="5">
        <v>103.1</v>
      </c>
      <c r="H31173" s="5">
        <v>103</v>
      </c>
      <c r="I31173" s="5">
        <v>0</v>
      </c>
      <c r="J31173" s="5">
        <v>0</v>
      </c>
      <c r="K31173" s="5">
        <v>0</v>
      </c>
    </row>
    <row r="31174" spans="1:11" x14ac:dyDescent="0.25">
      <c r="A31174" s="5">
        <f>31167</f>
      </c>
      <c r="B31174" s="5" t="s">
        <v>31182</v>
      </c>
      <c r="C31174" s="5">
        <v>103.7</v>
      </c>
      <c r="D31174" s="5">
        <v>0.1</v>
      </c>
      <c r="E31174" s="5">
        <v>103.9</v>
      </c>
      <c r="F31174" s="5">
        <v>207.1</v>
      </c>
      <c r="G31174" s="5">
        <v>103.3</v>
      </c>
      <c r="H31174" s="5">
        <v>103.2</v>
      </c>
      <c r="I31174" s="5">
        <v>0</v>
      </c>
      <c r="J31174" s="5">
        <v>0</v>
      </c>
      <c r="K31174" s="5">
        <v>0</v>
      </c>
    </row>
    <row r="31175" spans="1:11" x14ac:dyDescent="0.25">
      <c r="A31175" s="5">
        <f>31168</f>
      </c>
      <c r="B31175" s="5" t="s">
        <v>31183</v>
      </c>
      <c r="C31175" s="5">
        <v>103.7</v>
      </c>
      <c r="D31175" s="5">
        <v>0.1</v>
      </c>
      <c r="E31175" s="5">
        <v>103.9</v>
      </c>
      <c r="F31175" s="5">
        <v>207.1</v>
      </c>
      <c r="G31175" s="5">
        <v>103.3</v>
      </c>
      <c r="H31175" s="5">
        <v>103.2</v>
      </c>
      <c r="I31175" s="5">
        <v>0</v>
      </c>
      <c r="J31175" s="5">
        <v>0</v>
      </c>
      <c r="K31175" s="5">
        <v>0</v>
      </c>
    </row>
    <row r="31176" spans="1:11" x14ac:dyDescent="0.25">
      <c r="A31176" s="5">
        <f>31169</f>
      </c>
      <c r="B31176" s="5" t="s">
        <v>31184</v>
      </c>
      <c r="C31176" s="5">
        <v>103.7</v>
      </c>
      <c r="D31176" s="5">
        <v>0.1</v>
      </c>
      <c r="E31176" s="5">
        <v>103.9</v>
      </c>
      <c r="F31176" s="5">
        <v>207.1</v>
      </c>
      <c r="G31176" s="5">
        <v>103.3</v>
      </c>
      <c r="H31176" s="5">
        <v>103.2</v>
      </c>
      <c r="I31176" s="5">
        <v>0</v>
      </c>
      <c r="J31176" s="5">
        <v>0</v>
      </c>
      <c r="K31176" s="5">
        <v>0</v>
      </c>
    </row>
    <row r="31177" spans="1:11" x14ac:dyDescent="0.25">
      <c r="A31177" s="5">
        <f>31170</f>
      </c>
      <c r="B31177" s="5" t="s">
        <v>31185</v>
      </c>
      <c r="C31177" s="5">
        <v>103.7</v>
      </c>
      <c r="D31177" s="5">
        <v>0.1</v>
      </c>
      <c r="E31177" s="5">
        <v>103.9</v>
      </c>
      <c r="F31177" s="5">
        <v>207.1</v>
      </c>
      <c r="G31177" s="5">
        <v>103.3</v>
      </c>
      <c r="H31177" s="5">
        <v>103.2</v>
      </c>
      <c r="I31177" s="5">
        <v>0</v>
      </c>
      <c r="J31177" s="5">
        <v>0</v>
      </c>
      <c r="K31177" s="5">
        <v>0</v>
      </c>
    </row>
    <row r="31178" spans="1:11" x14ac:dyDescent="0.25">
      <c r="A31178" s="5">
        <f>31171</f>
      </c>
      <c r="B31178" s="5" t="s">
        <v>31186</v>
      </c>
      <c r="C31178" s="5">
        <v>103.7</v>
      </c>
      <c r="D31178" s="5">
        <v>0.1</v>
      </c>
      <c r="E31178" s="5">
        <v>103.8</v>
      </c>
      <c r="F31178" s="5">
        <v>207.7</v>
      </c>
      <c r="G31178" s="5">
        <v>103.6</v>
      </c>
      <c r="H31178" s="5">
        <v>103.5</v>
      </c>
      <c r="I31178" s="5">
        <v>0</v>
      </c>
      <c r="J31178" s="5">
        <v>0</v>
      </c>
      <c r="K31178" s="5">
        <v>0</v>
      </c>
    </row>
    <row r="31179" spans="1:11" x14ac:dyDescent="0.25">
      <c r="A31179" s="5">
        <f>31172</f>
      </c>
      <c r="B31179" s="5" t="s">
        <v>31187</v>
      </c>
      <c r="C31179" s="5">
        <v>103.7</v>
      </c>
      <c r="D31179" s="5">
        <v>0.1</v>
      </c>
      <c r="E31179" s="5">
        <v>103.8</v>
      </c>
      <c r="F31179" s="5">
        <v>207.7</v>
      </c>
      <c r="G31179" s="5">
        <v>103.6</v>
      </c>
      <c r="H31179" s="5">
        <v>103.5</v>
      </c>
      <c r="I31179" s="5">
        <v>0</v>
      </c>
      <c r="J31179" s="5">
        <v>0</v>
      </c>
      <c r="K31179" s="5">
        <v>0</v>
      </c>
    </row>
    <row r="31180" spans="1:11" x14ac:dyDescent="0.25">
      <c r="A31180" s="5">
        <f>31173</f>
      </c>
      <c r="B31180" s="5" t="s">
        <v>31188</v>
      </c>
      <c r="C31180" s="5">
        <v>103.7</v>
      </c>
      <c r="D31180" s="5">
        <v>0.1</v>
      </c>
      <c r="E31180" s="5">
        <v>103.8</v>
      </c>
      <c r="F31180" s="5">
        <v>207</v>
      </c>
      <c r="G31180" s="5">
        <v>103.2</v>
      </c>
      <c r="H31180" s="5">
        <v>103</v>
      </c>
      <c r="I31180" s="5">
        <v>0</v>
      </c>
      <c r="J31180" s="5">
        <v>0</v>
      </c>
      <c r="K31180" s="5">
        <v>0</v>
      </c>
    </row>
    <row r="31181" spans="1:11" x14ac:dyDescent="0.25">
      <c r="A31181" s="5">
        <f>31174</f>
      </c>
      <c r="B31181" s="5" t="s">
        <v>31189</v>
      </c>
      <c r="C31181" s="5">
        <v>103.7</v>
      </c>
      <c r="D31181" s="5">
        <v>0.1</v>
      </c>
      <c r="E31181" s="5">
        <v>103.8</v>
      </c>
      <c r="F31181" s="5">
        <v>207</v>
      </c>
      <c r="G31181" s="5">
        <v>103.2</v>
      </c>
      <c r="H31181" s="5">
        <v>103</v>
      </c>
      <c r="I31181" s="5">
        <v>0</v>
      </c>
      <c r="J31181" s="5">
        <v>0</v>
      </c>
      <c r="K31181" s="5">
        <v>0</v>
      </c>
    </row>
    <row r="31182" spans="1:11" x14ac:dyDescent="0.25">
      <c r="A31182" s="5">
        <f>31175</f>
      </c>
      <c r="B31182" s="5" t="s">
        <v>31190</v>
      </c>
      <c r="C31182" s="5">
        <v>103.8</v>
      </c>
      <c r="D31182" s="5">
        <v>0.1</v>
      </c>
      <c r="E31182" s="5">
        <v>104</v>
      </c>
      <c r="F31182" s="5">
        <v>207.2</v>
      </c>
      <c r="G31182" s="5">
        <v>103.4</v>
      </c>
      <c r="H31182" s="5">
        <v>103.2</v>
      </c>
      <c r="I31182" s="5">
        <v>0</v>
      </c>
      <c r="J31182" s="5">
        <v>0</v>
      </c>
      <c r="K31182" s="5">
        <v>0</v>
      </c>
    </row>
    <row r="31183" spans="1:11" x14ac:dyDescent="0.25">
      <c r="A31183" s="5">
        <f>31176</f>
      </c>
      <c r="B31183" s="5" t="s">
        <v>31191</v>
      </c>
      <c r="C31183" s="5">
        <v>103.8</v>
      </c>
      <c r="D31183" s="5">
        <v>0.1</v>
      </c>
      <c r="E31183" s="5">
        <v>104</v>
      </c>
      <c r="F31183" s="5">
        <v>207.2</v>
      </c>
      <c r="G31183" s="5">
        <v>103.4</v>
      </c>
      <c r="H31183" s="5">
        <v>103.2</v>
      </c>
      <c r="I31183" s="5">
        <v>0</v>
      </c>
      <c r="J31183" s="5">
        <v>0</v>
      </c>
      <c r="K31183" s="5">
        <v>0</v>
      </c>
    </row>
    <row r="31184" spans="1:11" x14ac:dyDescent="0.25">
      <c r="A31184" s="5">
        <f>31177</f>
      </c>
      <c r="B31184" s="5" t="s">
        <v>31192</v>
      </c>
      <c r="C31184" s="5">
        <v>103.7</v>
      </c>
      <c r="D31184" s="5">
        <v>0.1</v>
      </c>
      <c r="E31184" s="5">
        <v>103.9</v>
      </c>
      <c r="F31184" s="5">
        <v>206.9</v>
      </c>
      <c r="G31184" s="5">
        <v>103.2</v>
      </c>
      <c r="H31184" s="5">
        <v>103.1</v>
      </c>
      <c r="I31184" s="5">
        <v>0</v>
      </c>
      <c r="J31184" s="5">
        <v>0</v>
      </c>
      <c r="K31184" s="5">
        <v>0</v>
      </c>
    </row>
    <row r="31185" spans="1:11" x14ac:dyDescent="0.25">
      <c r="A31185" s="5">
        <f>31178</f>
      </c>
      <c r="B31185" s="5" t="s">
        <v>31193</v>
      </c>
      <c r="C31185" s="5">
        <v>103.7</v>
      </c>
      <c r="D31185" s="5">
        <v>0.1</v>
      </c>
      <c r="E31185" s="5">
        <v>103.9</v>
      </c>
      <c r="F31185" s="5">
        <v>206.9</v>
      </c>
      <c r="G31185" s="5">
        <v>103.2</v>
      </c>
      <c r="H31185" s="5">
        <v>103.1</v>
      </c>
      <c r="I31185" s="5">
        <v>0</v>
      </c>
      <c r="J31185" s="5">
        <v>0</v>
      </c>
      <c r="K31185" s="5">
        <v>0</v>
      </c>
    </row>
    <row r="31186" spans="1:11" x14ac:dyDescent="0.25">
      <c r="A31186" s="5">
        <f>31179</f>
      </c>
      <c r="B31186" s="5" t="s">
        <v>31194</v>
      </c>
      <c r="C31186" s="5">
        <v>103.7</v>
      </c>
      <c r="D31186" s="5">
        <v>0.1</v>
      </c>
      <c r="E31186" s="5">
        <v>103.9</v>
      </c>
      <c r="F31186" s="5">
        <v>206.9</v>
      </c>
      <c r="G31186" s="5">
        <v>103.2</v>
      </c>
      <c r="H31186" s="5">
        <v>103.1</v>
      </c>
      <c r="I31186" s="5">
        <v>0</v>
      </c>
      <c r="J31186" s="5">
        <v>0</v>
      </c>
      <c r="K31186" s="5">
        <v>0</v>
      </c>
    </row>
    <row r="31187" spans="1:11" x14ac:dyDescent="0.25">
      <c r="A31187" s="5">
        <f>31180</f>
      </c>
      <c r="B31187" s="5" t="s">
        <v>31195</v>
      </c>
      <c r="C31187" s="5">
        <v>103.7</v>
      </c>
      <c r="D31187" s="5">
        <v>0.1</v>
      </c>
      <c r="E31187" s="5">
        <v>103.9</v>
      </c>
      <c r="F31187" s="5">
        <v>206.9</v>
      </c>
      <c r="G31187" s="5">
        <v>103.2</v>
      </c>
      <c r="H31187" s="5">
        <v>103.1</v>
      </c>
      <c r="I31187" s="5">
        <v>0</v>
      </c>
      <c r="J31187" s="5">
        <v>0</v>
      </c>
      <c r="K31187" s="5">
        <v>0</v>
      </c>
    </row>
    <row r="31188" spans="1:11" x14ac:dyDescent="0.25">
      <c r="A31188" s="5">
        <f>31181</f>
      </c>
      <c r="B31188" s="5" t="s">
        <v>31196</v>
      </c>
      <c r="C31188" s="5">
        <v>104.2</v>
      </c>
      <c r="D31188" s="5">
        <v>0.1</v>
      </c>
      <c r="E31188" s="5">
        <v>104.3</v>
      </c>
      <c r="F31188" s="5">
        <v>207.8</v>
      </c>
      <c r="G31188" s="5">
        <v>103.6</v>
      </c>
      <c r="H31188" s="5">
        <v>103.5</v>
      </c>
      <c r="I31188" s="5">
        <v>0</v>
      </c>
      <c r="J31188" s="5">
        <v>0</v>
      </c>
      <c r="K31188" s="5">
        <v>0</v>
      </c>
    </row>
    <row r="31189" spans="1:11" x14ac:dyDescent="0.25">
      <c r="A31189" s="5">
        <f>31182</f>
      </c>
      <c r="B31189" s="5" t="s">
        <v>31197</v>
      </c>
      <c r="C31189" s="5">
        <v>104.2</v>
      </c>
      <c r="D31189" s="5">
        <v>0.1</v>
      </c>
      <c r="E31189" s="5">
        <v>104.3</v>
      </c>
      <c r="F31189" s="5">
        <v>207.8</v>
      </c>
      <c r="G31189" s="5">
        <v>103.6</v>
      </c>
      <c r="H31189" s="5">
        <v>103.5</v>
      </c>
      <c r="I31189" s="5">
        <v>0</v>
      </c>
      <c r="J31189" s="5">
        <v>0</v>
      </c>
      <c r="K31189" s="5">
        <v>0</v>
      </c>
    </row>
    <row r="31190" spans="1:11" x14ac:dyDescent="0.25">
      <c r="A31190" s="5">
        <f>31183</f>
      </c>
      <c r="B31190" s="5" t="s">
        <v>31198</v>
      </c>
      <c r="C31190" s="5">
        <v>103.9</v>
      </c>
      <c r="D31190" s="5">
        <v>0.1</v>
      </c>
      <c r="E31190" s="5">
        <v>104</v>
      </c>
      <c r="F31190" s="5">
        <v>207.4</v>
      </c>
      <c r="G31190" s="5">
        <v>103.5</v>
      </c>
      <c r="H31190" s="5">
        <v>103.5</v>
      </c>
      <c r="I31190" s="5">
        <v>0</v>
      </c>
      <c r="J31190" s="5">
        <v>0</v>
      </c>
      <c r="K31190" s="5">
        <v>0</v>
      </c>
    </row>
    <row r="31191" spans="1:11" x14ac:dyDescent="0.25">
      <c r="A31191" s="5">
        <f>31184</f>
      </c>
      <c r="B31191" s="5" t="s">
        <v>31199</v>
      </c>
      <c r="C31191" s="5">
        <v>103.9</v>
      </c>
      <c r="D31191" s="5">
        <v>0.1</v>
      </c>
      <c r="E31191" s="5">
        <v>104</v>
      </c>
      <c r="F31191" s="5">
        <v>207.4</v>
      </c>
      <c r="G31191" s="5">
        <v>103.5</v>
      </c>
      <c r="H31191" s="5">
        <v>103.5</v>
      </c>
      <c r="I31191" s="5">
        <v>0</v>
      </c>
      <c r="J31191" s="5">
        <v>0</v>
      </c>
      <c r="K31191" s="5">
        <v>0</v>
      </c>
    </row>
    <row r="31192" spans="1:11" x14ac:dyDescent="0.25">
      <c r="A31192" s="5">
        <f>31185</f>
      </c>
      <c r="B31192" s="5" t="s">
        <v>31200</v>
      </c>
      <c r="C31192" s="5">
        <v>103.8</v>
      </c>
      <c r="D31192" s="5">
        <v>0.1</v>
      </c>
      <c r="E31192" s="5">
        <v>104</v>
      </c>
      <c r="F31192" s="5">
        <v>207.2</v>
      </c>
      <c r="G31192" s="5">
        <v>103.4</v>
      </c>
      <c r="H31192" s="5">
        <v>103.3</v>
      </c>
      <c r="I31192" s="5">
        <v>0</v>
      </c>
      <c r="J31192" s="5">
        <v>0</v>
      </c>
      <c r="K31192" s="5">
        <v>0</v>
      </c>
    </row>
    <row r="31193" spans="1:11" x14ac:dyDescent="0.25">
      <c r="A31193" s="5">
        <f>31186</f>
      </c>
      <c r="B31193" s="5" t="s">
        <v>31201</v>
      </c>
      <c r="C31193" s="5">
        <v>103.8</v>
      </c>
      <c r="D31193" s="5">
        <v>0.1</v>
      </c>
      <c r="E31193" s="5">
        <v>104</v>
      </c>
      <c r="F31193" s="5">
        <v>207.2</v>
      </c>
      <c r="G31193" s="5">
        <v>103.4</v>
      </c>
      <c r="H31193" s="5">
        <v>103.3</v>
      </c>
      <c r="I31193" s="5">
        <v>0</v>
      </c>
      <c r="J31193" s="5">
        <v>0</v>
      </c>
      <c r="K31193" s="5">
        <v>0</v>
      </c>
    </row>
    <row r="31194" spans="1:11" x14ac:dyDescent="0.25">
      <c r="A31194" s="5">
        <f>31187</f>
      </c>
      <c r="B31194" s="5" t="s">
        <v>31202</v>
      </c>
      <c r="C31194" s="5">
        <v>103.4</v>
      </c>
      <c r="D31194" s="5">
        <v>0.1</v>
      </c>
      <c r="E31194" s="5">
        <v>103.6</v>
      </c>
      <c r="F31194" s="5">
        <v>206.6</v>
      </c>
      <c r="G31194" s="5">
        <v>103.1</v>
      </c>
      <c r="H31194" s="5">
        <v>103</v>
      </c>
      <c r="I31194" s="5">
        <v>0</v>
      </c>
      <c r="J31194" s="5">
        <v>0</v>
      </c>
      <c r="K31194" s="5">
        <v>0</v>
      </c>
    </row>
    <row r="31195" spans="1:11" x14ac:dyDescent="0.25">
      <c r="A31195" s="5">
        <f>31188</f>
      </c>
      <c r="B31195" s="5" t="s">
        <v>31203</v>
      </c>
      <c r="C31195" s="5">
        <v>103.4</v>
      </c>
      <c r="D31195" s="5">
        <v>0.1</v>
      </c>
      <c r="E31195" s="5">
        <v>103.6</v>
      </c>
      <c r="F31195" s="5">
        <v>206.6</v>
      </c>
      <c r="G31195" s="5">
        <v>103.1</v>
      </c>
      <c r="H31195" s="5">
        <v>103</v>
      </c>
      <c r="I31195" s="5">
        <v>0</v>
      </c>
      <c r="J31195" s="5">
        <v>0</v>
      </c>
      <c r="K31195" s="5">
        <v>0</v>
      </c>
    </row>
    <row r="31196" spans="1:11" x14ac:dyDescent="0.25">
      <c r="A31196" s="5">
        <f>31189</f>
      </c>
      <c r="B31196" s="5" t="s">
        <v>31204</v>
      </c>
      <c r="C31196" s="5">
        <v>103.4</v>
      </c>
      <c r="D31196" s="5">
        <v>0.1</v>
      </c>
      <c r="E31196" s="5">
        <v>103.6</v>
      </c>
      <c r="F31196" s="5">
        <v>206.6</v>
      </c>
      <c r="G31196" s="5">
        <v>103.1</v>
      </c>
      <c r="H31196" s="5">
        <v>103</v>
      </c>
      <c r="I31196" s="5">
        <v>0</v>
      </c>
      <c r="J31196" s="5">
        <v>0</v>
      </c>
      <c r="K31196" s="5">
        <v>0</v>
      </c>
    </row>
    <row r="31197" spans="1:11" x14ac:dyDescent="0.25">
      <c r="A31197" s="5">
        <f>31190</f>
      </c>
      <c r="B31197" s="5" t="s">
        <v>31205</v>
      </c>
      <c r="C31197" s="5">
        <v>103.4</v>
      </c>
      <c r="D31197" s="5">
        <v>0.1</v>
      </c>
      <c r="E31197" s="5">
        <v>103.6</v>
      </c>
      <c r="F31197" s="5">
        <v>206.6</v>
      </c>
      <c r="G31197" s="5">
        <v>103.1</v>
      </c>
      <c r="H31197" s="5">
        <v>103</v>
      </c>
      <c r="I31197" s="5">
        <v>0</v>
      </c>
      <c r="J31197" s="5">
        <v>0</v>
      </c>
      <c r="K31197" s="5">
        <v>0</v>
      </c>
    </row>
    <row r="31198" spans="1:11" x14ac:dyDescent="0.25">
      <c r="A31198" s="5">
        <f>31191</f>
      </c>
      <c r="B31198" s="5" t="s">
        <v>31206</v>
      </c>
      <c r="C31198" s="5">
        <v>103.2</v>
      </c>
      <c r="D31198" s="5">
        <v>0.1</v>
      </c>
      <c r="E31198" s="5">
        <v>103.4</v>
      </c>
      <c r="F31198" s="5">
        <v>206.8</v>
      </c>
      <c r="G31198" s="5">
        <v>103.1</v>
      </c>
      <c r="H31198" s="5">
        <v>102.9</v>
      </c>
      <c r="I31198" s="5">
        <v>0</v>
      </c>
      <c r="J31198" s="5">
        <v>0</v>
      </c>
      <c r="K31198" s="5">
        <v>0</v>
      </c>
    </row>
    <row r="31199" spans="1:11" x14ac:dyDescent="0.25">
      <c r="A31199" s="5">
        <f>31192</f>
      </c>
      <c r="B31199" s="5" t="s">
        <v>31207</v>
      </c>
      <c r="C31199" s="5">
        <v>103.2</v>
      </c>
      <c r="D31199" s="5">
        <v>0.1</v>
      </c>
      <c r="E31199" s="5">
        <v>103.4</v>
      </c>
      <c r="F31199" s="5">
        <v>206.8</v>
      </c>
      <c r="G31199" s="5">
        <v>103.1</v>
      </c>
      <c r="H31199" s="5">
        <v>102.9</v>
      </c>
      <c r="I31199" s="5">
        <v>0</v>
      </c>
      <c r="J31199" s="5">
        <v>0</v>
      </c>
      <c r="K31199" s="5">
        <v>0</v>
      </c>
    </row>
    <row r="31200" spans="1:11" x14ac:dyDescent="0.25">
      <c r="A31200" s="5">
        <f>31193</f>
      </c>
      <c r="B31200" s="5" t="s">
        <v>31208</v>
      </c>
      <c r="C31200" s="5">
        <v>103.6</v>
      </c>
      <c r="D31200" s="5">
        <v>0.1</v>
      </c>
      <c r="E31200" s="5">
        <v>103.7</v>
      </c>
      <c r="F31200" s="5">
        <v>207.4</v>
      </c>
      <c r="G31200" s="5">
        <v>103.5</v>
      </c>
      <c r="H31200" s="5">
        <v>103.4</v>
      </c>
      <c r="I31200" s="5">
        <v>0</v>
      </c>
      <c r="J31200" s="5">
        <v>0</v>
      </c>
      <c r="K31200" s="5">
        <v>0</v>
      </c>
    </row>
    <row r="31201" spans="1:11" x14ac:dyDescent="0.25">
      <c r="A31201" s="5">
        <f>31194</f>
      </c>
      <c r="B31201" s="5" t="s">
        <v>31209</v>
      </c>
      <c r="C31201" s="5">
        <v>103.6</v>
      </c>
      <c r="D31201" s="5">
        <v>0.1</v>
      </c>
      <c r="E31201" s="5">
        <v>103.7</v>
      </c>
      <c r="F31201" s="5">
        <v>207.4</v>
      </c>
      <c r="G31201" s="5">
        <v>103.5</v>
      </c>
      <c r="H31201" s="5">
        <v>103.4</v>
      </c>
      <c r="I31201" s="5">
        <v>0</v>
      </c>
      <c r="J31201" s="5">
        <v>0</v>
      </c>
      <c r="K31201" s="5">
        <v>0</v>
      </c>
    </row>
    <row r="31202" spans="1:11" x14ac:dyDescent="0.25">
      <c r="A31202" s="5">
        <f>31195</f>
      </c>
      <c r="B31202" s="5" t="s">
        <v>31210</v>
      </c>
      <c r="C31202" s="5">
        <v>103.4</v>
      </c>
      <c r="D31202" s="5">
        <v>0.1</v>
      </c>
      <c r="E31202" s="5">
        <v>103.6</v>
      </c>
      <c r="F31202" s="5">
        <v>206.8</v>
      </c>
      <c r="G31202" s="5">
        <v>103.2</v>
      </c>
      <c r="H31202" s="5">
        <v>103.1</v>
      </c>
      <c r="I31202" s="5">
        <v>0</v>
      </c>
      <c r="J31202" s="5">
        <v>0</v>
      </c>
      <c r="K31202" s="5">
        <v>0</v>
      </c>
    </row>
    <row r="31203" spans="1:11" x14ac:dyDescent="0.25">
      <c r="A31203" s="5">
        <f>31196</f>
      </c>
      <c r="B31203" s="5" t="s">
        <v>31211</v>
      </c>
      <c r="C31203" s="5">
        <v>103.4</v>
      </c>
      <c r="D31203" s="5">
        <v>0.1</v>
      </c>
      <c r="E31203" s="5">
        <v>103.6</v>
      </c>
      <c r="F31203" s="5">
        <v>206.8</v>
      </c>
      <c r="G31203" s="5">
        <v>103.2</v>
      </c>
      <c r="H31203" s="5">
        <v>103.1</v>
      </c>
      <c r="I31203" s="5">
        <v>0</v>
      </c>
      <c r="J31203" s="5">
        <v>0</v>
      </c>
      <c r="K31203" s="5">
        <v>0</v>
      </c>
    </row>
    <row r="31204" spans="1:11" x14ac:dyDescent="0.25">
      <c r="A31204" s="5">
        <f>31197</f>
      </c>
      <c r="B31204" s="5" t="s">
        <v>31212</v>
      </c>
      <c r="C31204" s="5">
        <v>104</v>
      </c>
      <c r="D31204" s="5">
        <v>0.1</v>
      </c>
      <c r="E31204" s="5">
        <v>104.1</v>
      </c>
      <c r="F31204" s="5">
        <v>207.2</v>
      </c>
      <c r="G31204" s="5">
        <v>103.3</v>
      </c>
      <c r="H31204" s="5">
        <v>103.2</v>
      </c>
      <c r="I31204" s="5">
        <v>0</v>
      </c>
      <c r="J31204" s="5">
        <v>0</v>
      </c>
      <c r="K31204" s="5">
        <v>0</v>
      </c>
    </row>
    <row r="31205" spans="1:11" x14ac:dyDescent="0.25">
      <c r="A31205" s="5">
        <f>31198</f>
      </c>
      <c r="B31205" s="5" t="s">
        <v>31213</v>
      </c>
      <c r="C31205" s="5">
        <v>104</v>
      </c>
      <c r="D31205" s="5">
        <v>0.1</v>
      </c>
      <c r="E31205" s="5">
        <v>104.1</v>
      </c>
      <c r="F31205" s="5">
        <v>207.2</v>
      </c>
      <c r="G31205" s="5">
        <v>103.3</v>
      </c>
      <c r="H31205" s="5">
        <v>103.2</v>
      </c>
      <c r="I31205" s="5">
        <v>0</v>
      </c>
      <c r="J31205" s="5">
        <v>0</v>
      </c>
      <c r="K31205" s="5">
        <v>0</v>
      </c>
    </row>
    <row r="31206" spans="1:11" x14ac:dyDescent="0.25">
      <c r="A31206" s="5">
        <f>31199</f>
      </c>
      <c r="B31206" s="5" t="s">
        <v>31214</v>
      </c>
      <c r="C31206" s="5">
        <v>104</v>
      </c>
      <c r="D31206" s="5">
        <v>0.1</v>
      </c>
      <c r="E31206" s="5">
        <v>104.1</v>
      </c>
      <c r="F31206" s="5">
        <v>207.2</v>
      </c>
      <c r="G31206" s="5">
        <v>103.3</v>
      </c>
      <c r="H31206" s="5">
        <v>103.2</v>
      </c>
      <c r="I31206" s="5">
        <v>0</v>
      </c>
      <c r="J31206" s="5">
        <v>0</v>
      </c>
      <c r="K31206" s="5">
        <v>0</v>
      </c>
    </row>
    <row r="31207" spans="1:11" x14ac:dyDescent="0.25">
      <c r="A31207" s="5">
        <f>31200</f>
      </c>
      <c r="B31207" s="5" t="s">
        <v>31215</v>
      </c>
      <c r="C31207" s="5">
        <v>104</v>
      </c>
      <c r="D31207" s="5">
        <v>0.1</v>
      </c>
      <c r="E31207" s="5">
        <v>104.1</v>
      </c>
      <c r="F31207" s="5">
        <v>207.2</v>
      </c>
      <c r="G31207" s="5">
        <v>103.6</v>
      </c>
      <c r="H31207" s="5">
        <v>103.4</v>
      </c>
      <c r="I31207" s="5">
        <v>0</v>
      </c>
      <c r="J31207" s="5">
        <v>0</v>
      </c>
      <c r="K31207" s="5">
        <v>0</v>
      </c>
    </row>
    <row r="31208" spans="1:11" x14ac:dyDescent="0.25">
      <c r="A31208" s="5">
        <f>31201</f>
      </c>
      <c r="B31208" s="5" t="s">
        <v>31216</v>
      </c>
      <c r="C31208" s="5">
        <v>104</v>
      </c>
      <c r="D31208" s="5">
        <v>0.1</v>
      </c>
      <c r="E31208" s="5">
        <v>104.1</v>
      </c>
      <c r="F31208" s="5">
        <v>207.7</v>
      </c>
      <c r="G31208" s="5">
        <v>103.6</v>
      </c>
      <c r="H31208" s="5">
        <v>103.4</v>
      </c>
      <c r="I31208" s="5">
        <v>0</v>
      </c>
      <c r="J31208" s="5">
        <v>0</v>
      </c>
      <c r="K31208" s="5">
        <v>0</v>
      </c>
    </row>
    <row r="31209" spans="1:11" x14ac:dyDescent="0.25">
      <c r="A31209" s="5">
        <f>31202</f>
      </c>
      <c r="B31209" s="5" t="s">
        <v>31217</v>
      </c>
      <c r="C31209" s="5">
        <v>104</v>
      </c>
      <c r="D31209" s="5">
        <v>0.1</v>
      </c>
      <c r="E31209" s="5">
        <v>104.1</v>
      </c>
      <c r="F31209" s="5">
        <v>207.7</v>
      </c>
      <c r="G31209" s="5">
        <v>103.6</v>
      </c>
      <c r="H31209" s="5">
        <v>103.9</v>
      </c>
      <c r="I31209" s="5">
        <v>0</v>
      </c>
      <c r="J31209" s="5">
        <v>0</v>
      </c>
      <c r="K31209" s="5">
        <v>0</v>
      </c>
    </row>
    <row r="31210" spans="1:11" x14ac:dyDescent="0.25">
      <c r="A31210" s="5">
        <f>31203</f>
      </c>
      <c r="B31210" s="5" t="s">
        <v>31218</v>
      </c>
      <c r="C31210" s="5">
        <v>104.6</v>
      </c>
      <c r="D31210" s="5">
        <v>0.1</v>
      </c>
      <c r="E31210" s="5">
        <v>104.7</v>
      </c>
      <c r="F31210" s="5">
        <v>208.9</v>
      </c>
      <c r="G31210" s="5">
        <v>104.2</v>
      </c>
      <c r="H31210" s="5">
        <v>103.9</v>
      </c>
      <c r="I31210" s="5">
        <v>0</v>
      </c>
      <c r="J31210" s="5">
        <v>0</v>
      </c>
      <c r="K31210" s="5">
        <v>0</v>
      </c>
    </row>
    <row r="31211" spans="1:11" x14ac:dyDescent="0.25">
      <c r="A31211" s="5">
        <f>31204</f>
      </c>
      <c r="B31211" s="5" t="s">
        <v>31219</v>
      </c>
      <c r="C31211" s="5">
        <v>104.6</v>
      </c>
      <c r="D31211" s="5">
        <v>0.1</v>
      </c>
      <c r="E31211" s="5">
        <v>104.7</v>
      </c>
      <c r="F31211" s="5">
        <v>208.9</v>
      </c>
      <c r="G31211" s="5">
        <v>104.2</v>
      </c>
      <c r="H31211" s="5">
        <v>103.9</v>
      </c>
      <c r="I31211" s="5">
        <v>0</v>
      </c>
      <c r="J31211" s="5">
        <v>0</v>
      </c>
      <c r="K31211" s="5">
        <v>0</v>
      </c>
    </row>
    <row r="31212" spans="1:11" x14ac:dyDescent="0.25">
      <c r="A31212" s="5">
        <f>31205</f>
      </c>
      <c r="B31212" s="5" t="s">
        <v>31220</v>
      </c>
      <c r="C31212" s="5">
        <v>103.7</v>
      </c>
      <c r="D31212" s="5">
        <v>0.1</v>
      </c>
      <c r="E31212" s="5">
        <v>103.9</v>
      </c>
      <c r="F31212" s="5">
        <v>206.8</v>
      </c>
      <c r="G31212" s="5">
        <v>103.2</v>
      </c>
      <c r="H31212" s="5">
        <v>103</v>
      </c>
      <c r="I31212" s="5">
        <v>0</v>
      </c>
      <c r="J31212" s="5">
        <v>0</v>
      </c>
      <c r="K31212" s="5">
        <v>0</v>
      </c>
    </row>
    <row r="31213" spans="1:11" x14ac:dyDescent="0.25">
      <c r="A31213" s="5">
        <f>31206</f>
      </c>
      <c r="B31213" s="5" t="s">
        <v>31221</v>
      </c>
      <c r="C31213" s="5">
        <v>103.7</v>
      </c>
      <c r="D31213" s="5">
        <v>0.1</v>
      </c>
      <c r="E31213" s="5">
        <v>103.9</v>
      </c>
      <c r="F31213" s="5">
        <v>206.8</v>
      </c>
      <c r="G31213" s="5">
        <v>103.2</v>
      </c>
      <c r="H31213" s="5">
        <v>103</v>
      </c>
      <c r="I31213" s="5">
        <v>0</v>
      </c>
      <c r="J31213" s="5">
        <v>0</v>
      </c>
      <c r="K31213" s="5">
        <v>0</v>
      </c>
    </row>
    <row r="31214" spans="1:11" x14ac:dyDescent="0.25">
      <c r="A31214" s="5">
        <f>31207</f>
      </c>
      <c r="B31214" s="5" t="s">
        <v>31222</v>
      </c>
      <c r="C31214" s="5">
        <v>103</v>
      </c>
      <c r="D31214" s="5">
        <v>0.1</v>
      </c>
      <c r="E31214" s="5">
        <v>103.1</v>
      </c>
      <c r="F31214" s="5">
        <v>206.1</v>
      </c>
      <c r="G31214" s="5">
        <v>102.8</v>
      </c>
      <c r="H31214" s="5">
        <v>102.6</v>
      </c>
      <c r="I31214" s="5">
        <v>0</v>
      </c>
      <c r="J31214" s="5">
        <v>0</v>
      </c>
      <c r="K31214" s="5">
        <v>0</v>
      </c>
    </row>
    <row r="31215" spans="1:11" x14ac:dyDescent="0.25">
      <c r="A31215" s="5">
        <f>31208</f>
      </c>
      <c r="B31215" s="5" t="s">
        <v>31223</v>
      </c>
      <c r="C31215" s="5">
        <v>103</v>
      </c>
      <c r="D31215" s="5">
        <v>0.1</v>
      </c>
      <c r="E31215" s="5">
        <v>103.1</v>
      </c>
      <c r="F31215" s="5">
        <v>206.1</v>
      </c>
      <c r="G31215" s="5">
        <v>102.8</v>
      </c>
      <c r="H31215" s="5">
        <v>102.6</v>
      </c>
      <c r="I31215" s="5">
        <v>0</v>
      </c>
      <c r="J31215" s="5">
        <v>0</v>
      </c>
      <c r="K31215" s="5">
        <v>0</v>
      </c>
    </row>
    <row r="31216" spans="1:11" x14ac:dyDescent="0.25">
      <c r="A31216" s="5">
        <f>31209</f>
      </c>
      <c r="B31216" s="5" t="s">
        <v>31224</v>
      </c>
      <c r="C31216" s="5">
        <v>103</v>
      </c>
      <c r="D31216" s="5">
        <v>0.1</v>
      </c>
      <c r="E31216" s="5">
        <v>103.1</v>
      </c>
      <c r="F31216" s="5">
        <v>206.1</v>
      </c>
      <c r="G31216" s="5">
        <v>102.8</v>
      </c>
      <c r="H31216" s="5">
        <v>102.6</v>
      </c>
      <c r="I31216" s="5">
        <v>0</v>
      </c>
      <c r="J31216" s="5">
        <v>0</v>
      </c>
      <c r="K31216" s="5">
        <v>0</v>
      </c>
    </row>
    <row r="31217" spans="1:11" x14ac:dyDescent="0.25">
      <c r="A31217" s="5">
        <f>31210</f>
      </c>
      <c r="B31217" s="5" t="s">
        <v>31225</v>
      </c>
      <c r="C31217" s="5">
        <v>103</v>
      </c>
      <c r="D31217" s="5">
        <v>0.1</v>
      </c>
      <c r="E31217" s="5">
        <v>103.1</v>
      </c>
      <c r="F31217" s="5">
        <v>205.7</v>
      </c>
      <c r="G31217" s="5">
        <v>102.2</v>
      </c>
      <c r="H31217" s="5">
        <v>102.1</v>
      </c>
      <c r="I31217" s="5">
        <v>0</v>
      </c>
      <c r="J31217" s="5">
        <v>0</v>
      </c>
      <c r="K31217" s="5">
        <v>0</v>
      </c>
    </row>
    <row r="31218" spans="1:11" x14ac:dyDescent="0.25">
      <c r="A31218" s="5">
        <f>31211</f>
      </c>
      <c r="B31218" s="5" t="s">
        <v>31226</v>
      </c>
      <c r="C31218" s="5">
        <v>103</v>
      </c>
      <c r="D31218" s="5">
        <v>0.1</v>
      </c>
      <c r="E31218" s="5">
        <v>103.1</v>
      </c>
      <c r="F31218" s="5">
        <v>205.7</v>
      </c>
      <c r="G31218" s="5">
        <v>102.2</v>
      </c>
      <c r="H31218" s="5">
        <v>102.1</v>
      </c>
      <c r="I31218" s="5">
        <v>0</v>
      </c>
      <c r="J31218" s="5">
        <v>0</v>
      </c>
      <c r="K31218" s="5">
        <v>0</v>
      </c>
    </row>
    <row r="31219" spans="1:11" x14ac:dyDescent="0.25">
      <c r="A31219" s="5">
        <f>31212</f>
      </c>
      <c r="B31219" s="5" t="s">
        <v>31227</v>
      </c>
      <c r="C31219" s="5">
        <v>103.1</v>
      </c>
      <c r="D31219" s="5">
        <v>0.1</v>
      </c>
      <c r="E31219" s="5">
        <v>103.2</v>
      </c>
      <c r="F31219" s="5">
        <v>206.4</v>
      </c>
      <c r="G31219" s="5">
        <v>103</v>
      </c>
      <c r="H31219" s="5">
        <v>102.9</v>
      </c>
      <c r="I31219" s="5">
        <v>0</v>
      </c>
      <c r="J31219" s="5">
        <v>0</v>
      </c>
      <c r="K31219" s="5">
        <v>0</v>
      </c>
    </row>
    <row r="31220" spans="1:11" x14ac:dyDescent="0.25">
      <c r="A31220" s="5">
        <f>31213</f>
      </c>
      <c r="B31220" s="5" t="s">
        <v>31228</v>
      </c>
      <c r="C31220" s="5">
        <v>103.1</v>
      </c>
      <c r="D31220" s="5">
        <v>0.1</v>
      </c>
      <c r="E31220" s="5">
        <v>103.2</v>
      </c>
      <c r="F31220" s="5">
        <v>206.4</v>
      </c>
      <c r="G31220" s="5">
        <v>103</v>
      </c>
      <c r="H31220" s="5">
        <v>102.9</v>
      </c>
      <c r="I31220" s="5">
        <v>0</v>
      </c>
      <c r="J31220" s="5">
        <v>0</v>
      </c>
      <c r="K31220" s="5">
        <v>0</v>
      </c>
    </row>
    <row r="31221" spans="1:11" x14ac:dyDescent="0.25">
      <c r="A31221" s="5">
        <f>31214</f>
      </c>
      <c r="B31221" s="5" t="s">
        <v>31229</v>
      </c>
      <c r="C31221" s="5">
        <v>103</v>
      </c>
      <c r="D31221" s="5">
        <v>0.1</v>
      </c>
      <c r="E31221" s="5">
        <v>103.1</v>
      </c>
      <c r="F31221" s="5">
        <v>205.9</v>
      </c>
      <c r="G31221" s="5">
        <v>102.8</v>
      </c>
      <c r="H31221" s="5">
        <v>102.7</v>
      </c>
      <c r="I31221" s="5">
        <v>0</v>
      </c>
      <c r="J31221" s="5">
        <v>0</v>
      </c>
      <c r="K31221" s="5">
        <v>0</v>
      </c>
    </row>
    <row r="31222" spans="1:11" x14ac:dyDescent="0.25">
      <c r="A31222" s="5">
        <f>31215</f>
      </c>
      <c r="B31222" s="5" t="s">
        <v>31230</v>
      </c>
      <c r="C31222" s="5">
        <v>103</v>
      </c>
      <c r="D31222" s="5">
        <v>0.1</v>
      </c>
      <c r="E31222" s="5">
        <v>103.1</v>
      </c>
      <c r="F31222" s="5">
        <v>205.9</v>
      </c>
      <c r="G31222" s="5">
        <v>102.8</v>
      </c>
      <c r="H31222" s="5">
        <v>102.7</v>
      </c>
      <c r="I31222" s="5">
        <v>0</v>
      </c>
      <c r="J31222" s="5">
        <v>0</v>
      </c>
      <c r="K31222" s="5">
        <v>0</v>
      </c>
    </row>
    <row r="31223" spans="1:11" x14ac:dyDescent="0.25">
      <c r="A31223" s="5">
        <f>31216</f>
      </c>
      <c r="B31223" s="5" t="s">
        <v>31231</v>
      </c>
      <c r="C31223" s="5">
        <v>102.9</v>
      </c>
      <c r="D31223" s="5">
        <v>0.1</v>
      </c>
      <c r="E31223" s="5">
        <v>103.1</v>
      </c>
      <c r="F31223" s="5">
        <v>206</v>
      </c>
      <c r="G31223" s="5">
        <v>102.8</v>
      </c>
      <c r="H31223" s="5">
        <v>102.7</v>
      </c>
      <c r="I31223" s="5">
        <v>0</v>
      </c>
      <c r="J31223" s="5">
        <v>0</v>
      </c>
      <c r="K31223" s="5">
        <v>0</v>
      </c>
    </row>
    <row r="31224" spans="1:11" x14ac:dyDescent="0.25">
      <c r="A31224" s="5">
        <f>31217</f>
      </c>
      <c r="B31224" s="5" t="s">
        <v>31232</v>
      </c>
      <c r="C31224" s="5">
        <v>102.9</v>
      </c>
      <c r="D31224" s="5">
        <v>0.1</v>
      </c>
      <c r="E31224" s="5">
        <v>103.1</v>
      </c>
      <c r="F31224" s="5">
        <v>206</v>
      </c>
      <c r="G31224" s="5">
        <v>102.8</v>
      </c>
      <c r="H31224" s="5">
        <v>102.7</v>
      </c>
      <c r="I31224" s="5">
        <v>0</v>
      </c>
      <c r="J31224" s="5">
        <v>0</v>
      </c>
      <c r="K31224" s="5">
        <v>0</v>
      </c>
    </row>
    <row r="31225" spans="1:11" x14ac:dyDescent="0.25">
      <c r="A31225" s="5">
        <f>31218</f>
      </c>
      <c r="B31225" s="5" t="s">
        <v>31233</v>
      </c>
      <c r="C31225" s="5">
        <v>102.9</v>
      </c>
      <c r="D31225" s="5">
        <v>0.1</v>
      </c>
      <c r="E31225" s="5">
        <v>103.1</v>
      </c>
      <c r="F31225" s="5">
        <v>206</v>
      </c>
      <c r="G31225" s="5">
        <v>102.8</v>
      </c>
      <c r="H31225" s="5">
        <v>102.7</v>
      </c>
      <c r="I31225" s="5">
        <v>0</v>
      </c>
      <c r="J31225" s="5">
        <v>0</v>
      </c>
      <c r="K31225" s="5">
        <v>0</v>
      </c>
    </row>
    <row r="31226" spans="1:11" x14ac:dyDescent="0.25">
      <c r="A31226" s="5">
        <f>31219</f>
      </c>
      <c r="B31226" s="5" t="s">
        <v>31234</v>
      </c>
      <c r="C31226" s="5">
        <v>102.9</v>
      </c>
      <c r="D31226" s="5">
        <v>0.1</v>
      </c>
      <c r="E31226" s="5">
        <v>103.1</v>
      </c>
      <c r="F31226" s="5">
        <v>206</v>
      </c>
      <c r="G31226" s="5">
        <v>102.8</v>
      </c>
      <c r="H31226" s="5">
        <v>102.7</v>
      </c>
      <c r="I31226" s="5">
        <v>0</v>
      </c>
      <c r="J31226" s="5">
        <v>0</v>
      </c>
      <c r="K31226" s="5">
        <v>0</v>
      </c>
    </row>
    <row r="31227" spans="1:11" x14ac:dyDescent="0.25">
      <c r="A31227" s="5">
        <f>31220</f>
      </c>
      <c r="B31227" s="5" t="s">
        <v>31235</v>
      </c>
      <c r="C31227" s="5">
        <v>103.7</v>
      </c>
      <c r="D31227" s="5">
        <v>0.1</v>
      </c>
      <c r="E31227" s="5">
        <v>103.8</v>
      </c>
      <c r="F31227" s="5">
        <v>207.2</v>
      </c>
      <c r="G31227" s="5">
        <v>103.4</v>
      </c>
      <c r="H31227" s="5">
        <v>103.2</v>
      </c>
      <c r="I31227" s="5">
        <v>0</v>
      </c>
      <c r="J31227" s="5">
        <v>0</v>
      </c>
      <c r="K31227" s="5">
        <v>0</v>
      </c>
    </row>
    <row r="31228" spans="1:11" x14ac:dyDescent="0.25">
      <c r="A31228" s="5">
        <f>31221</f>
      </c>
      <c r="B31228" s="5" t="s">
        <v>31236</v>
      </c>
      <c r="C31228" s="5">
        <v>103.7</v>
      </c>
      <c r="D31228" s="5">
        <v>0.1</v>
      </c>
      <c r="E31228" s="5">
        <v>103.8</v>
      </c>
      <c r="F31228" s="5">
        <v>207.2</v>
      </c>
      <c r="G31228" s="5">
        <v>103.4</v>
      </c>
      <c r="H31228" s="5">
        <v>103.2</v>
      </c>
      <c r="I31228" s="5">
        <v>0</v>
      </c>
      <c r="J31228" s="5">
        <v>0</v>
      </c>
      <c r="K31228" s="5">
        <v>0</v>
      </c>
    </row>
    <row r="31229" spans="1:11" x14ac:dyDescent="0.25">
      <c r="A31229" s="5">
        <f>31222</f>
      </c>
      <c r="B31229" s="5" t="s">
        <v>31237</v>
      </c>
      <c r="C31229" s="5">
        <v>103.9</v>
      </c>
      <c r="D31229" s="5">
        <v>0.1</v>
      </c>
      <c r="E31229" s="5">
        <v>104</v>
      </c>
      <c r="F31229" s="5">
        <v>207.6</v>
      </c>
      <c r="G31229" s="5">
        <v>103.6</v>
      </c>
      <c r="H31229" s="5">
        <v>103.5</v>
      </c>
      <c r="I31229" s="5">
        <v>0</v>
      </c>
      <c r="J31229" s="5">
        <v>0</v>
      </c>
      <c r="K31229" s="5">
        <v>0</v>
      </c>
    </row>
    <row r="31230" spans="1:11" x14ac:dyDescent="0.25">
      <c r="A31230" s="5">
        <f>31223</f>
      </c>
      <c r="B31230" s="5" t="s">
        <v>31238</v>
      </c>
      <c r="C31230" s="5">
        <v>103.9</v>
      </c>
      <c r="D31230" s="5">
        <v>0.1</v>
      </c>
      <c r="E31230" s="5">
        <v>104</v>
      </c>
      <c r="F31230" s="5">
        <v>207.6</v>
      </c>
      <c r="G31230" s="5">
        <v>103.6</v>
      </c>
      <c r="H31230" s="5">
        <v>103.5</v>
      </c>
      <c r="I31230" s="5">
        <v>0</v>
      </c>
      <c r="J31230" s="5">
        <v>0</v>
      </c>
      <c r="K31230" s="5">
        <v>0</v>
      </c>
    </row>
    <row r="31231" spans="1:11" x14ac:dyDescent="0.25">
      <c r="A31231" s="5">
        <f>31224</f>
      </c>
      <c r="B31231" s="5" t="s">
        <v>31239</v>
      </c>
      <c r="C31231" s="5">
        <v>103.4</v>
      </c>
      <c r="D31231" s="5">
        <v>0.1</v>
      </c>
      <c r="E31231" s="5">
        <v>103.6</v>
      </c>
      <c r="F31231" s="5">
        <v>207</v>
      </c>
      <c r="G31231" s="5">
        <v>103.3</v>
      </c>
      <c r="H31231" s="5">
        <v>103.2</v>
      </c>
      <c r="I31231" s="5">
        <v>0</v>
      </c>
      <c r="J31231" s="5">
        <v>0</v>
      </c>
      <c r="K31231" s="5">
        <v>0</v>
      </c>
    </row>
    <row r="31232" spans="1:11" x14ac:dyDescent="0.25">
      <c r="A31232" s="5">
        <f>31225</f>
      </c>
      <c r="B31232" s="5" t="s">
        <v>31240</v>
      </c>
      <c r="C31232" s="5">
        <v>103.4</v>
      </c>
      <c r="D31232" s="5">
        <v>0.1</v>
      </c>
      <c r="E31232" s="5">
        <v>103.6</v>
      </c>
      <c r="F31232" s="5">
        <v>207</v>
      </c>
      <c r="G31232" s="5">
        <v>103.3</v>
      </c>
      <c r="H31232" s="5">
        <v>103.2</v>
      </c>
      <c r="I31232" s="5">
        <v>0</v>
      </c>
      <c r="J31232" s="5">
        <v>0</v>
      </c>
      <c r="K31232" s="5">
        <v>0</v>
      </c>
    </row>
    <row r="31233" spans="1:11" x14ac:dyDescent="0.25">
      <c r="A31233" s="5">
        <f>31226</f>
      </c>
      <c r="B31233" s="5" t="s">
        <v>31241</v>
      </c>
      <c r="C31233" s="5">
        <v>103</v>
      </c>
      <c r="D31233" s="5">
        <v>0.1</v>
      </c>
      <c r="E31233" s="5">
        <v>103.1</v>
      </c>
      <c r="F31233" s="5">
        <v>206.7</v>
      </c>
      <c r="G31233" s="5">
        <v>103.1</v>
      </c>
      <c r="H31233" s="5">
        <v>103.2</v>
      </c>
      <c r="I31233" s="5">
        <v>0</v>
      </c>
      <c r="J31233" s="5">
        <v>0</v>
      </c>
      <c r="K31233" s="5">
        <v>0</v>
      </c>
    </row>
    <row r="31234" spans="1:11" x14ac:dyDescent="0.25">
      <c r="A31234" s="5">
        <f>31227</f>
      </c>
      <c r="B31234" s="5" t="s">
        <v>31242</v>
      </c>
      <c r="C31234" s="5">
        <v>103</v>
      </c>
      <c r="D31234" s="5">
        <v>0.1</v>
      </c>
      <c r="E31234" s="5">
        <v>103.1</v>
      </c>
      <c r="F31234" s="5">
        <v>206.7</v>
      </c>
      <c r="G31234" s="5">
        <v>103.1</v>
      </c>
      <c r="H31234" s="5">
        <v>102.9</v>
      </c>
      <c r="I31234" s="5">
        <v>0</v>
      </c>
      <c r="J31234" s="5">
        <v>0</v>
      </c>
      <c r="K31234" s="5">
        <v>0</v>
      </c>
    </row>
    <row r="31235" spans="1:11" x14ac:dyDescent="0.25">
      <c r="A31235" s="5">
        <f>31228</f>
      </c>
      <c r="B31235" s="5" t="s">
        <v>31243</v>
      </c>
      <c r="C31235" s="5">
        <v>103</v>
      </c>
      <c r="D31235" s="5">
        <v>0.1</v>
      </c>
      <c r="E31235" s="5">
        <v>103.1</v>
      </c>
      <c r="F31235" s="5">
        <v>206.7</v>
      </c>
      <c r="G31235" s="5">
        <v>103.1</v>
      </c>
      <c r="H31235" s="5">
        <v>102.9</v>
      </c>
      <c r="I31235" s="5">
        <v>0</v>
      </c>
      <c r="J31235" s="5">
        <v>0</v>
      </c>
      <c r="K31235" s="5">
        <v>0</v>
      </c>
    </row>
    <row r="31236" spans="1:11" x14ac:dyDescent="0.25">
      <c r="A31236" s="5">
        <f>31229</f>
      </c>
      <c r="B31236" s="5" t="s">
        <v>31244</v>
      </c>
      <c r="C31236" s="5">
        <v>103</v>
      </c>
      <c r="D31236" s="5">
        <v>0.1</v>
      </c>
      <c r="E31236" s="5">
        <v>103.1</v>
      </c>
      <c r="F31236" s="5">
        <v>206.7</v>
      </c>
      <c r="G31236" s="5">
        <v>103.1</v>
      </c>
      <c r="H31236" s="5">
        <v>102.9</v>
      </c>
      <c r="I31236" s="5">
        <v>0</v>
      </c>
      <c r="J31236" s="5">
        <v>0</v>
      </c>
      <c r="K31236" s="5">
        <v>0</v>
      </c>
    </row>
    <row r="31237" spans="1:11" x14ac:dyDescent="0.25">
      <c r="A31237" s="5">
        <f>31230</f>
      </c>
      <c r="B31237" s="5" t="s">
        <v>31245</v>
      </c>
      <c r="C31237" s="5">
        <v>98.7</v>
      </c>
      <c r="D31237" s="5">
        <v>0.1</v>
      </c>
      <c r="E31237" s="5">
        <v>103.1</v>
      </c>
      <c r="F31237" s="5">
        <v>206.7</v>
      </c>
      <c r="G31237" s="5">
        <v>103.1</v>
      </c>
      <c r="H31237" s="5">
        <v>102.9</v>
      </c>
      <c r="I31237" s="5">
        <v>0</v>
      </c>
      <c r="J31237" s="5">
        <v>0</v>
      </c>
      <c r="K31237" s="5">
        <v>0</v>
      </c>
    </row>
    <row r="31238" spans="1:11" x14ac:dyDescent="0.25">
      <c r="A31238" s="5">
        <f>31231</f>
      </c>
      <c r="B31238" s="5" t="s">
        <v>31246</v>
      </c>
      <c r="C31238" s="5">
        <v>98.7</v>
      </c>
      <c r="D31238" s="5">
        <v>0.1</v>
      </c>
      <c r="E31238" s="5">
        <v>98.9</v>
      </c>
      <c r="F31238" s="5">
        <v>197.6</v>
      </c>
      <c r="G31238" s="5">
        <v>98.5</v>
      </c>
      <c r="H31238" s="5">
        <v>98.7</v>
      </c>
      <c r="I31238" s="5">
        <v>0</v>
      </c>
      <c r="J31238" s="5">
        <v>0</v>
      </c>
      <c r="K31238" s="5">
        <v>0</v>
      </c>
    </row>
    <row r="31239" spans="1:11" x14ac:dyDescent="0.25">
      <c r="A31239" s="5">
        <f>31232</f>
      </c>
      <c r="B31239" s="5" t="s">
        <v>31247</v>
      </c>
      <c r="C31239" s="5">
        <v>98.7</v>
      </c>
      <c r="D31239" s="5">
        <v>0.1</v>
      </c>
      <c r="E31239" s="5">
        <v>98.9</v>
      </c>
      <c r="F31239" s="5">
        <v>197.6</v>
      </c>
      <c r="G31239" s="5">
        <v>98.5</v>
      </c>
      <c r="H31239" s="5">
        <v>98.7</v>
      </c>
      <c r="I31239" s="5">
        <v>0</v>
      </c>
      <c r="J31239" s="5">
        <v>0</v>
      </c>
      <c r="K31239" s="5">
        <v>0</v>
      </c>
    </row>
    <row r="31240" spans="1:11" x14ac:dyDescent="0.25">
      <c r="A31240" s="5">
        <f>31233</f>
      </c>
      <c r="B31240" s="5" t="s">
        <v>31248</v>
      </c>
      <c r="C31240" s="5">
        <v>103.2</v>
      </c>
      <c r="D31240" s="5">
        <v>0.1</v>
      </c>
      <c r="E31240" s="5">
        <v>103.4</v>
      </c>
      <c r="F31240" s="5">
        <v>205.4</v>
      </c>
      <c r="G31240" s="5">
        <v>102.5</v>
      </c>
      <c r="H31240" s="5">
        <v>102.6</v>
      </c>
      <c r="I31240" s="5">
        <v>0</v>
      </c>
      <c r="J31240" s="5">
        <v>0</v>
      </c>
      <c r="K31240" s="5">
        <v>0</v>
      </c>
    </row>
    <row r="31241" spans="1:11" x14ac:dyDescent="0.25">
      <c r="A31241" s="5">
        <f>31234</f>
      </c>
      <c r="B31241" s="5" t="s">
        <v>31249</v>
      </c>
      <c r="C31241" s="5">
        <v>103.2</v>
      </c>
      <c r="D31241" s="5">
        <v>0.1</v>
      </c>
      <c r="E31241" s="5">
        <v>103.4</v>
      </c>
      <c r="F31241" s="5">
        <v>205.4</v>
      </c>
      <c r="G31241" s="5">
        <v>102.5</v>
      </c>
      <c r="H31241" s="5">
        <v>102.6</v>
      </c>
      <c r="I31241" s="5">
        <v>0</v>
      </c>
      <c r="J31241" s="5">
        <v>0</v>
      </c>
      <c r="K31241" s="5">
        <v>0</v>
      </c>
    </row>
    <row r="31242" spans="1:11" x14ac:dyDescent="0.25">
      <c r="A31242" s="5">
        <f>31235</f>
      </c>
      <c r="B31242" s="5" t="s">
        <v>31250</v>
      </c>
      <c r="C31242" s="5">
        <v>101.8</v>
      </c>
      <c r="D31242" s="5">
        <v>0.1</v>
      </c>
      <c r="E31242" s="5">
        <v>102</v>
      </c>
      <c r="F31242" s="5">
        <v>203.7</v>
      </c>
      <c r="G31242" s="5">
        <v>101.7</v>
      </c>
      <c r="H31242" s="5">
        <v>101.6</v>
      </c>
      <c r="I31242" s="5">
        <v>0</v>
      </c>
      <c r="J31242" s="5">
        <v>0</v>
      </c>
      <c r="K31242" s="5">
        <v>0</v>
      </c>
    </row>
    <row r="31243" spans="1:11" x14ac:dyDescent="0.25">
      <c r="A31243" s="5">
        <f>31236</f>
      </c>
      <c r="B31243" s="5" t="s">
        <v>31251</v>
      </c>
      <c r="C31243" s="5">
        <v>101.8</v>
      </c>
      <c r="D31243" s="5">
        <v>0.1</v>
      </c>
      <c r="E31243" s="5">
        <v>102</v>
      </c>
      <c r="F31243" s="5">
        <v>203.7</v>
      </c>
      <c r="G31243" s="5">
        <v>101.7</v>
      </c>
      <c r="H31243" s="5">
        <v>101.6</v>
      </c>
      <c r="I31243" s="5">
        <v>0</v>
      </c>
      <c r="J31243" s="5">
        <v>0</v>
      </c>
      <c r="K31243" s="5">
        <v>0</v>
      </c>
    </row>
    <row r="31244" spans="1:11" x14ac:dyDescent="0.25">
      <c r="A31244" s="5">
        <f>31237</f>
      </c>
      <c r="B31244" s="5" t="s">
        <v>31252</v>
      </c>
      <c r="C31244" s="5">
        <v>103.4</v>
      </c>
      <c r="D31244" s="5">
        <v>0.1</v>
      </c>
      <c r="E31244" s="5">
        <v>103.5</v>
      </c>
      <c r="F31244" s="5">
        <v>206</v>
      </c>
      <c r="G31244" s="5">
        <v>102.7</v>
      </c>
      <c r="H31244" s="5">
        <v>102.6</v>
      </c>
      <c r="I31244" s="5">
        <v>0</v>
      </c>
      <c r="J31244" s="5">
        <v>0</v>
      </c>
      <c r="K31244" s="5">
        <v>0</v>
      </c>
    </row>
    <row r="31245" spans="1:11" x14ac:dyDescent="0.25">
      <c r="A31245" s="5">
        <f>31238</f>
      </c>
      <c r="B31245" s="5" t="s">
        <v>31253</v>
      </c>
      <c r="C31245" s="5">
        <v>103.4</v>
      </c>
      <c r="D31245" s="5">
        <v>0.1</v>
      </c>
      <c r="E31245" s="5">
        <v>103.5</v>
      </c>
      <c r="F31245" s="5">
        <v>206</v>
      </c>
      <c r="G31245" s="5">
        <v>102.7</v>
      </c>
      <c r="H31245" s="5">
        <v>102.6</v>
      </c>
      <c r="I31245" s="5">
        <v>0</v>
      </c>
      <c r="J31245" s="5">
        <v>0</v>
      </c>
      <c r="K31245" s="5">
        <v>0</v>
      </c>
    </row>
    <row r="31246" spans="1:11" x14ac:dyDescent="0.25">
      <c r="A31246" s="5">
        <f>31239</f>
      </c>
      <c r="B31246" s="5" t="s">
        <v>31254</v>
      </c>
      <c r="C31246" s="5">
        <v>103.4</v>
      </c>
      <c r="D31246" s="5">
        <v>0.1</v>
      </c>
      <c r="E31246" s="5">
        <v>103.5</v>
      </c>
      <c r="F31246" s="5">
        <v>206</v>
      </c>
      <c r="G31246" s="5">
        <v>102.7</v>
      </c>
      <c r="H31246" s="5">
        <v>102.6</v>
      </c>
      <c r="I31246" s="5">
        <v>0</v>
      </c>
      <c r="J31246" s="5">
        <v>0</v>
      </c>
      <c r="K31246" s="5">
        <v>0</v>
      </c>
    </row>
    <row r="31247" spans="1:11" x14ac:dyDescent="0.25">
      <c r="A31247" s="5">
        <f>31240</f>
      </c>
      <c r="B31247" s="5" t="s">
        <v>31255</v>
      </c>
      <c r="C31247" s="5">
        <v>103.3</v>
      </c>
      <c r="D31247" s="5">
        <v>0.1</v>
      </c>
      <c r="E31247" s="5">
        <v>103.4</v>
      </c>
      <c r="F31247" s="5">
        <v>206.4</v>
      </c>
      <c r="G31247" s="5">
        <v>103</v>
      </c>
      <c r="H31247" s="5">
        <v>102.8</v>
      </c>
      <c r="I31247" s="5">
        <v>0</v>
      </c>
      <c r="J31247" s="5">
        <v>0</v>
      </c>
      <c r="K31247" s="5">
        <v>0</v>
      </c>
    </row>
    <row r="31248" spans="1:11" x14ac:dyDescent="0.25">
      <c r="A31248" s="5">
        <f>31241</f>
      </c>
      <c r="B31248" s="5" t="s">
        <v>31256</v>
      </c>
      <c r="C31248" s="5">
        <v>103.3</v>
      </c>
      <c r="D31248" s="5">
        <v>0.1</v>
      </c>
      <c r="E31248" s="5">
        <v>103.4</v>
      </c>
      <c r="F31248" s="5">
        <v>206.4</v>
      </c>
      <c r="G31248" s="5">
        <v>103</v>
      </c>
      <c r="H31248" s="5">
        <v>102.8</v>
      </c>
      <c r="I31248" s="5">
        <v>0</v>
      </c>
      <c r="J31248" s="5">
        <v>0</v>
      </c>
      <c r="K31248" s="5">
        <v>0</v>
      </c>
    </row>
    <row r="31249" spans="1:11" x14ac:dyDescent="0.25">
      <c r="A31249" s="5">
        <f>31242</f>
      </c>
      <c r="B31249" s="5" t="s">
        <v>31257</v>
      </c>
      <c r="C31249" s="5">
        <v>103.6</v>
      </c>
      <c r="D31249" s="5">
        <v>0.1</v>
      </c>
      <c r="E31249" s="5">
        <v>103.7</v>
      </c>
      <c r="F31249" s="5">
        <v>206.6</v>
      </c>
      <c r="G31249" s="5">
        <v>103.1</v>
      </c>
      <c r="H31249" s="5">
        <v>103</v>
      </c>
      <c r="I31249" s="5">
        <v>0</v>
      </c>
      <c r="J31249" s="5">
        <v>0</v>
      </c>
      <c r="K31249" s="5">
        <v>0</v>
      </c>
    </row>
    <row r="31250" spans="1:11" x14ac:dyDescent="0.25">
      <c r="A31250" s="5">
        <f>31243</f>
      </c>
      <c r="B31250" s="5" t="s">
        <v>31258</v>
      </c>
      <c r="C31250" s="5">
        <v>103.6</v>
      </c>
      <c r="D31250" s="5">
        <v>0.1</v>
      </c>
      <c r="E31250" s="5">
        <v>103.7</v>
      </c>
      <c r="F31250" s="5">
        <v>206.6</v>
      </c>
      <c r="G31250" s="5">
        <v>103.1</v>
      </c>
      <c r="H31250" s="5">
        <v>103</v>
      </c>
      <c r="I31250" s="5">
        <v>0</v>
      </c>
      <c r="J31250" s="5">
        <v>0</v>
      </c>
      <c r="K31250" s="5">
        <v>0</v>
      </c>
    </row>
    <row r="31251" spans="1:11" x14ac:dyDescent="0.25">
      <c r="A31251" s="5">
        <f>31244</f>
      </c>
      <c r="B31251" s="5" t="s">
        <v>31259</v>
      </c>
      <c r="C31251" s="5">
        <v>103.8</v>
      </c>
      <c r="D31251" s="5">
        <v>0.1</v>
      </c>
      <c r="E31251" s="5">
        <v>104</v>
      </c>
      <c r="F31251" s="5">
        <v>206.8</v>
      </c>
      <c r="G31251" s="5">
        <v>103.2</v>
      </c>
      <c r="H31251" s="5">
        <v>102.9</v>
      </c>
      <c r="I31251" s="5">
        <v>0</v>
      </c>
      <c r="J31251" s="5">
        <v>0</v>
      </c>
      <c r="K31251" s="5">
        <v>0</v>
      </c>
    </row>
    <row r="31252" spans="1:11" x14ac:dyDescent="0.25">
      <c r="A31252" s="5">
        <f>31245</f>
      </c>
      <c r="B31252" s="5" t="s">
        <v>31260</v>
      </c>
      <c r="C31252" s="5">
        <v>103.8</v>
      </c>
      <c r="D31252" s="5">
        <v>0.1</v>
      </c>
      <c r="E31252" s="5">
        <v>104</v>
      </c>
      <c r="F31252" s="5">
        <v>206.8</v>
      </c>
      <c r="G31252" s="5">
        <v>103.2</v>
      </c>
      <c r="H31252" s="5">
        <v>102.9</v>
      </c>
      <c r="I31252" s="5">
        <v>0</v>
      </c>
      <c r="J31252" s="5">
        <v>0</v>
      </c>
      <c r="K31252" s="5">
        <v>0</v>
      </c>
    </row>
    <row r="31253" spans="1:11" x14ac:dyDescent="0.25">
      <c r="A31253" s="5">
        <f>31246</f>
      </c>
      <c r="B31253" s="5" t="s">
        <v>31261</v>
      </c>
      <c r="C31253" s="5">
        <v>103.3</v>
      </c>
      <c r="D31253" s="5">
        <v>0.1</v>
      </c>
      <c r="E31253" s="5">
        <v>103.4</v>
      </c>
      <c r="F31253" s="5">
        <v>206.6</v>
      </c>
      <c r="G31253" s="5">
        <v>103</v>
      </c>
      <c r="H31253" s="5">
        <v>102.9</v>
      </c>
      <c r="I31253" s="5">
        <v>0</v>
      </c>
      <c r="J31253" s="5">
        <v>0</v>
      </c>
      <c r="K31253" s="5">
        <v>0</v>
      </c>
    </row>
    <row r="31254" spans="1:11" x14ac:dyDescent="0.25">
      <c r="A31254" s="5">
        <f>31247</f>
      </c>
      <c r="B31254" s="5" t="s">
        <v>31262</v>
      </c>
      <c r="C31254" s="5">
        <v>103.3</v>
      </c>
      <c r="D31254" s="5">
        <v>0.1</v>
      </c>
      <c r="E31254" s="5">
        <v>103.4</v>
      </c>
      <c r="F31254" s="5">
        <v>206.6</v>
      </c>
      <c r="G31254" s="5">
        <v>103</v>
      </c>
      <c r="H31254" s="5">
        <v>102.9</v>
      </c>
      <c r="I31254" s="5">
        <v>0</v>
      </c>
      <c r="J31254" s="5">
        <v>0</v>
      </c>
      <c r="K31254" s="5">
        <v>0</v>
      </c>
    </row>
    <row r="31255" spans="1:11" x14ac:dyDescent="0.25">
      <c r="A31255" s="5">
        <f>31248</f>
      </c>
      <c r="B31255" s="5" t="s">
        <v>31263</v>
      </c>
      <c r="C31255" s="5">
        <v>103.3</v>
      </c>
      <c r="D31255" s="5">
        <v>0.1</v>
      </c>
      <c r="E31255" s="5">
        <v>103.4</v>
      </c>
      <c r="F31255" s="5">
        <v>206.6</v>
      </c>
      <c r="G31255" s="5">
        <v>103</v>
      </c>
      <c r="H31255" s="5">
        <v>102.9</v>
      </c>
      <c r="I31255" s="5">
        <v>0</v>
      </c>
      <c r="J31255" s="5">
        <v>0</v>
      </c>
      <c r="K31255" s="5">
        <v>0</v>
      </c>
    </row>
    <row r="31256" spans="1:11" x14ac:dyDescent="0.25">
      <c r="A31256" s="5">
        <f>31249</f>
      </c>
      <c r="B31256" s="5" t="s">
        <v>31264</v>
      </c>
      <c r="C31256" s="5">
        <v>103.3</v>
      </c>
      <c r="D31256" s="5">
        <v>0.1</v>
      </c>
      <c r="E31256" s="5">
        <v>103.4</v>
      </c>
      <c r="F31256" s="5">
        <v>206.6</v>
      </c>
      <c r="G31256" s="5">
        <v>103</v>
      </c>
      <c r="H31256" s="5">
        <v>102.9</v>
      </c>
      <c r="I31256" s="5">
        <v>0</v>
      </c>
      <c r="J31256" s="5">
        <v>0</v>
      </c>
      <c r="K31256" s="5">
        <v>0</v>
      </c>
    </row>
    <row r="31257" spans="1:11" x14ac:dyDescent="0.25">
      <c r="A31257" s="5">
        <f>31250</f>
      </c>
      <c r="B31257" s="5" t="s">
        <v>31265</v>
      </c>
      <c r="C31257" s="5">
        <v>102.9</v>
      </c>
      <c r="D31257" s="5">
        <v>0.1</v>
      </c>
      <c r="E31257" s="5">
        <v>103.1</v>
      </c>
      <c r="F31257" s="5">
        <v>205.7</v>
      </c>
      <c r="G31257" s="5">
        <v>102.7</v>
      </c>
      <c r="H31257" s="5">
        <v>102.5</v>
      </c>
      <c r="I31257" s="5">
        <v>0</v>
      </c>
      <c r="J31257" s="5">
        <v>0</v>
      </c>
      <c r="K31257" s="5">
        <v>0</v>
      </c>
    </row>
    <row r="31258" spans="1:11" x14ac:dyDescent="0.25">
      <c r="A31258" s="5">
        <f>31251</f>
      </c>
      <c r="B31258" s="5" t="s">
        <v>31266</v>
      </c>
      <c r="C31258" s="5">
        <v>102.9</v>
      </c>
      <c r="D31258" s="5">
        <v>0.1</v>
      </c>
      <c r="E31258" s="5">
        <v>103.1</v>
      </c>
      <c r="F31258" s="5">
        <v>205.7</v>
      </c>
      <c r="G31258" s="5">
        <v>102.7</v>
      </c>
      <c r="H31258" s="5">
        <v>102.5</v>
      </c>
      <c r="I31258" s="5">
        <v>0</v>
      </c>
      <c r="J31258" s="5">
        <v>0</v>
      </c>
      <c r="K31258" s="5">
        <v>0</v>
      </c>
    </row>
    <row r="31259" spans="1:11" x14ac:dyDescent="0.25">
      <c r="A31259" s="5">
        <f>31252</f>
      </c>
      <c r="B31259" s="5" t="s">
        <v>31267</v>
      </c>
      <c r="C31259" s="5">
        <v>103.6</v>
      </c>
      <c r="D31259" s="5">
        <v>0.1</v>
      </c>
      <c r="E31259" s="5">
        <v>103.7</v>
      </c>
      <c r="F31259" s="5">
        <v>206.5</v>
      </c>
      <c r="G31259" s="5">
        <v>103.1</v>
      </c>
      <c r="H31259" s="5">
        <v>103</v>
      </c>
      <c r="I31259" s="5">
        <v>0</v>
      </c>
      <c r="J31259" s="5">
        <v>0</v>
      </c>
      <c r="K31259" s="5">
        <v>0</v>
      </c>
    </row>
    <row r="31260" spans="1:11" x14ac:dyDescent="0.25">
      <c r="A31260" s="5">
        <f>31253</f>
      </c>
      <c r="B31260" s="5" t="s">
        <v>31268</v>
      </c>
      <c r="C31260" s="5">
        <v>103.6</v>
      </c>
      <c r="D31260" s="5">
        <v>0.1</v>
      </c>
      <c r="E31260" s="5">
        <v>103.7</v>
      </c>
      <c r="F31260" s="5">
        <v>206.5</v>
      </c>
      <c r="G31260" s="5">
        <v>103.1</v>
      </c>
      <c r="H31260" s="5">
        <v>103</v>
      </c>
      <c r="I31260" s="5">
        <v>0</v>
      </c>
      <c r="J31260" s="5">
        <v>0</v>
      </c>
      <c r="K31260" s="5">
        <v>0</v>
      </c>
    </row>
    <row r="31261" spans="1:11" x14ac:dyDescent="0.25">
      <c r="A31261" s="5">
        <f>31254</f>
      </c>
      <c r="B31261" s="5" t="s">
        <v>31269</v>
      </c>
      <c r="C31261" s="5">
        <v>102.8</v>
      </c>
      <c r="D31261" s="5">
        <v>0.1</v>
      </c>
      <c r="E31261" s="5">
        <v>103</v>
      </c>
      <c r="F31261" s="5">
        <v>205.8</v>
      </c>
      <c r="G31261" s="5">
        <v>102.7</v>
      </c>
      <c r="H31261" s="5">
        <v>102.5</v>
      </c>
      <c r="I31261" s="5">
        <v>0</v>
      </c>
      <c r="J31261" s="5">
        <v>0</v>
      </c>
      <c r="K31261" s="5">
        <v>0</v>
      </c>
    </row>
    <row r="31262" spans="1:11" x14ac:dyDescent="0.25">
      <c r="A31262" s="5">
        <f>31255</f>
      </c>
      <c r="B31262" s="5" t="s">
        <v>31270</v>
      </c>
      <c r="C31262" s="5">
        <v>102.8</v>
      </c>
      <c r="D31262" s="5">
        <v>0.1</v>
      </c>
      <c r="E31262" s="5">
        <v>103</v>
      </c>
      <c r="F31262" s="5">
        <v>205.8</v>
      </c>
      <c r="G31262" s="5">
        <v>102.7</v>
      </c>
      <c r="H31262" s="5">
        <v>102.5</v>
      </c>
      <c r="I31262" s="5">
        <v>0</v>
      </c>
      <c r="J31262" s="5">
        <v>0</v>
      </c>
      <c r="K31262" s="5">
        <v>0</v>
      </c>
    </row>
    <row r="31263" spans="1:11" x14ac:dyDescent="0.25">
      <c r="A31263" s="5">
        <f>31256</f>
      </c>
      <c r="B31263" s="5" t="s">
        <v>31271</v>
      </c>
      <c r="C31263" s="5">
        <v>103.1</v>
      </c>
      <c r="D31263" s="5">
        <v>0.1</v>
      </c>
      <c r="E31263" s="5">
        <v>103.2</v>
      </c>
      <c r="F31263" s="5">
        <v>206.1</v>
      </c>
      <c r="G31263" s="5">
        <v>102.8</v>
      </c>
      <c r="H31263" s="5">
        <v>102.7</v>
      </c>
      <c r="I31263" s="5">
        <v>0</v>
      </c>
      <c r="J31263" s="5">
        <v>0</v>
      </c>
      <c r="K31263" s="5">
        <v>0</v>
      </c>
    </row>
    <row r="31264" spans="1:11" x14ac:dyDescent="0.25">
      <c r="A31264" s="5">
        <f>31257</f>
      </c>
      <c r="B31264" s="5" t="s">
        <v>31272</v>
      </c>
      <c r="C31264" s="5">
        <v>103.1</v>
      </c>
      <c r="D31264" s="5">
        <v>0.1</v>
      </c>
      <c r="E31264" s="5">
        <v>103.2</v>
      </c>
      <c r="F31264" s="5">
        <v>206.1</v>
      </c>
      <c r="G31264" s="5">
        <v>102.8</v>
      </c>
      <c r="H31264" s="5">
        <v>102.7</v>
      </c>
      <c r="I31264" s="5">
        <v>0</v>
      </c>
      <c r="J31264" s="5">
        <v>0</v>
      </c>
      <c r="K31264" s="5">
        <v>0</v>
      </c>
    </row>
    <row r="31265" spans="1:11" x14ac:dyDescent="0.25">
      <c r="A31265" s="5">
        <f>31258</f>
      </c>
      <c r="B31265" s="5" t="s">
        <v>31273</v>
      </c>
      <c r="C31265" s="5">
        <v>103.1</v>
      </c>
      <c r="D31265" s="5">
        <v>0.1</v>
      </c>
      <c r="E31265" s="5">
        <v>103.2</v>
      </c>
      <c r="F31265" s="5">
        <v>206.1</v>
      </c>
      <c r="G31265" s="5">
        <v>102.8</v>
      </c>
      <c r="H31265" s="5">
        <v>102.7</v>
      </c>
      <c r="I31265" s="5">
        <v>0</v>
      </c>
      <c r="J31265" s="5">
        <v>0</v>
      </c>
      <c r="K31265" s="5">
        <v>0</v>
      </c>
    </row>
    <row r="31266" spans="1:11" x14ac:dyDescent="0.25">
      <c r="A31266" s="5">
        <f>31259</f>
      </c>
      <c r="B31266" s="5" t="s">
        <v>31274</v>
      </c>
      <c r="C31266" s="5">
        <v>103.1</v>
      </c>
      <c r="D31266" s="5">
        <v>0.1</v>
      </c>
      <c r="E31266" s="5">
        <v>103.2</v>
      </c>
      <c r="F31266" s="5">
        <v>206.1</v>
      </c>
      <c r="G31266" s="5">
        <v>102.8</v>
      </c>
      <c r="H31266" s="5">
        <v>102.7</v>
      </c>
      <c r="I31266" s="5">
        <v>0</v>
      </c>
      <c r="J31266" s="5">
        <v>0</v>
      </c>
      <c r="K31266" s="5">
        <v>0</v>
      </c>
    </row>
    <row r="31267" spans="1:11" x14ac:dyDescent="0.25">
      <c r="A31267" s="5">
        <f>31260</f>
      </c>
      <c r="B31267" s="5" t="s">
        <v>31275</v>
      </c>
      <c r="C31267" s="5">
        <v>103.4</v>
      </c>
      <c r="D31267" s="5">
        <v>0.1</v>
      </c>
      <c r="E31267" s="5">
        <v>103.6</v>
      </c>
      <c r="F31267" s="5">
        <v>206.5</v>
      </c>
      <c r="G31267" s="5">
        <v>103</v>
      </c>
      <c r="H31267" s="5">
        <v>102.9</v>
      </c>
      <c r="I31267" s="5">
        <v>0</v>
      </c>
      <c r="J31267" s="5">
        <v>0</v>
      </c>
      <c r="K31267" s="5">
        <v>0</v>
      </c>
    </row>
    <row r="31268" spans="1:11" x14ac:dyDescent="0.25">
      <c r="A31268" s="5">
        <f>31261</f>
      </c>
      <c r="B31268" s="5" t="s">
        <v>31276</v>
      </c>
      <c r="C31268" s="5">
        <v>103.4</v>
      </c>
      <c r="D31268" s="5">
        <v>0.1</v>
      </c>
      <c r="E31268" s="5">
        <v>103.6</v>
      </c>
      <c r="F31268" s="5">
        <v>206.5</v>
      </c>
      <c r="G31268" s="5">
        <v>103</v>
      </c>
      <c r="H31268" s="5">
        <v>102.9</v>
      </c>
      <c r="I31268" s="5">
        <v>0</v>
      </c>
      <c r="J31268" s="5">
        <v>0</v>
      </c>
      <c r="K31268" s="5">
        <v>0</v>
      </c>
    </row>
    <row r="31269" spans="1:11" x14ac:dyDescent="0.25">
      <c r="A31269" s="5">
        <f>31262</f>
      </c>
      <c r="B31269" s="5" t="s">
        <v>31277</v>
      </c>
      <c r="C31269" s="5">
        <v>104</v>
      </c>
      <c r="D31269" s="5">
        <v>0.1</v>
      </c>
      <c r="E31269" s="5">
        <v>104.1</v>
      </c>
      <c r="F31269" s="5">
        <v>207.2</v>
      </c>
      <c r="G31269" s="5">
        <v>103.4</v>
      </c>
      <c r="H31269" s="5">
        <v>103.2</v>
      </c>
      <c r="I31269" s="5">
        <v>0</v>
      </c>
      <c r="J31269" s="5">
        <v>0</v>
      </c>
      <c r="K31269" s="5">
        <v>0</v>
      </c>
    </row>
    <row r="31270" spans="1:11" x14ac:dyDescent="0.25">
      <c r="A31270" s="5">
        <f>31263</f>
      </c>
      <c r="B31270" s="5" t="s">
        <v>31278</v>
      </c>
      <c r="C31270" s="5">
        <v>104</v>
      </c>
      <c r="D31270" s="5">
        <v>0.1</v>
      </c>
      <c r="E31270" s="5">
        <v>104.1</v>
      </c>
      <c r="F31270" s="5">
        <v>207.2</v>
      </c>
      <c r="G31270" s="5">
        <v>103.4</v>
      </c>
      <c r="H31270" s="5">
        <v>103.2</v>
      </c>
      <c r="I31270" s="5">
        <v>0</v>
      </c>
      <c r="J31270" s="5">
        <v>0</v>
      </c>
      <c r="K31270" s="5">
        <v>0</v>
      </c>
    </row>
    <row r="31271" spans="1:11" x14ac:dyDescent="0.25">
      <c r="A31271" s="5">
        <f>31264</f>
      </c>
      <c r="B31271" s="5" t="s">
        <v>31279</v>
      </c>
      <c r="C31271" s="5">
        <v>98.3</v>
      </c>
      <c r="D31271" s="5">
        <v>0.1</v>
      </c>
      <c r="E31271" s="5">
        <v>98.5</v>
      </c>
      <c r="F31271" s="5">
        <v>197.6</v>
      </c>
      <c r="G31271" s="5">
        <v>98.7</v>
      </c>
      <c r="H31271" s="5">
        <v>98.8</v>
      </c>
      <c r="I31271" s="5">
        <v>0</v>
      </c>
      <c r="J31271" s="5">
        <v>0</v>
      </c>
      <c r="K31271" s="5">
        <v>0</v>
      </c>
    </row>
    <row r="31272" spans="1:11" x14ac:dyDescent="0.25">
      <c r="A31272" s="5">
        <f>31265</f>
      </c>
      <c r="B31272" s="5" t="s">
        <v>31280</v>
      </c>
      <c r="C31272" s="5">
        <v>98.3</v>
      </c>
      <c r="D31272" s="5">
        <v>0.1</v>
      </c>
      <c r="E31272" s="5">
        <v>98.5</v>
      </c>
      <c r="F31272" s="5">
        <v>197.6</v>
      </c>
      <c r="G31272" s="5">
        <v>98.7</v>
      </c>
      <c r="H31272" s="5">
        <v>98.8</v>
      </c>
      <c r="I31272" s="5">
        <v>0</v>
      </c>
      <c r="J31272" s="5">
        <v>0</v>
      </c>
      <c r="K31272" s="5">
        <v>0</v>
      </c>
    </row>
    <row r="31273" spans="1:11" x14ac:dyDescent="0.25">
      <c r="A31273" s="5">
        <f>31266</f>
      </c>
      <c r="B31273" s="5" t="s">
        <v>31281</v>
      </c>
      <c r="C31273" s="5">
        <v>104</v>
      </c>
      <c r="D31273" s="5">
        <v>0.1</v>
      </c>
      <c r="E31273" s="5">
        <v>104</v>
      </c>
      <c r="F31273" s="5">
        <v>207.4</v>
      </c>
      <c r="G31273" s="5">
        <v>103.5</v>
      </c>
      <c r="H31273" s="5">
        <v>103.4</v>
      </c>
      <c r="I31273" s="5">
        <v>0</v>
      </c>
      <c r="J31273" s="5">
        <v>0</v>
      </c>
      <c r="K31273" s="5">
        <v>0</v>
      </c>
    </row>
    <row r="31274" spans="1:11" x14ac:dyDescent="0.25">
      <c r="A31274" s="5">
        <f>31267</f>
      </c>
      <c r="B31274" s="5" t="s">
        <v>31282</v>
      </c>
      <c r="C31274" s="5">
        <v>104</v>
      </c>
      <c r="D31274" s="5">
        <v>0.1</v>
      </c>
      <c r="E31274" s="5">
        <v>104</v>
      </c>
      <c r="F31274" s="5">
        <v>207.4</v>
      </c>
      <c r="G31274" s="5">
        <v>103.5</v>
      </c>
      <c r="H31274" s="5">
        <v>103.4</v>
      </c>
      <c r="I31274" s="5">
        <v>0</v>
      </c>
      <c r="J31274" s="5">
        <v>0</v>
      </c>
      <c r="K31274" s="5">
        <v>0</v>
      </c>
    </row>
    <row r="31275" spans="1:11" x14ac:dyDescent="0.25">
      <c r="A31275" s="5">
        <f>31268</f>
      </c>
      <c r="B31275" s="5" t="s">
        <v>31283</v>
      </c>
      <c r="C31275" s="5">
        <v>104</v>
      </c>
      <c r="D31275" s="5">
        <v>0.1</v>
      </c>
      <c r="E31275" s="5">
        <v>104</v>
      </c>
      <c r="F31275" s="5">
        <v>207.4</v>
      </c>
      <c r="G31275" s="5">
        <v>103.5</v>
      </c>
      <c r="H31275" s="5">
        <v>103.4</v>
      </c>
      <c r="I31275" s="5">
        <v>0</v>
      </c>
      <c r="J31275" s="5">
        <v>0</v>
      </c>
      <c r="K31275" s="5">
        <v>0</v>
      </c>
    </row>
    <row r="31276" spans="1:11" x14ac:dyDescent="0.25">
      <c r="A31276" s="5">
        <f>31269</f>
      </c>
      <c r="B31276" s="5" t="s">
        <v>31284</v>
      </c>
      <c r="C31276" s="5">
        <v>104</v>
      </c>
      <c r="D31276" s="5">
        <v>0.1</v>
      </c>
      <c r="E31276" s="5">
        <v>104</v>
      </c>
      <c r="F31276" s="5">
        <v>207.4</v>
      </c>
      <c r="G31276" s="5">
        <v>103.5</v>
      </c>
      <c r="H31276" s="5">
        <v>103.4</v>
      </c>
      <c r="I31276" s="5">
        <v>0</v>
      </c>
      <c r="J31276" s="5">
        <v>0</v>
      </c>
      <c r="K31276" s="5">
        <v>0</v>
      </c>
    </row>
    <row r="31277" spans="1:11" x14ac:dyDescent="0.25">
      <c r="A31277" s="5">
        <f>31270</f>
      </c>
      <c r="B31277" s="5" t="s">
        <v>31285</v>
      </c>
      <c r="C31277" s="5">
        <v>104.2</v>
      </c>
      <c r="D31277" s="5">
        <v>0.1</v>
      </c>
      <c r="E31277" s="5">
        <v>104.3</v>
      </c>
      <c r="F31277" s="5">
        <v>207.9</v>
      </c>
      <c r="G31277" s="5">
        <v>103.7</v>
      </c>
      <c r="H31277" s="5">
        <v>103.5</v>
      </c>
      <c r="I31277" s="5">
        <v>0</v>
      </c>
      <c r="J31277" s="5">
        <v>0</v>
      </c>
      <c r="K31277" s="5">
        <v>0</v>
      </c>
    </row>
    <row r="31278" spans="1:11" x14ac:dyDescent="0.25">
      <c r="A31278" s="5">
        <f>31271</f>
      </c>
      <c r="B31278" s="5" t="s">
        <v>31286</v>
      </c>
      <c r="C31278" s="5">
        <v>104.2</v>
      </c>
      <c r="D31278" s="5">
        <v>0.1</v>
      </c>
      <c r="E31278" s="5">
        <v>104.3</v>
      </c>
      <c r="F31278" s="5">
        <v>207.9</v>
      </c>
      <c r="G31278" s="5">
        <v>103.7</v>
      </c>
      <c r="H31278" s="5">
        <v>103.5</v>
      </c>
      <c r="I31278" s="5">
        <v>0</v>
      </c>
      <c r="J31278" s="5">
        <v>0</v>
      </c>
      <c r="K31278" s="5">
        <v>0</v>
      </c>
    </row>
    <row r="31279" spans="1:11" x14ac:dyDescent="0.25">
      <c r="A31279" s="5">
        <f>31272</f>
      </c>
      <c r="B31279" s="5" t="s">
        <v>31287</v>
      </c>
      <c r="C31279" s="5">
        <v>104.3</v>
      </c>
      <c r="D31279" s="5">
        <v>0.1</v>
      </c>
      <c r="E31279" s="5">
        <v>104.4</v>
      </c>
      <c r="F31279" s="5">
        <v>208.2</v>
      </c>
      <c r="G31279" s="5">
        <v>103.9</v>
      </c>
      <c r="H31279" s="5">
        <v>103.7</v>
      </c>
      <c r="I31279" s="5">
        <v>0</v>
      </c>
      <c r="J31279" s="5">
        <v>0</v>
      </c>
      <c r="K31279" s="5">
        <v>0</v>
      </c>
    </row>
    <row r="31280" spans="1:11" x14ac:dyDescent="0.25">
      <c r="A31280" s="5">
        <f>31273</f>
      </c>
      <c r="B31280" s="5" t="s">
        <v>31288</v>
      </c>
      <c r="C31280" s="5">
        <v>104.3</v>
      </c>
      <c r="D31280" s="5">
        <v>0.1</v>
      </c>
      <c r="E31280" s="5">
        <v>104.4</v>
      </c>
      <c r="F31280" s="5">
        <v>208.2</v>
      </c>
      <c r="G31280" s="5">
        <v>103.9</v>
      </c>
      <c r="H31280" s="5">
        <v>103.7</v>
      </c>
      <c r="I31280" s="5">
        <v>0</v>
      </c>
      <c r="J31280" s="5">
        <v>0</v>
      </c>
      <c r="K31280" s="5">
        <v>0</v>
      </c>
    </row>
    <row r="31281" spans="1:11" x14ac:dyDescent="0.25">
      <c r="A31281" s="5">
        <f>31274</f>
      </c>
      <c r="B31281" s="5" t="s">
        <v>31289</v>
      </c>
      <c r="C31281" s="5">
        <v>104.3</v>
      </c>
      <c r="D31281" s="5">
        <v>0.1</v>
      </c>
      <c r="E31281" s="5">
        <v>104.4</v>
      </c>
      <c r="F31281" s="5">
        <v>207.5</v>
      </c>
      <c r="G31281" s="5">
        <v>103.6</v>
      </c>
      <c r="H31281" s="5">
        <v>103.5</v>
      </c>
      <c r="I31281" s="5">
        <v>0</v>
      </c>
      <c r="J31281" s="5">
        <v>0</v>
      </c>
      <c r="K31281" s="5">
        <v>0</v>
      </c>
    </row>
    <row r="31282" spans="1:11" x14ac:dyDescent="0.25">
      <c r="A31282" s="5">
        <f>31275</f>
      </c>
      <c r="B31282" s="5" t="s">
        <v>31290</v>
      </c>
      <c r="C31282" s="5">
        <v>104.3</v>
      </c>
      <c r="D31282" s="5">
        <v>0.1</v>
      </c>
      <c r="E31282" s="5">
        <v>104.4</v>
      </c>
      <c r="F31282" s="5">
        <v>207.5</v>
      </c>
      <c r="G31282" s="5">
        <v>103.6</v>
      </c>
      <c r="H31282" s="5">
        <v>103.5</v>
      </c>
      <c r="I31282" s="5">
        <v>0</v>
      </c>
      <c r="J31282" s="5">
        <v>0</v>
      </c>
      <c r="K31282" s="5">
        <v>0</v>
      </c>
    </row>
    <row r="31283" spans="1:11" x14ac:dyDescent="0.25">
      <c r="A31283" s="5">
        <f>31276</f>
      </c>
      <c r="B31283" s="5" t="s">
        <v>31291</v>
      </c>
      <c r="C31283" s="5">
        <v>103.5</v>
      </c>
      <c r="D31283" s="5">
        <v>0.1</v>
      </c>
      <c r="E31283" s="5">
        <v>103.7</v>
      </c>
      <c r="F31283" s="5">
        <v>203.4</v>
      </c>
      <c r="G31283" s="5">
        <v>101.8</v>
      </c>
      <c r="H31283" s="5">
        <v>102</v>
      </c>
      <c r="I31283" s="5">
        <v>0</v>
      </c>
      <c r="J31283" s="5">
        <v>0</v>
      </c>
      <c r="K31283" s="5">
        <v>0</v>
      </c>
    </row>
    <row r="31284" spans="1:11" x14ac:dyDescent="0.25">
      <c r="A31284" s="5">
        <f>31277</f>
      </c>
      <c r="B31284" s="5" t="s">
        <v>31292</v>
      </c>
      <c r="C31284" s="5">
        <v>103.5</v>
      </c>
      <c r="D31284" s="5">
        <v>0.1</v>
      </c>
      <c r="E31284" s="5">
        <v>103.7</v>
      </c>
      <c r="F31284" s="5">
        <v>203.4</v>
      </c>
      <c r="G31284" s="5">
        <v>101.8</v>
      </c>
      <c r="H31284" s="5">
        <v>102</v>
      </c>
      <c r="I31284" s="5">
        <v>0</v>
      </c>
      <c r="J31284" s="5">
        <v>0</v>
      </c>
      <c r="K31284" s="5">
        <v>0</v>
      </c>
    </row>
    <row r="31285" spans="1:11" x14ac:dyDescent="0.25">
      <c r="A31285" s="5">
        <f>31278</f>
      </c>
      <c r="B31285" s="5" t="s">
        <v>31293</v>
      </c>
      <c r="C31285" s="5">
        <v>103.5</v>
      </c>
      <c r="D31285" s="5">
        <v>0.1</v>
      </c>
      <c r="E31285" s="5">
        <v>103.7</v>
      </c>
      <c r="F31285" s="5">
        <v>203.4</v>
      </c>
      <c r="G31285" s="5">
        <v>101.8</v>
      </c>
      <c r="H31285" s="5">
        <v>102</v>
      </c>
      <c r="I31285" s="5">
        <v>0</v>
      </c>
      <c r="J31285" s="5">
        <v>0</v>
      </c>
      <c r="K31285" s="5">
        <v>0</v>
      </c>
    </row>
    <row r="31286" spans="1:11" x14ac:dyDescent="0.25">
      <c r="A31286" s="5">
        <f>31279</f>
      </c>
      <c r="B31286" s="5" t="s">
        <v>31294</v>
      </c>
      <c r="C31286" s="5">
        <v>103.5</v>
      </c>
      <c r="D31286" s="5">
        <v>0.1</v>
      </c>
      <c r="E31286" s="5">
        <v>103.7</v>
      </c>
      <c r="F31286" s="5">
        <v>203.4</v>
      </c>
      <c r="G31286" s="5">
        <v>101.8</v>
      </c>
      <c r="H31286" s="5">
        <v>102</v>
      </c>
      <c r="I31286" s="5">
        <v>0</v>
      </c>
      <c r="J31286" s="5">
        <v>0</v>
      </c>
      <c r="K31286" s="5">
        <v>0</v>
      </c>
    </row>
    <row r="31287" spans="1:11" x14ac:dyDescent="0.25">
      <c r="A31287" s="5">
        <f>31280</f>
      </c>
      <c r="B31287" s="5" t="s">
        <v>31295</v>
      </c>
      <c r="C31287" s="5">
        <v>104</v>
      </c>
      <c r="D31287" s="5">
        <v>0.1</v>
      </c>
      <c r="E31287" s="5">
        <v>104.2</v>
      </c>
      <c r="F31287" s="5">
        <v>207.7</v>
      </c>
      <c r="G31287" s="5">
        <v>103.6</v>
      </c>
      <c r="H31287" s="5">
        <v>103.5</v>
      </c>
      <c r="I31287" s="5">
        <v>0</v>
      </c>
      <c r="J31287" s="5">
        <v>0</v>
      </c>
      <c r="K31287" s="5">
        <v>0</v>
      </c>
    </row>
    <row r="31288" spans="1:11" x14ac:dyDescent="0.25">
      <c r="A31288" s="5">
        <f>31281</f>
      </c>
      <c r="B31288" s="5" t="s">
        <v>31296</v>
      </c>
      <c r="C31288" s="5">
        <v>104</v>
      </c>
      <c r="D31288" s="5">
        <v>0.1</v>
      </c>
      <c r="E31288" s="5">
        <v>104.2</v>
      </c>
      <c r="F31288" s="5">
        <v>207.7</v>
      </c>
      <c r="G31288" s="5">
        <v>103.6</v>
      </c>
      <c r="H31288" s="5">
        <v>103.5</v>
      </c>
      <c r="I31288" s="5">
        <v>0</v>
      </c>
      <c r="J31288" s="5">
        <v>0</v>
      </c>
      <c r="K31288" s="5">
        <v>0</v>
      </c>
    </row>
    <row r="31289" spans="1:11" x14ac:dyDescent="0.25">
      <c r="A31289" s="5">
        <f>31282</f>
      </c>
      <c r="B31289" s="5" t="s">
        <v>31297</v>
      </c>
      <c r="C31289" s="5">
        <v>103.8</v>
      </c>
      <c r="D31289" s="5">
        <v>0.1</v>
      </c>
      <c r="E31289" s="5">
        <v>103.9</v>
      </c>
      <c r="F31289" s="5">
        <v>205.7</v>
      </c>
      <c r="G31289" s="5">
        <v>102.6</v>
      </c>
      <c r="H31289" s="5">
        <v>102.5</v>
      </c>
      <c r="I31289" s="5">
        <v>0</v>
      </c>
      <c r="J31289" s="5">
        <v>0</v>
      </c>
      <c r="K31289" s="5">
        <v>0</v>
      </c>
    </row>
    <row r="31290" spans="1:11" x14ac:dyDescent="0.25">
      <c r="A31290" s="5">
        <f>31283</f>
      </c>
      <c r="B31290" s="5" t="s">
        <v>31298</v>
      </c>
      <c r="C31290" s="5">
        <v>103.8</v>
      </c>
      <c r="D31290" s="5">
        <v>0.1</v>
      </c>
      <c r="E31290" s="5">
        <v>103.9</v>
      </c>
      <c r="F31290" s="5">
        <v>205.7</v>
      </c>
      <c r="G31290" s="5">
        <v>102.6</v>
      </c>
      <c r="H31290" s="5">
        <v>102.5</v>
      </c>
      <c r="I31290" s="5">
        <v>0</v>
      </c>
      <c r="J31290" s="5">
        <v>0</v>
      </c>
      <c r="K31290" s="5">
        <v>0</v>
      </c>
    </row>
    <row r="31291" spans="1:11" x14ac:dyDescent="0.25">
      <c r="A31291" s="5">
        <f>31284</f>
      </c>
      <c r="B31291" s="5" t="s">
        <v>31299</v>
      </c>
      <c r="C31291" s="5">
        <v>104.2</v>
      </c>
      <c r="D31291" s="5">
        <v>0.1</v>
      </c>
      <c r="E31291" s="5">
        <v>104.3</v>
      </c>
      <c r="F31291" s="5">
        <v>207.7</v>
      </c>
      <c r="G31291" s="5">
        <v>103.6</v>
      </c>
      <c r="H31291" s="5">
        <v>103.5</v>
      </c>
      <c r="I31291" s="5">
        <v>0</v>
      </c>
      <c r="J31291" s="5">
        <v>0</v>
      </c>
      <c r="K31291" s="5">
        <v>0</v>
      </c>
    </row>
    <row r="31292" spans="1:11" x14ac:dyDescent="0.25">
      <c r="A31292" s="5">
        <f>31285</f>
      </c>
      <c r="B31292" s="5" t="s">
        <v>31300</v>
      </c>
      <c r="C31292" s="5">
        <v>104.2</v>
      </c>
      <c r="D31292" s="5">
        <v>0.1</v>
      </c>
      <c r="E31292" s="5">
        <v>104.3</v>
      </c>
      <c r="F31292" s="5">
        <v>207.7</v>
      </c>
      <c r="G31292" s="5">
        <v>103.6</v>
      </c>
      <c r="H31292" s="5">
        <v>103.5</v>
      </c>
      <c r="I31292" s="5">
        <v>0</v>
      </c>
      <c r="J31292" s="5">
        <v>0</v>
      </c>
      <c r="K31292" s="5">
        <v>0</v>
      </c>
    </row>
    <row r="31293" spans="1:11" x14ac:dyDescent="0.25">
      <c r="A31293" s="5">
        <f>31286</f>
      </c>
      <c r="B31293" s="5" t="s">
        <v>31301</v>
      </c>
      <c r="C31293" s="5">
        <v>103.6</v>
      </c>
      <c r="D31293" s="5">
        <v>0.1</v>
      </c>
      <c r="E31293" s="5">
        <v>103.7</v>
      </c>
      <c r="F31293" s="5">
        <v>207.1</v>
      </c>
      <c r="G31293" s="5">
        <v>103.3</v>
      </c>
      <c r="H31293" s="5">
        <v>103.2</v>
      </c>
      <c r="I31293" s="5">
        <v>0</v>
      </c>
      <c r="J31293" s="5">
        <v>0</v>
      </c>
      <c r="K31293" s="5">
        <v>0</v>
      </c>
    </row>
    <row r="31294" spans="1:11" x14ac:dyDescent="0.25">
      <c r="A31294" s="5">
        <f>31287</f>
      </c>
      <c r="B31294" s="5" t="s">
        <v>31302</v>
      </c>
      <c r="C31294" s="5">
        <v>103.6</v>
      </c>
      <c r="D31294" s="5">
        <v>0.1</v>
      </c>
      <c r="E31294" s="5">
        <v>103.7</v>
      </c>
      <c r="F31294" s="5">
        <v>207.1</v>
      </c>
      <c r="G31294" s="5">
        <v>103.3</v>
      </c>
      <c r="H31294" s="5">
        <v>103.2</v>
      </c>
      <c r="I31294" s="5">
        <v>0</v>
      </c>
      <c r="J31294" s="5">
        <v>0</v>
      </c>
      <c r="K31294" s="5">
        <v>0</v>
      </c>
    </row>
    <row r="31295" spans="1:11" x14ac:dyDescent="0.25">
      <c r="A31295" s="5">
        <f>31288</f>
      </c>
      <c r="B31295" s="5" t="s">
        <v>31303</v>
      </c>
      <c r="C31295" s="5">
        <v>103.6</v>
      </c>
      <c r="D31295" s="5">
        <v>0.1</v>
      </c>
      <c r="E31295" s="5">
        <v>103.7</v>
      </c>
      <c r="F31295" s="5">
        <v>207.1</v>
      </c>
      <c r="G31295" s="5">
        <v>103.3</v>
      </c>
      <c r="H31295" s="5">
        <v>103.2</v>
      </c>
      <c r="I31295" s="5">
        <v>0</v>
      </c>
      <c r="J31295" s="5">
        <v>0</v>
      </c>
      <c r="K31295" s="5">
        <v>0</v>
      </c>
    </row>
    <row r="31296" spans="1:11" x14ac:dyDescent="0.25">
      <c r="A31296" s="5">
        <f>31289</f>
      </c>
      <c r="B31296" s="5" t="s">
        <v>31304</v>
      </c>
      <c r="C31296" s="5">
        <v>103.6</v>
      </c>
      <c r="D31296" s="5">
        <v>0.1</v>
      </c>
      <c r="E31296" s="5">
        <v>103.7</v>
      </c>
      <c r="F31296" s="5">
        <v>207.1</v>
      </c>
      <c r="G31296" s="5">
        <v>103.3</v>
      </c>
      <c r="H31296" s="5">
        <v>103.2</v>
      </c>
      <c r="I31296" s="5">
        <v>0</v>
      </c>
      <c r="J31296" s="5">
        <v>0</v>
      </c>
      <c r="K31296" s="5">
        <v>0</v>
      </c>
    </row>
    <row r="31297" spans="1:11" x14ac:dyDescent="0.25">
      <c r="A31297" s="5">
        <f>31290</f>
      </c>
      <c r="B31297" s="5" t="s">
        <v>31305</v>
      </c>
      <c r="C31297" s="5">
        <v>102.5</v>
      </c>
      <c r="D31297" s="5">
        <v>0.1</v>
      </c>
      <c r="E31297" s="5">
        <v>102.6</v>
      </c>
      <c r="F31297" s="5">
        <v>205.2</v>
      </c>
      <c r="G31297" s="5">
        <v>102.4</v>
      </c>
      <c r="H31297" s="5">
        <v>102.3</v>
      </c>
      <c r="I31297" s="5">
        <v>0</v>
      </c>
      <c r="J31297" s="5">
        <v>0</v>
      </c>
      <c r="K31297" s="5">
        <v>0</v>
      </c>
    </row>
    <row r="31298" spans="1:11" x14ac:dyDescent="0.25">
      <c r="A31298" s="5">
        <f>31291</f>
      </c>
      <c r="B31298" s="5" t="s">
        <v>31306</v>
      </c>
      <c r="C31298" s="5">
        <v>102.5</v>
      </c>
      <c r="D31298" s="5">
        <v>0.1</v>
      </c>
      <c r="E31298" s="5">
        <v>102.6</v>
      </c>
      <c r="F31298" s="5">
        <v>205.2</v>
      </c>
      <c r="G31298" s="5">
        <v>102.4</v>
      </c>
      <c r="H31298" s="5">
        <v>102.3</v>
      </c>
      <c r="I31298" s="5">
        <v>0</v>
      </c>
      <c r="J31298" s="5">
        <v>0</v>
      </c>
      <c r="K31298" s="5">
        <v>0</v>
      </c>
    </row>
    <row r="31299" spans="1:11" x14ac:dyDescent="0.25">
      <c r="A31299" s="5">
        <f>31292</f>
      </c>
      <c r="B31299" s="5" t="s">
        <v>31307</v>
      </c>
      <c r="C31299" s="5">
        <v>102.9</v>
      </c>
      <c r="D31299" s="5">
        <v>0.1</v>
      </c>
      <c r="E31299" s="5">
        <v>103.1</v>
      </c>
      <c r="F31299" s="5">
        <v>206</v>
      </c>
      <c r="G31299" s="5">
        <v>102.8</v>
      </c>
      <c r="H31299" s="5">
        <v>102.6</v>
      </c>
      <c r="I31299" s="5">
        <v>0</v>
      </c>
      <c r="J31299" s="5">
        <v>0</v>
      </c>
      <c r="K31299" s="5">
        <v>0</v>
      </c>
    </row>
    <row r="31300" spans="1:11" x14ac:dyDescent="0.25">
      <c r="A31300" s="5">
        <f>31293</f>
      </c>
      <c r="B31300" s="5" t="s">
        <v>31308</v>
      </c>
      <c r="C31300" s="5">
        <v>102.9</v>
      </c>
      <c r="D31300" s="5">
        <v>0.1</v>
      </c>
      <c r="E31300" s="5">
        <v>103.1</v>
      </c>
      <c r="F31300" s="5">
        <v>206</v>
      </c>
      <c r="G31300" s="5">
        <v>102.8</v>
      </c>
      <c r="H31300" s="5">
        <v>102.6</v>
      </c>
      <c r="I31300" s="5">
        <v>0</v>
      </c>
      <c r="J31300" s="5">
        <v>0</v>
      </c>
      <c r="K31300" s="5">
        <v>0</v>
      </c>
    </row>
    <row r="31301" spans="1:11" x14ac:dyDescent="0.25">
      <c r="A31301" s="5">
        <f>31294</f>
      </c>
      <c r="B31301" s="5" t="s">
        <v>31309</v>
      </c>
      <c r="C31301" s="5">
        <v>104</v>
      </c>
      <c r="D31301" s="5">
        <v>0.1</v>
      </c>
      <c r="E31301" s="5">
        <v>104.1</v>
      </c>
      <c r="F31301" s="5">
        <v>207.7</v>
      </c>
      <c r="G31301" s="5">
        <v>103.7</v>
      </c>
      <c r="H31301" s="5">
        <v>103.5</v>
      </c>
      <c r="I31301" s="5">
        <v>0</v>
      </c>
      <c r="J31301" s="5">
        <v>0</v>
      </c>
      <c r="K31301" s="5">
        <v>0</v>
      </c>
    </row>
    <row r="31302" spans="1:11" x14ac:dyDescent="0.25">
      <c r="A31302" s="5">
        <f>31295</f>
      </c>
      <c r="B31302" s="5" t="s">
        <v>31310</v>
      </c>
      <c r="C31302" s="5">
        <v>104</v>
      </c>
      <c r="D31302" s="5">
        <v>0.1</v>
      </c>
      <c r="E31302" s="5">
        <v>104.1</v>
      </c>
      <c r="F31302" s="5">
        <v>207.7</v>
      </c>
      <c r="G31302" s="5">
        <v>103.7</v>
      </c>
      <c r="H31302" s="5">
        <v>103.5</v>
      </c>
      <c r="I31302" s="5">
        <v>0</v>
      </c>
      <c r="J31302" s="5">
        <v>0</v>
      </c>
      <c r="K31302" s="5">
        <v>0</v>
      </c>
    </row>
    <row r="31303" spans="1:11" x14ac:dyDescent="0.25">
      <c r="A31303" s="5">
        <f>31296</f>
      </c>
      <c r="B31303" s="5" t="s">
        <v>31311</v>
      </c>
      <c r="C31303" s="5">
        <v>103.3</v>
      </c>
      <c r="D31303" s="5">
        <v>0.1</v>
      </c>
      <c r="E31303" s="5">
        <v>103.4</v>
      </c>
      <c r="F31303" s="5">
        <v>206.7</v>
      </c>
      <c r="G31303" s="5">
        <v>103.1</v>
      </c>
      <c r="H31303" s="5">
        <v>102.9</v>
      </c>
      <c r="I31303" s="5">
        <v>0</v>
      </c>
      <c r="J31303" s="5">
        <v>0</v>
      </c>
      <c r="K31303" s="5">
        <v>0</v>
      </c>
    </row>
    <row r="31304" spans="1:11" x14ac:dyDescent="0.25">
      <c r="A31304" s="5">
        <f>31297</f>
      </c>
      <c r="B31304" s="5" t="s">
        <v>31312</v>
      </c>
      <c r="C31304" s="5">
        <v>103.3</v>
      </c>
      <c r="D31304" s="5">
        <v>0.1</v>
      </c>
      <c r="E31304" s="5">
        <v>103.4</v>
      </c>
      <c r="F31304" s="5">
        <v>206.7</v>
      </c>
      <c r="G31304" s="5">
        <v>103.1</v>
      </c>
      <c r="H31304" s="5">
        <v>102.9</v>
      </c>
      <c r="I31304" s="5">
        <v>0</v>
      </c>
      <c r="J31304" s="5">
        <v>0</v>
      </c>
      <c r="K31304" s="5">
        <v>0</v>
      </c>
    </row>
    <row r="31305" spans="1:11" x14ac:dyDescent="0.25">
      <c r="A31305" s="5">
        <f>31298</f>
      </c>
      <c r="B31305" s="5" t="s">
        <v>31313</v>
      </c>
      <c r="C31305" s="5">
        <v>103.3</v>
      </c>
      <c r="D31305" s="5">
        <v>0.1</v>
      </c>
      <c r="E31305" s="5">
        <v>103.4</v>
      </c>
      <c r="F31305" s="5">
        <v>206.7</v>
      </c>
      <c r="G31305" s="5">
        <v>103.1</v>
      </c>
      <c r="H31305" s="5">
        <v>102.9</v>
      </c>
      <c r="I31305" s="5">
        <v>0</v>
      </c>
      <c r="J31305" s="5">
        <v>0</v>
      </c>
      <c r="K31305" s="5">
        <v>0</v>
      </c>
    </row>
    <row r="31306" spans="1:11" x14ac:dyDescent="0.25">
      <c r="A31306" s="5">
        <f>31299</f>
      </c>
      <c r="B31306" s="5" t="s">
        <v>31314</v>
      </c>
      <c r="C31306" s="5">
        <v>103.3</v>
      </c>
      <c r="D31306" s="5">
        <v>0.1</v>
      </c>
      <c r="E31306" s="5">
        <v>103.4</v>
      </c>
      <c r="F31306" s="5">
        <v>206.7</v>
      </c>
      <c r="G31306" s="5">
        <v>103.1</v>
      </c>
      <c r="H31306" s="5">
        <v>102.9</v>
      </c>
      <c r="I31306" s="5">
        <v>0</v>
      </c>
      <c r="J31306" s="5">
        <v>0</v>
      </c>
      <c r="K31306" s="5">
        <v>0</v>
      </c>
    </row>
    <row r="31307" spans="1:11" x14ac:dyDescent="0.25">
      <c r="A31307" s="5">
        <f>31300</f>
      </c>
      <c r="B31307" s="5" t="s">
        <v>31315</v>
      </c>
      <c r="C31307" s="5">
        <v>103.2</v>
      </c>
      <c r="D31307" s="5">
        <v>0.1</v>
      </c>
      <c r="E31307" s="5">
        <v>103.4</v>
      </c>
      <c r="F31307" s="5">
        <v>206</v>
      </c>
      <c r="G31307" s="5">
        <v>102.8</v>
      </c>
      <c r="H31307" s="5">
        <v>102.6</v>
      </c>
      <c r="I31307" s="5">
        <v>0</v>
      </c>
      <c r="J31307" s="5">
        <v>0</v>
      </c>
      <c r="K31307" s="5">
        <v>0</v>
      </c>
    </row>
    <row r="31308" spans="1:11" x14ac:dyDescent="0.25">
      <c r="A31308" s="5">
        <f>31301</f>
      </c>
      <c r="B31308" s="5" t="s">
        <v>31316</v>
      </c>
      <c r="C31308" s="5">
        <v>103.2</v>
      </c>
      <c r="D31308" s="5">
        <v>0.1</v>
      </c>
      <c r="E31308" s="5">
        <v>103.4</v>
      </c>
      <c r="F31308" s="5">
        <v>206</v>
      </c>
      <c r="G31308" s="5">
        <v>102.8</v>
      </c>
      <c r="H31308" s="5">
        <v>102.6</v>
      </c>
      <c r="I31308" s="5">
        <v>0</v>
      </c>
      <c r="J31308" s="5">
        <v>0</v>
      </c>
      <c r="K31308" s="5">
        <v>0</v>
      </c>
    </row>
    <row r="31309" spans="1:11" x14ac:dyDescent="0.25">
      <c r="A31309" s="5">
        <f>31302</f>
      </c>
      <c r="B31309" s="5" t="s">
        <v>31317</v>
      </c>
      <c r="C31309" s="5">
        <v>103.4</v>
      </c>
      <c r="D31309" s="5">
        <v>0.1</v>
      </c>
      <c r="E31309" s="5">
        <v>103.5</v>
      </c>
      <c r="F31309" s="5">
        <v>206.6</v>
      </c>
      <c r="G31309" s="5">
        <v>103.1</v>
      </c>
      <c r="H31309" s="5">
        <v>102.9</v>
      </c>
      <c r="I31309" s="5">
        <v>0</v>
      </c>
      <c r="J31309" s="5">
        <v>0</v>
      </c>
      <c r="K31309" s="5">
        <v>0</v>
      </c>
    </row>
    <row r="31310" spans="1:11" x14ac:dyDescent="0.25">
      <c r="A31310" s="5">
        <f>31303</f>
      </c>
      <c r="B31310" s="5" t="s">
        <v>31318</v>
      </c>
      <c r="C31310" s="5">
        <v>103.4</v>
      </c>
      <c r="D31310" s="5">
        <v>0.1</v>
      </c>
      <c r="E31310" s="5">
        <v>103.5</v>
      </c>
      <c r="F31310" s="5">
        <v>206.6</v>
      </c>
      <c r="G31310" s="5">
        <v>103.1</v>
      </c>
      <c r="H31310" s="5">
        <v>102.9</v>
      </c>
      <c r="I31310" s="5">
        <v>0</v>
      </c>
      <c r="J31310" s="5">
        <v>0</v>
      </c>
      <c r="K31310" s="5">
        <v>0</v>
      </c>
    </row>
    <row r="31311" spans="1:11" x14ac:dyDescent="0.25">
      <c r="A31311" s="5">
        <f>31304</f>
      </c>
      <c r="B31311" s="5" t="s">
        <v>31319</v>
      </c>
      <c r="C31311" s="5">
        <v>103.5</v>
      </c>
      <c r="D31311" s="5">
        <v>0.1</v>
      </c>
      <c r="E31311" s="5">
        <v>103.7</v>
      </c>
      <c r="F31311" s="5">
        <v>206.6</v>
      </c>
      <c r="G31311" s="5">
        <v>103</v>
      </c>
      <c r="H31311" s="5">
        <v>102.9</v>
      </c>
      <c r="I31311" s="5">
        <v>0</v>
      </c>
      <c r="J31311" s="5">
        <v>0</v>
      </c>
      <c r="K31311" s="5">
        <v>0</v>
      </c>
    </row>
    <row r="31312" spans="1:11" x14ac:dyDescent="0.25">
      <c r="A31312" s="5">
        <f>31305</f>
      </c>
      <c r="B31312" s="5" t="s">
        <v>31320</v>
      </c>
      <c r="C31312" s="5">
        <v>103.5</v>
      </c>
      <c r="D31312" s="5">
        <v>0.1</v>
      </c>
      <c r="E31312" s="5">
        <v>103.7</v>
      </c>
      <c r="F31312" s="5">
        <v>206.6</v>
      </c>
      <c r="G31312" s="5">
        <v>103</v>
      </c>
      <c r="H31312" s="5">
        <v>102.9</v>
      </c>
      <c r="I31312" s="5">
        <v>0</v>
      </c>
      <c r="J31312" s="5">
        <v>0</v>
      </c>
      <c r="K31312" s="5">
        <v>0</v>
      </c>
    </row>
    <row r="31313" spans="1:11" x14ac:dyDescent="0.25">
      <c r="A31313" s="5">
        <f>31306</f>
      </c>
      <c r="B31313" s="5" t="s">
        <v>31321</v>
      </c>
      <c r="C31313" s="5">
        <v>104</v>
      </c>
      <c r="D31313" s="5">
        <v>0.1</v>
      </c>
      <c r="E31313" s="5">
        <v>104.2</v>
      </c>
      <c r="F31313" s="5">
        <v>207.4</v>
      </c>
      <c r="G31313" s="5">
        <v>103.5</v>
      </c>
      <c r="H31313" s="5">
        <v>103.5</v>
      </c>
      <c r="I31313" s="5">
        <v>0</v>
      </c>
      <c r="J31313" s="5">
        <v>0</v>
      </c>
      <c r="K31313" s="5">
        <v>0</v>
      </c>
    </row>
    <row r="31314" spans="1:11" x14ac:dyDescent="0.25">
      <c r="A31314" s="5">
        <f>31307</f>
      </c>
      <c r="B31314" s="5" t="s">
        <v>31322</v>
      </c>
      <c r="C31314" s="5">
        <v>104</v>
      </c>
      <c r="D31314" s="5">
        <v>0.1</v>
      </c>
      <c r="E31314" s="5">
        <v>104.2</v>
      </c>
      <c r="F31314" s="5">
        <v>207.4</v>
      </c>
      <c r="G31314" s="5">
        <v>103.5</v>
      </c>
      <c r="H31314" s="5">
        <v>103.5</v>
      </c>
      <c r="I31314" s="5">
        <v>0</v>
      </c>
      <c r="J31314" s="5">
        <v>0</v>
      </c>
      <c r="K31314" s="5">
        <v>0</v>
      </c>
    </row>
    <row r="31315" spans="1:11" x14ac:dyDescent="0.25">
      <c r="A31315" s="5">
        <f>31308</f>
      </c>
      <c r="B31315" s="5" t="s">
        <v>31323</v>
      </c>
      <c r="C31315" s="5">
        <v>104</v>
      </c>
      <c r="D31315" s="5">
        <v>0.1</v>
      </c>
      <c r="E31315" s="5">
        <v>104.2</v>
      </c>
      <c r="F31315" s="5">
        <v>207.4</v>
      </c>
      <c r="G31315" s="5">
        <v>103.5</v>
      </c>
      <c r="H31315" s="5">
        <v>103.5</v>
      </c>
      <c r="I31315" s="5">
        <v>0</v>
      </c>
      <c r="J31315" s="5">
        <v>0</v>
      </c>
      <c r="K31315" s="5">
        <v>0</v>
      </c>
    </row>
    <row r="31316" spans="1:11" x14ac:dyDescent="0.25">
      <c r="A31316" s="5">
        <f>31309</f>
      </c>
      <c r="B31316" s="5" t="s">
        <v>31324</v>
      </c>
      <c r="C31316" s="5">
        <v>104</v>
      </c>
      <c r="D31316" s="5">
        <v>0.1</v>
      </c>
      <c r="E31316" s="5">
        <v>104.2</v>
      </c>
      <c r="F31316" s="5">
        <v>207.4</v>
      </c>
      <c r="G31316" s="5">
        <v>103.5</v>
      </c>
      <c r="H31316" s="5">
        <v>103.5</v>
      </c>
      <c r="I31316" s="5">
        <v>0</v>
      </c>
      <c r="J31316" s="5">
        <v>0</v>
      </c>
      <c r="K31316" s="5">
        <v>0</v>
      </c>
    </row>
    <row r="31317" spans="1:11" x14ac:dyDescent="0.25">
      <c r="A31317" s="5">
        <f>31310</f>
      </c>
      <c r="B31317" s="5" t="s">
        <v>31325</v>
      </c>
      <c r="C31317" s="5">
        <v>104</v>
      </c>
      <c r="D31317" s="5">
        <v>0.1</v>
      </c>
      <c r="E31317" s="5">
        <v>104.1</v>
      </c>
      <c r="F31317" s="5">
        <v>207.4</v>
      </c>
      <c r="G31317" s="5">
        <v>103.5</v>
      </c>
      <c r="H31317" s="5">
        <v>103.3</v>
      </c>
      <c r="I31317" s="5">
        <v>0</v>
      </c>
      <c r="J31317" s="5">
        <v>0</v>
      </c>
      <c r="K31317" s="5">
        <v>0</v>
      </c>
    </row>
    <row r="31318" spans="1:11" x14ac:dyDescent="0.25">
      <c r="A31318" s="5">
        <f>31311</f>
      </c>
      <c r="B31318" s="5" t="s">
        <v>31326</v>
      </c>
      <c r="C31318" s="5">
        <v>104</v>
      </c>
      <c r="D31318" s="5">
        <v>0.1</v>
      </c>
      <c r="E31318" s="5">
        <v>104.1</v>
      </c>
      <c r="F31318" s="5">
        <v>207.4</v>
      </c>
      <c r="G31318" s="5">
        <v>103.5</v>
      </c>
      <c r="H31318" s="5">
        <v>103.3</v>
      </c>
      <c r="I31318" s="5">
        <v>0</v>
      </c>
      <c r="J31318" s="5">
        <v>0</v>
      </c>
      <c r="K31318" s="5">
        <v>0</v>
      </c>
    </row>
    <row r="31319" spans="1:11" x14ac:dyDescent="0.25">
      <c r="A31319" s="5">
        <f>31312</f>
      </c>
      <c r="B31319" s="5" t="s">
        <v>31327</v>
      </c>
      <c r="C31319" s="5">
        <v>103.6</v>
      </c>
      <c r="D31319" s="5">
        <v>0.1</v>
      </c>
      <c r="E31319" s="5">
        <v>103.7</v>
      </c>
      <c r="F31319" s="5">
        <v>206.5</v>
      </c>
      <c r="G31319" s="5">
        <v>103</v>
      </c>
      <c r="H31319" s="5">
        <v>102.9</v>
      </c>
      <c r="I31319" s="5">
        <v>0</v>
      </c>
      <c r="J31319" s="5">
        <v>0</v>
      </c>
      <c r="K31319" s="5">
        <v>0</v>
      </c>
    </row>
    <row r="31320" spans="1:11" x14ac:dyDescent="0.25">
      <c r="A31320" s="5">
        <f>31313</f>
      </c>
      <c r="B31320" s="5" t="s">
        <v>31328</v>
      </c>
      <c r="C31320" s="5">
        <v>103.6</v>
      </c>
      <c r="D31320" s="5">
        <v>0.1</v>
      </c>
      <c r="E31320" s="5">
        <v>103.7</v>
      </c>
      <c r="F31320" s="5">
        <v>206.5</v>
      </c>
      <c r="G31320" s="5">
        <v>103</v>
      </c>
      <c r="H31320" s="5">
        <v>102.9</v>
      </c>
      <c r="I31320" s="5">
        <v>0</v>
      </c>
      <c r="J31320" s="5">
        <v>0</v>
      </c>
      <c r="K31320" s="5">
        <v>0</v>
      </c>
    </row>
    <row r="31321" spans="1:11" x14ac:dyDescent="0.25">
      <c r="A31321" s="5">
        <f>31314</f>
      </c>
      <c r="B31321" s="5" t="s">
        <v>31329</v>
      </c>
      <c r="C31321" s="5">
        <v>103.1</v>
      </c>
      <c r="D31321" s="5">
        <v>0.1</v>
      </c>
      <c r="E31321" s="5">
        <v>103.3</v>
      </c>
      <c r="F31321" s="5">
        <v>205.9</v>
      </c>
      <c r="G31321" s="5">
        <v>102.8</v>
      </c>
      <c r="H31321" s="5">
        <v>102.6</v>
      </c>
      <c r="I31321" s="5">
        <v>0</v>
      </c>
      <c r="J31321" s="5">
        <v>0</v>
      </c>
      <c r="K31321" s="5">
        <v>0</v>
      </c>
    </row>
    <row r="31322" spans="1:11" x14ac:dyDescent="0.25">
      <c r="A31322" s="5">
        <f>31315</f>
      </c>
      <c r="B31322" s="5" t="s">
        <v>31330</v>
      </c>
      <c r="C31322" s="5">
        <v>103.1</v>
      </c>
      <c r="D31322" s="5">
        <v>0.1</v>
      </c>
      <c r="E31322" s="5">
        <v>103.3</v>
      </c>
      <c r="F31322" s="5">
        <v>205.9</v>
      </c>
      <c r="G31322" s="5">
        <v>102.8</v>
      </c>
      <c r="H31322" s="5">
        <v>102.6</v>
      </c>
      <c r="I31322" s="5">
        <v>0</v>
      </c>
      <c r="J31322" s="5">
        <v>0</v>
      </c>
      <c r="K31322" s="5">
        <v>0</v>
      </c>
    </row>
    <row r="31323" spans="1:11" x14ac:dyDescent="0.25">
      <c r="A31323" s="5">
        <f>31316</f>
      </c>
      <c r="B31323" s="5" t="s">
        <v>31331</v>
      </c>
      <c r="C31323" s="5">
        <v>103.5</v>
      </c>
      <c r="D31323" s="5">
        <v>0.1</v>
      </c>
      <c r="E31323" s="5">
        <v>103.7</v>
      </c>
      <c r="F31323" s="5">
        <v>207</v>
      </c>
      <c r="G31323" s="5">
        <v>103.2</v>
      </c>
      <c r="H31323" s="5">
        <v>103.1</v>
      </c>
      <c r="I31323" s="5">
        <v>0</v>
      </c>
      <c r="J31323" s="5">
        <v>0</v>
      </c>
      <c r="K31323" s="5">
        <v>0</v>
      </c>
    </row>
    <row r="31324" spans="1:11" x14ac:dyDescent="0.25">
      <c r="A31324" s="5">
        <f>31317</f>
      </c>
      <c r="B31324" s="5" t="s">
        <v>31332</v>
      </c>
      <c r="C31324" s="5">
        <v>103.5</v>
      </c>
      <c r="D31324" s="5">
        <v>0.1</v>
      </c>
      <c r="E31324" s="5">
        <v>103.7</v>
      </c>
      <c r="F31324" s="5">
        <v>207</v>
      </c>
      <c r="G31324" s="5">
        <v>103.2</v>
      </c>
      <c r="H31324" s="5">
        <v>103.1</v>
      </c>
      <c r="I31324" s="5">
        <v>0</v>
      </c>
      <c r="J31324" s="5">
        <v>0</v>
      </c>
      <c r="K31324" s="5">
        <v>0</v>
      </c>
    </row>
    <row r="31325" spans="1:11" x14ac:dyDescent="0.25">
      <c r="A31325" s="5">
        <f>31318</f>
      </c>
      <c r="B31325" s="5" t="s">
        <v>31333</v>
      </c>
      <c r="C31325" s="5">
        <v>103.5</v>
      </c>
      <c r="D31325" s="5">
        <v>0.1</v>
      </c>
      <c r="E31325" s="5">
        <v>103.7</v>
      </c>
      <c r="F31325" s="5">
        <v>207</v>
      </c>
      <c r="G31325" s="5">
        <v>103.2</v>
      </c>
      <c r="H31325" s="5">
        <v>103.1</v>
      </c>
      <c r="I31325" s="5">
        <v>0</v>
      </c>
      <c r="J31325" s="5">
        <v>0</v>
      </c>
      <c r="K31325" s="5">
        <v>0</v>
      </c>
    </row>
    <row r="31326" spans="1:11" x14ac:dyDescent="0.25">
      <c r="A31326" s="5">
        <f>31319</f>
      </c>
      <c r="B31326" s="5" t="s">
        <v>31334</v>
      </c>
      <c r="C31326" s="5">
        <v>103.5</v>
      </c>
      <c r="D31326" s="5">
        <v>0.1</v>
      </c>
      <c r="E31326" s="5">
        <v>103.7</v>
      </c>
      <c r="F31326" s="5">
        <v>207</v>
      </c>
      <c r="G31326" s="5">
        <v>103.2</v>
      </c>
      <c r="H31326" s="5">
        <v>103.1</v>
      </c>
      <c r="I31326" s="5">
        <v>0</v>
      </c>
      <c r="J31326" s="5">
        <v>0</v>
      </c>
      <c r="K31326" s="5">
        <v>0</v>
      </c>
    </row>
    <row r="31327" spans="1:11" x14ac:dyDescent="0.25">
      <c r="A31327" s="5">
        <f>31320</f>
      </c>
      <c r="B31327" s="5" t="s">
        <v>31335</v>
      </c>
      <c r="C31327" s="5">
        <v>103</v>
      </c>
      <c r="D31327" s="5">
        <v>0.1</v>
      </c>
      <c r="E31327" s="5">
        <v>103.1</v>
      </c>
      <c r="F31327" s="5">
        <v>200.9</v>
      </c>
      <c r="G31327" s="5">
        <v>100.4</v>
      </c>
      <c r="H31327" s="5">
        <v>100.5</v>
      </c>
      <c r="I31327" s="5">
        <v>0</v>
      </c>
      <c r="J31327" s="5">
        <v>0</v>
      </c>
      <c r="K31327" s="5">
        <v>0</v>
      </c>
    </row>
    <row r="31328" spans="1:11" x14ac:dyDescent="0.25">
      <c r="A31328" s="5">
        <f>31321</f>
      </c>
      <c r="B31328" s="5" t="s">
        <v>31336</v>
      </c>
      <c r="C31328" s="5">
        <v>103</v>
      </c>
      <c r="D31328" s="5">
        <v>0.1</v>
      </c>
      <c r="E31328" s="5">
        <v>103.1</v>
      </c>
      <c r="F31328" s="5">
        <v>200.9</v>
      </c>
      <c r="G31328" s="5">
        <v>100.4</v>
      </c>
      <c r="H31328" s="5">
        <v>100.5</v>
      </c>
      <c r="I31328" s="5">
        <v>0</v>
      </c>
      <c r="J31328" s="5">
        <v>0</v>
      </c>
      <c r="K31328" s="5">
        <v>0</v>
      </c>
    </row>
    <row r="31329" spans="1:11" x14ac:dyDescent="0.25">
      <c r="A31329" s="5">
        <f>31322</f>
      </c>
      <c r="B31329" s="5" t="s">
        <v>31337</v>
      </c>
      <c r="C31329" s="5">
        <v>103.4</v>
      </c>
      <c r="D31329" s="5">
        <v>0.1</v>
      </c>
      <c r="E31329" s="5">
        <v>103.5</v>
      </c>
      <c r="F31329" s="5">
        <v>203.4</v>
      </c>
      <c r="G31329" s="5">
        <v>101.4</v>
      </c>
      <c r="H31329" s="5">
        <v>101.4</v>
      </c>
      <c r="I31329" s="5">
        <v>0</v>
      </c>
      <c r="J31329" s="5">
        <v>0</v>
      </c>
      <c r="K31329" s="5">
        <v>0</v>
      </c>
    </row>
    <row r="31330" spans="1:11" x14ac:dyDescent="0.25">
      <c r="A31330" s="5">
        <f>31323</f>
      </c>
      <c r="B31330" s="5" t="s">
        <v>31338</v>
      </c>
      <c r="C31330" s="5">
        <v>103.4</v>
      </c>
      <c r="D31330" s="5">
        <v>0.1</v>
      </c>
      <c r="E31330" s="5">
        <v>103.5</v>
      </c>
      <c r="F31330" s="5">
        <v>203.4</v>
      </c>
      <c r="G31330" s="5">
        <v>101.4</v>
      </c>
      <c r="H31330" s="5">
        <v>101.4</v>
      </c>
      <c r="I31330" s="5">
        <v>0</v>
      </c>
      <c r="J31330" s="5">
        <v>0</v>
      </c>
      <c r="K31330" s="5">
        <v>0</v>
      </c>
    </row>
    <row r="31331" spans="1:11" x14ac:dyDescent="0.25">
      <c r="A31331" s="5">
        <f>31324</f>
      </c>
      <c r="B31331" s="5" t="s">
        <v>31339</v>
      </c>
      <c r="C31331" s="5">
        <v>97</v>
      </c>
      <c r="D31331" s="5">
        <v>0.1</v>
      </c>
      <c r="E31331" s="5">
        <v>97.2</v>
      </c>
      <c r="F31331" s="5">
        <v>204.8</v>
      </c>
      <c r="G31331" s="5">
        <v>102.1</v>
      </c>
      <c r="H31331" s="5">
        <v>101.8</v>
      </c>
      <c r="I31331" s="5">
        <v>0</v>
      </c>
      <c r="J31331" s="5">
        <v>0</v>
      </c>
      <c r="K31331" s="5">
        <v>0</v>
      </c>
    </row>
    <row r="31332" spans="1:11" x14ac:dyDescent="0.25">
      <c r="A31332" s="5">
        <f>31325</f>
      </c>
      <c r="B31332" s="5" t="s">
        <v>31340</v>
      </c>
      <c r="C31332" s="5">
        <v>97</v>
      </c>
      <c r="D31332" s="5">
        <v>0.1</v>
      </c>
      <c r="E31332" s="5">
        <v>97.2</v>
      </c>
      <c r="F31332" s="5">
        <v>204.8</v>
      </c>
      <c r="G31332" s="5">
        <v>102.1</v>
      </c>
      <c r="H31332" s="5">
        <v>101.8</v>
      </c>
      <c r="I31332" s="5">
        <v>0</v>
      </c>
      <c r="J31332" s="5">
        <v>0</v>
      </c>
      <c r="K31332" s="5">
        <v>0</v>
      </c>
    </row>
    <row r="31333" spans="1:11" x14ac:dyDescent="0.25">
      <c r="A31333" s="5">
        <f>31326</f>
      </c>
      <c r="B31333" s="5" t="s">
        <v>31341</v>
      </c>
      <c r="C31333" s="5">
        <v>102.4</v>
      </c>
      <c r="D31333" s="5">
        <v>0.1</v>
      </c>
      <c r="E31333" s="5">
        <v>102.6</v>
      </c>
      <c r="F31333" s="5">
        <v>204.9</v>
      </c>
      <c r="G31333" s="5">
        <v>102.3</v>
      </c>
      <c r="H31333" s="5">
        <v>101.9</v>
      </c>
      <c r="I31333" s="5">
        <v>0</v>
      </c>
      <c r="J31333" s="5">
        <v>0</v>
      </c>
      <c r="K31333" s="5">
        <v>0</v>
      </c>
    </row>
    <row r="31334" spans="1:11" x14ac:dyDescent="0.25">
      <c r="A31334" s="5">
        <f>31327</f>
      </c>
      <c r="B31334" s="5" t="s">
        <v>31342</v>
      </c>
      <c r="C31334" s="5">
        <v>102.4</v>
      </c>
      <c r="D31334" s="5">
        <v>0.1</v>
      </c>
      <c r="E31334" s="5">
        <v>102.6</v>
      </c>
      <c r="F31334" s="5">
        <v>204.9</v>
      </c>
      <c r="G31334" s="5">
        <v>102.3</v>
      </c>
      <c r="H31334" s="5">
        <v>101.9</v>
      </c>
      <c r="I31334" s="5">
        <v>0</v>
      </c>
      <c r="J31334" s="5">
        <v>0</v>
      </c>
      <c r="K31334" s="5">
        <v>0</v>
      </c>
    </row>
    <row r="31335" spans="1:11" x14ac:dyDescent="0.25">
      <c r="A31335" s="5">
        <f>31328</f>
      </c>
      <c r="B31335" s="5" t="s">
        <v>31343</v>
      </c>
      <c r="C31335" s="5">
        <v>102.4</v>
      </c>
      <c r="D31335" s="5">
        <v>0.1</v>
      </c>
      <c r="E31335" s="5">
        <v>102.6</v>
      </c>
      <c r="F31335" s="5">
        <v>204.9</v>
      </c>
      <c r="G31335" s="5">
        <v>102.3</v>
      </c>
      <c r="H31335" s="5">
        <v>101.9</v>
      </c>
      <c r="I31335" s="5">
        <v>0</v>
      </c>
      <c r="J31335" s="5">
        <v>0</v>
      </c>
      <c r="K31335" s="5">
        <v>0</v>
      </c>
    </row>
    <row r="31336" spans="1:11" x14ac:dyDescent="0.25">
      <c r="A31336" s="5">
        <f>31329</f>
      </c>
      <c r="B31336" s="5" t="s">
        <v>31344</v>
      </c>
      <c r="C31336" s="5">
        <v>102.4</v>
      </c>
      <c r="D31336" s="5">
        <v>0.1</v>
      </c>
      <c r="E31336" s="5">
        <v>102.6</v>
      </c>
      <c r="F31336" s="5">
        <v>204.9</v>
      </c>
      <c r="G31336" s="5">
        <v>102.3</v>
      </c>
      <c r="H31336" s="5">
        <v>101.9</v>
      </c>
      <c r="I31336" s="5">
        <v>0</v>
      </c>
      <c r="J31336" s="5">
        <v>0</v>
      </c>
      <c r="K31336" s="5">
        <v>0</v>
      </c>
    </row>
    <row r="31337" spans="1:11" x14ac:dyDescent="0.25">
      <c r="A31337" s="5">
        <f>31330</f>
      </c>
      <c r="B31337" s="5" t="s">
        <v>31345</v>
      </c>
      <c r="C31337" s="5">
        <v>103.1</v>
      </c>
      <c r="D31337" s="5">
        <v>0.1</v>
      </c>
      <c r="E31337" s="5">
        <v>103.2</v>
      </c>
      <c r="F31337" s="5">
        <v>206.3</v>
      </c>
      <c r="G31337" s="5">
        <v>102.9</v>
      </c>
      <c r="H31337" s="5">
        <v>102.8</v>
      </c>
      <c r="I31337" s="5">
        <v>0</v>
      </c>
      <c r="J31337" s="5">
        <v>0</v>
      </c>
      <c r="K31337" s="5">
        <v>0</v>
      </c>
    </row>
    <row r="31338" spans="1:11" x14ac:dyDescent="0.25">
      <c r="A31338" s="5">
        <f>31331</f>
      </c>
      <c r="B31338" s="5" t="s">
        <v>31346</v>
      </c>
      <c r="C31338" s="5">
        <v>103.1</v>
      </c>
      <c r="D31338" s="5">
        <v>0.1</v>
      </c>
      <c r="E31338" s="5">
        <v>103.2</v>
      </c>
      <c r="F31338" s="5">
        <v>206.3</v>
      </c>
      <c r="G31338" s="5">
        <v>102.9</v>
      </c>
      <c r="H31338" s="5">
        <v>102.8</v>
      </c>
      <c r="I31338" s="5">
        <v>0</v>
      </c>
      <c r="J31338" s="5">
        <v>0</v>
      </c>
      <c r="K31338" s="5">
        <v>0</v>
      </c>
    </row>
    <row r="31339" spans="1:11" x14ac:dyDescent="0.25">
      <c r="A31339" s="5">
        <f>31332</f>
      </c>
      <c r="B31339" s="5" t="s">
        <v>31347</v>
      </c>
      <c r="C31339" s="5">
        <v>103</v>
      </c>
      <c r="D31339" s="5">
        <v>0.1</v>
      </c>
      <c r="E31339" s="5">
        <v>103.1</v>
      </c>
      <c r="F31339" s="5">
        <v>205.8</v>
      </c>
      <c r="G31339" s="5">
        <v>102.6</v>
      </c>
      <c r="H31339" s="5">
        <v>102.5</v>
      </c>
      <c r="I31339" s="5">
        <v>0</v>
      </c>
      <c r="J31339" s="5">
        <v>0</v>
      </c>
      <c r="K31339" s="5">
        <v>0</v>
      </c>
    </row>
    <row r="31340" spans="1:11" x14ac:dyDescent="0.25">
      <c r="A31340" s="5">
        <f>31333</f>
      </c>
      <c r="B31340" s="5" t="s">
        <v>31348</v>
      </c>
      <c r="C31340" s="5">
        <v>103</v>
      </c>
      <c r="D31340" s="5">
        <v>0.1</v>
      </c>
      <c r="E31340" s="5">
        <v>103.1</v>
      </c>
      <c r="F31340" s="5">
        <v>205.8</v>
      </c>
      <c r="G31340" s="5">
        <v>102.6</v>
      </c>
      <c r="H31340" s="5">
        <v>102.5</v>
      </c>
      <c r="I31340" s="5">
        <v>0</v>
      </c>
      <c r="J31340" s="5">
        <v>0</v>
      </c>
      <c r="K31340" s="5">
        <v>0</v>
      </c>
    </row>
    <row r="31341" spans="1:11" x14ac:dyDescent="0.25">
      <c r="A31341" s="5">
        <f>31334</f>
      </c>
      <c r="B31341" s="5" t="s">
        <v>31349</v>
      </c>
      <c r="C31341" s="5">
        <v>103.1</v>
      </c>
      <c r="D31341" s="5">
        <v>0.1</v>
      </c>
      <c r="E31341" s="5">
        <v>103.3</v>
      </c>
      <c r="F31341" s="5">
        <v>206.4</v>
      </c>
      <c r="G31341" s="5">
        <v>102.9</v>
      </c>
      <c r="H31341" s="5">
        <v>102.8</v>
      </c>
      <c r="I31341" s="5">
        <v>0</v>
      </c>
      <c r="J31341" s="5">
        <v>0</v>
      </c>
      <c r="K31341" s="5">
        <v>0</v>
      </c>
    </row>
    <row r="31342" spans="1:11" x14ac:dyDescent="0.25">
      <c r="A31342" s="5">
        <f>31335</f>
      </c>
      <c r="B31342" s="5" t="s">
        <v>31350</v>
      </c>
      <c r="C31342" s="5">
        <v>103.1</v>
      </c>
      <c r="D31342" s="5">
        <v>0.1</v>
      </c>
      <c r="E31342" s="5">
        <v>103.3</v>
      </c>
      <c r="F31342" s="5">
        <v>206.4</v>
      </c>
      <c r="G31342" s="5">
        <v>102.9</v>
      </c>
      <c r="H31342" s="5">
        <v>102.8</v>
      </c>
      <c r="I31342" s="5">
        <v>0</v>
      </c>
      <c r="J31342" s="5">
        <v>0</v>
      </c>
      <c r="K31342" s="5">
        <v>0</v>
      </c>
    </row>
    <row r="31343" spans="1:11" x14ac:dyDescent="0.25">
      <c r="A31343" s="5">
        <f>31336</f>
      </c>
      <c r="B31343" s="5" t="s">
        <v>31351</v>
      </c>
      <c r="C31343" s="5">
        <v>97.6</v>
      </c>
      <c r="D31343" s="5">
        <v>0.1</v>
      </c>
      <c r="E31343" s="5">
        <v>97.8</v>
      </c>
      <c r="F31343" s="5">
        <v>200.1</v>
      </c>
      <c r="G31343" s="5">
        <v>99.9</v>
      </c>
      <c r="H31343" s="5">
        <v>99.8</v>
      </c>
      <c r="I31343" s="5">
        <v>0</v>
      </c>
      <c r="J31343" s="5">
        <v>0</v>
      </c>
      <c r="K31343" s="5">
        <v>0</v>
      </c>
    </row>
    <row r="31344" spans="1:11" x14ac:dyDescent="0.25">
      <c r="A31344" s="5">
        <f>31337</f>
      </c>
      <c r="B31344" s="5" t="s">
        <v>31352</v>
      </c>
      <c r="C31344" s="5">
        <v>97.6</v>
      </c>
      <c r="D31344" s="5">
        <v>0.1</v>
      </c>
      <c r="E31344" s="5">
        <v>97.8</v>
      </c>
      <c r="F31344" s="5">
        <v>200.1</v>
      </c>
      <c r="G31344" s="5">
        <v>99.9</v>
      </c>
      <c r="H31344" s="5">
        <v>99.8</v>
      </c>
      <c r="I31344" s="5">
        <v>0</v>
      </c>
      <c r="J31344" s="5">
        <v>0</v>
      </c>
      <c r="K31344" s="5">
        <v>0</v>
      </c>
    </row>
    <row r="31345" spans="1:11" x14ac:dyDescent="0.25">
      <c r="A31345" s="5">
        <f>31338</f>
      </c>
      <c r="B31345" s="5" t="s">
        <v>31353</v>
      </c>
      <c r="C31345" s="5">
        <v>97.6</v>
      </c>
      <c r="D31345" s="5">
        <v>0.1</v>
      </c>
      <c r="E31345" s="5">
        <v>97.8</v>
      </c>
      <c r="F31345" s="5">
        <v>200.1</v>
      </c>
      <c r="G31345" s="5">
        <v>99.9</v>
      </c>
      <c r="H31345" s="5">
        <v>99.8</v>
      </c>
      <c r="I31345" s="5">
        <v>0</v>
      </c>
      <c r="J31345" s="5">
        <v>0</v>
      </c>
      <c r="K31345" s="5">
        <v>0</v>
      </c>
    </row>
    <row r="31346" spans="1:11" x14ac:dyDescent="0.25">
      <c r="A31346" s="5">
        <f>31339</f>
      </c>
      <c r="B31346" s="5" t="s">
        <v>31354</v>
      </c>
      <c r="C31346" s="5">
        <v>102.4</v>
      </c>
      <c r="D31346" s="5">
        <v>0.1</v>
      </c>
      <c r="E31346" s="5">
        <v>102.5</v>
      </c>
      <c r="F31346" s="5">
        <v>203.8</v>
      </c>
      <c r="G31346" s="5">
        <v>101.6</v>
      </c>
      <c r="H31346" s="5">
        <v>99.8</v>
      </c>
      <c r="I31346" s="5">
        <v>0</v>
      </c>
      <c r="J31346" s="5">
        <v>0</v>
      </c>
      <c r="K31346" s="5">
        <v>0</v>
      </c>
    </row>
    <row r="31347" spans="1:11" x14ac:dyDescent="0.25">
      <c r="A31347" s="5">
        <f>31340</f>
      </c>
      <c r="B31347" s="5" t="s">
        <v>31355</v>
      </c>
      <c r="C31347" s="5">
        <v>102.4</v>
      </c>
      <c r="D31347" s="5">
        <v>0.1</v>
      </c>
      <c r="E31347" s="5">
        <v>102.5</v>
      </c>
      <c r="F31347" s="5">
        <v>203.8</v>
      </c>
      <c r="G31347" s="5">
        <v>101.6</v>
      </c>
      <c r="H31347" s="5">
        <v>101.5</v>
      </c>
      <c r="I31347" s="5">
        <v>0</v>
      </c>
      <c r="J31347" s="5">
        <v>0</v>
      </c>
      <c r="K31347" s="5">
        <v>0</v>
      </c>
    </row>
    <row r="31348" spans="1:11" x14ac:dyDescent="0.25">
      <c r="A31348" s="5">
        <f>31341</f>
      </c>
      <c r="B31348" s="5" t="s">
        <v>31356</v>
      </c>
      <c r="C31348" s="5">
        <v>101.8</v>
      </c>
      <c r="D31348" s="5">
        <v>0.1</v>
      </c>
      <c r="E31348" s="5">
        <v>101.9</v>
      </c>
      <c r="F31348" s="5">
        <v>203.8</v>
      </c>
      <c r="G31348" s="5">
        <v>101.6</v>
      </c>
      <c r="H31348" s="5">
        <v>101.5</v>
      </c>
      <c r="I31348" s="5">
        <v>0</v>
      </c>
      <c r="J31348" s="5">
        <v>0</v>
      </c>
      <c r="K31348" s="5">
        <v>0</v>
      </c>
    </row>
    <row r="31349" spans="1:11" x14ac:dyDescent="0.25">
      <c r="A31349" s="5">
        <f>31342</f>
      </c>
      <c r="B31349" s="5" t="s">
        <v>31357</v>
      </c>
      <c r="C31349" s="5">
        <v>101.8</v>
      </c>
      <c r="D31349" s="5">
        <v>0.1</v>
      </c>
      <c r="E31349" s="5">
        <v>101.9</v>
      </c>
      <c r="F31349" s="5">
        <v>203.5</v>
      </c>
      <c r="G31349" s="5">
        <v>101.3</v>
      </c>
      <c r="H31349" s="5">
        <v>101.2</v>
      </c>
      <c r="I31349" s="5">
        <v>0</v>
      </c>
      <c r="J31349" s="5">
        <v>0</v>
      </c>
      <c r="K31349" s="5">
        <v>0</v>
      </c>
    </row>
    <row r="31350" spans="1:11" x14ac:dyDescent="0.25">
      <c r="A31350" s="5">
        <f>31343</f>
      </c>
      <c r="B31350" s="5" t="s">
        <v>31358</v>
      </c>
      <c r="C31350" s="5">
        <v>103</v>
      </c>
      <c r="D31350" s="5">
        <v>0.1</v>
      </c>
      <c r="E31350" s="5">
        <v>101.9</v>
      </c>
      <c r="F31350" s="5">
        <v>203.5</v>
      </c>
      <c r="G31350" s="5">
        <v>101.3</v>
      </c>
      <c r="H31350" s="5">
        <v>101.2</v>
      </c>
      <c r="I31350" s="5">
        <v>0</v>
      </c>
      <c r="J31350" s="5">
        <v>0</v>
      </c>
      <c r="K31350" s="5">
        <v>0</v>
      </c>
    </row>
    <row r="31351" spans="1:11" x14ac:dyDescent="0.25">
      <c r="A31351" s="5">
        <f>31344</f>
      </c>
      <c r="B31351" s="5" t="s">
        <v>31359</v>
      </c>
      <c r="C31351" s="5">
        <v>103</v>
      </c>
      <c r="D31351" s="5">
        <v>0.1</v>
      </c>
      <c r="E31351" s="5">
        <v>103.1</v>
      </c>
      <c r="F31351" s="5">
        <v>205.6</v>
      </c>
      <c r="G31351" s="5">
        <v>102.6</v>
      </c>
      <c r="H31351" s="5">
        <v>102.5</v>
      </c>
      <c r="I31351" s="5">
        <v>0</v>
      </c>
      <c r="J31351" s="5">
        <v>0</v>
      </c>
      <c r="K31351" s="5">
        <v>0</v>
      </c>
    </row>
    <row r="31352" spans="1:11" x14ac:dyDescent="0.25">
      <c r="A31352" s="5">
        <f>31345</f>
      </c>
      <c r="B31352" s="5" t="s">
        <v>31360</v>
      </c>
      <c r="C31352" s="5">
        <v>103</v>
      </c>
      <c r="D31352" s="5">
        <v>0.1</v>
      </c>
      <c r="E31352" s="5">
        <v>103.1</v>
      </c>
      <c r="F31352" s="5">
        <v>205.6</v>
      </c>
      <c r="G31352" s="5">
        <v>102.6</v>
      </c>
      <c r="H31352" s="5">
        <v>102.5</v>
      </c>
      <c r="I31352" s="5">
        <v>0</v>
      </c>
      <c r="J31352" s="5">
        <v>0</v>
      </c>
      <c r="K31352" s="5">
        <v>0</v>
      </c>
    </row>
    <row r="31353" spans="1:11" x14ac:dyDescent="0.25">
      <c r="A31353" s="5">
        <f>31346</f>
      </c>
      <c r="B31353" s="5" t="s">
        <v>31361</v>
      </c>
      <c r="C31353" s="5">
        <v>102.1</v>
      </c>
      <c r="D31353" s="5">
        <v>0.1</v>
      </c>
      <c r="E31353" s="5">
        <v>102.3</v>
      </c>
      <c r="F31353" s="5">
        <v>203.7</v>
      </c>
      <c r="G31353" s="5">
        <v>101.9</v>
      </c>
      <c r="H31353" s="5">
        <v>102</v>
      </c>
      <c r="I31353" s="5">
        <v>0</v>
      </c>
      <c r="J31353" s="5">
        <v>0</v>
      </c>
      <c r="K31353" s="5">
        <v>0</v>
      </c>
    </row>
    <row r="31354" spans="1:11" x14ac:dyDescent="0.25">
      <c r="A31354" s="5">
        <f>31347</f>
      </c>
      <c r="B31354" s="5" t="s">
        <v>31362</v>
      </c>
      <c r="C31354" s="5">
        <v>102.1</v>
      </c>
      <c r="D31354" s="5">
        <v>0.1</v>
      </c>
      <c r="E31354" s="5">
        <v>102.3</v>
      </c>
      <c r="F31354" s="5">
        <v>203.7</v>
      </c>
      <c r="G31354" s="5">
        <v>101.9</v>
      </c>
      <c r="H31354" s="5">
        <v>102</v>
      </c>
      <c r="I31354" s="5">
        <v>0</v>
      </c>
      <c r="J31354" s="5">
        <v>0</v>
      </c>
      <c r="K31354" s="5">
        <v>0</v>
      </c>
    </row>
    <row r="31355" spans="1:11" x14ac:dyDescent="0.25">
      <c r="A31355" s="5">
        <f>31348</f>
      </c>
      <c r="B31355" s="5" t="s">
        <v>31363</v>
      </c>
      <c r="C31355" s="5">
        <v>102.1</v>
      </c>
      <c r="D31355" s="5">
        <v>0.1</v>
      </c>
      <c r="E31355" s="5">
        <v>102.3</v>
      </c>
      <c r="F31355" s="5">
        <v>203.7</v>
      </c>
      <c r="G31355" s="5">
        <v>101.9</v>
      </c>
      <c r="H31355" s="5">
        <v>102</v>
      </c>
      <c r="I31355" s="5">
        <v>0</v>
      </c>
      <c r="J31355" s="5">
        <v>0</v>
      </c>
      <c r="K31355" s="5">
        <v>0</v>
      </c>
    </row>
    <row r="31356" spans="1:11" x14ac:dyDescent="0.25">
      <c r="A31356" s="5">
        <f>31349</f>
      </c>
      <c r="B31356" s="5" t="s">
        <v>31364</v>
      </c>
      <c r="C31356" s="5">
        <v>102.1</v>
      </c>
      <c r="D31356" s="5">
        <v>0.1</v>
      </c>
      <c r="E31356" s="5">
        <v>102.3</v>
      </c>
      <c r="F31356" s="5">
        <v>203.7</v>
      </c>
      <c r="G31356" s="5">
        <v>101.9</v>
      </c>
      <c r="H31356" s="5">
        <v>102</v>
      </c>
      <c r="I31356" s="5">
        <v>0</v>
      </c>
      <c r="J31356" s="5">
        <v>0</v>
      </c>
      <c r="K31356" s="5">
        <v>0</v>
      </c>
    </row>
    <row r="31357" spans="1:11" x14ac:dyDescent="0.25">
      <c r="A31357" s="5">
        <f>31350</f>
      </c>
      <c r="B31357" s="5" t="s">
        <v>31365</v>
      </c>
      <c r="C31357" s="5">
        <v>102.5</v>
      </c>
      <c r="D31357" s="5">
        <v>0.1</v>
      </c>
      <c r="E31357" s="5">
        <v>102.7</v>
      </c>
      <c r="F31357" s="5">
        <v>205.5</v>
      </c>
      <c r="G31357" s="5">
        <v>102.5</v>
      </c>
      <c r="H31357" s="5">
        <v>102.3</v>
      </c>
      <c r="I31357" s="5">
        <v>0</v>
      </c>
      <c r="J31357" s="5">
        <v>0</v>
      </c>
      <c r="K31357" s="5">
        <v>0</v>
      </c>
    </row>
    <row r="31358" spans="1:11" x14ac:dyDescent="0.25">
      <c r="A31358" s="5">
        <f>31351</f>
      </c>
      <c r="B31358" s="5" t="s">
        <v>31366</v>
      </c>
      <c r="C31358" s="5">
        <v>102.5</v>
      </c>
      <c r="D31358" s="5">
        <v>0.1</v>
      </c>
      <c r="E31358" s="5">
        <v>102.7</v>
      </c>
      <c r="F31358" s="5">
        <v>205.5</v>
      </c>
      <c r="G31358" s="5">
        <v>102.5</v>
      </c>
      <c r="H31358" s="5">
        <v>102.3</v>
      </c>
      <c r="I31358" s="5">
        <v>0</v>
      </c>
      <c r="J31358" s="5">
        <v>0</v>
      </c>
      <c r="K31358" s="5">
        <v>0</v>
      </c>
    </row>
    <row r="31359" spans="1:11" x14ac:dyDescent="0.25">
      <c r="A31359" s="5">
        <f>31352</f>
      </c>
      <c r="B31359" s="5" t="s">
        <v>31367</v>
      </c>
      <c r="C31359" s="5">
        <v>102.1</v>
      </c>
      <c r="D31359" s="5">
        <v>0.1</v>
      </c>
      <c r="E31359" s="5">
        <v>102.2</v>
      </c>
      <c r="F31359" s="5">
        <v>204.4</v>
      </c>
      <c r="G31359" s="5">
        <v>101.9</v>
      </c>
      <c r="H31359" s="5">
        <v>101.8</v>
      </c>
      <c r="I31359" s="5">
        <v>0</v>
      </c>
      <c r="J31359" s="5">
        <v>0</v>
      </c>
      <c r="K31359" s="5">
        <v>0</v>
      </c>
    </row>
    <row r="31360" spans="1:11" x14ac:dyDescent="0.25">
      <c r="A31360" s="5">
        <f>31353</f>
      </c>
      <c r="B31360" s="5" t="s">
        <v>31368</v>
      </c>
      <c r="C31360" s="5">
        <v>102.1</v>
      </c>
      <c r="D31360" s="5">
        <v>0.1</v>
      </c>
      <c r="E31360" s="5">
        <v>102.2</v>
      </c>
      <c r="F31360" s="5">
        <v>204.4</v>
      </c>
      <c r="G31360" s="5">
        <v>101.9</v>
      </c>
      <c r="H31360" s="5">
        <v>101.8</v>
      </c>
      <c r="I31360" s="5">
        <v>0</v>
      </c>
      <c r="J31360" s="5">
        <v>0</v>
      </c>
      <c r="K31360" s="5">
        <v>0</v>
      </c>
    </row>
    <row r="31361" spans="1:11" x14ac:dyDescent="0.25">
      <c r="A31361" s="5">
        <f>31354</f>
      </c>
      <c r="B31361" s="5" t="s">
        <v>31369</v>
      </c>
      <c r="C31361" s="5">
        <v>102</v>
      </c>
      <c r="D31361" s="5">
        <v>0.1</v>
      </c>
      <c r="E31361" s="5">
        <v>102.1</v>
      </c>
      <c r="F31361" s="5">
        <v>203.4</v>
      </c>
      <c r="G31361" s="5">
        <v>101.5</v>
      </c>
      <c r="H31361" s="5">
        <v>101.3</v>
      </c>
      <c r="I31361" s="5">
        <v>0</v>
      </c>
      <c r="J31361" s="5">
        <v>0</v>
      </c>
      <c r="K31361" s="5">
        <v>0</v>
      </c>
    </row>
    <row r="31362" spans="1:11" x14ac:dyDescent="0.25">
      <c r="A31362" s="5">
        <f>31355</f>
      </c>
      <c r="B31362" s="5" t="s">
        <v>31370</v>
      </c>
      <c r="C31362" s="5">
        <v>102</v>
      </c>
      <c r="D31362" s="5">
        <v>0.1</v>
      </c>
      <c r="E31362" s="5">
        <v>102.1</v>
      </c>
      <c r="F31362" s="5">
        <v>203.4</v>
      </c>
      <c r="G31362" s="5">
        <v>101.5</v>
      </c>
      <c r="H31362" s="5">
        <v>101.3</v>
      </c>
      <c r="I31362" s="5">
        <v>0</v>
      </c>
      <c r="J31362" s="5">
        <v>0</v>
      </c>
      <c r="K31362" s="5">
        <v>0</v>
      </c>
    </row>
    <row r="31363" spans="1:11" x14ac:dyDescent="0.25">
      <c r="A31363" s="5">
        <f>31356</f>
      </c>
      <c r="B31363" s="5" t="s">
        <v>31371</v>
      </c>
      <c r="C31363" s="5">
        <v>102.7</v>
      </c>
      <c r="D31363" s="5">
        <v>0.1</v>
      </c>
      <c r="E31363" s="5">
        <v>102.8</v>
      </c>
      <c r="F31363" s="5">
        <v>204.9</v>
      </c>
      <c r="G31363" s="5">
        <v>102</v>
      </c>
      <c r="H31363" s="5">
        <v>101.9</v>
      </c>
      <c r="I31363" s="5">
        <v>0</v>
      </c>
      <c r="J31363" s="5">
        <v>0</v>
      </c>
      <c r="K31363" s="5">
        <v>0</v>
      </c>
    </row>
    <row r="31364" spans="1:11" x14ac:dyDescent="0.25">
      <c r="A31364" s="5">
        <f>31357</f>
      </c>
      <c r="B31364" s="5" t="s">
        <v>31372</v>
      </c>
      <c r="C31364" s="5">
        <v>102.7</v>
      </c>
      <c r="D31364" s="5">
        <v>0.1</v>
      </c>
      <c r="E31364" s="5">
        <v>102.8</v>
      </c>
      <c r="F31364" s="5">
        <v>204.9</v>
      </c>
      <c r="G31364" s="5">
        <v>102</v>
      </c>
      <c r="H31364" s="5">
        <v>101.9</v>
      </c>
      <c r="I31364" s="5">
        <v>0</v>
      </c>
      <c r="J31364" s="5">
        <v>0</v>
      </c>
      <c r="K31364" s="5">
        <v>0</v>
      </c>
    </row>
    <row r="31365" spans="1:11" x14ac:dyDescent="0.25">
      <c r="A31365" s="5">
        <f>31358</f>
      </c>
      <c r="B31365" s="5" t="s">
        <v>31373</v>
      </c>
      <c r="C31365" s="5">
        <v>102.7</v>
      </c>
      <c r="D31365" s="5">
        <v>0.1</v>
      </c>
      <c r="E31365" s="5">
        <v>102.8</v>
      </c>
      <c r="F31365" s="5">
        <v>204.9</v>
      </c>
      <c r="G31365" s="5">
        <v>102</v>
      </c>
      <c r="H31365" s="5">
        <v>101.9</v>
      </c>
      <c r="I31365" s="5">
        <v>0</v>
      </c>
      <c r="J31365" s="5">
        <v>0</v>
      </c>
      <c r="K31365" s="5">
        <v>0</v>
      </c>
    </row>
    <row r="31366" spans="1:11" x14ac:dyDescent="0.25">
      <c r="A31366" s="5">
        <f>31359</f>
      </c>
      <c r="B31366" s="5" t="s">
        <v>31374</v>
      </c>
      <c r="C31366" s="5">
        <v>102.7</v>
      </c>
      <c r="D31366" s="5">
        <v>0.1</v>
      </c>
      <c r="E31366" s="5">
        <v>102.8</v>
      </c>
      <c r="F31366" s="5">
        <v>204.9</v>
      </c>
      <c r="G31366" s="5">
        <v>102</v>
      </c>
      <c r="H31366" s="5">
        <v>101.9</v>
      </c>
      <c r="I31366" s="5">
        <v>0</v>
      </c>
      <c r="J31366" s="5">
        <v>0</v>
      </c>
      <c r="K31366" s="5">
        <v>0</v>
      </c>
    </row>
    <row r="31367" spans="1:11" x14ac:dyDescent="0.25">
      <c r="A31367" s="5">
        <f>31360</f>
      </c>
      <c r="B31367" s="5" t="s">
        <v>31375</v>
      </c>
      <c r="C31367" s="5">
        <v>103.1</v>
      </c>
      <c r="D31367" s="5">
        <v>0.1</v>
      </c>
      <c r="E31367" s="5">
        <v>103.2</v>
      </c>
      <c r="F31367" s="5">
        <v>206</v>
      </c>
      <c r="G31367" s="5">
        <v>102.8</v>
      </c>
      <c r="H31367" s="5">
        <v>102.6</v>
      </c>
      <c r="I31367" s="5">
        <v>0</v>
      </c>
      <c r="J31367" s="5">
        <v>0</v>
      </c>
      <c r="K31367" s="5">
        <v>0</v>
      </c>
    </row>
    <row r="31368" spans="1:11" x14ac:dyDescent="0.25">
      <c r="A31368" s="5">
        <f>31361</f>
      </c>
      <c r="B31368" s="5" t="s">
        <v>31376</v>
      </c>
      <c r="C31368" s="5">
        <v>103.1</v>
      </c>
      <c r="D31368" s="5">
        <v>0.1</v>
      </c>
      <c r="E31368" s="5">
        <v>103.2</v>
      </c>
      <c r="F31368" s="5">
        <v>206</v>
      </c>
      <c r="G31368" s="5">
        <v>102.8</v>
      </c>
      <c r="H31368" s="5">
        <v>102.6</v>
      </c>
      <c r="I31368" s="5">
        <v>0</v>
      </c>
      <c r="J31368" s="5">
        <v>0</v>
      </c>
      <c r="K31368" s="5">
        <v>0</v>
      </c>
    </row>
    <row r="31369" spans="1:11" x14ac:dyDescent="0.25">
      <c r="A31369" s="5">
        <f>31362</f>
      </c>
      <c r="B31369" s="5" t="s">
        <v>31377</v>
      </c>
      <c r="C31369" s="5">
        <v>103</v>
      </c>
      <c r="D31369" s="5">
        <v>0.1</v>
      </c>
      <c r="E31369" s="5">
        <v>103.1</v>
      </c>
      <c r="F31369" s="5">
        <v>206.2</v>
      </c>
      <c r="G31369" s="5">
        <v>102.7</v>
      </c>
      <c r="H31369" s="5">
        <v>102.2</v>
      </c>
      <c r="I31369" s="5">
        <v>0</v>
      </c>
      <c r="J31369" s="5">
        <v>0</v>
      </c>
      <c r="K31369" s="5">
        <v>0</v>
      </c>
    </row>
    <row r="31370" spans="1:11" x14ac:dyDescent="0.25">
      <c r="A31370" s="5">
        <f>31363</f>
      </c>
      <c r="B31370" s="5" t="s">
        <v>31378</v>
      </c>
      <c r="C31370" s="5">
        <v>103</v>
      </c>
      <c r="D31370" s="5">
        <v>0.1</v>
      </c>
      <c r="E31370" s="5">
        <v>103.1</v>
      </c>
      <c r="F31370" s="5">
        <v>206.2</v>
      </c>
      <c r="G31370" s="5">
        <v>102.7</v>
      </c>
      <c r="H31370" s="5">
        <v>102.2</v>
      </c>
      <c r="I31370" s="5">
        <v>0</v>
      </c>
      <c r="J31370" s="5">
        <v>0</v>
      </c>
      <c r="K31370" s="5">
        <v>0</v>
      </c>
    </row>
    <row r="31371" spans="1:11" x14ac:dyDescent="0.25">
      <c r="A31371" s="5">
        <f>31364</f>
      </c>
      <c r="B31371" s="5" t="s">
        <v>31379</v>
      </c>
      <c r="C31371" s="5">
        <v>103.8</v>
      </c>
      <c r="D31371" s="5">
        <v>0.1</v>
      </c>
      <c r="E31371" s="5">
        <v>104</v>
      </c>
      <c r="F31371" s="5">
        <v>206.7</v>
      </c>
      <c r="G31371" s="5">
        <v>103.1</v>
      </c>
      <c r="H31371" s="5">
        <v>103.1</v>
      </c>
      <c r="I31371" s="5">
        <v>0</v>
      </c>
      <c r="J31371" s="5">
        <v>0</v>
      </c>
      <c r="K31371" s="5">
        <v>0</v>
      </c>
    </row>
    <row r="31372" spans="1:11" x14ac:dyDescent="0.25">
      <c r="A31372" s="5">
        <f>31365</f>
      </c>
      <c r="B31372" s="5" t="s">
        <v>31380</v>
      </c>
      <c r="C31372" s="5">
        <v>103.8</v>
      </c>
      <c r="D31372" s="5">
        <v>0.1</v>
      </c>
      <c r="E31372" s="5">
        <v>104</v>
      </c>
      <c r="F31372" s="5">
        <v>206.7</v>
      </c>
      <c r="G31372" s="5">
        <v>103.1</v>
      </c>
      <c r="H31372" s="5">
        <v>103.1</v>
      </c>
      <c r="I31372" s="5">
        <v>0</v>
      </c>
      <c r="J31372" s="5">
        <v>0</v>
      </c>
      <c r="K31372" s="5">
        <v>0</v>
      </c>
    </row>
    <row r="31373" spans="1:11" x14ac:dyDescent="0.25">
      <c r="A31373" s="5">
        <f>31366</f>
      </c>
      <c r="B31373" s="5" t="s">
        <v>31381</v>
      </c>
      <c r="C31373" s="5">
        <v>102.7</v>
      </c>
      <c r="D31373" s="5">
        <v>0.1</v>
      </c>
      <c r="E31373" s="5">
        <v>102.8</v>
      </c>
      <c r="F31373" s="5">
        <v>206</v>
      </c>
      <c r="G31373" s="5">
        <v>102.8</v>
      </c>
      <c r="H31373" s="5">
        <v>102.7</v>
      </c>
      <c r="I31373" s="5">
        <v>0</v>
      </c>
      <c r="J31373" s="5">
        <v>0</v>
      </c>
      <c r="K31373" s="5">
        <v>0</v>
      </c>
    </row>
    <row r="31374" spans="1:11" x14ac:dyDescent="0.25">
      <c r="A31374" s="5">
        <f>31367</f>
      </c>
      <c r="B31374" s="5" t="s">
        <v>31382</v>
      </c>
      <c r="C31374" s="5">
        <v>102.7</v>
      </c>
      <c r="D31374" s="5">
        <v>0.1</v>
      </c>
      <c r="E31374" s="5">
        <v>102.8</v>
      </c>
      <c r="F31374" s="5">
        <v>206</v>
      </c>
      <c r="G31374" s="5">
        <v>102.8</v>
      </c>
      <c r="H31374" s="5">
        <v>102.7</v>
      </c>
      <c r="I31374" s="5">
        <v>0</v>
      </c>
      <c r="J31374" s="5">
        <v>0</v>
      </c>
      <c r="K31374" s="5">
        <v>0</v>
      </c>
    </row>
    <row r="31375" spans="1:11" x14ac:dyDescent="0.25">
      <c r="A31375" s="5">
        <f>31368</f>
      </c>
      <c r="B31375" s="5" t="s">
        <v>31383</v>
      </c>
      <c r="C31375" s="5">
        <v>102.7</v>
      </c>
      <c r="D31375" s="5">
        <v>0.1</v>
      </c>
      <c r="E31375" s="5">
        <v>102.8</v>
      </c>
      <c r="F31375" s="5">
        <v>206</v>
      </c>
      <c r="G31375" s="5">
        <v>102.8</v>
      </c>
      <c r="H31375" s="5">
        <v>102.7</v>
      </c>
      <c r="I31375" s="5">
        <v>0</v>
      </c>
      <c r="J31375" s="5">
        <v>0</v>
      </c>
      <c r="K31375" s="5">
        <v>0</v>
      </c>
    </row>
    <row r="31376" spans="1:11" x14ac:dyDescent="0.25">
      <c r="A31376" s="5">
        <f>31369</f>
      </c>
      <c r="B31376" s="5" t="s">
        <v>31384</v>
      </c>
      <c r="C31376" s="5">
        <v>103.3</v>
      </c>
      <c r="D31376" s="5">
        <v>0.1</v>
      </c>
      <c r="E31376" s="5">
        <v>103.4</v>
      </c>
      <c r="F31376" s="5">
        <v>207.4</v>
      </c>
      <c r="G31376" s="5">
        <v>103.4</v>
      </c>
      <c r="H31376" s="5">
        <v>103.3</v>
      </c>
      <c r="I31376" s="5">
        <v>0</v>
      </c>
      <c r="J31376" s="5">
        <v>0</v>
      </c>
      <c r="K31376" s="5">
        <v>0</v>
      </c>
    </row>
    <row r="31377" spans="1:11" x14ac:dyDescent="0.25">
      <c r="A31377" s="5">
        <f>31370</f>
      </c>
      <c r="B31377" s="5" t="s">
        <v>31385</v>
      </c>
      <c r="C31377" s="5">
        <v>103.3</v>
      </c>
      <c r="D31377" s="5">
        <v>0.1</v>
      </c>
      <c r="E31377" s="5">
        <v>103.4</v>
      </c>
      <c r="F31377" s="5">
        <v>207.4</v>
      </c>
      <c r="G31377" s="5">
        <v>103.4</v>
      </c>
      <c r="H31377" s="5">
        <v>103.3</v>
      </c>
      <c r="I31377" s="5">
        <v>0</v>
      </c>
      <c r="J31377" s="5">
        <v>0</v>
      </c>
      <c r="K31377" s="5">
        <v>0</v>
      </c>
    </row>
    <row r="31378" spans="1:11" x14ac:dyDescent="0.25">
      <c r="A31378" s="5">
        <f>31371</f>
      </c>
      <c r="B31378" s="5" t="s">
        <v>31386</v>
      </c>
      <c r="C31378" s="5">
        <v>103.4</v>
      </c>
      <c r="D31378" s="5">
        <v>0.1</v>
      </c>
      <c r="E31378" s="5">
        <v>103.5</v>
      </c>
      <c r="F31378" s="5">
        <v>200.8</v>
      </c>
      <c r="G31378" s="5">
        <v>100.3</v>
      </c>
      <c r="H31378" s="5">
        <v>100.3</v>
      </c>
      <c r="I31378" s="5">
        <v>0</v>
      </c>
      <c r="J31378" s="5">
        <v>0</v>
      </c>
      <c r="K31378" s="5">
        <v>0</v>
      </c>
    </row>
    <row r="31379" spans="1:11" x14ac:dyDescent="0.25">
      <c r="A31379" s="5">
        <f>31372</f>
      </c>
      <c r="B31379" s="5" t="s">
        <v>31387</v>
      </c>
      <c r="C31379" s="5">
        <v>103.4</v>
      </c>
      <c r="D31379" s="5">
        <v>0.1</v>
      </c>
      <c r="E31379" s="5">
        <v>103.5</v>
      </c>
      <c r="F31379" s="5">
        <v>200.8</v>
      </c>
      <c r="G31379" s="5">
        <v>100.3</v>
      </c>
      <c r="H31379" s="5">
        <v>100.3</v>
      </c>
      <c r="I31379" s="5">
        <v>0</v>
      </c>
      <c r="J31379" s="5">
        <v>0</v>
      </c>
      <c r="K31379" s="5">
        <v>0</v>
      </c>
    </row>
    <row r="31380" spans="1:11" x14ac:dyDescent="0.25">
      <c r="A31380" s="5">
        <f>31373</f>
      </c>
      <c r="B31380" s="5" t="s">
        <v>31388</v>
      </c>
      <c r="C31380" s="5">
        <v>103.4</v>
      </c>
      <c r="D31380" s="5">
        <v>0.1</v>
      </c>
      <c r="E31380" s="5">
        <v>103.1</v>
      </c>
      <c r="F31380" s="5">
        <v>205.8</v>
      </c>
      <c r="G31380" s="5">
        <v>102.8</v>
      </c>
      <c r="H31380" s="5">
        <v>102.6</v>
      </c>
      <c r="I31380" s="5">
        <v>0</v>
      </c>
      <c r="J31380" s="5">
        <v>0</v>
      </c>
      <c r="K31380" s="5">
        <v>0</v>
      </c>
    </row>
    <row r="31381" spans="1:11" x14ac:dyDescent="0.25">
      <c r="A31381" s="5">
        <f>31374</f>
      </c>
      <c r="B31381" s="5" t="s">
        <v>31389</v>
      </c>
      <c r="C31381" s="5">
        <v>103</v>
      </c>
      <c r="D31381" s="5">
        <v>0.1</v>
      </c>
      <c r="E31381" s="5">
        <v>103.1</v>
      </c>
      <c r="F31381" s="5">
        <v>205.8</v>
      </c>
      <c r="G31381" s="5">
        <v>102.8</v>
      </c>
      <c r="H31381" s="5">
        <v>102.6</v>
      </c>
      <c r="I31381" s="5">
        <v>0</v>
      </c>
      <c r="J31381" s="5">
        <v>0</v>
      </c>
      <c r="K31381" s="5">
        <v>0</v>
      </c>
    </row>
    <row r="31382" spans="1:11" x14ac:dyDescent="0.25">
      <c r="A31382" s="5">
        <f>31375</f>
      </c>
      <c r="B31382" s="5" t="s">
        <v>31390</v>
      </c>
      <c r="C31382" s="5">
        <v>103</v>
      </c>
      <c r="D31382" s="5">
        <v>0.1</v>
      </c>
      <c r="E31382" s="5">
        <v>103.1</v>
      </c>
      <c r="F31382" s="5">
        <v>197.1</v>
      </c>
      <c r="G31382" s="5">
        <v>98.3</v>
      </c>
      <c r="H31382" s="5">
        <v>99</v>
      </c>
      <c r="I31382" s="5">
        <v>0</v>
      </c>
      <c r="J31382" s="5">
        <v>0</v>
      </c>
      <c r="K31382" s="5">
        <v>0</v>
      </c>
    </row>
    <row r="31383" spans="1:11" x14ac:dyDescent="0.25">
      <c r="A31383" s="5">
        <f>31376</f>
      </c>
      <c r="B31383" s="5" t="s">
        <v>31391</v>
      </c>
      <c r="C31383" s="5">
        <v>98.2</v>
      </c>
      <c r="D31383" s="5">
        <v>0.1</v>
      </c>
      <c r="E31383" s="5">
        <v>98.3</v>
      </c>
      <c r="F31383" s="5">
        <v>197.1</v>
      </c>
      <c r="G31383" s="5">
        <v>98.3</v>
      </c>
      <c r="H31383" s="5">
        <v>99</v>
      </c>
      <c r="I31383" s="5">
        <v>0</v>
      </c>
      <c r="J31383" s="5">
        <v>0</v>
      </c>
      <c r="K31383" s="5">
        <v>0</v>
      </c>
    </row>
    <row r="31384" spans="1:11" x14ac:dyDescent="0.25">
      <c r="A31384" s="5">
        <f>31377</f>
      </c>
      <c r="B31384" s="5" t="s">
        <v>31392</v>
      </c>
      <c r="C31384" s="5">
        <v>98.2</v>
      </c>
      <c r="D31384" s="5">
        <v>0.1</v>
      </c>
      <c r="E31384" s="5">
        <v>98.3</v>
      </c>
      <c r="F31384" s="5">
        <v>197.1</v>
      </c>
      <c r="G31384" s="5">
        <v>98.3</v>
      </c>
      <c r="H31384" s="5">
        <v>99</v>
      </c>
      <c r="I31384" s="5">
        <v>0</v>
      </c>
      <c r="J31384" s="5">
        <v>0</v>
      </c>
      <c r="K31384" s="5">
        <v>0</v>
      </c>
    </row>
    <row r="31385" spans="1:11" x14ac:dyDescent="0.25">
      <c r="A31385" s="5">
        <f>31378</f>
      </c>
      <c r="B31385" s="5" t="s">
        <v>31393</v>
      </c>
      <c r="C31385" s="5">
        <v>98.2</v>
      </c>
      <c r="D31385" s="5">
        <v>0.1</v>
      </c>
      <c r="E31385" s="5">
        <v>98.3</v>
      </c>
      <c r="F31385" s="5">
        <v>197.1</v>
      </c>
      <c r="G31385" s="5">
        <v>98.3</v>
      </c>
      <c r="H31385" s="5">
        <v>99</v>
      </c>
      <c r="I31385" s="5">
        <v>0</v>
      </c>
      <c r="J31385" s="5">
        <v>0</v>
      </c>
      <c r="K31385" s="5">
        <v>0</v>
      </c>
    </row>
    <row r="31386" spans="1:11" x14ac:dyDescent="0.25">
      <c r="A31386" s="5">
        <f>31379</f>
      </c>
      <c r="B31386" s="5" t="s">
        <v>31394</v>
      </c>
      <c r="C31386" s="5">
        <v>103.4</v>
      </c>
      <c r="D31386" s="5">
        <v>0.1</v>
      </c>
      <c r="E31386" s="5">
        <v>103.6</v>
      </c>
      <c r="F31386" s="5">
        <v>201.9</v>
      </c>
      <c r="G31386" s="5">
        <v>98.4</v>
      </c>
      <c r="H31386" s="5">
        <v>98</v>
      </c>
      <c r="I31386" s="5">
        <v>0</v>
      </c>
      <c r="J31386" s="5">
        <v>0</v>
      </c>
      <c r="K31386" s="5">
        <v>0</v>
      </c>
    </row>
    <row r="31387" spans="1:11" x14ac:dyDescent="0.25">
      <c r="A31387" s="5">
        <f>31380</f>
      </c>
      <c r="B31387" s="5" t="s">
        <v>31395</v>
      </c>
      <c r="C31387" s="5">
        <v>103.4</v>
      </c>
      <c r="D31387" s="5">
        <v>0.1</v>
      </c>
      <c r="E31387" s="5">
        <v>103.6</v>
      </c>
      <c r="F31387" s="5">
        <v>201.9</v>
      </c>
      <c r="G31387" s="5">
        <v>98.4</v>
      </c>
      <c r="H31387" s="5">
        <v>98</v>
      </c>
      <c r="I31387" s="5">
        <v>0</v>
      </c>
      <c r="J31387" s="5">
        <v>0</v>
      </c>
      <c r="K31387" s="5">
        <v>0</v>
      </c>
    </row>
    <row r="31388" spans="1:11" x14ac:dyDescent="0.25">
      <c r="A31388" s="5">
        <f>31381</f>
      </c>
      <c r="B31388" s="5" t="s">
        <v>31396</v>
      </c>
      <c r="C31388" s="5">
        <v>97.5</v>
      </c>
      <c r="D31388" s="5">
        <v>0.1</v>
      </c>
      <c r="E31388" s="5">
        <v>97.6</v>
      </c>
      <c r="F31388" s="5">
        <v>200</v>
      </c>
      <c r="G31388" s="5">
        <v>101.5</v>
      </c>
      <c r="H31388" s="5">
        <v>101.4</v>
      </c>
      <c r="I31388" s="5">
        <v>0</v>
      </c>
      <c r="J31388" s="5">
        <v>0</v>
      </c>
      <c r="K31388" s="5">
        <v>0</v>
      </c>
    </row>
    <row r="31389" spans="1:11" x14ac:dyDescent="0.25">
      <c r="A31389" s="5">
        <f>31382</f>
      </c>
      <c r="B31389" s="5" t="s">
        <v>31397</v>
      </c>
      <c r="C31389" s="5">
        <v>97.5</v>
      </c>
      <c r="D31389" s="5">
        <v>0.1</v>
      </c>
      <c r="E31389" s="5">
        <v>97.6</v>
      </c>
      <c r="F31389" s="5">
        <v>200</v>
      </c>
      <c r="G31389" s="5">
        <v>101.5</v>
      </c>
      <c r="H31389" s="5">
        <v>101.4</v>
      </c>
      <c r="I31389" s="5">
        <v>0</v>
      </c>
      <c r="J31389" s="5">
        <v>0</v>
      </c>
      <c r="K31389" s="5">
        <v>0</v>
      </c>
    </row>
    <row r="31390" spans="1:11" x14ac:dyDescent="0.25">
      <c r="A31390" s="5">
        <f>31383</f>
      </c>
      <c r="B31390" s="5" t="s">
        <v>31398</v>
      </c>
      <c r="C31390" s="5">
        <v>96.7</v>
      </c>
      <c r="D31390" s="5">
        <v>0</v>
      </c>
      <c r="E31390" s="5">
        <v>96.9</v>
      </c>
      <c r="F31390" s="5">
        <v>193.5</v>
      </c>
      <c r="G31390" s="5">
        <v>96.5</v>
      </c>
      <c r="H31390" s="5">
        <v>96.4</v>
      </c>
      <c r="I31390" s="5">
        <v>0</v>
      </c>
      <c r="J31390" s="5">
        <v>0</v>
      </c>
      <c r="K31390" s="5">
        <v>0</v>
      </c>
    </row>
    <row r="31391" spans="1:11" x14ac:dyDescent="0.25">
      <c r="A31391" s="5">
        <f>31384</f>
      </c>
      <c r="B31391" s="5" t="s">
        <v>31399</v>
      </c>
      <c r="C31391" s="5">
        <v>96.7</v>
      </c>
      <c r="D31391" s="5">
        <v>0</v>
      </c>
      <c r="E31391" s="5">
        <v>96.9</v>
      </c>
      <c r="F31391" s="5">
        <v>193.5</v>
      </c>
      <c r="G31391" s="5">
        <v>96.5</v>
      </c>
      <c r="H31391" s="5">
        <v>96.4</v>
      </c>
      <c r="I31391" s="5">
        <v>0</v>
      </c>
      <c r="J31391" s="5">
        <v>0</v>
      </c>
      <c r="K31391" s="5">
        <v>0</v>
      </c>
    </row>
    <row r="31392" spans="1:11" x14ac:dyDescent="0.25">
      <c r="A31392" s="5">
        <f>31385</f>
      </c>
      <c r="B31392" s="5" t="s">
        <v>31400</v>
      </c>
      <c r="C31392" s="5">
        <v>103.7</v>
      </c>
      <c r="D31392" s="5">
        <v>0.1</v>
      </c>
      <c r="E31392" s="5">
        <v>103.9</v>
      </c>
      <c r="F31392" s="5">
        <v>205.6</v>
      </c>
      <c r="G31392" s="5">
        <v>102.8</v>
      </c>
      <c r="H31392" s="5">
        <v>102.8</v>
      </c>
      <c r="I31392" s="5">
        <v>0</v>
      </c>
      <c r="J31392" s="5">
        <v>0</v>
      </c>
      <c r="K31392" s="5">
        <v>0</v>
      </c>
    </row>
    <row r="31393" spans="1:11" x14ac:dyDescent="0.25">
      <c r="A31393" s="5">
        <f>31386</f>
      </c>
      <c r="B31393" s="5" t="s">
        <v>31401</v>
      </c>
      <c r="C31393" s="5">
        <v>103.7</v>
      </c>
      <c r="D31393" s="5">
        <v>0.1</v>
      </c>
      <c r="E31393" s="5">
        <v>103.9</v>
      </c>
      <c r="F31393" s="5">
        <v>205.6</v>
      </c>
      <c r="G31393" s="5">
        <v>102.8</v>
      </c>
      <c r="H31393" s="5">
        <v>102.8</v>
      </c>
      <c r="I31393" s="5">
        <v>0</v>
      </c>
      <c r="J31393" s="5">
        <v>0</v>
      </c>
      <c r="K31393" s="5">
        <v>0</v>
      </c>
    </row>
    <row r="31394" spans="1:11" x14ac:dyDescent="0.25">
      <c r="A31394" s="5">
        <f>31387</f>
      </c>
      <c r="B31394" s="5" t="s">
        <v>31402</v>
      </c>
      <c r="C31394" s="5">
        <v>103.7</v>
      </c>
      <c r="D31394" s="5">
        <v>0.1</v>
      </c>
      <c r="E31394" s="5">
        <v>103.9</v>
      </c>
      <c r="F31394" s="5">
        <v>205.6</v>
      </c>
      <c r="G31394" s="5">
        <v>102.8</v>
      </c>
      <c r="H31394" s="5">
        <v>102.8</v>
      </c>
      <c r="I31394" s="5">
        <v>0</v>
      </c>
      <c r="J31394" s="5">
        <v>0</v>
      </c>
      <c r="K31394" s="5">
        <v>0</v>
      </c>
    </row>
    <row r="31395" spans="1:11" x14ac:dyDescent="0.25">
      <c r="A31395" s="5">
        <f>31388</f>
      </c>
      <c r="B31395" s="5" t="s">
        <v>31403</v>
      </c>
      <c r="C31395" s="5">
        <v>103.7</v>
      </c>
      <c r="D31395" s="5">
        <v>0.1</v>
      </c>
      <c r="E31395" s="5">
        <v>103.9</v>
      </c>
      <c r="F31395" s="5">
        <v>205.6</v>
      </c>
      <c r="G31395" s="5">
        <v>102.8</v>
      </c>
      <c r="H31395" s="5">
        <v>102.8</v>
      </c>
      <c r="I31395" s="5">
        <v>0</v>
      </c>
      <c r="J31395" s="5">
        <v>0</v>
      </c>
      <c r="K31395" s="5">
        <v>0</v>
      </c>
    </row>
    <row r="31396" spans="1:11" x14ac:dyDescent="0.25">
      <c r="A31396" s="5">
        <f>31389</f>
      </c>
      <c r="B31396" s="5" t="s">
        <v>31404</v>
      </c>
      <c r="C31396" s="5">
        <v>102.9</v>
      </c>
      <c r="D31396" s="5">
        <v>0.1</v>
      </c>
      <c r="E31396" s="5">
        <v>103</v>
      </c>
      <c r="F31396" s="5">
        <v>206.3</v>
      </c>
      <c r="G31396" s="5">
        <v>102.9</v>
      </c>
      <c r="H31396" s="5">
        <v>102.7</v>
      </c>
      <c r="I31396" s="5">
        <v>0</v>
      </c>
      <c r="J31396" s="5">
        <v>0</v>
      </c>
      <c r="K31396" s="5">
        <v>0</v>
      </c>
    </row>
    <row r="31397" spans="1:11" x14ac:dyDescent="0.25">
      <c r="A31397" s="5">
        <f>31390</f>
      </c>
      <c r="B31397" s="5" t="s">
        <v>31405</v>
      </c>
      <c r="C31397" s="5">
        <v>102.9</v>
      </c>
      <c r="D31397" s="5">
        <v>0.1</v>
      </c>
      <c r="E31397" s="5">
        <v>103</v>
      </c>
      <c r="F31397" s="5">
        <v>206.3</v>
      </c>
      <c r="G31397" s="5">
        <v>102.9</v>
      </c>
      <c r="H31397" s="5">
        <v>102.7</v>
      </c>
      <c r="I31397" s="5">
        <v>0</v>
      </c>
      <c r="J31397" s="5">
        <v>0</v>
      </c>
      <c r="K31397" s="5">
        <v>0</v>
      </c>
    </row>
    <row r="31398" spans="1:11" x14ac:dyDescent="0.25">
      <c r="A31398" s="5">
        <f>31391</f>
      </c>
      <c r="B31398" s="5" t="s">
        <v>31406</v>
      </c>
      <c r="C31398" s="5">
        <v>103.4</v>
      </c>
      <c r="D31398" s="5">
        <v>0.1</v>
      </c>
      <c r="E31398" s="5">
        <v>103.5</v>
      </c>
      <c r="F31398" s="5">
        <v>207.2</v>
      </c>
      <c r="G31398" s="5">
        <v>103.3</v>
      </c>
      <c r="H31398" s="5">
        <v>103.2</v>
      </c>
      <c r="I31398" s="5">
        <v>0</v>
      </c>
      <c r="J31398" s="5">
        <v>0</v>
      </c>
      <c r="K31398" s="5">
        <v>0</v>
      </c>
    </row>
    <row r="31399" spans="1:11" x14ac:dyDescent="0.25">
      <c r="A31399" s="5">
        <f>31392</f>
      </c>
      <c r="B31399" s="5" t="s">
        <v>31407</v>
      </c>
      <c r="C31399" s="5">
        <v>103.4</v>
      </c>
      <c r="D31399" s="5">
        <v>0.1</v>
      </c>
      <c r="E31399" s="5">
        <v>103.5</v>
      </c>
      <c r="F31399" s="5">
        <v>207.2</v>
      </c>
      <c r="G31399" s="5">
        <v>103.3</v>
      </c>
      <c r="H31399" s="5">
        <v>103.2</v>
      </c>
      <c r="I31399" s="5">
        <v>0</v>
      </c>
      <c r="J31399" s="5">
        <v>0</v>
      </c>
      <c r="K31399" s="5">
        <v>0</v>
      </c>
    </row>
    <row r="31400" spans="1:11" x14ac:dyDescent="0.25">
      <c r="A31400" s="5">
        <f>31393</f>
      </c>
      <c r="B31400" s="5" t="s">
        <v>31408</v>
      </c>
      <c r="C31400" s="5">
        <v>103.1</v>
      </c>
      <c r="D31400" s="5">
        <v>0.1</v>
      </c>
      <c r="E31400" s="5">
        <v>103.3</v>
      </c>
      <c r="F31400" s="5">
        <v>207.2</v>
      </c>
      <c r="G31400" s="5">
        <v>103.4</v>
      </c>
      <c r="H31400" s="5">
        <v>103.3</v>
      </c>
      <c r="I31400" s="5">
        <v>0</v>
      </c>
      <c r="J31400" s="5">
        <v>0</v>
      </c>
      <c r="K31400" s="5">
        <v>0</v>
      </c>
    </row>
    <row r="31401" spans="1:11" x14ac:dyDescent="0.25">
      <c r="A31401" s="5">
        <f>31394</f>
      </c>
      <c r="B31401" s="5" t="s">
        <v>31409</v>
      </c>
      <c r="C31401" s="5">
        <v>103.1</v>
      </c>
      <c r="D31401" s="5">
        <v>0.1</v>
      </c>
      <c r="E31401" s="5">
        <v>103.3</v>
      </c>
      <c r="F31401" s="5">
        <v>207.2</v>
      </c>
      <c r="G31401" s="5">
        <v>103.4</v>
      </c>
      <c r="H31401" s="5">
        <v>103.3</v>
      </c>
      <c r="I31401" s="5">
        <v>0</v>
      </c>
      <c r="J31401" s="5">
        <v>0</v>
      </c>
      <c r="K31401" s="5">
        <v>0</v>
      </c>
    </row>
    <row r="31402" spans="1:11" x14ac:dyDescent="0.25">
      <c r="A31402" s="5">
        <f>31395</f>
      </c>
      <c r="B31402" s="5" t="s">
        <v>31410</v>
      </c>
      <c r="C31402" s="5">
        <v>104.2</v>
      </c>
      <c r="D31402" s="5">
        <v>0.1</v>
      </c>
      <c r="E31402" s="5">
        <v>104.3</v>
      </c>
      <c r="F31402" s="5">
        <v>208</v>
      </c>
      <c r="G31402" s="5">
        <v>103.7</v>
      </c>
      <c r="H31402" s="5">
        <v>103.5</v>
      </c>
      <c r="I31402" s="5">
        <v>0</v>
      </c>
      <c r="J31402" s="5">
        <v>0</v>
      </c>
      <c r="K31402" s="5">
        <v>0</v>
      </c>
    </row>
    <row r="31403" spans="1:11" x14ac:dyDescent="0.25">
      <c r="A31403" s="5">
        <f>31396</f>
      </c>
      <c r="B31403" s="5" t="s">
        <v>31411</v>
      </c>
      <c r="C31403" s="5">
        <v>104.2</v>
      </c>
      <c r="D31403" s="5">
        <v>0.1</v>
      </c>
      <c r="E31403" s="5">
        <v>104.3</v>
      </c>
      <c r="F31403" s="5">
        <v>208</v>
      </c>
      <c r="G31403" s="5">
        <v>103.7</v>
      </c>
      <c r="H31403" s="5">
        <v>103.5</v>
      </c>
      <c r="I31403" s="5">
        <v>0</v>
      </c>
      <c r="J31403" s="5">
        <v>0</v>
      </c>
      <c r="K31403" s="5">
        <v>0</v>
      </c>
    </row>
    <row r="31404" spans="1:11" x14ac:dyDescent="0.25">
      <c r="A31404" s="5">
        <f>31397</f>
      </c>
      <c r="B31404" s="5" t="s">
        <v>31412</v>
      </c>
      <c r="C31404" s="5">
        <v>104.2</v>
      </c>
      <c r="D31404" s="5">
        <v>0.1</v>
      </c>
      <c r="E31404" s="5">
        <v>104.3</v>
      </c>
      <c r="F31404" s="5">
        <v>208</v>
      </c>
      <c r="G31404" s="5">
        <v>103.7</v>
      </c>
      <c r="H31404" s="5">
        <v>103.5</v>
      </c>
      <c r="I31404" s="5">
        <v>0</v>
      </c>
      <c r="J31404" s="5">
        <v>0</v>
      </c>
      <c r="K31404" s="5">
        <v>0</v>
      </c>
    </row>
    <row r="31405" spans="1:11" x14ac:dyDescent="0.25">
      <c r="A31405" s="5">
        <f>31398</f>
      </c>
      <c r="B31405" s="5" t="s">
        <v>31413</v>
      </c>
      <c r="C31405" s="5">
        <v>104.2</v>
      </c>
      <c r="D31405" s="5">
        <v>0.1</v>
      </c>
      <c r="E31405" s="5">
        <v>104.3</v>
      </c>
      <c r="F31405" s="5">
        <v>208</v>
      </c>
      <c r="G31405" s="5">
        <v>103.7</v>
      </c>
      <c r="H31405" s="5">
        <v>103.5</v>
      </c>
      <c r="I31405" s="5">
        <v>0</v>
      </c>
      <c r="J31405" s="5">
        <v>0</v>
      </c>
      <c r="K31405" s="5">
        <v>0</v>
      </c>
    </row>
    <row r="31406" spans="1:11" x14ac:dyDescent="0.25">
      <c r="A31406" s="5">
        <f>31399</f>
      </c>
      <c r="B31406" s="5" t="s">
        <v>31414</v>
      </c>
      <c r="C31406" s="5">
        <v>104.5</v>
      </c>
      <c r="D31406" s="5">
        <v>0.1</v>
      </c>
      <c r="E31406" s="5">
        <v>104.6</v>
      </c>
      <c r="F31406" s="5">
        <v>209.5</v>
      </c>
      <c r="G31406" s="5">
        <v>104.5</v>
      </c>
      <c r="H31406" s="5">
        <v>104.3</v>
      </c>
      <c r="I31406" s="5">
        <v>0</v>
      </c>
      <c r="J31406" s="5">
        <v>0</v>
      </c>
      <c r="K31406" s="5">
        <v>0</v>
      </c>
    </row>
    <row r="31407" spans="1:11" x14ac:dyDescent="0.25">
      <c r="A31407" s="5">
        <f>31400</f>
      </c>
      <c r="B31407" s="5" t="s">
        <v>31415</v>
      </c>
      <c r="C31407" s="5">
        <v>104.5</v>
      </c>
      <c r="D31407" s="5">
        <v>0.1</v>
      </c>
      <c r="E31407" s="5">
        <v>104.6</v>
      </c>
      <c r="F31407" s="5">
        <v>209.5</v>
      </c>
      <c r="G31407" s="5">
        <v>104.5</v>
      </c>
      <c r="H31407" s="5">
        <v>104.3</v>
      </c>
      <c r="I31407" s="5">
        <v>0</v>
      </c>
      <c r="J31407" s="5">
        <v>0</v>
      </c>
      <c r="K31407" s="5">
        <v>0</v>
      </c>
    </row>
    <row r="31408" spans="1:11" x14ac:dyDescent="0.25">
      <c r="A31408" s="5">
        <f>31401</f>
      </c>
      <c r="B31408" s="5" t="s">
        <v>31416</v>
      </c>
      <c r="C31408" s="5">
        <v>104</v>
      </c>
      <c r="D31408" s="5">
        <v>0.1</v>
      </c>
      <c r="E31408" s="5">
        <v>104.2</v>
      </c>
      <c r="F31408" s="5">
        <v>207.9</v>
      </c>
      <c r="G31408" s="5">
        <v>103.7</v>
      </c>
      <c r="H31408" s="5">
        <v>103.5</v>
      </c>
      <c r="I31408" s="5">
        <v>0</v>
      </c>
      <c r="J31408" s="5">
        <v>0</v>
      </c>
      <c r="K31408" s="5">
        <v>0</v>
      </c>
    </row>
    <row r="31409" spans="1:11" x14ac:dyDescent="0.25">
      <c r="A31409" s="5">
        <f>31402</f>
      </c>
      <c r="B31409" s="5" t="s">
        <v>31417</v>
      </c>
      <c r="C31409" s="5">
        <v>104</v>
      </c>
      <c r="D31409" s="5">
        <v>0.1</v>
      </c>
      <c r="E31409" s="5">
        <v>104.2</v>
      </c>
      <c r="F31409" s="5">
        <v>207.9</v>
      </c>
      <c r="G31409" s="5">
        <v>103.7</v>
      </c>
      <c r="H31409" s="5">
        <v>103.5</v>
      </c>
      <c r="I31409" s="5">
        <v>0</v>
      </c>
      <c r="J31409" s="5">
        <v>0</v>
      </c>
      <c r="K31409" s="5">
        <v>0</v>
      </c>
    </row>
    <row r="31410" spans="1:11" x14ac:dyDescent="0.25">
      <c r="A31410" s="5">
        <f>31403</f>
      </c>
      <c r="B31410" s="5" t="s">
        <v>31418</v>
      </c>
      <c r="C31410" s="5">
        <v>104</v>
      </c>
      <c r="D31410" s="5">
        <v>0.1</v>
      </c>
      <c r="E31410" s="5">
        <v>104.3</v>
      </c>
      <c r="F31410" s="5">
        <v>207.7</v>
      </c>
      <c r="G31410" s="5">
        <v>103.6</v>
      </c>
      <c r="H31410" s="5">
        <v>103.5</v>
      </c>
      <c r="I31410" s="5">
        <v>0</v>
      </c>
      <c r="J31410" s="5">
        <v>0</v>
      </c>
      <c r="K31410" s="5">
        <v>0</v>
      </c>
    </row>
    <row r="31411" spans="1:11" x14ac:dyDescent="0.25">
      <c r="A31411" s="5">
        <f>31404</f>
      </c>
      <c r="B31411" s="5" t="s">
        <v>31419</v>
      </c>
      <c r="C31411" s="5">
        <v>104.1</v>
      </c>
      <c r="D31411" s="5">
        <v>0.1</v>
      </c>
      <c r="E31411" s="5">
        <v>104.3</v>
      </c>
      <c r="F31411" s="5">
        <v>207.7</v>
      </c>
      <c r="G31411" s="5">
        <v>103.6</v>
      </c>
      <c r="H31411" s="5">
        <v>103.5</v>
      </c>
      <c r="I31411" s="5">
        <v>0</v>
      </c>
      <c r="J31411" s="5">
        <v>0</v>
      </c>
      <c r="K31411" s="5">
        <v>0</v>
      </c>
    </row>
    <row r="31412" spans="1:11" x14ac:dyDescent="0.25">
      <c r="A31412" s="5">
        <f>31405</f>
      </c>
      <c r="B31412" s="5" t="s">
        <v>31420</v>
      </c>
      <c r="C31412" s="5">
        <v>104.1</v>
      </c>
      <c r="D31412" s="5">
        <v>0.1</v>
      </c>
      <c r="E31412" s="5">
        <v>104.3</v>
      </c>
      <c r="F31412" s="5">
        <v>207.7</v>
      </c>
      <c r="G31412" s="5">
        <v>103.7</v>
      </c>
      <c r="H31412" s="5">
        <v>103.5</v>
      </c>
      <c r="I31412" s="5">
        <v>0</v>
      </c>
      <c r="J31412" s="5">
        <v>0</v>
      </c>
      <c r="K31412" s="5">
        <v>0</v>
      </c>
    </row>
    <row r="31413" spans="1:11" x14ac:dyDescent="0.25">
      <c r="A31413" s="5">
        <f>31406</f>
      </c>
      <c r="B31413" s="5" t="s">
        <v>31421</v>
      </c>
      <c r="C31413" s="5">
        <v>103.8</v>
      </c>
      <c r="D31413" s="5">
        <v>0.1</v>
      </c>
      <c r="E31413" s="5">
        <v>104</v>
      </c>
      <c r="F31413" s="5">
        <v>207.9</v>
      </c>
      <c r="G31413" s="5">
        <v>103.7</v>
      </c>
      <c r="H31413" s="5">
        <v>103.5</v>
      </c>
      <c r="I31413" s="5">
        <v>0</v>
      </c>
      <c r="J31413" s="5">
        <v>0</v>
      </c>
      <c r="K31413" s="5">
        <v>0</v>
      </c>
    </row>
    <row r="31414" spans="1:11" x14ac:dyDescent="0.25">
      <c r="A31414" s="5">
        <f>31407</f>
      </c>
      <c r="B31414" s="5" t="s">
        <v>31422</v>
      </c>
      <c r="C31414" s="5">
        <v>103.8</v>
      </c>
      <c r="D31414" s="5">
        <v>0.1</v>
      </c>
      <c r="E31414" s="5">
        <v>104</v>
      </c>
      <c r="F31414" s="5">
        <v>207.9</v>
      </c>
      <c r="G31414" s="5">
        <v>103.7</v>
      </c>
      <c r="H31414" s="5">
        <v>103.5</v>
      </c>
      <c r="I31414" s="5">
        <v>0</v>
      </c>
      <c r="J31414" s="5">
        <v>0</v>
      </c>
      <c r="K31414" s="5">
        <v>0</v>
      </c>
    </row>
    <row r="31415" spans="1:11" x14ac:dyDescent="0.25">
      <c r="A31415" s="5">
        <f>31408</f>
      </c>
      <c r="B31415" s="5" t="s">
        <v>31423</v>
      </c>
      <c r="C31415" s="5">
        <v>103.8</v>
      </c>
      <c r="D31415" s="5">
        <v>0.1</v>
      </c>
      <c r="E31415" s="5">
        <v>104</v>
      </c>
      <c r="F31415" s="5">
        <v>207.9</v>
      </c>
      <c r="G31415" s="5">
        <v>103.7</v>
      </c>
      <c r="H31415" s="5">
        <v>103.5</v>
      </c>
      <c r="I31415" s="5">
        <v>0</v>
      </c>
      <c r="J31415" s="5">
        <v>0</v>
      </c>
      <c r="K31415" s="5">
        <v>0</v>
      </c>
    </row>
    <row r="31416" spans="1:11" x14ac:dyDescent="0.25">
      <c r="A31416" s="5">
        <f>31409</f>
      </c>
      <c r="B31416" s="5" t="s">
        <v>31424</v>
      </c>
      <c r="C31416" s="5">
        <v>104.3</v>
      </c>
      <c r="D31416" s="5">
        <v>0.1</v>
      </c>
      <c r="E31416" s="5">
        <v>104.4</v>
      </c>
      <c r="F31416" s="5">
        <v>208.2</v>
      </c>
      <c r="G31416" s="5">
        <v>103.9</v>
      </c>
      <c r="H31416" s="5">
        <v>103.7</v>
      </c>
      <c r="I31416" s="5">
        <v>0</v>
      </c>
      <c r="J31416" s="5">
        <v>0</v>
      </c>
      <c r="K31416" s="5">
        <v>0</v>
      </c>
    </row>
    <row r="31417" spans="1:11" x14ac:dyDescent="0.25">
      <c r="A31417" s="5">
        <f>31410</f>
      </c>
      <c r="B31417" s="5" t="s">
        <v>31425</v>
      </c>
      <c r="C31417" s="5">
        <v>104.3</v>
      </c>
      <c r="D31417" s="5">
        <v>0.1</v>
      </c>
      <c r="E31417" s="5">
        <v>104.4</v>
      </c>
      <c r="F31417" s="5">
        <v>208.2</v>
      </c>
      <c r="G31417" s="5">
        <v>103.9</v>
      </c>
      <c r="H31417" s="5">
        <v>103.7</v>
      </c>
      <c r="I31417" s="5">
        <v>0</v>
      </c>
      <c r="J31417" s="5">
        <v>0</v>
      </c>
      <c r="K31417" s="5">
        <v>0</v>
      </c>
    </row>
    <row r="31418" spans="1:11" x14ac:dyDescent="0.25">
      <c r="A31418" s="5">
        <f>31411</f>
      </c>
      <c r="B31418" s="5" t="s">
        <v>31426</v>
      </c>
      <c r="C31418" s="5">
        <v>104.4</v>
      </c>
      <c r="D31418" s="5">
        <v>0.1</v>
      </c>
      <c r="E31418" s="5">
        <v>104.6</v>
      </c>
      <c r="F31418" s="5">
        <v>209.8</v>
      </c>
      <c r="G31418" s="5">
        <v>104.7</v>
      </c>
      <c r="H31418" s="5">
        <v>104.5</v>
      </c>
      <c r="I31418" s="5">
        <v>0</v>
      </c>
      <c r="J31418" s="5">
        <v>0</v>
      </c>
      <c r="K31418" s="5">
        <v>0</v>
      </c>
    </row>
    <row r="31419" spans="1:11" x14ac:dyDescent="0.25">
      <c r="A31419" s="5">
        <f>31412</f>
      </c>
      <c r="B31419" s="5" t="s">
        <v>31427</v>
      </c>
      <c r="C31419" s="5">
        <v>104.4</v>
      </c>
      <c r="D31419" s="5">
        <v>0.1</v>
      </c>
      <c r="E31419" s="5">
        <v>104.6</v>
      </c>
      <c r="F31419" s="5">
        <v>209.8</v>
      </c>
      <c r="G31419" s="5">
        <v>104.7</v>
      </c>
      <c r="H31419" s="5">
        <v>104.5</v>
      </c>
      <c r="I31419" s="5">
        <v>0</v>
      </c>
      <c r="J31419" s="5">
        <v>0</v>
      </c>
      <c r="K31419" s="5">
        <v>0</v>
      </c>
    </row>
    <row r="31420" spans="1:11" x14ac:dyDescent="0.25">
      <c r="A31420" s="5">
        <f>31413</f>
      </c>
      <c r="B31420" s="5" t="s">
        <v>31428</v>
      </c>
      <c r="C31420" s="5">
        <v>105.6</v>
      </c>
      <c r="D31420" s="5">
        <v>0.1</v>
      </c>
      <c r="E31420" s="5">
        <v>105.8</v>
      </c>
      <c r="F31420" s="5">
        <v>209.8</v>
      </c>
      <c r="G31420" s="5">
        <v>104.7</v>
      </c>
      <c r="H31420" s="5">
        <v>104.6</v>
      </c>
      <c r="I31420" s="5">
        <v>0</v>
      </c>
      <c r="J31420" s="5">
        <v>0</v>
      </c>
      <c r="K31420" s="5">
        <v>0</v>
      </c>
    </row>
    <row r="31421" spans="1:11" x14ac:dyDescent="0.25">
      <c r="A31421" s="5">
        <f>31414</f>
      </c>
      <c r="B31421" s="5" t="s">
        <v>31429</v>
      </c>
      <c r="C31421" s="5">
        <v>105.6</v>
      </c>
      <c r="D31421" s="5">
        <v>0.1</v>
      </c>
      <c r="E31421" s="5">
        <v>105.8</v>
      </c>
      <c r="F31421" s="5">
        <v>209.8</v>
      </c>
      <c r="G31421" s="5">
        <v>104.7</v>
      </c>
      <c r="H31421" s="5">
        <v>104.6</v>
      </c>
      <c r="I31421" s="5">
        <v>0</v>
      </c>
      <c r="J31421" s="5">
        <v>0</v>
      </c>
      <c r="K31421" s="5">
        <v>0</v>
      </c>
    </row>
    <row r="31422" spans="1:11" x14ac:dyDescent="0.25">
      <c r="A31422" s="5">
        <f>31415</f>
      </c>
      <c r="B31422" s="5" t="s">
        <v>31430</v>
      </c>
      <c r="C31422" s="5">
        <v>105.1</v>
      </c>
      <c r="D31422" s="5">
        <v>0.1</v>
      </c>
      <c r="E31422" s="5">
        <v>105.3</v>
      </c>
      <c r="F31422" s="5">
        <v>209.7</v>
      </c>
      <c r="G31422" s="5">
        <v>104.6</v>
      </c>
      <c r="H31422" s="5">
        <v>104.5</v>
      </c>
      <c r="I31422" s="5">
        <v>0</v>
      </c>
      <c r="J31422" s="5">
        <v>0</v>
      </c>
      <c r="K31422" s="5">
        <v>0</v>
      </c>
    </row>
    <row r="31423" spans="1:11" x14ac:dyDescent="0.25">
      <c r="A31423" s="5">
        <f>31416</f>
      </c>
      <c r="B31423" s="5" t="s">
        <v>31431</v>
      </c>
      <c r="C31423" s="5">
        <v>105.1</v>
      </c>
      <c r="D31423" s="5">
        <v>0.1</v>
      </c>
      <c r="E31423" s="5">
        <v>105.3</v>
      </c>
      <c r="F31423" s="5">
        <v>209.7</v>
      </c>
      <c r="G31423" s="5">
        <v>104.6</v>
      </c>
      <c r="H31423" s="5">
        <v>104.5</v>
      </c>
      <c r="I31423" s="5">
        <v>0</v>
      </c>
      <c r="J31423" s="5">
        <v>0</v>
      </c>
      <c r="K31423" s="5">
        <v>0</v>
      </c>
    </row>
    <row r="31424" spans="1:11" x14ac:dyDescent="0.25">
      <c r="A31424" s="5">
        <f>31417</f>
      </c>
      <c r="B31424" s="5" t="s">
        <v>31432</v>
      </c>
      <c r="C31424" s="5">
        <v>105.1</v>
      </c>
      <c r="D31424" s="5">
        <v>0.1</v>
      </c>
      <c r="E31424" s="5">
        <v>105.3</v>
      </c>
      <c r="F31424" s="5">
        <v>209.7</v>
      </c>
      <c r="G31424" s="5">
        <v>104.6</v>
      </c>
      <c r="H31424" s="5">
        <v>104.5</v>
      </c>
      <c r="I31424" s="5">
        <v>0</v>
      </c>
      <c r="J31424" s="5">
        <v>0</v>
      </c>
      <c r="K31424" s="5">
        <v>0</v>
      </c>
    </row>
    <row r="31425" spans="1:11" x14ac:dyDescent="0.25">
      <c r="A31425" s="5">
        <f>31418</f>
      </c>
      <c r="B31425" s="5" t="s">
        <v>31433</v>
      </c>
      <c r="C31425" s="5">
        <v>105.1</v>
      </c>
      <c r="D31425" s="5">
        <v>0.1</v>
      </c>
      <c r="E31425" s="5">
        <v>105.3</v>
      </c>
      <c r="F31425" s="5">
        <v>209.7</v>
      </c>
      <c r="G31425" s="5">
        <v>104.6</v>
      </c>
      <c r="H31425" s="5">
        <v>104.5</v>
      </c>
      <c r="I31425" s="5">
        <v>0</v>
      </c>
      <c r="J31425" s="5">
        <v>0</v>
      </c>
      <c r="K31425" s="5">
        <v>0</v>
      </c>
    </row>
    <row r="31426" spans="1:11" x14ac:dyDescent="0.25">
      <c r="A31426" s="5">
        <f>31419</f>
      </c>
      <c r="B31426" s="5" t="s">
        <v>31434</v>
      </c>
      <c r="C31426" s="5">
        <v>105</v>
      </c>
      <c r="D31426" s="5">
        <v>0.1</v>
      </c>
      <c r="E31426" s="5">
        <v>105.2</v>
      </c>
      <c r="F31426" s="5">
        <v>209.7</v>
      </c>
      <c r="G31426" s="5">
        <v>104.7</v>
      </c>
      <c r="H31426" s="5">
        <v>104.6</v>
      </c>
      <c r="I31426" s="5">
        <v>0</v>
      </c>
      <c r="J31426" s="5">
        <v>0</v>
      </c>
      <c r="K31426" s="5">
        <v>0</v>
      </c>
    </row>
    <row r="31427" spans="1:11" x14ac:dyDescent="0.25">
      <c r="A31427" s="5">
        <f>31420</f>
      </c>
      <c r="B31427" s="5" t="s">
        <v>31435</v>
      </c>
      <c r="C31427" s="5">
        <v>105</v>
      </c>
      <c r="D31427" s="5">
        <v>0.1</v>
      </c>
      <c r="E31427" s="5">
        <v>105.2</v>
      </c>
      <c r="F31427" s="5">
        <v>209.7</v>
      </c>
      <c r="G31427" s="5">
        <v>104.7</v>
      </c>
      <c r="H31427" s="5">
        <v>104.6</v>
      </c>
      <c r="I31427" s="5">
        <v>0</v>
      </c>
      <c r="J31427" s="5">
        <v>0</v>
      </c>
      <c r="K31427" s="5">
        <v>0</v>
      </c>
    </row>
    <row r="31428" spans="1:11" x14ac:dyDescent="0.25">
      <c r="A31428" s="5">
        <f>31421</f>
      </c>
      <c r="B31428" s="5" t="s">
        <v>31436</v>
      </c>
      <c r="C31428" s="5">
        <v>104.6</v>
      </c>
      <c r="D31428" s="5">
        <v>0.1</v>
      </c>
      <c r="E31428" s="5">
        <v>104.8</v>
      </c>
      <c r="F31428" s="5">
        <v>209.1</v>
      </c>
      <c r="G31428" s="5">
        <v>104.3</v>
      </c>
      <c r="H31428" s="5">
        <v>104.2</v>
      </c>
      <c r="I31428" s="5">
        <v>0</v>
      </c>
      <c r="J31428" s="5">
        <v>0</v>
      </c>
      <c r="K31428" s="5">
        <v>0</v>
      </c>
    </row>
    <row r="31429" spans="1:11" x14ac:dyDescent="0.25">
      <c r="A31429" s="5">
        <f>31422</f>
      </c>
      <c r="B31429" s="5" t="s">
        <v>31437</v>
      </c>
      <c r="C31429" s="5">
        <v>104.6</v>
      </c>
      <c r="D31429" s="5">
        <v>0.1</v>
      </c>
      <c r="E31429" s="5">
        <v>104.8</v>
      </c>
      <c r="F31429" s="5">
        <v>209.1</v>
      </c>
      <c r="G31429" s="5">
        <v>104.3</v>
      </c>
      <c r="H31429" s="5">
        <v>104.2</v>
      </c>
      <c r="I31429" s="5">
        <v>0</v>
      </c>
      <c r="J31429" s="5">
        <v>0</v>
      </c>
      <c r="K31429" s="5">
        <v>0</v>
      </c>
    </row>
    <row r="31430" spans="1:11" x14ac:dyDescent="0.25">
      <c r="A31430" s="5">
        <f>31423</f>
      </c>
      <c r="B31430" s="5" t="s">
        <v>31438</v>
      </c>
      <c r="C31430" s="5">
        <v>104.6</v>
      </c>
      <c r="D31430" s="5">
        <v>0.1</v>
      </c>
      <c r="E31430" s="5">
        <v>104.8</v>
      </c>
      <c r="F31430" s="5">
        <v>208.9</v>
      </c>
      <c r="G31430" s="5">
        <v>104.3</v>
      </c>
      <c r="H31430" s="5">
        <v>104.2</v>
      </c>
      <c r="I31430" s="5">
        <v>0</v>
      </c>
      <c r="J31430" s="5">
        <v>0</v>
      </c>
      <c r="K31430" s="5">
        <v>0</v>
      </c>
    </row>
    <row r="31431" spans="1:11" x14ac:dyDescent="0.25">
      <c r="A31431" s="5">
        <f>31424</f>
      </c>
      <c r="B31431" s="5" t="s">
        <v>31439</v>
      </c>
      <c r="C31431" s="5">
        <v>104.6</v>
      </c>
      <c r="D31431" s="5">
        <v>0.1</v>
      </c>
      <c r="E31431" s="5">
        <v>104.8</v>
      </c>
      <c r="F31431" s="5">
        <v>208.9</v>
      </c>
      <c r="G31431" s="5">
        <v>104.3</v>
      </c>
      <c r="H31431" s="5">
        <v>104.2</v>
      </c>
      <c r="I31431" s="5">
        <v>0</v>
      </c>
      <c r="J31431" s="5">
        <v>0</v>
      </c>
      <c r="K31431" s="5">
        <v>0</v>
      </c>
    </row>
    <row r="31432" spans="1:11" x14ac:dyDescent="0.25">
      <c r="A31432" s="5">
        <f>31425</f>
      </c>
      <c r="B31432" s="5" t="s">
        <v>31440</v>
      </c>
      <c r="C31432" s="5">
        <v>105.1</v>
      </c>
      <c r="D31432" s="5">
        <v>0.1</v>
      </c>
      <c r="E31432" s="5">
        <v>105.3</v>
      </c>
      <c r="F31432" s="5">
        <v>210</v>
      </c>
      <c r="G31432" s="5">
        <v>104.8</v>
      </c>
      <c r="H31432" s="5">
        <v>104.6</v>
      </c>
      <c r="I31432" s="5">
        <v>0</v>
      </c>
      <c r="J31432" s="5">
        <v>0</v>
      </c>
      <c r="K31432" s="5">
        <v>0</v>
      </c>
    </row>
    <row r="31433" spans="1:11" x14ac:dyDescent="0.25">
      <c r="A31433" s="5">
        <f>31426</f>
      </c>
      <c r="B31433" s="5" t="s">
        <v>31441</v>
      </c>
      <c r="C31433" s="5">
        <v>105.1</v>
      </c>
      <c r="D31433" s="5">
        <v>0.1</v>
      </c>
      <c r="E31433" s="5">
        <v>105.3</v>
      </c>
      <c r="F31433" s="5">
        <v>210</v>
      </c>
      <c r="G31433" s="5">
        <v>104.8</v>
      </c>
      <c r="H31433" s="5">
        <v>104.6</v>
      </c>
      <c r="I31433" s="5">
        <v>0</v>
      </c>
      <c r="J31433" s="5">
        <v>0</v>
      </c>
      <c r="K31433" s="5">
        <v>0</v>
      </c>
    </row>
    <row r="31434" spans="1:11" x14ac:dyDescent="0.25">
      <c r="A31434" s="5">
        <f>31427</f>
      </c>
      <c r="B31434" s="5" t="s">
        <v>31442</v>
      </c>
      <c r="C31434" s="5">
        <v>105.1</v>
      </c>
      <c r="D31434" s="5">
        <v>0.1</v>
      </c>
      <c r="E31434" s="5">
        <v>105.3</v>
      </c>
      <c r="F31434" s="5">
        <v>210</v>
      </c>
      <c r="G31434" s="5">
        <v>104.8</v>
      </c>
      <c r="H31434" s="5">
        <v>104.6</v>
      </c>
      <c r="I31434" s="5">
        <v>0</v>
      </c>
      <c r="J31434" s="5">
        <v>0</v>
      </c>
      <c r="K31434" s="5">
        <v>0</v>
      </c>
    </row>
    <row r="31435" spans="1:11" x14ac:dyDescent="0.25">
      <c r="A31435" s="5">
        <f>31428</f>
      </c>
      <c r="B31435" s="5" t="s">
        <v>31443</v>
      </c>
      <c r="C31435" s="5">
        <v>105.1</v>
      </c>
      <c r="D31435" s="5">
        <v>0.1</v>
      </c>
      <c r="E31435" s="5">
        <v>105.3</v>
      </c>
      <c r="F31435" s="5">
        <v>210</v>
      </c>
      <c r="G31435" s="5">
        <v>104.8</v>
      </c>
      <c r="H31435" s="5">
        <v>104.6</v>
      </c>
      <c r="I31435" s="5">
        <v>0</v>
      </c>
      <c r="J31435" s="5">
        <v>0</v>
      </c>
      <c r="K31435" s="5">
        <v>0</v>
      </c>
    </row>
    <row r="31436" spans="1:11" x14ac:dyDescent="0.25">
      <c r="A31436" s="5">
        <f>31429</f>
      </c>
      <c r="B31436" s="5" t="s">
        <v>31444</v>
      </c>
      <c r="C31436" s="5">
        <v>104.7</v>
      </c>
      <c r="D31436" s="5">
        <v>0.1</v>
      </c>
      <c r="E31436" s="5">
        <v>104.9</v>
      </c>
      <c r="F31436" s="5">
        <v>209.4</v>
      </c>
      <c r="G31436" s="5">
        <v>104.5</v>
      </c>
      <c r="H31436" s="5">
        <v>104.3</v>
      </c>
      <c r="I31436" s="5">
        <v>0</v>
      </c>
      <c r="J31436" s="5">
        <v>0</v>
      </c>
      <c r="K31436" s="5">
        <v>0</v>
      </c>
    </row>
    <row r="31437" spans="1:11" x14ac:dyDescent="0.25">
      <c r="A31437" s="5">
        <f>31430</f>
      </c>
      <c r="B31437" s="5" t="s">
        <v>31445</v>
      </c>
      <c r="C31437" s="5">
        <v>104.7</v>
      </c>
      <c r="D31437" s="5">
        <v>0.1</v>
      </c>
      <c r="E31437" s="5">
        <v>104.9</v>
      </c>
      <c r="F31437" s="5">
        <v>209.4</v>
      </c>
      <c r="G31437" s="5">
        <v>104.5</v>
      </c>
      <c r="H31437" s="5">
        <v>104.3</v>
      </c>
      <c r="I31437" s="5">
        <v>0</v>
      </c>
      <c r="J31437" s="5">
        <v>0</v>
      </c>
      <c r="K31437" s="5">
        <v>0</v>
      </c>
    </row>
    <row r="31438" spans="1:11" x14ac:dyDescent="0.25">
      <c r="A31438" s="5">
        <f>31431</f>
      </c>
      <c r="B31438" s="5" t="s">
        <v>31446</v>
      </c>
      <c r="C31438" s="5">
        <v>104.5</v>
      </c>
      <c r="D31438" s="5">
        <v>0.1</v>
      </c>
      <c r="E31438" s="5">
        <v>104.6</v>
      </c>
      <c r="F31438" s="5">
        <v>208.8</v>
      </c>
      <c r="G31438" s="5">
        <v>104.2</v>
      </c>
      <c r="H31438" s="5">
        <v>104</v>
      </c>
      <c r="I31438" s="5">
        <v>0</v>
      </c>
      <c r="J31438" s="5">
        <v>0</v>
      </c>
      <c r="K31438" s="5">
        <v>0</v>
      </c>
    </row>
    <row r="31439" spans="1:11" x14ac:dyDescent="0.25">
      <c r="A31439" s="5">
        <f>31432</f>
      </c>
      <c r="B31439" s="5" t="s">
        <v>31447</v>
      </c>
      <c r="C31439" s="5">
        <v>104.5</v>
      </c>
      <c r="D31439" s="5">
        <v>0.1</v>
      </c>
      <c r="E31439" s="5">
        <v>104.6</v>
      </c>
      <c r="F31439" s="5">
        <v>208.8</v>
      </c>
      <c r="G31439" s="5">
        <v>104.2</v>
      </c>
      <c r="H31439" s="5">
        <v>104</v>
      </c>
      <c r="I31439" s="5">
        <v>0</v>
      </c>
      <c r="J31439" s="5">
        <v>0</v>
      </c>
      <c r="K31439" s="5">
        <v>0</v>
      </c>
    </row>
    <row r="31440" spans="1:11" x14ac:dyDescent="0.25">
      <c r="A31440" s="5">
        <f>31433</f>
      </c>
      <c r="B31440" s="5" t="s">
        <v>31448</v>
      </c>
      <c r="C31440" s="5">
        <v>104.7</v>
      </c>
      <c r="D31440" s="5">
        <v>0.1</v>
      </c>
      <c r="E31440" s="5">
        <v>104.9</v>
      </c>
      <c r="F31440" s="5">
        <v>210.1</v>
      </c>
      <c r="G31440" s="5">
        <v>104.8</v>
      </c>
      <c r="H31440" s="5">
        <v>104.6</v>
      </c>
      <c r="I31440" s="5">
        <v>0</v>
      </c>
      <c r="J31440" s="5">
        <v>0</v>
      </c>
      <c r="K31440" s="5">
        <v>0</v>
      </c>
    </row>
    <row r="31441" spans="1:11" x14ac:dyDescent="0.25">
      <c r="A31441" s="5">
        <f>31434</f>
      </c>
      <c r="B31441" s="5" t="s">
        <v>31449</v>
      </c>
      <c r="C31441" s="5">
        <v>104.7</v>
      </c>
      <c r="D31441" s="5">
        <v>0.1</v>
      </c>
      <c r="E31441" s="5">
        <v>104.9</v>
      </c>
      <c r="F31441" s="5">
        <v>210.1</v>
      </c>
      <c r="G31441" s="5">
        <v>104.8</v>
      </c>
      <c r="H31441" s="5">
        <v>104.6</v>
      </c>
      <c r="I31441" s="5">
        <v>0</v>
      </c>
      <c r="J31441" s="5">
        <v>0</v>
      </c>
      <c r="K31441" s="5">
        <v>0</v>
      </c>
    </row>
    <row r="31442" spans="1:11" x14ac:dyDescent="0.25">
      <c r="A31442" s="5">
        <f>31435</f>
      </c>
      <c r="B31442" s="5" t="s">
        <v>31450</v>
      </c>
      <c r="C31442" s="5">
        <v>105.6</v>
      </c>
      <c r="D31442" s="5">
        <v>0.1</v>
      </c>
      <c r="E31442" s="5">
        <v>105.7</v>
      </c>
      <c r="F31442" s="5">
        <v>209.6</v>
      </c>
      <c r="G31442" s="5">
        <v>104.6</v>
      </c>
      <c r="H31442" s="5">
        <v>104.5</v>
      </c>
      <c r="I31442" s="5">
        <v>0</v>
      </c>
      <c r="J31442" s="5">
        <v>0</v>
      </c>
      <c r="K31442" s="5">
        <v>0</v>
      </c>
    </row>
    <row r="31443" spans="1:11" x14ac:dyDescent="0.25">
      <c r="A31443" s="5">
        <f>31436</f>
      </c>
      <c r="B31443" s="5" t="s">
        <v>31451</v>
      </c>
      <c r="C31443" s="5">
        <v>105.6</v>
      </c>
      <c r="D31443" s="5">
        <v>0.1</v>
      </c>
      <c r="E31443" s="5">
        <v>105.7</v>
      </c>
      <c r="F31443" s="5">
        <v>209.6</v>
      </c>
      <c r="G31443" s="5">
        <v>104.6</v>
      </c>
      <c r="H31443" s="5">
        <v>104.5</v>
      </c>
      <c r="I31443" s="5">
        <v>0</v>
      </c>
      <c r="J31443" s="5">
        <v>0</v>
      </c>
      <c r="K31443" s="5">
        <v>0</v>
      </c>
    </row>
    <row r="31444" spans="1:11" x14ac:dyDescent="0.25">
      <c r="A31444" s="5">
        <f>31437</f>
      </c>
      <c r="B31444" s="5" t="s">
        <v>31452</v>
      </c>
      <c r="C31444" s="5">
        <v>105.6</v>
      </c>
      <c r="D31444" s="5">
        <v>0.1</v>
      </c>
      <c r="E31444" s="5">
        <v>105.7</v>
      </c>
      <c r="F31444" s="5">
        <v>209.6</v>
      </c>
      <c r="G31444" s="5">
        <v>104.6</v>
      </c>
      <c r="H31444" s="5">
        <v>104.5</v>
      </c>
      <c r="I31444" s="5">
        <v>0</v>
      </c>
      <c r="J31444" s="5">
        <v>0</v>
      </c>
      <c r="K31444" s="5">
        <v>0</v>
      </c>
    </row>
    <row r="31445" spans="1:11" x14ac:dyDescent="0.25">
      <c r="A31445" s="5">
        <f>31438</f>
      </c>
      <c r="B31445" s="5" t="s">
        <v>31453</v>
      </c>
      <c r="C31445" s="5">
        <v>105.6</v>
      </c>
      <c r="D31445" s="5">
        <v>0.1</v>
      </c>
      <c r="E31445" s="5">
        <v>105.7</v>
      </c>
      <c r="F31445" s="5">
        <v>209.6</v>
      </c>
      <c r="G31445" s="5">
        <v>104.6</v>
      </c>
      <c r="H31445" s="5">
        <v>104.5</v>
      </c>
      <c r="I31445" s="5">
        <v>0</v>
      </c>
      <c r="J31445" s="5">
        <v>0</v>
      </c>
      <c r="K31445" s="5">
        <v>0</v>
      </c>
    </row>
    <row r="31446" spans="1:11" x14ac:dyDescent="0.25">
      <c r="A31446" s="5">
        <f>31439</f>
      </c>
      <c r="B31446" s="5" t="s">
        <v>31454</v>
      </c>
      <c r="C31446" s="5">
        <v>105.6</v>
      </c>
      <c r="D31446" s="5">
        <v>0.1</v>
      </c>
      <c r="E31446" s="5">
        <v>105.7</v>
      </c>
      <c r="F31446" s="5">
        <v>210.9</v>
      </c>
      <c r="G31446" s="5">
        <v>105.3</v>
      </c>
      <c r="H31446" s="5">
        <v>105.1</v>
      </c>
      <c r="I31446" s="5">
        <v>0</v>
      </c>
      <c r="J31446" s="5">
        <v>0</v>
      </c>
      <c r="K31446" s="5">
        <v>0</v>
      </c>
    </row>
    <row r="31447" spans="1:11" x14ac:dyDescent="0.25">
      <c r="A31447" s="5">
        <f>31440</f>
      </c>
      <c r="B31447" s="5" t="s">
        <v>31455</v>
      </c>
      <c r="C31447" s="5">
        <v>105.6</v>
      </c>
      <c r="D31447" s="5">
        <v>0.1</v>
      </c>
      <c r="E31447" s="5">
        <v>105.7</v>
      </c>
      <c r="F31447" s="5">
        <v>210.9</v>
      </c>
      <c r="G31447" s="5">
        <v>105.3</v>
      </c>
      <c r="H31447" s="5">
        <v>105.1</v>
      </c>
      <c r="I31447" s="5">
        <v>0</v>
      </c>
      <c r="J31447" s="5">
        <v>0</v>
      </c>
      <c r="K31447" s="5">
        <v>0</v>
      </c>
    </row>
    <row r="31448" spans="1:11" x14ac:dyDescent="0.25">
      <c r="A31448" s="5">
        <f>31441</f>
      </c>
      <c r="B31448" s="5" t="s">
        <v>31456</v>
      </c>
      <c r="C31448" s="5">
        <v>105.1</v>
      </c>
      <c r="D31448" s="5">
        <v>0.1</v>
      </c>
      <c r="E31448" s="5">
        <v>105.3</v>
      </c>
      <c r="F31448" s="5">
        <v>209.6</v>
      </c>
      <c r="G31448" s="5">
        <v>104.5</v>
      </c>
      <c r="H31448" s="5">
        <v>104.3</v>
      </c>
      <c r="I31448" s="5">
        <v>0</v>
      </c>
      <c r="J31448" s="5">
        <v>0</v>
      </c>
      <c r="K31448" s="5">
        <v>0</v>
      </c>
    </row>
    <row r="31449" spans="1:11" x14ac:dyDescent="0.25">
      <c r="A31449" s="5">
        <f>31442</f>
      </c>
      <c r="B31449" s="5" t="s">
        <v>31457</v>
      </c>
      <c r="C31449" s="5">
        <v>105.1</v>
      </c>
      <c r="D31449" s="5">
        <v>0.1</v>
      </c>
      <c r="E31449" s="5">
        <v>105.3</v>
      </c>
      <c r="F31449" s="5">
        <v>209.6</v>
      </c>
      <c r="G31449" s="5">
        <v>104.5</v>
      </c>
      <c r="H31449" s="5">
        <v>104.3</v>
      </c>
      <c r="I31449" s="5">
        <v>0</v>
      </c>
      <c r="J31449" s="5">
        <v>0</v>
      </c>
      <c r="K31449" s="5">
        <v>0</v>
      </c>
    </row>
    <row r="31450" spans="1:11" x14ac:dyDescent="0.25">
      <c r="A31450" s="5">
        <f>31443</f>
      </c>
      <c r="B31450" s="5" t="s">
        <v>31458</v>
      </c>
      <c r="C31450" s="5">
        <v>105.2</v>
      </c>
      <c r="D31450" s="5">
        <v>0.1</v>
      </c>
      <c r="E31450" s="5">
        <v>105.3</v>
      </c>
      <c r="F31450" s="5">
        <v>210.2</v>
      </c>
      <c r="G31450" s="5">
        <v>104.8</v>
      </c>
      <c r="H31450" s="5">
        <v>104.6</v>
      </c>
      <c r="I31450" s="5">
        <v>0</v>
      </c>
      <c r="J31450" s="5">
        <v>0</v>
      </c>
      <c r="K31450" s="5">
        <v>0</v>
      </c>
    </row>
    <row r="31451" spans="1:11" x14ac:dyDescent="0.25">
      <c r="A31451" s="5">
        <f>31444</f>
      </c>
      <c r="B31451" s="5" t="s">
        <v>31459</v>
      </c>
      <c r="C31451" s="5">
        <v>105.2</v>
      </c>
      <c r="D31451" s="5">
        <v>0.1</v>
      </c>
      <c r="E31451" s="5">
        <v>105.3</v>
      </c>
      <c r="F31451" s="5">
        <v>210.2</v>
      </c>
      <c r="G31451" s="5">
        <v>104.8</v>
      </c>
      <c r="H31451" s="5">
        <v>104.6</v>
      </c>
      <c r="I31451" s="5">
        <v>0</v>
      </c>
      <c r="J31451" s="5">
        <v>0</v>
      </c>
      <c r="K31451" s="5">
        <v>0</v>
      </c>
    </row>
    <row r="31452" spans="1:11" x14ac:dyDescent="0.25">
      <c r="A31452" s="5">
        <f>31445</f>
      </c>
      <c r="B31452" s="5" t="s">
        <v>31460</v>
      </c>
      <c r="C31452" s="5">
        <v>105</v>
      </c>
      <c r="D31452" s="5">
        <v>0.1</v>
      </c>
      <c r="E31452" s="5">
        <v>105.2</v>
      </c>
      <c r="F31452" s="5">
        <v>210.2</v>
      </c>
      <c r="G31452" s="5">
        <v>104.8</v>
      </c>
      <c r="H31452" s="5">
        <v>104.7</v>
      </c>
      <c r="I31452" s="5">
        <v>0</v>
      </c>
      <c r="J31452" s="5">
        <v>0</v>
      </c>
      <c r="K31452" s="5">
        <v>0</v>
      </c>
    </row>
    <row r="31453" spans="1:11" x14ac:dyDescent="0.25">
      <c r="A31453" s="5">
        <f>31446</f>
      </c>
      <c r="B31453" s="5" t="s">
        <v>31461</v>
      </c>
      <c r="C31453" s="5">
        <v>105</v>
      </c>
      <c r="D31453" s="5">
        <v>0.1</v>
      </c>
      <c r="E31453" s="5">
        <v>105.2</v>
      </c>
      <c r="F31453" s="5">
        <v>210.2</v>
      </c>
      <c r="G31453" s="5">
        <v>104.8</v>
      </c>
      <c r="H31453" s="5">
        <v>104.7</v>
      </c>
      <c r="I31453" s="5">
        <v>0</v>
      </c>
      <c r="J31453" s="5">
        <v>0</v>
      </c>
      <c r="K31453" s="5">
        <v>0</v>
      </c>
    </row>
    <row r="31454" spans="1:11" x14ac:dyDescent="0.25">
      <c r="A31454" s="5">
        <f>31447</f>
      </c>
      <c r="B31454" s="5" t="s">
        <v>31462</v>
      </c>
      <c r="C31454" s="5">
        <v>105</v>
      </c>
      <c r="D31454" s="5">
        <v>0.1</v>
      </c>
      <c r="E31454" s="5">
        <v>105.2</v>
      </c>
      <c r="F31454" s="5">
        <v>210.2</v>
      </c>
      <c r="G31454" s="5">
        <v>104.8</v>
      </c>
      <c r="H31454" s="5">
        <v>104.7</v>
      </c>
      <c r="I31454" s="5">
        <v>0</v>
      </c>
      <c r="J31454" s="5">
        <v>0</v>
      </c>
      <c r="K31454" s="5">
        <v>0</v>
      </c>
    </row>
    <row r="31455" spans="1:11" x14ac:dyDescent="0.25">
      <c r="A31455" s="5">
        <f>31448</f>
      </c>
      <c r="B31455" s="5" t="s">
        <v>31463</v>
      </c>
      <c r="C31455" s="5">
        <v>105</v>
      </c>
      <c r="D31455" s="5">
        <v>0.1</v>
      </c>
      <c r="E31455" s="5">
        <v>105.2</v>
      </c>
      <c r="F31455" s="5">
        <v>210.2</v>
      </c>
      <c r="G31455" s="5">
        <v>104.8</v>
      </c>
      <c r="H31455" s="5">
        <v>104.7</v>
      </c>
      <c r="I31455" s="5">
        <v>0</v>
      </c>
      <c r="J31455" s="5">
        <v>0</v>
      </c>
      <c r="K31455" s="5">
        <v>0</v>
      </c>
    </row>
    <row r="31456" spans="1:11" x14ac:dyDescent="0.25">
      <c r="A31456" s="5">
        <f>31449</f>
      </c>
      <c r="B31456" s="5" t="s">
        <v>31464</v>
      </c>
      <c r="C31456" s="5">
        <v>104.4</v>
      </c>
      <c r="D31456" s="5">
        <v>0.1</v>
      </c>
      <c r="E31456" s="5">
        <v>104.6</v>
      </c>
      <c r="F31456" s="5">
        <v>209</v>
      </c>
      <c r="G31456" s="5">
        <v>104.2</v>
      </c>
      <c r="H31456" s="5">
        <v>104.1</v>
      </c>
      <c r="I31456" s="5">
        <v>0</v>
      </c>
      <c r="J31456" s="5">
        <v>0</v>
      </c>
      <c r="K31456" s="5">
        <v>0</v>
      </c>
    </row>
    <row r="31457" spans="1:11" x14ac:dyDescent="0.25">
      <c r="A31457" s="5">
        <f>31450</f>
      </c>
      <c r="B31457" s="5" t="s">
        <v>31465</v>
      </c>
      <c r="C31457" s="5">
        <v>104.4</v>
      </c>
      <c r="D31457" s="5">
        <v>0.1</v>
      </c>
      <c r="E31457" s="5">
        <v>104.6</v>
      </c>
      <c r="F31457" s="5">
        <v>209</v>
      </c>
      <c r="G31457" s="5">
        <v>104.2</v>
      </c>
      <c r="H31457" s="5">
        <v>104.1</v>
      </c>
      <c r="I31457" s="5">
        <v>0</v>
      </c>
      <c r="J31457" s="5">
        <v>0</v>
      </c>
      <c r="K31457" s="5">
        <v>0</v>
      </c>
    </row>
    <row r="31458" spans="1:11" x14ac:dyDescent="0.25">
      <c r="A31458" s="5">
        <f>31451</f>
      </c>
      <c r="B31458" s="5" t="s">
        <v>31466</v>
      </c>
      <c r="C31458" s="5">
        <v>105</v>
      </c>
      <c r="D31458" s="5">
        <v>0.1</v>
      </c>
      <c r="E31458" s="5">
        <v>105.2</v>
      </c>
      <c r="F31458" s="5">
        <v>209.9</v>
      </c>
      <c r="G31458" s="5">
        <v>104.7</v>
      </c>
      <c r="H31458" s="5">
        <v>104.6</v>
      </c>
      <c r="I31458" s="5">
        <v>0</v>
      </c>
      <c r="J31458" s="5">
        <v>0</v>
      </c>
      <c r="K31458" s="5">
        <v>0</v>
      </c>
    </row>
    <row r="31459" spans="1:11" x14ac:dyDescent="0.25">
      <c r="A31459" s="5">
        <f>31452</f>
      </c>
      <c r="B31459" s="5" t="s">
        <v>31467</v>
      </c>
      <c r="C31459" s="5">
        <v>105</v>
      </c>
      <c r="D31459" s="5">
        <v>0.1</v>
      </c>
      <c r="E31459" s="5">
        <v>105.2</v>
      </c>
      <c r="F31459" s="5">
        <v>209.9</v>
      </c>
      <c r="G31459" s="5">
        <v>104.7</v>
      </c>
      <c r="H31459" s="5">
        <v>104.6</v>
      </c>
      <c r="I31459" s="5">
        <v>0</v>
      </c>
      <c r="J31459" s="5">
        <v>0</v>
      </c>
      <c r="K31459" s="5">
        <v>0</v>
      </c>
    </row>
    <row r="31460" spans="1:11" x14ac:dyDescent="0.25">
      <c r="A31460" s="5">
        <f>31453</f>
      </c>
      <c r="B31460" s="5" t="s">
        <v>31468</v>
      </c>
      <c r="C31460" s="5">
        <v>105.1</v>
      </c>
      <c r="D31460" s="5">
        <v>0.1</v>
      </c>
      <c r="E31460" s="5">
        <v>105.3</v>
      </c>
      <c r="F31460" s="5">
        <v>210.3</v>
      </c>
      <c r="G31460" s="5">
        <v>104.9</v>
      </c>
      <c r="H31460" s="5">
        <v>104.8</v>
      </c>
      <c r="I31460" s="5">
        <v>0</v>
      </c>
      <c r="J31460" s="5">
        <v>0</v>
      </c>
      <c r="K31460" s="5">
        <v>0</v>
      </c>
    </row>
    <row r="31461" spans="1:11" x14ac:dyDescent="0.25">
      <c r="A31461" s="5">
        <f>31454</f>
      </c>
      <c r="B31461" s="5" t="s">
        <v>31469</v>
      </c>
      <c r="C31461" s="5">
        <v>105.1</v>
      </c>
      <c r="D31461" s="5">
        <v>0.1</v>
      </c>
      <c r="E31461" s="5">
        <v>105.3</v>
      </c>
      <c r="F31461" s="5">
        <v>210.3</v>
      </c>
      <c r="G31461" s="5">
        <v>104.9</v>
      </c>
      <c r="H31461" s="5">
        <v>104.8</v>
      </c>
      <c r="I31461" s="5">
        <v>0</v>
      </c>
      <c r="J31461" s="5">
        <v>0</v>
      </c>
      <c r="K31461" s="5">
        <v>0</v>
      </c>
    </row>
    <row r="31462" spans="1:11" x14ac:dyDescent="0.25">
      <c r="A31462" s="5">
        <f>31455</f>
      </c>
      <c r="B31462" s="5" t="s">
        <v>31470</v>
      </c>
      <c r="C31462" s="5">
        <v>105</v>
      </c>
      <c r="D31462" s="5">
        <v>0.1</v>
      </c>
      <c r="E31462" s="5">
        <v>105.1</v>
      </c>
      <c r="F31462" s="5">
        <v>209.8</v>
      </c>
      <c r="G31462" s="5">
        <v>104.7</v>
      </c>
      <c r="H31462" s="5">
        <v>104.5</v>
      </c>
      <c r="I31462" s="5">
        <v>0</v>
      </c>
      <c r="J31462" s="5">
        <v>0</v>
      </c>
      <c r="K31462" s="5">
        <v>0</v>
      </c>
    </row>
    <row r="31463" spans="1:11" x14ac:dyDescent="0.25">
      <c r="A31463" s="5">
        <f>31456</f>
      </c>
      <c r="B31463" s="5" t="s">
        <v>31471</v>
      </c>
      <c r="C31463" s="5">
        <v>105</v>
      </c>
      <c r="D31463" s="5">
        <v>0.1</v>
      </c>
      <c r="E31463" s="5">
        <v>105.1</v>
      </c>
      <c r="F31463" s="5">
        <v>209.8</v>
      </c>
      <c r="G31463" s="5">
        <v>104.7</v>
      </c>
      <c r="H31463" s="5">
        <v>104.5</v>
      </c>
      <c r="I31463" s="5">
        <v>0</v>
      </c>
      <c r="J31463" s="5">
        <v>0</v>
      </c>
      <c r="K31463" s="5">
        <v>0</v>
      </c>
    </row>
    <row r="31464" spans="1:11" x14ac:dyDescent="0.25">
      <c r="A31464" s="5">
        <f>31457</f>
      </c>
      <c r="B31464" s="5" t="s">
        <v>31472</v>
      </c>
      <c r="C31464" s="5">
        <v>105</v>
      </c>
      <c r="D31464" s="5">
        <v>0.1</v>
      </c>
      <c r="E31464" s="5">
        <v>105.1</v>
      </c>
      <c r="F31464" s="5">
        <v>209.8</v>
      </c>
      <c r="G31464" s="5">
        <v>104.7</v>
      </c>
      <c r="H31464" s="5">
        <v>104.5</v>
      </c>
      <c r="I31464" s="5">
        <v>0</v>
      </c>
      <c r="J31464" s="5">
        <v>0</v>
      </c>
      <c r="K31464" s="5">
        <v>0</v>
      </c>
    </row>
    <row r="31465" spans="1:11" x14ac:dyDescent="0.25">
      <c r="A31465" s="5">
        <f>31458</f>
      </c>
      <c r="B31465" s="5" t="s">
        <v>31473</v>
      </c>
      <c r="C31465" s="5">
        <v>105</v>
      </c>
      <c r="D31465" s="5">
        <v>0.1</v>
      </c>
      <c r="E31465" s="5">
        <v>105.1</v>
      </c>
      <c r="F31465" s="5">
        <v>209.8</v>
      </c>
      <c r="G31465" s="5">
        <v>104.7</v>
      </c>
      <c r="H31465" s="5">
        <v>104.5</v>
      </c>
      <c r="I31465" s="5">
        <v>0</v>
      </c>
      <c r="J31465" s="5">
        <v>0</v>
      </c>
      <c r="K31465" s="5">
        <v>0</v>
      </c>
    </row>
    <row r="31466" spans="1:11" x14ac:dyDescent="0.25">
      <c r="A31466" s="5">
        <f>31459</f>
      </c>
      <c r="B31466" s="5" t="s">
        <v>31474</v>
      </c>
      <c r="C31466" s="5">
        <v>104.5</v>
      </c>
      <c r="D31466" s="5">
        <v>0.1</v>
      </c>
      <c r="E31466" s="5">
        <v>104.6</v>
      </c>
      <c r="F31466" s="5">
        <v>208.7</v>
      </c>
      <c r="G31466" s="5">
        <v>104.1</v>
      </c>
      <c r="H31466" s="5">
        <v>103.9</v>
      </c>
      <c r="I31466" s="5">
        <v>0</v>
      </c>
      <c r="J31466" s="5">
        <v>0</v>
      </c>
      <c r="K31466" s="5">
        <v>0</v>
      </c>
    </row>
    <row r="31467" spans="1:11" x14ac:dyDescent="0.25">
      <c r="A31467" s="5">
        <f>31460</f>
      </c>
      <c r="B31467" s="5" t="s">
        <v>31475</v>
      </c>
      <c r="C31467" s="5">
        <v>104.5</v>
      </c>
      <c r="D31467" s="5">
        <v>0.1</v>
      </c>
      <c r="E31467" s="5">
        <v>104.6</v>
      </c>
      <c r="F31467" s="5">
        <v>208.7</v>
      </c>
      <c r="G31467" s="5">
        <v>104.1</v>
      </c>
      <c r="H31467" s="5">
        <v>103.9</v>
      </c>
      <c r="I31467" s="5">
        <v>0</v>
      </c>
      <c r="J31467" s="5">
        <v>0</v>
      </c>
      <c r="K31467" s="5">
        <v>0</v>
      </c>
    </row>
    <row r="31468" spans="1:11" x14ac:dyDescent="0.25">
      <c r="A31468" s="5">
        <f>31461</f>
      </c>
      <c r="B31468" s="5" t="s">
        <v>31476</v>
      </c>
      <c r="C31468" s="5">
        <v>104.6</v>
      </c>
      <c r="D31468" s="5">
        <v>0.1</v>
      </c>
      <c r="E31468" s="5">
        <v>104.7</v>
      </c>
      <c r="F31468" s="5">
        <v>208.3</v>
      </c>
      <c r="G31468" s="5">
        <v>103.9</v>
      </c>
      <c r="H31468" s="5">
        <v>103.7</v>
      </c>
      <c r="I31468" s="5">
        <v>0</v>
      </c>
      <c r="J31468" s="5">
        <v>0</v>
      </c>
      <c r="K31468" s="5">
        <v>0</v>
      </c>
    </row>
    <row r="31469" spans="1:11" x14ac:dyDescent="0.25">
      <c r="A31469" s="5">
        <f>31462</f>
      </c>
      <c r="B31469" s="5" t="s">
        <v>31477</v>
      </c>
      <c r="C31469" s="5">
        <v>104.6</v>
      </c>
      <c r="D31469" s="5">
        <v>0.1</v>
      </c>
      <c r="E31469" s="5">
        <v>104.7</v>
      </c>
      <c r="F31469" s="5">
        <v>208.3</v>
      </c>
      <c r="G31469" s="5">
        <v>103.9</v>
      </c>
      <c r="H31469" s="5">
        <v>103.7</v>
      </c>
      <c r="I31469" s="5">
        <v>0</v>
      </c>
      <c r="J31469" s="5">
        <v>0</v>
      </c>
      <c r="K31469" s="5">
        <v>0</v>
      </c>
    </row>
    <row r="31470" spans="1:11" x14ac:dyDescent="0.25">
      <c r="A31470" s="5">
        <f>31463</f>
      </c>
      <c r="B31470" s="5" t="s">
        <v>31478</v>
      </c>
      <c r="C31470" s="5">
        <v>104.2</v>
      </c>
      <c r="D31470" s="5">
        <v>0.1</v>
      </c>
      <c r="E31470" s="5">
        <v>104.3</v>
      </c>
      <c r="F31470" s="5">
        <v>208.4</v>
      </c>
      <c r="G31470" s="5">
        <v>103.9</v>
      </c>
      <c r="H31470" s="5">
        <v>103.8</v>
      </c>
      <c r="I31470" s="5">
        <v>0</v>
      </c>
      <c r="J31470" s="5">
        <v>0</v>
      </c>
      <c r="K31470" s="5">
        <v>0</v>
      </c>
    </row>
    <row r="31471" spans="1:11" x14ac:dyDescent="0.25">
      <c r="A31471" s="5">
        <f>31464</f>
      </c>
      <c r="B31471" s="5" t="s">
        <v>31479</v>
      </c>
      <c r="C31471" s="5">
        <v>104.2</v>
      </c>
      <c r="D31471" s="5">
        <v>0.1</v>
      </c>
      <c r="E31471" s="5">
        <v>104.3</v>
      </c>
      <c r="F31471" s="5">
        <v>208.4</v>
      </c>
      <c r="G31471" s="5">
        <v>103.9</v>
      </c>
      <c r="H31471" s="5">
        <v>103.8</v>
      </c>
      <c r="I31471" s="5">
        <v>0</v>
      </c>
      <c r="J31471" s="5">
        <v>0</v>
      </c>
      <c r="K31471" s="5">
        <v>0</v>
      </c>
    </row>
    <row r="31472" spans="1:11" x14ac:dyDescent="0.25">
      <c r="A31472" s="5">
        <f>31465</f>
      </c>
      <c r="B31472" s="5" t="s">
        <v>31480</v>
      </c>
      <c r="C31472" s="5">
        <v>104.8</v>
      </c>
      <c r="D31472" s="5">
        <v>0.1</v>
      </c>
      <c r="E31472" s="5">
        <v>105</v>
      </c>
      <c r="F31472" s="5">
        <v>209.2</v>
      </c>
      <c r="G31472" s="5">
        <v>104.3</v>
      </c>
      <c r="H31472" s="5">
        <v>104.1</v>
      </c>
      <c r="I31472" s="5">
        <v>0</v>
      </c>
      <c r="J31472" s="5">
        <v>0</v>
      </c>
      <c r="K31472" s="5">
        <v>0</v>
      </c>
    </row>
    <row r="31473" spans="1:11" x14ac:dyDescent="0.25">
      <c r="A31473" s="5">
        <f>31466</f>
      </c>
      <c r="B31473" s="5" t="s">
        <v>31481</v>
      </c>
      <c r="C31473" s="5">
        <v>104.8</v>
      </c>
      <c r="D31473" s="5">
        <v>0.1</v>
      </c>
      <c r="E31473" s="5">
        <v>105</v>
      </c>
      <c r="F31473" s="5">
        <v>209.2</v>
      </c>
      <c r="G31473" s="5">
        <v>104.3</v>
      </c>
      <c r="H31473" s="5">
        <v>104.1</v>
      </c>
      <c r="I31473" s="5">
        <v>0</v>
      </c>
      <c r="J31473" s="5">
        <v>0</v>
      </c>
      <c r="K31473" s="5">
        <v>0</v>
      </c>
    </row>
    <row r="31474" spans="1:11" x14ac:dyDescent="0.25">
      <c r="A31474" s="5">
        <f>31467</f>
      </c>
      <c r="B31474" s="5" t="s">
        <v>31482</v>
      </c>
      <c r="C31474" s="5">
        <v>104.8</v>
      </c>
      <c r="D31474" s="5">
        <v>0.1</v>
      </c>
      <c r="E31474" s="5">
        <v>105</v>
      </c>
      <c r="F31474" s="5">
        <v>209.2</v>
      </c>
      <c r="G31474" s="5">
        <v>104.3</v>
      </c>
      <c r="H31474" s="5">
        <v>104.1</v>
      </c>
      <c r="I31474" s="5">
        <v>0</v>
      </c>
      <c r="J31474" s="5">
        <v>0</v>
      </c>
      <c r="K31474" s="5">
        <v>0</v>
      </c>
    </row>
    <row r="31475" spans="1:11" x14ac:dyDescent="0.25">
      <c r="A31475" s="5">
        <f>31468</f>
      </c>
      <c r="B31475" s="5" t="s">
        <v>31483</v>
      </c>
      <c r="C31475" s="5">
        <v>104.8</v>
      </c>
      <c r="D31475" s="5">
        <v>0.1</v>
      </c>
      <c r="E31475" s="5">
        <v>105.3</v>
      </c>
      <c r="F31475" s="5">
        <v>210</v>
      </c>
      <c r="G31475" s="5">
        <v>104.8</v>
      </c>
      <c r="H31475" s="5">
        <v>104.6</v>
      </c>
      <c r="I31475" s="5">
        <v>0</v>
      </c>
      <c r="J31475" s="5">
        <v>0</v>
      </c>
      <c r="K31475" s="5">
        <v>0</v>
      </c>
    </row>
    <row r="31476" spans="1:11" x14ac:dyDescent="0.25">
      <c r="A31476" s="5">
        <f>31469</f>
      </c>
      <c r="B31476" s="5" t="s">
        <v>31484</v>
      </c>
      <c r="C31476" s="5">
        <v>105.1</v>
      </c>
      <c r="D31476" s="5">
        <v>0.1</v>
      </c>
      <c r="E31476" s="5">
        <v>105.3</v>
      </c>
      <c r="F31476" s="5">
        <v>210</v>
      </c>
      <c r="G31476" s="5">
        <v>104.8</v>
      </c>
      <c r="H31476" s="5">
        <v>104.6</v>
      </c>
      <c r="I31476" s="5">
        <v>0</v>
      </c>
      <c r="J31476" s="5">
        <v>0</v>
      </c>
      <c r="K31476" s="5">
        <v>0</v>
      </c>
    </row>
    <row r="31477" spans="1:11" x14ac:dyDescent="0.25">
      <c r="A31477" s="5">
        <f>31470</f>
      </c>
      <c r="B31477" s="5" t="s">
        <v>31485</v>
      </c>
      <c r="C31477" s="5">
        <v>105.1</v>
      </c>
      <c r="D31477" s="5">
        <v>0.1</v>
      </c>
      <c r="E31477" s="5">
        <v>105.3</v>
      </c>
      <c r="F31477" s="5">
        <v>208.3</v>
      </c>
      <c r="G31477" s="5">
        <v>103.9</v>
      </c>
      <c r="H31477" s="5">
        <v>103.8</v>
      </c>
      <c r="I31477" s="5">
        <v>0</v>
      </c>
      <c r="J31477" s="5">
        <v>0</v>
      </c>
      <c r="K31477" s="5">
        <v>0</v>
      </c>
    </row>
    <row r="31478" spans="1:11" x14ac:dyDescent="0.25">
      <c r="A31478" s="5">
        <f>31471</f>
      </c>
      <c r="B31478" s="5" t="s">
        <v>31486</v>
      </c>
      <c r="C31478" s="5">
        <v>104.1</v>
      </c>
      <c r="D31478" s="5">
        <v>0.1</v>
      </c>
      <c r="E31478" s="5">
        <v>104.3</v>
      </c>
      <c r="F31478" s="5">
        <v>208.3</v>
      </c>
      <c r="G31478" s="5">
        <v>103.9</v>
      </c>
      <c r="H31478" s="5">
        <v>103.8</v>
      </c>
      <c r="I31478" s="5">
        <v>0</v>
      </c>
      <c r="J31478" s="5">
        <v>0</v>
      </c>
      <c r="K31478" s="5">
        <v>0</v>
      </c>
    </row>
    <row r="31479" spans="1:11" x14ac:dyDescent="0.25">
      <c r="A31479" s="5">
        <f>31472</f>
      </c>
      <c r="B31479" s="5" t="s">
        <v>31487</v>
      </c>
      <c r="C31479" s="5">
        <v>104.1</v>
      </c>
      <c r="D31479" s="5">
        <v>0.1</v>
      </c>
      <c r="E31479" s="5">
        <v>104.3</v>
      </c>
      <c r="F31479" s="5">
        <v>209.5</v>
      </c>
      <c r="G31479" s="5">
        <v>103.9</v>
      </c>
      <c r="H31479" s="5">
        <v>103.8</v>
      </c>
      <c r="I31479" s="5">
        <v>0</v>
      </c>
      <c r="J31479" s="5">
        <v>0</v>
      </c>
      <c r="K31479" s="5">
        <v>0</v>
      </c>
    </row>
    <row r="31480" spans="1:11" x14ac:dyDescent="0.25">
      <c r="A31480" s="5">
        <f>31473</f>
      </c>
      <c r="B31480" s="5" t="s">
        <v>31488</v>
      </c>
      <c r="C31480" s="5">
        <v>105</v>
      </c>
      <c r="D31480" s="5">
        <v>0.1</v>
      </c>
      <c r="E31480" s="5">
        <v>105.1</v>
      </c>
      <c r="F31480" s="5">
        <v>209.5</v>
      </c>
      <c r="G31480" s="5">
        <v>104.6</v>
      </c>
      <c r="H31480" s="5">
        <v>104.4</v>
      </c>
      <c r="I31480" s="5">
        <v>0</v>
      </c>
      <c r="J31480" s="5">
        <v>0</v>
      </c>
      <c r="K31480" s="5">
        <v>0</v>
      </c>
    </row>
    <row r="31481" spans="1:11" x14ac:dyDescent="0.25">
      <c r="A31481" s="5">
        <f>31474</f>
      </c>
      <c r="B31481" s="5" t="s">
        <v>31489</v>
      </c>
      <c r="C31481" s="5">
        <v>105</v>
      </c>
      <c r="D31481" s="5">
        <v>0.1</v>
      </c>
      <c r="E31481" s="5">
        <v>105.1</v>
      </c>
      <c r="F31481" s="5">
        <v>209.5</v>
      </c>
      <c r="G31481" s="5">
        <v>104.6</v>
      </c>
      <c r="H31481" s="5">
        <v>104.4</v>
      </c>
      <c r="I31481" s="5">
        <v>0</v>
      </c>
      <c r="J31481" s="5">
        <v>0</v>
      </c>
      <c r="K31481" s="5">
        <v>0</v>
      </c>
    </row>
    <row r="31482" spans="1:11" x14ac:dyDescent="0.25">
      <c r="A31482" s="5">
        <f>31475</f>
      </c>
      <c r="B31482" s="5" t="s">
        <v>31490</v>
      </c>
      <c r="C31482" s="5">
        <v>104.6</v>
      </c>
      <c r="D31482" s="5">
        <v>0.1</v>
      </c>
      <c r="E31482" s="5">
        <v>104.7</v>
      </c>
      <c r="F31482" s="5">
        <v>208.9</v>
      </c>
      <c r="G31482" s="5">
        <v>104.2</v>
      </c>
      <c r="H31482" s="5">
        <v>104.1</v>
      </c>
      <c r="I31482" s="5">
        <v>0</v>
      </c>
      <c r="J31482" s="5">
        <v>0</v>
      </c>
      <c r="K31482" s="5">
        <v>0</v>
      </c>
    </row>
    <row r="31483" spans="1:11" x14ac:dyDescent="0.25">
      <c r="A31483" s="5">
        <f>31476</f>
      </c>
      <c r="B31483" s="5" t="s">
        <v>31491</v>
      </c>
      <c r="C31483" s="5">
        <v>104.6</v>
      </c>
      <c r="D31483" s="5">
        <v>0.1</v>
      </c>
      <c r="E31483" s="5">
        <v>104.7</v>
      </c>
      <c r="F31483" s="5">
        <v>208.9</v>
      </c>
      <c r="G31483" s="5">
        <v>104.2</v>
      </c>
      <c r="H31483" s="5">
        <v>104.1</v>
      </c>
      <c r="I31483" s="5">
        <v>0</v>
      </c>
      <c r="J31483" s="5">
        <v>0</v>
      </c>
      <c r="K31483" s="5">
        <v>0</v>
      </c>
    </row>
    <row r="31484" spans="1:11" x14ac:dyDescent="0.25">
      <c r="A31484" s="5">
        <f>31477</f>
      </c>
      <c r="B31484" s="5" t="s">
        <v>31492</v>
      </c>
      <c r="C31484" s="5">
        <v>104.6</v>
      </c>
      <c r="D31484" s="5">
        <v>0.1</v>
      </c>
      <c r="E31484" s="5">
        <v>104.7</v>
      </c>
      <c r="F31484" s="5">
        <v>208.9</v>
      </c>
      <c r="G31484" s="5">
        <v>104.2</v>
      </c>
      <c r="H31484" s="5">
        <v>104.1</v>
      </c>
      <c r="I31484" s="5">
        <v>0</v>
      </c>
      <c r="J31484" s="5">
        <v>0</v>
      </c>
      <c r="K31484" s="5">
        <v>0</v>
      </c>
    </row>
    <row r="31485" spans="1:11" x14ac:dyDescent="0.25">
      <c r="A31485" s="5">
        <f>31478</f>
      </c>
      <c r="B31485" s="5" t="s">
        <v>31493</v>
      </c>
      <c r="C31485" s="5">
        <v>104.7</v>
      </c>
      <c r="D31485" s="5">
        <v>0.1</v>
      </c>
      <c r="E31485" s="5">
        <v>104.7</v>
      </c>
      <c r="F31485" s="5">
        <v>208.9</v>
      </c>
      <c r="G31485" s="5">
        <v>104.2</v>
      </c>
      <c r="H31485" s="5">
        <v>104.1</v>
      </c>
      <c r="I31485" s="5">
        <v>0</v>
      </c>
      <c r="J31485" s="5">
        <v>0</v>
      </c>
      <c r="K31485" s="5">
        <v>0</v>
      </c>
    </row>
    <row r="31486" spans="1:11" x14ac:dyDescent="0.25">
      <c r="A31486" s="5">
        <f>31479</f>
      </c>
      <c r="B31486" s="5" t="s">
        <v>31494</v>
      </c>
      <c r="C31486" s="5">
        <v>104.7</v>
      </c>
      <c r="D31486" s="5">
        <v>0.1</v>
      </c>
      <c r="E31486" s="5">
        <v>104.9</v>
      </c>
      <c r="F31486" s="5">
        <v>209</v>
      </c>
      <c r="G31486" s="5">
        <v>104.3</v>
      </c>
      <c r="H31486" s="5">
        <v>104.1</v>
      </c>
      <c r="I31486" s="5">
        <v>0</v>
      </c>
      <c r="J31486" s="5">
        <v>0</v>
      </c>
      <c r="K31486" s="5">
        <v>0</v>
      </c>
    </row>
    <row r="31487" spans="1:11" x14ac:dyDescent="0.25">
      <c r="A31487" s="5">
        <f>31480</f>
      </c>
      <c r="B31487" s="5" t="s">
        <v>31495</v>
      </c>
      <c r="C31487" s="5">
        <v>104.7</v>
      </c>
      <c r="D31487" s="5">
        <v>0.1</v>
      </c>
      <c r="E31487" s="5">
        <v>104.9</v>
      </c>
      <c r="F31487" s="5">
        <v>209</v>
      </c>
      <c r="G31487" s="5">
        <v>104.3</v>
      </c>
      <c r="H31487" s="5">
        <v>104.1</v>
      </c>
      <c r="I31487" s="5">
        <v>0</v>
      </c>
      <c r="J31487" s="5">
        <v>0</v>
      </c>
      <c r="K31487" s="5">
        <v>0</v>
      </c>
    </row>
    <row r="31488" spans="1:11" x14ac:dyDescent="0.25">
      <c r="A31488" s="5">
        <f>31481</f>
      </c>
      <c r="B31488" s="5" t="s">
        <v>31496</v>
      </c>
      <c r="C31488" s="5">
        <v>105</v>
      </c>
      <c r="D31488" s="5">
        <v>0.1</v>
      </c>
      <c r="E31488" s="5">
        <v>105.1</v>
      </c>
      <c r="F31488" s="5">
        <v>209.7</v>
      </c>
      <c r="G31488" s="5">
        <v>104.6</v>
      </c>
      <c r="H31488" s="5">
        <v>104.5</v>
      </c>
      <c r="I31488" s="5">
        <v>0</v>
      </c>
      <c r="J31488" s="5">
        <v>0</v>
      </c>
      <c r="K31488" s="5">
        <v>0</v>
      </c>
    </row>
    <row r="31489" spans="1:11" x14ac:dyDescent="0.25">
      <c r="A31489" s="5">
        <f>31482</f>
      </c>
      <c r="B31489" s="5" t="s">
        <v>31497</v>
      </c>
      <c r="C31489" s="5">
        <v>105</v>
      </c>
      <c r="D31489" s="5">
        <v>0.1</v>
      </c>
      <c r="E31489" s="5">
        <v>105.1</v>
      </c>
      <c r="F31489" s="5">
        <v>209.7</v>
      </c>
      <c r="G31489" s="5">
        <v>104.6</v>
      </c>
      <c r="H31489" s="5">
        <v>104.5</v>
      </c>
      <c r="I31489" s="5">
        <v>0</v>
      </c>
      <c r="J31489" s="5">
        <v>0</v>
      </c>
      <c r="K31489" s="5">
        <v>0</v>
      </c>
    </row>
    <row r="31490" spans="1:11" x14ac:dyDescent="0.25">
      <c r="A31490" s="5">
        <f>31483</f>
      </c>
      <c r="B31490" s="5" t="s">
        <v>31498</v>
      </c>
      <c r="C31490" s="5">
        <v>104.6</v>
      </c>
      <c r="D31490" s="5">
        <v>0.1</v>
      </c>
      <c r="E31490" s="5">
        <v>104.7</v>
      </c>
      <c r="F31490" s="5">
        <v>208.5</v>
      </c>
      <c r="G31490" s="5">
        <v>104</v>
      </c>
      <c r="H31490" s="5">
        <v>103.8</v>
      </c>
      <c r="I31490" s="5">
        <v>0</v>
      </c>
      <c r="J31490" s="5">
        <v>0</v>
      </c>
      <c r="K31490" s="5">
        <v>0</v>
      </c>
    </row>
    <row r="31491" spans="1:11" x14ac:dyDescent="0.25">
      <c r="A31491" s="5">
        <f>31484</f>
      </c>
      <c r="B31491" s="5" t="s">
        <v>31499</v>
      </c>
      <c r="C31491" s="5">
        <v>104.6</v>
      </c>
      <c r="D31491" s="5">
        <v>0.1</v>
      </c>
      <c r="E31491" s="5">
        <v>104.7</v>
      </c>
      <c r="F31491" s="5">
        <v>208.5</v>
      </c>
      <c r="G31491" s="5">
        <v>104</v>
      </c>
      <c r="H31491" s="5">
        <v>103.8</v>
      </c>
      <c r="I31491" s="5">
        <v>0</v>
      </c>
      <c r="J31491" s="5">
        <v>0</v>
      </c>
      <c r="K31491" s="5">
        <v>0</v>
      </c>
    </row>
    <row r="31492" spans="1:11" x14ac:dyDescent="0.25">
      <c r="A31492" s="5">
        <f>31485</f>
      </c>
      <c r="B31492" s="5" t="s">
        <v>31500</v>
      </c>
      <c r="C31492" s="5">
        <v>104.9</v>
      </c>
      <c r="D31492" s="5">
        <v>0.1</v>
      </c>
      <c r="E31492" s="5">
        <v>105</v>
      </c>
      <c r="F31492" s="5">
        <v>209.9</v>
      </c>
      <c r="G31492" s="5">
        <v>104.5</v>
      </c>
      <c r="H31492" s="5">
        <v>104.4</v>
      </c>
      <c r="I31492" s="5">
        <v>0</v>
      </c>
      <c r="J31492" s="5">
        <v>0</v>
      </c>
      <c r="K31492" s="5">
        <v>0</v>
      </c>
    </row>
    <row r="31493" spans="1:11" x14ac:dyDescent="0.25">
      <c r="A31493" s="5">
        <f>31486</f>
      </c>
      <c r="B31493" s="5" t="s">
        <v>31501</v>
      </c>
      <c r="C31493" s="5">
        <v>104.9</v>
      </c>
      <c r="D31493" s="5">
        <v>0.1</v>
      </c>
      <c r="E31493" s="5">
        <v>105</v>
      </c>
      <c r="F31493" s="5">
        <v>209.9</v>
      </c>
      <c r="G31493" s="5">
        <v>104.5</v>
      </c>
      <c r="H31493" s="5">
        <v>104.4</v>
      </c>
      <c r="I31493" s="5">
        <v>0</v>
      </c>
      <c r="J31493" s="5">
        <v>0</v>
      </c>
      <c r="K31493" s="5">
        <v>0</v>
      </c>
    </row>
    <row r="31494" spans="1:11" x14ac:dyDescent="0.25">
      <c r="A31494" s="5">
        <f>31487</f>
      </c>
      <c r="B31494" s="5" t="s">
        <v>31502</v>
      </c>
      <c r="C31494" s="5">
        <v>104.9</v>
      </c>
      <c r="D31494" s="5">
        <v>0.1</v>
      </c>
      <c r="E31494" s="5">
        <v>105</v>
      </c>
      <c r="F31494" s="5">
        <v>209.9</v>
      </c>
      <c r="G31494" s="5">
        <v>104.5</v>
      </c>
      <c r="H31494" s="5">
        <v>104.4</v>
      </c>
      <c r="I31494" s="5">
        <v>0</v>
      </c>
      <c r="J31494" s="5">
        <v>0</v>
      </c>
      <c r="K31494" s="5">
        <v>0</v>
      </c>
    </row>
    <row r="31495" spans="1:11" x14ac:dyDescent="0.25">
      <c r="A31495" s="5">
        <f>31488</f>
      </c>
      <c r="B31495" s="5" t="s">
        <v>31503</v>
      </c>
      <c r="C31495" s="5">
        <v>104.9</v>
      </c>
      <c r="D31495" s="5">
        <v>0.1</v>
      </c>
      <c r="E31495" s="5">
        <v>105</v>
      </c>
      <c r="F31495" s="5">
        <v>209.9</v>
      </c>
      <c r="G31495" s="5">
        <v>104.5</v>
      </c>
      <c r="H31495" s="5">
        <v>104.4</v>
      </c>
      <c r="I31495" s="5">
        <v>0</v>
      </c>
      <c r="J31495" s="5">
        <v>0</v>
      </c>
      <c r="K31495" s="5">
        <v>0</v>
      </c>
    </row>
    <row r="31496" spans="1:11" x14ac:dyDescent="0.25">
      <c r="A31496" s="5">
        <f>31489</f>
      </c>
      <c r="B31496" s="5" t="s">
        <v>31504</v>
      </c>
      <c r="C31496" s="5">
        <v>104.7</v>
      </c>
      <c r="D31496" s="5">
        <v>0.1</v>
      </c>
      <c r="E31496" s="5">
        <v>104.9</v>
      </c>
      <c r="F31496" s="5">
        <v>209.4</v>
      </c>
      <c r="G31496" s="5">
        <v>104.5</v>
      </c>
      <c r="H31496" s="5">
        <v>104.3</v>
      </c>
      <c r="I31496" s="5">
        <v>0</v>
      </c>
      <c r="J31496" s="5">
        <v>0</v>
      </c>
      <c r="K31496" s="5">
        <v>0</v>
      </c>
    </row>
    <row r="31497" spans="1:11" x14ac:dyDescent="0.25">
      <c r="A31497" s="5">
        <f>31490</f>
      </c>
      <c r="B31497" s="5" t="s">
        <v>31505</v>
      </c>
      <c r="C31497" s="5">
        <v>104.7</v>
      </c>
      <c r="D31497" s="5">
        <v>0.1</v>
      </c>
      <c r="E31497" s="5">
        <v>104.9</v>
      </c>
      <c r="F31497" s="5">
        <v>209.4</v>
      </c>
      <c r="G31497" s="5">
        <v>104.5</v>
      </c>
      <c r="H31497" s="5">
        <v>104.3</v>
      </c>
      <c r="I31497" s="5">
        <v>0</v>
      </c>
      <c r="J31497" s="5">
        <v>0</v>
      </c>
      <c r="K31497" s="5">
        <v>0</v>
      </c>
    </row>
    <row r="31498" spans="1:11" x14ac:dyDescent="0.25">
      <c r="A31498" s="5">
        <f>31491</f>
      </c>
      <c r="B31498" s="5" t="s">
        <v>31506</v>
      </c>
      <c r="C31498" s="5">
        <v>104.4</v>
      </c>
      <c r="D31498" s="5">
        <v>0.1</v>
      </c>
      <c r="E31498" s="5">
        <v>104.6</v>
      </c>
      <c r="F31498" s="5">
        <v>208.6</v>
      </c>
      <c r="G31498" s="5">
        <v>104.1</v>
      </c>
      <c r="H31498" s="5">
        <v>103.9</v>
      </c>
      <c r="I31498" s="5">
        <v>0</v>
      </c>
      <c r="J31498" s="5">
        <v>0</v>
      </c>
      <c r="K31498" s="5">
        <v>0</v>
      </c>
    </row>
    <row r="31499" spans="1:11" x14ac:dyDescent="0.25">
      <c r="A31499" s="5">
        <f>31492</f>
      </c>
      <c r="B31499" s="5" t="s">
        <v>31507</v>
      </c>
      <c r="C31499" s="5">
        <v>104.4</v>
      </c>
      <c r="D31499" s="5">
        <v>0.1</v>
      </c>
      <c r="E31499" s="5">
        <v>104.6</v>
      </c>
      <c r="F31499" s="5">
        <v>208.6</v>
      </c>
      <c r="G31499" s="5">
        <v>104.1</v>
      </c>
      <c r="H31499" s="5">
        <v>103.9</v>
      </c>
      <c r="I31499" s="5">
        <v>0</v>
      </c>
      <c r="J31499" s="5">
        <v>0</v>
      </c>
      <c r="K31499" s="5">
        <v>0</v>
      </c>
    </row>
    <row r="31500" spans="1:11" x14ac:dyDescent="0.25">
      <c r="A31500" s="5">
        <f>31493</f>
      </c>
      <c r="B31500" s="5" t="s">
        <v>31508</v>
      </c>
      <c r="C31500" s="5">
        <v>105.7</v>
      </c>
      <c r="D31500" s="5">
        <v>0.1</v>
      </c>
      <c r="E31500" s="5">
        <v>105.9</v>
      </c>
      <c r="F31500" s="5">
        <v>210.3</v>
      </c>
      <c r="G31500" s="5">
        <v>104.9</v>
      </c>
      <c r="H31500" s="5">
        <v>104.9</v>
      </c>
      <c r="I31500" s="5">
        <v>0</v>
      </c>
      <c r="J31500" s="5">
        <v>0</v>
      </c>
      <c r="K31500" s="5">
        <v>0</v>
      </c>
    </row>
    <row r="31501" spans="1:11" x14ac:dyDescent="0.25">
      <c r="A31501" s="5">
        <f>31494</f>
      </c>
      <c r="B31501" s="5" t="s">
        <v>31509</v>
      </c>
      <c r="C31501" s="5">
        <v>105.7</v>
      </c>
      <c r="D31501" s="5">
        <v>0.1</v>
      </c>
      <c r="E31501" s="5">
        <v>105.9</v>
      </c>
      <c r="F31501" s="5">
        <v>210.3</v>
      </c>
      <c r="G31501" s="5">
        <v>104.9</v>
      </c>
      <c r="H31501" s="5">
        <v>104.9</v>
      </c>
      <c r="I31501" s="5">
        <v>0</v>
      </c>
      <c r="J31501" s="5">
        <v>0</v>
      </c>
      <c r="K31501" s="5">
        <v>0</v>
      </c>
    </row>
    <row r="31502" spans="1:11" x14ac:dyDescent="0.25">
      <c r="A31502" s="5">
        <f>31495</f>
      </c>
      <c r="B31502" s="5" t="s">
        <v>31510</v>
      </c>
      <c r="C31502" s="5">
        <v>104.2</v>
      </c>
      <c r="D31502" s="5">
        <v>0.1</v>
      </c>
      <c r="E31502" s="5">
        <v>104.3</v>
      </c>
      <c r="F31502" s="5">
        <v>208.4</v>
      </c>
      <c r="G31502" s="5">
        <v>104</v>
      </c>
      <c r="H31502" s="5">
        <v>104.1</v>
      </c>
      <c r="I31502" s="5">
        <v>0</v>
      </c>
      <c r="J31502" s="5">
        <v>0</v>
      </c>
      <c r="K31502" s="5">
        <v>0</v>
      </c>
    </row>
    <row r="31503" spans="1:11" x14ac:dyDescent="0.25">
      <c r="A31503" s="5">
        <f>31496</f>
      </c>
      <c r="B31503" s="5" t="s">
        <v>31511</v>
      </c>
      <c r="C31503" s="5">
        <v>104.2</v>
      </c>
      <c r="D31503" s="5">
        <v>0.1</v>
      </c>
      <c r="E31503" s="5">
        <v>104.3</v>
      </c>
      <c r="F31503" s="5">
        <v>208.4</v>
      </c>
      <c r="G31503" s="5">
        <v>104</v>
      </c>
      <c r="H31503" s="5">
        <v>104.1</v>
      </c>
      <c r="I31503" s="5">
        <v>0</v>
      </c>
      <c r="J31503" s="5">
        <v>0</v>
      </c>
      <c r="K31503" s="5">
        <v>0</v>
      </c>
    </row>
    <row r="31504" spans="1:11" x14ac:dyDescent="0.25">
      <c r="A31504" s="5">
        <f>31497</f>
      </c>
      <c r="B31504" s="5" t="s">
        <v>31512</v>
      </c>
      <c r="C31504" s="5">
        <v>104.2</v>
      </c>
      <c r="D31504" s="5">
        <v>0.1</v>
      </c>
      <c r="E31504" s="5">
        <v>104.3</v>
      </c>
      <c r="F31504" s="5">
        <v>208.4</v>
      </c>
      <c r="G31504" s="5">
        <v>104</v>
      </c>
      <c r="H31504" s="5">
        <v>104.1</v>
      </c>
      <c r="I31504" s="5">
        <v>0</v>
      </c>
      <c r="J31504" s="5">
        <v>0</v>
      </c>
      <c r="K31504" s="5">
        <v>0</v>
      </c>
    </row>
    <row r="31505" spans="1:11" x14ac:dyDescent="0.25">
      <c r="A31505" s="5">
        <f>31498</f>
      </c>
      <c r="B31505" s="5" t="s">
        <v>31513</v>
      </c>
      <c r="C31505" s="5">
        <v>104.2</v>
      </c>
      <c r="D31505" s="5">
        <v>0.1</v>
      </c>
      <c r="E31505" s="5">
        <v>104.3</v>
      </c>
      <c r="F31505" s="5">
        <v>208.4</v>
      </c>
      <c r="G31505" s="5">
        <v>104</v>
      </c>
      <c r="H31505" s="5">
        <v>104.1</v>
      </c>
      <c r="I31505" s="5">
        <v>0</v>
      </c>
      <c r="J31505" s="5">
        <v>0</v>
      </c>
      <c r="K31505" s="5">
        <v>0</v>
      </c>
    </row>
    <row r="31506" spans="1:11" x14ac:dyDescent="0.25">
      <c r="A31506" s="5">
        <f>31499</f>
      </c>
      <c r="B31506" s="5" t="s">
        <v>31514</v>
      </c>
      <c r="C31506" s="5">
        <v>104.8</v>
      </c>
      <c r="D31506" s="5">
        <v>0.1</v>
      </c>
      <c r="E31506" s="5">
        <v>105</v>
      </c>
      <c r="F31506" s="5">
        <v>209.2</v>
      </c>
      <c r="G31506" s="5">
        <v>104.3</v>
      </c>
      <c r="H31506" s="5">
        <v>104.2</v>
      </c>
      <c r="I31506" s="5">
        <v>0</v>
      </c>
      <c r="J31506" s="5">
        <v>0</v>
      </c>
      <c r="K31506" s="5">
        <v>0</v>
      </c>
    </row>
    <row r="31507" spans="1:11" x14ac:dyDescent="0.25">
      <c r="A31507" s="5">
        <f>31500</f>
      </c>
      <c r="B31507" s="5" t="s">
        <v>31515</v>
      </c>
      <c r="C31507" s="5">
        <v>104.8</v>
      </c>
      <c r="D31507" s="5">
        <v>0.1</v>
      </c>
      <c r="E31507" s="5">
        <v>105</v>
      </c>
      <c r="F31507" s="5">
        <v>209.2</v>
      </c>
      <c r="G31507" s="5">
        <v>104.3</v>
      </c>
      <c r="H31507" s="5">
        <v>104.2</v>
      </c>
      <c r="I31507" s="5">
        <v>0</v>
      </c>
      <c r="J31507" s="5">
        <v>0</v>
      </c>
      <c r="K31507" s="5">
        <v>0</v>
      </c>
    </row>
    <row r="31508" spans="1:11" x14ac:dyDescent="0.25">
      <c r="A31508" s="5">
        <f>31501</f>
      </c>
      <c r="B31508" s="5" t="s">
        <v>31516</v>
      </c>
      <c r="C31508" s="5">
        <v>104.6</v>
      </c>
      <c r="D31508" s="5">
        <v>0.1</v>
      </c>
      <c r="E31508" s="5">
        <v>104.8</v>
      </c>
      <c r="F31508" s="5">
        <v>209.2</v>
      </c>
      <c r="G31508" s="5">
        <v>104.4</v>
      </c>
      <c r="H31508" s="5">
        <v>104.2</v>
      </c>
      <c r="I31508" s="5">
        <v>0</v>
      </c>
      <c r="J31508" s="5">
        <v>0</v>
      </c>
      <c r="K31508" s="5">
        <v>0</v>
      </c>
    </row>
    <row r="31509" spans="1:11" x14ac:dyDescent="0.25">
      <c r="A31509" s="5">
        <f>31502</f>
      </c>
      <c r="B31509" s="5" t="s">
        <v>31517</v>
      </c>
      <c r="C31509" s="5">
        <v>104.6</v>
      </c>
      <c r="D31509" s="5">
        <v>0.1</v>
      </c>
      <c r="E31509" s="5">
        <v>104.8</v>
      </c>
      <c r="F31509" s="5">
        <v>209.2</v>
      </c>
      <c r="G31509" s="5">
        <v>104.4</v>
      </c>
      <c r="H31509" s="5">
        <v>104.2</v>
      </c>
      <c r="I31509" s="5">
        <v>0</v>
      </c>
      <c r="J31509" s="5">
        <v>0</v>
      </c>
      <c r="K31509" s="5">
        <v>0</v>
      </c>
    </row>
    <row r="31510" spans="1:11" x14ac:dyDescent="0.25">
      <c r="A31510" s="5">
        <f>31503</f>
      </c>
      <c r="B31510" s="5" t="s">
        <v>31518</v>
      </c>
      <c r="C31510" s="5">
        <v>104.8</v>
      </c>
      <c r="D31510" s="5">
        <v>0.1</v>
      </c>
      <c r="E31510" s="5">
        <v>105</v>
      </c>
      <c r="F31510" s="5">
        <v>209.3</v>
      </c>
      <c r="G31510" s="5">
        <v>104.4</v>
      </c>
      <c r="H31510" s="5">
        <v>104.3</v>
      </c>
      <c r="I31510" s="5">
        <v>0</v>
      </c>
      <c r="J31510" s="5">
        <v>0</v>
      </c>
      <c r="K31510" s="5">
        <v>0</v>
      </c>
    </row>
    <row r="31511" spans="1:11" x14ac:dyDescent="0.25">
      <c r="A31511" s="5">
        <f>31504</f>
      </c>
      <c r="B31511" s="5" t="s">
        <v>31519</v>
      </c>
      <c r="C31511" s="5">
        <v>104.8</v>
      </c>
      <c r="D31511" s="5">
        <v>0.1</v>
      </c>
      <c r="E31511" s="5">
        <v>105</v>
      </c>
      <c r="F31511" s="5">
        <v>209.3</v>
      </c>
      <c r="G31511" s="5">
        <v>104.4</v>
      </c>
      <c r="H31511" s="5">
        <v>104.3</v>
      </c>
      <c r="I31511" s="5">
        <v>0</v>
      </c>
      <c r="J31511" s="5">
        <v>0</v>
      </c>
      <c r="K31511" s="5">
        <v>0</v>
      </c>
    </row>
    <row r="31512" spans="1:11" x14ac:dyDescent="0.25">
      <c r="A31512" s="5">
        <f>31505</f>
      </c>
      <c r="B31512" s="5" t="s">
        <v>31520</v>
      </c>
      <c r="C31512" s="5">
        <v>104.7</v>
      </c>
      <c r="D31512" s="5">
        <v>0.1</v>
      </c>
      <c r="E31512" s="5">
        <v>104.9</v>
      </c>
      <c r="F31512" s="5">
        <v>209.6</v>
      </c>
      <c r="G31512" s="5">
        <v>104.5</v>
      </c>
      <c r="H31512" s="5">
        <v>104.5</v>
      </c>
      <c r="I31512" s="5">
        <v>0</v>
      </c>
      <c r="J31512" s="5">
        <v>0</v>
      </c>
      <c r="K31512" s="5">
        <v>0</v>
      </c>
    </row>
    <row r="31513" spans="1:11" x14ac:dyDescent="0.25">
      <c r="A31513" s="5">
        <f>31506</f>
      </c>
      <c r="B31513" s="5" t="s">
        <v>31521</v>
      </c>
      <c r="C31513" s="5">
        <v>104.7</v>
      </c>
      <c r="D31513" s="5">
        <v>0.1</v>
      </c>
      <c r="E31513" s="5">
        <v>104.9</v>
      </c>
      <c r="F31513" s="5">
        <v>209.6</v>
      </c>
      <c r="G31513" s="5">
        <v>104.5</v>
      </c>
      <c r="H31513" s="5">
        <v>104.5</v>
      </c>
      <c r="I31513" s="5">
        <v>0</v>
      </c>
      <c r="J31513" s="5">
        <v>0</v>
      </c>
      <c r="K31513" s="5">
        <v>0</v>
      </c>
    </row>
    <row r="31514" spans="1:11" x14ac:dyDescent="0.25">
      <c r="A31514" s="5">
        <f>31507</f>
      </c>
      <c r="B31514" s="5" t="s">
        <v>31522</v>
      </c>
      <c r="C31514" s="5">
        <v>104.7</v>
      </c>
      <c r="D31514" s="5">
        <v>0.1</v>
      </c>
      <c r="E31514" s="5">
        <v>104.9</v>
      </c>
      <c r="F31514" s="5">
        <v>209.6</v>
      </c>
      <c r="G31514" s="5">
        <v>104.5</v>
      </c>
      <c r="H31514" s="5">
        <v>104.5</v>
      </c>
      <c r="I31514" s="5">
        <v>0</v>
      </c>
      <c r="J31514" s="5">
        <v>0</v>
      </c>
      <c r="K31514" s="5">
        <v>0</v>
      </c>
    </row>
    <row r="31515" spans="1:11" x14ac:dyDescent="0.25">
      <c r="A31515" s="5">
        <f>31508</f>
      </c>
      <c r="B31515" s="5" t="s">
        <v>31523</v>
      </c>
      <c r="C31515" s="5">
        <v>100.5</v>
      </c>
      <c r="D31515" s="5">
        <v>0.1</v>
      </c>
      <c r="E31515" s="5">
        <v>100.6</v>
      </c>
      <c r="F31515" s="5">
        <v>201.4</v>
      </c>
      <c r="G31515" s="5">
        <v>102.8</v>
      </c>
      <c r="H31515" s="5">
        <v>104.1</v>
      </c>
      <c r="I31515" s="5">
        <v>0</v>
      </c>
      <c r="J31515" s="5">
        <v>0</v>
      </c>
      <c r="K31515" s="5">
        <v>0</v>
      </c>
    </row>
    <row r="31516" spans="1:11" x14ac:dyDescent="0.25">
      <c r="A31516" s="5">
        <f>31509</f>
      </c>
      <c r="B31516" s="5" t="s">
        <v>31524</v>
      </c>
      <c r="C31516" s="5">
        <v>100.5</v>
      </c>
      <c r="D31516" s="5">
        <v>0.1</v>
      </c>
      <c r="E31516" s="5">
        <v>100.6</v>
      </c>
      <c r="F31516" s="5">
        <v>201.4</v>
      </c>
      <c r="G31516" s="5">
        <v>102.8</v>
      </c>
      <c r="H31516" s="5">
        <v>104.1</v>
      </c>
      <c r="I31516" s="5">
        <v>0</v>
      </c>
      <c r="J31516" s="5">
        <v>0</v>
      </c>
      <c r="K31516" s="5">
        <v>0</v>
      </c>
    </row>
    <row r="31517" spans="1:11" x14ac:dyDescent="0.25">
      <c r="A31517" s="5">
        <f>31510</f>
      </c>
      <c r="B31517" s="5" t="s">
        <v>31525</v>
      </c>
      <c r="C31517" s="5">
        <v>98.7</v>
      </c>
      <c r="D31517" s="5">
        <v>0.1</v>
      </c>
      <c r="E31517" s="5">
        <v>98.9</v>
      </c>
      <c r="F31517" s="5">
        <v>198.3</v>
      </c>
      <c r="G31517" s="5">
        <v>99.5</v>
      </c>
      <c r="H31517" s="5">
        <v>99.4</v>
      </c>
      <c r="I31517" s="5">
        <v>0</v>
      </c>
      <c r="J31517" s="5">
        <v>0</v>
      </c>
      <c r="K31517" s="5">
        <v>0</v>
      </c>
    </row>
    <row r="31518" spans="1:11" x14ac:dyDescent="0.25">
      <c r="A31518" s="5">
        <f>31511</f>
      </c>
      <c r="B31518" s="5" t="s">
        <v>31526</v>
      </c>
      <c r="C31518" s="5">
        <v>98.7</v>
      </c>
      <c r="D31518" s="5">
        <v>0.1</v>
      </c>
      <c r="E31518" s="5">
        <v>98.9</v>
      </c>
      <c r="F31518" s="5">
        <v>198.3</v>
      </c>
      <c r="G31518" s="5">
        <v>99.5</v>
      </c>
      <c r="H31518" s="5">
        <v>99.4</v>
      </c>
      <c r="I31518" s="5">
        <v>0</v>
      </c>
      <c r="J31518" s="5">
        <v>0</v>
      </c>
      <c r="K31518" s="5">
        <v>0</v>
      </c>
    </row>
    <row r="31519" spans="1:11" x14ac:dyDescent="0.25">
      <c r="A31519" s="5">
        <f>31512</f>
      </c>
      <c r="B31519" s="5" t="s">
        <v>31527</v>
      </c>
      <c r="C31519" s="5">
        <v>102.1</v>
      </c>
      <c r="D31519" s="5">
        <v>0.1</v>
      </c>
      <c r="E31519" s="5">
        <v>102.3</v>
      </c>
      <c r="F31519" s="5">
        <v>199.9</v>
      </c>
      <c r="G31519" s="5">
        <v>98.6</v>
      </c>
      <c r="H31519" s="5">
        <v>98.5</v>
      </c>
      <c r="I31519" s="5">
        <v>0</v>
      </c>
      <c r="J31519" s="5">
        <v>0</v>
      </c>
      <c r="K31519" s="5">
        <v>0</v>
      </c>
    </row>
    <row r="31520" spans="1:11" x14ac:dyDescent="0.25">
      <c r="A31520" s="5">
        <f>31513</f>
      </c>
      <c r="B31520" s="5" t="s">
        <v>31528</v>
      </c>
      <c r="C31520" s="5">
        <v>102.1</v>
      </c>
      <c r="D31520" s="5">
        <v>0.1</v>
      </c>
      <c r="E31520" s="5">
        <v>102.3</v>
      </c>
      <c r="F31520" s="5">
        <v>199.9</v>
      </c>
      <c r="G31520" s="5">
        <v>98.6</v>
      </c>
      <c r="H31520" s="5">
        <v>98.5</v>
      </c>
      <c r="I31520" s="5">
        <v>0</v>
      </c>
      <c r="J31520" s="5">
        <v>0</v>
      </c>
      <c r="K31520" s="5">
        <v>0</v>
      </c>
    </row>
    <row r="31521" spans="1:11" x14ac:dyDescent="0.25">
      <c r="A31521" s="5">
        <f>31514</f>
      </c>
      <c r="B31521" s="5" t="s">
        <v>31529</v>
      </c>
      <c r="C31521" s="5">
        <v>100.2</v>
      </c>
      <c r="D31521" s="5">
        <v>0.1</v>
      </c>
      <c r="E31521" s="5">
        <v>100.4</v>
      </c>
      <c r="F31521" s="5">
        <v>201.9</v>
      </c>
      <c r="G31521" s="5">
        <v>100.5</v>
      </c>
      <c r="H31521" s="5">
        <v>100.2</v>
      </c>
      <c r="I31521" s="5">
        <v>0</v>
      </c>
      <c r="J31521" s="5">
        <v>0</v>
      </c>
      <c r="K31521" s="5">
        <v>0</v>
      </c>
    </row>
    <row r="31522" spans="1:11" x14ac:dyDescent="0.25">
      <c r="A31522" s="5">
        <f>31515</f>
      </c>
      <c r="B31522" s="5" t="s">
        <v>31530</v>
      </c>
      <c r="C31522" s="5">
        <v>100.2</v>
      </c>
      <c r="D31522" s="5">
        <v>0.1</v>
      </c>
      <c r="E31522" s="5">
        <v>100.4</v>
      </c>
      <c r="F31522" s="5">
        <v>201.9</v>
      </c>
      <c r="G31522" s="5">
        <v>100.5</v>
      </c>
      <c r="H31522" s="5">
        <v>100.2</v>
      </c>
      <c r="I31522" s="5">
        <v>0</v>
      </c>
      <c r="J31522" s="5">
        <v>0</v>
      </c>
      <c r="K31522" s="5">
        <v>0</v>
      </c>
    </row>
    <row r="31523" spans="1:11" x14ac:dyDescent="0.25">
      <c r="A31523" s="5">
        <f>31516</f>
      </c>
      <c r="B31523" s="5" t="s">
        <v>31531</v>
      </c>
      <c r="C31523" s="5">
        <v>100.2</v>
      </c>
      <c r="D31523" s="5">
        <v>0.1</v>
      </c>
      <c r="E31523" s="5">
        <v>100.4</v>
      </c>
      <c r="F31523" s="5">
        <v>201.9</v>
      </c>
      <c r="G31523" s="5">
        <v>100.5</v>
      </c>
      <c r="H31523" s="5">
        <v>100.2</v>
      </c>
      <c r="I31523" s="5">
        <v>0</v>
      </c>
      <c r="J31523" s="5">
        <v>0</v>
      </c>
      <c r="K31523" s="5">
        <v>0</v>
      </c>
    </row>
    <row r="31524" spans="1:11" x14ac:dyDescent="0.25">
      <c r="A31524" s="5">
        <f>31517</f>
      </c>
      <c r="B31524" s="5" t="s">
        <v>31532</v>
      </c>
      <c r="C31524" s="5">
        <v>100.2</v>
      </c>
      <c r="D31524" s="5">
        <v>0.1</v>
      </c>
      <c r="E31524" s="5">
        <v>100.4</v>
      </c>
      <c r="F31524" s="5">
        <v>201.9</v>
      </c>
      <c r="G31524" s="5">
        <v>100.5</v>
      </c>
      <c r="H31524" s="5">
        <v>100.2</v>
      </c>
      <c r="I31524" s="5">
        <v>0</v>
      </c>
      <c r="J31524" s="5">
        <v>0</v>
      </c>
      <c r="K31524" s="5">
        <v>0</v>
      </c>
    </row>
    <row r="31525" spans="1:11" x14ac:dyDescent="0.25">
      <c r="A31525" s="5">
        <f>31518</f>
      </c>
      <c r="B31525" s="5" t="s">
        <v>31533</v>
      </c>
      <c r="C31525" s="5">
        <v>98.2</v>
      </c>
      <c r="D31525" s="5">
        <v>0.1</v>
      </c>
      <c r="E31525" s="5">
        <v>98.3</v>
      </c>
      <c r="F31525" s="5">
        <v>195.7</v>
      </c>
      <c r="G31525" s="5">
        <v>97.6</v>
      </c>
      <c r="H31525" s="5">
        <v>97.5</v>
      </c>
      <c r="I31525" s="5">
        <v>0</v>
      </c>
      <c r="J31525" s="5">
        <v>0</v>
      </c>
      <c r="K31525" s="5">
        <v>0</v>
      </c>
    </row>
    <row r="31526" spans="1:11" x14ac:dyDescent="0.25">
      <c r="A31526" s="5">
        <f>31519</f>
      </c>
      <c r="B31526" s="5" t="s">
        <v>31534</v>
      </c>
      <c r="C31526" s="5">
        <v>98.2</v>
      </c>
      <c r="D31526" s="5">
        <v>0.1</v>
      </c>
      <c r="E31526" s="5">
        <v>98.3</v>
      </c>
      <c r="F31526" s="5">
        <v>195.7</v>
      </c>
      <c r="G31526" s="5">
        <v>97.6</v>
      </c>
      <c r="H31526" s="5">
        <v>97.5</v>
      </c>
      <c r="I31526" s="5">
        <v>0</v>
      </c>
      <c r="J31526" s="5">
        <v>0</v>
      </c>
      <c r="K31526" s="5">
        <v>0</v>
      </c>
    </row>
    <row r="31527" spans="1:11" x14ac:dyDescent="0.25">
      <c r="A31527" s="5">
        <f>31520</f>
      </c>
      <c r="B31527" s="5" t="s">
        <v>31535</v>
      </c>
      <c r="C31527" s="5">
        <v>97.9</v>
      </c>
      <c r="D31527" s="5">
        <v>0.1</v>
      </c>
      <c r="E31527" s="5">
        <v>98</v>
      </c>
      <c r="F31527" s="5">
        <v>198.8</v>
      </c>
      <c r="G31527" s="5">
        <v>99</v>
      </c>
      <c r="H31527" s="5">
        <v>98.7</v>
      </c>
      <c r="I31527" s="5">
        <v>0</v>
      </c>
      <c r="J31527" s="5">
        <v>0</v>
      </c>
      <c r="K31527" s="5">
        <v>0</v>
      </c>
    </row>
    <row r="31528" spans="1:11" x14ac:dyDescent="0.25">
      <c r="A31528" s="5">
        <f>31521</f>
      </c>
      <c r="B31528" s="5" t="s">
        <v>31536</v>
      </c>
      <c r="C31528" s="5">
        <v>97.9</v>
      </c>
      <c r="D31528" s="5">
        <v>0.1</v>
      </c>
      <c r="E31528" s="5">
        <v>98</v>
      </c>
      <c r="F31528" s="5">
        <v>198.8</v>
      </c>
      <c r="G31528" s="5">
        <v>99</v>
      </c>
      <c r="H31528" s="5">
        <v>98.7</v>
      </c>
      <c r="I31528" s="5">
        <v>0</v>
      </c>
      <c r="J31528" s="5">
        <v>0</v>
      </c>
      <c r="K31528" s="5">
        <v>0</v>
      </c>
    </row>
    <row r="31529" spans="1:11" x14ac:dyDescent="0.25">
      <c r="A31529" s="5">
        <f>31522</f>
      </c>
      <c r="B31529" s="5" t="s">
        <v>31537</v>
      </c>
      <c r="C31529" s="5">
        <v>104.6</v>
      </c>
      <c r="D31529" s="5">
        <v>0.1</v>
      </c>
      <c r="E31529" s="5">
        <v>104.7</v>
      </c>
      <c r="F31529" s="5">
        <v>204.8</v>
      </c>
      <c r="G31529" s="5">
        <v>102.4</v>
      </c>
      <c r="H31529" s="5">
        <v>102.4</v>
      </c>
      <c r="I31529" s="5">
        <v>0</v>
      </c>
      <c r="J31529" s="5">
        <v>0</v>
      </c>
      <c r="K31529" s="5">
        <v>0</v>
      </c>
    </row>
    <row r="31530" spans="1:11" x14ac:dyDescent="0.25">
      <c r="A31530" s="5">
        <f>31523</f>
      </c>
      <c r="B31530" s="5" t="s">
        <v>31538</v>
      </c>
      <c r="C31530" s="5">
        <v>104.6</v>
      </c>
      <c r="D31530" s="5">
        <v>0.1</v>
      </c>
      <c r="E31530" s="5">
        <v>104.7</v>
      </c>
      <c r="F31530" s="5">
        <v>204.8</v>
      </c>
      <c r="G31530" s="5">
        <v>102.4</v>
      </c>
      <c r="H31530" s="5">
        <v>102.4</v>
      </c>
      <c r="I31530" s="5">
        <v>0</v>
      </c>
      <c r="J31530" s="5">
        <v>0</v>
      </c>
      <c r="K31530" s="5">
        <v>0</v>
      </c>
    </row>
    <row r="31531" spans="1:11" x14ac:dyDescent="0.25">
      <c r="A31531" s="5">
        <f>31524</f>
      </c>
      <c r="B31531" s="5" t="s">
        <v>31539</v>
      </c>
      <c r="C31531" s="5">
        <v>98.7</v>
      </c>
      <c r="D31531" s="5">
        <v>0.1</v>
      </c>
      <c r="E31531" s="5">
        <v>98.9</v>
      </c>
      <c r="F31531" s="5">
        <v>197.2</v>
      </c>
      <c r="G31531" s="5">
        <v>98.4</v>
      </c>
      <c r="H31531" s="5">
        <v>98.3</v>
      </c>
      <c r="I31531" s="5">
        <v>0</v>
      </c>
      <c r="J31531" s="5">
        <v>0</v>
      </c>
      <c r="K31531" s="5">
        <v>0</v>
      </c>
    </row>
    <row r="31532" spans="1:11" x14ac:dyDescent="0.25">
      <c r="A31532" s="5">
        <f>31525</f>
      </c>
      <c r="B31532" s="5" t="s">
        <v>31540</v>
      </c>
      <c r="C31532" s="5">
        <v>98.7</v>
      </c>
      <c r="D31532" s="5">
        <v>0.1</v>
      </c>
      <c r="E31532" s="5">
        <v>98.9</v>
      </c>
      <c r="F31532" s="5">
        <v>197.2</v>
      </c>
      <c r="G31532" s="5">
        <v>98.4</v>
      </c>
      <c r="H31532" s="5">
        <v>98.3</v>
      </c>
      <c r="I31532" s="5">
        <v>0</v>
      </c>
      <c r="J31532" s="5">
        <v>0</v>
      </c>
      <c r="K31532" s="5">
        <v>0</v>
      </c>
    </row>
    <row r="31533" spans="1:11" x14ac:dyDescent="0.25">
      <c r="A31533" s="5">
        <f>31526</f>
      </c>
      <c r="B31533" s="5" t="s">
        <v>31541</v>
      </c>
      <c r="C31533" s="5">
        <v>98.7</v>
      </c>
      <c r="D31533" s="5">
        <v>0.1</v>
      </c>
      <c r="E31533" s="5">
        <v>98.9</v>
      </c>
      <c r="F31533" s="5">
        <v>197.2</v>
      </c>
      <c r="G31533" s="5">
        <v>98.4</v>
      </c>
      <c r="H31533" s="5">
        <v>98.3</v>
      </c>
      <c r="I31533" s="5">
        <v>0</v>
      </c>
      <c r="J31533" s="5">
        <v>0</v>
      </c>
      <c r="K31533" s="5">
        <v>0</v>
      </c>
    </row>
    <row r="31534" spans="1:11" x14ac:dyDescent="0.25">
      <c r="A31534" s="5">
        <f>31527</f>
      </c>
      <c r="B31534" s="5" t="s">
        <v>31542</v>
      </c>
      <c r="C31534" s="5">
        <v>98.7</v>
      </c>
      <c r="D31534" s="5">
        <v>0.1</v>
      </c>
      <c r="E31534" s="5">
        <v>98.9</v>
      </c>
      <c r="F31534" s="5">
        <v>197.2</v>
      </c>
      <c r="G31534" s="5">
        <v>98.4</v>
      </c>
      <c r="H31534" s="5">
        <v>98.3</v>
      </c>
      <c r="I31534" s="5">
        <v>0</v>
      </c>
      <c r="J31534" s="5">
        <v>0</v>
      </c>
      <c r="K31534" s="5">
        <v>0</v>
      </c>
    </row>
    <row r="31535" spans="1:11" x14ac:dyDescent="0.25">
      <c r="A31535" s="5">
        <f>31528</f>
      </c>
      <c r="B31535" s="5" t="s">
        <v>31543</v>
      </c>
      <c r="C31535" s="5">
        <v>98.6</v>
      </c>
      <c r="D31535" s="5">
        <v>0.1</v>
      </c>
      <c r="E31535" s="5">
        <v>98.8</v>
      </c>
      <c r="F31535" s="5">
        <v>197.2</v>
      </c>
      <c r="G31535" s="5">
        <v>98.3</v>
      </c>
      <c r="H31535" s="5">
        <v>98.1</v>
      </c>
      <c r="I31535" s="5">
        <v>0</v>
      </c>
      <c r="J31535" s="5">
        <v>0</v>
      </c>
      <c r="K31535" s="5">
        <v>0</v>
      </c>
    </row>
    <row r="31536" spans="1:11" x14ac:dyDescent="0.25">
      <c r="A31536" s="5">
        <f>31529</f>
      </c>
      <c r="B31536" s="5" t="s">
        <v>31544</v>
      </c>
      <c r="C31536" s="5">
        <v>98.6</v>
      </c>
      <c r="D31536" s="5">
        <v>0.1</v>
      </c>
      <c r="E31536" s="5">
        <v>98.8</v>
      </c>
      <c r="F31536" s="5">
        <v>197.2</v>
      </c>
      <c r="G31536" s="5">
        <v>98.3</v>
      </c>
      <c r="H31536" s="5">
        <v>98.1</v>
      </c>
      <c r="I31536" s="5">
        <v>0</v>
      </c>
      <c r="J31536" s="5">
        <v>0</v>
      </c>
      <c r="K31536" s="5">
        <v>0</v>
      </c>
    </row>
    <row r="31537" spans="1:11" x14ac:dyDescent="0.25">
      <c r="A31537" s="5">
        <f>31530</f>
      </c>
      <c r="B31537" s="5" t="s">
        <v>31545</v>
      </c>
      <c r="C31537" s="5">
        <v>98.6</v>
      </c>
      <c r="D31537" s="5">
        <v>0.1</v>
      </c>
      <c r="E31537" s="5">
        <v>98.8</v>
      </c>
      <c r="F31537" s="5">
        <v>197.2</v>
      </c>
      <c r="G31537" s="5">
        <v>98.3</v>
      </c>
      <c r="H31537" s="5">
        <v>98.1</v>
      </c>
      <c r="I31537" s="5">
        <v>0</v>
      </c>
      <c r="J31537" s="5">
        <v>0</v>
      </c>
      <c r="K31537" s="5">
        <v>0</v>
      </c>
    </row>
    <row r="31538" spans="1:11" x14ac:dyDescent="0.25">
      <c r="A31538" s="5">
        <f>31531</f>
      </c>
      <c r="B31538" s="5" t="s">
        <v>31546</v>
      </c>
      <c r="C31538" s="5">
        <v>98.6</v>
      </c>
      <c r="D31538" s="5">
        <v>0.1</v>
      </c>
      <c r="E31538" s="5">
        <v>98.8</v>
      </c>
      <c r="F31538" s="5">
        <v>197.2</v>
      </c>
      <c r="G31538" s="5">
        <v>98.3</v>
      </c>
      <c r="H31538" s="5">
        <v>98.1</v>
      </c>
      <c r="I31538" s="5">
        <v>0</v>
      </c>
      <c r="J31538" s="5">
        <v>0</v>
      </c>
      <c r="K31538" s="5">
        <v>0</v>
      </c>
    </row>
    <row r="31539" spans="1:11" x14ac:dyDescent="0.25">
      <c r="A31539" s="5">
        <f>31532</f>
      </c>
      <c r="B31539" s="5" t="s">
        <v>31547</v>
      </c>
      <c r="C31539" s="5">
        <v>104.5</v>
      </c>
      <c r="D31539" s="5">
        <v>0.1</v>
      </c>
      <c r="E31539" s="5">
        <v>104.6</v>
      </c>
      <c r="F31539" s="5">
        <v>208.6</v>
      </c>
      <c r="G31539" s="5">
        <v>104.1</v>
      </c>
      <c r="H31539" s="5">
        <v>103.8</v>
      </c>
      <c r="I31539" s="5">
        <v>0</v>
      </c>
      <c r="J31539" s="5">
        <v>0</v>
      </c>
      <c r="K31539" s="5">
        <v>0</v>
      </c>
    </row>
    <row r="31540" spans="1:11" x14ac:dyDescent="0.25">
      <c r="A31540" s="5">
        <f>31533</f>
      </c>
      <c r="B31540" s="5" t="s">
        <v>31548</v>
      </c>
      <c r="C31540" s="5">
        <v>104.5</v>
      </c>
      <c r="D31540" s="5">
        <v>0.1</v>
      </c>
      <c r="E31540" s="5">
        <v>104.6</v>
      </c>
      <c r="F31540" s="5">
        <v>208.6</v>
      </c>
      <c r="G31540" s="5">
        <v>104.1</v>
      </c>
      <c r="H31540" s="5">
        <v>103.8</v>
      </c>
      <c r="I31540" s="5">
        <v>0</v>
      </c>
      <c r="J31540" s="5">
        <v>0</v>
      </c>
      <c r="K31540" s="5">
        <v>0</v>
      </c>
    </row>
    <row r="31541" spans="1:11" x14ac:dyDescent="0.25">
      <c r="A31541" s="5">
        <f>31534</f>
      </c>
      <c r="B31541" s="5" t="s">
        <v>31549</v>
      </c>
      <c r="C31541" s="5">
        <v>104.1</v>
      </c>
      <c r="D31541" s="5">
        <v>0.1</v>
      </c>
      <c r="E31541" s="5">
        <v>104.3</v>
      </c>
      <c r="F31541" s="5">
        <v>206.7</v>
      </c>
      <c r="G31541" s="5">
        <v>103.3</v>
      </c>
      <c r="H31541" s="5">
        <v>103.3</v>
      </c>
      <c r="I31541" s="5">
        <v>0</v>
      </c>
      <c r="J31541" s="5">
        <v>0</v>
      </c>
      <c r="K31541" s="5">
        <v>0</v>
      </c>
    </row>
    <row r="31542" spans="1:11" x14ac:dyDescent="0.25">
      <c r="A31542" s="5">
        <f>31535</f>
      </c>
      <c r="B31542" s="5" t="s">
        <v>31550</v>
      </c>
      <c r="C31542" s="5">
        <v>104.1</v>
      </c>
      <c r="D31542" s="5">
        <v>0.1</v>
      </c>
      <c r="E31542" s="5">
        <v>104.3</v>
      </c>
      <c r="F31542" s="5">
        <v>206.7</v>
      </c>
      <c r="G31542" s="5">
        <v>103.3</v>
      </c>
      <c r="H31542" s="5">
        <v>103.3</v>
      </c>
      <c r="I31542" s="5">
        <v>0</v>
      </c>
      <c r="J31542" s="5">
        <v>0</v>
      </c>
      <c r="K31542" s="5">
        <v>0</v>
      </c>
    </row>
    <row r="31543" spans="1:11" x14ac:dyDescent="0.25">
      <c r="A31543" s="5">
        <f>31536</f>
      </c>
      <c r="B31543" s="5" t="s">
        <v>31551</v>
      </c>
      <c r="C31543" s="5">
        <v>104.1</v>
      </c>
      <c r="D31543" s="5">
        <v>0.1</v>
      </c>
      <c r="E31543" s="5">
        <v>104.3</v>
      </c>
      <c r="F31543" s="5">
        <v>206.7</v>
      </c>
      <c r="G31543" s="5">
        <v>103.3</v>
      </c>
      <c r="H31543" s="5">
        <v>103.3</v>
      </c>
      <c r="I31543" s="5">
        <v>0</v>
      </c>
      <c r="J31543" s="5">
        <v>0</v>
      </c>
      <c r="K31543" s="5">
        <v>0</v>
      </c>
    </row>
    <row r="31544" spans="1:11" x14ac:dyDescent="0.25">
      <c r="A31544" s="5">
        <f>31537</f>
      </c>
      <c r="B31544" s="5" t="s">
        <v>31552</v>
      </c>
      <c r="C31544" s="5">
        <v>104.1</v>
      </c>
      <c r="D31544" s="5">
        <v>0.1</v>
      </c>
      <c r="E31544" s="5">
        <v>104.3</v>
      </c>
      <c r="F31544" s="5">
        <v>206.7</v>
      </c>
      <c r="G31544" s="5">
        <v>103.3</v>
      </c>
      <c r="H31544" s="5">
        <v>103.3</v>
      </c>
      <c r="I31544" s="5">
        <v>0</v>
      </c>
      <c r="J31544" s="5">
        <v>0</v>
      </c>
      <c r="K31544" s="5">
        <v>0</v>
      </c>
    </row>
    <row r="31545" spans="1:11" x14ac:dyDescent="0.25">
      <c r="A31545" s="5">
        <f>31538</f>
      </c>
      <c r="B31545" s="5" t="s">
        <v>31553</v>
      </c>
      <c r="C31545" s="5">
        <v>99.4</v>
      </c>
      <c r="D31545" s="5">
        <v>0.1</v>
      </c>
      <c r="E31545" s="5">
        <v>99.5</v>
      </c>
      <c r="F31545" s="5">
        <v>198.8</v>
      </c>
      <c r="G31545" s="5">
        <v>99.2</v>
      </c>
      <c r="H31545" s="5">
        <v>99</v>
      </c>
      <c r="I31545" s="5">
        <v>0</v>
      </c>
      <c r="J31545" s="5">
        <v>0</v>
      </c>
      <c r="K31545" s="5">
        <v>0</v>
      </c>
    </row>
    <row r="31546" spans="1:11" x14ac:dyDescent="0.25">
      <c r="A31546" s="5">
        <f>31539</f>
      </c>
      <c r="B31546" s="5" t="s">
        <v>31554</v>
      </c>
      <c r="C31546" s="5">
        <v>99.4</v>
      </c>
      <c r="D31546" s="5">
        <v>0.1</v>
      </c>
      <c r="E31546" s="5">
        <v>99.5</v>
      </c>
      <c r="F31546" s="5">
        <v>198.8</v>
      </c>
      <c r="G31546" s="5">
        <v>99.2</v>
      </c>
      <c r="H31546" s="5">
        <v>99</v>
      </c>
      <c r="I31546" s="5">
        <v>0</v>
      </c>
      <c r="J31546" s="5">
        <v>0</v>
      </c>
      <c r="K31546" s="5">
        <v>0</v>
      </c>
    </row>
    <row r="31547" spans="1:11" x14ac:dyDescent="0.25">
      <c r="A31547" s="5">
        <f>31540</f>
      </c>
      <c r="B31547" s="5" t="s">
        <v>31555</v>
      </c>
      <c r="C31547" s="5">
        <v>104.4</v>
      </c>
      <c r="D31547" s="5">
        <v>0.1</v>
      </c>
      <c r="E31547" s="5">
        <v>99.5</v>
      </c>
      <c r="F31547" s="5">
        <v>198.8</v>
      </c>
      <c r="G31547" s="5">
        <v>103.7</v>
      </c>
      <c r="H31547" s="5">
        <v>103.6</v>
      </c>
      <c r="I31547" s="5">
        <v>0</v>
      </c>
      <c r="J31547" s="5">
        <v>0</v>
      </c>
      <c r="K31547" s="5">
        <v>0</v>
      </c>
    </row>
    <row r="31548" spans="1:11" x14ac:dyDescent="0.25">
      <c r="A31548" s="5">
        <f>31541</f>
      </c>
      <c r="B31548" s="5" t="s">
        <v>31556</v>
      </c>
      <c r="C31548" s="5">
        <v>104.4</v>
      </c>
      <c r="D31548" s="5">
        <v>0.1</v>
      </c>
      <c r="E31548" s="5">
        <v>104.6</v>
      </c>
      <c r="F31548" s="5">
        <v>207.7</v>
      </c>
      <c r="G31548" s="5">
        <v>103.7</v>
      </c>
      <c r="H31548" s="5">
        <v>103.6</v>
      </c>
      <c r="I31548" s="5">
        <v>0</v>
      </c>
      <c r="J31548" s="5">
        <v>0</v>
      </c>
      <c r="K31548" s="5">
        <v>0</v>
      </c>
    </row>
    <row r="31549" spans="1:11" x14ac:dyDescent="0.25">
      <c r="A31549" s="5">
        <f>31542</f>
      </c>
      <c r="B31549" s="5" t="s">
        <v>31557</v>
      </c>
      <c r="C31549" s="5">
        <v>104.4</v>
      </c>
      <c r="D31549" s="5">
        <v>0.1</v>
      </c>
      <c r="E31549" s="5">
        <v>104.6</v>
      </c>
      <c r="F31549" s="5">
        <v>207.7</v>
      </c>
      <c r="G31549" s="5">
        <v>100.4</v>
      </c>
      <c r="H31549" s="5">
        <v>100.5</v>
      </c>
      <c r="I31549" s="5">
        <v>0</v>
      </c>
      <c r="J31549" s="5">
        <v>0</v>
      </c>
      <c r="K31549" s="5">
        <v>0</v>
      </c>
    </row>
    <row r="31550" spans="1:11" x14ac:dyDescent="0.25">
      <c r="A31550" s="5">
        <f>31543</f>
      </c>
      <c r="B31550" s="5" t="s">
        <v>31558</v>
      </c>
      <c r="C31550" s="5">
        <v>104.1</v>
      </c>
      <c r="D31550" s="5">
        <v>0.1</v>
      </c>
      <c r="E31550" s="5">
        <v>104.3</v>
      </c>
      <c r="F31550" s="5">
        <v>200.8</v>
      </c>
      <c r="G31550" s="5">
        <v>100.4</v>
      </c>
      <c r="H31550" s="5">
        <v>100.5</v>
      </c>
      <c r="I31550" s="5">
        <v>0</v>
      </c>
      <c r="J31550" s="5">
        <v>0</v>
      </c>
      <c r="K31550" s="5">
        <v>0</v>
      </c>
    </row>
    <row r="31551" spans="1:11" x14ac:dyDescent="0.25">
      <c r="A31551" s="5">
        <f>31544</f>
      </c>
      <c r="B31551" s="5" t="s">
        <v>31559</v>
      </c>
      <c r="C31551" s="5">
        <v>104.1</v>
      </c>
      <c r="D31551" s="5">
        <v>0.1</v>
      </c>
      <c r="E31551" s="5">
        <v>104.3</v>
      </c>
      <c r="F31551" s="5">
        <v>200.8</v>
      </c>
      <c r="G31551" s="5">
        <v>100.4</v>
      </c>
      <c r="H31551" s="5">
        <v>100.5</v>
      </c>
      <c r="I31551" s="5">
        <v>0</v>
      </c>
      <c r="J31551" s="5">
        <v>0</v>
      </c>
      <c r="K31551" s="5">
        <v>0</v>
      </c>
    </row>
    <row r="31552" spans="1:11" x14ac:dyDescent="0.25">
      <c r="A31552" s="5">
        <f>31545</f>
      </c>
      <c r="B31552" s="5" t="s">
        <v>31560</v>
      </c>
      <c r="C31552" s="5">
        <v>99</v>
      </c>
      <c r="D31552" s="5">
        <v>0.1</v>
      </c>
      <c r="E31552" s="5">
        <v>99.2</v>
      </c>
      <c r="F31552" s="5">
        <v>197.8</v>
      </c>
      <c r="G31552" s="5">
        <v>98.7</v>
      </c>
      <c r="H31552" s="5">
        <v>98.5</v>
      </c>
      <c r="I31552" s="5">
        <v>0</v>
      </c>
      <c r="J31552" s="5">
        <v>0</v>
      </c>
      <c r="K31552" s="5">
        <v>0</v>
      </c>
    </row>
    <row r="31553" spans="1:11" x14ac:dyDescent="0.25">
      <c r="A31553" s="5">
        <f>31546</f>
      </c>
      <c r="B31553" s="5" t="s">
        <v>31561</v>
      </c>
      <c r="C31553" s="5">
        <v>99</v>
      </c>
      <c r="D31553" s="5">
        <v>0.1</v>
      </c>
      <c r="E31553" s="5">
        <v>99.2</v>
      </c>
      <c r="F31553" s="5">
        <v>197.8</v>
      </c>
      <c r="G31553" s="5">
        <v>98.7</v>
      </c>
      <c r="H31553" s="5">
        <v>98.5</v>
      </c>
      <c r="I31553" s="5">
        <v>0</v>
      </c>
      <c r="J31553" s="5">
        <v>0</v>
      </c>
      <c r="K31553" s="5">
        <v>0</v>
      </c>
    </row>
    <row r="31554" spans="1:11" x14ac:dyDescent="0.25">
      <c r="A31554" s="5">
        <f>31547</f>
      </c>
      <c r="B31554" s="5" t="s">
        <v>31562</v>
      </c>
      <c r="C31554" s="5">
        <v>99</v>
      </c>
      <c r="D31554" s="5">
        <v>0.1</v>
      </c>
      <c r="E31554" s="5">
        <v>99.2</v>
      </c>
      <c r="F31554" s="5">
        <v>197.8</v>
      </c>
      <c r="G31554" s="5">
        <v>98.7</v>
      </c>
      <c r="H31554" s="5">
        <v>98.5</v>
      </c>
      <c r="I31554" s="5">
        <v>0</v>
      </c>
      <c r="J31554" s="5">
        <v>0</v>
      </c>
      <c r="K31554" s="5">
        <v>0</v>
      </c>
    </row>
    <row r="31555" spans="1:11" x14ac:dyDescent="0.25">
      <c r="A31555" s="5">
        <f>31548</f>
      </c>
      <c r="B31555" s="5" t="s">
        <v>31563</v>
      </c>
      <c r="C31555" s="5">
        <v>98.8</v>
      </c>
      <c r="D31555" s="5">
        <v>0.1</v>
      </c>
      <c r="E31555" s="5">
        <v>98.9</v>
      </c>
      <c r="F31555" s="5">
        <v>197.6</v>
      </c>
      <c r="G31555" s="5">
        <v>98.6</v>
      </c>
      <c r="H31555" s="5">
        <v>98.5</v>
      </c>
      <c r="I31555" s="5">
        <v>0</v>
      </c>
      <c r="J31555" s="5">
        <v>0</v>
      </c>
      <c r="K31555" s="5">
        <v>0</v>
      </c>
    </row>
    <row r="31556" spans="1:11" x14ac:dyDescent="0.25">
      <c r="A31556" s="5">
        <f>31549</f>
      </c>
      <c r="B31556" s="5" t="s">
        <v>31564</v>
      </c>
      <c r="C31556" s="5">
        <v>98.8</v>
      </c>
      <c r="D31556" s="5">
        <v>0.1</v>
      </c>
      <c r="E31556" s="5">
        <v>98.9</v>
      </c>
      <c r="F31556" s="5">
        <v>197.6</v>
      </c>
      <c r="G31556" s="5">
        <v>98.6</v>
      </c>
      <c r="H31556" s="5">
        <v>98.5</v>
      </c>
      <c r="I31556" s="5">
        <v>0</v>
      </c>
      <c r="J31556" s="5">
        <v>0</v>
      </c>
      <c r="K31556" s="5">
        <v>0</v>
      </c>
    </row>
    <row r="31557" spans="1:11" x14ac:dyDescent="0.25">
      <c r="A31557" s="5">
        <f>31550</f>
      </c>
      <c r="B31557" s="5" t="s">
        <v>31565</v>
      </c>
      <c r="C31557" s="5">
        <v>99.4</v>
      </c>
      <c r="D31557" s="5">
        <v>0.1</v>
      </c>
      <c r="E31557" s="5">
        <v>99.5</v>
      </c>
      <c r="F31557" s="5">
        <v>202.7</v>
      </c>
      <c r="G31557" s="5">
        <v>100.7</v>
      </c>
      <c r="H31557" s="5">
        <v>100.2</v>
      </c>
      <c r="I31557" s="5">
        <v>0</v>
      </c>
      <c r="J31557" s="5">
        <v>0</v>
      </c>
      <c r="K31557" s="5">
        <v>0</v>
      </c>
    </row>
    <row r="31558" spans="1:11" x14ac:dyDescent="0.25">
      <c r="A31558" s="5">
        <f>31551</f>
      </c>
      <c r="B31558" s="5" t="s">
        <v>31566</v>
      </c>
      <c r="C31558" s="5">
        <v>99.4</v>
      </c>
      <c r="D31558" s="5">
        <v>0.1</v>
      </c>
      <c r="E31558" s="5">
        <v>99.5</v>
      </c>
      <c r="F31558" s="5">
        <v>202.7</v>
      </c>
      <c r="G31558" s="5">
        <v>100.7</v>
      </c>
      <c r="H31558" s="5">
        <v>100.2</v>
      </c>
      <c r="I31558" s="5">
        <v>0</v>
      </c>
      <c r="J31558" s="5">
        <v>0</v>
      </c>
      <c r="K31558" s="5">
        <v>0</v>
      </c>
    </row>
    <row r="31559" spans="1:11" x14ac:dyDescent="0.25">
      <c r="A31559" s="5">
        <f>31552</f>
      </c>
      <c r="B31559" s="5" t="s">
        <v>31567</v>
      </c>
      <c r="C31559" s="5">
        <v>98.6</v>
      </c>
      <c r="D31559" s="5">
        <v>0.1</v>
      </c>
      <c r="E31559" s="5">
        <v>98.7</v>
      </c>
      <c r="F31559" s="5">
        <v>197.6</v>
      </c>
      <c r="G31559" s="5">
        <v>99</v>
      </c>
      <c r="H31559" s="5">
        <v>99.3</v>
      </c>
      <c r="I31559" s="5">
        <v>0</v>
      </c>
      <c r="J31559" s="5">
        <v>0</v>
      </c>
      <c r="K31559" s="5">
        <v>0</v>
      </c>
    </row>
    <row r="31560" spans="1:11" x14ac:dyDescent="0.25">
      <c r="A31560" s="5">
        <f>31553</f>
      </c>
      <c r="B31560" s="5" t="s">
        <v>31568</v>
      </c>
      <c r="C31560" s="5">
        <v>98.6</v>
      </c>
      <c r="D31560" s="5">
        <v>0.1</v>
      </c>
      <c r="E31560" s="5">
        <v>98.7</v>
      </c>
      <c r="F31560" s="5">
        <v>197.6</v>
      </c>
      <c r="G31560" s="5">
        <v>99</v>
      </c>
      <c r="H31560" s="5">
        <v>99.3</v>
      </c>
      <c r="I31560" s="5">
        <v>0</v>
      </c>
      <c r="J31560" s="5">
        <v>0</v>
      </c>
      <c r="K31560" s="5">
        <v>0</v>
      </c>
    </row>
    <row r="31561" spans="1:11" x14ac:dyDescent="0.25">
      <c r="A31561" s="5">
        <f>31554</f>
      </c>
      <c r="B31561" s="5" t="s">
        <v>31569</v>
      </c>
      <c r="C31561" s="5">
        <v>99.1</v>
      </c>
      <c r="D31561" s="5">
        <v>0.1</v>
      </c>
      <c r="E31561" s="5">
        <v>99.2</v>
      </c>
      <c r="F31561" s="5">
        <v>198.5</v>
      </c>
      <c r="G31561" s="5">
        <v>99</v>
      </c>
      <c r="H31561" s="5">
        <v>98.8</v>
      </c>
      <c r="I31561" s="5">
        <v>0</v>
      </c>
      <c r="J31561" s="5">
        <v>0</v>
      </c>
      <c r="K31561" s="5">
        <v>0</v>
      </c>
    </row>
    <row r="31562" spans="1:11" x14ac:dyDescent="0.25">
      <c r="A31562" s="5">
        <f>31555</f>
      </c>
      <c r="B31562" s="5" t="s">
        <v>31570</v>
      </c>
      <c r="C31562" s="5">
        <v>99.1</v>
      </c>
      <c r="D31562" s="5">
        <v>0.1</v>
      </c>
      <c r="E31562" s="5">
        <v>99.2</v>
      </c>
      <c r="F31562" s="5">
        <v>198.5</v>
      </c>
      <c r="G31562" s="5">
        <v>99</v>
      </c>
      <c r="H31562" s="5">
        <v>98.8</v>
      </c>
      <c r="I31562" s="5">
        <v>0</v>
      </c>
      <c r="J31562" s="5">
        <v>0</v>
      </c>
      <c r="K31562" s="5">
        <v>0</v>
      </c>
    </row>
    <row r="31563" spans="1:11" x14ac:dyDescent="0.25">
      <c r="A31563" s="5">
        <f>31556</f>
      </c>
      <c r="B31563" s="5" t="s">
        <v>31571</v>
      </c>
      <c r="C31563" s="5">
        <v>99.1</v>
      </c>
      <c r="D31563" s="5">
        <v>0.1</v>
      </c>
      <c r="E31563" s="5">
        <v>99.2</v>
      </c>
      <c r="F31563" s="5">
        <v>198.5</v>
      </c>
      <c r="G31563" s="5">
        <v>99</v>
      </c>
      <c r="H31563" s="5">
        <v>98.8</v>
      </c>
      <c r="I31563" s="5">
        <v>0</v>
      </c>
      <c r="J31563" s="5">
        <v>0</v>
      </c>
      <c r="K31563" s="5">
        <v>0</v>
      </c>
    </row>
    <row r="31564" spans="1:11" x14ac:dyDescent="0.25">
      <c r="A31564" s="5">
        <f>31557</f>
      </c>
      <c r="B31564" s="5" t="s">
        <v>31572</v>
      </c>
      <c r="C31564" s="5">
        <v>99.1</v>
      </c>
      <c r="D31564" s="5">
        <v>0.1</v>
      </c>
      <c r="E31564" s="5">
        <v>99.2</v>
      </c>
      <c r="F31564" s="5">
        <v>198.5</v>
      </c>
      <c r="G31564" s="5">
        <v>99</v>
      </c>
      <c r="H31564" s="5">
        <v>98.8</v>
      </c>
      <c r="I31564" s="5">
        <v>0</v>
      </c>
      <c r="J31564" s="5">
        <v>0</v>
      </c>
      <c r="K31564" s="5">
        <v>0</v>
      </c>
    </row>
    <row r="31565" spans="1:11" x14ac:dyDescent="0.25">
      <c r="A31565" s="5">
        <f>31558</f>
      </c>
      <c r="B31565" s="5" t="s">
        <v>31573</v>
      </c>
      <c r="C31565" s="5">
        <v>99.8</v>
      </c>
      <c r="D31565" s="5">
        <v>0.1</v>
      </c>
      <c r="E31565" s="5">
        <v>99.9</v>
      </c>
      <c r="F31565" s="5">
        <v>200.2</v>
      </c>
      <c r="G31565" s="5">
        <v>99.8</v>
      </c>
      <c r="H31565" s="5">
        <v>99.6</v>
      </c>
      <c r="I31565" s="5">
        <v>0</v>
      </c>
      <c r="J31565" s="5">
        <v>0</v>
      </c>
      <c r="K31565" s="5">
        <v>0</v>
      </c>
    </row>
    <row r="31566" spans="1:11" x14ac:dyDescent="0.25">
      <c r="A31566" s="5">
        <f>31559</f>
      </c>
      <c r="B31566" s="5" t="s">
        <v>31574</v>
      </c>
      <c r="C31566" s="5">
        <v>99.8</v>
      </c>
      <c r="D31566" s="5">
        <v>0.1</v>
      </c>
      <c r="E31566" s="5">
        <v>99.9</v>
      </c>
      <c r="F31566" s="5">
        <v>200.2</v>
      </c>
      <c r="G31566" s="5">
        <v>99.8</v>
      </c>
      <c r="H31566" s="5">
        <v>99.6</v>
      </c>
      <c r="I31566" s="5">
        <v>0</v>
      </c>
      <c r="J31566" s="5">
        <v>0</v>
      </c>
      <c r="K31566" s="5">
        <v>0</v>
      </c>
    </row>
    <row r="31567" spans="1:11" x14ac:dyDescent="0.25">
      <c r="A31567" s="5">
        <f>31560</f>
      </c>
      <c r="B31567" s="5" t="s">
        <v>31575</v>
      </c>
      <c r="C31567" s="5">
        <v>105</v>
      </c>
      <c r="D31567" s="5">
        <v>0.1</v>
      </c>
      <c r="E31567" s="5">
        <v>105.1</v>
      </c>
      <c r="F31567" s="5">
        <v>205.2</v>
      </c>
      <c r="G31567" s="5">
        <v>102.6</v>
      </c>
      <c r="H31567" s="5">
        <v>102.7</v>
      </c>
      <c r="I31567" s="5">
        <v>0</v>
      </c>
      <c r="J31567" s="5">
        <v>0</v>
      </c>
      <c r="K31567" s="5">
        <v>0</v>
      </c>
    </row>
    <row r="31568" spans="1:11" x14ac:dyDescent="0.25">
      <c r="A31568" s="5">
        <f>31561</f>
      </c>
      <c r="B31568" s="5" t="s">
        <v>31576</v>
      </c>
      <c r="C31568" s="5">
        <v>105</v>
      </c>
      <c r="D31568" s="5">
        <v>0.1</v>
      </c>
      <c r="E31568" s="5">
        <v>105.1</v>
      </c>
      <c r="F31568" s="5">
        <v>205.2</v>
      </c>
      <c r="G31568" s="5">
        <v>102.6</v>
      </c>
      <c r="H31568" s="5">
        <v>102.7</v>
      </c>
      <c r="I31568" s="5">
        <v>0</v>
      </c>
      <c r="J31568" s="5">
        <v>0</v>
      </c>
      <c r="K31568" s="5">
        <v>0</v>
      </c>
    </row>
    <row r="31569" spans="1:11" x14ac:dyDescent="0.25">
      <c r="A31569" s="5">
        <f>31562</f>
      </c>
      <c r="B31569" s="5" t="s">
        <v>31577</v>
      </c>
      <c r="C31569" s="5">
        <v>100.2</v>
      </c>
      <c r="D31569" s="5">
        <v>0.1</v>
      </c>
      <c r="E31569" s="5">
        <v>100.3</v>
      </c>
      <c r="F31569" s="5">
        <v>200.6</v>
      </c>
      <c r="G31569" s="5">
        <v>100.1</v>
      </c>
      <c r="H31569" s="5">
        <v>99.9</v>
      </c>
      <c r="I31569" s="5">
        <v>0</v>
      </c>
      <c r="J31569" s="5">
        <v>0</v>
      </c>
      <c r="K31569" s="5">
        <v>0</v>
      </c>
    </row>
    <row r="31570" spans="1:11" x14ac:dyDescent="0.25">
      <c r="A31570" s="5">
        <f>31563</f>
      </c>
      <c r="B31570" s="5" t="s">
        <v>31578</v>
      </c>
      <c r="C31570" s="5">
        <v>100.2</v>
      </c>
      <c r="D31570" s="5">
        <v>0.1</v>
      </c>
      <c r="E31570" s="5">
        <v>100.3</v>
      </c>
      <c r="F31570" s="5">
        <v>200.6</v>
      </c>
      <c r="G31570" s="5">
        <v>100.1</v>
      </c>
      <c r="H31570" s="5">
        <v>99.9</v>
      </c>
      <c r="I31570" s="5">
        <v>0</v>
      </c>
      <c r="J31570" s="5">
        <v>0</v>
      </c>
      <c r="K31570" s="5">
        <v>0</v>
      </c>
    </row>
    <row r="31571" spans="1:11" x14ac:dyDescent="0.25">
      <c r="A31571" s="5">
        <f>31564</f>
      </c>
      <c r="B31571" s="5" t="s">
        <v>31579</v>
      </c>
      <c r="C31571" s="5">
        <v>104.4</v>
      </c>
      <c r="D31571" s="5">
        <v>0.1</v>
      </c>
      <c r="E31571" s="5">
        <v>104.6</v>
      </c>
      <c r="F31571" s="5">
        <v>200.4</v>
      </c>
      <c r="G31571" s="5">
        <v>100.1</v>
      </c>
      <c r="H31571" s="5">
        <v>100.1</v>
      </c>
      <c r="I31571" s="5">
        <v>0</v>
      </c>
      <c r="J31571" s="5">
        <v>0</v>
      </c>
      <c r="K31571" s="5">
        <v>0</v>
      </c>
    </row>
    <row r="31572" spans="1:11" x14ac:dyDescent="0.25">
      <c r="A31572" s="5">
        <f>31565</f>
      </c>
      <c r="B31572" s="5" t="s">
        <v>31580</v>
      </c>
      <c r="C31572" s="5">
        <v>104.4</v>
      </c>
      <c r="D31572" s="5">
        <v>0.1</v>
      </c>
      <c r="E31572" s="5">
        <v>104.6</v>
      </c>
      <c r="F31572" s="5">
        <v>200.4</v>
      </c>
      <c r="G31572" s="5">
        <v>100.1</v>
      </c>
      <c r="H31572" s="5">
        <v>100.1</v>
      </c>
      <c r="I31572" s="5">
        <v>0</v>
      </c>
      <c r="J31572" s="5">
        <v>0</v>
      </c>
      <c r="K31572" s="5">
        <v>0</v>
      </c>
    </row>
    <row r="31573" spans="1:11" x14ac:dyDescent="0.25">
      <c r="A31573" s="5">
        <f>31566</f>
      </c>
      <c r="B31573" s="5" t="s">
        <v>31581</v>
      </c>
      <c r="C31573" s="5">
        <v>104.4</v>
      </c>
      <c r="D31573" s="5">
        <v>0.1</v>
      </c>
      <c r="E31573" s="5">
        <v>104.6</v>
      </c>
      <c r="F31573" s="5">
        <v>200.4</v>
      </c>
      <c r="G31573" s="5">
        <v>100.1</v>
      </c>
      <c r="H31573" s="5">
        <v>100.1</v>
      </c>
      <c r="I31573" s="5">
        <v>0</v>
      </c>
      <c r="J31573" s="5">
        <v>0</v>
      </c>
      <c r="K31573" s="5">
        <v>0</v>
      </c>
    </row>
    <row r="31574" spans="1:11" x14ac:dyDescent="0.25">
      <c r="A31574" s="5">
        <f>31567</f>
      </c>
      <c r="B31574" s="5" t="s">
        <v>31582</v>
      </c>
      <c r="C31574" s="5">
        <v>104.4</v>
      </c>
      <c r="D31574" s="5">
        <v>0.1</v>
      </c>
      <c r="E31574" s="5">
        <v>104.6</v>
      </c>
      <c r="F31574" s="5">
        <v>200.4</v>
      </c>
      <c r="G31574" s="5">
        <v>100.1</v>
      </c>
      <c r="H31574" s="5">
        <v>100.1</v>
      </c>
      <c r="I31574" s="5">
        <v>0</v>
      </c>
      <c r="J31574" s="5">
        <v>0</v>
      </c>
      <c r="K31574" s="5">
        <v>0</v>
      </c>
    </row>
    <row r="31575" spans="1:11" x14ac:dyDescent="0.25">
      <c r="A31575" s="5">
        <f>31568</f>
      </c>
      <c r="B31575" s="5" t="s">
        <v>31583</v>
      </c>
      <c r="C31575" s="5">
        <v>98.1</v>
      </c>
      <c r="D31575" s="5">
        <v>0.1</v>
      </c>
      <c r="E31575" s="5">
        <v>98.2</v>
      </c>
      <c r="F31575" s="5">
        <v>196.7</v>
      </c>
      <c r="G31575" s="5">
        <v>98.3</v>
      </c>
      <c r="H31575" s="5">
        <v>98.2</v>
      </c>
      <c r="I31575" s="5">
        <v>0</v>
      </c>
      <c r="J31575" s="5">
        <v>0</v>
      </c>
      <c r="K31575" s="5">
        <v>0</v>
      </c>
    </row>
    <row r="31576" spans="1:11" x14ac:dyDescent="0.25">
      <c r="A31576" s="5">
        <f>31569</f>
      </c>
      <c r="B31576" s="5" t="s">
        <v>31584</v>
      </c>
      <c r="C31576" s="5">
        <v>98.1</v>
      </c>
      <c r="D31576" s="5">
        <v>0.1</v>
      </c>
      <c r="E31576" s="5">
        <v>98.2</v>
      </c>
      <c r="F31576" s="5">
        <v>196.7</v>
      </c>
      <c r="G31576" s="5">
        <v>98.3</v>
      </c>
      <c r="H31576" s="5">
        <v>98.2</v>
      </c>
      <c r="I31576" s="5">
        <v>0</v>
      </c>
      <c r="J31576" s="5">
        <v>0</v>
      </c>
      <c r="K31576" s="5">
        <v>0</v>
      </c>
    </row>
    <row r="31577" spans="1:11" x14ac:dyDescent="0.25">
      <c r="A31577" s="5">
        <f>31570</f>
      </c>
      <c r="B31577" s="5" t="s">
        <v>31585</v>
      </c>
      <c r="C31577" s="5">
        <v>99.5</v>
      </c>
      <c r="D31577" s="5">
        <v>0.1</v>
      </c>
      <c r="E31577" s="5">
        <v>99.6</v>
      </c>
      <c r="F31577" s="5">
        <v>201.5</v>
      </c>
      <c r="G31577" s="5">
        <v>101.1</v>
      </c>
      <c r="H31577" s="5">
        <v>101.4</v>
      </c>
      <c r="I31577" s="5">
        <v>0</v>
      </c>
      <c r="J31577" s="5">
        <v>0</v>
      </c>
      <c r="K31577" s="5">
        <v>0</v>
      </c>
    </row>
    <row r="31578" spans="1:11" x14ac:dyDescent="0.25">
      <c r="A31578" s="5">
        <f>31571</f>
      </c>
      <c r="B31578" s="5" t="s">
        <v>31586</v>
      </c>
      <c r="C31578" s="5">
        <v>99.5</v>
      </c>
      <c r="D31578" s="5">
        <v>0.1</v>
      </c>
      <c r="E31578" s="5">
        <v>99.6</v>
      </c>
      <c r="F31578" s="5">
        <v>201.5</v>
      </c>
      <c r="G31578" s="5">
        <v>101.1</v>
      </c>
      <c r="H31578" s="5">
        <v>101.4</v>
      </c>
      <c r="I31578" s="5">
        <v>0</v>
      </c>
      <c r="J31578" s="5">
        <v>0</v>
      </c>
      <c r="K31578" s="5">
        <v>0</v>
      </c>
    </row>
    <row r="31579" spans="1:11" x14ac:dyDescent="0.25">
      <c r="A31579" s="5">
        <f>31572</f>
      </c>
      <c r="B31579" s="5" t="s">
        <v>31587</v>
      </c>
      <c r="C31579" s="5">
        <v>100.5</v>
      </c>
      <c r="D31579" s="5">
        <v>0.1</v>
      </c>
      <c r="E31579" s="5">
        <v>100.6</v>
      </c>
      <c r="F31579" s="5">
        <v>201.3</v>
      </c>
      <c r="G31579" s="5">
        <v>100.4</v>
      </c>
      <c r="H31579" s="5">
        <v>100.2</v>
      </c>
      <c r="I31579" s="5">
        <v>0</v>
      </c>
      <c r="J31579" s="5">
        <v>0</v>
      </c>
      <c r="K31579" s="5">
        <v>0</v>
      </c>
    </row>
    <row r="31580" spans="1:11" x14ac:dyDescent="0.25">
      <c r="A31580" s="5">
        <f>31573</f>
      </c>
      <c r="B31580" s="5" t="s">
        <v>31588</v>
      </c>
      <c r="C31580" s="5">
        <v>100.5</v>
      </c>
      <c r="D31580" s="5">
        <v>0.1</v>
      </c>
      <c r="E31580" s="5">
        <v>100.6</v>
      </c>
      <c r="F31580" s="5">
        <v>201.3</v>
      </c>
      <c r="G31580" s="5">
        <v>100.4</v>
      </c>
      <c r="H31580" s="5">
        <v>100.2</v>
      </c>
      <c r="I31580" s="5">
        <v>0</v>
      </c>
      <c r="J31580" s="5">
        <v>0</v>
      </c>
      <c r="K31580" s="5">
        <v>0</v>
      </c>
    </row>
    <row r="31581" spans="1:11" x14ac:dyDescent="0.25">
      <c r="A31581" s="5">
        <f>31574</f>
      </c>
      <c r="B31581" s="5" t="s">
        <v>31589</v>
      </c>
      <c r="C31581" s="5">
        <v>100.1</v>
      </c>
      <c r="D31581" s="5">
        <v>0.1</v>
      </c>
      <c r="E31581" s="5">
        <v>100.2</v>
      </c>
      <c r="F31581" s="5">
        <v>200.2</v>
      </c>
      <c r="G31581" s="5">
        <v>99.9</v>
      </c>
      <c r="H31581" s="5">
        <v>99.7</v>
      </c>
      <c r="I31581" s="5">
        <v>0</v>
      </c>
      <c r="J31581" s="5">
        <v>0</v>
      </c>
      <c r="K31581" s="5">
        <v>0</v>
      </c>
    </row>
    <row r="31582" spans="1:11" x14ac:dyDescent="0.25">
      <c r="A31582" s="5">
        <f>31575</f>
      </c>
      <c r="B31582" s="5" t="s">
        <v>31590</v>
      </c>
      <c r="C31582" s="5">
        <v>100.1</v>
      </c>
      <c r="D31582" s="5">
        <v>0.1</v>
      </c>
      <c r="E31582" s="5">
        <v>100.2</v>
      </c>
      <c r="F31582" s="5">
        <v>200.2</v>
      </c>
      <c r="G31582" s="5">
        <v>99.9</v>
      </c>
      <c r="H31582" s="5">
        <v>99.7</v>
      </c>
      <c r="I31582" s="5">
        <v>0</v>
      </c>
      <c r="J31582" s="5">
        <v>0</v>
      </c>
      <c r="K31582" s="5">
        <v>0</v>
      </c>
    </row>
    <row r="31583" spans="1:11" x14ac:dyDescent="0.25">
      <c r="A31583" s="5">
        <f>31576</f>
      </c>
      <c r="B31583" s="5" t="s">
        <v>31591</v>
      </c>
      <c r="C31583" s="5">
        <v>100.1</v>
      </c>
      <c r="D31583" s="5">
        <v>0.1</v>
      </c>
      <c r="E31583" s="5">
        <v>100.2</v>
      </c>
      <c r="F31583" s="5">
        <v>200.2</v>
      </c>
      <c r="G31583" s="5">
        <v>99.9</v>
      </c>
      <c r="H31583" s="5">
        <v>99.7</v>
      </c>
      <c r="I31583" s="5">
        <v>0</v>
      </c>
      <c r="J31583" s="5">
        <v>0</v>
      </c>
      <c r="K31583" s="5">
        <v>0</v>
      </c>
    </row>
    <row r="31584" spans="1:11" x14ac:dyDescent="0.25">
      <c r="A31584" s="5">
        <f>31577</f>
      </c>
      <c r="B31584" s="5" t="s">
        <v>31592</v>
      </c>
      <c r="C31584" s="5">
        <v>100.1</v>
      </c>
      <c r="D31584" s="5">
        <v>0.1</v>
      </c>
      <c r="E31584" s="5">
        <v>100.2</v>
      </c>
      <c r="F31584" s="5">
        <v>200.2</v>
      </c>
      <c r="G31584" s="5">
        <v>99.9</v>
      </c>
      <c r="H31584" s="5">
        <v>99.7</v>
      </c>
      <c r="I31584" s="5">
        <v>0</v>
      </c>
      <c r="J31584" s="5">
        <v>0</v>
      </c>
      <c r="K31584" s="5">
        <v>0</v>
      </c>
    </row>
    <row r="31585" spans="1:11" x14ac:dyDescent="0.25">
      <c r="A31585" s="5">
        <f>31578</f>
      </c>
      <c r="B31585" s="5" t="s">
        <v>31593</v>
      </c>
      <c r="C31585" s="5">
        <v>99.5</v>
      </c>
      <c r="D31585" s="5">
        <v>0.1</v>
      </c>
      <c r="E31585" s="5">
        <v>99.6</v>
      </c>
      <c r="F31585" s="5">
        <v>198</v>
      </c>
      <c r="G31585" s="5">
        <v>98.8</v>
      </c>
      <c r="H31585" s="5">
        <v>98.7</v>
      </c>
      <c r="I31585" s="5">
        <v>0</v>
      </c>
      <c r="J31585" s="5">
        <v>0</v>
      </c>
      <c r="K31585" s="5">
        <v>0</v>
      </c>
    </row>
    <row r="31586" spans="1:11" x14ac:dyDescent="0.25">
      <c r="A31586" s="5">
        <f>31579</f>
      </c>
      <c r="B31586" s="5" t="s">
        <v>31594</v>
      </c>
      <c r="C31586" s="5">
        <v>99.5</v>
      </c>
      <c r="D31586" s="5">
        <v>0.1</v>
      </c>
      <c r="E31586" s="5">
        <v>99.6</v>
      </c>
      <c r="F31586" s="5">
        <v>198</v>
      </c>
      <c r="G31586" s="5">
        <v>98.8</v>
      </c>
      <c r="H31586" s="5">
        <v>98.7</v>
      </c>
      <c r="I31586" s="5">
        <v>0</v>
      </c>
      <c r="J31586" s="5">
        <v>0</v>
      </c>
      <c r="K31586" s="5">
        <v>0</v>
      </c>
    </row>
    <row r="31587" spans="1:11" x14ac:dyDescent="0.25">
      <c r="A31587" s="5">
        <f>31580</f>
      </c>
      <c r="B31587" s="5" t="s">
        <v>31595</v>
      </c>
      <c r="C31587" s="5">
        <v>105.6</v>
      </c>
      <c r="D31587" s="5">
        <v>0.1</v>
      </c>
      <c r="E31587" s="5">
        <v>105.7</v>
      </c>
      <c r="F31587" s="5">
        <v>210.5</v>
      </c>
      <c r="G31587" s="5">
        <v>105.1</v>
      </c>
      <c r="H31587" s="5">
        <v>104.9</v>
      </c>
      <c r="I31587" s="5">
        <v>0</v>
      </c>
      <c r="J31587" s="5">
        <v>0</v>
      </c>
      <c r="K31587" s="5">
        <v>0</v>
      </c>
    </row>
    <row r="31588" spans="1:11" x14ac:dyDescent="0.25">
      <c r="A31588" s="5">
        <f>31581</f>
      </c>
      <c r="B31588" s="5" t="s">
        <v>31596</v>
      </c>
      <c r="C31588" s="5">
        <v>105.6</v>
      </c>
      <c r="D31588" s="5">
        <v>0.1</v>
      </c>
      <c r="E31588" s="5">
        <v>105.7</v>
      </c>
      <c r="F31588" s="5">
        <v>210.5</v>
      </c>
      <c r="G31588" s="5">
        <v>105.1</v>
      </c>
      <c r="H31588" s="5">
        <v>104.9</v>
      </c>
      <c r="I31588" s="5">
        <v>0</v>
      </c>
      <c r="J31588" s="5">
        <v>0</v>
      </c>
      <c r="K31588" s="5">
        <v>0</v>
      </c>
    </row>
    <row r="31589" spans="1:11" x14ac:dyDescent="0.25">
      <c r="A31589" s="5">
        <f>31582</f>
      </c>
      <c r="B31589" s="5" t="s">
        <v>31597</v>
      </c>
      <c r="C31589" s="5">
        <v>104.9</v>
      </c>
      <c r="D31589" s="5">
        <v>0.1</v>
      </c>
      <c r="E31589" s="5">
        <v>105</v>
      </c>
      <c r="F31589" s="5">
        <v>209.9</v>
      </c>
      <c r="G31589" s="5">
        <v>104.7</v>
      </c>
      <c r="H31589" s="5">
        <v>104.6</v>
      </c>
      <c r="I31589" s="5">
        <v>0</v>
      </c>
      <c r="J31589" s="5">
        <v>0</v>
      </c>
      <c r="K31589" s="5">
        <v>0</v>
      </c>
    </row>
    <row r="31590" spans="1:11" x14ac:dyDescent="0.25">
      <c r="A31590" s="5">
        <f>31583</f>
      </c>
      <c r="B31590" s="5" t="s">
        <v>31598</v>
      </c>
      <c r="C31590" s="5">
        <v>104.9</v>
      </c>
      <c r="D31590" s="5">
        <v>0.1</v>
      </c>
      <c r="E31590" s="5">
        <v>105</v>
      </c>
      <c r="F31590" s="5">
        <v>209.9</v>
      </c>
      <c r="G31590" s="5">
        <v>104.7</v>
      </c>
      <c r="H31590" s="5">
        <v>104.6</v>
      </c>
      <c r="I31590" s="5">
        <v>0</v>
      </c>
      <c r="J31590" s="5">
        <v>0</v>
      </c>
      <c r="K31590" s="5">
        <v>0</v>
      </c>
    </row>
    <row r="31591" spans="1:11" x14ac:dyDescent="0.25">
      <c r="A31591" s="5">
        <f>31584</f>
      </c>
      <c r="B31591" s="5" t="s">
        <v>31599</v>
      </c>
      <c r="C31591" s="5">
        <v>104.6</v>
      </c>
      <c r="D31591" s="5">
        <v>0.1</v>
      </c>
      <c r="E31591" s="5">
        <v>104.7</v>
      </c>
      <c r="F31591" s="5">
        <v>209.2</v>
      </c>
      <c r="G31591" s="5">
        <v>104.4</v>
      </c>
      <c r="H31591" s="5">
        <v>104.2</v>
      </c>
      <c r="I31591" s="5">
        <v>0</v>
      </c>
      <c r="J31591" s="5">
        <v>0</v>
      </c>
      <c r="K31591" s="5">
        <v>0</v>
      </c>
    </row>
    <row r="31592" spans="1:11" x14ac:dyDescent="0.25">
      <c r="A31592" s="5">
        <f>31585</f>
      </c>
      <c r="B31592" s="5" t="s">
        <v>31600</v>
      </c>
      <c r="C31592" s="5">
        <v>104.6</v>
      </c>
      <c r="D31592" s="5">
        <v>0.1</v>
      </c>
      <c r="E31592" s="5">
        <v>104.7</v>
      </c>
      <c r="F31592" s="5">
        <v>209.2</v>
      </c>
      <c r="G31592" s="5">
        <v>104.4</v>
      </c>
      <c r="H31592" s="5">
        <v>104.2</v>
      </c>
      <c r="I31592" s="5">
        <v>0</v>
      </c>
      <c r="J31592" s="5">
        <v>0</v>
      </c>
      <c r="K31592" s="5">
        <v>0</v>
      </c>
    </row>
    <row r="31593" spans="1:11" x14ac:dyDescent="0.25">
      <c r="A31593" s="5">
        <f>31586</f>
      </c>
      <c r="B31593" s="5" t="s">
        <v>31601</v>
      </c>
      <c r="C31593" s="5">
        <v>104.6</v>
      </c>
      <c r="D31593" s="5">
        <v>0.1</v>
      </c>
      <c r="E31593" s="5">
        <v>104.7</v>
      </c>
      <c r="F31593" s="5">
        <v>209.2</v>
      </c>
      <c r="G31593" s="5">
        <v>104.4</v>
      </c>
      <c r="H31593" s="5">
        <v>104.2</v>
      </c>
      <c r="I31593" s="5">
        <v>0</v>
      </c>
      <c r="J31593" s="5">
        <v>0</v>
      </c>
      <c r="K31593" s="5">
        <v>0</v>
      </c>
    </row>
    <row r="31594" spans="1:11" x14ac:dyDescent="0.25">
      <c r="A31594" s="5">
        <f>31587</f>
      </c>
      <c r="B31594" s="5" t="s">
        <v>31602</v>
      </c>
      <c r="C31594" s="5">
        <v>104.6</v>
      </c>
      <c r="D31594" s="5">
        <v>0.1</v>
      </c>
      <c r="E31594" s="5">
        <v>104.7</v>
      </c>
      <c r="F31594" s="5">
        <v>209.2</v>
      </c>
      <c r="G31594" s="5">
        <v>104.4</v>
      </c>
      <c r="H31594" s="5">
        <v>104.2</v>
      </c>
      <c r="I31594" s="5">
        <v>0</v>
      </c>
      <c r="J31594" s="5">
        <v>0</v>
      </c>
      <c r="K31594" s="5">
        <v>0</v>
      </c>
    </row>
    <row r="31595" spans="1:11" x14ac:dyDescent="0.25">
      <c r="A31595" s="5">
        <f>31588</f>
      </c>
      <c r="B31595" s="5" t="s">
        <v>31603</v>
      </c>
      <c r="C31595" s="5">
        <v>105.8</v>
      </c>
      <c r="D31595" s="5">
        <v>0.1</v>
      </c>
      <c r="E31595" s="5">
        <v>105.9</v>
      </c>
      <c r="F31595" s="5">
        <v>209.9</v>
      </c>
      <c r="G31595" s="5">
        <v>104.7</v>
      </c>
      <c r="H31595" s="5">
        <v>104.5</v>
      </c>
      <c r="I31595" s="5">
        <v>0</v>
      </c>
      <c r="J31595" s="5">
        <v>0</v>
      </c>
      <c r="K31595" s="5">
        <v>0</v>
      </c>
    </row>
    <row r="31596" spans="1:11" x14ac:dyDescent="0.25">
      <c r="A31596" s="5">
        <f>31589</f>
      </c>
      <c r="B31596" s="5" t="s">
        <v>31604</v>
      </c>
      <c r="C31596" s="5">
        <v>105.8</v>
      </c>
      <c r="D31596" s="5">
        <v>0.1</v>
      </c>
      <c r="E31596" s="5">
        <v>105.9</v>
      </c>
      <c r="F31596" s="5">
        <v>209.9</v>
      </c>
      <c r="G31596" s="5">
        <v>104.7</v>
      </c>
      <c r="H31596" s="5">
        <v>104.5</v>
      </c>
      <c r="I31596" s="5">
        <v>0</v>
      </c>
      <c r="J31596" s="5">
        <v>0</v>
      </c>
      <c r="K31596" s="5">
        <v>0</v>
      </c>
    </row>
    <row r="31597" spans="1:11" x14ac:dyDescent="0.25">
      <c r="A31597" s="5">
        <f>31590</f>
      </c>
      <c r="B31597" s="5" t="s">
        <v>31605</v>
      </c>
      <c r="C31597" s="5">
        <v>104.8</v>
      </c>
      <c r="D31597" s="5">
        <v>0.1</v>
      </c>
      <c r="E31597" s="5">
        <v>104.9</v>
      </c>
      <c r="F31597" s="5">
        <v>209.5</v>
      </c>
      <c r="G31597" s="5">
        <v>104.5</v>
      </c>
      <c r="H31597" s="5">
        <v>104.3</v>
      </c>
      <c r="I31597" s="5">
        <v>0</v>
      </c>
      <c r="J31597" s="5">
        <v>0</v>
      </c>
      <c r="K31597" s="5">
        <v>0</v>
      </c>
    </row>
    <row r="31598" spans="1:11" x14ac:dyDescent="0.25">
      <c r="A31598" s="5">
        <f>31591</f>
      </c>
      <c r="B31598" s="5" t="s">
        <v>31606</v>
      </c>
      <c r="C31598" s="5">
        <v>104.8</v>
      </c>
      <c r="D31598" s="5">
        <v>0.1</v>
      </c>
      <c r="E31598" s="5">
        <v>104.9</v>
      </c>
      <c r="F31598" s="5">
        <v>209.5</v>
      </c>
      <c r="G31598" s="5">
        <v>104.5</v>
      </c>
      <c r="H31598" s="5">
        <v>104.3</v>
      </c>
      <c r="I31598" s="5">
        <v>0</v>
      </c>
      <c r="J31598" s="5">
        <v>0</v>
      </c>
      <c r="K31598" s="5">
        <v>0</v>
      </c>
    </row>
    <row r="31599" spans="1:11" x14ac:dyDescent="0.25">
      <c r="A31599" s="5">
        <f>31592</f>
      </c>
      <c r="B31599" s="5" t="s">
        <v>31607</v>
      </c>
      <c r="C31599" s="5">
        <v>105.1</v>
      </c>
      <c r="D31599" s="5">
        <v>0.1</v>
      </c>
      <c r="E31599" s="5">
        <v>105.3</v>
      </c>
      <c r="F31599" s="5">
        <v>209.9</v>
      </c>
      <c r="G31599" s="5">
        <v>104.7</v>
      </c>
      <c r="H31599" s="5">
        <v>104.5</v>
      </c>
      <c r="I31599" s="5">
        <v>0</v>
      </c>
      <c r="J31599" s="5">
        <v>0</v>
      </c>
      <c r="K31599" s="5">
        <v>0</v>
      </c>
    </row>
    <row r="31600" spans="1:11" x14ac:dyDescent="0.25">
      <c r="A31600" s="5">
        <f>31593</f>
      </c>
      <c r="B31600" s="5" t="s">
        <v>31608</v>
      </c>
      <c r="C31600" s="5">
        <v>105.1</v>
      </c>
      <c r="D31600" s="5">
        <v>0.1</v>
      </c>
      <c r="E31600" s="5">
        <v>105.3</v>
      </c>
      <c r="F31600" s="5">
        <v>209.9</v>
      </c>
      <c r="G31600" s="5">
        <v>104.7</v>
      </c>
      <c r="H31600" s="5">
        <v>104.5</v>
      </c>
      <c r="I31600" s="5">
        <v>0</v>
      </c>
      <c r="J31600" s="5">
        <v>0</v>
      </c>
      <c r="K31600" s="5">
        <v>0</v>
      </c>
    </row>
    <row r="31601" spans="1:11" x14ac:dyDescent="0.25">
      <c r="A31601" s="5">
        <f>31594</f>
      </c>
      <c r="B31601" s="5" t="s">
        <v>31609</v>
      </c>
      <c r="C31601" s="5">
        <v>104.3</v>
      </c>
      <c r="D31601" s="5">
        <v>0.1</v>
      </c>
      <c r="E31601" s="5">
        <v>104.4</v>
      </c>
      <c r="F31601" s="5">
        <v>208.3</v>
      </c>
      <c r="G31601" s="5">
        <v>103.9</v>
      </c>
      <c r="H31601" s="5">
        <v>103.8</v>
      </c>
      <c r="I31601" s="5">
        <v>0</v>
      </c>
      <c r="J31601" s="5">
        <v>0</v>
      </c>
      <c r="K31601" s="5">
        <v>0</v>
      </c>
    </row>
    <row r="31602" spans="1:11" x14ac:dyDescent="0.25">
      <c r="A31602" s="5">
        <f>31595</f>
      </c>
      <c r="B31602" s="5" t="s">
        <v>31610</v>
      </c>
      <c r="C31602" s="5">
        <v>104.3</v>
      </c>
      <c r="D31602" s="5">
        <v>0.1</v>
      </c>
      <c r="E31602" s="5">
        <v>104.4</v>
      </c>
      <c r="F31602" s="5">
        <v>208.3</v>
      </c>
      <c r="G31602" s="5">
        <v>103.9</v>
      </c>
      <c r="H31602" s="5">
        <v>103.8</v>
      </c>
      <c r="I31602" s="5">
        <v>0</v>
      </c>
      <c r="J31602" s="5">
        <v>0</v>
      </c>
      <c r="K31602" s="5">
        <v>0</v>
      </c>
    </row>
    <row r="31603" spans="1:11" x14ac:dyDescent="0.25">
      <c r="A31603" s="5">
        <f>31596</f>
      </c>
      <c r="B31603" s="5" t="s">
        <v>31611</v>
      </c>
      <c r="C31603" s="5">
        <v>104.3</v>
      </c>
      <c r="D31603" s="5">
        <v>0.1</v>
      </c>
      <c r="E31603" s="5">
        <v>104.4</v>
      </c>
      <c r="F31603" s="5">
        <v>208.3</v>
      </c>
      <c r="G31603" s="5">
        <v>103.9</v>
      </c>
      <c r="H31603" s="5">
        <v>103.8</v>
      </c>
      <c r="I31603" s="5">
        <v>0</v>
      </c>
      <c r="J31603" s="5">
        <v>0</v>
      </c>
      <c r="K31603" s="5">
        <v>0</v>
      </c>
    </row>
    <row r="31604" spans="1:11" x14ac:dyDescent="0.25">
      <c r="A31604" s="5">
        <f>31597</f>
      </c>
      <c r="B31604" s="5" t="s">
        <v>31612</v>
      </c>
      <c r="C31604" s="5">
        <v>104.3</v>
      </c>
      <c r="D31604" s="5">
        <v>0.1</v>
      </c>
      <c r="E31604" s="5">
        <v>104.4</v>
      </c>
      <c r="F31604" s="5">
        <v>208.3</v>
      </c>
      <c r="G31604" s="5">
        <v>103.9</v>
      </c>
      <c r="H31604" s="5">
        <v>103.8</v>
      </c>
      <c r="I31604" s="5">
        <v>0</v>
      </c>
      <c r="J31604" s="5">
        <v>0</v>
      </c>
      <c r="K31604" s="5">
        <v>0</v>
      </c>
    </row>
    <row r="31605" spans="1:11" x14ac:dyDescent="0.25">
      <c r="A31605" s="5">
        <f>31598</f>
      </c>
      <c r="B31605" s="5" t="s">
        <v>31613</v>
      </c>
      <c r="C31605" s="5">
        <v>102.9</v>
      </c>
      <c r="D31605" s="5">
        <v>0.1</v>
      </c>
      <c r="E31605" s="5">
        <v>103</v>
      </c>
      <c r="F31605" s="5">
        <v>206.1</v>
      </c>
      <c r="G31605" s="5">
        <v>102.8</v>
      </c>
      <c r="H31605" s="5">
        <v>102.6</v>
      </c>
      <c r="I31605" s="5">
        <v>0</v>
      </c>
      <c r="J31605" s="5">
        <v>0</v>
      </c>
      <c r="K31605" s="5">
        <v>0</v>
      </c>
    </row>
    <row r="31606" spans="1:11" x14ac:dyDescent="0.25">
      <c r="A31606" s="5">
        <f>31599</f>
      </c>
      <c r="B31606" s="5" t="s">
        <v>31614</v>
      </c>
      <c r="C31606" s="5">
        <v>102.9</v>
      </c>
      <c r="D31606" s="5">
        <v>0.1</v>
      </c>
      <c r="E31606" s="5">
        <v>103</v>
      </c>
      <c r="F31606" s="5">
        <v>206.1</v>
      </c>
      <c r="G31606" s="5">
        <v>102.8</v>
      </c>
      <c r="H31606" s="5">
        <v>102.6</v>
      </c>
      <c r="I31606" s="5">
        <v>0</v>
      </c>
      <c r="J31606" s="5">
        <v>0</v>
      </c>
      <c r="K31606" s="5">
        <v>0</v>
      </c>
    </row>
    <row r="31607" spans="1:11" x14ac:dyDescent="0.25">
      <c r="A31607" s="5">
        <f>31600</f>
      </c>
      <c r="B31607" s="5" t="s">
        <v>31615</v>
      </c>
      <c r="C31607" s="5">
        <v>99.1</v>
      </c>
      <c r="D31607" s="5">
        <v>0.1</v>
      </c>
      <c r="E31607" s="5">
        <v>99.2</v>
      </c>
      <c r="F31607" s="5">
        <v>197.5</v>
      </c>
      <c r="G31607" s="5">
        <v>98.5</v>
      </c>
      <c r="H31607" s="5">
        <v>98.4</v>
      </c>
      <c r="I31607" s="5">
        <v>0</v>
      </c>
      <c r="J31607" s="5">
        <v>0</v>
      </c>
      <c r="K31607" s="5">
        <v>0</v>
      </c>
    </row>
    <row r="31608" spans="1:11" x14ac:dyDescent="0.25">
      <c r="A31608" s="5">
        <f>31601</f>
      </c>
      <c r="B31608" s="5" t="s">
        <v>31616</v>
      </c>
      <c r="C31608" s="5">
        <v>99.1</v>
      </c>
      <c r="D31608" s="5">
        <v>0.1</v>
      </c>
      <c r="E31608" s="5">
        <v>99.2</v>
      </c>
      <c r="F31608" s="5">
        <v>197.5</v>
      </c>
      <c r="G31608" s="5">
        <v>98.5</v>
      </c>
      <c r="H31608" s="5">
        <v>98.4</v>
      </c>
      <c r="I31608" s="5">
        <v>0</v>
      </c>
      <c r="J31608" s="5">
        <v>0</v>
      </c>
      <c r="K31608" s="5">
        <v>0</v>
      </c>
    </row>
    <row r="31609" spans="1:11" x14ac:dyDescent="0.25">
      <c r="A31609" s="5">
        <f>31602</f>
      </c>
      <c r="B31609" s="5" t="s">
        <v>31617</v>
      </c>
      <c r="C31609" s="5">
        <v>101.9</v>
      </c>
      <c r="D31609" s="5">
        <v>0.1</v>
      </c>
      <c r="E31609" s="5">
        <v>102.1</v>
      </c>
      <c r="F31609" s="5">
        <v>205.2</v>
      </c>
      <c r="G31609" s="5">
        <v>103.7</v>
      </c>
      <c r="H31609" s="5">
        <v>103.4</v>
      </c>
      <c r="I31609" s="5">
        <v>0</v>
      </c>
      <c r="J31609" s="5">
        <v>0</v>
      </c>
      <c r="K31609" s="5">
        <v>0</v>
      </c>
    </row>
    <row r="31610" spans="1:11" x14ac:dyDescent="0.25">
      <c r="A31610" s="5">
        <f>31603</f>
      </c>
      <c r="B31610" s="5" t="s">
        <v>31618</v>
      </c>
      <c r="C31610" s="5">
        <v>101.9</v>
      </c>
      <c r="D31610" s="5">
        <v>0.1</v>
      </c>
      <c r="E31610" s="5">
        <v>102.1</v>
      </c>
      <c r="F31610" s="5">
        <v>205.2</v>
      </c>
      <c r="G31610" s="5">
        <v>103.7</v>
      </c>
      <c r="H31610" s="5">
        <v>103.4</v>
      </c>
      <c r="I31610" s="5">
        <v>0</v>
      </c>
      <c r="J31610" s="5">
        <v>0</v>
      </c>
      <c r="K31610" s="5">
        <v>0</v>
      </c>
    </row>
    <row r="31611" spans="1:11" x14ac:dyDescent="0.25">
      <c r="A31611" s="5">
        <f>31604</f>
      </c>
      <c r="B31611" s="5" t="s">
        <v>31619</v>
      </c>
      <c r="C31611" s="5">
        <v>104.8</v>
      </c>
      <c r="D31611" s="5">
        <v>0.1</v>
      </c>
      <c r="E31611" s="5">
        <v>105</v>
      </c>
      <c r="F31611" s="5">
        <v>204.1</v>
      </c>
      <c r="G31611" s="5">
        <v>102.1</v>
      </c>
      <c r="H31611" s="5">
        <v>102.2</v>
      </c>
      <c r="I31611" s="5">
        <v>0</v>
      </c>
      <c r="J31611" s="5">
        <v>0</v>
      </c>
      <c r="K31611" s="5">
        <v>0</v>
      </c>
    </row>
    <row r="31612" spans="1:11" x14ac:dyDescent="0.25">
      <c r="A31612" s="5">
        <f>31605</f>
      </c>
      <c r="B31612" s="5" t="s">
        <v>31620</v>
      </c>
      <c r="C31612" s="5">
        <v>104.8</v>
      </c>
      <c r="D31612" s="5">
        <v>0.1</v>
      </c>
      <c r="E31612" s="5">
        <v>105</v>
      </c>
      <c r="F31612" s="5">
        <v>204.1</v>
      </c>
      <c r="G31612" s="5">
        <v>102.1</v>
      </c>
      <c r="H31612" s="5">
        <v>102.2</v>
      </c>
      <c r="I31612" s="5">
        <v>0</v>
      </c>
      <c r="J31612" s="5">
        <v>0</v>
      </c>
      <c r="K31612" s="5">
        <v>0</v>
      </c>
    </row>
    <row r="31613" spans="1:11" x14ac:dyDescent="0.25">
      <c r="A31613" s="5">
        <f>31606</f>
      </c>
      <c r="B31613" s="5" t="s">
        <v>31621</v>
      </c>
      <c r="C31613" s="5">
        <v>104.8</v>
      </c>
      <c r="D31613" s="5">
        <v>0.1</v>
      </c>
      <c r="E31613" s="5">
        <v>105</v>
      </c>
      <c r="F31613" s="5">
        <v>204.1</v>
      </c>
      <c r="G31613" s="5">
        <v>102.1</v>
      </c>
      <c r="H31613" s="5">
        <v>102.2</v>
      </c>
      <c r="I31613" s="5">
        <v>0</v>
      </c>
      <c r="J31613" s="5">
        <v>0</v>
      </c>
      <c r="K31613" s="5">
        <v>0</v>
      </c>
    </row>
    <row r="31614" spans="1:11" x14ac:dyDescent="0.25">
      <c r="A31614" s="5">
        <f>31607</f>
      </c>
      <c r="B31614" s="5" t="s">
        <v>31622</v>
      </c>
      <c r="C31614" s="5">
        <v>104.8</v>
      </c>
      <c r="D31614" s="5">
        <v>0.1</v>
      </c>
      <c r="E31614" s="5">
        <v>105</v>
      </c>
      <c r="F31614" s="5">
        <v>204.1</v>
      </c>
      <c r="G31614" s="5">
        <v>102.1</v>
      </c>
      <c r="H31614" s="5">
        <v>102.2</v>
      </c>
      <c r="I31614" s="5">
        <v>0</v>
      </c>
      <c r="J31614" s="5">
        <v>0</v>
      </c>
      <c r="K31614" s="5">
        <v>0</v>
      </c>
    </row>
    <row r="31615" spans="1:11" x14ac:dyDescent="0.25">
      <c r="A31615" s="5">
        <f>31608</f>
      </c>
      <c r="B31615" s="5" t="s">
        <v>31623</v>
      </c>
      <c r="C31615" s="5">
        <v>99.5</v>
      </c>
      <c r="D31615" s="5">
        <v>0.1</v>
      </c>
      <c r="E31615" s="5">
        <v>99.6</v>
      </c>
      <c r="F31615" s="5">
        <v>199.7</v>
      </c>
      <c r="G31615" s="5">
        <v>99.5</v>
      </c>
      <c r="H31615" s="5">
        <v>99.4</v>
      </c>
      <c r="I31615" s="5">
        <v>0</v>
      </c>
      <c r="J31615" s="5">
        <v>0</v>
      </c>
      <c r="K31615" s="5">
        <v>0</v>
      </c>
    </row>
    <row r="31616" spans="1:11" x14ac:dyDescent="0.25">
      <c r="A31616" s="5">
        <f>31609</f>
      </c>
      <c r="B31616" s="5" t="s">
        <v>31624</v>
      </c>
      <c r="C31616" s="5">
        <v>99.5</v>
      </c>
      <c r="D31616" s="5">
        <v>0.1</v>
      </c>
      <c r="E31616" s="5">
        <v>99.6</v>
      </c>
      <c r="F31616" s="5">
        <v>199.7</v>
      </c>
      <c r="G31616" s="5">
        <v>99.5</v>
      </c>
      <c r="H31616" s="5">
        <v>99.4</v>
      </c>
      <c r="I31616" s="5">
        <v>0</v>
      </c>
      <c r="J31616" s="5">
        <v>0</v>
      </c>
      <c r="K31616" s="5">
        <v>0</v>
      </c>
    </row>
    <row r="31617" spans="1:11" x14ac:dyDescent="0.25">
      <c r="A31617" s="5">
        <f>31610</f>
      </c>
      <c r="B31617" s="5" t="s">
        <v>31625</v>
      </c>
      <c r="C31617" s="5">
        <v>105.2</v>
      </c>
      <c r="D31617" s="5">
        <v>0.1</v>
      </c>
      <c r="E31617" s="5">
        <v>105.3</v>
      </c>
      <c r="F31617" s="5">
        <v>204.6</v>
      </c>
      <c r="G31617" s="5">
        <v>101.8</v>
      </c>
      <c r="H31617" s="5">
        <v>101.5</v>
      </c>
      <c r="I31617" s="5">
        <v>0</v>
      </c>
      <c r="J31617" s="5">
        <v>0</v>
      </c>
      <c r="K31617" s="5">
        <v>0</v>
      </c>
    </row>
    <row r="31618" spans="1:11" x14ac:dyDescent="0.25">
      <c r="A31618" s="5">
        <f>31611</f>
      </c>
      <c r="B31618" s="5" t="s">
        <v>31626</v>
      </c>
      <c r="C31618" s="5">
        <v>105.2</v>
      </c>
      <c r="D31618" s="5">
        <v>0.1</v>
      </c>
      <c r="E31618" s="5">
        <v>105.3</v>
      </c>
      <c r="F31618" s="5">
        <v>204.6</v>
      </c>
      <c r="G31618" s="5">
        <v>101.8</v>
      </c>
      <c r="H31618" s="5">
        <v>101.5</v>
      </c>
      <c r="I31618" s="5">
        <v>0</v>
      </c>
      <c r="J31618" s="5">
        <v>0</v>
      </c>
      <c r="K31618" s="5">
        <v>0</v>
      </c>
    </row>
    <row r="31619" spans="1:11" x14ac:dyDescent="0.25">
      <c r="A31619" s="5">
        <f>31612</f>
      </c>
      <c r="B31619" s="5" t="s">
        <v>31627</v>
      </c>
      <c r="C31619" s="5">
        <v>101.1</v>
      </c>
      <c r="D31619" s="5">
        <v>0.1</v>
      </c>
      <c r="E31619" s="5">
        <v>101.2</v>
      </c>
      <c r="F31619" s="5">
        <v>207.1</v>
      </c>
      <c r="G31619" s="5">
        <v>103.6</v>
      </c>
      <c r="H31619" s="5">
        <v>103.6</v>
      </c>
      <c r="I31619" s="5">
        <v>0</v>
      </c>
      <c r="J31619" s="5">
        <v>0</v>
      </c>
      <c r="K31619" s="5">
        <v>0</v>
      </c>
    </row>
    <row r="31620" spans="1:11" x14ac:dyDescent="0.25">
      <c r="A31620" s="5">
        <f>31613</f>
      </c>
      <c r="B31620" s="5" t="s">
        <v>31628</v>
      </c>
      <c r="C31620" s="5">
        <v>101.1</v>
      </c>
      <c r="D31620" s="5">
        <v>0.1</v>
      </c>
      <c r="E31620" s="5">
        <v>101.2</v>
      </c>
      <c r="F31620" s="5">
        <v>207.1</v>
      </c>
      <c r="G31620" s="5">
        <v>103.6</v>
      </c>
      <c r="H31620" s="5">
        <v>103.6</v>
      </c>
      <c r="I31620" s="5">
        <v>0</v>
      </c>
      <c r="J31620" s="5">
        <v>0</v>
      </c>
      <c r="K31620" s="5">
        <v>0</v>
      </c>
    </row>
    <row r="31621" spans="1:11" x14ac:dyDescent="0.25">
      <c r="A31621" s="5">
        <f>31614</f>
      </c>
      <c r="B31621" s="5" t="s">
        <v>31629</v>
      </c>
      <c r="C31621" s="5">
        <v>99.5</v>
      </c>
      <c r="D31621" s="5">
        <v>0.1</v>
      </c>
      <c r="E31621" s="5">
        <v>99.6</v>
      </c>
      <c r="F31621" s="5">
        <v>198.7</v>
      </c>
      <c r="G31621" s="5">
        <v>99.1</v>
      </c>
      <c r="H31621" s="5">
        <v>98.9</v>
      </c>
      <c r="I31621" s="5">
        <v>0</v>
      </c>
      <c r="J31621" s="5">
        <v>0</v>
      </c>
      <c r="K31621" s="5">
        <v>0</v>
      </c>
    </row>
    <row r="31622" spans="1:11" x14ac:dyDescent="0.25">
      <c r="A31622" s="5">
        <f>31615</f>
      </c>
      <c r="B31622" s="5" t="s">
        <v>31630</v>
      </c>
      <c r="C31622" s="5">
        <v>99.5</v>
      </c>
      <c r="D31622" s="5">
        <v>0.1</v>
      </c>
      <c r="E31622" s="5">
        <v>99.6</v>
      </c>
      <c r="F31622" s="5">
        <v>198.7</v>
      </c>
      <c r="G31622" s="5">
        <v>99.1</v>
      </c>
      <c r="H31622" s="5">
        <v>98.9</v>
      </c>
      <c r="I31622" s="5">
        <v>0</v>
      </c>
      <c r="J31622" s="5">
        <v>0</v>
      </c>
      <c r="K31622" s="5">
        <v>0</v>
      </c>
    </row>
    <row r="31623" spans="1:11" x14ac:dyDescent="0.25">
      <c r="A31623" s="5">
        <f>31616</f>
      </c>
      <c r="B31623" s="5" t="s">
        <v>31631</v>
      </c>
      <c r="C31623" s="5">
        <v>99.5</v>
      </c>
      <c r="D31623" s="5">
        <v>0.1</v>
      </c>
      <c r="E31623" s="5">
        <v>99.6</v>
      </c>
      <c r="F31623" s="5">
        <v>198.7</v>
      </c>
      <c r="G31623" s="5">
        <v>99.1</v>
      </c>
      <c r="H31623" s="5">
        <v>98.9</v>
      </c>
      <c r="I31623" s="5">
        <v>0</v>
      </c>
      <c r="J31623" s="5">
        <v>0</v>
      </c>
      <c r="K31623" s="5">
        <v>0</v>
      </c>
    </row>
    <row r="31624" spans="1:11" x14ac:dyDescent="0.25">
      <c r="A31624" s="5">
        <f>31617</f>
      </c>
      <c r="B31624" s="5" t="s">
        <v>31632</v>
      </c>
      <c r="C31624" s="5">
        <v>100</v>
      </c>
      <c r="D31624" s="5">
        <v>0.1</v>
      </c>
      <c r="E31624" s="5">
        <v>104.6</v>
      </c>
      <c r="F31624" s="5">
        <v>198.7</v>
      </c>
      <c r="G31624" s="5">
        <v>99.1</v>
      </c>
      <c r="H31624" s="5">
        <v>98.9</v>
      </c>
      <c r="I31624" s="5">
        <v>0</v>
      </c>
      <c r="J31624" s="5">
        <v>0</v>
      </c>
      <c r="K31624" s="5">
        <v>0</v>
      </c>
    </row>
    <row r="31625" spans="1:11" x14ac:dyDescent="0.25">
      <c r="A31625" s="5">
        <f>31618</f>
      </c>
      <c r="B31625" s="5" t="s">
        <v>31633</v>
      </c>
      <c r="C31625" s="5">
        <v>100</v>
      </c>
      <c r="D31625" s="5">
        <v>0.1</v>
      </c>
      <c r="E31625" s="5">
        <v>104.6</v>
      </c>
      <c r="F31625" s="5">
        <v>207.1</v>
      </c>
      <c r="G31625" s="5">
        <v>103.4</v>
      </c>
      <c r="H31625" s="5">
        <v>103.3</v>
      </c>
      <c r="I31625" s="5">
        <v>0</v>
      </c>
      <c r="J31625" s="5">
        <v>0</v>
      </c>
      <c r="K31625" s="5">
        <v>0</v>
      </c>
    </row>
    <row r="31626" spans="1:11" x14ac:dyDescent="0.25">
      <c r="A31626" s="5">
        <f>31619</f>
      </c>
      <c r="B31626" s="5" t="s">
        <v>31634</v>
      </c>
      <c r="C31626" s="5">
        <v>104.5</v>
      </c>
      <c r="D31626" s="5">
        <v>0.1</v>
      </c>
      <c r="E31626" s="5">
        <v>104.6</v>
      </c>
      <c r="F31626" s="5">
        <v>207.1</v>
      </c>
      <c r="G31626" s="5">
        <v>103.4</v>
      </c>
      <c r="H31626" s="5">
        <v>103.3</v>
      </c>
      <c r="I31626" s="5">
        <v>0</v>
      </c>
      <c r="J31626" s="5">
        <v>0</v>
      </c>
      <c r="K31626" s="5">
        <v>0</v>
      </c>
    </row>
    <row r="31627" spans="1:11" x14ac:dyDescent="0.25">
      <c r="A31627" s="5">
        <f>31620</f>
      </c>
      <c r="B31627" s="5" t="s">
        <v>31635</v>
      </c>
      <c r="C31627" s="5">
        <v>104.5</v>
      </c>
      <c r="D31627" s="5">
        <v>0.1</v>
      </c>
      <c r="E31627" s="5">
        <v>104.6</v>
      </c>
      <c r="F31627" s="5">
        <v>205.6</v>
      </c>
      <c r="G31627" s="5">
        <v>102.7</v>
      </c>
      <c r="H31627" s="5">
        <v>102.7</v>
      </c>
      <c r="I31627" s="5">
        <v>0</v>
      </c>
      <c r="J31627" s="5">
        <v>0</v>
      </c>
      <c r="K31627" s="5">
        <v>0</v>
      </c>
    </row>
    <row r="31628" spans="1:11" x14ac:dyDescent="0.25">
      <c r="A31628" s="5">
        <f>31621</f>
      </c>
      <c r="B31628" s="5" t="s">
        <v>31636</v>
      </c>
      <c r="C31628" s="5">
        <v>104.5</v>
      </c>
      <c r="D31628" s="5">
        <v>0.1</v>
      </c>
      <c r="E31628" s="5">
        <v>104.6</v>
      </c>
      <c r="F31628" s="5">
        <v>205.6</v>
      </c>
      <c r="G31628" s="5">
        <v>102.7</v>
      </c>
      <c r="H31628" s="5">
        <v>102.7</v>
      </c>
      <c r="I31628" s="5">
        <v>0</v>
      </c>
      <c r="J31628" s="5">
        <v>0</v>
      </c>
      <c r="K31628" s="5">
        <v>0</v>
      </c>
    </row>
    <row r="31629" spans="1:11" x14ac:dyDescent="0.25">
      <c r="A31629" s="5">
        <f>31622</f>
      </c>
      <c r="B31629" s="5" t="s">
        <v>31637</v>
      </c>
      <c r="C31629" s="5">
        <v>103.7</v>
      </c>
      <c r="D31629" s="5">
        <v>0.1</v>
      </c>
      <c r="E31629" s="5">
        <v>103.9</v>
      </c>
      <c r="F31629" s="5">
        <v>196.9</v>
      </c>
      <c r="G31629" s="5">
        <v>98.2</v>
      </c>
      <c r="H31629" s="5">
        <v>98.1</v>
      </c>
      <c r="I31629" s="5">
        <v>0</v>
      </c>
      <c r="J31629" s="5">
        <v>0</v>
      </c>
      <c r="K31629" s="5">
        <v>0</v>
      </c>
    </row>
    <row r="31630" spans="1:11" x14ac:dyDescent="0.25">
      <c r="A31630" s="5">
        <f>31623</f>
      </c>
      <c r="B31630" s="5" t="s">
        <v>31638</v>
      </c>
      <c r="C31630" s="5">
        <v>103.7</v>
      </c>
      <c r="D31630" s="5">
        <v>0.1</v>
      </c>
      <c r="E31630" s="5">
        <v>103.9</v>
      </c>
      <c r="F31630" s="5">
        <v>196.9</v>
      </c>
      <c r="G31630" s="5">
        <v>98.2</v>
      </c>
      <c r="H31630" s="5">
        <v>98.1</v>
      </c>
      <c r="I31630" s="5">
        <v>0</v>
      </c>
      <c r="J31630" s="5">
        <v>0</v>
      </c>
      <c r="K31630" s="5">
        <v>0</v>
      </c>
    </row>
    <row r="31631" spans="1:11" x14ac:dyDescent="0.25">
      <c r="A31631" s="5">
        <f>31624</f>
      </c>
      <c r="B31631" s="5" t="s">
        <v>31639</v>
      </c>
      <c r="C31631" s="5">
        <v>98.9</v>
      </c>
      <c r="D31631" s="5">
        <v>0.1</v>
      </c>
      <c r="E31631" s="5">
        <v>99</v>
      </c>
      <c r="F31631" s="5">
        <v>197.8</v>
      </c>
      <c r="G31631" s="5">
        <v>98.8</v>
      </c>
      <c r="H31631" s="5">
        <v>98.9</v>
      </c>
      <c r="I31631" s="5">
        <v>0</v>
      </c>
      <c r="J31631" s="5">
        <v>0</v>
      </c>
      <c r="K31631" s="5">
        <v>0</v>
      </c>
    </row>
    <row r="31632" spans="1:11" x14ac:dyDescent="0.25">
      <c r="A31632" s="5">
        <f>31625</f>
      </c>
      <c r="B31632" s="5" t="s">
        <v>31640</v>
      </c>
      <c r="C31632" s="5">
        <v>98.9</v>
      </c>
      <c r="D31632" s="5">
        <v>0.1</v>
      </c>
      <c r="E31632" s="5">
        <v>99</v>
      </c>
      <c r="F31632" s="5">
        <v>197.8</v>
      </c>
      <c r="G31632" s="5">
        <v>98.8</v>
      </c>
      <c r="H31632" s="5">
        <v>98.9</v>
      </c>
      <c r="I31632" s="5">
        <v>0</v>
      </c>
      <c r="J31632" s="5">
        <v>0</v>
      </c>
      <c r="K31632" s="5">
        <v>0</v>
      </c>
    </row>
    <row r="31633" spans="1:11" x14ac:dyDescent="0.25">
      <c r="A31633" s="5">
        <f>31626</f>
      </c>
      <c r="B31633" s="5" t="s">
        <v>31641</v>
      </c>
      <c r="C31633" s="5">
        <v>98.9</v>
      </c>
      <c r="D31633" s="5">
        <v>0.1</v>
      </c>
      <c r="E31633" s="5">
        <v>99</v>
      </c>
      <c r="F31633" s="5">
        <v>197.8</v>
      </c>
      <c r="G31633" s="5">
        <v>98.8</v>
      </c>
      <c r="H31633" s="5">
        <v>98.9</v>
      </c>
      <c r="I31633" s="5">
        <v>0</v>
      </c>
      <c r="J31633" s="5">
        <v>0</v>
      </c>
      <c r="K31633" s="5">
        <v>0</v>
      </c>
    </row>
    <row r="31634" spans="1:11" x14ac:dyDescent="0.25">
      <c r="A31634" s="5">
        <f>31627</f>
      </c>
      <c r="B31634" s="5" t="s">
        <v>31642</v>
      </c>
      <c r="C31634" s="5">
        <v>98.9</v>
      </c>
      <c r="D31634" s="5">
        <v>0.1</v>
      </c>
      <c r="E31634" s="5">
        <v>99</v>
      </c>
      <c r="F31634" s="5">
        <v>197.8</v>
      </c>
      <c r="G31634" s="5">
        <v>98.8</v>
      </c>
      <c r="H31634" s="5">
        <v>98.9</v>
      </c>
      <c r="I31634" s="5">
        <v>0</v>
      </c>
      <c r="J31634" s="5">
        <v>0</v>
      </c>
      <c r="K31634" s="5">
        <v>0</v>
      </c>
    </row>
    <row r="31635" spans="1:11" x14ac:dyDescent="0.25">
      <c r="A31635" s="5">
        <f>31628</f>
      </c>
      <c r="B31635" s="5" t="s">
        <v>31643</v>
      </c>
      <c r="C31635" s="5">
        <v>104.6</v>
      </c>
      <c r="D31635" s="5">
        <v>0.1</v>
      </c>
      <c r="E31635" s="5">
        <v>104.8</v>
      </c>
      <c r="F31635" s="5">
        <v>201.5</v>
      </c>
      <c r="G31635" s="5">
        <v>100.8</v>
      </c>
      <c r="H31635" s="5">
        <v>101</v>
      </c>
      <c r="I31635" s="5">
        <v>0</v>
      </c>
      <c r="J31635" s="5">
        <v>0</v>
      </c>
      <c r="K31635" s="5">
        <v>0</v>
      </c>
    </row>
    <row r="31636" spans="1:11" x14ac:dyDescent="0.25">
      <c r="A31636" s="5">
        <f>31629</f>
      </c>
      <c r="B31636" s="5" t="s">
        <v>31644</v>
      </c>
      <c r="C31636" s="5">
        <v>104.6</v>
      </c>
      <c r="D31636" s="5">
        <v>0.1</v>
      </c>
      <c r="E31636" s="5">
        <v>104.8</v>
      </c>
      <c r="F31636" s="5">
        <v>201.5</v>
      </c>
      <c r="G31636" s="5">
        <v>100.8</v>
      </c>
      <c r="H31636" s="5">
        <v>101</v>
      </c>
      <c r="I31636" s="5">
        <v>0</v>
      </c>
      <c r="J31636" s="5">
        <v>0</v>
      </c>
      <c r="K31636" s="5">
        <v>0</v>
      </c>
    </row>
    <row r="31637" spans="1:11" x14ac:dyDescent="0.25">
      <c r="A31637" s="5">
        <f>31630</f>
      </c>
      <c r="B31637" s="5" t="s">
        <v>31645</v>
      </c>
      <c r="C31637" s="5">
        <v>105.2</v>
      </c>
      <c r="D31637" s="5">
        <v>0.1</v>
      </c>
      <c r="E31637" s="5">
        <v>105.3</v>
      </c>
      <c r="F31637" s="5">
        <v>209.2</v>
      </c>
      <c r="G31637" s="5">
        <v>104.4</v>
      </c>
      <c r="H31637" s="5">
        <v>104.3</v>
      </c>
      <c r="I31637" s="5">
        <v>0</v>
      </c>
      <c r="J31637" s="5">
        <v>0</v>
      </c>
      <c r="K31637" s="5">
        <v>0</v>
      </c>
    </row>
    <row r="31638" spans="1:11" x14ac:dyDescent="0.25">
      <c r="A31638" s="5">
        <f>31631</f>
      </c>
      <c r="B31638" s="5" t="s">
        <v>31646</v>
      </c>
      <c r="C31638" s="5">
        <v>105.2</v>
      </c>
      <c r="D31638" s="5">
        <v>0.1</v>
      </c>
      <c r="E31638" s="5">
        <v>105.3</v>
      </c>
      <c r="F31638" s="5">
        <v>209.2</v>
      </c>
      <c r="G31638" s="5">
        <v>104.4</v>
      </c>
      <c r="H31638" s="5">
        <v>104.3</v>
      </c>
      <c r="I31638" s="5">
        <v>0</v>
      </c>
      <c r="J31638" s="5">
        <v>0</v>
      </c>
      <c r="K31638" s="5">
        <v>0</v>
      </c>
    </row>
    <row r="31639" spans="1:11" x14ac:dyDescent="0.25">
      <c r="A31639" s="5">
        <f>31632</f>
      </c>
      <c r="B31639" s="5" t="s">
        <v>31647</v>
      </c>
      <c r="C31639" s="5">
        <v>103.5</v>
      </c>
      <c r="D31639" s="5">
        <v>0.1</v>
      </c>
      <c r="E31639" s="5">
        <v>103.7</v>
      </c>
      <c r="F31639" s="5">
        <v>200.8</v>
      </c>
      <c r="G31639" s="5">
        <v>100.6</v>
      </c>
      <c r="H31639" s="5">
        <v>100.7</v>
      </c>
      <c r="I31639" s="5">
        <v>0</v>
      </c>
      <c r="J31639" s="5">
        <v>0</v>
      </c>
      <c r="K31639" s="5">
        <v>0</v>
      </c>
    </row>
    <row r="31640" spans="1:11" x14ac:dyDescent="0.25">
      <c r="A31640" s="5">
        <f>31633</f>
      </c>
      <c r="B31640" s="5" t="s">
        <v>31648</v>
      </c>
      <c r="C31640" s="5">
        <v>103.5</v>
      </c>
      <c r="D31640" s="5">
        <v>0.1</v>
      </c>
      <c r="E31640" s="5">
        <v>103.7</v>
      </c>
      <c r="F31640" s="5">
        <v>200.8</v>
      </c>
      <c r="G31640" s="5">
        <v>100.6</v>
      </c>
      <c r="H31640" s="5">
        <v>100.7</v>
      </c>
      <c r="I31640" s="5">
        <v>0</v>
      </c>
      <c r="J31640" s="5">
        <v>0</v>
      </c>
      <c r="K31640" s="5">
        <v>0</v>
      </c>
    </row>
    <row r="31641" spans="1:11" x14ac:dyDescent="0.25">
      <c r="A31641" s="5">
        <f>31634</f>
      </c>
      <c r="B31641" s="5" t="s">
        <v>31649</v>
      </c>
      <c r="C31641" s="5">
        <v>99.5</v>
      </c>
      <c r="D31641" s="5">
        <v>0.1</v>
      </c>
      <c r="E31641" s="5">
        <v>99.7</v>
      </c>
      <c r="F31641" s="5">
        <v>197.1</v>
      </c>
      <c r="G31641" s="5">
        <v>98.4</v>
      </c>
      <c r="H31641" s="5">
        <v>98.3</v>
      </c>
      <c r="I31641" s="5">
        <v>0</v>
      </c>
      <c r="J31641" s="5">
        <v>0</v>
      </c>
      <c r="K31641" s="5">
        <v>0</v>
      </c>
    </row>
    <row r="31642" spans="1:11" x14ac:dyDescent="0.25">
      <c r="A31642" s="5">
        <f>31635</f>
      </c>
      <c r="B31642" s="5" t="s">
        <v>31650</v>
      </c>
      <c r="C31642" s="5">
        <v>99.5</v>
      </c>
      <c r="D31642" s="5">
        <v>0.1</v>
      </c>
      <c r="E31642" s="5">
        <v>99.7</v>
      </c>
      <c r="F31642" s="5">
        <v>197.1</v>
      </c>
      <c r="G31642" s="5">
        <v>98.4</v>
      </c>
      <c r="H31642" s="5">
        <v>98.3</v>
      </c>
      <c r="I31642" s="5">
        <v>0</v>
      </c>
      <c r="J31642" s="5">
        <v>0</v>
      </c>
      <c r="K31642" s="5">
        <v>0</v>
      </c>
    </row>
    <row r="31643" spans="1:11" x14ac:dyDescent="0.25">
      <c r="A31643" s="5">
        <f>31636</f>
      </c>
      <c r="B31643" s="5" t="s">
        <v>31651</v>
      </c>
      <c r="C31643" s="5">
        <v>99.5</v>
      </c>
      <c r="D31643" s="5">
        <v>0.1</v>
      </c>
      <c r="E31643" s="5">
        <v>99.7</v>
      </c>
      <c r="F31643" s="5">
        <v>197.1</v>
      </c>
      <c r="G31643" s="5">
        <v>98.4</v>
      </c>
      <c r="H31643" s="5">
        <v>98.3</v>
      </c>
      <c r="I31643" s="5">
        <v>0</v>
      </c>
      <c r="J31643" s="5">
        <v>0</v>
      </c>
      <c r="K31643" s="5">
        <v>0</v>
      </c>
    </row>
    <row r="31644" spans="1:11" x14ac:dyDescent="0.25">
      <c r="A31644" s="5">
        <f>31637</f>
      </c>
      <c r="B31644" s="5" t="s">
        <v>31652</v>
      </c>
      <c r="C31644" s="5">
        <v>99.5</v>
      </c>
      <c r="D31644" s="5">
        <v>0.1</v>
      </c>
      <c r="E31644" s="5">
        <v>99.7</v>
      </c>
      <c r="F31644" s="5">
        <v>197.1</v>
      </c>
      <c r="G31644" s="5">
        <v>98.4</v>
      </c>
      <c r="H31644" s="5">
        <v>100.1</v>
      </c>
      <c r="I31644" s="5">
        <v>0</v>
      </c>
      <c r="J31644" s="5">
        <v>0</v>
      </c>
      <c r="K31644" s="5">
        <v>0</v>
      </c>
    </row>
    <row r="31645" spans="1:11" x14ac:dyDescent="0.25">
      <c r="A31645" s="5">
        <f>31638</f>
      </c>
      <c r="B31645" s="5" t="s">
        <v>31653</v>
      </c>
      <c r="C31645" s="5">
        <v>105</v>
      </c>
      <c r="D31645" s="5">
        <v>0.1</v>
      </c>
      <c r="E31645" s="5">
        <v>105.1</v>
      </c>
      <c r="F31645" s="5">
        <v>209.3</v>
      </c>
      <c r="G31645" s="5">
        <v>101.9</v>
      </c>
      <c r="H31645" s="5">
        <v>100.1</v>
      </c>
      <c r="I31645" s="5">
        <v>0</v>
      </c>
      <c r="J31645" s="5">
        <v>0</v>
      </c>
      <c r="K31645" s="5">
        <v>0</v>
      </c>
    </row>
    <row r="31646" spans="1:11" x14ac:dyDescent="0.25">
      <c r="A31646" s="5">
        <f>31639</f>
      </c>
      <c r="B31646" s="5" t="s">
        <v>31654</v>
      </c>
      <c r="C31646" s="5">
        <v>105</v>
      </c>
      <c r="D31646" s="5">
        <v>0.1</v>
      </c>
      <c r="E31646" s="5">
        <v>105.1</v>
      </c>
      <c r="F31646" s="5">
        <v>209.3</v>
      </c>
      <c r="G31646" s="5">
        <v>101.9</v>
      </c>
      <c r="H31646" s="5">
        <v>100.1</v>
      </c>
      <c r="I31646" s="5">
        <v>0</v>
      </c>
      <c r="J31646" s="5">
        <v>0</v>
      </c>
      <c r="K31646" s="5">
        <v>0</v>
      </c>
    </row>
    <row r="31647" spans="1:11" x14ac:dyDescent="0.25">
      <c r="A31647" s="5">
        <f>31640</f>
      </c>
      <c r="B31647" s="5" t="s">
        <v>31655</v>
      </c>
      <c r="C31647" s="5">
        <v>104.6</v>
      </c>
      <c r="D31647" s="5">
        <v>0.1</v>
      </c>
      <c r="E31647" s="5">
        <v>104.7</v>
      </c>
      <c r="F31647" s="5">
        <v>201.4</v>
      </c>
      <c r="G31647" s="5">
        <v>98.8</v>
      </c>
      <c r="H31647" s="5">
        <v>98.7</v>
      </c>
      <c r="I31647" s="5">
        <v>0</v>
      </c>
      <c r="J31647" s="5">
        <v>0</v>
      </c>
      <c r="K31647" s="5">
        <v>0</v>
      </c>
    </row>
    <row r="31648" spans="1:11" x14ac:dyDescent="0.25">
      <c r="A31648" s="5">
        <f>31641</f>
      </c>
      <c r="B31648" s="5" t="s">
        <v>31656</v>
      </c>
      <c r="C31648" s="5">
        <v>104.6</v>
      </c>
      <c r="D31648" s="5">
        <v>0.1</v>
      </c>
      <c r="E31648" s="5">
        <v>104.7</v>
      </c>
      <c r="F31648" s="5">
        <v>201.4</v>
      </c>
      <c r="G31648" s="5">
        <v>98.8</v>
      </c>
      <c r="H31648" s="5">
        <v>98.7</v>
      </c>
      <c r="I31648" s="5">
        <v>0</v>
      </c>
      <c r="J31648" s="5">
        <v>0</v>
      </c>
      <c r="K31648" s="5">
        <v>0</v>
      </c>
    </row>
    <row r="31649" spans="1:11" x14ac:dyDescent="0.25">
      <c r="A31649" s="5">
        <f>31642</f>
      </c>
      <c r="B31649" s="5" t="s">
        <v>31657</v>
      </c>
      <c r="C31649" s="5">
        <v>99</v>
      </c>
      <c r="D31649" s="5">
        <v>0.1</v>
      </c>
      <c r="E31649" s="5">
        <v>99.2</v>
      </c>
      <c r="F31649" s="5">
        <v>198.5</v>
      </c>
      <c r="G31649" s="5">
        <v>99</v>
      </c>
      <c r="H31649" s="5">
        <v>98.8</v>
      </c>
      <c r="I31649" s="5">
        <v>0</v>
      </c>
      <c r="J31649" s="5">
        <v>0</v>
      </c>
      <c r="K31649" s="5">
        <v>0</v>
      </c>
    </row>
    <row r="31650" spans="1:11" x14ac:dyDescent="0.25">
      <c r="A31650" s="5">
        <f>31643</f>
      </c>
      <c r="B31650" s="5" t="s">
        <v>31658</v>
      </c>
      <c r="C31650" s="5">
        <v>99</v>
      </c>
      <c r="D31650" s="5">
        <v>0.1</v>
      </c>
      <c r="E31650" s="5">
        <v>99.2</v>
      </c>
      <c r="F31650" s="5">
        <v>198.5</v>
      </c>
      <c r="G31650" s="5">
        <v>99</v>
      </c>
      <c r="H31650" s="5">
        <v>98.8</v>
      </c>
      <c r="I31650" s="5">
        <v>0</v>
      </c>
      <c r="J31650" s="5">
        <v>0</v>
      </c>
      <c r="K31650" s="5">
        <v>0</v>
      </c>
    </row>
    <row r="31651" spans="1:11" x14ac:dyDescent="0.25">
      <c r="A31651" s="5">
        <f>31644</f>
      </c>
      <c r="B31651" s="5" t="s">
        <v>31659</v>
      </c>
      <c r="C31651" s="5">
        <v>99.5</v>
      </c>
      <c r="D31651" s="5">
        <v>0.1</v>
      </c>
      <c r="E31651" s="5">
        <v>99.5</v>
      </c>
      <c r="F31651" s="5">
        <v>199.4</v>
      </c>
      <c r="G31651" s="5">
        <v>99.9</v>
      </c>
      <c r="H31651" s="5">
        <v>99.9</v>
      </c>
      <c r="I31651" s="5">
        <v>0</v>
      </c>
      <c r="J31651" s="5">
        <v>0</v>
      </c>
      <c r="K31651" s="5">
        <v>0</v>
      </c>
    </row>
    <row r="31652" spans="1:11" x14ac:dyDescent="0.25">
      <c r="A31652" s="5">
        <f>31645</f>
      </c>
      <c r="B31652" s="5" t="s">
        <v>31660</v>
      </c>
      <c r="C31652" s="5">
        <v>99.5</v>
      </c>
      <c r="D31652" s="5">
        <v>0.1</v>
      </c>
      <c r="E31652" s="5">
        <v>99.5</v>
      </c>
      <c r="F31652" s="5">
        <v>199.4</v>
      </c>
      <c r="G31652" s="5">
        <v>99.9</v>
      </c>
      <c r="H31652" s="5">
        <v>99.9</v>
      </c>
      <c r="I31652" s="5">
        <v>0</v>
      </c>
      <c r="J31652" s="5">
        <v>0</v>
      </c>
      <c r="K31652" s="5">
        <v>0</v>
      </c>
    </row>
    <row r="31653" spans="1:11" x14ac:dyDescent="0.25">
      <c r="A31653" s="5">
        <f>31646</f>
      </c>
      <c r="B31653" s="5" t="s">
        <v>31661</v>
      </c>
      <c r="C31653" s="5">
        <v>99.5</v>
      </c>
      <c r="D31653" s="5">
        <v>0.1</v>
      </c>
      <c r="E31653" s="5">
        <v>99.5</v>
      </c>
      <c r="F31653" s="5">
        <v>199.4</v>
      </c>
      <c r="G31653" s="5">
        <v>99.9</v>
      </c>
      <c r="H31653" s="5">
        <v>99.9</v>
      </c>
      <c r="I31653" s="5">
        <v>0</v>
      </c>
      <c r="J31653" s="5">
        <v>0</v>
      </c>
      <c r="K31653" s="5">
        <v>0</v>
      </c>
    </row>
    <row r="31654" spans="1:11" x14ac:dyDescent="0.25">
      <c r="A31654" s="5">
        <f>31647</f>
      </c>
      <c r="B31654" s="5" t="s">
        <v>31662</v>
      </c>
      <c r="C31654" s="5">
        <v>105</v>
      </c>
      <c r="D31654" s="5">
        <v>0.1</v>
      </c>
      <c r="E31654" s="5">
        <v>105.2</v>
      </c>
      <c r="F31654" s="5">
        <v>203.7</v>
      </c>
      <c r="G31654" s="5">
        <v>101.9</v>
      </c>
      <c r="H31654" s="5">
        <v>102</v>
      </c>
      <c r="I31654" s="5">
        <v>0</v>
      </c>
      <c r="J31654" s="5">
        <v>0</v>
      </c>
      <c r="K31654" s="5">
        <v>0</v>
      </c>
    </row>
    <row r="31655" spans="1:11" x14ac:dyDescent="0.25">
      <c r="A31655" s="5">
        <f>31648</f>
      </c>
      <c r="B31655" s="5" t="s">
        <v>31663</v>
      </c>
      <c r="C31655" s="5">
        <v>105</v>
      </c>
      <c r="D31655" s="5">
        <v>0.1</v>
      </c>
      <c r="E31655" s="5">
        <v>105.2</v>
      </c>
      <c r="F31655" s="5">
        <v>203.7</v>
      </c>
      <c r="G31655" s="5">
        <v>101.9</v>
      </c>
      <c r="H31655" s="5">
        <v>102</v>
      </c>
      <c r="I31655" s="5">
        <v>0</v>
      </c>
      <c r="J31655" s="5">
        <v>0</v>
      </c>
      <c r="K31655" s="5">
        <v>0</v>
      </c>
    </row>
    <row r="31656" spans="1:11" x14ac:dyDescent="0.25">
      <c r="A31656" s="5">
        <f>31649</f>
      </c>
      <c r="B31656" s="5" t="s">
        <v>31664</v>
      </c>
      <c r="C31656" s="5">
        <v>100.4</v>
      </c>
      <c r="D31656" s="5">
        <v>0.1</v>
      </c>
      <c r="E31656" s="5">
        <v>100.5</v>
      </c>
      <c r="F31656" s="5">
        <v>199.7</v>
      </c>
      <c r="G31656" s="5">
        <v>99.6</v>
      </c>
      <c r="H31656" s="5">
        <v>99.5</v>
      </c>
      <c r="I31656" s="5">
        <v>0</v>
      </c>
      <c r="J31656" s="5">
        <v>0</v>
      </c>
      <c r="K31656" s="5">
        <v>0</v>
      </c>
    </row>
    <row r="31657" spans="1:11" x14ac:dyDescent="0.25">
      <c r="A31657" s="5">
        <f>31650</f>
      </c>
      <c r="B31657" s="5" t="s">
        <v>31665</v>
      </c>
      <c r="C31657" s="5">
        <v>100.4</v>
      </c>
      <c r="D31657" s="5">
        <v>0.1</v>
      </c>
      <c r="E31657" s="5">
        <v>100.5</v>
      </c>
      <c r="F31657" s="5">
        <v>199.7</v>
      </c>
      <c r="G31657" s="5">
        <v>99.6</v>
      </c>
      <c r="H31657" s="5">
        <v>99.5</v>
      </c>
      <c r="I31657" s="5">
        <v>0</v>
      </c>
      <c r="J31657" s="5">
        <v>0</v>
      </c>
      <c r="K31657" s="5">
        <v>0</v>
      </c>
    </row>
    <row r="31658" spans="1:11" x14ac:dyDescent="0.25">
      <c r="A31658" s="5">
        <f>31651</f>
      </c>
      <c r="B31658" s="5" t="s">
        <v>31666</v>
      </c>
      <c r="C31658" s="5">
        <v>99.9</v>
      </c>
      <c r="D31658" s="5">
        <v>0.1</v>
      </c>
      <c r="E31658" s="5">
        <v>100.1</v>
      </c>
      <c r="F31658" s="5">
        <v>200.1</v>
      </c>
      <c r="G31658" s="5">
        <v>99.8</v>
      </c>
      <c r="H31658" s="5">
        <v>99.6</v>
      </c>
      <c r="I31658" s="5">
        <v>0</v>
      </c>
      <c r="J31658" s="5">
        <v>0</v>
      </c>
      <c r="K31658" s="5">
        <v>0</v>
      </c>
    </row>
    <row r="31659" spans="1:11" x14ac:dyDescent="0.25">
      <c r="A31659" s="5">
        <f>31652</f>
      </c>
      <c r="B31659" s="5" t="s">
        <v>31667</v>
      </c>
      <c r="C31659" s="5">
        <v>99.9</v>
      </c>
      <c r="D31659" s="5">
        <v>0.1</v>
      </c>
      <c r="E31659" s="5">
        <v>100.1</v>
      </c>
      <c r="F31659" s="5">
        <v>200.1</v>
      </c>
      <c r="G31659" s="5">
        <v>99.8</v>
      </c>
      <c r="H31659" s="5">
        <v>99.6</v>
      </c>
      <c r="I31659" s="5">
        <v>0</v>
      </c>
      <c r="J31659" s="5">
        <v>0</v>
      </c>
      <c r="K31659" s="5">
        <v>0</v>
      </c>
    </row>
    <row r="31660" spans="1:11" x14ac:dyDescent="0.25">
      <c r="A31660" s="5">
        <f>31653</f>
      </c>
      <c r="B31660" s="5" t="s">
        <v>31668</v>
      </c>
      <c r="C31660" s="5">
        <v>100.2</v>
      </c>
      <c r="D31660" s="5">
        <v>0.1</v>
      </c>
      <c r="E31660" s="5">
        <v>100.3</v>
      </c>
      <c r="F31660" s="5">
        <v>200.7</v>
      </c>
      <c r="G31660" s="5">
        <v>100.1</v>
      </c>
      <c r="H31660" s="5">
        <v>100</v>
      </c>
      <c r="I31660" s="5">
        <v>0</v>
      </c>
      <c r="J31660" s="5">
        <v>0</v>
      </c>
      <c r="K31660" s="5">
        <v>0</v>
      </c>
    </row>
    <row r="31661" spans="1:11" x14ac:dyDescent="0.25">
      <c r="A31661" s="5">
        <f>31654</f>
      </c>
      <c r="B31661" s="5" t="s">
        <v>31669</v>
      </c>
      <c r="C31661" s="5">
        <v>100.2</v>
      </c>
      <c r="D31661" s="5">
        <v>0.1</v>
      </c>
      <c r="E31661" s="5">
        <v>100.3</v>
      </c>
      <c r="F31661" s="5">
        <v>200.7</v>
      </c>
      <c r="G31661" s="5">
        <v>100.1</v>
      </c>
      <c r="H31661" s="5">
        <v>100</v>
      </c>
      <c r="I31661" s="5">
        <v>0</v>
      </c>
      <c r="J31661" s="5">
        <v>0</v>
      </c>
      <c r="K31661" s="5">
        <v>0</v>
      </c>
    </row>
    <row r="31662" spans="1:11" x14ac:dyDescent="0.25">
      <c r="A31662" s="5">
        <f>31655</f>
      </c>
      <c r="B31662" s="5" t="s">
        <v>31670</v>
      </c>
      <c r="C31662" s="5">
        <v>100.2</v>
      </c>
      <c r="D31662" s="5">
        <v>0.1</v>
      </c>
      <c r="E31662" s="5">
        <v>100.3</v>
      </c>
      <c r="F31662" s="5">
        <v>200.7</v>
      </c>
      <c r="G31662" s="5">
        <v>100.1</v>
      </c>
      <c r="H31662" s="5">
        <v>100</v>
      </c>
      <c r="I31662" s="5">
        <v>0</v>
      </c>
      <c r="J31662" s="5">
        <v>0</v>
      </c>
      <c r="K31662" s="5">
        <v>0</v>
      </c>
    </row>
    <row r="31663" spans="1:11" x14ac:dyDescent="0.25">
      <c r="A31663" s="5">
        <f>31656</f>
      </c>
      <c r="B31663" s="5" t="s">
        <v>31671</v>
      </c>
      <c r="C31663" s="5">
        <v>100.2</v>
      </c>
      <c r="D31663" s="5">
        <v>0.1</v>
      </c>
      <c r="E31663" s="5">
        <v>100.3</v>
      </c>
      <c r="F31663" s="5">
        <v>200.7</v>
      </c>
      <c r="G31663" s="5">
        <v>100.1</v>
      </c>
      <c r="H31663" s="5">
        <v>100</v>
      </c>
      <c r="I31663" s="5">
        <v>0</v>
      </c>
      <c r="J31663" s="5">
        <v>0</v>
      </c>
      <c r="K31663" s="5">
        <v>0</v>
      </c>
    </row>
    <row r="31664" spans="1:11" x14ac:dyDescent="0.25">
      <c r="A31664" s="5">
        <f>31657</f>
      </c>
      <c r="B31664" s="5" t="s">
        <v>31672</v>
      </c>
      <c r="C31664" s="5">
        <v>104.5</v>
      </c>
      <c r="D31664" s="5">
        <v>0.1</v>
      </c>
      <c r="E31664" s="5">
        <v>104.6</v>
      </c>
      <c r="F31664" s="5">
        <v>207.7</v>
      </c>
      <c r="G31664" s="5">
        <v>103.5</v>
      </c>
      <c r="H31664" s="5">
        <v>100</v>
      </c>
      <c r="I31664" s="5">
        <v>0</v>
      </c>
      <c r="J31664" s="5">
        <v>0</v>
      </c>
      <c r="K31664" s="5">
        <v>0</v>
      </c>
    </row>
    <row r="31665" spans="1:11" x14ac:dyDescent="0.25">
      <c r="A31665" s="5">
        <f>31658</f>
      </c>
      <c r="B31665" s="5" t="s">
        <v>31673</v>
      </c>
      <c r="C31665" s="5">
        <v>104.5</v>
      </c>
      <c r="D31665" s="5">
        <v>0.1</v>
      </c>
      <c r="E31665" s="5">
        <v>104.6</v>
      </c>
      <c r="F31665" s="5">
        <v>207.7</v>
      </c>
      <c r="G31665" s="5">
        <v>103.5</v>
      </c>
      <c r="H31665" s="5">
        <v>100</v>
      </c>
      <c r="I31665" s="5">
        <v>0</v>
      </c>
      <c r="J31665" s="5">
        <v>0</v>
      </c>
      <c r="K31665" s="5">
        <v>0</v>
      </c>
    </row>
    <row r="31666" spans="1:11" x14ac:dyDescent="0.25">
      <c r="A31666" s="5">
        <f>31659</f>
      </c>
      <c r="B31666" s="5" t="s">
        <v>31674</v>
      </c>
      <c r="C31666" s="5">
        <v>98.3</v>
      </c>
      <c r="D31666" s="5">
        <v>0.1</v>
      </c>
      <c r="E31666" s="5">
        <v>98.4</v>
      </c>
      <c r="F31666" s="5">
        <v>197.6</v>
      </c>
      <c r="G31666" s="5">
        <v>98.6</v>
      </c>
      <c r="H31666" s="5">
        <v>98.5</v>
      </c>
      <c r="I31666" s="5">
        <v>0</v>
      </c>
      <c r="J31666" s="5">
        <v>0</v>
      </c>
      <c r="K31666" s="5">
        <v>0</v>
      </c>
    </row>
    <row r="31667" spans="1:11" x14ac:dyDescent="0.25">
      <c r="A31667" s="5">
        <f>31660</f>
      </c>
      <c r="B31667" s="5" t="s">
        <v>31675</v>
      </c>
      <c r="C31667" s="5">
        <v>98.3</v>
      </c>
      <c r="D31667" s="5">
        <v>0.1</v>
      </c>
      <c r="E31667" s="5">
        <v>98.4</v>
      </c>
      <c r="F31667" s="5">
        <v>197.6</v>
      </c>
      <c r="G31667" s="5">
        <v>98.6</v>
      </c>
      <c r="H31667" s="5">
        <v>98.5</v>
      </c>
      <c r="I31667" s="5">
        <v>0</v>
      </c>
      <c r="J31667" s="5">
        <v>0</v>
      </c>
      <c r="K31667" s="5">
        <v>0</v>
      </c>
    </row>
    <row r="31668" spans="1:11" x14ac:dyDescent="0.25">
      <c r="A31668" s="5">
        <f>31661</f>
      </c>
      <c r="B31668" s="5" t="s">
        <v>31676</v>
      </c>
      <c r="C31668" s="5">
        <v>98.9</v>
      </c>
      <c r="D31668" s="5">
        <v>0.1</v>
      </c>
      <c r="E31668" s="5">
        <v>99</v>
      </c>
      <c r="F31668" s="5">
        <v>197.9</v>
      </c>
      <c r="G31668" s="5">
        <v>98.6</v>
      </c>
      <c r="H31668" s="5">
        <v>99.1</v>
      </c>
      <c r="I31668" s="5">
        <v>0</v>
      </c>
      <c r="J31668" s="5">
        <v>0</v>
      </c>
      <c r="K31668" s="5">
        <v>0</v>
      </c>
    </row>
    <row r="31669" spans="1:11" x14ac:dyDescent="0.25">
      <c r="A31669" s="5">
        <f>31662</f>
      </c>
      <c r="B31669" s="5" t="s">
        <v>31677</v>
      </c>
      <c r="C31669" s="5">
        <v>98.9</v>
      </c>
      <c r="D31669" s="5">
        <v>0.1</v>
      </c>
      <c r="E31669" s="5">
        <v>99</v>
      </c>
      <c r="F31669" s="5">
        <v>197.9</v>
      </c>
      <c r="G31669" s="5">
        <v>98.6</v>
      </c>
      <c r="H31669" s="5">
        <v>99.1</v>
      </c>
      <c r="I31669" s="5">
        <v>0</v>
      </c>
      <c r="J31669" s="5">
        <v>0</v>
      </c>
      <c r="K31669" s="5">
        <v>0</v>
      </c>
    </row>
    <row r="31670" spans="1:11" x14ac:dyDescent="0.25">
      <c r="A31670" s="5">
        <f>31663</f>
      </c>
      <c r="B31670" s="5" t="s">
        <v>31678</v>
      </c>
      <c r="C31670" s="5">
        <v>105.2</v>
      </c>
      <c r="D31670" s="5">
        <v>0.1</v>
      </c>
      <c r="E31670" s="5">
        <v>105.3</v>
      </c>
      <c r="F31670" s="5">
        <v>210.8</v>
      </c>
      <c r="G31670" s="5">
        <v>105.1</v>
      </c>
      <c r="H31670" s="5">
        <v>99.1</v>
      </c>
      <c r="I31670" s="5">
        <v>0</v>
      </c>
      <c r="J31670" s="5">
        <v>0</v>
      </c>
      <c r="K31670" s="5">
        <v>0</v>
      </c>
    </row>
    <row r="31671" spans="1:11" x14ac:dyDescent="0.25">
      <c r="A31671" s="5">
        <f>31664</f>
      </c>
      <c r="B31671" s="5" t="s">
        <v>31679</v>
      </c>
      <c r="C31671" s="5">
        <v>105.2</v>
      </c>
      <c r="D31671" s="5">
        <v>0.1</v>
      </c>
      <c r="E31671" s="5">
        <v>105.3</v>
      </c>
      <c r="F31671" s="5">
        <v>210.8</v>
      </c>
      <c r="G31671" s="5">
        <v>105.1</v>
      </c>
      <c r="H31671" s="5">
        <v>105.1</v>
      </c>
      <c r="I31671" s="5">
        <v>0</v>
      </c>
      <c r="J31671" s="5">
        <v>0</v>
      </c>
      <c r="K31671" s="5">
        <v>0</v>
      </c>
    </row>
    <row r="31672" spans="1:11" x14ac:dyDescent="0.25">
      <c r="A31672" s="5">
        <f>31665</f>
      </c>
      <c r="B31672" s="5" t="s">
        <v>31680</v>
      </c>
      <c r="C31672" s="5">
        <v>105.2</v>
      </c>
      <c r="D31672" s="5">
        <v>0.1</v>
      </c>
      <c r="E31672" s="5">
        <v>105.3</v>
      </c>
      <c r="F31672" s="5">
        <v>210.8</v>
      </c>
      <c r="G31672" s="5">
        <v>105.1</v>
      </c>
      <c r="H31672" s="5">
        <v>105.1</v>
      </c>
      <c r="I31672" s="5">
        <v>0</v>
      </c>
      <c r="J31672" s="5">
        <v>0</v>
      </c>
      <c r="K31672" s="5">
        <v>0</v>
      </c>
    </row>
    <row r="31673" spans="1:11" x14ac:dyDescent="0.25">
      <c r="A31673" s="5">
        <f>31666</f>
      </c>
      <c r="B31673" s="5" t="s">
        <v>31681</v>
      </c>
      <c r="C31673" s="5">
        <v>105.2</v>
      </c>
      <c r="D31673" s="5">
        <v>0.1</v>
      </c>
      <c r="E31673" s="5">
        <v>105.3</v>
      </c>
      <c r="F31673" s="5">
        <v>210.8</v>
      </c>
      <c r="G31673" s="5">
        <v>105.1</v>
      </c>
      <c r="H31673" s="5">
        <v>105.1</v>
      </c>
      <c r="I31673" s="5">
        <v>0</v>
      </c>
      <c r="J31673" s="5">
        <v>0</v>
      </c>
      <c r="K31673" s="5">
        <v>0</v>
      </c>
    </row>
    <row r="31674" spans="1:11" x14ac:dyDescent="0.25">
      <c r="A31674" s="5">
        <f>31667</f>
      </c>
      <c r="B31674" s="5" t="s">
        <v>31682</v>
      </c>
      <c r="C31674" s="5">
        <v>99.8</v>
      </c>
      <c r="D31674" s="5">
        <v>0.1</v>
      </c>
      <c r="E31674" s="5">
        <v>99.9</v>
      </c>
      <c r="F31674" s="5">
        <v>199.9</v>
      </c>
      <c r="G31674" s="5">
        <v>99.7</v>
      </c>
      <c r="H31674" s="5">
        <v>99.5</v>
      </c>
      <c r="I31674" s="5">
        <v>0</v>
      </c>
      <c r="J31674" s="5">
        <v>0</v>
      </c>
      <c r="K31674" s="5">
        <v>0</v>
      </c>
    </row>
    <row r="31675" spans="1:11" x14ac:dyDescent="0.25">
      <c r="A31675" s="5">
        <f>31668</f>
      </c>
      <c r="B31675" s="5" t="s">
        <v>31683</v>
      </c>
      <c r="C31675" s="5">
        <v>99.8</v>
      </c>
      <c r="D31675" s="5">
        <v>0.1</v>
      </c>
      <c r="E31675" s="5">
        <v>99.9</v>
      </c>
      <c r="F31675" s="5">
        <v>199.9</v>
      </c>
      <c r="G31675" s="5">
        <v>99.7</v>
      </c>
      <c r="H31675" s="5">
        <v>99.5</v>
      </c>
      <c r="I31675" s="5">
        <v>0</v>
      </c>
      <c r="J31675" s="5">
        <v>0</v>
      </c>
      <c r="K31675" s="5">
        <v>0</v>
      </c>
    </row>
    <row r="31676" spans="1:11" x14ac:dyDescent="0.25">
      <c r="A31676" s="5">
        <f>31669</f>
      </c>
      <c r="B31676" s="5" t="s">
        <v>31684</v>
      </c>
      <c r="C31676" s="5">
        <v>99.5</v>
      </c>
      <c r="D31676" s="5">
        <v>0.1</v>
      </c>
      <c r="E31676" s="5">
        <v>99.9</v>
      </c>
      <c r="F31676" s="5">
        <v>199.7</v>
      </c>
      <c r="G31676" s="5">
        <v>99.6</v>
      </c>
      <c r="H31676" s="5">
        <v>99.4</v>
      </c>
      <c r="I31676" s="5">
        <v>0</v>
      </c>
      <c r="J31676" s="5">
        <v>0</v>
      </c>
      <c r="K31676" s="5">
        <v>0</v>
      </c>
    </row>
    <row r="31677" spans="1:11" x14ac:dyDescent="0.25">
      <c r="A31677" s="5">
        <f>31670</f>
      </c>
      <c r="B31677" s="5" t="s">
        <v>31685</v>
      </c>
      <c r="C31677" s="5">
        <v>99.5</v>
      </c>
      <c r="D31677" s="5">
        <v>0.1</v>
      </c>
      <c r="E31677" s="5">
        <v>99.7</v>
      </c>
      <c r="F31677" s="5">
        <v>199.7</v>
      </c>
      <c r="G31677" s="5">
        <v>99.6</v>
      </c>
      <c r="H31677" s="5">
        <v>99.4</v>
      </c>
      <c r="I31677" s="5">
        <v>0</v>
      </c>
      <c r="J31677" s="5">
        <v>0</v>
      </c>
      <c r="K31677" s="5">
        <v>0</v>
      </c>
    </row>
    <row r="31678" spans="1:11" x14ac:dyDescent="0.25">
      <c r="A31678" s="5">
        <f>31671</f>
      </c>
      <c r="B31678" s="5" t="s">
        <v>31686</v>
      </c>
      <c r="C31678" s="5">
        <v>99.5</v>
      </c>
      <c r="D31678" s="5">
        <v>0.1</v>
      </c>
      <c r="E31678" s="5">
        <v>99.7</v>
      </c>
      <c r="F31678" s="5">
        <v>199.7</v>
      </c>
      <c r="G31678" s="5">
        <v>103.9</v>
      </c>
      <c r="H31678" s="5">
        <v>103.8</v>
      </c>
      <c r="I31678" s="5">
        <v>0</v>
      </c>
      <c r="J31678" s="5">
        <v>0</v>
      </c>
      <c r="K31678" s="5">
        <v>0</v>
      </c>
    </row>
    <row r="31679" spans="1:11" x14ac:dyDescent="0.25">
      <c r="A31679" s="5">
        <f>31672</f>
      </c>
      <c r="B31679" s="5" t="s">
        <v>31687</v>
      </c>
      <c r="C31679" s="5">
        <v>105.2</v>
      </c>
      <c r="D31679" s="5">
        <v>0.1</v>
      </c>
      <c r="E31679" s="5">
        <v>105.3</v>
      </c>
      <c r="F31679" s="5">
        <v>208.2</v>
      </c>
      <c r="G31679" s="5">
        <v>103.9</v>
      </c>
      <c r="H31679" s="5">
        <v>103.8</v>
      </c>
      <c r="I31679" s="5">
        <v>0</v>
      </c>
      <c r="J31679" s="5">
        <v>0</v>
      </c>
      <c r="K31679" s="5">
        <v>0</v>
      </c>
    </row>
    <row r="31680" spans="1:11" x14ac:dyDescent="0.25">
      <c r="A31680" s="5">
        <f>31673</f>
      </c>
      <c r="B31680" s="5" t="s">
        <v>31688</v>
      </c>
      <c r="C31680" s="5">
        <v>105.2</v>
      </c>
      <c r="D31680" s="5">
        <v>0.1</v>
      </c>
      <c r="E31680" s="5">
        <v>105.3</v>
      </c>
      <c r="F31680" s="5">
        <v>208.2</v>
      </c>
      <c r="G31680" s="5">
        <v>103.9</v>
      </c>
      <c r="H31680" s="5">
        <v>103.8</v>
      </c>
      <c r="I31680" s="5">
        <v>0</v>
      </c>
      <c r="J31680" s="5">
        <v>0</v>
      </c>
      <c r="K31680" s="5">
        <v>0</v>
      </c>
    </row>
    <row r="31681" spans="1:11" x14ac:dyDescent="0.25">
      <c r="A31681" s="5">
        <f>31674</f>
      </c>
      <c r="B31681" s="5" t="s">
        <v>31689</v>
      </c>
      <c r="C31681" s="5">
        <v>104.2</v>
      </c>
      <c r="D31681" s="5">
        <v>0.1</v>
      </c>
      <c r="E31681" s="5">
        <v>104.3</v>
      </c>
      <c r="F31681" s="5">
        <v>208</v>
      </c>
      <c r="G31681" s="5">
        <v>103.8</v>
      </c>
      <c r="H31681" s="5">
        <v>103.6</v>
      </c>
      <c r="I31681" s="5">
        <v>0</v>
      </c>
      <c r="J31681" s="5">
        <v>0</v>
      </c>
      <c r="K31681" s="5">
        <v>0</v>
      </c>
    </row>
    <row r="31682" spans="1:11" x14ac:dyDescent="0.25">
      <c r="A31682" s="5">
        <f>31675</f>
      </c>
      <c r="B31682" s="5" t="s">
        <v>31690</v>
      </c>
      <c r="C31682" s="5">
        <v>104.2</v>
      </c>
      <c r="D31682" s="5">
        <v>0.1</v>
      </c>
      <c r="E31682" s="5">
        <v>104.3</v>
      </c>
      <c r="F31682" s="5">
        <v>208</v>
      </c>
      <c r="G31682" s="5">
        <v>103.8</v>
      </c>
      <c r="H31682" s="5">
        <v>103.6</v>
      </c>
      <c r="I31682" s="5">
        <v>0</v>
      </c>
      <c r="J31682" s="5">
        <v>0</v>
      </c>
      <c r="K31682" s="5">
        <v>0</v>
      </c>
    </row>
    <row r="31683" spans="1:11" x14ac:dyDescent="0.25">
      <c r="A31683" s="5">
        <f>31676</f>
      </c>
      <c r="B31683" s="5" t="s">
        <v>31691</v>
      </c>
      <c r="C31683" s="5">
        <v>104.2</v>
      </c>
      <c r="D31683" s="5">
        <v>0.1</v>
      </c>
      <c r="E31683" s="5">
        <v>104.3</v>
      </c>
      <c r="F31683" s="5">
        <v>208</v>
      </c>
      <c r="G31683" s="5">
        <v>103.8</v>
      </c>
      <c r="H31683" s="5">
        <v>103.6</v>
      </c>
      <c r="I31683" s="5">
        <v>0</v>
      </c>
      <c r="J31683" s="5">
        <v>0</v>
      </c>
      <c r="K31683" s="5">
        <v>0</v>
      </c>
    </row>
    <row r="31684" spans="1:11" x14ac:dyDescent="0.25">
      <c r="A31684" s="5">
        <f>31677</f>
      </c>
      <c r="B31684" s="5" t="s">
        <v>31692</v>
      </c>
      <c r="C31684" s="5">
        <v>99.8</v>
      </c>
      <c r="D31684" s="5">
        <v>0.1</v>
      </c>
      <c r="E31684" s="5">
        <v>99.9</v>
      </c>
      <c r="F31684" s="5">
        <v>199.4</v>
      </c>
      <c r="G31684" s="5">
        <v>100.4</v>
      </c>
      <c r="H31684" s="5">
        <v>101.6</v>
      </c>
      <c r="I31684" s="5">
        <v>0</v>
      </c>
      <c r="J31684" s="5">
        <v>0</v>
      </c>
      <c r="K31684" s="5">
        <v>0</v>
      </c>
    </row>
    <row r="31685" spans="1:11" x14ac:dyDescent="0.25">
      <c r="A31685" s="5">
        <f>31678</f>
      </c>
      <c r="B31685" s="5" t="s">
        <v>31693</v>
      </c>
      <c r="C31685" s="5">
        <v>99.8</v>
      </c>
      <c r="D31685" s="5">
        <v>0.1</v>
      </c>
      <c r="E31685" s="5">
        <v>99.9</v>
      </c>
      <c r="F31685" s="5">
        <v>199.4</v>
      </c>
      <c r="G31685" s="5">
        <v>100.4</v>
      </c>
      <c r="H31685" s="5">
        <v>101.6</v>
      </c>
      <c r="I31685" s="5">
        <v>0</v>
      </c>
      <c r="J31685" s="5">
        <v>0</v>
      </c>
      <c r="K31685" s="5">
        <v>0</v>
      </c>
    </row>
    <row r="31686" spans="1:11" x14ac:dyDescent="0.25">
      <c r="A31686" s="5">
        <f>31679</f>
      </c>
      <c r="B31686" s="5" t="s">
        <v>31694</v>
      </c>
      <c r="C31686" s="5">
        <v>104.2</v>
      </c>
      <c r="D31686" s="5">
        <v>0.1</v>
      </c>
      <c r="E31686" s="5">
        <v>104.3</v>
      </c>
      <c r="F31686" s="5">
        <v>204.8</v>
      </c>
      <c r="G31686" s="5">
        <v>101.6</v>
      </c>
      <c r="H31686" s="5">
        <v>101</v>
      </c>
      <c r="I31686" s="5">
        <v>0</v>
      </c>
      <c r="J31686" s="5">
        <v>0</v>
      </c>
      <c r="K31686" s="5">
        <v>0</v>
      </c>
    </row>
    <row r="31687" spans="1:11" x14ac:dyDescent="0.25">
      <c r="A31687" s="5">
        <f>31680</f>
      </c>
      <c r="B31687" s="5" t="s">
        <v>31695</v>
      </c>
      <c r="C31687" s="5">
        <v>104.2</v>
      </c>
      <c r="D31687" s="5">
        <v>0.1</v>
      </c>
      <c r="E31687" s="5">
        <v>104.3</v>
      </c>
      <c r="F31687" s="5">
        <v>204.8</v>
      </c>
      <c r="G31687" s="5">
        <v>101.6</v>
      </c>
      <c r="H31687" s="5">
        <v>101</v>
      </c>
      <c r="I31687" s="5">
        <v>0</v>
      </c>
      <c r="J31687" s="5">
        <v>0</v>
      </c>
      <c r="K31687" s="5">
        <v>0</v>
      </c>
    </row>
    <row r="31688" spans="1:11" x14ac:dyDescent="0.25">
      <c r="A31688" s="5">
        <f>31681</f>
      </c>
      <c r="B31688" s="5" t="s">
        <v>31696</v>
      </c>
      <c r="C31688" s="5">
        <v>103.4</v>
      </c>
      <c r="D31688" s="5">
        <v>0.1</v>
      </c>
      <c r="E31688" s="5">
        <v>103.6</v>
      </c>
      <c r="F31688" s="5">
        <v>204.2</v>
      </c>
      <c r="G31688" s="5">
        <v>102.3</v>
      </c>
      <c r="H31688" s="5">
        <v>102.5</v>
      </c>
      <c r="I31688" s="5">
        <v>0</v>
      </c>
      <c r="J31688" s="5">
        <v>0</v>
      </c>
      <c r="K31688" s="5">
        <v>0</v>
      </c>
    </row>
    <row r="31689" spans="1:11" x14ac:dyDescent="0.25">
      <c r="A31689" s="5">
        <f>31682</f>
      </c>
      <c r="B31689" s="5" t="s">
        <v>31697</v>
      </c>
      <c r="C31689" s="5">
        <v>103.4</v>
      </c>
      <c r="D31689" s="5">
        <v>0.1</v>
      </c>
      <c r="E31689" s="5">
        <v>103.6</v>
      </c>
      <c r="F31689" s="5">
        <v>204.2</v>
      </c>
      <c r="G31689" s="5">
        <v>102.3</v>
      </c>
      <c r="H31689" s="5">
        <v>102.5</v>
      </c>
      <c r="I31689" s="5">
        <v>0</v>
      </c>
      <c r="J31689" s="5">
        <v>0</v>
      </c>
      <c r="K31689" s="5">
        <v>0</v>
      </c>
    </row>
    <row r="31690" spans="1:11" x14ac:dyDescent="0.25">
      <c r="A31690" s="5">
        <f>31683</f>
      </c>
      <c r="B31690" s="5" t="s">
        <v>31698</v>
      </c>
      <c r="C31690" s="5">
        <v>98</v>
      </c>
      <c r="D31690" s="5">
        <v>0.1</v>
      </c>
      <c r="E31690" s="5">
        <v>98.1</v>
      </c>
      <c r="F31690" s="5">
        <v>196.9</v>
      </c>
      <c r="G31690" s="5">
        <v>98.2</v>
      </c>
      <c r="H31690" s="5">
        <v>98</v>
      </c>
      <c r="I31690" s="5">
        <v>0</v>
      </c>
      <c r="J31690" s="5">
        <v>0</v>
      </c>
      <c r="K31690" s="5">
        <v>0</v>
      </c>
    </row>
    <row r="31691" spans="1:11" x14ac:dyDescent="0.25">
      <c r="A31691" s="5">
        <f>31684</f>
      </c>
      <c r="B31691" s="5" t="s">
        <v>31699</v>
      </c>
      <c r="C31691" s="5">
        <v>98</v>
      </c>
      <c r="D31691" s="5">
        <v>0.1</v>
      </c>
      <c r="E31691" s="5">
        <v>98.1</v>
      </c>
      <c r="F31691" s="5">
        <v>196.9</v>
      </c>
      <c r="G31691" s="5">
        <v>98.2</v>
      </c>
      <c r="H31691" s="5">
        <v>98</v>
      </c>
      <c r="I31691" s="5">
        <v>0</v>
      </c>
      <c r="J31691" s="5">
        <v>0</v>
      </c>
      <c r="K31691" s="5">
        <v>0</v>
      </c>
    </row>
    <row r="31692" spans="1:11" x14ac:dyDescent="0.25">
      <c r="A31692" s="5">
        <f>31685</f>
      </c>
      <c r="B31692" s="5" t="s">
        <v>31700</v>
      </c>
      <c r="C31692" s="5">
        <v>98</v>
      </c>
      <c r="D31692" s="5">
        <v>0.1</v>
      </c>
      <c r="E31692" s="5">
        <v>98.1</v>
      </c>
      <c r="F31692" s="5">
        <v>196.9</v>
      </c>
      <c r="G31692" s="5">
        <v>98.2</v>
      </c>
      <c r="H31692" s="5">
        <v>98</v>
      </c>
      <c r="I31692" s="5">
        <v>0</v>
      </c>
      <c r="J31692" s="5">
        <v>0</v>
      </c>
      <c r="K31692" s="5">
        <v>0</v>
      </c>
    </row>
    <row r="31693" spans="1:11" x14ac:dyDescent="0.25">
      <c r="A31693" s="5">
        <f>31686</f>
      </c>
      <c r="B31693" s="5" t="s">
        <v>31701</v>
      </c>
      <c r="C31693" s="5">
        <v>98</v>
      </c>
      <c r="D31693" s="5">
        <v>0.1</v>
      </c>
      <c r="E31693" s="5">
        <v>98.1</v>
      </c>
      <c r="F31693" s="5">
        <v>196.9</v>
      </c>
      <c r="G31693" s="5">
        <v>98.2</v>
      </c>
      <c r="H31693" s="5">
        <v>98</v>
      </c>
      <c r="I31693" s="5">
        <v>0</v>
      </c>
      <c r="J31693" s="5">
        <v>0</v>
      </c>
      <c r="K31693" s="5">
        <v>0</v>
      </c>
    </row>
    <row r="31694" spans="1:11" x14ac:dyDescent="0.25">
      <c r="A31694" s="5">
        <f>31687</f>
      </c>
      <c r="B31694" s="5" t="s">
        <v>31702</v>
      </c>
      <c r="C31694" s="5">
        <v>99.8</v>
      </c>
      <c r="D31694" s="5">
        <v>0.1</v>
      </c>
      <c r="E31694" s="5">
        <v>99.9</v>
      </c>
      <c r="F31694" s="5">
        <v>199.4</v>
      </c>
      <c r="G31694" s="5">
        <v>99.4</v>
      </c>
      <c r="H31694" s="5">
        <v>99.2</v>
      </c>
      <c r="I31694" s="5">
        <v>0</v>
      </c>
      <c r="J31694" s="5">
        <v>0</v>
      </c>
      <c r="K31694" s="5">
        <v>0</v>
      </c>
    </row>
    <row r="31695" spans="1:11" x14ac:dyDescent="0.25">
      <c r="A31695" s="5">
        <f>31688</f>
      </c>
      <c r="B31695" s="5" t="s">
        <v>31703</v>
      </c>
      <c r="C31695" s="5">
        <v>99.8</v>
      </c>
      <c r="D31695" s="5">
        <v>0.1</v>
      </c>
      <c r="E31695" s="5">
        <v>99.9</v>
      </c>
      <c r="F31695" s="5">
        <v>199.4</v>
      </c>
      <c r="G31695" s="5">
        <v>99.4</v>
      </c>
      <c r="H31695" s="5">
        <v>99.2</v>
      </c>
      <c r="I31695" s="5">
        <v>0</v>
      </c>
      <c r="J31695" s="5">
        <v>0</v>
      </c>
      <c r="K31695" s="5">
        <v>0</v>
      </c>
    </row>
    <row r="31696" spans="1:11" x14ac:dyDescent="0.25">
      <c r="A31696" s="5">
        <f>31689</f>
      </c>
      <c r="B31696" s="5" t="s">
        <v>31704</v>
      </c>
      <c r="C31696" s="5">
        <v>104.3</v>
      </c>
      <c r="D31696" s="5">
        <v>0.1</v>
      </c>
      <c r="E31696" s="5">
        <v>104.5</v>
      </c>
      <c r="F31696" s="5">
        <v>204.1</v>
      </c>
      <c r="G31696" s="5">
        <v>102</v>
      </c>
      <c r="H31696" s="5">
        <v>102.1</v>
      </c>
      <c r="I31696" s="5">
        <v>0</v>
      </c>
      <c r="J31696" s="5">
        <v>0</v>
      </c>
      <c r="K31696" s="5">
        <v>0</v>
      </c>
    </row>
    <row r="31697" spans="1:11" x14ac:dyDescent="0.25">
      <c r="A31697" s="5">
        <f>31690</f>
      </c>
      <c r="B31697" s="5" t="s">
        <v>31705</v>
      </c>
      <c r="C31697" s="5">
        <v>104.3</v>
      </c>
      <c r="D31697" s="5">
        <v>0.1</v>
      </c>
      <c r="E31697" s="5">
        <v>104.5</v>
      </c>
      <c r="F31697" s="5">
        <v>204.1</v>
      </c>
      <c r="G31697" s="5">
        <v>102</v>
      </c>
      <c r="H31697" s="5">
        <v>102.1</v>
      </c>
      <c r="I31697" s="5">
        <v>0</v>
      </c>
      <c r="J31697" s="5">
        <v>0</v>
      </c>
      <c r="K31697" s="5">
        <v>0</v>
      </c>
    </row>
    <row r="31698" spans="1:11" x14ac:dyDescent="0.25">
      <c r="A31698" s="5">
        <f>31691</f>
      </c>
      <c r="B31698" s="5" t="s">
        <v>31706</v>
      </c>
      <c r="C31698" s="5">
        <v>105.1</v>
      </c>
      <c r="D31698" s="5">
        <v>0.1</v>
      </c>
      <c r="E31698" s="5">
        <v>105.2</v>
      </c>
      <c r="F31698" s="5">
        <v>208.4</v>
      </c>
      <c r="G31698" s="5">
        <v>104</v>
      </c>
      <c r="H31698" s="5">
        <v>103.9</v>
      </c>
      <c r="I31698" s="5">
        <v>0</v>
      </c>
      <c r="J31698" s="5">
        <v>0</v>
      </c>
      <c r="K31698" s="5">
        <v>0</v>
      </c>
    </row>
    <row r="31699" spans="1:11" x14ac:dyDescent="0.25">
      <c r="A31699" s="5">
        <f>31692</f>
      </c>
      <c r="B31699" s="5" t="s">
        <v>31707</v>
      </c>
      <c r="C31699" s="5">
        <v>105.1</v>
      </c>
      <c r="D31699" s="5">
        <v>0.1</v>
      </c>
      <c r="E31699" s="5">
        <v>105.2</v>
      </c>
      <c r="F31699" s="5">
        <v>208.4</v>
      </c>
      <c r="G31699" s="5">
        <v>104</v>
      </c>
      <c r="H31699" s="5">
        <v>103.9</v>
      </c>
      <c r="I31699" s="5">
        <v>0</v>
      </c>
      <c r="J31699" s="5">
        <v>0</v>
      </c>
      <c r="K31699" s="5">
        <v>0</v>
      </c>
    </row>
    <row r="31700" spans="1:11" x14ac:dyDescent="0.25">
      <c r="A31700" s="5">
        <f>31693</f>
      </c>
      <c r="B31700" s="5" t="s">
        <v>31708</v>
      </c>
      <c r="C31700" s="5">
        <v>105.5</v>
      </c>
      <c r="D31700" s="5">
        <v>0.1</v>
      </c>
      <c r="E31700" s="5">
        <v>105.6</v>
      </c>
      <c r="F31700" s="5">
        <v>209.5</v>
      </c>
      <c r="G31700" s="5">
        <v>104.5</v>
      </c>
      <c r="H31700" s="5">
        <v>104.4</v>
      </c>
      <c r="I31700" s="5">
        <v>0</v>
      </c>
      <c r="J31700" s="5">
        <v>0</v>
      </c>
      <c r="K31700" s="5">
        <v>0</v>
      </c>
    </row>
    <row r="31701" spans="1:11" x14ac:dyDescent="0.25">
      <c r="A31701" s="5">
        <f>31694</f>
      </c>
      <c r="B31701" s="5" t="s">
        <v>31709</v>
      </c>
      <c r="C31701" s="5">
        <v>105.5</v>
      </c>
      <c r="D31701" s="5">
        <v>0.1</v>
      </c>
      <c r="E31701" s="5">
        <v>105.6</v>
      </c>
      <c r="F31701" s="5">
        <v>209.5</v>
      </c>
      <c r="G31701" s="5">
        <v>104.5</v>
      </c>
      <c r="H31701" s="5">
        <v>104.4</v>
      </c>
      <c r="I31701" s="5">
        <v>0</v>
      </c>
      <c r="J31701" s="5">
        <v>0</v>
      </c>
      <c r="K31701" s="5">
        <v>0</v>
      </c>
    </row>
    <row r="31702" spans="1:11" x14ac:dyDescent="0.25">
      <c r="A31702" s="5">
        <f>31695</f>
      </c>
      <c r="B31702" s="5" t="s">
        <v>31710</v>
      </c>
      <c r="C31702" s="5">
        <v>105.5</v>
      </c>
      <c r="D31702" s="5">
        <v>0.1</v>
      </c>
      <c r="E31702" s="5">
        <v>105.6</v>
      </c>
      <c r="F31702" s="5">
        <v>209.5</v>
      </c>
      <c r="G31702" s="5">
        <v>104.5</v>
      </c>
      <c r="H31702" s="5">
        <v>104.4</v>
      </c>
      <c r="I31702" s="5">
        <v>0</v>
      </c>
      <c r="J31702" s="5">
        <v>0</v>
      </c>
      <c r="K31702" s="5">
        <v>0</v>
      </c>
    </row>
    <row r="31703" spans="1:11" x14ac:dyDescent="0.25">
      <c r="A31703" s="5">
        <f>31696</f>
      </c>
      <c r="B31703" s="5" t="s">
        <v>31711</v>
      </c>
      <c r="C31703" s="5">
        <v>105.5</v>
      </c>
      <c r="D31703" s="5">
        <v>0.1</v>
      </c>
      <c r="E31703" s="5">
        <v>105.6</v>
      </c>
      <c r="F31703" s="5">
        <v>209.5</v>
      </c>
      <c r="G31703" s="5">
        <v>104.5</v>
      </c>
      <c r="H31703" s="5">
        <v>104.4</v>
      </c>
      <c r="I31703" s="5">
        <v>0</v>
      </c>
      <c r="J31703" s="5">
        <v>0</v>
      </c>
      <c r="K31703" s="5">
        <v>0</v>
      </c>
    </row>
    <row r="31704" spans="1:11" x14ac:dyDescent="0.25">
      <c r="A31704" s="5">
        <f>31697</f>
      </c>
      <c r="B31704" s="5" t="s">
        <v>31712</v>
      </c>
      <c r="C31704" s="5">
        <v>104.2</v>
      </c>
      <c r="D31704" s="5">
        <v>0.1</v>
      </c>
      <c r="E31704" s="5">
        <v>104.3</v>
      </c>
      <c r="F31704" s="5">
        <v>209.2</v>
      </c>
      <c r="G31704" s="5">
        <v>104.4</v>
      </c>
      <c r="H31704" s="5">
        <v>104.2</v>
      </c>
      <c r="I31704" s="5">
        <v>0</v>
      </c>
      <c r="J31704" s="5">
        <v>0</v>
      </c>
      <c r="K31704" s="5">
        <v>0</v>
      </c>
    </row>
    <row r="31705" spans="1:11" x14ac:dyDescent="0.25">
      <c r="A31705" s="5">
        <f>31698</f>
      </c>
      <c r="B31705" s="5" t="s">
        <v>31713</v>
      </c>
      <c r="C31705" s="5">
        <v>104.2</v>
      </c>
      <c r="D31705" s="5">
        <v>0.1</v>
      </c>
      <c r="E31705" s="5">
        <v>104.3</v>
      </c>
      <c r="F31705" s="5">
        <v>209.2</v>
      </c>
      <c r="G31705" s="5">
        <v>104.4</v>
      </c>
      <c r="H31705" s="5">
        <v>104.2</v>
      </c>
      <c r="I31705" s="5">
        <v>0</v>
      </c>
      <c r="J31705" s="5">
        <v>0</v>
      </c>
      <c r="K31705" s="5">
        <v>0</v>
      </c>
    </row>
    <row r="31706" spans="1:11" x14ac:dyDescent="0.25">
      <c r="A31706" s="5">
        <f>31699</f>
      </c>
      <c r="B31706" s="5" t="s">
        <v>31714</v>
      </c>
      <c r="C31706" s="5">
        <v>104.8</v>
      </c>
      <c r="D31706" s="5">
        <v>0.1</v>
      </c>
      <c r="E31706" s="5">
        <v>105</v>
      </c>
      <c r="F31706" s="5">
        <v>208.8</v>
      </c>
      <c r="G31706" s="5">
        <v>104.1</v>
      </c>
      <c r="H31706" s="5">
        <v>104.3</v>
      </c>
      <c r="I31706" s="5">
        <v>0</v>
      </c>
      <c r="J31706" s="5">
        <v>0</v>
      </c>
      <c r="K31706" s="5">
        <v>0</v>
      </c>
    </row>
    <row r="31707" spans="1:11" x14ac:dyDescent="0.25">
      <c r="A31707" s="5">
        <f>31700</f>
      </c>
      <c r="B31707" s="5" t="s">
        <v>31715</v>
      </c>
      <c r="C31707" s="5">
        <v>104.8</v>
      </c>
      <c r="D31707" s="5">
        <v>0.1</v>
      </c>
      <c r="E31707" s="5">
        <v>105</v>
      </c>
      <c r="F31707" s="5">
        <v>208.8</v>
      </c>
      <c r="G31707" s="5">
        <v>104.1</v>
      </c>
      <c r="H31707" s="5">
        <v>104.3</v>
      </c>
      <c r="I31707" s="5">
        <v>0</v>
      </c>
      <c r="J31707" s="5">
        <v>0</v>
      </c>
      <c r="K31707" s="5">
        <v>0</v>
      </c>
    </row>
    <row r="31708" spans="1:11" x14ac:dyDescent="0.25">
      <c r="A31708" s="5">
        <f>31701</f>
      </c>
      <c r="B31708" s="5" t="s">
        <v>31716</v>
      </c>
      <c r="C31708" s="5">
        <v>104.9</v>
      </c>
      <c r="D31708" s="5">
        <v>0.1</v>
      </c>
      <c r="E31708" s="5">
        <v>105</v>
      </c>
      <c r="F31708" s="5">
        <v>209.6</v>
      </c>
      <c r="G31708" s="5">
        <v>104.6</v>
      </c>
      <c r="H31708" s="5">
        <v>105</v>
      </c>
      <c r="I31708" s="5">
        <v>0</v>
      </c>
      <c r="J31708" s="5">
        <v>0</v>
      </c>
      <c r="K31708" s="5">
        <v>0</v>
      </c>
    </row>
    <row r="31709" spans="1:11" x14ac:dyDescent="0.25">
      <c r="A31709" s="5">
        <f>31702</f>
      </c>
      <c r="B31709" s="5" t="s">
        <v>31717</v>
      </c>
      <c r="C31709" s="5">
        <v>104.9</v>
      </c>
      <c r="D31709" s="5">
        <v>0.1</v>
      </c>
      <c r="E31709" s="5">
        <v>105</v>
      </c>
      <c r="F31709" s="5">
        <v>209.6</v>
      </c>
      <c r="G31709" s="5">
        <v>104.6</v>
      </c>
      <c r="H31709" s="5">
        <v>105</v>
      </c>
      <c r="I31709" s="5">
        <v>0</v>
      </c>
      <c r="J31709" s="5">
        <v>0</v>
      </c>
      <c r="K31709" s="5">
        <v>0</v>
      </c>
    </row>
    <row r="31710" spans="1:11" x14ac:dyDescent="0.25">
      <c r="A31710" s="5">
        <f>31703</f>
      </c>
      <c r="B31710" s="5" t="s">
        <v>31718</v>
      </c>
      <c r="C31710" s="5">
        <v>104.6</v>
      </c>
      <c r="D31710" s="5">
        <v>0.1</v>
      </c>
      <c r="E31710" s="5">
        <v>104.8</v>
      </c>
      <c r="F31710" s="5">
        <v>209.9</v>
      </c>
      <c r="G31710" s="5">
        <v>104.7</v>
      </c>
      <c r="H31710" s="5">
        <v>104.6</v>
      </c>
      <c r="I31710" s="5">
        <v>0</v>
      </c>
      <c r="J31710" s="5">
        <v>0</v>
      </c>
      <c r="K31710" s="5">
        <v>0</v>
      </c>
    </row>
    <row r="31711" spans="1:11" x14ac:dyDescent="0.25">
      <c r="A31711" s="5">
        <f>31704</f>
      </c>
      <c r="B31711" s="5" t="s">
        <v>31719</v>
      </c>
      <c r="C31711" s="5">
        <v>104.6</v>
      </c>
      <c r="D31711" s="5">
        <v>0.1</v>
      </c>
      <c r="E31711" s="5">
        <v>104.8</v>
      </c>
      <c r="F31711" s="5">
        <v>209.9</v>
      </c>
      <c r="G31711" s="5">
        <v>104.7</v>
      </c>
      <c r="H31711" s="5">
        <v>104.6</v>
      </c>
      <c r="I31711" s="5">
        <v>0</v>
      </c>
      <c r="J31711" s="5">
        <v>0</v>
      </c>
      <c r="K31711" s="5">
        <v>0</v>
      </c>
    </row>
    <row r="31712" spans="1:11" x14ac:dyDescent="0.25">
      <c r="A31712" s="5">
        <f>31705</f>
      </c>
      <c r="B31712" s="5" t="s">
        <v>31720</v>
      </c>
      <c r="C31712" s="5">
        <v>104.6</v>
      </c>
      <c r="D31712" s="5">
        <v>0.1</v>
      </c>
      <c r="E31712" s="5">
        <v>104.8</v>
      </c>
      <c r="F31712" s="5">
        <v>209.9</v>
      </c>
      <c r="G31712" s="5">
        <v>104.7</v>
      </c>
      <c r="H31712" s="5">
        <v>104.6</v>
      </c>
      <c r="I31712" s="5">
        <v>0</v>
      </c>
      <c r="J31712" s="5">
        <v>0</v>
      </c>
      <c r="K31712" s="5">
        <v>0</v>
      </c>
    </row>
    <row r="31713" spans="1:11" x14ac:dyDescent="0.25">
      <c r="A31713" s="5">
        <f>31706</f>
      </c>
      <c r="B31713" s="5" t="s">
        <v>31721</v>
      </c>
      <c r="C31713" s="5">
        <v>104.6</v>
      </c>
      <c r="D31713" s="5">
        <v>0.1</v>
      </c>
      <c r="E31713" s="5">
        <v>104.8</v>
      </c>
      <c r="F31713" s="5">
        <v>209.9</v>
      </c>
      <c r="G31713" s="5">
        <v>104.7</v>
      </c>
      <c r="H31713" s="5">
        <v>104.6</v>
      </c>
      <c r="I31713" s="5">
        <v>0</v>
      </c>
      <c r="J31713" s="5">
        <v>0</v>
      </c>
      <c r="K31713" s="5">
        <v>0</v>
      </c>
    </row>
    <row r="31714" spans="1:11" x14ac:dyDescent="0.25">
      <c r="A31714" s="5">
        <f>31707</f>
      </c>
      <c r="B31714" s="5" t="s">
        <v>31722</v>
      </c>
      <c r="C31714" s="5">
        <v>103.8</v>
      </c>
      <c r="D31714" s="5">
        <v>0.1</v>
      </c>
      <c r="E31714" s="5">
        <v>104</v>
      </c>
      <c r="F31714" s="5">
        <v>205.7</v>
      </c>
      <c r="G31714" s="5">
        <v>102.7</v>
      </c>
      <c r="H31714" s="5">
        <v>102.6</v>
      </c>
      <c r="I31714" s="5">
        <v>0</v>
      </c>
      <c r="J31714" s="5">
        <v>0</v>
      </c>
      <c r="K31714" s="5">
        <v>0</v>
      </c>
    </row>
    <row r="31715" spans="1:11" x14ac:dyDescent="0.25">
      <c r="A31715" s="5">
        <f>31708</f>
      </c>
      <c r="B31715" s="5" t="s">
        <v>31723</v>
      </c>
      <c r="C31715" s="5">
        <v>103.8</v>
      </c>
      <c r="D31715" s="5">
        <v>0.1</v>
      </c>
      <c r="E31715" s="5">
        <v>104</v>
      </c>
      <c r="F31715" s="5">
        <v>205.7</v>
      </c>
      <c r="G31715" s="5">
        <v>102.7</v>
      </c>
      <c r="H31715" s="5">
        <v>102.6</v>
      </c>
      <c r="I31715" s="5">
        <v>0</v>
      </c>
      <c r="J31715" s="5">
        <v>0</v>
      </c>
      <c r="K31715" s="5">
        <v>0</v>
      </c>
    </row>
    <row r="31716" spans="1:11" x14ac:dyDescent="0.25">
      <c r="A31716" s="5">
        <f>31709</f>
      </c>
      <c r="B31716" s="5" t="s">
        <v>31724</v>
      </c>
      <c r="C31716" s="5">
        <v>100</v>
      </c>
      <c r="D31716" s="5">
        <v>0.1</v>
      </c>
      <c r="E31716" s="5">
        <v>100.2</v>
      </c>
      <c r="F31716" s="5">
        <v>198.9</v>
      </c>
      <c r="G31716" s="5">
        <v>99.2</v>
      </c>
      <c r="H31716" s="5">
        <v>99.1</v>
      </c>
      <c r="I31716" s="5">
        <v>0</v>
      </c>
      <c r="J31716" s="5">
        <v>0</v>
      </c>
      <c r="K31716" s="5">
        <v>0</v>
      </c>
    </row>
    <row r="31717" spans="1:11" x14ac:dyDescent="0.25">
      <c r="A31717" s="5">
        <f>31710</f>
      </c>
      <c r="B31717" s="5" t="s">
        <v>31725</v>
      </c>
      <c r="C31717" s="5">
        <v>100</v>
      </c>
      <c r="D31717" s="5">
        <v>0.1</v>
      </c>
      <c r="E31717" s="5">
        <v>100.2</v>
      </c>
      <c r="F31717" s="5">
        <v>198.9</v>
      </c>
      <c r="G31717" s="5">
        <v>99.2</v>
      </c>
      <c r="H31717" s="5">
        <v>99.1</v>
      </c>
      <c r="I31717" s="5">
        <v>0</v>
      </c>
      <c r="J31717" s="5">
        <v>0</v>
      </c>
      <c r="K31717" s="5">
        <v>0</v>
      </c>
    </row>
    <row r="31718" spans="1:11" x14ac:dyDescent="0.25">
      <c r="A31718" s="5">
        <f>31711</f>
      </c>
      <c r="B31718" s="5" t="s">
        <v>31726</v>
      </c>
      <c r="C31718" s="5">
        <v>99.2</v>
      </c>
      <c r="D31718" s="5">
        <v>0.1</v>
      </c>
      <c r="E31718" s="5">
        <v>99.4</v>
      </c>
      <c r="F31718" s="5">
        <v>198</v>
      </c>
      <c r="G31718" s="5">
        <v>98.8</v>
      </c>
      <c r="H31718" s="5">
        <v>98.6</v>
      </c>
      <c r="I31718" s="5">
        <v>0</v>
      </c>
      <c r="J31718" s="5">
        <v>0</v>
      </c>
      <c r="K31718" s="5">
        <v>0</v>
      </c>
    </row>
    <row r="31719" spans="1:11" x14ac:dyDescent="0.25">
      <c r="A31719" s="5">
        <f>31712</f>
      </c>
      <c r="B31719" s="5" t="s">
        <v>31727</v>
      </c>
      <c r="C31719" s="5">
        <v>99.2</v>
      </c>
      <c r="D31719" s="5">
        <v>0.1</v>
      </c>
      <c r="E31719" s="5">
        <v>99.4</v>
      </c>
      <c r="F31719" s="5">
        <v>198</v>
      </c>
      <c r="G31719" s="5">
        <v>98.8</v>
      </c>
      <c r="H31719" s="5">
        <v>98.6</v>
      </c>
      <c r="I31719" s="5">
        <v>0</v>
      </c>
      <c r="J31719" s="5">
        <v>0</v>
      </c>
      <c r="K31719" s="5">
        <v>0</v>
      </c>
    </row>
    <row r="31720" spans="1:11" x14ac:dyDescent="0.25">
      <c r="A31720" s="5">
        <f>31713</f>
      </c>
      <c r="B31720" s="5" t="s">
        <v>31728</v>
      </c>
      <c r="C31720" s="5">
        <v>99.7</v>
      </c>
      <c r="D31720" s="5">
        <v>0.1</v>
      </c>
      <c r="E31720" s="5">
        <v>99.9</v>
      </c>
      <c r="F31720" s="5">
        <v>205.2</v>
      </c>
      <c r="G31720" s="5">
        <v>102.1</v>
      </c>
      <c r="H31720" s="5">
        <v>101.7</v>
      </c>
      <c r="I31720" s="5">
        <v>0</v>
      </c>
      <c r="J31720" s="5">
        <v>0</v>
      </c>
      <c r="K31720" s="5">
        <v>0</v>
      </c>
    </row>
    <row r="31721" spans="1:11" x14ac:dyDescent="0.25">
      <c r="A31721" s="5">
        <f>31714</f>
      </c>
      <c r="B31721" s="5" t="s">
        <v>31729</v>
      </c>
      <c r="C31721" s="5">
        <v>99.7</v>
      </c>
      <c r="D31721" s="5">
        <v>0.1</v>
      </c>
      <c r="E31721" s="5">
        <v>99.9</v>
      </c>
      <c r="F31721" s="5">
        <v>205.2</v>
      </c>
      <c r="G31721" s="5">
        <v>102.1</v>
      </c>
      <c r="H31721" s="5">
        <v>101.7</v>
      </c>
      <c r="I31721" s="5">
        <v>0</v>
      </c>
      <c r="J31721" s="5">
        <v>0</v>
      </c>
      <c r="K31721" s="5">
        <v>0</v>
      </c>
    </row>
    <row r="31722" spans="1:11" x14ac:dyDescent="0.25">
      <c r="A31722" s="5">
        <f>31715</f>
      </c>
      <c r="B31722" s="5" t="s">
        <v>31730</v>
      </c>
      <c r="C31722" s="5">
        <v>99.7</v>
      </c>
      <c r="D31722" s="5">
        <v>0.1</v>
      </c>
      <c r="E31722" s="5">
        <v>99.9</v>
      </c>
      <c r="F31722" s="5">
        <v>205.2</v>
      </c>
      <c r="G31722" s="5">
        <v>102.1</v>
      </c>
      <c r="H31722" s="5">
        <v>101.7</v>
      </c>
      <c r="I31722" s="5">
        <v>0</v>
      </c>
      <c r="J31722" s="5">
        <v>0</v>
      </c>
      <c r="K31722" s="5">
        <v>0</v>
      </c>
    </row>
    <row r="31723" spans="1:11" x14ac:dyDescent="0.25">
      <c r="A31723" s="5">
        <f>31716</f>
      </c>
      <c r="B31723" s="5" t="s">
        <v>31731</v>
      </c>
      <c r="C31723" s="5">
        <v>99.7</v>
      </c>
      <c r="D31723" s="5">
        <v>0.1</v>
      </c>
      <c r="E31723" s="5">
        <v>99.9</v>
      </c>
      <c r="F31723" s="5">
        <v>205.2</v>
      </c>
      <c r="G31723" s="5">
        <v>102.1</v>
      </c>
      <c r="H31723" s="5">
        <v>101.7</v>
      </c>
      <c r="I31723" s="5">
        <v>0</v>
      </c>
      <c r="J31723" s="5">
        <v>0</v>
      </c>
      <c r="K31723" s="5">
        <v>0</v>
      </c>
    </row>
    <row r="31724" spans="1:11" x14ac:dyDescent="0.25">
      <c r="A31724" s="5">
        <f>31717</f>
      </c>
      <c r="B31724" s="5" t="s">
        <v>31732</v>
      </c>
      <c r="C31724" s="5">
        <v>105.2</v>
      </c>
      <c r="D31724" s="5">
        <v>0.1</v>
      </c>
      <c r="E31724" s="5">
        <v>105.3</v>
      </c>
      <c r="F31724" s="5">
        <v>206</v>
      </c>
      <c r="G31724" s="5">
        <v>102.2</v>
      </c>
      <c r="H31724" s="5">
        <v>101.8</v>
      </c>
      <c r="I31724" s="5">
        <v>0</v>
      </c>
      <c r="J31724" s="5">
        <v>0</v>
      </c>
      <c r="K31724" s="5">
        <v>0</v>
      </c>
    </row>
    <row r="31725" spans="1:11" x14ac:dyDescent="0.25">
      <c r="A31725" s="5">
        <f>31718</f>
      </c>
      <c r="B31725" s="5" t="s">
        <v>31733</v>
      </c>
      <c r="C31725" s="5">
        <v>105.2</v>
      </c>
      <c r="D31725" s="5">
        <v>0.1</v>
      </c>
      <c r="E31725" s="5">
        <v>105.3</v>
      </c>
      <c r="F31725" s="5">
        <v>206</v>
      </c>
      <c r="G31725" s="5">
        <v>102.2</v>
      </c>
      <c r="H31725" s="5">
        <v>101.8</v>
      </c>
      <c r="I31725" s="5">
        <v>0</v>
      </c>
      <c r="J31725" s="5">
        <v>0</v>
      </c>
      <c r="K31725" s="5">
        <v>0</v>
      </c>
    </row>
    <row r="31726" spans="1:11" x14ac:dyDescent="0.25">
      <c r="A31726" s="5">
        <f>31719</f>
      </c>
      <c r="B31726" s="5" t="s">
        <v>31734</v>
      </c>
      <c r="C31726" s="5">
        <v>100</v>
      </c>
      <c r="D31726" s="5">
        <v>0.1</v>
      </c>
      <c r="E31726" s="5">
        <v>100.2</v>
      </c>
      <c r="F31726" s="5">
        <v>200.3</v>
      </c>
      <c r="G31726" s="5">
        <v>100.1</v>
      </c>
      <c r="H31726" s="5">
        <v>100.2</v>
      </c>
      <c r="I31726" s="5">
        <v>0</v>
      </c>
      <c r="J31726" s="5">
        <v>0</v>
      </c>
      <c r="K31726" s="5">
        <v>0</v>
      </c>
    </row>
    <row r="31727" spans="1:11" x14ac:dyDescent="0.25">
      <c r="A31727" s="5">
        <f>31720</f>
      </c>
      <c r="B31727" s="5" t="s">
        <v>31735</v>
      </c>
      <c r="C31727" s="5">
        <v>100</v>
      </c>
      <c r="D31727" s="5">
        <v>0.1</v>
      </c>
      <c r="E31727" s="5">
        <v>100.2</v>
      </c>
      <c r="F31727" s="5">
        <v>200.3</v>
      </c>
      <c r="G31727" s="5">
        <v>100.1</v>
      </c>
      <c r="H31727" s="5">
        <v>100.2</v>
      </c>
      <c r="I31727" s="5">
        <v>0</v>
      </c>
      <c r="J31727" s="5">
        <v>0</v>
      </c>
      <c r="K31727" s="5">
        <v>0</v>
      </c>
    </row>
    <row r="31728" spans="1:11" x14ac:dyDescent="0.25">
      <c r="A31728" s="5">
        <f>31721</f>
      </c>
      <c r="B31728" s="5" t="s">
        <v>31736</v>
      </c>
      <c r="C31728" s="5">
        <v>99.8</v>
      </c>
      <c r="D31728" s="5">
        <v>0.1</v>
      </c>
      <c r="E31728" s="5">
        <v>99.9</v>
      </c>
      <c r="F31728" s="5">
        <v>199.2</v>
      </c>
      <c r="G31728" s="5">
        <v>99.4</v>
      </c>
      <c r="H31728" s="5">
        <v>99.3</v>
      </c>
      <c r="I31728" s="5">
        <v>0</v>
      </c>
      <c r="J31728" s="5">
        <v>0</v>
      </c>
      <c r="K31728" s="5">
        <v>0</v>
      </c>
    </row>
    <row r="31729" spans="1:11" x14ac:dyDescent="0.25">
      <c r="A31729" s="5">
        <f>31722</f>
      </c>
      <c r="B31729" s="5" t="s">
        <v>31737</v>
      </c>
      <c r="C31729" s="5">
        <v>99.8</v>
      </c>
      <c r="D31729" s="5">
        <v>0.1</v>
      </c>
      <c r="E31729" s="5">
        <v>99.9</v>
      </c>
      <c r="F31729" s="5">
        <v>199.2</v>
      </c>
      <c r="G31729" s="5">
        <v>99.4</v>
      </c>
      <c r="H31729" s="5">
        <v>99.3</v>
      </c>
      <c r="I31729" s="5">
        <v>0</v>
      </c>
      <c r="J31729" s="5">
        <v>0</v>
      </c>
      <c r="K31729" s="5">
        <v>0</v>
      </c>
    </row>
    <row r="31730" spans="1:11" x14ac:dyDescent="0.25">
      <c r="A31730" s="5">
        <f>31723</f>
      </c>
      <c r="B31730" s="5" t="s">
        <v>31738</v>
      </c>
      <c r="C31730" s="5">
        <v>103.2</v>
      </c>
      <c r="D31730" s="5">
        <v>0.1</v>
      </c>
      <c r="E31730" s="5">
        <v>103.4</v>
      </c>
      <c r="F31730" s="5">
        <v>201.5</v>
      </c>
      <c r="G31730" s="5">
        <v>100.4</v>
      </c>
      <c r="H31730" s="5">
        <v>100.1</v>
      </c>
      <c r="I31730" s="5">
        <v>0</v>
      </c>
      <c r="J31730" s="5">
        <v>0</v>
      </c>
      <c r="K31730" s="5">
        <v>0</v>
      </c>
    </row>
    <row r="31731" spans="1:11" x14ac:dyDescent="0.25">
      <c r="A31731" s="5">
        <f>31724</f>
      </c>
      <c r="B31731" s="5" t="s">
        <v>31739</v>
      </c>
      <c r="C31731" s="5">
        <v>103.2</v>
      </c>
      <c r="D31731" s="5">
        <v>0.1</v>
      </c>
      <c r="E31731" s="5">
        <v>103.4</v>
      </c>
      <c r="F31731" s="5">
        <v>201.5</v>
      </c>
      <c r="G31731" s="5">
        <v>100.4</v>
      </c>
      <c r="H31731" s="5">
        <v>100.1</v>
      </c>
      <c r="I31731" s="5">
        <v>0</v>
      </c>
      <c r="J31731" s="5">
        <v>0</v>
      </c>
      <c r="K31731" s="5">
        <v>0</v>
      </c>
    </row>
    <row r="31732" spans="1:11" x14ac:dyDescent="0.25">
      <c r="A31732" s="5">
        <f>31725</f>
      </c>
      <c r="B31732" s="5" t="s">
        <v>31740</v>
      </c>
      <c r="C31732" s="5">
        <v>103.2</v>
      </c>
      <c r="D31732" s="5">
        <v>0.1</v>
      </c>
      <c r="E31732" s="5">
        <v>103.4</v>
      </c>
      <c r="F31732" s="5">
        <v>201.5</v>
      </c>
      <c r="G31732" s="5">
        <v>100.4</v>
      </c>
      <c r="H31732" s="5">
        <v>100.1</v>
      </c>
      <c r="I31732" s="5">
        <v>0</v>
      </c>
      <c r="J31732" s="5">
        <v>0</v>
      </c>
      <c r="K31732" s="5">
        <v>0</v>
      </c>
    </row>
    <row r="31733" spans="1:11" x14ac:dyDescent="0.25">
      <c r="A31733" s="5">
        <f>31726</f>
      </c>
      <c r="B31733" s="5" t="s">
        <v>31741</v>
      </c>
      <c r="C31733" s="5">
        <v>103.2</v>
      </c>
      <c r="D31733" s="5">
        <v>0.1</v>
      </c>
      <c r="E31733" s="5">
        <v>103.4</v>
      </c>
      <c r="F31733" s="5">
        <v>201.5</v>
      </c>
      <c r="G31733" s="5">
        <v>100.4</v>
      </c>
      <c r="H31733" s="5">
        <v>100.1</v>
      </c>
      <c r="I31733" s="5">
        <v>0</v>
      </c>
      <c r="J31733" s="5">
        <v>0</v>
      </c>
      <c r="K31733" s="5">
        <v>0</v>
      </c>
    </row>
    <row r="31734" spans="1:11" x14ac:dyDescent="0.25">
      <c r="A31734" s="5">
        <f>31727</f>
      </c>
      <c r="B31734" s="5" t="s">
        <v>31742</v>
      </c>
      <c r="C31734" s="5">
        <v>100.5</v>
      </c>
      <c r="D31734" s="5">
        <v>0.1</v>
      </c>
      <c r="E31734" s="5">
        <v>100.7</v>
      </c>
      <c r="F31734" s="5">
        <v>200.8</v>
      </c>
      <c r="G31734" s="5">
        <v>100.2</v>
      </c>
      <c r="H31734" s="5">
        <v>100</v>
      </c>
      <c r="I31734" s="5">
        <v>0</v>
      </c>
      <c r="J31734" s="5">
        <v>0</v>
      </c>
      <c r="K31734" s="5">
        <v>0</v>
      </c>
    </row>
    <row r="31735" spans="1:11" x14ac:dyDescent="0.25">
      <c r="A31735" s="5">
        <f>31728</f>
      </c>
      <c r="B31735" s="5" t="s">
        <v>31743</v>
      </c>
      <c r="C31735" s="5">
        <v>100.5</v>
      </c>
      <c r="D31735" s="5">
        <v>0.1</v>
      </c>
      <c r="E31735" s="5">
        <v>100.7</v>
      </c>
      <c r="F31735" s="5">
        <v>200.8</v>
      </c>
      <c r="G31735" s="5">
        <v>100.2</v>
      </c>
      <c r="H31735" s="5">
        <v>100</v>
      </c>
      <c r="I31735" s="5">
        <v>0</v>
      </c>
      <c r="J31735" s="5">
        <v>0</v>
      </c>
      <c r="K31735" s="5">
        <v>0</v>
      </c>
    </row>
    <row r="31736" spans="1:11" x14ac:dyDescent="0.25">
      <c r="A31736" s="5">
        <f>31729</f>
      </c>
      <c r="B31736" s="5" t="s">
        <v>31744</v>
      </c>
      <c r="C31736" s="5">
        <v>99.6</v>
      </c>
      <c r="D31736" s="5">
        <v>0.1</v>
      </c>
      <c r="E31736" s="5">
        <v>99.7</v>
      </c>
      <c r="F31736" s="5">
        <v>200.8</v>
      </c>
      <c r="G31736" s="5">
        <v>100.1</v>
      </c>
      <c r="H31736" s="5">
        <v>99.8</v>
      </c>
      <c r="I31736" s="5">
        <v>0</v>
      </c>
      <c r="J31736" s="5">
        <v>0</v>
      </c>
      <c r="K31736" s="5">
        <v>0</v>
      </c>
    </row>
    <row r="31737" spans="1:11" x14ac:dyDescent="0.25">
      <c r="A31737" s="5">
        <f>31730</f>
      </c>
      <c r="B31737" s="5" t="s">
        <v>31745</v>
      </c>
      <c r="C31737" s="5">
        <v>99.6</v>
      </c>
      <c r="D31737" s="5">
        <v>0.1</v>
      </c>
      <c r="E31737" s="5">
        <v>99.7</v>
      </c>
      <c r="F31737" s="5">
        <v>200.8</v>
      </c>
      <c r="G31737" s="5">
        <v>100.1</v>
      </c>
      <c r="H31737" s="5">
        <v>99.8</v>
      </c>
      <c r="I31737" s="5">
        <v>0</v>
      </c>
      <c r="J31737" s="5">
        <v>0</v>
      </c>
      <c r="K31737" s="5">
        <v>0</v>
      </c>
    </row>
    <row r="31738" spans="1:11" x14ac:dyDescent="0.25">
      <c r="A31738" s="5">
        <f>31731</f>
      </c>
      <c r="B31738" s="5" t="s">
        <v>31746</v>
      </c>
      <c r="C31738" s="5">
        <v>105.7</v>
      </c>
      <c r="D31738" s="5">
        <v>0.1</v>
      </c>
      <c r="E31738" s="5">
        <v>105.9</v>
      </c>
      <c r="F31738" s="5">
        <v>210.1</v>
      </c>
      <c r="G31738" s="5">
        <v>104.8</v>
      </c>
      <c r="H31738" s="5">
        <v>104.7</v>
      </c>
      <c r="I31738" s="5">
        <v>0</v>
      </c>
      <c r="J31738" s="5">
        <v>0</v>
      </c>
      <c r="K31738" s="5">
        <v>0</v>
      </c>
    </row>
    <row r="31739" spans="1:11" x14ac:dyDescent="0.25">
      <c r="A31739" s="5">
        <f>31732</f>
      </c>
      <c r="B31739" s="5" t="s">
        <v>31747</v>
      </c>
      <c r="C31739" s="5">
        <v>105.7</v>
      </c>
      <c r="D31739" s="5">
        <v>0.1</v>
      </c>
      <c r="E31739" s="5">
        <v>105.9</v>
      </c>
      <c r="F31739" s="5">
        <v>210.1</v>
      </c>
      <c r="G31739" s="5">
        <v>104.8</v>
      </c>
      <c r="H31739" s="5">
        <v>104.7</v>
      </c>
      <c r="I31739" s="5">
        <v>0</v>
      </c>
      <c r="J31739" s="5">
        <v>0</v>
      </c>
      <c r="K31739" s="5">
        <v>0</v>
      </c>
    </row>
    <row r="31740" spans="1:11" x14ac:dyDescent="0.25">
      <c r="A31740" s="5">
        <f>31733</f>
      </c>
      <c r="B31740" s="5" t="s">
        <v>31748</v>
      </c>
      <c r="C31740" s="5">
        <v>105.6</v>
      </c>
      <c r="D31740" s="5">
        <v>0.1</v>
      </c>
      <c r="E31740" s="5">
        <v>105.6</v>
      </c>
      <c r="F31740" s="5">
        <v>210.4</v>
      </c>
      <c r="G31740" s="5">
        <v>105.1</v>
      </c>
      <c r="H31740" s="5">
        <v>104.9</v>
      </c>
      <c r="I31740" s="5">
        <v>0</v>
      </c>
      <c r="J31740" s="5">
        <v>0</v>
      </c>
      <c r="K31740" s="5">
        <v>0</v>
      </c>
    </row>
    <row r="31741" spans="1:11" x14ac:dyDescent="0.25">
      <c r="A31741" s="5">
        <f>31734</f>
      </c>
      <c r="B31741" s="5" t="s">
        <v>31749</v>
      </c>
      <c r="C31741" s="5">
        <v>105.6</v>
      </c>
      <c r="D31741" s="5">
        <v>0.1</v>
      </c>
      <c r="E31741" s="5">
        <v>105.6</v>
      </c>
      <c r="F31741" s="5">
        <v>210.4</v>
      </c>
      <c r="G31741" s="5">
        <v>105.1</v>
      </c>
      <c r="H31741" s="5">
        <v>104.9</v>
      </c>
      <c r="I31741" s="5">
        <v>0</v>
      </c>
      <c r="J31741" s="5">
        <v>0</v>
      </c>
      <c r="K31741" s="5">
        <v>0</v>
      </c>
    </row>
    <row r="31742" spans="1:11" x14ac:dyDescent="0.25">
      <c r="A31742" s="5">
        <f>31735</f>
      </c>
      <c r="B31742" s="5" t="s">
        <v>31750</v>
      </c>
      <c r="C31742" s="5">
        <v>105.6</v>
      </c>
      <c r="D31742" s="5">
        <v>0.1</v>
      </c>
      <c r="E31742" s="5">
        <v>105.6</v>
      </c>
      <c r="F31742" s="5">
        <v>210.4</v>
      </c>
      <c r="G31742" s="5">
        <v>105.1</v>
      </c>
      <c r="H31742" s="5">
        <v>104.9</v>
      </c>
      <c r="I31742" s="5">
        <v>0</v>
      </c>
      <c r="J31742" s="5">
        <v>0</v>
      </c>
      <c r="K31742" s="5">
        <v>0</v>
      </c>
    </row>
    <row r="31743" spans="1:11" x14ac:dyDescent="0.25">
      <c r="A31743" s="5">
        <f>31736</f>
      </c>
      <c r="B31743" s="5" t="s">
        <v>31751</v>
      </c>
      <c r="C31743" s="5">
        <v>105.6</v>
      </c>
      <c r="D31743" s="5">
        <v>0.1</v>
      </c>
      <c r="E31743" s="5">
        <v>105.6</v>
      </c>
      <c r="F31743" s="5">
        <v>210.4</v>
      </c>
      <c r="G31743" s="5">
        <v>105.1</v>
      </c>
      <c r="H31743" s="5">
        <v>104.9</v>
      </c>
      <c r="I31743" s="5">
        <v>0</v>
      </c>
      <c r="J31743" s="5">
        <v>0</v>
      </c>
      <c r="K31743" s="5">
        <v>0</v>
      </c>
    </row>
    <row r="31744" spans="1:11" x14ac:dyDescent="0.25">
      <c r="A31744" s="5">
        <f>31737</f>
      </c>
      <c r="B31744" s="5" t="s">
        <v>31752</v>
      </c>
      <c r="C31744" s="5">
        <v>105.6</v>
      </c>
      <c r="D31744" s="5">
        <v>0.1</v>
      </c>
      <c r="E31744" s="5">
        <v>105.6</v>
      </c>
      <c r="F31744" s="5">
        <v>205.3</v>
      </c>
      <c r="G31744" s="5">
        <v>102.2</v>
      </c>
      <c r="H31744" s="5">
        <v>101.8</v>
      </c>
      <c r="I31744" s="5">
        <v>0</v>
      </c>
      <c r="J31744" s="5">
        <v>0</v>
      </c>
      <c r="K31744" s="5">
        <v>0</v>
      </c>
    </row>
    <row r="31745" spans="1:11" x14ac:dyDescent="0.25">
      <c r="A31745" s="5">
        <f>31738</f>
      </c>
      <c r="B31745" s="5" t="s">
        <v>31753</v>
      </c>
      <c r="C31745" s="5">
        <v>105.6</v>
      </c>
      <c r="D31745" s="5">
        <v>0.1</v>
      </c>
      <c r="E31745" s="5">
        <v>105.6</v>
      </c>
      <c r="F31745" s="5">
        <v>205.3</v>
      </c>
      <c r="G31745" s="5">
        <v>102.2</v>
      </c>
      <c r="H31745" s="5">
        <v>101.8</v>
      </c>
      <c r="I31745" s="5">
        <v>0</v>
      </c>
      <c r="J31745" s="5">
        <v>0</v>
      </c>
      <c r="K31745" s="5">
        <v>0</v>
      </c>
    </row>
    <row r="31746" spans="1:11" x14ac:dyDescent="0.25">
      <c r="A31746" s="5">
        <f>31739</f>
      </c>
      <c r="B31746" s="5" t="s">
        <v>31754</v>
      </c>
      <c r="C31746" s="5">
        <v>100.2</v>
      </c>
      <c r="D31746" s="5">
        <v>0.1</v>
      </c>
      <c r="E31746" s="5">
        <v>100.3</v>
      </c>
      <c r="F31746" s="5">
        <v>199.2</v>
      </c>
      <c r="G31746" s="5">
        <v>99.3</v>
      </c>
      <c r="H31746" s="5">
        <v>99.2</v>
      </c>
      <c r="I31746" s="5">
        <v>0</v>
      </c>
      <c r="J31746" s="5">
        <v>0</v>
      </c>
      <c r="K31746" s="5">
        <v>0</v>
      </c>
    </row>
    <row r="31747" spans="1:11" x14ac:dyDescent="0.25">
      <c r="A31747" s="5">
        <f>31740</f>
      </c>
      <c r="B31747" s="5" t="s">
        <v>31755</v>
      </c>
      <c r="C31747" s="5">
        <v>100.2</v>
      </c>
      <c r="D31747" s="5">
        <v>0.1</v>
      </c>
      <c r="E31747" s="5">
        <v>100.3</v>
      </c>
      <c r="F31747" s="5">
        <v>199.2</v>
      </c>
      <c r="G31747" s="5">
        <v>99.3</v>
      </c>
      <c r="H31747" s="5">
        <v>99.2</v>
      </c>
      <c r="I31747" s="5">
        <v>0</v>
      </c>
      <c r="J31747" s="5">
        <v>0</v>
      </c>
      <c r="K31747" s="5">
        <v>0</v>
      </c>
    </row>
    <row r="31748" spans="1:11" x14ac:dyDescent="0.25">
      <c r="A31748" s="5">
        <f>31741</f>
      </c>
      <c r="B31748" s="5" t="s">
        <v>31756</v>
      </c>
      <c r="C31748" s="5">
        <v>100.9</v>
      </c>
      <c r="D31748" s="5">
        <v>0.1</v>
      </c>
      <c r="E31748" s="5">
        <v>101.1</v>
      </c>
      <c r="F31748" s="5">
        <v>202.1</v>
      </c>
      <c r="G31748" s="5">
        <v>100.8</v>
      </c>
      <c r="H31748" s="5">
        <v>100.6</v>
      </c>
      <c r="I31748" s="5">
        <v>0</v>
      </c>
      <c r="J31748" s="5">
        <v>0</v>
      </c>
      <c r="K31748" s="5">
        <v>0</v>
      </c>
    </row>
    <row r="31749" spans="1:11" x14ac:dyDescent="0.25">
      <c r="A31749" s="5">
        <f>31742</f>
      </c>
      <c r="B31749" s="5" t="s">
        <v>31757</v>
      </c>
      <c r="C31749" s="5">
        <v>100.9</v>
      </c>
      <c r="D31749" s="5">
        <v>0.1</v>
      </c>
      <c r="E31749" s="5">
        <v>101.1</v>
      </c>
      <c r="F31749" s="5">
        <v>202.1</v>
      </c>
      <c r="G31749" s="5">
        <v>100.8</v>
      </c>
      <c r="H31749" s="5">
        <v>100.6</v>
      </c>
      <c r="I31749" s="5">
        <v>0</v>
      </c>
      <c r="J31749" s="5">
        <v>0</v>
      </c>
      <c r="K31749" s="5">
        <v>0</v>
      </c>
    </row>
    <row r="31750" spans="1:11" x14ac:dyDescent="0.25">
      <c r="A31750" s="5">
        <f>31743</f>
      </c>
      <c r="B31750" s="5" t="s">
        <v>31758</v>
      </c>
      <c r="C31750" s="5">
        <v>105.9</v>
      </c>
      <c r="D31750" s="5">
        <v>0.1</v>
      </c>
      <c r="E31750" s="5">
        <v>106.1</v>
      </c>
      <c r="F31750" s="5">
        <v>211.2</v>
      </c>
      <c r="G31750" s="5">
        <v>105.3</v>
      </c>
      <c r="H31750" s="5">
        <v>105.2</v>
      </c>
      <c r="I31750" s="5">
        <v>0</v>
      </c>
      <c r="J31750" s="5">
        <v>0</v>
      </c>
      <c r="K31750" s="5">
        <v>0</v>
      </c>
    </row>
    <row r="31751" spans="1:11" x14ac:dyDescent="0.25">
      <c r="A31751" s="5">
        <f>31744</f>
      </c>
      <c r="B31751" s="5" t="s">
        <v>31759</v>
      </c>
      <c r="C31751" s="5">
        <v>105.9</v>
      </c>
      <c r="D31751" s="5">
        <v>0.1</v>
      </c>
      <c r="E31751" s="5">
        <v>106.1</v>
      </c>
      <c r="F31751" s="5">
        <v>211.2</v>
      </c>
      <c r="G31751" s="5">
        <v>105.3</v>
      </c>
      <c r="H31751" s="5">
        <v>105.2</v>
      </c>
      <c r="I31751" s="5">
        <v>0</v>
      </c>
      <c r="J31751" s="5">
        <v>0</v>
      </c>
      <c r="K31751" s="5">
        <v>0</v>
      </c>
    </row>
    <row r="31752" spans="1:11" x14ac:dyDescent="0.25">
      <c r="A31752" s="5">
        <f>31745</f>
      </c>
      <c r="B31752" s="5" t="s">
        <v>31760</v>
      </c>
      <c r="C31752" s="5">
        <v>105.9</v>
      </c>
      <c r="D31752" s="5">
        <v>0.1</v>
      </c>
      <c r="E31752" s="5">
        <v>106.1</v>
      </c>
      <c r="F31752" s="5">
        <v>211.2</v>
      </c>
      <c r="G31752" s="5">
        <v>105.3</v>
      </c>
      <c r="H31752" s="5">
        <v>105.2</v>
      </c>
      <c r="I31752" s="5">
        <v>0</v>
      </c>
      <c r="J31752" s="5">
        <v>0</v>
      </c>
      <c r="K31752" s="5">
        <v>0</v>
      </c>
    </row>
    <row r="31753" spans="1:11" x14ac:dyDescent="0.25">
      <c r="A31753" s="5">
        <f>31746</f>
      </c>
      <c r="B31753" s="5" t="s">
        <v>31761</v>
      </c>
      <c r="C31753" s="5">
        <v>105.9</v>
      </c>
      <c r="D31753" s="5">
        <v>0.1</v>
      </c>
      <c r="E31753" s="5">
        <v>106.1</v>
      </c>
      <c r="F31753" s="5">
        <v>211.2</v>
      </c>
      <c r="G31753" s="5">
        <v>105.3</v>
      </c>
      <c r="H31753" s="5">
        <v>105.2</v>
      </c>
      <c r="I31753" s="5">
        <v>0</v>
      </c>
      <c r="J31753" s="5">
        <v>0</v>
      </c>
      <c r="K31753" s="5">
        <v>0</v>
      </c>
    </row>
    <row r="31754" spans="1:11" x14ac:dyDescent="0.25">
      <c r="A31754" s="5">
        <f>31747</f>
      </c>
      <c r="B31754" s="5" t="s">
        <v>31762</v>
      </c>
      <c r="C31754" s="5">
        <v>101.1</v>
      </c>
      <c r="D31754" s="5">
        <v>0.1</v>
      </c>
      <c r="E31754" s="5">
        <v>101.2</v>
      </c>
      <c r="F31754" s="5">
        <v>204.9</v>
      </c>
      <c r="G31754" s="5">
        <v>102.5</v>
      </c>
      <c r="H31754" s="5">
        <v>102.6</v>
      </c>
      <c r="I31754" s="5">
        <v>0</v>
      </c>
      <c r="J31754" s="5">
        <v>0</v>
      </c>
      <c r="K31754" s="5">
        <v>0</v>
      </c>
    </row>
    <row r="31755" spans="1:11" x14ac:dyDescent="0.25">
      <c r="A31755" s="5">
        <f>31748</f>
      </c>
      <c r="B31755" s="5" t="s">
        <v>31763</v>
      </c>
      <c r="C31755" s="5">
        <v>101.1</v>
      </c>
      <c r="D31755" s="5">
        <v>0.1</v>
      </c>
      <c r="E31755" s="5">
        <v>101.2</v>
      </c>
      <c r="F31755" s="5">
        <v>204.9</v>
      </c>
      <c r="G31755" s="5">
        <v>102.5</v>
      </c>
      <c r="H31755" s="5">
        <v>102.6</v>
      </c>
      <c r="I31755" s="5">
        <v>0</v>
      </c>
      <c r="J31755" s="5">
        <v>0</v>
      </c>
      <c r="K31755" s="5">
        <v>0</v>
      </c>
    </row>
    <row r="31756" spans="1:11" x14ac:dyDescent="0.25">
      <c r="A31756" s="5">
        <f>31749</f>
      </c>
      <c r="B31756" s="5" t="s">
        <v>31764</v>
      </c>
      <c r="C31756" s="5">
        <v>106.3</v>
      </c>
      <c r="D31756" s="5">
        <v>0.1</v>
      </c>
      <c r="E31756" s="5">
        <v>106.5</v>
      </c>
      <c r="F31756" s="5">
        <v>203.8</v>
      </c>
      <c r="G31756" s="5">
        <v>101.8</v>
      </c>
      <c r="H31756" s="5">
        <v>101.9</v>
      </c>
      <c r="I31756" s="5">
        <v>0</v>
      </c>
      <c r="J31756" s="5">
        <v>0</v>
      </c>
      <c r="K31756" s="5">
        <v>0</v>
      </c>
    </row>
    <row r="31757" spans="1:11" x14ac:dyDescent="0.25">
      <c r="A31757" s="5">
        <f>31750</f>
      </c>
      <c r="B31757" s="5" t="s">
        <v>31765</v>
      </c>
      <c r="C31757" s="5">
        <v>106.3</v>
      </c>
      <c r="D31757" s="5">
        <v>0.1</v>
      </c>
      <c r="E31757" s="5">
        <v>106.5</v>
      </c>
      <c r="F31757" s="5">
        <v>203.8</v>
      </c>
      <c r="G31757" s="5">
        <v>101.8</v>
      </c>
      <c r="H31757" s="5">
        <v>101.9</v>
      </c>
      <c r="I31757" s="5">
        <v>0</v>
      </c>
      <c r="J31757" s="5">
        <v>0</v>
      </c>
      <c r="K31757" s="5">
        <v>0</v>
      </c>
    </row>
    <row r="31758" spans="1:11" x14ac:dyDescent="0.25">
      <c r="A31758" s="5">
        <f>31751</f>
      </c>
      <c r="B31758" s="5" t="s">
        <v>31766</v>
      </c>
      <c r="C31758" s="5">
        <v>101.2</v>
      </c>
      <c r="D31758" s="5">
        <v>0.1</v>
      </c>
      <c r="E31758" s="5">
        <v>101.4</v>
      </c>
      <c r="F31758" s="5">
        <v>207.1</v>
      </c>
      <c r="G31758" s="5">
        <v>103.5</v>
      </c>
      <c r="H31758" s="5">
        <v>103.5</v>
      </c>
      <c r="I31758" s="5">
        <v>0</v>
      </c>
      <c r="J31758" s="5">
        <v>0</v>
      </c>
      <c r="K31758" s="5">
        <v>0</v>
      </c>
    </row>
    <row r="31759" spans="1:11" x14ac:dyDescent="0.25">
      <c r="A31759" s="5">
        <f>31752</f>
      </c>
      <c r="B31759" s="5" t="s">
        <v>31767</v>
      </c>
      <c r="C31759" s="5">
        <v>101.2</v>
      </c>
      <c r="D31759" s="5">
        <v>0.1</v>
      </c>
      <c r="E31759" s="5">
        <v>101.4</v>
      </c>
      <c r="F31759" s="5">
        <v>207.1</v>
      </c>
      <c r="G31759" s="5">
        <v>103.5</v>
      </c>
      <c r="H31759" s="5">
        <v>103.5</v>
      </c>
      <c r="I31759" s="5">
        <v>0</v>
      </c>
      <c r="J31759" s="5">
        <v>0</v>
      </c>
      <c r="K31759" s="5">
        <v>0</v>
      </c>
    </row>
    <row r="31760" spans="1:11" x14ac:dyDescent="0.25">
      <c r="A31760" s="5">
        <f>31753</f>
      </c>
      <c r="B31760" s="5" t="s">
        <v>31768</v>
      </c>
      <c r="C31760" s="5">
        <v>100.7</v>
      </c>
      <c r="D31760" s="5">
        <v>0.1</v>
      </c>
      <c r="E31760" s="5">
        <v>100.8</v>
      </c>
      <c r="F31760" s="5">
        <v>203.2</v>
      </c>
      <c r="G31760" s="5">
        <v>101.3</v>
      </c>
      <c r="H31760" s="5">
        <v>101</v>
      </c>
      <c r="I31760" s="5">
        <v>0</v>
      </c>
      <c r="J31760" s="5">
        <v>0</v>
      </c>
      <c r="K31760" s="5">
        <v>0</v>
      </c>
    </row>
    <row r="31761" spans="1:11" x14ac:dyDescent="0.25">
      <c r="A31761" s="5">
        <f>31754</f>
      </c>
      <c r="B31761" s="5" t="s">
        <v>31769</v>
      </c>
      <c r="C31761" s="5">
        <v>100.7</v>
      </c>
      <c r="D31761" s="5">
        <v>0.1</v>
      </c>
      <c r="E31761" s="5">
        <v>100.8</v>
      </c>
      <c r="F31761" s="5">
        <v>203.2</v>
      </c>
      <c r="G31761" s="5">
        <v>101.3</v>
      </c>
      <c r="H31761" s="5">
        <v>101</v>
      </c>
      <c r="I31761" s="5">
        <v>0</v>
      </c>
      <c r="J31761" s="5">
        <v>0</v>
      </c>
      <c r="K31761" s="5">
        <v>0</v>
      </c>
    </row>
    <row r="31762" spans="1:11" x14ac:dyDescent="0.25">
      <c r="A31762" s="5">
        <f>31755</f>
      </c>
      <c r="B31762" s="5" t="s">
        <v>31770</v>
      </c>
      <c r="C31762" s="5">
        <v>100.7</v>
      </c>
      <c r="D31762" s="5">
        <v>0.1</v>
      </c>
      <c r="E31762" s="5">
        <v>100.8</v>
      </c>
      <c r="F31762" s="5">
        <v>203.2</v>
      </c>
      <c r="G31762" s="5">
        <v>101.3</v>
      </c>
      <c r="H31762" s="5">
        <v>101</v>
      </c>
      <c r="I31762" s="5">
        <v>0</v>
      </c>
      <c r="J31762" s="5">
        <v>0</v>
      </c>
      <c r="K31762" s="5">
        <v>0</v>
      </c>
    </row>
    <row r="31763" spans="1:11" x14ac:dyDescent="0.25">
      <c r="A31763" s="5">
        <f>31756</f>
      </c>
      <c r="B31763" s="5" t="s">
        <v>31771</v>
      </c>
      <c r="C31763" s="5">
        <v>100.7</v>
      </c>
      <c r="D31763" s="5">
        <v>0.1</v>
      </c>
      <c r="E31763" s="5">
        <v>105.6</v>
      </c>
      <c r="F31763" s="5">
        <v>202.7</v>
      </c>
      <c r="G31763" s="5">
        <v>101.3</v>
      </c>
      <c r="H31763" s="5">
        <v>101.5</v>
      </c>
      <c r="I31763" s="5">
        <v>0</v>
      </c>
      <c r="J31763" s="5">
        <v>0</v>
      </c>
      <c r="K31763" s="5">
        <v>0</v>
      </c>
    </row>
    <row r="31764" spans="1:11" x14ac:dyDescent="0.25">
      <c r="A31764" s="5">
        <f>31757</f>
      </c>
      <c r="B31764" s="5" t="s">
        <v>31772</v>
      </c>
      <c r="C31764" s="5">
        <v>105.4</v>
      </c>
      <c r="D31764" s="5">
        <v>0.1</v>
      </c>
      <c r="E31764" s="5">
        <v>105.6</v>
      </c>
      <c r="F31764" s="5">
        <v>202.7</v>
      </c>
      <c r="G31764" s="5">
        <v>101.3</v>
      </c>
      <c r="H31764" s="5">
        <v>101.5</v>
      </c>
      <c r="I31764" s="5">
        <v>0</v>
      </c>
      <c r="J31764" s="5">
        <v>0</v>
      </c>
      <c r="K31764" s="5">
        <v>0</v>
      </c>
    </row>
    <row r="31765" spans="1:11" x14ac:dyDescent="0.25">
      <c r="A31765" s="5">
        <f>31758</f>
      </c>
      <c r="B31765" s="5" t="s">
        <v>31773</v>
      </c>
      <c r="C31765" s="5">
        <v>105.4</v>
      </c>
      <c r="D31765" s="5">
        <v>0.1</v>
      </c>
      <c r="E31765" s="5">
        <v>105.4</v>
      </c>
      <c r="F31765" s="5">
        <v>206.3</v>
      </c>
      <c r="G31765" s="5">
        <v>103.2</v>
      </c>
      <c r="H31765" s="5">
        <v>103.2</v>
      </c>
      <c r="I31765" s="5">
        <v>0</v>
      </c>
      <c r="J31765" s="5">
        <v>0</v>
      </c>
      <c r="K31765" s="5">
        <v>0</v>
      </c>
    </row>
    <row r="31766" spans="1:11" x14ac:dyDescent="0.25">
      <c r="A31766" s="5">
        <f>31759</f>
      </c>
      <c r="B31766" s="5" t="s">
        <v>31774</v>
      </c>
      <c r="C31766" s="5">
        <v>105.3</v>
      </c>
      <c r="D31766" s="5">
        <v>0.1</v>
      </c>
      <c r="E31766" s="5">
        <v>105.4</v>
      </c>
      <c r="F31766" s="5">
        <v>206.3</v>
      </c>
      <c r="G31766" s="5">
        <v>103.2</v>
      </c>
      <c r="H31766" s="5">
        <v>103.2</v>
      </c>
      <c r="I31766" s="5">
        <v>0</v>
      </c>
      <c r="J31766" s="5">
        <v>0</v>
      </c>
      <c r="K31766" s="5">
        <v>0</v>
      </c>
    </row>
    <row r="31767" spans="1:11" x14ac:dyDescent="0.25">
      <c r="A31767" s="5">
        <f>31760</f>
      </c>
      <c r="B31767" s="5" t="s">
        <v>31775</v>
      </c>
      <c r="C31767" s="5">
        <v>105.3</v>
      </c>
      <c r="D31767" s="5">
        <v>0.1</v>
      </c>
      <c r="E31767" s="5">
        <v>105.4</v>
      </c>
      <c r="F31767" s="5">
        <v>202.8</v>
      </c>
      <c r="G31767" s="5">
        <v>101.4</v>
      </c>
      <c r="H31767" s="5">
        <v>101.5</v>
      </c>
      <c r="I31767" s="5">
        <v>0</v>
      </c>
      <c r="J31767" s="5">
        <v>0</v>
      </c>
      <c r="K31767" s="5">
        <v>0</v>
      </c>
    </row>
    <row r="31768" spans="1:11" x14ac:dyDescent="0.25">
      <c r="A31768" s="5">
        <f>31761</f>
      </c>
      <c r="B31768" s="5" t="s">
        <v>31776</v>
      </c>
      <c r="C31768" s="5">
        <v>104.6</v>
      </c>
      <c r="D31768" s="5">
        <v>0.1</v>
      </c>
      <c r="E31768" s="5">
        <v>104.7</v>
      </c>
      <c r="F31768" s="5">
        <v>202.8</v>
      </c>
      <c r="G31768" s="5">
        <v>101.4</v>
      </c>
      <c r="H31768" s="5">
        <v>101.5</v>
      </c>
      <c r="I31768" s="5">
        <v>0</v>
      </c>
      <c r="J31768" s="5">
        <v>0</v>
      </c>
      <c r="K31768" s="5">
        <v>0</v>
      </c>
    </row>
    <row r="31769" spans="1:11" x14ac:dyDescent="0.25">
      <c r="A31769" s="5">
        <f>31762</f>
      </c>
      <c r="B31769" s="5" t="s">
        <v>31777</v>
      </c>
      <c r="C31769" s="5">
        <v>104.6</v>
      </c>
      <c r="D31769" s="5">
        <v>0.1</v>
      </c>
      <c r="E31769" s="5">
        <v>104.7</v>
      </c>
      <c r="F31769" s="5">
        <v>202.8</v>
      </c>
      <c r="G31769" s="5">
        <v>101.4</v>
      </c>
      <c r="H31769" s="5">
        <v>101.5</v>
      </c>
      <c r="I31769" s="5">
        <v>0</v>
      </c>
      <c r="J31769" s="5">
        <v>0</v>
      </c>
      <c r="K31769" s="5">
        <v>0</v>
      </c>
    </row>
    <row r="31770" spans="1:11" x14ac:dyDescent="0.25">
      <c r="A31770" s="5">
        <f>31763</f>
      </c>
      <c r="B31770" s="5" t="s">
        <v>31778</v>
      </c>
      <c r="C31770" s="5">
        <v>100.1</v>
      </c>
      <c r="D31770" s="5">
        <v>0.1</v>
      </c>
      <c r="E31770" s="5">
        <v>100.2</v>
      </c>
      <c r="F31770" s="5">
        <v>200.1</v>
      </c>
      <c r="G31770" s="5">
        <v>99.8</v>
      </c>
      <c r="H31770" s="5">
        <v>99.6</v>
      </c>
      <c r="I31770" s="5">
        <v>0</v>
      </c>
      <c r="J31770" s="5">
        <v>0</v>
      </c>
      <c r="K31770" s="5">
        <v>0</v>
      </c>
    </row>
    <row r="31771" spans="1:11" x14ac:dyDescent="0.25">
      <c r="A31771" s="5">
        <f>31764</f>
      </c>
      <c r="B31771" s="5" t="s">
        <v>31779</v>
      </c>
      <c r="C31771" s="5">
        <v>100.1</v>
      </c>
      <c r="D31771" s="5">
        <v>0.1</v>
      </c>
      <c r="E31771" s="5">
        <v>100.2</v>
      </c>
      <c r="F31771" s="5">
        <v>200.1</v>
      </c>
      <c r="G31771" s="5">
        <v>99.8</v>
      </c>
      <c r="H31771" s="5">
        <v>99.6</v>
      </c>
      <c r="I31771" s="5">
        <v>0</v>
      </c>
      <c r="J31771" s="5">
        <v>0</v>
      </c>
      <c r="K31771" s="5">
        <v>0</v>
      </c>
    </row>
    <row r="31772" spans="1:11" x14ac:dyDescent="0.25">
      <c r="A31772" s="5">
        <f>31765</f>
      </c>
      <c r="B31772" s="5" t="s">
        <v>31780</v>
      </c>
      <c r="C31772" s="5">
        <v>100.1</v>
      </c>
      <c r="D31772" s="5">
        <v>0.1</v>
      </c>
      <c r="E31772" s="5">
        <v>100.2</v>
      </c>
      <c r="F31772" s="5">
        <v>200.1</v>
      </c>
      <c r="G31772" s="5">
        <v>99.8</v>
      </c>
      <c r="H31772" s="5">
        <v>99.6</v>
      </c>
      <c r="I31772" s="5">
        <v>0</v>
      </c>
      <c r="J31772" s="5">
        <v>0</v>
      </c>
      <c r="K31772" s="5">
        <v>0</v>
      </c>
    </row>
    <row r="31773" spans="1:11" x14ac:dyDescent="0.25">
      <c r="A31773" s="5">
        <f>31766</f>
      </c>
      <c r="B31773" s="5" t="s">
        <v>31781</v>
      </c>
      <c r="C31773" s="5">
        <v>100.1</v>
      </c>
      <c r="D31773" s="5">
        <v>0.1</v>
      </c>
      <c r="E31773" s="5">
        <v>100.2</v>
      </c>
      <c r="F31773" s="5">
        <v>200.1</v>
      </c>
      <c r="G31773" s="5">
        <v>99.8</v>
      </c>
      <c r="H31773" s="5">
        <v>99.6</v>
      </c>
      <c r="I31773" s="5">
        <v>0</v>
      </c>
      <c r="J31773" s="5">
        <v>0</v>
      </c>
      <c r="K31773" s="5">
        <v>0</v>
      </c>
    </row>
    <row r="31774" spans="1:11" x14ac:dyDescent="0.25">
      <c r="A31774" s="5">
        <f>31767</f>
      </c>
      <c r="B31774" s="5" t="s">
        <v>31782</v>
      </c>
      <c r="C31774" s="5">
        <v>98.6</v>
      </c>
      <c r="D31774" s="5">
        <v>0.1</v>
      </c>
      <c r="E31774" s="5">
        <v>98.8</v>
      </c>
      <c r="F31774" s="5">
        <v>200.4</v>
      </c>
      <c r="G31774" s="5">
        <v>99.8</v>
      </c>
      <c r="H31774" s="5">
        <v>99.5</v>
      </c>
      <c r="I31774" s="5">
        <v>0</v>
      </c>
      <c r="J31774" s="5">
        <v>0</v>
      </c>
      <c r="K31774" s="5">
        <v>0</v>
      </c>
    </row>
    <row r="31775" spans="1:11" x14ac:dyDescent="0.25">
      <c r="A31775" s="5">
        <f>31768</f>
      </c>
      <c r="B31775" s="5" t="s">
        <v>31783</v>
      </c>
      <c r="C31775" s="5">
        <v>98.6</v>
      </c>
      <c r="D31775" s="5">
        <v>0.1</v>
      </c>
      <c r="E31775" s="5">
        <v>98.8</v>
      </c>
      <c r="F31775" s="5">
        <v>200.4</v>
      </c>
      <c r="G31775" s="5">
        <v>99.8</v>
      </c>
      <c r="H31775" s="5">
        <v>99.5</v>
      </c>
      <c r="I31775" s="5">
        <v>0</v>
      </c>
      <c r="J31775" s="5">
        <v>0</v>
      </c>
      <c r="K31775" s="5">
        <v>0</v>
      </c>
    </row>
    <row r="31776" spans="1:11" x14ac:dyDescent="0.25">
      <c r="A31776" s="5">
        <f>31769</f>
      </c>
      <c r="B31776" s="5" t="s">
        <v>31784</v>
      </c>
      <c r="C31776" s="5">
        <v>100</v>
      </c>
      <c r="D31776" s="5">
        <v>0.1</v>
      </c>
      <c r="E31776" s="5">
        <v>100.2</v>
      </c>
      <c r="F31776" s="5">
        <v>202.8</v>
      </c>
      <c r="G31776" s="5">
        <v>101.1</v>
      </c>
      <c r="H31776" s="5">
        <v>100.8</v>
      </c>
      <c r="I31776" s="5">
        <v>0</v>
      </c>
      <c r="J31776" s="5">
        <v>0</v>
      </c>
      <c r="K31776" s="5">
        <v>0</v>
      </c>
    </row>
    <row r="31777" spans="1:11" x14ac:dyDescent="0.25">
      <c r="A31777" s="5">
        <f>31770</f>
      </c>
      <c r="B31777" s="5" t="s">
        <v>31785</v>
      </c>
      <c r="C31777" s="5">
        <v>100</v>
      </c>
      <c r="D31777" s="5">
        <v>0.1</v>
      </c>
      <c r="E31777" s="5">
        <v>100.2</v>
      </c>
      <c r="F31777" s="5">
        <v>202.8</v>
      </c>
      <c r="G31777" s="5">
        <v>101.1</v>
      </c>
      <c r="H31777" s="5">
        <v>100.8</v>
      </c>
      <c r="I31777" s="5">
        <v>0</v>
      </c>
      <c r="J31777" s="5">
        <v>0</v>
      </c>
      <c r="K31777" s="5">
        <v>0</v>
      </c>
    </row>
    <row r="31778" spans="1:11" x14ac:dyDescent="0.25">
      <c r="A31778" s="5">
        <f>31771</f>
      </c>
      <c r="B31778" s="5" t="s">
        <v>31786</v>
      </c>
      <c r="C31778" s="5">
        <v>97.4</v>
      </c>
      <c r="D31778" s="5">
        <v>0.1</v>
      </c>
      <c r="E31778" s="5">
        <v>97.5</v>
      </c>
      <c r="F31778" s="5">
        <v>207.1</v>
      </c>
      <c r="G31778" s="5">
        <v>103</v>
      </c>
      <c r="H31778" s="5">
        <v>102.5</v>
      </c>
      <c r="I31778" s="5">
        <v>0</v>
      </c>
      <c r="J31778" s="5">
        <v>0</v>
      </c>
      <c r="K31778" s="5">
        <v>0</v>
      </c>
    </row>
    <row r="31779" spans="1:11" x14ac:dyDescent="0.25">
      <c r="A31779" s="5">
        <f>31772</f>
      </c>
      <c r="B31779" s="5" t="s">
        <v>31787</v>
      </c>
      <c r="C31779" s="5">
        <v>97.4</v>
      </c>
      <c r="D31779" s="5">
        <v>0.1</v>
      </c>
      <c r="E31779" s="5">
        <v>97.5</v>
      </c>
      <c r="F31779" s="5">
        <v>207.1</v>
      </c>
      <c r="G31779" s="5">
        <v>103</v>
      </c>
      <c r="H31779" s="5">
        <v>102.5</v>
      </c>
      <c r="I31779" s="5">
        <v>0</v>
      </c>
      <c r="J31779" s="5">
        <v>0</v>
      </c>
      <c r="K31779" s="5">
        <v>0</v>
      </c>
    </row>
    <row r="31780" spans="1:11" x14ac:dyDescent="0.25">
      <c r="A31780" s="5">
        <f>31773</f>
      </c>
      <c r="B31780" s="5" t="s">
        <v>31788</v>
      </c>
      <c r="C31780" s="5">
        <v>97.3</v>
      </c>
      <c r="D31780" s="5">
        <v>0.1</v>
      </c>
      <c r="E31780" s="5">
        <v>97.5</v>
      </c>
      <c r="F31780" s="5">
        <v>200.8</v>
      </c>
      <c r="G31780" s="5">
        <v>101.3</v>
      </c>
      <c r="H31780" s="5">
        <v>101.2</v>
      </c>
      <c r="I31780" s="5">
        <v>0</v>
      </c>
      <c r="J31780" s="5">
        <v>0</v>
      </c>
      <c r="K31780" s="5">
        <v>0</v>
      </c>
    </row>
    <row r="31781" spans="1:11" x14ac:dyDescent="0.25">
      <c r="A31781" s="5">
        <f>31774</f>
      </c>
      <c r="B31781" s="5" t="s">
        <v>31789</v>
      </c>
      <c r="C31781" s="5">
        <v>97.3</v>
      </c>
      <c r="D31781" s="5">
        <v>0.1</v>
      </c>
      <c r="E31781" s="5">
        <v>97.5</v>
      </c>
      <c r="F31781" s="5">
        <v>200.8</v>
      </c>
      <c r="G31781" s="5">
        <v>101.3</v>
      </c>
      <c r="H31781" s="5">
        <v>101.2</v>
      </c>
      <c r="I31781" s="5">
        <v>0</v>
      </c>
      <c r="J31781" s="5">
        <v>0</v>
      </c>
      <c r="K31781" s="5">
        <v>0</v>
      </c>
    </row>
    <row r="31782" spans="1:11" x14ac:dyDescent="0.25">
      <c r="A31782" s="5">
        <f>31775</f>
      </c>
      <c r="B31782" s="5" t="s">
        <v>31790</v>
      </c>
      <c r="C31782" s="5">
        <v>97.3</v>
      </c>
      <c r="D31782" s="5">
        <v>0.1</v>
      </c>
      <c r="E31782" s="5">
        <v>97.5</v>
      </c>
      <c r="F31782" s="5">
        <v>200.8</v>
      </c>
      <c r="G31782" s="5">
        <v>101.3</v>
      </c>
      <c r="H31782" s="5">
        <v>101.2</v>
      </c>
      <c r="I31782" s="5">
        <v>0</v>
      </c>
      <c r="J31782" s="5">
        <v>0</v>
      </c>
      <c r="K31782" s="5">
        <v>0</v>
      </c>
    </row>
    <row r="31783" spans="1:11" x14ac:dyDescent="0.25">
      <c r="A31783" s="5">
        <f>31776</f>
      </c>
      <c r="B31783" s="5" t="s">
        <v>31791</v>
      </c>
      <c r="C31783" s="5">
        <v>97.3</v>
      </c>
      <c r="D31783" s="5">
        <v>0.1</v>
      </c>
      <c r="E31783" s="5">
        <v>97.5</v>
      </c>
      <c r="F31783" s="5">
        <v>200.8</v>
      </c>
      <c r="G31783" s="5">
        <v>101.3</v>
      </c>
      <c r="H31783" s="5">
        <v>101.2</v>
      </c>
      <c r="I31783" s="5">
        <v>0</v>
      </c>
      <c r="J31783" s="5">
        <v>0</v>
      </c>
      <c r="K31783" s="5">
        <v>0</v>
      </c>
    </row>
    <row r="31784" spans="1:11" x14ac:dyDescent="0.25">
      <c r="A31784" s="5">
        <f>31777</f>
      </c>
      <c r="B31784" s="5" t="s">
        <v>31792</v>
      </c>
      <c r="C31784" s="5">
        <v>95.4</v>
      </c>
      <c r="D31784" s="5">
        <v>0.1</v>
      </c>
      <c r="E31784" s="5">
        <v>95.5</v>
      </c>
      <c r="F31784" s="5">
        <v>199.1</v>
      </c>
      <c r="G31784" s="5">
        <v>99.1</v>
      </c>
      <c r="H31784" s="5">
        <v>98.7</v>
      </c>
      <c r="I31784" s="5">
        <v>0</v>
      </c>
      <c r="J31784" s="5">
        <v>0</v>
      </c>
      <c r="K31784" s="5">
        <v>0</v>
      </c>
    </row>
    <row r="31785" spans="1:11" x14ac:dyDescent="0.25">
      <c r="A31785" s="5">
        <f>31778</f>
      </c>
      <c r="B31785" s="5" t="s">
        <v>31793</v>
      </c>
      <c r="C31785" s="5">
        <v>95.4</v>
      </c>
      <c r="D31785" s="5">
        <v>0.1</v>
      </c>
      <c r="E31785" s="5">
        <v>95.5</v>
      </c>
      <c r="F31785" s="5">
        <v>199.1</v>
      </c>
      <c r="G31785" s="5">
        <v>99.1</v>
      </c>
      <c r="H31785" s="5">
        <v>98.7</v>
      </c>
      <c r="I31785" s="5">
        <v>0</v>
      </c>
      <c r="J31785" s="5">
        <v>0</v>
      </c>
      <c r="K31785" s="5">
        <v>0</v>
      </c>
    </row>
    <row r="31786" spans="1:11" x14ac:dyDescent="0.25">
      <c r="A31786" s="5">
        <f>31779</f>
      </c>
      <c r="B31786" s="5" t="s">
        <v>31794</v>
      </c>
      <c r="C31786" s="5">
        <v>100.6</v>
      </c>
      <c r="D31786" s="5">
        <v>0.1</v>
      </c>
      <c r="E31786" s="5">
        <v>100.8</v>
      </c>
      <c r="F31786" s="5">
        <v>199.2</v>
      </c>
      <c r="G31786" s="5">
        <v>99.5</v>
      </c>
      <c r="H31786" s="5">
        <v>99.4</v>
      </c>
      <c r="I31786" s="5">
        <v>0</v>
      </c>
      <c r="J31786" s="5">
        <v>0</v>
      </c>
      <c r="K31786" s="5">
        <v>0</v>
      </c>
    </row>
    <row r="31787" spans="1:11" x14ac:dyDescent="0.25">
      <c r="A31787" s="5">
        <f>31780</f>
      </c>
      <c r="B31787" s="5" t="s">
        <v>31795</v>
      </c>
      <c r="C31787" s="5">
        <v>100.6</v>
      </c>
      <c r="D31787" s="5">
        <v>0.1</v>
      </c>
      <c r="E31787" s="5">
        <v>100.8</v>
      </c>
      <c r="F31787" s="5">
        <v>199.2</v>
      </c>
      <c r="G31787" s="5">
        <v>99.5</v>
      </c>
      <c r="H31787" s="5">
        <v>99.4</v>
      </c>
      <c r="I31787" s="5">
        <v>0</v>
      </c>
      <c r="J31787" s="5">
        <v>0</v>
      </c>
      <c r="K31787" s="5">
        <v>0</v>
      </c>
    </row>
    <row r="31788" spans="1:11" x14ac:dyDescent="0.25">
      <c r="A31788" s="5">
        <f>31781</f>
      </c>
      <c r="B31788" s="5" t="s">
        <v>31796</v>
      </c>
      <c r="C31788" s="5">
        <v>99.5</v>
      </c>
      <c r="D31788" s="5">
        <v>0.1</v>
      </c>
      <c r="E31788" s="5">
        <v>99.6</v>
      </c>
      <c r="F31788" s="5">
        <v>190</v>
      </c>
      <c r="G31788" s="5">
        <v>95.1</v>
      </c>
      <c r="H31788" s="5">
        <v>95.3</v>
      </c>
      <c r="I31788" s="5">
        <v>0</v>
      </c>
      <c r="J31788" s="5">
        <v>0</v>
      </c>
      <c r="K31788" s="5">
        <v>0</v>
      </c>
    </row>
    <row r="31789" spans="1:11" x14ac:dyDescent="0.25">
      <c r="A31789" s="5">
        <f>31782</f>
      </c>
      <c r="B31789" s="5" t="s">
        <v>31797</v>
      </c>
      <c r="C31789" s="5">
        <v>99.5</v>
      </c>
      <c r="D31789" s="5">
        <v>0.1</v>
      </c>
      <c r="E31789" s="5">
        <v>99.6</v>
      </c>
      <c r="F31789" s="5">
        <v>190</v>
      </c>
      <c r="G31789" s="5">
        <v>95.1</v>
      </c>
      <c r="H31789" s="5">
        <v>95.3</v>
      </c>
      <c r="I31789" s="5">
        <v>0</v>
      </c>
      <c r="J31789" s="5">
        <v>0</v>
      </c>
      <c r="K31789" s="5">
        <v>0</v>
      </c>
    </row>
    <row r="31790" spans="1:11" x14ac:dyDescent="0.25">
      <c r="A31790" s="5">
        <f>31783</f>
      </c>
      <c r="B31790" s="5" t="s">
        <v>31798</v>
      </c>
      <c r="C31790" s="5">
        <v>99.3</v>
      </c>
      <c r="D31790" s="5">
        <v>0.1</v>
      </c>
      <c r="E31790" s="5">
        <v>99.4</v>
      </c>
      <c r="F31790" s="5">
        <v>192.7</v>
      </c>
      <c r="G31790" s="5">
        <v>96.4</v>
      </c>
      <c r="H31790" s="5">
        <v>96.5</v>
      </c>
      <c r="I31790" s="5">
        <v>0</v>
      </c>
      <c r="J31790" s="5">
        <v>0</v>
      </c>
      <c r="K31790" s="5">
        <v>0</v>
      </c>
    </row>
    <row r="31791" spans="1:11" x14ac:dyDescent="0.25">
      <c r="A31791" s="5">
        <f>31784</f>
      </c>
      <c r="B31791" s="5" t="s">
        <v>31799</v>
      </c>
      <c r="C31791" s="5">
        <v>99.3</v>
      </c>
      <c r="D31791" s="5">
        <v>0.1</v>
      </c>
      <c r="E31791" s="5">
        <v>99.4</v>
      </c>
      <c r="F31791" s="5">
        <v>192.7</v>
      </c>
      <c r="G31791" s="5">
        <v>96.4</v>
      </c>
      <c r="H31791" s="5">
        <v>96.5</v>
      </c>
      <c r="I31791" s="5">
        <v>0</v>
      </c>
      <c r="J31791" s="5">
        <v>0</v>
      </c>
      <c r="K31791" s="5">
        <v>0</v>
      </c>
    </row>
    <row r="31792" spans="1:11" x14ac:dyDescent="0.25">
      <c r="A31792" s="5">
        <f>31785</f>
      </c>
      <c r="B31792" s="5" t="s">
        <v>31800</v>
      </c>
      <c r="C31792" s="5">
        <v>99.3</v>
      </c>
      <c r="D31792" s="5">
        <v>0.1</v>
      </c>
      <c r="E31792" s="5">
        <v>99.4</v>
      </c>
      <c r="F31792" s="5">
        <v>192.7</v>
      </c>
      <c r="G31792" s="5">
        <v>96.4</v>
      </c>
      <c r="H31792" s="5">
        <v>96.5</v>
      </c>
      <c r="I31792" s="5">
        <v>0</v>
      </c>
      <c r="J31792" s="5">
        <v>0</v>
      </c>
      <c r="K31792" s="5">
        <v>0</v>
      </c>
    </row>
    <row r="31793" spans="1:11" x14ac:dyDescent="0.25">
      <c r="A31793" s="5">
        <f>31786</f>
      </c>
      <c r="B31793" s="5" t="s">
        <v>31801</v>
      </c>
      <c r="C31793" s="5">
        <v>99.3</v>
      </c>
      <c r="D31793" s="5">
        <v>0.1</v>
      </c>
      <c r="E31793" s="5">
        <v>94.8</v>
      </c>
      <c r="F31793" s="5">
        <v>189.3</v>
      </c>
      <c r="G31793" s="5">
        <v>94.4</v>
      </c>
      <c r="H31793" s="5">
        <v>94.2</v>
      </c>
      <c r="I31793" s="5">
        <v>0</v>
      </c>
      <c r="J31793" s="5">
        <v>0</v>
      </c>
      <c r="K31793" s="5">
        <v>0</v>
      </c>
    </row>
    <row r="31794" spans="1:11" x14ac:dyDescent="0.25">
      <c r="A31794" s="5">
        <f>31787</f>
      </c>
      <c r="B31794" s="5" t="s">
        <v>31802</v>
      </c>
      <c r="C31794" s="5">
        <v>94.6</v>
      </c>
      <c r="D31794" s="5">
        <v>0.1</v>
      </c>
      <c r="E31794" s="5">
        <v>94.8</v>
      </c>
      <c r="F31794" s="5">
        <v>189.3</v>
      </c>
      <c r="G31794" s="5">
        <v>94.4</v>
      </c>
      <c r="H31794" s="5">
        <v>94.2</v>
      </c>
      <c r="I31794" s="5">
        <v>0</v>
      </c>
      <c r="J31794" s="5">
        <v>0</v>
      </c>
      <c r="K31794" s="5">
        <v>0</v>
      </c>
    </row>
    <row r="31795" spans="1:11" x14ac:dyDescent="0.25">
      <c r="A31795" s="5">
        <f>31788</f>
      </c>
      <c r="B31795" s="5" t="s">
        <v>31803</v>
      </c>
      <c r="C31795" s="5">
        <v>94.6</v>
      </c>
      <c r="D31795" s="5">
        <v>0.1</v>
      </c>
      <c r="E31795" s="5">
        <v>94.3</v>
      </c>
      <c r="F31795" s="5">
        <v>189.6</v>
      </c>
      <c r="G31795" s="5">
        <v>94.5</v>
      </c>
      <c r="H31795" s="5">
        <v>94.4</v>
      </c>
      <c r="I31795" s="5">
        <v>0</v>
      </c>
      <c r="J31795" s="5">
        <v>0</v>
      </c>
      <c r="K31795" s="5">
        <v>0</v>
      </c>
    </row>
    <row r="31796" spans="1:11" x14ac:dyDescent="0.25">
      <c r="A31796" s="5">
        <f>31789</f>
      </c>
      <c r="B31796" s="5" t="s">
        <v>31804</v>
      </c>
      <c r="C31796" s="5">
        <v>94.2</v>
      </c>
      <c r="D31796" s="5">
        <v>0.1</v>
      </c>
      <c r="E31796" s="5">
        <v>94.3</v>
      </c>
      <c r="F31796" s="5">
        <v>189.6</v>
      </c>
      <c r="G31796" s="5">
        <v>94.5</v>
      </c>
      <c r="H31796" s="5">
        <v>94.4</v>
      </c>
      <c r="I31796" s="5">
        <v>0</v>
      </c>
      <c r="J31796" s="5">
        <v>0</v>
      </c>
      <c r="K31796" s="5">
        <v>0</v>
      </c>
    </row>
    <row r="31797" spans="1:11" x14ac:dyDescent="0.25">
      <c r="A31797" s="5">
        <f>31790</f>
      </c>
      <c r="B31797" s="5" t="s">
        <v>31805</v>
      </c>
      <c r="C31797" s="5">
        <v>94.2</v>
      </c>
      <c r="D31797" s="5">
        <v>0.1</v>
      </c>
      <c r="E31797" s="5">
        <v>94.3</v>
      </c>
      <c r="F31797" s="5">
        <v>187.3</v>
      </c>
      <c r="G31797" s="5">
        <v>93.4</v>
      </c>
      <c r="H31797" s="5">
        <v>93.3</v>
      </c>
      <c r="I31797" s="5">
        <v>0</v>
      </c>
      <c r="J31797" s="5">
        <v>0</v>
      </c>
      <c r="K31797" s="5">
        <v>0</v>
      </c>
    </row>
    <row r="31798" spans="1:11" x14ac:dyDescent="0.25">
      <c r="A31798" s="5">
        <f>31791</f>
      </c>
      <c r="B31798" s="5" t="s">
        <v>31806</v>
      </c>
      <c r="C31798" s="5">
        <v>92.9</v>
      </c>
      <c r="D31798" s="5">
        <v>0.1</v>
      </c>
      <c r="E31798" s="5">
        <v>93</v>
      </c>
      <c r="F31798" s="5">
        <v>187.3</v>
      </c>
      <c r="G31798" s="5">
        <v>93.4</v>
      </c>
      <c r="H31798" s="5">
        <v>93.3</v>
      </c>
      <c r="I31798" s="5">
        <v>0</v>
      </c>
      <c r="J31798" s="5">
        <v>0</v>
      </c>
      <c r="K31798" s="5">
        <v>0</v>
      </c>
    </row>
    <row r="31799" spans="1:11" x14ac:dyDescent="0.25">
      <c r="A31799" s="5">
        <f>31792</f>
      </c>
      <c r="B31799" s="5" t="s">
        <v>31807</v>
      </c>
      <c r="C31799" s="5">
        <v>92.9</v>
      </c>
      <c r="D31799" s="5">
        <v>0.1</v>
      </c>
      <c r="E31799" s="5">
        <v>93</v>
      </c>
      <c r="F31799" s="5">
        <v>187.3</v>
      </c>
      <c r="G31799" s="5">
        <v>93.4</v>
      </c>
      <c r="H31799" s="5">
        <v>95.3</v>
      </c>
      <c r="I31799" s="5">
        <v>0</v>
      </c>
      <c r="J31799" s="5">
        <v>0</v>
      </c>
      <c r="K31799" s="5">
        <v>0</v>
      </c>
    </row>
    <row r="31800" spans="1:11" x14ac:dyDescent="0.25">
      <c r="A31800" s="5">
        <f>31793</f>
      </c>
      <c r="B31800" s="5" t="s">
        <v>31808</v>
      </c>
      <c r="C31800" s="5">
        <v>93.4</v>
      </c>
      <c r="D31800" s="5">
        <v>0.1</v>
      </c>
      <c r="E31800" s="5">
        <v>93.5</v>
      </c>
      <c r="F31800" s="5">
        <v>192</v>
      </c>
      <c r="G31800" s="5">
        <v>95.6</v>
      </c>
      <c r="H31800" s="5">
        <v>95.3</v>
      </c>
      <c r="I31800" s="5">
        <v>0</v>
      </c>
      <c r="J31800" s="5">
        <v>0</v>
      </c>
      <c r="K31800" s="5">
        <v>0</v>
      </c>
    </row>
    <row r="31801" spans="1:11" x14ac:dyDescent="0.25">
      <c r="A31801" s="5">
        <f>31794</f>
      </c>
      <c r="B31801" s="5" t="s">
        <v>31809</v>
      </c>
      <c r="C31801" s="5">
        <v>93.4</v>
      </c>
      <c r="D31801" s="5">
        <v>0.1</v>
      </c>
      <c r="E31801" s="5">
        <v>93.5</v>
      </c>
      <c r="F31801" s="5">
        <v>192</v>
      </c>
      <c r="G31801" s="5">
        <v>95.6</v>
      </c>
      <c r="H31801" s="5">
        <v>95.3</v>
      </c>
      <c r="I31801" s="5">
        <v>0</v>
      </c>
      <c r="J31801" s="5">
        <v>0</v>
      </c>
      <c r="K31801" s="5">
        <v>0</v>
      </c>
    </row>
    <row r="31802" spans="1:11" x14ac:dyDescent="0.25">
      <c r="A31802" s="5">
        <f>31795</f>
      </c>
      <c r="B31802" s="5" t="s">
        <v>31810</v>
      </c>
      <c r="C31802" s="5">
        <v>93.4</v>
      </c>
      <c r="D31802" s="5">
        <v>0.1</v>
      </c>
      <c r="E31802" s="5">
        <v>93.5</v>
      </c>
      <c r="F31802" s="5">
        <v>192</v>
      </c>
      <c r="G31802" s="5">
        <v>95.6</v>
      </c>
      <c r="H31802" s="5">
        <v>95.3</v>
      </c>
      <c r="I31802" s="5">
        <v>0</v>
      </c>
      <c r="J31802" s="5">
        <v>0</v>
      </c>
      <c r="K31802" s="5">
        <v>0</v>
      </c>
    </row>
    <row r="31803" spans="1:11" x14ac:dyDescent="0.25">
      <c r="A31803" s="5">
        <f>31796</f>
      </c>
      <c r="B31803" s="5" t="s">
        <v>31811</v>
      </c>
      <c r="C31803" s="5">
        <v>100.1</v>
      </c>
      <c r="D31803" s="5">
        <v>0.1</v>
      </c>
      <c r="E31803" s="5">
        <v>100.2</v>
      </c>
      <c r="F31803" s="5">
        <v>194.1</v>
      </c>
      <c r="G31803" s="5">
        <v>97</v>
      </c>
      <c r="H31803" s="5">
        <v>97</v>
      </c>
      <c r="I31803" s="5">
        <v>0</v>
      </c>
      <c r="J31803" s="5">
        <v>0</v>
      </c>
      <c r="K31803" s="5">
        <v>0</v>
      </c>
    </row>
    <row r="31804" spans="1:11" x14ac:dyDescent="0.25">
      <c r="A31804" s="5">
        <f>31797</f>
      </c>
      <c r="B31804" s="5" t="s">
        <v>31812</v>
      </c>
      <c r="C31804" s="5">
        <v>100.1</v>
      </c>
      <c r="D31804" s="5">
        <v>0.1</v>
      </c>
      <c r="E31804" s="5">
        <v>100.2</v>
      </c>
      <c r="F31804" s="5">
        <v>194.1</v>
      </c>
      <c r="G31804" s="5">
        <v>97</v>
      </c>
      <c r="H31804" s="5">
        <v>97</v>
      </c>
      <c r="I31804" s="5">
        <v>0</v>
      </c>
      <c r="J31804" s="5">
        <v>0</v>
      </c>
      <c r="K31804" s="5">
        <v>0</v>
      </c>
    </row>
    <row r="31805" spans="1:11" x14ac:dyDescent="0.25">
      <c r="A31805" s="5">
        <f>31798</f>
      </c>
      <c r="B31805" s="5" t="s">
        <v>31813</v>
      </c>
      <c r="C31805" s="5">
        <v>99.8</v>
      </c>
      <c r="D31805" s="5">
        <v>0.1</v>
      </c>
      <c r="E31805" s="5">
        <v>99.9</v>
      </c>
      <c r="F31805" s="5">
        <v>198.4</v>
      </c>
      <c r="G31805" s="5">
        <v>99</v>
      </c>
      <c r="H31805" s="5">
        <v>98.9</v>
      </c>
      <c r="I31805" s="5">
        <v>0</v>
      </c>
      <c r="J31805" s="5">
        <v>0</v>
      </c>
      <c r="K31805" s="5">
        <v>0</v>
      </c>
    </row>
    <row r="31806" spans="1:11" x14ac:dyDescent="0.25">
      <c r="A31806" s="5">
        <f>31799</f>
      </c>
      <c r="B31806" s="5" t="s">
        <v>31814</v>
      </c>
      <c r="C31806" s="5">
        <v>99.8</v>
      </c>
      <c r="D31806" s="5">
        <v>0.1</v>
      </c>
      <c r="E31806" s="5">
        <v>99.9</v>
      </c>
      <c r="F31806" s="5">
        <v>198.4</v>
      </c>
      <c r="G31806" s="5">
        <v>99</v>
      </c>
      <c r="H31806" s="5">
        <v>98.9</v>
      </c>
      <c r="I31806" s="5">
        <v>0</v>
      </c>
      <c r="J31806" s="5">
        <v>0</v>
      </c>
      <c r="K31806" s="5">
        <v>0</v>
      </c>
    </row>
    <row r="31807" spans="1:11" x14ac:dyDescent="0.25">
      <c r="A31807" s="5">
        <f>31800</f>
      </c>
      <c r="B31807" s="5" t="s">
        <v>31815</v>
      </c>
      <c r="C31807" s="5">
        <v>100.3</v>
      </c>
      <c r="D31807" s="5">
        <v>0.1</v>
      </c>
      <c r="E31807" s="5">
        <v>100.5</v>
      </c>
      <c r="F31807" s="5">
        <v>200.5</v>
      </c>
      <c r="G31807" s="5">
        <v>100.1</v>
      </c>
      <c r="H31807" s="5">
        <v>99.9</v>
      </c>
      <c r="I31807" s="5">
        <v>0</v>
      </c>
      <c r="J31807" s="5">
        <v>0</v>
      </c>
      <c r="K31807" s="5">
        <v>0</v>
      </c>
    </row>
    <row r="31808" spans="1:11" x14ac:dyDescent="0.25">
      <c r="A31808" s="5">
        <f>31801</f>
      </c>
      <c r="B31808" s="5" t="s">
        <v>31816</v>
      </c>
      <c r="C31808" s="5">
        <v>100.3</v>
      </c>
      <c r="D31808" s="5">
        <v>0.1</v>
      </c>
      <c r="E31808" s="5">
        <v>100.5</v>
      </c>
      <c r="F31808" s="5">
        <v>200.5</v>
      </c>
      <c r="G31808" s="5">
        <v>100.1</v>
      </c>
      <c r="H31808" s="5">
        <v>99.9</v>
      </c>
      <c r="I31808" s="5">
        <v>0</v>
      </c>
      <c r="J31808" s="5">
        <v>0</v>
      </c>
      <c r="K31808" s="5">
        <v>0</v>
      </c>
    </row>
    <row r="31809" spans="1:11" x14ac:dyDescent="0.25">
      <c r="A31809" s="5">
        <f>31802</f>
      </c>
      <c r="B31809" s="5" t="s">
        <v>31817</v>
      </c>
      <c r="C31809" s="5">
        <v>100.1</v>
      </c>
      <c r="D31809" s="5">
        <v>0.1</v>
      </c>
      <c r="E31809" s="5">
        <v>100.2</v>
      </c>
      <c r="F31809" s="5">
        <v>198.9</v>
      </c>
      <c r="G31809" s="5">
        <v>99.3</v>
      </c>
      <c r="H31809" s="5">
        <v>99.2</v>
      </c>
      <c r="I31809" s="5">
        <v>0</v>
      </c>
      <c r="J31809" s="5">
        <v>0</v>
      </c>
      <c r="K31809" s="5">
        <v>0</v>
      </c>
    </row>
    <row r="31810" spans="1:11" x14ac:dyDescent="0.25">
      <c r="A31810" s="5">
        <f>31803</f>
      </c>
      <c r="B31810" s="5" t="s">
        <v>31818</v>
      </c>
      <c r="C31810" s="5">
        <v>100.1</v>
      </c>
      <c r="D31810" s="5">
        <v>0.1</v>
      </c>
      <c r="E31810" s="5">
        <v>100.2</v>
      </c>
      <c r="F31810" s="5">
        <v>198.9</v>
      </c>
      <c r="G31810" s="5">
        <v>99.3</v>
      </c>
      <c r="H31810" s="5">
        <v>99.2</v>
      </c>
      <c r="I31810" s="5">
        <v>0</v>
      </c>
      <c r="J31810" s="5">
        <v>0</v>
      </c>
      <c r="K31810" s="5">
        <v>0</v>
      </c>
    </row>
    <row r="31811" spans="1:11" x14ac:dyDescent="0.25">
      <c r="A31811" s="5">
        <f>31804</f>
      </c>
      <c r="B31811" s="5" t="s">
        <v>31819</v>
      </c>
      <c r="C31811" s="5">
        <v>100.1</v>
      </c>
      <c r="D31811" s="5">
        <v>0.1</v>
      </c>
      <c r="E31811" s="5">
        <v>100.2</v>
      </c>
      <c r="F31811" s="5">
        <v>198.9</v>
      </c>
      <c r="G31811" s="5">
        <v>99.3</v>
      </c>
      <c r="H31811" s="5">
        <v>99.2</v>
      </c>
      <c r="I31811" s="5">
        <v>0</v>
      </c>
      <c r="J31811" s="5">
        <v>0</v>
      </c>
      <c r="K31811" s="5">
        <v>0</v>
      </c>
    </row>
    <row r="31812" spans="1:11" x14ac:dyDescent="0.25">
      <c r="A31812" s="5">
        <f>31805</f>
      </c>
      <c r="B31812" s="5" t="s">
        <v>31820</v>
      </c>
      <c r="C31812" s="5">
        <v>100.1</v>
      </c>
      <c r="D31812" s="5">
        <v>0.1</v>
      </c>
      <c r="E31812" s="5">
        <v>100.2</v>
      </c>
      <c r="F31812" s="5">
        <v>198.9</v>
      </c>
      <c r="G31812" s="5">
        <v>99.3</v>
      </c>
      <c r="H31812" s="5">
        <v>99.2</v>
      </c>
      <c r="I31812" s="5">
        <v>0</v>
      </c>
      <c r="J31812" s="5">
        <v>0</v>
      </c>
      <c r="K31812" s="5">
        <v>0</v>
      </c>
    </row>
    <row r="31813" spans="1:11" x14ac:dyDescent="0.25">
      <c r="A31813" s="5">
        <f>31806</f>
      </c>
      <c r="B31813" s="5" t="s">
        <v>31821</v>
      </c>
      <c r="C31813" s="5">
        <v>100.1</v>
      </c>
      <c r="D31813" s="5">
        <v>0.1</v>
      </c>
      <c r="E31813" s="5">
        <v>100.2</v>
      </c>
      <c r="F31813" s="5">
        <v>199.5</v>
      </c>
      <c r="G31813" s="5">
        <v>99.5</v>
      </c>
      <c r="H31813" s="5">
        <v>99.4</v>
      </c>
      <c r="I31813" s="5">
        <v>0</v>
      </c>
      <c r="J31813" s="5">
        <v>0</v>
      </c>
      <c r="K31813" s="5">
        <v>0</v>
      </c>
    </row>
    <row r="31814" spans="1:11" x14ac:dyDescent="0.25">
      <c r="A31814" s="5">
        <f>31807</f>
      </c>
      <c r="B31814" s="5" t="s">
        <v>31822</v>
      </c>
      <c r="C31814" s="5">
        <v>100.1</v>
      </c>
      <c r="D31814" s="5">
        <v>0.1</v>
      </c>
      <c r="E31814" s="5">
        <v>100.2</v>
      </c>
      <c r="F31814" s="5">
        <v>199.5</v>
      </c>
      <c r="G31814" s="5">
        <v>99.5</v>
      </c>
      <c r="H31814" s="5">
        <v>99.4</v>
      </c>
      <c r="I31814" s="5">
        <v>0</v>
      </c>
      <c r="J31814" s="5">
        <v>0</v>
      </c>
      <c r="K31814" s="5">
        <v>0</v>
      </c>
    </row>
    <row r="31815" spans="1:11" x14ac:dyDescent="0.25">
      <c r="A31815" s="5">
        <f>31808</f>
      </c>
      <c r="B31815" s="5" t="s">
        <v>31823</v>
      </c>
      <c r="C31815" s="5">
        <v>98.3</v>
      </c>
      <c r="D31815" s="5">
        <v>0.1</v>
      </c>
      <c r="E31815" s="5">
        <v>98.5</v>
      </c>
      <c r="F31815" s="5">
        <v>196.8</v>
      </c>
      <c r="G31815" s="5">
        <v>98.2</v>
      </c>
      <c r="H31815" s="5">
        <v>98.2</v>
      </c>
      <c r="I31815" s="5">
        <v>0</v>
      </c>
      <c r="J31815" s="5">
        <v>0</v>
      </c>
      <c r="K31815" s="5">
        <v>0</v>
      </c>
    </row>
    <row r="31816" spans="1:11" x14ac:dyDescent="0.25">
      <c r="A31816" s="5">
        <f>31809</f>
      </c>
      <c r="B31816" s="5" t="s">
        <v>31824</v>
      </c>
      <c r="C31816" s="5">
        <v>98.3</v>
      </c>
      <c r="D31816" s="5">
        <v>0.1</v>
      </c>
      <c r="E31816" s="5">
        <v>98.5</v>
      </c>
      <c r="F31816" s="5">
        <v>196.8</v>
      </c>
      <c r="G31816" s="5">
        <v>98.2</v>
      </c>
      <c r="H31816" s="5">
        <v>98.2</v>
      </c>
      <c r="I31816" s="5">
        <v>0</v>
      </c>
      <c r="J31816" s="5">
        <v>0</v>
      </c>
      <c r="K31816" s="5">
        <v>0</v>
      </c>
    </row>
    <row r="31817" spans="1:11" x14ac:dyDescent="0.25">
      <c r="A31817" s="5">
        <f>31810</f>
      </c>
      <c r="B31817" s="5" t="s">
        <v>31825</v>
      </c>
      <c r="C31817" s="5">
        <v>98.9</v>
      </c>
      <c r="D31817" s="5">
        <v>0.1</v>
      </c>
      <c r="E31817" s="5">
        <v>99</v>
      </c>
      <c r="F31817" s="5">
        <v>196.9</v>
      </c>
      <c r="G31817" s="5">
        <v>98.3</v>
      </c>
      <c r="H31817" s="5">
        <v>98.1</v>
      </c>
      <c r="I31817" s="5">
        <v>0</v>
      </c>
      <c r="J31817" s="5">
        <v>0</v>
      </c>
      <c r="K31817" s="5">
        <v>0</v>
      </c>
    </row>
    <row r="31818" spans="1:11" x14ac:dyDescent="0.25">
      <c r="A31818" s="5">
        <f>31811</f>
      </c>
      <c r="B31818" s="5" t="s">
        <v>31826</v>
      </c>
      <c r="C31818" s="5">
        <v>98.9</v>
      </c>
      <c r="D31818" s="5">
        <v>0.1</v>
      </c>
      <c r="E31818" s="5">
        <v>99</v>
      </c>
      <c r="F31818" s="5">
        <v>196.9</v>
      </c>
      <c r="G31818" s="5">
        <v>98.3</v>
      </c>
      <c r="H31818" s="5">
        <v>98.1</v>
      </c>
      <c r="I31818" s="5">
        <v>0</v>
      </c>
      <c r="J31818" s="5">
        <v>0</v>
      </c>
      <c r="K31818" s="5">
        <v>0</v>
      </c>
    </row>
    <row r="31819" spans="1:11" x14ac:dyDescent="0.25">
      <c r="A31819" s="5">
        <f>31812</f>
      </c>
      <c r="B31819" s="5" t="s">
        <v>31827</v>
      </c>
      <c r="C31819" s="5">
        <v>91.7</v>
      </c>
      <c r="D31819" s="5">
        <v>0.1</v>
      </c>
      <c r="E31819" s="5">
        <v>91.8</v>
      </c>
      <c r="F31819" s="5">
        <v>188.2</v>
      </c>
      <c r="G31819" s="5">
        <v>93.3</v>
      </c>
      <c r="H31819" s="5">
        <v>93.1</v>
      </c>
      <c r="I31819" s="5">
        <v>0</v>
      </c>
      <c r="J31819" s="5">
        <v>0</v>
      </c>
      <c r="K31819" s="5">
        <v>0</v>
      </c>
    </row>
    <row r="31820" spans="1:11" x14ac:dyDescent="0.25">
      <c r="A31820" s="5">
        <f>31813</f>
      </c>
      <c r="B31820" s="5" t="s">
        <v>31828</v>
      </c>
      <c r="C31820" s="5">
        <v>91.7</v>
      </c>
      <c r="D31820" s="5">
        <v>0.1</v>
      </c>
      <c r="E31820" s="5">
        <v>91.8</v>
      </c>
      <c r="F31820" s="5">
        <v>188.2</v>
      </c>
      <c r="G31820" s="5">
        <v>93.3</v>
      </c>
      <c r="H31820" s="5">
        <v>93.1</v>
      </c>
      <c r="I31820" s="5">
        <v>0</v>
      </c>
      <c r="J31820" s="5">
        <v>0</v>
      </c>
      <c r="K31820" s="5">
        <v>0</v>
      </c>
    </row>
    <row r="31821" spans="1:11" x14ac:dyDescent="0.25">
      <c r="A31821" s="5">
        <f>31814</f>
      </c>
      <c r="B31821" s="5" t="s">
        <v>31829</v>
      </c>
      <c r="C31821" s="5">
        <v>91.7</v>
      </c>
      <c r="D31821" s="5">
        <v>0.1</v>
      </c>
      <c r="E31821" s="5">
        <v>91.8</v>
      </c>
      <c r="F31821" s="5">
        <v>188.2</v>
      </c>
      <c r="G31821" s="5">
        <v>93.3</v>
      </c>
      <c r="H31821" s="5">
        <v>93.1</v>
      </c>
      <c r="I31821" s="5">
        <v>0</v>
      </c>
      <c r="J31821" s="5">
        <v>0</v>
      </c>
      <c r="K31821" s="5">
        <v>0</v>
      </c>
    </row>
    <row r="31822" spans="1:11" x14ac:dyDescent="0.25">
      <c r="A31822" s="5">
        <f>31815</f>
      </c>
      <c r="B31822" s="5" t="s">
        <v>31830</v>
      </c>
      <c r="C31822" s="5">
        <v>91.7</v>
      </c>
      <c r="D31822" s="5">
        <v>0.1</v>
      </c>
      <c r="E31822" s="5">
        <v>91.8</v>
      </c>
      <c r="F31822" s="5">
        <v>188.2</v>
      </c>
      <c r="G31822" s="5">
        <v>93.3</v>
      </c>
      <c r="H31822" s="5">
        <v>93.1</v>
      </c>
      <c r="I31822" s="5">
        <v>0</v>
      </c>
      <c r="J31822" s="5">
        <v>0</v>
      </c>
      <c r="K31822" s="5">
        <v>0</v>
      </c>
    </row>
    <row r="31823" spans="1:11" x14ac:dyDescent="0.25">
      <c r="A31823" s="5">
        <f>31816</f>
      </c>
      <c r="B31823" s="5" t="s">
        <v>31831</v>
      </c>
      <c r="C31823" s="5">
        <v>98.2</v>
      </c>
      <c r="D31823" s="5">
        <v>0.1</v>
      </c>
      <c r="E31823" s="5">
        <v>98.3</v>
      </c>
      <c r="F31823" s="5">
        <v>187.2</v>
      </c>
      <c r="G31823" s="5">
        <v>93.7</v>
      </c>
      <c r="H31823" s="5">
        <v>93.9</v>
      </c>
      <c r="I31823" s="5">
        <v>0</v>
      </c>
      <c r="J31823" s="5">
        <v>0</v>
      </c>
      <c r="K31823" s="5">
        <v>0</v>
      </c>
    </row>
    <row r="31824" spans="1:11" x14ac:dyDescent="0.25">
      <c r="A31824" s="5">
        <f>31817</f>
      </c>
      <c r="B31824" s="5" t="s">
        <v>31832</v>
      </c>
      <c r="C31824" s="5">
        <v>98.2</v>
      </c>
      <c r="D31824" s="5">
        <v>0.1</v>
      </c>
      <c r="E31824" s="5">
        <v>98.3</v>
      </c>
      <c r="F31824" s="5">
        <v>187.2</v>
      </c>
      <c r="G31824" s="5">
        <v>93.7</v>
      </c>
      <c r="H31824" s="5">
        <v>93.9</v>
      </c>
      <c r="I31824" s="5">
        <v>0</v>
      </c>
      <c r="J31824" s="5">
        <v>0</v>
      </c>
      <c r="K31824" s="5">
        <v>0</v>
      </c>
    </row>
    <row r="31825" spans="1:11" x14ac:dyDescent="0.25">
      <c r="A31825" s="5">
        <f>31818</f>
      </c>
      <c r="B31825" s="5" t="s">
        <v>31833</v>
      </c>
      <c r="C31825" s="5">
        <v>98.2</v>
      </c>
      <c r="D31825" s="5">
        <v>0.1</v>
      </c>
      <c r="E31825" s="5">
        <v>98.3</v>
      </c>
      <c r="F31825" s="5">
        <v>187.2</v>
      </c>
      <c r="G31825" s="5">
        <v>93.7</v>
      </c>
      <c r="H31825" s="5">
        <v>93.9</v>
      </c>
      <c r="I31825" s="5">
        <v>0</v>
      </c>
      <c r="J31825" s="5">
        <v>0</v>
      </c>
      <c r="K31825" s="5">
        <v>0</v>
      </c>
    </row>
    <row r="31826" spans="1:11" x14ac:dyDescent="0.25">
      <c r="A31826" s="5">
        <f>31819</f>
      </c>
      <c r="B31826" s="5" t="s">
        <v>31834</v>
      </c>
      <c r="C31826" s="5">
        <v>98.2</v>
      </c>
      <c r="D31826" s="5">
        <v>0.1</v>
      </c>
      <c r="E31826" s="5">
        <v>98.3</v>
      </c>
      <c r="F31826" s="5">
        <v>187.2</v>
      </c>
      <c r="G31826" s="5">
        <v>93.7</v>
      </c>
      <c r="H31826" s="5">
        <v>93.9</v>
      </c>
      <c r="I31826" s="5">
        <v>0</v>
      </c>
      <c r="J31826" s="5">
        <v>0</v>
      </c>
      <c r="K31826" s="5">
        <v>0</v>
      </c>
    </row>
    <row r="31827" spans="1:11" x14ac:dyDescent="0.25">
      <c r="A31827" s="5">
        <f>31820</f>
      </c>
      <c r="B31827" s="5" t="s">
        <v>31835</v>
      </c>
      <c r="C31827" s="5">
        <v>99.9</v>
      </c>
      <c r="D31827" s="5">
        <v>0.1</v>
      </c>
      <c r="E31827" s="5">
        <v>100.1</v>
      </c>
      <c r="F31827" s="5">
        <v>187.2</v>
      </c>
      <c r="G31827" s="5">
        <v>93.7</v>
      </c>
      <c r="H31827" s="5">
        <v>93.9</v>
      </c>
      <c r="I31827" s="5">
        <v>0</v>
      </c>
      <c r="J31827" s="5">
        <v>0</v>
      </c>
      <c r="K31827" s="5">
        <v>0</v>
      </c>
    </row>
    <row r="31828" spans="1:11" x14ac:dyDescent="0.25">
      <c r="A31828" s="5">
        <f>31821</f>
      </c>
      <c r="B31828" s="5" t="s">
        <v>31836</v>
      </c>
      <c r="C31828" s="5">
        <v>99.9</v>
      </c>
      <c r="D31828" s="5">
        <v>0.1</v>
      </c>
      <c r="E31828" s="5">
        <v>100.1</v>
      </c>
      <c r="F31828" s="5">
        <v>199.1</v>
      </c>
      <c r="G31828" s="5">
        <v>99.3</v>
      </c>
      <c r="H31828" s="5">
        <v>99.2</v>
      </c>
      <c r="I31828" s="5">
        <v>0</v>
      </c>
      <c r="J31828" s="5">
        <v>0</v>
      </c>
      <c r="K31828" s="5">
        <v>0</v>
      </c>
    </row>
    <row r="31829" spans="1:11" x14ac:dyDescent="0.25">
      <c r="A31829" s="5">
        <f>31822</f>
      </c>
      <c r="B31829" s="5" t="s">
        <v>31837</v>
      </c>
      <c r="C31829" s="5">
        <v>99.4</v>
      </c>
      <c r="D31829" s="5">
        <v>0.1</v>
      </c>
      <c r="E31829" s="5">
        <v>100.1</v>
      </c>
      <c r="F31829" s="5">
        <v>199.1</v>
      </c>
      <c r="G31829" s="5">
        <v>99.3</v>
      </c>
      <c r="H31829" s="5">
        <v>99.2</v>
      </c>
      <c r="I31829" s="5">
        <v>0</v>
      </c>
      <c r="J31829" s="5">
        <v>0</v>
      </c>
      <c r="K31829" s="5">
        <v>0</v>
      </c>
    </row>
    <row r="31830" spans="1:11" x14ac:dyDescent="0.25">
      <c r="A31830" s="5">
        <f>31823</f>
      </c>
      <c r="B31830" s="5" t="s">
        <v>31838</v>
      </c>
      <c r="C31830" s="5">
        <v>99.4</v>
      </c>
      <c r="D31830" s="5">
        <v>0.1</v>
      </c>
      <c r="E31830" s="5">
        <v>99.5</v>
      </c>
      <c r="F31830" s="5">
        <v>197.7</v>
      </c>
      <c r="G31830" s="5">
        <v>98.6</v>
      </c>
      <c r="H31830" s="5">
        <v>98.5</v>
      </c>
      <c r="I31830" s="5">
        <v>0</v>
      </c>
      <c r="J31830" s="5">
        <v>0</v>
      </c>
      <c r="K31830" s="5">
        <v>0</v>
      </c>
    </row>
    <row r="31831" spans="1:11" x14ac:dyDescent="0.25">
      <c r="A31831" s="5">
        <f>31824</f>
      </c>
      <c r="B31831" s="5" t="s">
        <v>31839</v>
      </c>
      <c r="C31831" s="5">
        <v>99.4</v>
      </c>
      <c r="D31831" s="5">
        <v>0.1</v>
      </c>
      <c r="E31831" s="5">
        <v>99.5</v>
      </c>
      <c r="F31831" s="5">
        <v>197.7</v>
      </c>
      <c r="G31831" s="5">
        <v>98.6</v>
      </c>
      <c r="H31831" s="5">
        <v>98.5</v>
      </c>
      <c r="I31831" s="5">
        <v>0</v>
      </c>
      <c r="J31831" s="5">
        <v>0</v>
      </c>
      <c r="K31831" s="5">
        <v>0</v>
      </c>
    </row>
    <row r="31832" spans="1:11" x14ac:dyDescent="0.25">
      <c r="A31832" s="5">
        <f>31825</f>
      </c>
      <c r="B31832" s="5" t="s">
        <v>31840</v>
      </c>
      <c r="C31832" s="5">
        <v>99.4</v>
      </c>
      <c r="D31832" s="5">
        <v>0.1</v>
      </c>
      <c r="E31832" s="5">
        <v>99.5</v>
      </c>
      <c r="F31832" s="5">
        <v>197.7</v>
      </c>
      <c r="G31832" s="5">
        <v>98.6</v>
      </c>
      <c r="H31832" s="5">
        <v>98.5</v>
      </c>
      <c r="I31832" s="5">
        <v>0</v>
      </c>
      <c r="J31832" s="5">
        <v>0</v>
      </c>
      <c r="K31832" s="5">
        <v>0</v>
      </c>
    </row>
    <row r="31833" spans="1:11" x14ac:dyDescent="0.25">
      <c r="A31833" s="5">
        <f>31826</f>
      </c>
      <c r="B31833" s="5" t="s">
        <v>31841</v>
      </c>
      <c r="C31833" s="5">
        <v>98.4</v>
      </c>
      <c r="D31833" s="5">
        <v>0.1</v>
      </c>
      <c r="E31833" s="5">
        <v>98.6</v>
      </c>
      <c r="F31833" s="5">
        <v>198.1</v>
      </c>
      <c r="G31833" s="5">
        <v>98.8</v>
      </c>
      <c r="H31833" s="5">
        <v>98.6</v>
      </c>
      <c r="I31833" s="5">
        <v>0</v>
      </c>
      <c r="J31833" s="5">
        <v>0</v>
      </c>
      <c r="K31833" s="5">
        <v>0</v>
      </c>
    </row>
    <row r="31834" spans="1:11" x14ac:dyDescent="0.25">
      <c r="A31834" s="5">
        <f>31827</f>
      </c>
      <c r="B31834" s="5" t="s">
        <v>31842</v>
      </c>
      <c r="C31834" s="5">
        <v>98.4</v>
      </c>
      <c r="D31834" s="5">
        <v>0.1</v>
      </c>
      <c r="E31834" s="5">
        <v>98.6</v>
      </c>
      <c r="F31834" s="5">
        <v>198.1</v>
      </c>
      <c r="G31834" s="5">
        <v>98.8</v>
      </c>
      <c r="H31834" s="5">
        <v>98.6</v>
      </c>
      <c r="I31834" s="5">
        <v>0</v>
      </c>
      <c r="J31834" s="5">
        <v>0</v>
      </c>
      <c r="K31834" s="5">
        <v>0</v>
      </c>
    </row>
    <row r="31835" spans="1:11" x14ac:dyDescent="0.25">
      <c r="A31835" s="5">
        <f>31828</f>
      </c>
      <c r="B31835" s="5" t="s">
        <v>31843</v>
      </c>
      <c r="C31835" s="5">
        <v>94.2</v>
      </c>
      <c r="D31835" s="5">
        <v>0.1</v>
      </c>
      <c r="E31835" s="5">
        <v>94.4</v>
      </c>
      <c r="F31835" s="5">
        <v>192.1</v>
      </c>
      <c r="G31835" s="5">
        <v>99.2</v>
      </c>
      <c r="H31835" s="5">
        <v>99.1</v>
      </c>
      <c r="I31835" s="5">
        <v>0</v>
      </c>
      <c r="J31835" s="5">
        <v>0</v>
      </c>
      <c r="K31835" s="5">
        <v>0</v>
      </c>
    </row>
    <row r="31836" spans="1:11" x14ac:dyDescent="0.25">
      <c r="A31836" s="5">
        <f>31829</f>
      </c>
      <c r="B31836" s="5" t="s">
        <v>31844</v>
      </c>
      <c r="C31836" s="5">
        <v>94.2</v>
      </c>
      <c r="D31836" s="5">
        <v>0.1</v>
      </c>
      <c r="E31836" s="5">
        <v>94.4</v>
      </c>
      <c r="F31836" s="5">
        <v>192.1</v>
      </c>
      <c r="G31836" s="5">
        <v>99.2</v>
      </c>
      <c r="H31836" s="5">
        <v>99.1</v>
      </c>
      <c r="I31836" s="5">
        <v>0</v>
      </c>
      <c r="J31836" s="5">
        <v>0</v>
      </c>
      <c r="K31836" s="5">
        <v>0</v>
      </c>
    </row>
    <row r="31837" spans="1:11" x14ac:dyDescent="0.25">
      <c r="A31837" s="5">
        <f>31830</f>
      </c>
      <c r="B31837" s="5" t="s">
        <v>31845</v>
      </c>
      <c r="C31837" s="5">
        <v>96</v>
      </c>
      <c r="D31837" s="5">
        <v>0.1</v>
      </c>
      <c r="E31837" s="5">
        <v>96.1</v>
      </c>
      <c r="F31837" s="5">
        <v>190.9</v>
      </c>
      <c r="G31837" s="5">
        <v>97.9</v>
      </c>
      <c r="H31837" s="5">
        <v>97.6</v>
      </c>
      <c r="I31837" s="5">
        <v>0</v>
      </c>
      <c r="J31837" s="5">
        <v>0</v>
      </c>
      <c r="K31837" s="5">
        <v>0</v>
      </c>
    </row>
    <row r="31838" spans="1:11" x14ac:dyDescent="0.25">
      <c r="A31838" s="5">
        <f>31831</f>
      </c>
      <c r="B31838" s="5" t="s">
        <v>31846</v>
      </c>
      <c r="C31838" s="5">
        <v>96</v>
      </c>
      <c r="D31838" s="5">
        <v>0.1</v>
      </c>
      <c r="E31838" s="5">
        <v>96.1</v>
      </c>
      <c r="F31838" s="5">
        <v>190.9</v>
      </c>
      <c r="G31838" s="5">
        <v>97.9</v>
      </c>
      <c r="H31838" s="5">
        <v>97.6</v>
      </c>
      <c r="I31838" s="5">
        <v>0</v>
      </c>
      <c r="J31838" s="5">
        <v>0</v>
      </c>
      <c r="K31838" s="5">
        <v>0</v>
      </c>
    </row>
    <row r="31839" spans="1:11" x14ac:dyDescent="0.25">
      <c r="A31839" s="5">
        <f>31832</f>
      </c>
      <c r="B31839" s="5" t="s">
        <v>31847</v>
      </c>
      <c r="C31839" s="5">
        <v>93.2</v>
      </c>
      <c r="D31839" s="5">
        <v>0.1</v>
      </c>
      <c r="E31839" s="5">
        <v>93.4</v>
      </c>
      <c r="F31839" s="5">
        <v>184.6</v>
      </c>
      <c r="G31839" s="5">
        <v>93</v>
      </c>
      <c r="H31839" s="5">
        <v>97.4</v>
      </c>
      <c r="I31839" s="5">
        <v>0</v>
      </c>
      <c r="J31839" s="5">
        <v>0</v>
      </c>
      <c r="K31839" s="5">
        <v>0</v>
      </c>
    </row>
    <row r="31840" spans="1:11" x14ac:dyDescent="0.25">
      <c r="A31840" s="5">
        <f>31833</f>
      </c>
      <c r="B31840" s="5" t="s">
        <v>31848</v>
      </c>
      <c r="C31840" s="5">
        <v>93.2</v>
      </c>
      <c r="D31840" s="5">
        <v>0.1</v>
      </c>
      <c r="E31840" s="5">
        <v>93.4</v>
      </c>
      <c r="F31840" s="5">
        <v>184.6</v>
      </c>
      <c r="G31840" s="5">
        <v>93</v>
      </c>
      <c r="H31840" s="5">
        <v>97.4</v>
      </c>
      <c r="I31840" s="5">
        <v>0</v>
      </c>
      <c r="J31840" s="5">
        <v>0</v>
      </c>
      <c r="K31840" s="5">
        <v>0</v>
      </c>
    </row>
    <row r="31841" spans="1:11" x14ac:dyDescent="0.25">
      <c r="A31841" s="5">
        <f>31834</f>
      </c>
      <c r="B31841" s="5" t="s">
        <v>31849</v>
      </c>
      <c r="C31841" s="5">
        <v>93.2</v>
      </c>
      <c r="D31841" s="5">
        <v>0.1</v>
      </c>
      <c r="E31841" s="5">
        <v>93.4</v>
      </c>
      <c r="F31841" s="5">
        <v>184.6</v>
      </c>
      <c r="G31841" s="5">
        <v>93</v>
      </c>
      <c r="H31841" s="5">
        <v>97.4</v>
      </c>
      <c r="I31841" s="5">
        <v>0</v>
      </c>
      <c r="J31841" s="5">
        <v>0</v>
      </c>
      <c r="K31841" s="5">
        <v>0</v>
      </c>
    </row>
    <row r="31842" spans="1:11" x14ac:dyDescent="0.25">
      <c r="A31842" s="5">
        <f>31835</f>
      </c>
      <c r="B31842" s="5" t="s">
        <v>31850</v>
      </c>
      <c r="C31842" s="5">
        <v>93.2</v>
      </c>
      <c r="D31842" s="5">
        <v>0.1</v>
      </c>
      <c r="E31842" s="5">
        <v>93.4</v>
      </c>
      <c r="F31842" s="5">
        <v>184.6</v>
      </c>
      <c r="G31842" s="5">
        <v>93</v>
      </c>
      <c r="H31842" s="5">
        <v>97.4</v>
      </c>
      <c r="I31842" s="5">
        <v>0</v>
      </c>
      <c r="J31842" s="5">
        <v>0</v>
      </c>
      <c r="K31842" s="5">
        <v>0</v>
      </c>
    </row>
    <row r="31843" spans="1:11" x14ac:dyDescent="0.25">
      <c r="A31843" s="5">
        <f>31836</f>
      </c>
      <c r="B31843" s="5" t="s">
        <v>31851</v>
      </c>
      <c r="C31843" s="5">
        <v>100.2</v>
      </c>
      <c r="D31843" s="5">
        <v>0.1</v>
      </c>
      <c r="E31843" s="5">
        <v>100.4</v>
      </c>
      <c r="F31843" s="5">
        <v>200</v>
      </c>
      <c r="G31843" s="5">
        <v>99.8</v>
      </c>
      <c r="H31843" s="5">
        <v>99.7</v>
      </c>
      <c r="I31843" s="5">
        <v>0</v>
      </c>
      <c r="J31843" s="5">
        <v>0</v>
      </c>
      <c r="K31843" s="5">
        <v>0</v>
      </c>
    </row>
    <row r="31844" spans="1:11" x14ac:dyDescent="0.25">
      <c r="A31844" s="5">
        <f>31837</f>
      </c>
      <c r="B31844" s="5" t="s">
        <v>31852</v>
      </c>
      <c r="C31844" s="5">
        <v>100.2</v>
      </c>
      <c r="D31844" s="5">
        <v>0.1</v>
      </c>
      <c r="E31844" s="5">
        <v>100.4</v>
      </c>
      <c r="F31844" s="5">
        <v>200</v>
      </c>
      <c r="G31844" s="5">
        <v>99.8</v>
      </c>
      <c r="H31844" s="5">
        <v>99.7</v>
      </c>
      <c r="I31844" s="5">
        <v>0</v>
      </c>
      <c r="J31844" s="5">
        <v>0</v>
      </c>
      <c r="K31844" s="5">
        <v>0</v>
      </c>
    </row>
    <row r="31845" spans="1:11" x14ac:dyDescent="0.25">
      <c r="A31845" s="5">
        <f>31838</f>
      </c>
      <c r="B31845" s="5" t="s">
        <v>31853</v>
      </c>
      <c r="C31845" s="5">
        <v>99.9</v>
      </c>
      <c r="D31845" s="5">
        <v>0.1</v>
      </c>
      <c r="E31845" s="5">
        <v>100</v>
      </c>
      <c r="F31845" s="5">
        <v>194.5</v>
      </c>
      <c r="G31845" s="5">
        <v>97.2</v>
      </c>
      <c r="H31845" s="5">
        <v>97.3</v>
      </c>
      <c r="I31845" s="5">
        <v>0</v>
      </c>
      <c r="J31845" s="5">
        <v>0</v>
      </c>
      <c r="K31845" s="5">
        <v>0</v>
      </c>
    </row>
    <row r="31846" spans="1:11" x14ac:dyDescent="0.25">
      <c r="A31846" s="5">
        <f>31839</f>
      </c>
      <c r="B31846" s="5" t="s">
        <v>31854</v>
      </c>
      <c r="C31846" s="5">
        <v>99.9</v>
      </c>
      <c r="D31846" s="5">
        <v>0.1</v>
      </c>
      <c r="E31846" s="5">
        <v>100</v>
      </c>
      <c r="F31846" s="5">
        <v>194.5</v>
      </c>
      <c r="G31846" s="5">
        <v>97.2</v>
      </c>
      <c r="H31846" s="5">
        <v>97.3</v>
      </c>
      <c r="I31846" s="5">
        <v>0</v>
      </c>
      <c r="J31846" s="5">
        <v>0</v>
      </c>
      <c r="K31846" s="5">
        <v>0</v>
      </c>
    </row>
    <row r="31847" spans="1:11" x14ac:dyDescent="0.25">
      <c r="A31847" s="5">
        <f>31840</f>
      </c>
      <c r="B31847" s="5" t="s">
        <v>31855</v>
      </c>
      <c r="C31847" s="5">
        <v>99.9</v>
      </c>
      <c r="D31847" s="5">
        <v>0.1</v>
      </c>
      <c r="E31847" s="5">
        <v>100.1</v>
      </c>
      <c r="F31847" s="5">
        <v>192.1</v>
      </c>
      <c r="G31847" s="5">
        <v>96.1</v>
      </c>
      <c r="H31847" s="5">
        <v>96.2</v>
      </c>
      <c r="I31847" s="5">
        <v>0</v>
      </c>
      <c r="J31847" s="5">
        <v>0</v>
      </c>
      <c r="K31847" s="5">
        <v>0</v>
      </c>
    </row>
    <row r="31848" spans="1:11" x14ac:dyDescent="0.25">
      <c r="A31848" s="5">
        <f>31841</f>
      </c>
      <c r="B31848" s="5" t="s">
        <v>31856</v>
      </c>
      <c r="C31848" s="5">
        <v>99.9</v>
      </c>
      <c r="D31848" s="5">
        <v>0.1</v>
      </c>
      <c r="E31848" s="5">
        <v>100.1</v>
      </c>
      <c r="F31848" s="5">
        <v>192.1</v>
      </c>
      <c r="G31848" s="5">
        <v>96.1</v>
      </c>
      <c r="H31848" s="5">
        <v>96.2</v>
      </c>
      <c r="I31848" s="5">
        <v>0</v>
      </c>
      <c r="J31848" s="5">
        <v>0</v>
      </c>
      <c r="K31848" s="5">
        <v>0</v>
      </c>
    </row>
    <row r="31849" spans="1:11" x14ac:dyDescent="0.25">
      <c r="A31849" s="5">
        <f>31842</f>
      </c>
      <c r="B31849" s="5" t="s">
        <v>31857</v>
      </c>
      <c r="C31849" s="5">
        <v>98.9</v>
      </c>
      <c r="D31849" s="5">
        <v>0.1</v>
      </c>
      <c r="E31849" s="5">
        <v>99.1</v>
      </c>
      <c r="F31849" s="5">
        <v>193.1</v>
      </c>
      <c r="G31849" s="5">
        <v>96.4</v>
      </c>
      <c r="H31849" s="5">
        <v>96.4</v>
      </c>
      <c r="I31849" s="5">
        <v>0</v>
      </c>
      <c r="J31849" s="5">
        <v>0</v>
      </c>
      <c r="K31849" s="5">
        <v>0</v>
      </c>
    </row>
    <row r="31850" spans="1:11" x14ac:dyDescent="0.25">
      <c r="A31850" s="5">
        <f>31843</f>
      </c>
      <c r="B31850" s="5" t="s">
        <v>31858</v>
      </c>
      <c r="C31850" s="5">
        <v>98.9</v>
      </c>
      <c r="D31850" s="5">
        <v>0.1</v>
      </c>
      <c r="E31850" s="5">
        <v>99.1</v>
      </c>
      <c r="F31850" s="5">
        <v>193.1</v>
      </c>
      <c r="G31850" s="5">
        <v>96.4</v>
      </c>
      <c r="H31850" s="5">
        <v>96.4</v>
      </c>
      <c r="I31850" s="5">
        <v>0</v>
      </c>
      <c r="J31850" s="5">
        <v>0</v>
      </c>
      <c r="K31850" s="5">
        <v>0</v>
      </c>
    </row>
    <row r="31851" spans="1:11" x14ac:dyDescent="0.25">
      <c r="A31851" s="5">
        <f>31844</f>
      </c>
      <c r="B31851" s="5" t="s">
        <v>31859</v>
      </c>
      <c r="C31851" s="5">
        <v>98.9</v>
      </c>
      <c r="D31851" s="5">
        <v>0.1</v>
      </c>
      <c r="E31851" s="5">
        <v>99.1</v>
      </c>
      <c r="F31851" s="5">
        <v>193.1</v>
      </c>
      <c r="G31851" s="5">
        <v>96.4</v>
      </c>
      <c r="H31851" s="5">
        <v>96.4</v>
      </c>
      <c r="I31851" s="5">
        <v>0</v>
      </c>
      <c r="J31851" s="5">
        <v>0</v>
      </c>
      <c r="K31851" s="5">
        <v>0</v>
      </c>
    </row>
    <row r="31852" spans="1:11" x14ac:dyDescent="0.25">
      <c r="A31852" s="5">
        <f>31845</f>
      </c>
      <c r="B31852" s="5" t="s">
        <v>31860</v>
      </c>
      <c r="C31852" s="5">
        <v>98.9</v>
      </c>
      <c r="D31852" s="5">
        <v>0.1</v>
      </c>
      <c r="E31852" s="5">
        <v>99.1</v>
      </c>
      <c r="F31852" s="5">
        <v>193.1</v>
      </c>
      <c r="G31852" s="5">
        <v>96.4</v>
      </c>
      <c r="H31852" s="5">
        <v>96.4</v>
      </c>
      <c r="I31852" s="5">
        <v>0</v>
      </c>
      <c r="J31852" s="5">
        <v>0</v>
      </c>
      <c r="K31852" s="5">
        <v>0</v>
      </c>
    </row>
    <row r="31853" spans="1:11" x14ac:dyDescent="0.25">
      <c r="A31853" s="5">
        <f>31846</f>
      </c>
      <c r="B31853" s="5" t="s">
        <v>31861</v>
      </c>
      <c r="C31853" s="5">
        <v>93.9</v>
      </c>
      <c r="D31853" s="5">
        <v>0.1</v>
      </c>
      <c r="E31853" s="5">
        <v>94.1</v>
      </c>
      <c r="F31853" s="5">
        <v>185.3</v>
      </c>
      <c r="G31853" s="5">
        <v>92.3</v>
      </c>
      <c r="H31853" s="5">
        <v>92.1</v>
      </c>
      <c r="I31853" s="5">
        <v>0</v>
      </c>
      <c r="J31853" s="5">
        <v>0</v>
      </c>
      <c r="K31853" s="5">
        <v>0</v>
      </c>
    </row>
    <row r="31854" spans="1:11" x14ac:dyDescent="0.25">
      <c r="A31854" s="5">
        <f>31847</f>
      </c>
      <c r="B31854" s="5" t="s">
        <v>31862</v>
      </c>
      <c r="C31854" s="5">
        <v>93.9</v>
      </c>
      <c r="D31854" s="5">
        <v>0.1</v>
      </c>
      <c r="E31854" s="5">
        <v>94.1</v>
      </c>
      <c r="F31854" s="5">
        <v>185.3</v>
      </c>
      <c r="G31854" s="5">
        <v>92.3</v>
      </c>
      <c r="H31854" s="5">
        <v>92.1</v>
      </c>
      <c r="I31854" s="5">
        <v>0</v>
      </c>
      <c r="J31854" s="5">
        <v>0</v>
      </c>
      <c r="K31854" s="5">
        <v>0</v>
      </c>
    </row>
    <row r="31855" spans="1:11" x14ac:dyDescent="0.25">
      <c r="A31855" s="5">
        <f>31848</f>
      </c>
      <c r="B31855" s="5" t="s">
        <v>31863</v>
      </c>
      <c r="C31855" s="5">
        <v>93.4</v>
      </c>
      <c r="D31855" s="5">
        <v>0.1</v>
      </c>
      <c r="E31855" s="5">
        <v>93.5</v>
      </c>
      <c r="F31855" s="5">
        <v>187.2</v>
      </c>
      <c r="G31855" s="5">
        <v>93.4</v>
      </c>
      <c r="H31855" s="5">
        <v>93.4</v>
      </c>
      <c r="I31855" s="5">
        <v>0</v>
      </c>
      <c r="J31855" s="5">
        <v>0</v>
      </c>
      <c r="K31855" s="5">
        <v>0</v>
      </c>
    </row>
    <row r="31856" spans="1:11" x14ac:dyDescent="0.25">
      <c r="A31856" s="5">
        <f>31849</f>
      </c>
      <c r="B31856" s="5" t="s">
        <v>31864</v>
      </c>
      <c r="C31856" s="5">
        <v>93.4</v>
      </c>
      <c r="D31856" s="5">
        <v>0.1</v>
      </c>
      <c r="E31856" s="5">
        <v>93.5</v>
      </c>
      <c r="F31856" s="5">
        <v>187.2</v>
      </c>
      <c r="G31856" s="5">
        <v>93.4</v>
      </c>
      <c r="H31856" s="5">
        <v>93.4</v>
      </c>
      <c r="I31856" s="5">
        <v>0</v>
      </c>
      <c r="J31856" s="5">
        <v>0</v>
      </c>
      <c r="K31856" s="5">
        <v>0</v>
      </c>
    </row>
    <row r="31857" spans="1:11" x14ac:dyDescent="0.25">
      <c r="A31857" s="5">
        <f>31850</f>
      </c>
      <c r="B31857" s="5" t="s">
        <v>31865</v>
      </c>
      <c r="C31857" s="5">
        <v>97.6</v>
      </c>
      <c r="D31857" s="5">
        <v>0.1</v>
      </c>
      <c r="E31857" s="5">
        <v>97.8</v>
      </c>
      <c r="F31857" s="5">
        <v>184.6</v>
      </c>
      <c r="G31857" s="5">
        <v>91.8</v>
      </c>
      <c r="H31857" s="5">
        <v>91.5</v>
      </c>
      <c r="I31857" s="5">
        <v>0</v>
      </c>
      <c r="J31857" s="5">
        <v>0</v>
      </c>
      <c r="K31857" s="5">
        <v>0</v>
      </c>
    </row>
    <row r="31858" spans="1:11" x14ac:dyDescent="0.25">
      <c r="A31858" s="5">
        <f>31851</f>
      </c>
      <c r="B31858" s="5" t="s">
        <v>31866</v>
      </c>
      <c r="C31858" s="5">
        <v>97.6</v>
      </c>
      <c r="D31858" s="5">
        <v>0.1</v>
      </c>
      <c r="E31858" s="5">
        <v>97.8</v>
      </c>
      <c r="F31858" s="5">
        <v>184.6</v>
      </c>
      <c r="G31858" s="5">
        <v>91.8</v>
      </c>
      <c r="H31858" s="5">
        <v>91.5</v>
      </c>
      <c r="I31858" s="5">
        <v>0</v>
      </c>
      <c r="J31858" s="5">
        <v>0</v>
      </c>
      <c r="K31858" s="5">
        <v>0</v>
      </c>
    </row>
    <row r="31859" spans="1:11" x14ac:dyDescent="0.25">
      <c r="A31859" s="5">
        <f>31852</f>
      </c>
      <c r="B31859" s="5" t="s">
        <v>31867</v>
      </c>
      <c r="C31859" s="5">
        <v>99.9</v>
      </c>
      <c r="D31859" s="5">
        <v>0.1</v>
      </c>
      <c r="E31859" s="5">
        <v>100</v>
      </c>
      <c r="F31859" s="5">
        <v>198.6</v>
      </c>
      <c r="G31859" s="5">
        <v>98.9</v>
      </c>
      <c r="H31859" s="5">
        <v>98.6</v>
      </c>
      <c r="I31859" s="5">
        <v>0</v>
      </c>
      <c r="J31859" s="5">
        <v>0</v>
      </c>
      <c r="K31859" s="5">
        <v>0</v>
      </c>
    </row>
    <row r="31860" spans="1:11" x14ac:dyDescent="0.25">
      <c r="A31860" s="5">
        <f>31853</f>
      </c>
      <c r="B31860" s="5" t="s">
        <v>31868</v>
      </c>
      <c r="C31860" s="5">
        <v>99.9</v>
      </c>
      <c r="D31860" s="5">
        <v>0.1</v>
      </c>
      <c r="E31860" s="5">
        <v>100</v>
      </c>
      <c r="F31860" s="5">
        <v>198.6</v>
      </c>
      <c r="G31860" s="5">
        <v>98.9</v>
      </c>
      <c r="H31860" s="5">
        <v>98.6</v>
      </c>
      <c r="I31860" s="5">
        <v>0</v>
      </c>
      <c r="J31860" s="5">
        <v>0</v>
      </c>
      <c r="K31860" s="5">
        <v>0</v>
      </c>
    </row>
    <row r="31861" spans="1:11" x14ac:dyDescent="0.25">
      <c r="A31861" s="5">
        <f>31854</f>
      </c>
      <c r="B31861" s="5" t="s">
        <v>31869</v>
      </c>
      <c r="C31861" s="5">
        <v>99.9</v>
      </c>
      <c r="D31861" s="5">
        <v>0.1</v>
      </c>
      <c r="E31861" s="5">
        <v>100</v>
      </c>
      <c r="F31861" s="5">
        <v>198.6</v>
      </c>
      <c r="G31861" s="5">
        <v>98.9</v>
      </c>
      <c r="H31861" s="5">
        <v>98.6</v>
      </c>
      <c r="I31861" s="5">
        <v>0</v>
      </c>
      <c r="J31861" s="5">
        <v>0</v>
      </c>
      <c r="K31861" s="5">
        <v>0</v>
      </c>
    </row>
    <row r="31862" spans="1:11" x14ac:dyDescent="0.25">
      <c r="A31862" s="5">
        <f>31855</f>
      </c>
      <c r="B31862" s="5" t="s">
        <v>31870</v>
      </c>
      <c r="C31862" s="5">
        <v>99.9</v>
      </c>
      <c r="D31862" s="5">
        <v>0.1</v>
      </c>
      <c r="E31862" s="5">
        <v>100</v>
      </c>
      <c r="F31862" s="5">
        <v>198.6</v>
      </c>
      <c r="G31862" s="5">
        <v>98.9</v>
      </c>
      <c r="H31862" s="5">
        <v>98.6</v>
      </c>
      <c r="I31862" s="5">
        <v>0</v>
      </c>
      <c r="J31862" s="5">
        <v>0</v>
      </c>
      <c r="K31862" s="5">
        <v>0</v>
      </c>
    </row>
    <row r="31863" spans="1:11" x14ac:dyDescent="0.25">
      <c r="A31863" s="5">
        <f>31856</f>
      </c>
      <c r="B31863" s="5" t="s">
        <v>31871</v>
      </c>
      <c r="C31863" s="5">
        <v>97.3</v>
      </c>
      <c r="D31863" s="5">
        <v>0.1</v>
      </c>
      <c r="E31863" s="5">
        <v>97.3</v>
      </c>
      <c r="F31863" s="5">
        <v>194.7</v>
      </c>
      <c r="G31863" s="5">
        <v>97.1</v>
      </c>
      <c r="H31863" s="5">
        <v>96.9</v>
      </c>
      <c r="I31863" s="5">
        <v>0</v>
      </c>
      <c r="J31863" s="5">
        <v>0</v>
      </c>
      <c r="K31863" s="5">
        <v>0</v>
      </c>
    </row>
    <row r="31864" spans="1:11" x14ac:dyDescent="0.25">
      <c r="A31864" s="5">
        <f>31857</f>
      </c>
      <c r="B31864" s="5" t="s">
        <v>31872</v>
      </c>
      <c r="C31864" s="5">
        <v>97.3</v>
      </c>
      <c r="D31864" s="5">
        <v>0.1</v>
      </c>
      <c r="E31864" s="5">
        <v>97.3</v>
      </c>
      <c r="F31864" s="5">
        <v>194.7</v>
      </c>
      <c r="G31864" s="5">
        <v>97.1</v>
      </c>
      <c r="H31864" s="5">
        <v>96.9</v>
      </c>
      <c r="I31864" s="5">
        <v>0</v>
      </c>
      <c r="J31864" s="5">
        <v>0</v>
      </c>
      <c r="K31864" s="5">
        <v>0</v>
      </c>
    </row>
    <row r="31865" spans="1:11" x14ac:dyDescent="0.25">
      <c r="A31865" s="5">
        <f>31858</f>
      </c>
      <c r="B31865" s="5" t="s">
        <v>31873</v>
      </c>
      <c r="C31865" s="5">
        <v>96.5</v>
      </c>
      <c r="D31865" s="5">
        <v>0.1</v>
      </c>
      <c r="E31865" s="5">
        <v>96.7</v>
      </c>
      <c r="F31865" s="5">
        <v>193.6</v>
      </c>
      <c r="G31865" s="5">
        <v>96.5</v>
      </c>
      <c r="H31865" s="5">
        <v>96.3</v>
      </c>
      <c r="I31865" s="5">
        <v>0</v>
      </c>
      <c r="J31865" s="5">
        <v>0</v>
      </c>
      <c r="K31865" s="5">
        <v>0</v>
      </c>
    </row>
    <row r="31866" spans="1:11" x14ac:dyDescent="0.25">
      <c r="A31866" s="5">
        <f>31859</f>
      </c>
      <c r="B31866" s="5" t="s">
        <v>31874</v>
      </c>
      <c r="C31866" s="5">
        <v>96.5</v>
      </c>
      <c r="D31866" s="5">
        <v>0.1</v>
      </c>
      <c r="E31866" s="5">
        <v>96.7</v>
      </c>
      <c r="F31866" s="5">
        <v>193.6</v>
      </c>
      <c r="G31866" s="5">
        <v>96.5</v>
      </c>
      <c r="H31866" s="5">
        <v>96.3</v>
      </c>
      <c r="I31866" s="5">
        <v>0</v>
      </c>
      <c r="J31866" s="5">
        <v>0</v>
      </c>
      <c r="K31866" s="5">
        <v>0</v>
      </c>
    </row>
    <row r="31867" spans="1:11" x14ac:dyDescent="0.25">
      <c r="A31867" s="5">
        <f>31860</f>
      </c>
      <c r="B31867" s="5" t="s">
        <v>31875</v>
      </c>
      <c r="C31867" s="5">
        <v>99</v>
      </c>
      <c r="D31867" s="5">
        <v>0.1</v>
      </c>
      <c r="E31867" s="5">
        <v>99.2</v>
      </c>
      <c r="F31867" s="5">
        <v>194.5</v>
      </c>
      <c r="G31867" s="5">
        <v>97.2</v>
      </c>
      <c r="H31867" s="5">
        <v>97.3</v>
      </c>
      <c r="I31867" s="5">
        <v>0</v>
      </c>
      <c r="J31867" s="5">
        <v>0</v>
      </c>
      <c r="K31867" s="5">
        <v>0</v>
      </c>
    </row>
    <row r="31868" spans="1:11" x14ac:dyDescent="0.25">
      <c r="A31868" s="5">
        <f>31861</f>
      </c>
      <c r="B31868" s="5" t="s">
        <v>31876</v>
      </c>
      <c r="C31868" s="5">
        <v>99</v>
      </c>
      <c r="D31868" s="5">
        <v>0.1</v>
      </c>
      <c r="E31868" s="5">
        <v>99.2</v>
      </c>
      <c r="F31868" s="5">
        <v>194.5</v>
      </c>
      <c r="G31868" s="5">
        <v>97.2</v>
      </c>
      <c r="H31868" s="5">
        <v>97.3</v>
      </c>
      <c r="I31868" s="5">
        <v>0</v>
      </c>
      <c r="J31868" s="5">
        <v>0</v>
      </c>
      <c r="K31868" s="5">
        <v>0</v>
      </c>
    </row>
    <row r="31869" spans="1:11" x14ac:dyDescent="0.25">
      <c r="A31869" s="5">
        <f>31862</f>
      </c>
      <c r="B31869" s="5" t="s">
        <v>31877</v>
      </c>
      <c r="C31869" s="5">
        <v>96.5</v>
      </c>
      <c r="D31869" s="5">
        <v>0.1</v>
      </c>
      <c r="E31869" s="5">
        <v>96.7</v>
      </c>
      <c r="F31869" s="5">
        <v>187.4</v>
      </c>
      <c r="G31869" s="5">
        <v>93.8</v>
      </c>
      <c r="H31869" s="5">
        <v>93.9</v>
      </c>
      <c r="I31869" s="5">
        <v>0</v>
      </c>
      <c r="J31869" s="5">
        <v>0</v>
      </c>
      <c r="K31869" s="5">
        <v>0</v>
      </c>
    </row>
    <row r="31870" spans="1:11" x14ac:dyDescent="0.25">
      <c r="A31870" s="5">
        <f>31863</f>
      </c>
      <c r="B31870" s="5" t="s">
        <v>31878</v>
      </c>
      <c r="C31870" s="5">
        <v>96.5</v>
      </c>
      <c r="D31870" s="5">
        <v>0.1</v>
      </c>
      <c r="E31870" s="5">
        <v>96.7</v>
      </c>
      <c r="F31870" s="5">
        <v>187.4</v>
      </c>
      <c r="G31870" s="5">
        <v>93.8</v>
      </c>
      <c r="H31870" s="5">
        <v>93.9</v>
      </c>
      <c r="I31870" s="5">
        <v>0</v>
      </c>
      <c r="J31870" s="5">
        <v>0</v>
      </c>
      <c r="K31870" s="5">
        <v>0</v>
      </c>
    </row>
    <row r="31871" spans="1:11" x14ac:dyDescent="0.25">
      <c r="A31871" s="5">
        <f>31864</f>
      </c>
      <c r="B31871" s="5" t="s">
        <v>31879</v>
      </c>
      <c r="C31871" s="5">
        <v>96.5</v>
      </c>
      <c r="D31871" s="5">
        <v>0.1</v>
      </c>
      <c r="E31871" s="5">
        <v>96.7</v>
      </c>
      <c r="F31871" s="5">
        <v>187.4</v>
      </c>
      <c r="G31871" s="5">
        <v>93.8</v>
      </c>
      <c r="H31871" s="5">
        <v>93.9</v>
      </c>
      <c r="I31871" s="5">
        <v>0</v>
      </c>
      <c r="J31871" s="5">
        <v>0</v>
      </c>
      <c r="K31871" s="5">
        <v>0</v>
      </c>
    </row>
    <row r="31872" spans="1:11" x14ac:dyDescent="0.25">
      <c r="A31872" s="5">
        <f>31865</f>
      </c>
      <c r="B31872" s="5" t="s">
        <v>31880</v>
      </c>
      <c r="C31872" s="5">
        <v>96.5</v>
      </c>
      <c r="D31872" s="5">
        <v>0.1</v>
      </c>
      <c r="E31872" s="5">
        <v>96.7</v>
      </c>
      <c r="F31872" s="5">
        <v>187.4</v>
      </c>
      <c r="G31872" s="5">
        <v>93.8</v>
      </c>
      <c r="H31872" s="5">
        <v>93.9</v>
      </c>
      <c r="I31872" s="5">
        <v>0</v>
      </c>
      <c r="J31872" s="5">
        <v>0</v>
      </c>
      <c r="K31872" s="5">
        <v>0</v>
      </c>
    </row>
    <row r="31873" spans="1:11" x14ac:dyDescent="0.25">
      <c r="A31873" s="5">
        <f>31866</f>
      </c>
      <c r="B31873" s="5" t="s">
        <v>31881</v>
      </c>
      <c r="C31873" s="5">
        <v>92.8</v>
      </c>
      <c r="D31873" s="5">
        <v>0.1</v>
      </c>
      <c r="E31873" s="5">
        <v>92.9</v>
      </c>
      <c r="F31873" s="5">
        <v>184.9</v>
      </c>
      <c r="G31873" s="5">
        <v>92.2</v>
      </c>
      <c r="H31873" s="5">
        <v>92.1</v>
      </c>
      <c r="I31873" s="5">
        <v>0</v>
      </c>
      <c r="J31873" s="5">
        <v>0</v>
      </c>
      <c r="K31873" s="5">
        <v>0</v>
      </c>
    </row>
    <row r="31874" spans="1:11" x14ac:dyDescent="0.25">
      <c r="A31874" s="5">
        <f>31867</f>
      </c>
      <c r="B31874" s="5" t="s">
        <v>31882</v>
      </c>
      <c r="C31874" s="5">
        <v>92.8</v>
      </c>
      <c r="D31874" s="5">
        <v>0.1</v>
      </c>
      <c r="E31874" s="5">
        <v>92.9</v>
      </c>
      <c r="F31874" s="5">
        <v>184.9</v>
      </c>
      <c r="G31874" s="5">
        <v>92.2</v>
      </c>
      <c r="H31874" s="5">
        <v>92.1</v>
      </c>
      <c r="I31874" s="5">
        <v>0</v>
      </c>
      <c r="J31874" s="5">
        <v>0</v>
      </c>
      <c r="K31874" s="5">
        <v>0</v>
      </c>
    </row>
    <row r="31875" spans="1:11" x14ac:dyDescent="0.25">
      <c r="A31875" s="5">
        <f>31868</f>
      </c>
      <c r="B31875" s="5" t="s">
        <v>31883</v>
      </c>
      <c r="C31875" s="5">
        <v>90.3</v>
      </c>
      <c r="D31875" s="5">
        <v>0.1</v>
      </c>
      <c r="E31875" s="5">
        <v>90.4</v>
      </c>
      <c r="F31875" s="5">
        <v>181.3</v>
      </c>
      <c r="G31875" s="5">
        <v>90.5</v>
      </c>
      <c r="H31875" s="5">
        <v>90.3</v>
      </c>
      <c r="I31875" s="5">
        <v>0</v>
      </c>
      <c r="J31875" s="5">
        <v>0</v>
      </c>
      <c r="K31875" s="5">
        <v>0</v>
      </c>
    </row>
    <row r="31876" spans="1:11" x14ac:dyDescent="0.25">
      <c r="A31876" s="5">
        <f>31869</f>
      </c>
      <c r="B31876" s="5" t="s">
        <v>31884</v>
      </c>
      <c r="C31876" s="5">
        <v>90.3</v>
      </c>
      <c r="D31876" s="5">
        <v>0.1</v>
      </c>
      <c r="E31876" s="5">
        <v>90.4</v>
      </c>
      <c r="F31876" s="5">
        <v>181.3</v>
      </c>
      <c r="G31876" s="5">
        <v>90.5</v>
      </c>
      <c r="H31876" s="5">
        <v>90.3</v>
      </c>
      <c r="I31876" s="5">
        <v>0</v>
      </c>
      <c r="J31876" s="5">
        <v>0</v>
      </c>
      <c r="K31876" s="5">
        <v>0</v>
      </c>
    </row>
    <row r="31877" spans="1:11" x14ac:dyDescent="0.25">
      <c r="A31877" s="5">
        <f>31870</f>
      </c>
      <c r="B31877" s="5" t="s">
        <v>31885</v>
      </c>
      <c r="C31877" s="5">
        <v>98.1</v>
      </c>
      <c r="D31877" s="5">
        <v>0.1</v>
      </c>
      <c r="E31877" s="5">
        <v>98.3</v>
      </c>
      <c r="F31877" s="5">
        <v>186.9</v>
      </c>
      <c r="G31877" s="5">
        <v>93</v>
      </c>
      <c r="H31877" s="5">
        <v>92.6</v>
      </c>
      <c r="I31877" s="5">
        <v>0</v>
      </c>
      <c r="J31877" s="5">
        <v>0</v>
      </c>
      <c r="K31877" s="5">
        <v>0</v>
      </c>
    </row>
    <row r="31878" spans="1:11" x14ac:dyDescent="0.25">
      <c r="A31878" s="5">
        <f>31871</f>
      </c>
      <c r="B31878" s="5" t="s">
        <v>31886</v>
      </c>
      <c r="C31878" s="5">
        <v>98.1</v>
      </c>
      <c r="D31878" s="5">
        <v>0.1</v>
      </c>
      <c r="E31878" s="5">
        <v>98.3</v>
      </c>
      <c r="F31878" s="5">
        <v>186.9</v>
      </c>
      <c r="G31878" s="5">
        <v>93</v>
      </c>
      <c r="H31878" s="5">
        <v>92.6</v>
      </c>
      <c r="I31878" s="5">
        <v>0</v>
      </c>
      <c r="J31878" s="5">
        <v>0</v>
      </c>
      <c r="K31878" s="5">
        <v>0</v>
      </c>
    </row>
    <row r="31879" spans="1:11" x14ac:dyDescent="0.25">
      <c r="A31879" s="5">
        <f>31872</f>
      </c>
      <c r="B31879" s="5" t="s">
        <v>31887</v>
      </c>
      <c r="C31879" s="5">
        <v>99.2</v>
      </c>
      <c r="D31879" s="5">
        <v>0.1</v>
      </c>
      <c r="E31879" s="5">
        <v>99.4</v>
      </c>
      <c r="F31879" s="5">
        <v>199.3</v>
      </c>
      <c r="G31879" s="5">
        <v>99.5</v>
      </c>
      <c r="H31879" s="5">
        <v>99.5</v>
      </c>
      <c r="I31879" s="5">
        <v>0</v>
      </c>
      <c r="J31879" s="5">
        <v>0</v>
      </c>
      <c r="K31879" s="5">
        <v>0</v>
      </c>
    </row>
    <row r="31880" spans="1:11" x14ac:dyDescent="0.25">
      <c r="A31880" s="5">
        <f>31873</f>
      </c>
      <c r="B31880" s="5" t="s">
        <v>31888</v>
      </c>
      <c r="C31880" s="5">
        <v>99.2</v>
      </c>
      <c r="D31880" s="5">
        <v>0.1</v>
      </c>
      <c r="E31880" s="5">
        <v>99.4</v>
      </c>
      <c r="F31880" s="5">
        <v>199.3</v>
      </c>
      <c r="G31880" s="5">
        <v>99.5</v>
      </c>
      <c r="H31880" s="5">
        <v>99.5</v>
      </c>
      <c r="I31880" s="5">
        <v>0</v>
      </c>
      <c r="J31880" s="5">
        <v>0</v>
      </c>
      <c r="K31880" s="5">
        <v>0</v>
      </c>
    </row>
    <row r="31881" spans="1:11" x14ac:dyDescent="0.25">
      <c r="A31881" s="5">
        <f>31874</f>
      </c>
      <c r="B31881" s="5" t="s">
        <v>31889</v>
      </c>
      <c r="C31881" s="5">
        <v>99.2</v>
      </c>
      <c r="D31881" s="5">
        <v>0.1</v>
      </c>
      <c r="E31881" s="5">
        <v>99.4</v>
      </c>
      <c r="F31881" s="5">
        <v>199.3</v>
      </c>
      <c r="G31881" s="5">
        <v>99.5</v>
      </c>
      <c r="H31881" s="5">
        <v>99.5</v>
      </c>
      <c r="I31881" s="5">
        <v>0</v>
      </c>
      <c r="J31881" s="5">
        <v>0</v>
      </c>
      <c r="K31881" s="5">
        <v>0</v>
      </c>
    </row>
    <row r="31882" spans="1:11" x14ac:dyDescent="0.25">
      <c r="A31882" s="5">
        <f>31875</f>
      </c>
      <c r="B31882" s="5" t="s">
        <v>31890</v>
      </c>
      <c r="C31882" s="5">
        <v>99.2</v>
      </c>
      <c r="D31882" s="5">
        <v>0.1</v>
      </c>
      <c r="E31882" s="5">
        <v>99.4</v>
      </c>
      <c r="F31882" s="5">
        <v>199.3</v>
      </c>
      <c r="G31882" s="5">
        <v>99.5</v>
      </c>
      <c r="H31882" s="5">
        <v>99.5</v>
      </c>
      <c r="I31882" s="5">
        <v>0</v>
      </c>
      <c r="J31882" s="5">
        <v>0</v>
      </c>
      <c r="K31882" s="5">
        <v>0</v>
      </c>
    </row>
    <row r="31883" spans="1:11" x14ac:dyDescent="0.25">
      <c r="A31883" s="5">
        <f>31876</f>
      </c>
      <c r="B31883" s="5" t="s">
        <v>31891</v>
      </c>
      <c r="C31883" s="5">
        <v>91.6</v>
      </c>
      <c r="D31883" s="5">
        <v>0.1</v>
      </c>
      <c r="E31883" s="5">
        <v>91.7</v>
      </c>
      <c r="F31883" s="5">
        <v>182.1</v>
      </c>
      <c r="G31883" s="5">
        <v>90.9</v>
      </c>
      <c r="H31883" s="5">
        <v>90.8</v>
      </c>
      <c r="I31883" s="5">
        <v>0</v>
      </c>
      <c r="J31883" s="5">
        <v>0</v>
      </c>
      <c r="K31883" s="5">
        <v>0</v>
      </c>
    </row>
    <row r="31884" spans="1:11" x14ac:dyDescent="0.25">
      <c r="A31884" s="5">
        <f>31877</f>
      </c>
      <c r="B31884" s="5" t="s">
        <v>31892</v>
      </c>
      <c r="C31884" s="5">
        <v>91.6</v>
      </c>
      <c r="D31884" s="5">
        <v>0.1</v>
      </c>
      <c r="E31884" s="5">
        <v>91.7</v>
      </c>
      <c r="F31884" s="5">
        <v>182.1</v>
      </c>
      <c r="G31884" s="5">
        <v>90.9</v>
      </c>
      <c r="H31884" s="5">
        <v>90.8</v>
      </c>
      <c r="I31884" s="5">
        <v>0</v>
      </c>
      <c r="J31884" s="5">
        <v>0</v>
      </c>
      <c r="K31884" s="5">
        <v>0</v>
      </c>
    </row>
    <row r="31885" spans="1:11" x14ac:dyDescent="0.25">
      <c r="A31885" s="5">
        <f>31878</f>
      </c>
      <c r="B31885" s="5" t="s">
        <v>31893</v>
      </c>
      <c r="C31885" s="5">
        <v>91.6</v>
      </c>
      <c r="D31885" s="5">
        <v>0.1</v>
      </c>
      <c r="E31885" s="5">
        <v>91.7</v>
      </c>
      <c r="F31885" s="5">
        <v>182.1</v>
      </c>
      <c r="G31885" s="5">
        <v>90.9</v>
      </c>
      <c r="H31885" s="5">
        <v>90.8</v>
      </c>
      <c r="I31885" s="5">
        <v>0</v>
      </c>
      <c r="J31885" s="5">
        <v>0</v>
      </c>
      <c r="K31885" s="5">
        <v>0</v>
      </c>
    </row>
    <row r="31886" spans="1:11" x14ac:dyDescent="0.25">
      <c r="A31886" s="5">
        <f>31879</f>
      </c>
      <c r="B31886" s="5" t="s">
        <v>31894</v>
      </c>
      <c r="C31886" s="5">
        <v>91.6</v>
      </c>
      <c r="D31886" s="5">
        <v>0.1</v>
      </c>
      <c r="E31886" s="5">
        <v>91.7</v>
      </c>
      <c r="F31886" s="5">
        <v>182.1</v>
      </c>
      <c r="G31886" s="5">
        <v>90.9</v>
      </c>
      <c r="H31886" s="5">
        <v>90.8</v>
      </c>
      <c r="I31886" s="5">
        <v>0</v>
      </c>
      <c r="J31886" s="5">
        <v>0</v>
      </c>
      <c r="K31886" s="5">
        <v>0</v>
      </c>
    </row>
    <row r="31887" spans="1:11" x14ac:dyDescent="0.25">
      <c r="A31887" s="5">
        <f>31880</f>
      </c>
      <c r="B31887" s="5" t="s">
        <v>31895</v>
      </c>
      <c r="C31887" s="5">
        <v>91.6</v>
      </c>
      <c r="D31887" s="5">
        <v>0.1</v>
      </c>
      <c r="E31887" s="5">
        <v>91.7</v>
      </c>
      <c r="F31887" s="5">
        <v>182.1</v>
      </c>
      <c r="G31887" s="5">
        <v>90.9</v>
      </c>
      <c r="H31887" s="5">
        <v>90.8</v>
      </c>
      <c r="I31887" s="5">
        <v>0</v>
      </c>
      <c r="J31887" s="5">
        <v>0</v>
      </c>
      <c r="K31887" s="5">
        <v>0</v>
      </c>
    </row>
    <row r="31888" spans="1:11" x14ac:dyDescent="0.25">
      <c r="A31888" s="5">
        <f>31881</f>
      </c>
      <c r="B31888" s="5" t="s">
        <v>31896</v>
      </c>
      <c r="C31888" s="5">
        <v>91.6</v>
      </c>
      <c r="D31888" s="5">
        <v>0.1</v>
      </c>
      <c r="E31888" s="5">
        <v>91.7</v>
      </c>
      <c r="F31888" s="5">
        <v>182.1</v>
      </c>
      <c r="G31888" s="5">
        <v>90.9</v>
      </c>
      <c r="H31888" s="5">
        <v>90.8</v>
      </c>
      <c r="I31888" s="5">
        <v>0</v>
      </c>
      <c r="J31888" s="5">
        <v>0</v>
      </c>
      <c r="K31888" s="5">
        <v>0</v>
      </c>
    </row>
    <row r="31889" spans="1:11" x14ac:dyDescent="0.25">
      <c r="A31889" s="5">
        <f>31882</f>
      </c>
      <c r="B31889" s="5" t="s">
        <v>31897</v>
      </c>
      <c r="C31889" s="5">
        <v>0</v>
      </c>
      <c r="D31889" s="5">
        <v>0</v>
      </c>
      <c r="E31889" s="5">
        <v>0</v>
      </c>
      <c r="F31889" s="5">
        <v>0</v>
      </c>
      <c r="G31889" s="5">
        <v>0</v>
      </c>
      <c r="H31889" s="5">
        <v>0</v>
      </c>
      <c r="I31889" s="5">
        <v>0</v>
      </c>
      <c r="J31889" s="5">
        <v>0</v>
      </c>
      <c r="K31889" s="5">
        <v>0</v>
      </c>
    </row>
    <row r="31890" spans="1:11" x14ac:dyDescent="0.25">
      <c r="A31890" s="5">
        <f>31883</f>
      </c>
      <c r="B31890" s="5" t="s">
        <v>31898</v>
      </c>
      <c r="C31890" s="5">
        <v>0</v>
      </c>
      <c r="D31890" s="5">
        <v>0</v>
      </c>
      <c r="E31890" s="5">
        <v>0</v>
      </c>
      <c r="F31890" s="5">
        <v>0</v>
      </c>
      <c r="G31890" s="5">
        <v>0</v>
      </c>
      <c r="H31890" s="5">
        <v>0</v>
      </c>
      <c r="I31890" s="5">
        <v>0</v>
      </c>
      <c r="J31890" s="5">
        <v>0</v>
      </c>
      <c r="K31890" s="5">
        <v>0</v>
      </c>
    </row>
    <row r="31891" spans="1:11" x14ac:dyDescent="0.25">
      <c r="A31891" s="5">
        <f>31884</f>
      </c>
      <c r="B31891" s="5" t="s">
        <v>31899</v>
      </c>
      <c r="C31891" s="5">
        <v>94.1</v>
      </c>
      <c r="D31891" s="5">
        <v>0.1</v>
      </c>
      <c r="E31891" s="5">
        <v>94.3</v>
      </c>
      <c r="F31891" s="5">
        <v>188.3</v>
      </c>
      <c r="G31891" s="5">
        <v>93.9</v>
      </c>
      <c r="H31891" s="5">
        <v>93.8</v>
      </c>
      <c r="I31891" s="5">
        <v>0</v>
      </c>
      <c r="J31891" s="5">
        <v>0</v>
      </c>
      <c r="K31891" s="5">
        <v>0</v>
      </c>
    </row>
    <row r="31892" spans="1:11" x14ac:dyDescent="0.25">
      <c r="A31892" s="5">
        <f>31885</f>
      </c>
      <c r="B31892" s="5" t="s">
        <v>31900</v>
      </c>
      <c r="C31892" s="5">
        <v>94.1</v>
      </c>
      <c r="D31892" s="5">
        <v>0.1</v>
      </c>
      <c r="E31892" s="5">
        <v>94.3</v>
      </c>
      <c r="F31892" s="5">
        <v>188.3</v>
      </c>
      <c r="G31892" s="5">
        <v>93.9</v>
      </c>
      <c r="H31892" s="5">
        <v>93.8</v>
      </c>
      <c r="I31892" s="5">
        <v>0</v>
      </c>
      <c r="J31892" s="5">
        <v>0</v>
      </c>
      <c r="K31892" s="5">
        <v>0</v>
      </c>
    </row>
    <row r="31893" spans="1:11" x14ac:dyDescent="0.25">
      <c r="A31893" s="5">
        <f>31886</f>
      </c>
      <c r="B31893" s="5" t="s">
        <v>31901</v>
      </c>
      <c r="C31893" s="5">
        <v>91.7</v>
      </c>
      <c r="D31893" s="5">
        <v>0.1</v>
      </c>
      <c r="E31893" s="5">
        <v>91.9</v>
      </c>
      <c r="F31893" s="5">
        <v>188.7</v>
      </c>
      <c r="G31893" s="5">
        <v>93.9</v>
      </c>
      <c r="H31893" s="5">
        <v>93.5</v>
      </c>
      <c r="I31893" s="5">
        <v>0</v>
      </c>
      <c r="J31893" s="5">
        <v>0</v>
      </c>
      <c r="K31893" s="5">
        <v>0</v>
      </c>
    </row>
    <row r="31894" spans="1:11" x14ac:dyDescent="0.25">
      <c r="A31894" s="5">
        <f>31887</f>
      </c>
      <c r="B31894" s="5" t="s">
        <v>31902</v>
      </c>
      <c r="C31894" s="5">
        <v>91.7</v>
      </c>
      <c r="D31894" s="5">
        <v>0.1</v>
      </c>
      <c r="E31894" s="5">
        <v>91.9</v>
      </c>
      <c r="F31894" s="5">
        <v>188.7</v>
      </c>
      <c r="G31894" s="5">
        <v>93.9</v>
      </c>
      <c r="H31894" s="5">
        <v>93.5</v>
      </c>
      <c r="I31894" s="5">
        <v>0</v>
      </c>
      <c r="J31894" s="5">
        <v>0</v>
      </c>
      <c r="K31894" s="5">
        <v>0</v>
      </c>
    </row>
    <row r="31895" spans="1:11" x14ac:dyDescent="0.25">
      <c r="A31895" s="5">
        <f>31888</f>
      </c>
      <c r="B31895" s="5" t="s">
        <v>31903</v>
      </c>
      <c r="C31895" s="5">
        <v>100.2</v>
      </c>
      <c r="D31895" s="5">
        <v>0.1</v>
      </c>
      <c r="E31895" s="5">
        <v>100.2</v>
      </c>
      <c r="F31895" s="5">
        <v>199.7</v>
      </c>
      <c r="G31895" s="5">
        <v>99.6</v>
      </c>
      <c r="H31895" s="5">
        <v>93.5</v>
      </c>
      <c r="I31895" s="5">
        <v>0</v>
      </c>
      <c r="J31895" s="5">
        <v>0</v>
      </c>
      <c r="K31895" s="5">
        <v>0</v>
      </c>
    </row>
    <row r="31896" spans="1:11" x14ac:dyDescent="0.25">
      <c r="A31896" s="5">
        <f>31889</f>
      </c>
      <c r="B31896" s="5" t="s">
        <v>31904</v>
      </c>
      <c r="C31896" s="5">
        <v>100.2</v>
      </c>
      <c r="D31896" s="5">
        <v>0.1</v>
      </c>
      <c r="E31896" s="5">
        <v>100.2</v>
      </c>
      <c r="F31896" s="5">
        <v>199.7</v>
      </c>
      <c r="G31896" s="5">
        <v>99.6</v>
      </c>
      <c r="H31896" s="5">
        <v>99.6</v>
      </c>
      <c r="I31896" s="5">
        <v>0</v>
      </c>
      <c r="J31896" s="5">
        <v>0</v>
      </c>
      <c r="K31896" s="5">
        <v>0</v>
      </c>
    </row>
    <row r="31897" spans="1:11" x14ac:dyDescent="0.25">
      <c r="A31897" s="5">
        <f>31890</f>
      </c>
      <c r="B31897" s="5" t="s">
        <v>31905</v>
      </c>
      <c r="C31897" s="5">
        <v>94.6</v>
      </c>
      <c r="D31897" s="5">
        <v>0.1</v>
      </c>
      <c r="E31897" s="5">
        <v>94.8</v>
      </c>
      <c r="F31897" s="5">
        <v>199.7</v>
      </c>
      <c r="G31897" s="5">
        <v>99.6</v>
      </c>
      <c r="H31897" s="5">
        <v>99.6</v>
      </c>
      <c r="I31897" s="5">
        <v>0</v>
      </c>
      <c r="J31897" s="5">
        <v>0</v>
      </c>
      <c r="K31897" s="5">
        <v>0</v>
      </c>
    </row>
    <row r="31898" spans="1:11" x14ac:dyDescent="0.25">
      <c r="A31898" s="5">
        <f>31891</f>
      </c>
      <c r="B31898" s="5" t="s">
        <v>31906</v>
      </c>
      <c r="C31898" s="5">
        <v>94.6</v>
      </c>
      <c r="D31898" s="5">
        <v>0.1</v>
      </c>
      <c r="E31898" s="5">
        <v>94.8</v>
      </c>
      <c r="F31898" s="5">
        <v>188.4</v>
      </c>
      <c r="G31898" s="5">
        <v>94</v>
      </c>
      <c r="H31898" s="5">
        <v>93.9</v>
      </c>
      <c r="I31898" s="5">
        <v>0</v>
      </c>
      <c r="J31898" s="5">
        <v>0</v>
      </c>
      <c r="K31898" s="5">
        <v>0</v>
      </c>
    </row>
    <row r="31899" spans="1:11" x14ac:dyDescent="0.25">
      <c r="A31899" s="5">
        <f>31892</f>
      </c>
      <c r="B31899" s="5" t="s">
        <v>31907</v>
      </c>
      <c r="C31899" s="5">
        <v>94.6</v>
      </c>
      <c r="D31899" s="5">
        <v>0.1</v>
      </c>
      <c r="E31899" s="5">
        <v>94.8</v>
      </c>
      <c r="F31899" s="5">
        <v>188.4</v>
      </c>
      <c r="G31899" s="5">
        <v>94</v>
      </c>
      <c r="H31899" s="5">
        <v>93.9</v>
      </c>
      <c r="I31899" s="5">
        <v>0</v>
      </c>
      <c r="J31899" s="5">
        <v>0</v>
      </c>
      <c r="K31899" s="5">
        <v>0</v>
      </c>
    </row>
    <row r="31900" spans="1:11" x14ac:dyDescent="0.25">
      <c r="A31900" s="5">
        <f>31893</f>
      </c>
      <c r="B31900" s="5" t="s">
        <v>31908</v>
      </c>
      <c r="C31900" s="5">
        <v>94.6</v>
      </c>
      <c r="D31900" s="5">
        <v>0.1</v>
      </c>
      <c r="E31900" s="5">
        <v>94.8</v>
      </c>
      <c r="F31900" s="5">
        <v>188.4</v>
      </c>
      <c r="G31900" s="5">
        <v>94</v>
      </c>
      <c r="H31900" s="5">
        <v>93.9</v>
      </c>
      <c r="I31900" s="5">
        <v>0</v>
      </c>
      <c r="J31900" s="5">
        <v>0</v>
      </c>
      <c r="K31900" s="5">
        <v>0</v>
      </c>
    </row>
    <row r="31901" spans="1:11" x14ac:dyDescent="0.25">
      <c r="A31901" s="5">
        <f>31894</f>
      </c>
      <c r="B31901" s="5" t="s">
        <v>31909</v>
      </c>
      <c r="C31901" s="5">
        <v>98.2</v>
      </c>
      <c r="D31901" s="5">
        <v>0.1</v>
      </c>
      <c r="E31901" s="5">
        <v>98.3</v>
      </c>
      <c r="F31901" s="5">
        <v>188.8</v>
      </c>
      <c r="G31901" s="5">
        <v>94.3</v>
      </c>
      <c r="H31901" s="5">
        <v>94.3</v>
      </c>
      <c r="I31901" s="5">
        <v>0</v>
      </c>
      <c r="J31901" s="5">
        <v>0</v>
      </c>
      <c r="K31901" s="5">
        <v>0</v>
      </c>
    </row>
    <row r="31902" spans="1:11" x14ac:dyDescent="0.25">
      <c r="A31902" s="5">
        <f>31895</f>
      </c>
      <c r="B31902" s="5" t="s">
        <v>31910</v>
      </c>
      <c r="C31902" s="5">
        <v>98.2</v>
      </c>
      <c r="D31902" s="5">
        <v>0.1</v>
      </c>
      <c r="E31902" s="5">
        <v>98.3</v>
      </c>
      <c r="F31902" s="5">
        <v>188.8</v>
      </c>
      <c r="G31902" s="5">
        <v>94.3</v>
      </c>
      <c r="H31902" s="5">
        <v>94.3</v>
      </c>
      <c r="I31902" s="5">
        <v>0</v>
      </c>
      <c r="J31902" s="5">
        <v>0</v>
      </c>
      <c r="K31902" s="5">
        <v>0</v>
      </c>
    </row>
    <row r="31903" spans="1:11" x14ac:dyDescent="0.25">
      <c r="A31903" s="5">
        <f>31896</f>
      </c>
      <c r="B31903" s="5" t="s">
        <v>31911</v>
      </c>
      <c r="C31903" s="5">
        <v>98.2</v>
      </c>
      <c r="D31903" s="5">
        <v>0.1</v>
      </c>
      <c r="E31903" s="5">
        <v>98.8</v>
      </c>
      <c r="F31903" s="5">
        <v>196</v>
      </c>
      <c r="G31903" s="5">
        <v>97.7</v>
      </c>
      <c r="H31903" s="5">
        <v>97.6</v>
      </c>
      <c r="I31903" s="5">
        <v>0</v>
      </c>
      <c r="J31903" s="5">
        <v>0</v>
      </c>
      <c r="K31903" s="5">
        <v>0</v>
      </c>
    </row>
    <row r="31904" spans="1:11" x14ac:dyDescent="0.25">
      <c r="A31904" s="5">
        <f>31897</f>
      </c>
      <c r="B31904" s="5" t="s">
        <v>31912</v>
      </c>
      <c r="C31904" s="5">
        <v>98.6</v>
      </c>
      <c r="D31904" s="5">
        <v>0.1</v>
      </c>
      <c r="E31904" s="5">
        <v>98.8</v>
      </c>
      <c r="F31904" s="5">
        <v>196</v>
      </c>
      <c r="G31904" s="5">
        <v>97.7</v>
      </c>
      <c r="H31904" s="5">
        <v>97.6</v>
      </c>
      <c r="I31904" s="5">
        <v>0</v>
      </c>
      <c r="J31904" s="5">
        <v>0</v>
      </c>
      <c r="K31904" s="5">
        <v>0</v>
      </c>
    </row>
    <row r="31905" spans="1:11" x14ac:dyDescent="0.25">
      <c r="A31905" s="5">
        <f>31898</f>
      </c>
      <c r="B31905" s="5" t="s">
        <v>31913</v>
      </c>
      <c r="C31905" s="5">
        <v>98.6</v>
      </c>
      <c r="D31905" s="5">
        <v>0.1</v>
      </c>
      <c r="E31905" s="5">
        <v>98.8</v>
      </c>
      <c r="F31905" s="5">
        <v>195.7</v>
      </c>
      <c r="G31905" s="5">
        <v>97.7</v>
      </c>
      <c r="H31905" s="5">
        <v>97.6</v>
      </c>
      <c r="I31905" s="5">
        <v>0</v>
      </c>
      <c r="J31905" s="5">
        <v>0</v>
      </c>
      <c r="K31905" s="5">
        <v>0</v>
      </c>
    </row>
    <row r="31906" spans="1:11" x14ac:dyDescent="0.25">
      <c r="A31906" s="5">
        <f>31899</f>
      </c>
      <c r="B31906" s="5" t="s">
        <v>31914</v>
      </c>
      <c r="C31906" s="5">
        <v>97.4</v>
      </c>
      <c r="D31906" s="5">
        <v>0.1</v>
      </c>
      <c r="E31906" s="5">
        <v>97.5</v>
      </c>
      <c r="F31906" s="5">
        <v>195.7</v>
      </c>
      <c r="G31906" s="5">
        <v>97.7</v>
      </c>
      <c r="H31906" s="5">
        <v>97.6</v>
      </c>
      <c r="I31906" s="5">
        <v>0</v>
      </c>
      <c r="J31906" s="5">
        <v>0</v>
      </c>
      <c r="K31906" s="5">
        <v>0</v>
      </c>
    </row>
    <row r="31907" spans="1:11" x14ac:dyDescent="0.25">
      <c r="A31907" s="5">
        <f>31900</f>
      </c>
      <c r="B31907" s="5" t="s">
        <v>31915</v>
      </c>
      <c r="C31907" s="5">
        <v>97.4</v>
      </c>
      <c r="D31907" s="5">
        <v>0.1</v>
      </c>
      <c r="E31907" s="5">
        <v>97.5</v>
      </c>
      <c r="F31907" s="5">
        <v>195.7</v>
      </c>
      <c r="G31907" s="5">
        <v>97.7</v>
      </c>
      <c r="H31907" s="5">
        <v>97.6</v>
      </c>
      <c r="I31907" s="5">
        <v>0</v>
      </c>
      <c r="J31907" s="5">
        <v>0</v>
      </c>
      <c r="K31907" s="5">
        <v>0</v>
      </c>
    </row>
    <row r="31908" spans="1:11" x14ac:dyDescent="0.25">
      <c r="A31908" s="5">
        <f>31901</f>
      </c>
      <c r="B31908" s="5" t="s">
        <v>31916</v>
      </c>
      <c r="C31908" s="5">
        <v>97.9</v>
      </c>
      <c r="D31908" s="5">
        <v>0</v>
      </c>
      <c r="E31908" s="5">
        <v>98</v>
      </c>
      <c r="F31908" s="5">
        <v>195.9</v>
      </c>
      <c r="G31908" s="5">
        <v>97.7</v>
      </c>
      <c r="H31908" s="5">
        <v>97.6</v>
      </c>
      <c r="I31908" s="5">
        <v>0</v>
      </c>
      <c r="J31908" s="5">
        <v>0</v>
      </c>
      <c r="K31908" s="5">
        <v>0</v>
      </c>
    </row>
    <row r="31909" spans="1:11" x14ac:dyDescent="0.25">
      <c r="A31909" s="5">
        <f>31902</f>
      </c>
      <c r="B31909" s="5" t="s">
        <v>31917</v>
      </c>
      <c r="C31909" s="5">
        <v>97.9</v>
      </c>
      <c r="D31909" s="5">
        <v>0</v>
      </c>
      <c r="E31909" s="5">
        <v>98</v>
      </c>
      <c r="F31909" s="5">
        <v>195.9</v>
      </c>
      <c r="G31909" s="5">
        <v>97.7</v>
      </c>
      <c r="H31909" s="5">
        <v>97.6</v>
      </c>
      <c r="I31909" s="5">
        <v>0</v>
      </c>
      <c r="J31909" s="5">
        <v>0</v>
      </c>
      <c r="K31909" s="5">
        <v>0</v>
      </c>
    </row>
    <row r="31910" spans="1:11" x14ac:dyDescent="0.25">
      <c r="A31910" s="5">
        <f>31903</f>
      </c>
      <c r="B31910" s="5" t="s">
        <v>31918</v>
      </c>
      <c r="C31910" s="5">
        <v>97.9</v>
      </c>
      <c r="D31910" s="5">
        <v>0</v>
      </c>
      <c r="E31910" s="5">
        <v>98</v>
      </c>
      <c r="F31910" s="5">
        <v>195.9</v>
      </c>
      <c r="G31910" s="5">
        <v>97.7</v>
      </c>
      <c r="H31910" s="5">
        <v>97.6</v>
      </c>
      <c r="I31910" s="5">
        <v>0</v>
      </c>
      <c r="J31910" s="5">
        <v>0</v>
      </c>
      <c r="K31910" s="5">
        <v>0</v>
      </c>
    </row>
    <row r="31911" spans="1:11" x14ac:dyDescent="0.25">
      <c r="A31911" s="5">
        <f>31904</f>
      </c>
      <c r="B31911" s="5" t="s">
        <v>31919</v>
      </c>
      <c r="C31911" s="5">
        <v>97.6</v>
      </c>
      <c r="D31911" s="5">
        <v>0.1</v>
      </c>
      <c r="E31911" s="5">
        <v>97.8</v>
      </c>
      <c r="F31911" s="5">
        <v>195.6</v>
      </c>
      <c r="G31911" s="5">
        <v>97.6</v>
      </c>
      <c r="H31911" s="5">
        <v>97.5</v>
      </c>
      <c r="I31911" s="5">
        <v>0</v>
      </c>
      <c r="J31911" s="5">
        <v>0</v>
      </c>
      <c r="K31911" s="5">
        <v>0</v>
      </c>
    </row>
    <row r="31912" spans="1:11" x14ac:dyDescent="0.25">
      <c r="A31912" s="5">
        <f>31905</f>
      </c>
      <c r="B31912" s="5" t="s">
        <v>31920</v>
      </c>
      <c r="C31912" s="5">
        <v>97.6</v>
      </c>
      <c r="D31912" s="5">
        <v>0.1</v>
      </c>
      <c r="E31912" s="5">
        <v>97.8</v>
      </c>
      <c r="F31912" s="5">
        <v>195.6</v>
      </c>
      <c r="G31912" s="5">
        <v>97.6</v>
      </c>
      <c r="H31912" s="5">
        <v>97.5</v>
      </c>
      <c r="I31912" s="5">
        <v>0</v>
      </c>
      <c r="J31912" s="5">
        <v>0</v>
      </c>
      <c r="K31912" s="5">
        <v>0</v>
      </c>
    </row>
    <row r="31913" spans="1:11" x14ac:dyDescent="0.25">
      <c r="A31913" s="5">
        <f>31906</f>
      </c>
      <c r="B31913" s="5" t="s">
        <v>31921</v>
      </c>
      <c r="C31913" s="5">
        <v>97.6</v>
      </c>
      <c r="D31913" s="5">
        <v>0.1</v>
      </c>
      <c r="E31913" s="5">
        <v>97.8</v>
      </c>
      <c r="F31913" s="5">
        <v>195.6</v>
      </c>
      <c r="G31913" s="5">
        <v>97.6</v>
      </c>
      <c r="H31913" s="5">
        <v>97.5</v>
      </c>
      <c r="I31913" s="5">
        <v>0</v>
      </c>
      <c r="J31913" s="5">
        <v>0</v>
      </c>
      <c r="K31913" s="5">
        <v>0</v>
      </c>
    </row>
    <row r="31914" spans="1:11" x14ac:dyDescent="0.25">
      <c r="A31914" s="5">
        <f>31907</f>
      </c>
      <c r="B31914" s="5" t="s">
        <v>31922</v>
      </c>
      <c r="C31914" s="5">
        <v>97.6</v>
      </c>
      <c r="D31914" s="5">
        <v>0.1</v>
      </c>
      <c r="E31914" s="5">
        <v>97.8</v>
      </c>
      <c r="F31914" s="5">
        <v>195.6</v>
      </c>
      <c r="G31914" s="5">
        <v>97.6</v>
      </c>
      <c r="H31914" s="5">
        <v>97.5</v>
      </c>
      <c r="I31914" s="5">
        <v>0</v>
      </c>
      <c r="J31914" s="5">
        <v>0</v>
      </c>
      <c r="K31914" s="5">
        <v>0</v>
      </c>
    </row>
    <row r="31915" spans="1:11" x14ac:dyDescent="0.25">
      <c r="A31915" s="5">
        <f>31908</f>
      </c>
      <c r="B31915" s="5" t="s">
        <v>31923</v>
      </c>
      <c r="C31915" s="5">
        <v>97.6</v>
      </c>
      <c r="D31915" s="5">
        <v>0.1</v>
      </c>
      <c r="E31915" s="5">
        <v>97.8</v>
      </c>
      <c r="F31915" s="5">
        <v>195.6</v>
      </c>
      <c r="G31915" s="5">
        <v>97.6</v>
      </c>
      <c r="H31915" s="5">
        <v>97.5</v>
      </c>
      <c r="I31915" s="5">
        <v>0</v>
      </c>
      <c r="J31915" s="5">
        <v>0</v>
      </c>
      <c r="K31915" s="5">
        <v>0</v>
      </c>
    </row>
    <row r="31916" spans="1:11" x14ac:dyDescent="0.25">
      <c r="A31916" s="5">
        <f>31909</f>
      </c>
      <c r="B31916" s="5" t="s">
        <v>31924</v>
      </c>
      <c r="C31916" s="5">
        <v>97.6</v>
      </c>
      <c r="D31916" s="5">
        <v>0.1</v>
      </c>
      <c r="E31916" s="5">
        <v>97.8</v>
      </c>
      <c r="F31916" s="5">
        <v>195.6</v>
      </c>
      <c r="G31916" s="5">
        <v>97.6</v>
      </c>
      <c r="H31916" s="5">
        <v>97.5</v>
      </c>
      <c r="I31916" s="5">
        <v>0</v>
      </c>
      <c r="J31916" s="5">
        <v>0</v>
      </c>
      <c r="K31916" s="5">
        <v>0</v>
      </c>
    </row>
    <row r="31917" spans="1:11" x14ac:dyDescent="0.25">
      <c r="A31917" s="5">
        <f>31910</f>
      </c>
      <c r="B31917" s="5" t="s">
        <v>31925</v>
      </c>
      <c r="C31917" s="5">
        <v>97.6</v>
      </c>
      <c r="D31917" s="5">
        <v>0.1</v>
      </c>
      <c r="E31917" s="5">
        <v>97.8</v>
      </c>
      <c r="F31917" s="5">
        <v>195.6</v>
      </c>
      <c r="G31917" s="5">
        <v>97.6</v>
      </c>
      <c r="H31917" s="5">
        <v>97.5</v>
      </c>
      <c r="I31917" s="5">
        <v>0</v>
      </c>
      <c r="J31917" s="5">
        <v>0</v>
      </c>
      <c r="K31917" s="5">
        <v>0</v>
      </c>
    </row>
    <row r="31918" spans="1:11" x14ac:dyDescent="0.25">
      <c r="A31918" s="5">
        <f>31911</f>
      </c>
      <c r="B31918" s="5" t="s">
        <v>31926</v>
      </c>
      <c r="C31918" s="5">
        <v>97.6</v>
      </c>
      <c r="D31918" s="5">
        <v>0.1</v>
      </c>
      <c r="E31918" s="5">
        <v>97.8</v>
      </c>
      <c r="F31918" s="5">
        <v>195.6</v>
      </c>
      <c r="G31918" s="5">
        <v>97.6</v>
      </c>
      <c r="H31918" s="5">
        <v>97.5</v>
      </c>
      <c r="I31918" s="5">
        <v>0</v>
      </c>
      <c r="J31918" s="5">
        <v>0</v>
      </c>
      <c r="K31918" s="5">
        <v>0</v>
      </c>
    </row>
    <row r="31919" spans="1:11" x14ac:dyDescent="0.25">
      <c r="A31919" s="5">
        <f>31912</f>
      </c>
      <c r="B31919" s="5" t="s">
        <v>31927</v>
      </c>
      <c r="C31919" s="5">
        <v>97.6</v>
      </c>
      <c r="D31919" s="5">
        <v>0.1</v>
      </c>
      <c r="E31919" s="5">
        <v>97.8</v>
      </c>
      <c r="F31919" s="5">
        <v>195.6</v>
      </c>
      <c r="G31919" s="5">
        <v>97.6</v>
      </c>
      <c r="H31919" s="5">
        <v>97.5</v>
      </c>
      <c r="I31919" s="5">
        <v>0</v>
      </c>
      <c r="J31919" s="5">
        <v>0</v>
      </c>
      <c r="K31919" s="5">
        <v>0</v>
      </c>
    </row>
    <row r="31920" spans="1:11" x14ac:dyDescent="0.25">
      <c r="A31920" s="5">
        <f>31913</f>
      </c>
      <c r="B31920" s="5" t="s">
        <v>31928</v>
      </c>
      <c r="C31920" s="5">
        <v>97.6</v>
      </c>
      <c r="D31920" s="5">
        <v>0.1</v>
      </c>
      <c r="E31920" s="5">
        <v>97.8</v>
      </c>
      <c r="F31920" s="5">
        <v>195.6</v>
      </c>
      <c r="G31920" s="5">
        <v>97.6</v>
      </c>
      <c r="H31920" s="5">
        <v>97.5</v>
      </c>
      <c r="I31920" s="5">
        <v>0</v>
      </c>
      <c r="J31920" s="5">
        <v>0</v>
      </c>
      <c r="K31920" s="5">
        <v>0</v>
      </c>
    </row>
    <row r="31921" spans="1:11" x14ac:dyDescent="0.25">
      <c r="A31921" s="5">
        <f>31914</f>
      </c>
      <c r="B31921" s="5" t="s">
        <v>31929</v>
      </c>
      <c r="C31921" s="5">
        <v>97.6</v>
      </c>
      <c r="D31921" s="5">
        <v>0.1</v>
      </c>
      <c r="E31921" s="5">
        <v>97.8</v>
      </c>
      <c r="F31921" s="5">
        <v>195.6</v>
      </c>
      <c r="G31921" s="5">
        <v>97.6</v>
      </c>
      <c r="H31921" s="5">
        <v>97.5</v>
      </c>
      <c r="I31921" s="5">
        <v>0</v>
      </c>
      <c r="J31921" s="5">
        <v>0</v>
      </c>
      <c r="K31921" s="5">
        <v>0</v>
      </c>
    </row>
    <row r="31922" spans="1:11" x14ac:dyDescent="0.25">
      <c r="A31922" s="5">
        <f>31915</f>
      </c>
      <c r="B31922" s="5" t="s">
        <v>31930</v>
      </c>
      <c r="C31922" s="5">
        <v>97.6</v>
      </c>
      <c r="D31922" s="5">
        <v>0.1</v>
      </c>
      <c r="E31922" s="5">
        <v>97.8</v>
      </c>
      <c r="F31922" s="5">
        <v>195.6</v>
      </c>
      <c r="G31922" s="5">
        <v>97.6</v>
      </c>
      <c r="H31922" s="5">
        <v>97.5</v>
      </c>
      <c r="I31922" s="5">
        <v>0</v>
      </c>
      <c r="J31922" s="5">
        <v>0</v>
      </c>
      <c r="K31922" s="5">
        <v>0</v>
      </c>
    </row>
    <row r="31923" spans="1:11" x14ac:dyDescent="0.25">
      <c r="A31923" s="5">
        <f>31916</f>
      </c>
      <c r="B31923" s="5" t="s">
        <v>31931</v>
      </c>
      <c r="C31923" s="5">
        <v>97.6</v>
      </c>
      <c r="D31923" s="5">
        <v>0.1</v>
      </c>
      <c r="E31923" s="5">
        <v>97.8</v>
      </c>
      <c r="F31923" s="5">
        <v>195.6</v>
      </c>
      <c r="G31923" s="5">
        <v>97.6</v>
      </c>
      <c r="H31923" s="5">
        <v>97.5</v>
      </c>
      <c r="I31923" s="5">
        <v>0</v>
      </c>
      <c r="J31923" s="5">
        <v>0</v>
      </c>
      <c r="K31923" s="5">
        <v>0</v>
      </c>
    </row>
    <row r="31924" spans="1:11" x14ac:dyDescent="0.25">
      <c r="A31924" s="5">
        <f>31917</f>
      </c>
      <c r="B31924" s="5" t="s">
        <v>31932</v>
      </c>
      <c r="C31924" s="5">
        <v>97.6</v>
      </c>
      <c r="D31924" s="5">
        <v>0.1</v>
      </c>
      <c r="E31924" s="5">
        <v>97.8</v>
      </c>
      <c r="F31924" s="5">
        <v>195.6</v>
      </c>
      <c r="G31924" s="5">
        <v>97.6</v>
      </c>
      <c r="H31924" s="5">
        <v>97.5</v>
      </c>
      <c r="I31924" s="5">
        <v>0</v>
      </c>
      <c r="J31924" s="5">
        <v>0</v>
      </c>
      <c r="K31924" s="5">
        <v>0</v>
      </c>
    </row>
    <row r="31925" spans="1:11" x14ac:dyDescent="0.25">
      <c r="A31925" s="5">
        <f>31918</f>
      </c>
      <c r="B31925" s="5" t="s">
        <v>31933</v>
      </c>
      <c r="C31925" s="5">
        <v>97.6</v>
      </c>
      <c r="D31925" s="5">
        <v>0.1</v>
      </c>
      <c r="E31925" s="5">
        <v>97.8</v>
      </c>
      <c r="F31925" s="5">
        <v>195.6</v>
      </c>
      <c r="G31925" s="5">
        <v>97.6</v>
      </c>
      <c r="H31925" s="5">
        <v>97.5</v>
      </c>
      <c r="I31925" s="5">
        <v>0</v>
      </c>
      <c r="J31925" s="5">
        <v>0</v>
      </c>
      <c r="K31925" s="5">
        <v>0</v>
      </c>
    </row>
    <row r="31926" spans="1:11" x14ac:dyDescent="0.25">
      <c r="A31926" s="5">
        <f>31919</f>
      </c>
      <c r="B31926" s="5" t="s">
        <v>31934</v>
      </c>
      <c r="C31926" s="5">
        <v>97.6</v>
      </c>
      <c r="D31926" s="5">
        <v>0.1</v>
      </c>
      <c r="E31926" s="5">
        <v>97.8</v>
      </c>
      <c r="F31926" s="5">
        <v>195.6</v>
      </c>
      <c r="G31926" s="5">
        <v>97.6</v>
      </c>
      <c r="H31926" s="5">
        <v>97.5</v>
      </c>
      <c r="I31926" s="5">
        <v>0</v>
      </c>
      <c r="J31926" s="5">
        <v>0</v>
      </c>
      <c r="K31926" s="5">
        <v>0</v>
      </c>
    </row>
    <row r="31927" spans="1:11" x14ac:dyDescent="0.25">
      <c r="A31927" s="5">
        <f>31920</f>
      </c>
      <c r="B31927" s="5" t="s">
        <v>31935</v>
      </c>
      <c r="C31927" s="5">
        <v>97.6</v>
      </c>
      <c r="D31927" s="5">
        <v>0.1</v>
      </c>
      <c r="E31927" s="5">
        <v>97.8</v>
      </c>
      <c r="F31927" s="5">
        <v>195.6</v>
      </c>
      <c r="G31927" s="5">
        <v>97.6</v>
      </c>
      <c r="H31927" s="5">
        <v>97.5</v>
      </c>
      <c r="I31927" s="5">
        <v>0</v>
      </c>
      <c r="J31927" s="5">
        <v>0</v>
      </c>
      <c r="K31927" s="5">
        <v>0</v>
      </c>
    </row>
    <row r="31928" spans="1:11" x14ac:dyDescent="0.25">
      <c r="A31928" s="5">
        <f>31921</f>
      </c>
      <c r="B31928" s="5" t="s">
        <v>31936</v>
      </c>
      <c r="C31928" s="5">
        <v>97.6</v>
      </c>
      <c r="D31928" s="5">
        <v>0.1</v>
      </c>
      <c r="E31928" s="5">
        <v>97.8</v>
      </c>
      <c r="F31928" s="5">
        <v>195.6</v>
      </c>
      <c r="G31928" s="5">
        <v>97.6</v>
      </c>
      <c r="H31928" s="5">
        <v>97.5</v>
      </c>
      <c r="I31928" s="5">
        <v>0</v>
      </c>
      <c r="J31928" s="5">
        <v>0</v>
      </c>
      <c r="K31928" s="5">
        <v>0</v>
      </c>
    </row>
    <row r="31929" spans="1:11" x14ac:dyDescent="0.25">
      <c r="A31929" s="5">
        <f>31922</f>
      </c>
      <c r="B31929" s="5" t="s">
        <v>31937</v>
      </c>
      <c r="C31929" s="5">
        <v>97.6</v>
      </c>
      <c r="D31929" s="5">
        <v>0.1</v>
      </c>
      <c r="E31929" s="5">
        <v>97.8</v>
      </c>
      <c r="F31929" s="5">
        <v>195.6</v>
      </c>
      <c r="G31929" s="5">
        <v>97.6</v>
      </c>
      <c r="H31929" s="5">
        <v>97.5</v>
      </c>
      <c r="I31929" s="5">
        <v>0</v>
      </c>
      <c r="J31929" s="5">
        <v>0</v>
      </c>
      <c r="K31929" s="5">
        <v>0</v>
      </c>
    </row>
    <row r="31930" spans="1:11" x14ac:dyDescent="0.25">
      <c r="A31930" s="5">
        <f>31923</f>
      </c>
      <c r="B31930" s="5" t="s">
        <v>31938</v>
      </c>
      <c r="C31930" s="5">
        <v>97.6</v>
      </c>
      <c r="D31930" s="5">
        <v>0.1</v>
      </c>
      <c r="E31930" s="5">
        <v>97.8</v>
      </c>
      <c r="F31930" s="5">
        <v>195.6</v>
      </c>
      <c r="G31930" s="5">
        <v>97.6</v>
      </c>
      <c r="H31930" s="5">
        <v>97.5</v>
      </c>
      <c r="I31930" s="5">
        <v>0</v>
      </c>
      <c r="J31930" s="5">
        <v>0</v>
      </c>
      <c r="K31930" s="5">
        <v>0</v>
      </c>
    </row>
    <row r="31931" spans="1:11" x14ac:dyDescent="0.25">
      <c r="A31931" s="5">
        <f>31924</f>
      </c>
      <c r="B31931" s="5" t="s">
        <v>31939</v>
      </c>
      <c r="C31931" s="5">
        <v>97.6</v>
      </c>
      <c r="D31931" s="5">
        <v>0.1</v>
      </c>
      <c r="E31931" s="5">
        <v>97.8</v>
      </c>
      <c r="F31931" s="5">
        <v>195.6</v>
      </c>
      <c r="G31931" s="5">
        <v>97.6</v>
      </c>
      <c r="H31931" s="5">
        <v>97.5</v>
      </c>
      <c r="I31931" s="5">
        <v>0</v>
      </c>
      <c r="J31931" s="5">
        <v>0</v>
      </c>
      <c r="K31931" s="5">
        <v>0</v>
      </c>
    </row>
    <row r="31932" spans="1:11" x14ac:dyDescent="0.25">
      <c r="A31932" s="5">
        <f>31925</f>
      </c>
      <c r="B31932" s="5" t="s">
        <v>31940</v>
      </c>
      <c r="C31932" s="5">
        <v>97.6</v>
      </c>
      <c r="D31932" s="5">
        <v>0.1</v>
      </c>
      <c r="E31932" s="5">
        <v>97.8</v>
      </c>
      <c r="F31932" s="5">
        <v>195.6</v>
      </c>
      <c r="G31932" s="5">
        <v>97.6</v>
      </c>
      <c r="H31932" s="5">
        <v>97.5</v>
      </c>
      <c r="I31932" s="5">
        <v>0</v>
      </c>
      <c r="J31932" s="5">
        <v>0</v>
      </c>
      <c r="K31932" s="5">
        <v>0</v>
      </c>
    </row>
    <row r="31933" spans="1:11" x14ac:dyDescent="0.25">
      <c r="A31933" s="5">
        <f>31926</f>
      </c>
      <c r="B31933" s="5" t="s">
        <v>31941</v>
      </c>
      <c r="C31933" s="5">
        <v>97.6</v>
      </c>
      <c r="D31933" s="5">
        <v>0.1</v>
      </c>
      <c r="E31933" s="5">
        <v>97.8</v>
      </c>
      <c r="F31933" s="5">
        <v>195.6</v>
      </c>
      <c r="G31933" s="5">
        <v>97.6</v>
      </c>
      <c r="H31933" s="5">
        <v>97.5</v>
      </c>
      <c r="I31933" s="5">
        <v>0</v>
      </c>
      <c r="J31933" s="5">
        <v>0</v>
      </c>
      <c r="K31933" s="5">
        <v>0</v>
      </c>
    </row>
    <row r="31934" spans="1:11" x14ac:dyDescent="0.25">
      <c r="A31934" s="5">
        <f>31927</f>
      </c>
      <c r="B31934" s="5" t="s">
        <v>31942</v>
      </c>
      <c r="C31934" s="5">
        <v>97.6</v>
      </c>
      <c r="D31934" s="5">
        <v>0.1</v>
      </c>
      <c r="E31934" s="5">
        <v>97.8</v>
      </c>
      <c r="F31934" s="5">
        <v>195.6</v>
      </c>
      <c r="G31934" s="5">
        <v>97.6</v>
      </c>
      <c r="H31934" s="5">
        <v>97.5</v>
      </c>
      <c r="I31934" s="5">
        <v>0</v>
      </c>
      <c r="J31934" s="5">
        <v>0</v>
      </c>
      <c r="K31934" s="5">
        <v>0</v>
      </c>
    </row>
    <row r="31935" spans="1:11" x14ac:dyDescent="0.25">
      <c r="A31935" s="5">
        <f>31928</f>
      </c>
      <c r="B31935" s="5" t="s">
        <v>31943</v>
      </c>
      <c r="C31935" s="5">
        <v>97.6</v>
      </c>
      <c r="D31935" s="5">
        <v>0.1</v>
      </c>
      <c r="E31935" s="5">
        <v>97.8</v>
      </c>
      <c r="F31935" s="5">
        <v>195.6</v>
      </c>
      <c r="G31935" s="5">
        <v>97.6</v>
      </c>
      <c r="H31935" s="5">
        <v>97.5</v>
      </c>
      <c r="I31935" s="5">
        <v>0</v>
      </c>
      <c r="J31935" s="5">
        <v>0</v>
      </c>
      <c r="K31935" s="5">
        <v>0</v>
      </c>
    </row>
    <row r="31936" spans="1:11" x14ac:dyDescent="0.25">
      <c r="A31936" s="5">
        <f>31929</f>
      </c>
      <c r="B31936" s="5" t="s">
        <v>31944</v>
      </c>
      <c r="C31936" s="5">
        <v>97.6</v>
      </c>
      <c r="D31936" s="5">
        <v>0.1</v>
      </c>
      <c r="E31936" s="5">
        <v>97.8</v>
      </c>
      <c r="F31936" s="5">
        <v>195.6</v>
      </c>
      <c r="G31936" s="5">
        <v>97.6</v>
      </c>
      <c r="H31936" s="5">
        <v>97.5</v>
      </c>
      <c r="I31936" s="5">
        <v>0</v>
      </c>
      <c r="J31936" s="5">
        <v>0</v>
      </c>
      <c r="K31936" s="5">
        <v>0</v>
      </c>
    </row>
    <row r="31937" spans="1:11" x14ac:dyDescent="0.25">
      <c r="A31937" s="5">
        <f>31930</f>
      </c>
      <c r="B31937" s="5" t="s">
        <v>31945</v>
      </c>
      <c r="C31937" s="5">
        <v>97.6</v>
      </c>
      <c r="D31937" s="5">
        <v>0.1</v>
      </c>
      <c r="E31937" s="5">
        <v>97.8</v>
      </c>
      <c r="F31937" s="5">
        <v>195.6</v>
      </c>
      <c r="G31937" s="5">
        <v>97.6</v>
      </c>
      <c r="H31937" s="5">
        <v>97.5</v>
      </c>
      <c r="I31937" s="5">
        <v>0</v>
      </c>
      <c r="J31937" s="5">
        <v>0</v>
      </c>
      <c r="K31937" s="5">
        <v>0</v>
      </c>
    </row>
    <row r="31938" spans="1:11" x14ac:dyDescent="0.25">
      <c r="A31938" s="5">
        <f>31931</f>
      </c>
      <c r="B31938" s="5" t="s">
        <v>31946</v>
      </c>
      <c r="C31938" s="5">
        <v>97.6</v>
      </c>
      <c r="D31938" s="5">
        <v>0.1</v>
      </c>
      <c r="E31938" s="5">
        <v>97.8</v>
      </c>
      <c r="F31938" s="5">
        <v>195.6</v>
      </c>
      <c r="G31938" s="5">
        <v>97.6</v>
      </c>
      <c r="H31938" s="5">
        <v>97.5</v>
      </c>
      <c r="I31938" s="5">
        <v>0</v>
      </c>
      <c r="J31938" s="5">
        <v>0</v>
      </c>
      <c r="K31938" s="5">
        <v>0</v>
      </c>
    </row>
    <row r="31939" spans="1:11" x14ac:dyDescent="0.25">
      <c r="A31939" s="5">
        <f>31932</f>
      </c>
      <c r="B31939" s="5" t="s">
        <v>31947</v>
      </c>
      <c r="C31939" s="5">
        <v>97.6</v>
      </c>
      <c r="D31939" s="5">
        <v>0.1</v>
      </c>
      <c r="E31939" s="5">
        <v>97.8</v>
      </c>
      <c r="F31939" s="5">
        <v>195.6</v>
      </c>
      <c r="G31939" s="5">
        <v>97.6</v>
      </c>
      <c r="H31939" s="5">
        <v>97.5</v>
      </c>
      <c r="I31939" s="5">
        <v>0</v>
      </c>
      <c r="J31939" s="5">
        <v>0</v>
      </c>
      <c r="K31939" s="5">
        <v>0</v>
      </c>
    </row>
    <row r="31940" spans="1:11" x14ac:dyDescent="0.25">
      <c r="A31940" s="5">
        <f>31933</f>
      </c>
      <c r="B31940" s="5" t="s">
        <v>31948</v>
      </c>
      <c r="C31940" s="5">
        <v>97.6</v>
      </c>
      <c r="D31940" s="5">
        <v>0.1</v>
      </c>
      <c r="E31940" s="5">
        <v>97.8</v>
      </c>
      <c r="F31940" s="5">
        <v>195.6</v>
      </c>
      <c r="G31940" s="5">
        <v>97.6</v>
      </c>
      <c r="H31940" s="5">
        <v>97.5</v>
      </c>
      <c r="I31940" s="5">
        <v>0</v>
      </c>
      <c r="J31940" s="5">
        <v>0</v>
      </c>
      <c r="K31940" s="5">
        <v>0</v>
      </c>
    </row>
    <row r="31941" spans="1:11" x14ac:dyDescent="0.25">
      <c r="A31941" s="5">
        <f>31934</f>
      </c>
      <c r="B31941" s="5" t="s">
        <v>31949</v>
      </c>
      <c r="C31941" s="5">
        <v>97.6</v>
      </c>
      <c r="D31941" s="5">
        <v>0.1</v>
      </c>
      <c r="E31941" s="5">
        <v>97.8</v>
      </c>
      <c r="F31941" s="5">
        <v>195.6</v>
      </c>
      <c r="G31941" s="5">
        <v>97.6</v>
      </c>
      <c r="H31941" s="5">
        <v>97.5</v>
      </c>
      <c r="I31941" s="5">
        <v>0</v>
      </c>
      <c r="J31941" s="5">
        <v>0</v>
      </c>
      <c r="K31941" s="5">
        <v>0</v>
      </c>
    </row>
    <row r="31942" spans="1:11" x14ac:dyDescent="0.25">
      <c r="A31942" s="5">
        <f>31935</f>
      </c>
      <c r="B31942" s="5" t="s">
        <v>31950</v>
      </c>
      <c r="C31942" s="5">
        <v>97.6</v>
      </c>
      <c r="D31942" s="5">
        <v>0.1</v>
      </c>
      <c r="E31942" s="5">
        <v>97.8</v>
      </c>
      <c r="F31942" s="5">
        <v>195.6</v>
      </c>
      <c r="G31942" s="5">
        <v>97.6</v>
      </c>
      <c r="H31942" s="5">
        <v>97.5</v>
      </c>
      <c r="I31942" s="5">
        <v>0</v>
      </c>
      <c r="J31942" s="5">
        <v>0</v>
      </c>
      <c r="K31942" s="5">
        <v>0</v>
      </c>
    </row>
    <row r="31943" spans="1:11" x14ac:dyDescent="0.25">
      <c r="A31943" s="5">
        <f>31936</f>
      </c>
      <c r="B31943" s="5" t="s">
        <v>31951</v>
      </c>
      <c r="C31943" s="5">
        <v>97.6</v>
      </c>
      <c r="D31943" s="5">
        <v>0.1</v>
      </c>
      <c r="E31943" s="5">
        <v>97.8</v>
      </c>
      <c r="F31943" s="5">
        <v>195.6</v>
      </c>
      <c r="G31943" s="5">
        <v>97.6</v>
      </c>
      <c r="H31943" s="5">
        <v>97.5</v>
      </c>
      <c r="I31943" s="5">
        <v>0</v>
      </c>
      <c r="J31943" s="5">
        <v>0</v>
      </c>
      <c r="K31943" s="5">
        <v>0</v>
      </c>
    </row>
    <row r="31944" spans="1:11" x14ac:dyDescent="0.25">
      <c r="A31944" s="5">
        <f>31937</f>
      </c>
      <c r="B31944" s="5" t="s">
        <v>31952</v>
      </c>
      <c r="C31944" s="5">
        <v>97.6</v>
      </c>
      <c r="D31944" s="5">
        <v>0.1</v>
      </c>
      <c r="E31944" s="5">
        <v>97.8</v>
      </c>
      <c r="F31944" s="5">
        <v>195.6</v>
      </c>
      <c r="G31944" s="5">
        <v>97.6</v>
      </c>
      <c r="H31944" s="5">
        <v>97.5</v>
      </c>
      <c r="I31944" s="5">
        <v>0</v>
      </c>
      <c r="J31944" s="5">
        <v>0</v>
      </c>
      <c r="K31944" s="5">
        <v>0</v>
      </c>
    </row>
    <row r="31945" spans="1:11" x14ac:dyDescent="0.25">
      <c r="A31945" s="5">
        <f>31938</f>
      </c>
      <c r="B31945" s="5" t="s">
        <v>31953</v>
      </c>
      <c r="C31945" s="5">
        <v>97.6</v>
      </c>
      <c r="D31945" s="5">
        <v>0.1</v>
      </c>
      <c r="E31945" s="5">
        <v>97.8</v>
      </c>
      <c r="F31945" s="5">
        <v>195.6</v>
      </c>
      <c r="G31945" s="5">
        <v>97.6</v>
      </c>
      <c r="H31945" s="5">
        <v>97.5</v>
      </c>
      <c r="I31945" s="5">
        <v>0</v>
      </c>
      <c r="J31945" s="5">
        <v>0</v>
      </c>
      <c r="K31945" s="5">
        <v>0</v>
      </c>
    </row>
    <row r="31946" spans="1:11" x14ac:dyDescent="0.25">
      <c r="A31946" s="5">
        <f>31939</f>
      </c>
      <c r="B31946" s="5" t="s">
        <v>31954</v>
      </c>
      <c r="C31946" s="5">
        <v>97.6</v>
      </c>
      <c r="D31946" s="5">
        <v>0.1</v>
      </c>
      <c r="E31946" s="5">
        <v>97.8</v>
      </c>
      <c r="F31946" s="5">
        <v>195.6</v>
      </c>
      <c r="G31946" s="5">
        <v>97.6</v>
      </c>
      <c r="H31946" s="5">
        <v>97.5</v>
      </c>
      <c r="I31946" s="5">
        <v>0</v>
      </c>
      <c r="J31946" s="5">
        <v>0</v>
      </c>
      <c r="K31946" s="5">
        <v>0</v>
      </c>
    </row>
    <row r="31947" spans="1:11" x14ac:dyDescent="0.25">
      <c r="A31947" s="5">
        <f>31940</f>
      </c>
      <c r="B31947" s="5" t="s">
        <v>31955</v>
      </c>
      <c r="C31947" s="5">
        <v>97.6</v>
      </c>
      <c r="D31947" s="5">
        <v>0.1</v>
      </c>
      <c r="E31947" s="5">
        <v>97.8</v>
      </c>
      <c r="F31947" s="5">
        <v>195.6</v>
      </c>
      <c r="G31947" s="5">
        <v>97.6</v>
      </c>
      <c r="H31947" s="5">
        <v>97.5</v>
      </c>
      <c r="I31947" s="5">
        <v>0</v>
      </c>
      <c r="J31947" s="5">
        <v>0</v>
      </c>
      <c r="K31947" s="5">
        <v>0</v>
      </c>
    </row>
    <row r="31948" spans="1:11" x14ac:dyDescent="0.25">
      <c r="A31948" s="5">
        <f>31941</f>
      </c>
      <c r="B31948" s="5" t="s">
        <v>31956</v>
      </c>
      <c r="C31948" s="5">
        <v>97.6</v>
      </c>
      <c r="D31948" s="5">
        <v>0.1</v>
      </c>
      <c r="E31948" s="5">
        <v>97.8</v>
      </c>
      <c r="F31948" s="5">
        <v>195.6</v>
      </c>
      <c r="G31948" s="5">
        <v>97.6</v>
      </c>
      <c r="H31948" s="5">
        <v>97.5</v>
      </c>
      <c r="I31948" s="5">
        <v>0</v>
      </c>
      <c r="J31948" s="5">
        <v>0</v>
      </c>
      <c r="K31948" s="5">
        <v>0</v>
      </c>
    </row>
    <row r="31949" spans="1:11" x14ac:dyDescent="0.25">
      <c r="A31949" s="5">
        <f>31942</f>
      </c>
      <c r="B31949" s="5" t="s">
        <v>31957</v>
      </c>
      <c r="C31949" s="5">
        <v>97.6</v>
      </c>
      <c r="D31949" s="5">
        <v>0.1</v>
      </c>
      <c r="E31949" s="5">
        <v>97.8</v>
      </c>
      <c r="F31949" s="5">
        <v>195.6</v>
      </c>
      <c r="G31949" s="5">
        <v>97.6</v>
      </c>
      <c r="H31949" s="5">
        <v>97.5</v>
      </c>
      <c r="I31949" s="5">
        <v>0</v>
      </c>
      <c r="J31949" s="5">
        <v>0</v>
      </c>
      <c r="K31949" s="5">
        <v>0</v>
      </c>
    </row>
    <row r="31950" spans="1:11" x14ac:dyDescent="0.25">
      <c r="A31950" s="5">
        <f>31943</f>
      </c>
      <c r="B31950" s="5" t="s">
        <v>31958</v>
      </c>
      <c r="C31950" s="5">
        <v>97.6</v>
      </c>
      <c r="D31950" s="5">
        <v>0.1</v>
      </c>
      <c r="E31950" s="5">
        <v>97.8</v>
      </c>
      <c r="F31950" s="5">
        <v>195.6</v>
      </c>
      <c r="G31950" s="5">
        <v>97.6</v>
      </c>
      <c r="H31950" s="5">
        <v>97.5</v>
      </c>
      <c r="I31950" s="5">
        <v>0</v>
      </c>
      <c r="J31950" s="5">
        <v>0</v>
      </c>
      <c r="K31950" s="5">
        <v>0</v>
      </c>
    </row>
    <row r="31951" spans="1:11" x14ac:dyDescent="0.25">
      <c r="A31951" s="5">
        <f>31944</f>
      </c>
      <c r="B31951" s="5" t="s">
        <v>31959</v>
      </c>
      <c r="C31951" s="5">
        <v>97.6</v>
      </c>
      <c r="D31951" s="5">
        <v>0.1</v>
      </c>
      <c r="E31951" s="5">
        <v>97.8</v>
      </c>
      <c r="F31951" s="5">
        <v>195.6</v>
      </c>
      <c r="G31951" s="5">
        <v>97.6</v>
      </c>
      <c r="H31951" s="5">
        <v>97.5</v>
      </c>
      <c r="I31951" s="5">
        <v>0</v>
      </c>
      <c r="J31951" s="5">
        <v>0</v>
      </c>
      <c r="K31951" s="5">
        <v>0</v>
      </c>
    </row>
    <row r="31952" spans="1:11" x14ac:dyDescent="0.25">
      <c r="A31952" s="5">
        <f>31945</f>
      </c>
      <c r="B31952" s="5" t="s">
        <v>31960</v>
      </c>
      <c r="C31952" s="5">
        <v>97.6</v>
      </c>
      <c r="D31952" s="5">
        <v>0.1</v>
      </c>
      <c r="E31952" s="5">
        <v>97.8</v>
      </c>
      <c r="F31952" s="5">
        <v>195.6</v>
      </c>
      <c r="G31952" s="5">
        <v>97.6</v>
      </c>
      <c r="H31952" s="5">
        <v>97.5</v>
      </c>
      <c r="I31952" s="5">
        <v>0</v>
      </c>
      <c r="J31952" s="5">
        <v>0</v>
      </c>
      <c r="K31952" s="5">
        <v>0</v>
      </c>
    </row>
    <row r="31953" spans="1:11" x14ac:dyDescent="0.25">
      <c r="A31953" s="5">
        <f>31946</f>
      </c>
      <c r="B31953" s="5" t="s">
        <v>31961</v>
      </c>
      <c r="C31953" s="5">
        <v>97.6</v>
      </c>
      <c r="D31953" s="5">
        <v>0.1</v>
      </c>
      <c r="E31953" s="5">
        <v>97.8</v>
      </c>
      <c r="F31953" s="5">
        <v>195.6</v>
      </c>
      <c r="G31953" s="5">
        <v>97.6</v>
      </c>
      <c r="H31953" s="5">
        <v>97.5</v>
      </c>
      <c r="I31953" s="5">
        <v>0</v>
      </c>
      <c r="J31953" s="5">
        <v>0</v>
      </c>
      <c r="K31953" s="5">
        <v>0</v>
      </c>
    </row>
    <row r="31954" spans="1:11" x14ac:dyDescent="0.25">
      <c r="A31954" s="5">
        <f>31947</f>
      </c>
      <c r="B31954" s="5" t="s">
        <v>31962</v>
      </c>
      <c r="C31954" s="5">
        <v>97.6</v>
      </c>
      <c r="D31954" s="5">
        <v>0.1</v>
      </c>
      <c r="E31954" s="5">
        <v>97.8</v>
      </c>
      <c r="F31954" s="5">
        <v>195.6</v>
      </c>
      <c r="G31954" s="5">
        <v>97.6</v>
      </c>
      <c r="H31954" s="5">
        <v>97.5</v>
      </c>
      <c r="I31954" s="5">
        <v>0</v>
      </c>
      <c r="J31954" s="5">
        <v>0</v>
      </c>
      <c r="K31954" s="5">
        <v>0</v>
      </c>
    </row>
    <row r="31955" spans="1:11" x14ac:dyDescent="0.25">
      <c r="A31955" s="5">
        <f>31948</f>
      </c>
      <c r="B31955" s="5" t="s">
        <v>31963</v>
      </c>
      <c r="C31955" s="5">
        <v>97.6</v>
      </c>
      <c r="D31955" s="5">
        <v>0.1</v>
      </c>
      <c r="E31955" s="5">
        <v>97.8</v>
      </c>
      <c r="F31955" s="5">
        <v>195.6</v>
      </c>
      <c r="G31955" s="5">
        <v>97.6</v>
      </c>
      <c r="H31955" s="5">
        <v>97.5</v>
      </c>
      <c r="I31955" s="5">
        <v>0</v>
      </c>
      <c r="J31955" s="5">
        <v>0</v>
      </c>
      <c r="K31955" s="5">
        <v>0</v>
      </c>
    </row>
    <row r="31956" spans="1:11" x14ac:dyDescent="0.25">
      <c r="A31956" s="5">
        <f>31949</f>
      </c>
      <c r="B31956" s="5" t="s">
        <v>31964</v>
      </c>
      <c r="C31956" s="5">
        <v>97.6</v>
      </c>
      <c r="D31956" s="5">
        <v>0.1</v>
      </c>
      <c r="E31956" s="5">
        <v>97.8</v>
      </c>
      <c r="F31956" s="5">
        <v>195.6</v>
      </c>
      <c r="G31956" s="5">
        <v>97.6</v>
      </c>
      <c r="H31956" s="5">
        <v>97.5</v>
      </c>
      <c r="I31956" s="5">
        <v>0</v>
      </c>
      <c r="J31956" s="5">
        <v>0</v>
      </c>
      <c r="K31956" s="5">
        <v>0</v>
      </c>
    </row>
    <row r="31957" spans="1:11" x14ac:dyDescent="0.25">
      <c r="A31957" s="5">
        <f>31950</f>
      </c>
      <c r="B31957" s="5" t="s">
        <v>31965</v>
      </c>
      <c r="C31957" s="5">
        <v>97.6</v>
      </c>
      <c r="D31957" s="5">
        <v>0.1</v>
      </c>
      <c r="E31957" s="5">
        <v>97.8</v>
      </c>
      <c r="F31957" s="5">
        <v>195.6</v>
      </c>
      <c r="G31957" s="5">
        <v>97.6</v>
      </c>
      <c r="H31957" s="5">
        <v>97.5</v>
      </c>
      <c r="I31957" s="5">
        <v>0</v>
      </c>
      <c r="J31957" s="5">
        <v>0</v>
      </c>
      <c r="K31957" s="5">
        <v>0</v>
      </c>
    </row>
    <row r="31958" spans="1:11" x14ac:dyDescent="0.25">
      <c r="A31958" s="5">
        <f>31951</f>
      </c>
      <c r="B31958" s="5" t="s">
        <v>31966</v>
      </c>
      <c r="C31958" s="5">
        <v>97.6</v>
      </c>
      <c r="D31958" s="5">
        <v>0.1</v>
      </c>
      <c r="E31958" s="5">
        <v>97.8</v>
      </c>
      <c r="F31958" s="5">
        <v>195.6</v>
      </c>
      <c r="G31958" s="5">
        <v>97.6</v>
      </c>
      <c r="H31958" s="5">
        <v>97.5</v>
      </c>
      <c r="I31958" s="5">
        <v>0</v>
      </c>
      <c r="J31958" s="5">
        <v>0</v>
      </c>
      <c r="K31958" s="5">
        <v>0</v>
      </c>
    </row>
    <row r="31959" spans="1:11" x14ac:dyDescent="0.25">
      <c r="A31959" s="5">
        <f>31952</f>
      </c>
      <c r="B31959" s="5" t="s">
        <v>31967</v>
      </c>
      <c r="C31959" s="5">
        <v>97.6</v>
      </c>
      <c r="D31959" s="5">
        <v>0.1</v>
      </c>
      <c r="E31959" s="5">
        <v>97.8</v>
      </c>
      <c r="F31959" s="5">
        <v>195.6</v>
      </c>
      <c r="G31959" s="5">
        <v>97.6</v>
      </c>
      <c r="H31959" s="5">
        <v>97.5</v>
      </c>
      <c r="I31959" s="5">
        <v>0</v>
      </c>
      <c r="J31959" s="5">
        <v>0</v>
      </c>
      <c r="K31959" s="5">
        <v>0</v>
      </c>
    </row>
    <row r="31960" spans="1:11" x14ac:dyDescent="0.25">
      <c r="A31960" s="5">
        <f>31953</f>
      </c>
      <c r="B31960" s="5" t="s">
        <v>31968</v>
      </c>
      <c r="C31960" s="5">
        <v>97.6</v>
      </c>
      <c r="D31960" s="5">
        <v>0.1</v>
      </c>
      <c r="E31960" s="5">
        <v>97.8</v>
      </c>
      <c r="F31960" s="5">
        <v>195.6</v>
      </c>
      <c r="G31960" s="5">
        <v>97.6</v>
      </c>
      <c r="H31960" s="5">
        <v>97.5</v>
      </c>
      <c r="I31960" s="5">
        <v>0</v>
      </c>
      <c r="J31960" s="5">
        <v>0</v>
      </c>
      <c r="K31960" s="5">
        <v>0</v>
      </c>
    </row>
    <row r="31961" spans="1:11" x14ac:dyDescent="0.25">
      <c r="A31961" s="5">
        <f>31954</f>
      </c>
      <c r="B31961" s="5" t="s">
        <v>31969</v>
      </c>
      <c r="C31961" s="5">
        <v>97.6</v>
      </c>
      <c r="D31961" s="5">
        <v>0.1</v>
      </c>
      <c r="E31961" s="5">
        <v>97.8</v>
      </c>
      <c r="F31961" s="5">
        <v>195.6</v>
      </c>
      <c r="G31961" s="5">
        <v>97.6</v>
      </c>
      <c r="H31961" s="5">
        <v>97.5</v>
      </c>
      <c r="I31961" s="5">
        <v>0</v>
      </c>
      <c r="J31961" s="5">
        <v>0</v>
      </c>
      <c r="K31961" s="5">
        <v>0</v>
      </c>
    </row>
    <row r="31962" spans="1:11" x14ac:dyDescent="0.25">
      <c r="A31962" s="5">
        <f>31955</f>
      </c>
      <c r="B31962" s="5" t="s">
        <v>31970</v>
      </c>
      <c r="C31962" s="5">
        <v>97.6</v>
      </c>
      <c r="D31962" s="5">
        <v>0.1</v>
      </c>
      <c r="E31962" s="5">
        <v>97.8</v>
      </c>
      <c r="F31962" s="5">
        <v>195.6</v>
      </c>
      <c r="G31962" s="5">
        <v>97.6</v>
      </c>
      <c r="H31962" s="5">
        <v>97.5</v>
      </c>
      <c r="I31962" s="5">
        <v>0</v>
      </c>
      <c r="J31962" s="5">
        <v>0</v>
      </c>
      <c r="K31962" s="5">
        <v>0</v>
      </c>
    </row>
    <row r="31963" spans="1:11" x14ac:dyDescent="0.25">
      <c r="A31963" s="5">
        <f>31956</f>
      </c>
      <c r="B31963" s="5" t="s">
        <v>31971</v>
      </c>
      <c r="C31963" s="5">
        <v>97.6</v>
      </c>
      <c r="D31963" s="5">
        <v>0.1</v>
      </c>
      <c r="E31963" s="5">
        <v>97.8</v>
      </c>
      <c r="F31963" s="5">
        <v>195.6</v>
      </c>
      <c r="G31963" s="5">
        <v>97.6</v>
      </c>
      <c r="H31963" s="5">
        <v>97.5</v>
      </c>
      <c r="I31963" s="5">
        <v>0</v>
      </c>
      <c r="J31963" s="5">
        <v>0</v>
      </c>
      <c r="K31963" s="5">
        <v>0</v>
      </c>
    </row>
    <row r="31964" spans="1:11" x14ac:dyDescent="0.25">
      <c r="A31964" s="5">
        <f>31957</f>
      </c>
      <c r="B31964" s="5" t="s">
        <v>31972</v>
      </c>
      <c r="C31964" s="5">
        <v>97.6</v>
      </c>
      <c r="D31964" s="5">
        <v>0.1</v>
      </c>
      <c r="E31964" s="5">
        <v>97.8</v>
      </c>
      <c r="F31964" s="5">
        <v>195.6</v>
      </c>
      <c r="G31964" s="5">
        <v>97.6</v>
      </c>
      <c r="H31964" s="5">
        <v>97.5</v>
      </c>
      <c r="I31964" s="5">
        <v>0</v>
      </c>
      <c r="J31964" s="5">
        <v>0</v>
      </c>
      <c r="K31964" s="5">
        <v>0</v>
      </c>
    </row>
    <row r="31965" spans="1:11" x14ac:dyDescent="0.25">
      <c r="A31965" s="5">
        <f>31958</f>
      </c>
      <c r="B31965" s="5" t="s">
        <v>31973</v>
      </c>
      <c r="C31965" s="5">
        <v>97.6</v>
      </c>
      <c r="D31965" s="5">
        <v>0.1</v>
      </c>
      <c r="E31965" s="5">
        <v>97.8</v>
      </c>
      <c r="F31965" s="5">
        <v>195.6</v>
      </c>
      <c r="G31965" s="5">
        <v>97.6</v>
      </c>
      <c r="H31965" s="5">
        <v>97.5</v>
      </c>
      <c r="I31965" s="5">
        <v>0</v>
      </c>
      <c r="J31965" s="5">
        <v>0</v>
      </c>
      <c r="K31965" s="5">
        <v>0</v>
      </c>
    </row>
    <row r="31966" spans="1:11" x14ac:dyDescent="0.25">
      <c r="A31966" s="5">
        <f>31959</f>
      </c>
      <c r="B31966" s="5" t="s">
        <v>31974</v>
      </c>
      <c r="C31966" s="5">
        <v>97.6</v>
      </c>
      <c r="D31966" s="5">
        <v>0.1</v>
      </c>
      <c r="E31966" s="5">
        <v>97.8</v>
      </c>
      <c r="F31966" s="5">
        <v>195.6</v>
      </c>
      <c r="G31966" s="5">
        <v>97.6</v>
      </c>
      <c r="H31966" s="5">
        <v>97.5</v>
      </c>
      <c r="I31966" s="5">
        <v>0</v>
      </c>
      <c r="J31966" s="5">
        <v>0</v>
      </c>
      <c r="K31966" s="5">
        <v>0</v>
      </c>
    </row>
    <row r="31967" spans="1:11" x14ac:dyDescent="0.25">
      <c r="A31967" s="5">
        <f>31960</f>
      </c>
      <c r="B31967" s="5" t="s">
        <v>31975</v>
      </c>
      <c r="C31967" s="5">
        <v>97.6</v>
      </c>
      <c r="D31967" s="5">
        <v>0.1</v>
      </c>
      <c r="E31967" s="5">
        <v>97.8</v>
      </c>
      <c r="F31967" s="5">
        <v>195.6</v>
      </c>
      <c r="G31967" s="5">
        <v>97.6</v>
      </c>
      <c r="H31967" s="5">
        <v>97.5</v>
      </c>
      <c r="I31967" s="5">
        <v>0</v>
      </c>
      <c r="J31967" s="5">
        <v>0</v>
      </c>
      <c r="K31967" s="5">
        <v>0</v>
      </c>
    </row>
    <row r="31968" spans="1:11" x14ac:dyDescent="0.25">
      <c r="A31968" s="5">
        <f>31961</f>
      </c>
      <c r="B31968" s="5" t="s">
        <v>31976</v>
      </c>
      <c r="C31968" s="5">
        <v>97.6</v>
      </c>
      <c r="D31968" s="5">
        <v>0.1</v>
      </c>
      <c r="E31968" s="5">
        <v>97.8</v>
      </c>
      <c r="F31968" s="5">
        <v>195.6</v>
      </c>
      <c r="G31968" s="5">
        <v>97.6</v>
      </c>
      <c r="H31968" s="5">
        <v>97.5</v>
      </c>
      <c r="I31968" s="5">
        <v>0</v>
      </c>
      <c r="J31968" s="5">
        <v>0</v>
      </c>
      <c r="K31968" s="5">
        <v>0</v>
      </c>
    </row>
    <row r="31969" spans="1:11" x14ac:dyDescent="0.25">
      <c r="A31969" s="5">
        <f>31962</f>
      </c>
      <c r="B31969" s="5" t="s">
        <v>31977</v>
      </c>
      <c r="C31969" s="5">
        <v>97.6</v>
      </c>
      <c r="D31969" s="5">
        <v>0.1</v>
      </c>
      <c r="E31969" s="5">
        <v>97.8</v>
      </c>
      <c r="F31969" s="5">
        <v>195.6</v>
      </c>
      <c r="G31969" s="5">
        <v>97.6</v>
      </c>
      <c r="H31969" s="5">
        <v>97.5</v>
      </c>
      <c r="I31969" s="5">
        <v>0</v>
      </c>
      <c r="J31969" s="5">
        <v>0</v>
      </c>
      <c r="K31969" s="5">
        <v>0</v>
      </c>
    </row>
    <row r="31970" spans="1:11" x14ac:dyDescent="0.25">
      <c r="A31970" s="5">
        <f>31963</f>
      </c>
      <c r="B31970" s="5" t="s">
        <v>31978</v>
      </c>
      <c r="C31970" s="5">
        <v>97.6</v>
      </c>
      <c r="D31970" s="5">
        <v>0.1</v>
      </c>
      <c r="E31970" s="5">
        <v>97.8</v>
      </c>
      <c r="F31970" s="5">
        <v>195.6</v>
      </c>
      <c r="G31970" s="5">
        <v>97.6</v>
      </c>
      <c r="H31970" s="5">
        <v>97.5</v>
      </c>
      <c r="I31970" s="5">
        <v>0</v>
      </c>
      <c r="J31970" s="5">
        <v>0</v>
      </c>
      <c r="K31970" s="5">
        <v>0</v>
      </c>
    </row>
    <row r="31971" spans="1:11" x14ac:dyDescent="0.25">
      <c r="A31971" s="5">
        <f>31964</f>
      </c>
      <c r="B31971" s="5" t="s">
        <v>31979</v>
      </c>
      <c r="C31971" s="5">
        <v>97.6</v>
      </c>
      <c r="D31971" s="5">
        <v>0.1</v>
      </c>
      <c r="E31971" s="5">
        <v>97.8</v>
      </c>
      <c r="F31971" s="5">
        <v>195.6</v>
      </c>
      <c r="G31971" s="5">
        <v>97.6</v>
      </c>
      <c r="H31971" s="5">
        <v>97.5</v>
      </c>
      <c r="I31971" s="5">
        <v>0</v>
      </c>
      <c r="J31971" s="5">
        <v>0</v>
      </c>
      <c r="K31971" s="5">
        <v>0</v>
      </c>
    </row>
    <row r="31972" spans="1:11" x14ac:dyDescent="0.25">
      <c r="A31972" s="5">
        <f>31965</f>
      </c>
      <c r="B31972" s="5" t="s">
        <v>31980</v>
      </c>
      <c r="C31972" s="5">
        <v>97.6</v>
      </c>
      <c r="D31972" s="5">
        <v>0.1</v>
      </c>
      <c r="E31972" s="5">
        <v>97.8</v>
      </c>
      <c r="F31972" s="5">
        <v>195.6</v>
      </c>
      <c r="G31972" s="5">
        <v>97.6</v>
      </c>
      <c r="H31972" s="5">
        <v>97.5</v>
      </c>
      <c r="I31972" s="5">
        <v>0</v>
      </c>
      <c r="J31972" s="5">
        <v>0</v>
      </c>
      <c r="K31972" s="5">
        <v>0</v>
      </c>
    </row>
    <row r="31973" spans="1:11" x14ac:dyDescent="0.25">
      <c r="A31973" s="5">
        <f>31966</f>
      </c>
      <c r="B31973" s="5" t="s">
        <v>31981</v>
      </c>
      <c r="C31973" s="5">
        <v>97.6</v>
      </c>
      <c r="D31973" s="5">
        <v>0.1</v>
      </c>
      <c r="E31973" s="5">
        <v>97.8</v>
      </c>
      <c r="F31973" s="5">
        <v>195.6</v>
      </c>
      <c r="G31973" s="5">
        <v>97.6</v>
      </c>
      <c r="H31973" s="5">
        <v>97.5</v>
      </c>
      <c r="I31973" s="5">
        <v>0</v>
      </c>
      <c r="J31973" s="5">
        <v>0</v>
      </c>
      <c r="K31973" s="5">
        <v>0</v>
      </c>
    </row>
    <row r="31974" spans="1:11" x14ac:dyDescent="0.25">
      <c r="A31974" s="5">
        <f>31967</f>
      </c>
      <c r="B31974" s="5" t="s">
        <v>31982</v>
      </c>
      <c r="C31974" s="5">
        <v>97.6</v>
      </c>
      <c r="D31974" s="5">
        <v>0.1</v>
      </c>
      <c r="E31974" s="5">
        <v>97.8</v>
      </c>
      <c r="F31974" s="5">
        <v>195.6</v>
      </c>
      <c r="G31974" s="5">
        <v>97.6</v>
      </c>
      <c r="H31974" s="5">
        <v>97.5</v>
      </c>
      <c r="I31974" s="5">
        <v>0</v>
      </c>
      <c r="J31974" s="5">
        <v>0</v>
      </c>
      <c r="K31974" s="5">
        <v>0</v>
      </c>
    </row>
    <row r="31975" spans="1:11" x14ac:dyDescent="0.25">
      <c r="A31975" s="5">
        <f>31968</f>
      </c>
      <c r="B31975" s="5" t="s">
        <v>31983</v>
      </c>
      <c r="C31975" s="5">
        <v>97.6</v>
      </c>
      <c r="D31975" s="5">
        <v>0.1</v>
      </c>
      <c r="E31975" s="5">
        <v>97.8</v>
      </c>
      <c r="F31975" s="5">
        <v>195.6</v>
      </c>
      <c r="G31975" s="5">
        <v>97.6</v>
      </c>
      <c r="H31975" s="5">
        <v>97.5</v>
      </c>
      <c r="I31975" s="5">
        <v>0</v>
      </c>
      <c r="J31975" s="5">
        <v>0</v>
      </c>
      <c r="K31975" s="5">
        <v>0</v>
      </c>
    </row>
    <row r="31976" spans="1:11" x14ac:dyDescent="0.25">
      <c r="A31976" s="5">
        <f>31969</f>
      </c>
      <c r="B31976" s="5" t="s">
        <v>31984</v>
      </c>
      <c r="C31976" s="5">
        <v>97.6</v>
      </c>
      <c r="D31976" s="5">
        <v>0.1</v>
      </c>
      <c r="E31976" s="5">
        <v>97.8</v>
      </c>
      <c r="F31976" s="5">
        <v>195.6</v>
      </c>
      <c r="G31976" s="5">
        <v>97.6</v>
      </c>
      <c r="H31976" s="5">
        <v>97.5</v>
      </c>
      <c r="I31976" s="5">
        <v>0</v>
      </c>
      <c r="J31976" s="5">
        <v>0</v>
      </c>
      <c r="K31976" s="5">
        <v>0</v>
      </c>
    </row>
    <row r="31977" spans="1:11" x14ac:dyDescent="0.25">
      <c r="A31977" s="5">
        <f>31970</f>
      </c>
      <c r="B31977" s="5" t="s">
        <v>31985</v>
      </c>
      <c r="C31977" s="5">
        <v>97.6</v>
      </c>
      <c r="D31977" s="5">
        <v>0.1</v>
      </c>
      <c r="E31977" s="5">
        <v>97.8</v>
      </c>
      <c r="F31977" s="5">
        <v>195.6</v>
      </c>
      <c r="G31977" s="5">
        <v>97.6</v>
      </c>
      <c r="H31977" s="5">
        <v>97.5</v>
      </c>
      <c r="I31977" s="5">
        <v>0</v>
      </c>
      <c r="J31977" s="5">
        <v>0</v>
      </c>
      <c r="K31977" s="5">
        <v>0</v>
      </c>
    </row>
    <row r="31978" spans="1:11" x14ac:dyDescent="0.25">
      <c r="A31978" s="5">
        <f>31971</f>
      </c>
      <c r="B31978" s="5" t="s">
        <v>31986</v>
      </c>
      <c r="C31978" s="5">
        <v>97.6</v>
      </c>
      <c r="D31978" s="5">
        <v>0.1</v>
      </c>
      <c r="E31978" s="5">
        <v>97.8</v>
      </c>
      <c r="F31978" s="5">
        <v>195.6</v>
      </c>
      <c r="G31978" s="5">
        <v>97.6</v>
      </c>
      <c r="H31978" s="5">
        <v>97.5</v>
      </c>
      <c r="I31978" s="5">
        <v>0</v>
      </c>
      <c r="J31978" s="5">
        <v>0</v>
      </c>
      <c r="K31978" s="5">
        <v>0</v>
      </c>
    </row>
    <row r="31979" spans="1:11" x14ac:dyDescent="0.25">
      <c r="A31979" s="5">
        <f>31972</f>
      </c>
      <c r="B31979" s="5" t="s">
        <v>31987</v>
      </c>
      <c r="C31979" s="5">
        <v>97.6</v>
      </c>
      <c r="D31979" s="5">
        <v>0.1</v>
      </c>
      <c r="E31979" s="5">
        <v>97.8</v>
      </c>
      <c r="F31979" s="5">
        <v>195.6</v>
      </c>
      <c r="G31979" s="5">
        <v>97.6</v>
      </c>
      <c r="H31979" s="5">
        <v>97.5</v>
      </c>
      <c r="I31979" s="5">
        <v>0</v>
      </c>
      <c r="J31979" s="5">
        <v>0</v>
      </c>
      <c r="K31979" s="5">
        <v>0</v>
      </c>
    </row>
    <row r="31980" spans="1:11" x14ac:dyDescent="0.25">
      <c r="A31980" s="5">
        <f>31973</f>
      </c>
      <c r="B31980" s="5" t="s">
        <v>31988</v>
      </c>
      <c r="C31980" s="5">
        <v>97.6</v>
      </c>
      <c r="D31980" s="5">
        <v>0.1</v>
      </c>
      <c r="E31980" s="5">
        <v>97.8</v>
      </c>
      <c r="F31980" s="5">
        <v>195.6</v>
      </c>
      <c r="G31980" s="5">
        <v>97.6</v>
      </c>
      <c r="H31980" s="5">
        <v>97.5</v>
      </c>
      <c r="I31980" s="5">
        <v>0</v>
      </c>
      <c r="J31980" s="5">
        <v>0</v>
      </c>
      <c r="K31980" s="5">
        <v>0</v>
      </c>
    </row>
    <row r="31981" spans="1:11" x14ac:dyDescent="0.25">
      <c r="A31981" s="5">
        <f>31974</f>
      </c>
      <c r="B31981" s="5" t="s">
        <v>31989</v>
      </c>
      <c r="C31981" s="5">
        <v>97.6</v>
      </c>
      <c r="D31981" s="5">
        <v>0.1</v>
      </c>
      <c r="E31981" s="5">
        <v>97.8</v>
      </c>
      <c r="F31981" s="5">
        <v>195.6</v>
      </c>
      <c r="G31981" s="5">
        <v>97.6</v>
      </c>
      <c r="H31981" s="5">
        <v>97.5</v>
      </c>
      <c r="I31981" s="5">
        <v>0</v>
      </c>
      <c r="J31981" s="5">
        <v>0</v>
      </c>
      <c r="K31981" s="5">
        <v>0</v>
      </c>
    </row>
    <row r="31982" spans="1:11" x14ac:dyDescent="0.25">
      <c r="A31982" s="5">
        <f>31975</f>
      </c>
      <c r="B31982" s="5" t="s">
        <v>31990</v>
      </c>
      <c r="C31982" s="5">
        <v>97.6</v>
      </c>
      <c r="D31982" s="5">
        <v>0.1</v>
      </c>
      <c r="E31982" s="5">
        <v>97.8</v>
      </c>
      <c r="F31982" s="5">
        <v>195.6</v>
      </c>
      <c r="G31982" s="5">
        <v>97.6</v>
      </c>
      <c r="H31982" s="5">
        <v>97.5</v>
      </c>
      <c r="I31982" s="5">
        <v>0</v>
      </c>
      <c r="J31982" s="5">
        <v>0</v>
      </c>
      <c r="K31982" s="5">
        <v>0</v>
      </c>
    </row>
    <row r="31983" spans="1:11" x14ac:dyDescent="0.25">
      <c r="A31983" s="5">
        <f>31976</f>
      </c>
      <c r="B31983" s="5" t="s">
        <v>31991</v>
      </c>
      <c r="C31983" s="5">
        <v>97.6</v>
      </c>
      <c r="D31983" s="5">
        <v>0.1</v>
      </c>
      <c r="E31983" s="5">
        <v>97.8</v>
      </c>
      <c r="F31983" s="5">
        <v>195.6</v>
      </c>
      <c r="G31983" s="5">
        <v>97.6</v>
      </c>
      <c r="H31983" s="5">
        <v>97.5</v>
      </c>
      <c r="I31983" s="5">
        <v>0</v>
      </c>
      <c r="J31983" s="5">
        <v>0</v>
      </c>
      <c r="K31983" s="5">
        <v>0</v>
      </c>
    </row>
    <row r="31984" spans="1:11" x14ac:dyDescent="0.25">
      <c r="A31984" s="5">
        <f>31977</f>
      </c>
      <c r="B31984" s="5" t="s">
        <v>31992</v>
      </c>
      <c r="C31984" s="5">
        <v>0</v>
      </c>
      <c r="D31984" s="5">
        <v>0</v>
      </c>
      <c r="E31984" s="5">
        <v>0</v>
      </c>
      <c r="F31984" s="5">
        <v>0</v>
      </c>
      <c r="G31984" s="5">
        <v>0</v>
      </c>
      <c r="H31984" s="5">
        <v>0</v>
      </c>
      <c r="I31984" s="5">
        <v>0</v>
      </c>
      <c r="J31984" s="5">
        <v>0</v>
      </c>
      <c r="K31984" s="5">
        <v>0</v>
      </c>
    </row>
    <row r="31985" spans="1:11" x14ac:dyDescent="0.25">
      <c r="A31985" s="5">
        <f>31978</f>
      </c>
      <c r="B31985" s="5" t="s">
        <v>31993</v>
      </c>
      <c r="C31985" s="5">
        <v>0</v>
      </c>
      <c r="D31985" s="5">
        <v>0</v>
      </c>
      <c r="E31985" s="5">
        <v>0</v>
      </c>
      <c r="F31985" s="5">
        <v>0</v>
      </c>
      <c r="G31985" s="5">
        <v>0</v>
      </c>
      <c r="H31985" s="5">
        <v>0</v>
      </c>
      <c r="I31985" s="5">
        <v>0</v>
      </c>
      <c r="J31985" s="5">
        <v>0</v>
      </c>
      <c r="K31985" s="5">
        <v>0</v>
      </c>
    </row>
    <row r="31986" spans="1:11" x14ac:dyDescent="0.25">
      <c r="A31986" s="5">
        <f>31979</f>
      </c>
      <c r="B31986" s="5" t="s">
        <v>31994</v>
      </c>
      <c r="C31986" s="5">
        <v>100.3</v>
      </c>
      <c r="D31986" s="5">
        <v>0.1</v>
      </c>
      <c r="E31986" s="5">
        <v>100.5</v>
      </c>
      <c r="F31986" s="5">
        <v>200</v>
      </c>
      <c r="G31986" s="5">
        <v>99.8</v>
      </c>
      <c r="H31986" s="5">
        <v>99.7</v>
      </c>
      <c r="I31986" s="5">
        <v>0</v>
      </c>
      <c r="J31986" s="5">
        <v>0</v>
      </c>
      <c r="K31986" s="5">
        <v>0</v>
      </c>
    </row>
    <row r="31987" spans="1:11" x14ac:dyDescent="0.25">
      <c r="A31987" s="5">
        <f>31980</f>
      </c>
      <c r="B31987" s="5" t="s">
        <v>31995</v>
      </c>
      <c r="C31987" s="5">
        <v>100.3</v>
      </c>
      <c r="D31987" s="5">
        <v>0.1</v>
      </c>
      <c r="E31987" s="5">
        <v>100.5</v>
      </c>
      <c r="F31987" s="5">
        <v>200</v>
      </c>
      <c r="G31987" s="5">
        <v>99.8</v>
      </c>
      <c r="H31987" s="5">
        <v>99.7</v>
      </c>
      <c r="I31987" s="5">
        <v>0</v>
      </c>
      <c r="J31987" s="5">
        <v>0</v>
      </c>
      <c r="K31987" s="5">
        <v>0</v>
      </c>
    </row>
    <row r="31988" spans="1:11" x14ac:dyDescent="0.25">
      <c r="A31988" s="5">
        <f>31981</f>
      </c>
      <c r="B31988" s="5" t="s">
        <v>31996</v>
      </c>
      <c r="C31988" s="5">
        <v>100</v>
      </c>
      <c r="D31988" s="5">
        <v>0.1</v>
      </c>
      <c r="E31988" s="5">
        <v>100.2</v>
      </c>
      <c r="F31988" s="5">
        <v>199.6</v>
      </c>
      <c r="G31988" s="5">
        <v>99.6</v>
      </c>
      <c r="H31988" s="5">
        <v>99.5</v>
      </c>
      <c r="I31988" s="5">
        <v>0</v>
      </c>
      <c r="J31988" s="5">
        <v>0</v>
      </c>
      <c r="K31988" s="5">
        <v>0</v>
      </c>
    </row>
    <row r="31989" spans="1:11" x14ac:dyDescent="0.25">
      <c r="A31989" s="5">
        <f>31982</f>
      </c>
      <c r="B31989" s="5" t="s">
        <v>31997</v>
      </c>
      <c r="C31989" s="5">
        <v>100</v>
      </c>
      <c r="D31989" s="5">
        <v>0.1</v>
      </c>
      <c r="E31989" s="5">
        <v>100.2</v>
      </c>
      <c r="F31989" s="5">
        <v>199.6</v>
      </c>
      <c r="G31989" s="5">
        <v>99.6</v>
      </c>
      <c r="H31989" s="5">
        <v>99.5</v>
      </c>
      <c r="I31989" s="5">
        <v>0</v>
      </c>
      <c r="J31989" s="5">
        <v>0</v>
      </c>
      <c r="K31989" s="5">
        <v>0</v>
      </c>
    </row>
    <row r="31990" spans="1:11" x14ac:dyDescent="0.25">
      <c r="A31990" s="5">
        <f>31983</f>
      </c>
      <c r="B31990" s="5" t="s">
        <v>31998</v>
      </c>
      <c r="C31990" s="5">
        <v>100.5</v>
      </c>
      <c r="D31990" s="5">
        <v>0.1</v>
      </c>
      <c r="E31990" s="5">
        <v>100.7</v>
      </c>
      <c r="F31990" s="5">
        <v>201</v>
      </c>
      <c r="G31990" s="5">
        <v>100.3</v>
      </c>
      <c r="H31990" s="5">
        <v>100.1</v>
      </c>
      <c r="I31990" s="5">
        <v>0</v>
      </c>
      <c r="J31990" s="5">
        <v>0</v>
      </c>
      <c r="K31990" s="5">
        <v>0</v>
      </c>
    </row>
    <row r="31991" spans="1:11" x14ac:dyDescent="0.25">
      <c r="A31991" s="5">
        <f>31984</f>
      </c>
      <c r="B31991" s="5" t="s">
        <v>31999</v>
      </c>
      <c r="C31991" s="5">
        <v>100.5</v>
      </c>
      <c r="D31991" s="5">
        <v>0.1</v>
      </c>
      <c r="E31991" s="5">
        <v>100.7</v>
      </c>
      <c r="F31991" s="5">
        <v>201</v>
      </c>
      <c r="G31991" s="5">
        <v>100.3</v>
      </c>
      <c r="H31991" s="5">
        <v>100.1</v>
      </c>
      <c r="I31991" s="5">
        <v>0</v>
      </c>
      <c r="J31991" s="5">
        <v>0</v>
      </c>
      <c r="K31991" s="5">
        <v>0</v>
      </c>
    </row>
    <row r="31992" spans="1:11" x14ac:dyDescent="0.25">
      <c r="A31992" s="5">
        <f>31985</f>
      </c>
      <c r="B31992" s="5" t="s">
        <v>32000</v>
      </c>
      <c r="C31992" s="5">
        <v>100.7</v>
      </c>
      <c r="D31992" s="5">
        <v>0.1</v>
      </c>
      <c r="E31992" s="5">
        <v>100.8</v>
      </c>
      <c r="F31992" s="5">
        <v>200.5</v>
      </c>
      <c r="G31992" s="5">
        <v>100</v>
      </c>
      <c r="H31992" s="5">
        <v>99.9</v>
      </c>
      <c r="I31992" s="5">
        <v>0</v>
      </c>
      <c r="J31992" s="5">
        <v>0</v>
      </c>
      <c r="K31992" s="5">
        <v>0</v>
      </c>
    </row>
    <row r="31993" spans="1:11" x14ac:dyDescent="0.25">
      <c r="A31993" s="5">
        <f>31986</f>
      </c>
      <c r="B31993" s="5" t="s">
        <v>32001</v>
      </c>
      <c r="C31993" s="5">
        <v>100.7</v>
      </c>
      <c r="D31993" s="5">
        <v>0.1</v>
      </c>
      <c r="E31993" s="5">
        <v>100.8</v>
      </c>
      <c r="F31993" s="5">
        <v>200.5</v>
      </c>
      <c r="G31993" s="5">
        <v>100</v>
      </c>
      <c r="H31993" s="5">
        <v>99.9</v>
      </c>
      <c r="I31993" s="5">
        <v>0</v>
      </c>
      <c r="J31993" s="5">
        <v>0</v>
      </c>
      <c r="K31993" s="5">
        <v>0</v>
      </c>
    </row>
    <row r="31994" spans="1:11" x14ac:dyDescent="0.25">
      <c r="A31994" s="5">
        <f>31987</f>
      </c>
      <c r="B31994" s="5" t="s">
        <v>32002</v>
      </c>
      <c r="C31994" s="5">
        <v>100.7</v>
      </c>
      <c r="D31994" s="5">
        <v>0.1</v>
      </c>
      <c r="E31994" s="5">
        <v>100.8</v>
      </c>
      <c r="F31994" s="5">
        <v>200.5</v>
      </c>
      <c r="G31994" s="5">
        <v>100</v>
      </c>
      <c r="H31994" s="5">
        <v>99.9</v>
      </c>
      <c r="I31994" s="5">
        <v>0</v>
      </c>
      <c r="J31994" s="5">
        <v>0</v>
      </c>
      <c r="K31994" s="5">
        <v>0</v>
      </c>
    </row>
    <row r="31995" spans="1:11" x14ac:dyDescent="0.25">
      <c r="A31995" s="5">
        <f>31988</f>
      </c>
      <c r="B31995" s="5" t="s">
        <v>32003</v>
      </c>
      <c r="C31995" s="5">
        <v>100.7</v>
      </c>
      <c r="D31995" s="5">
        <v>0.1</v>
      </c>
      <c r="E31995" s="5">
        <v>100.8</v>
      </c>
      <c r="F31995" s="5">
        <v>200.5</v>
      </c>
      <c r="G31995" s="5">
        <v>100</v>
      </c>
      <c r="H31995" s="5">
        <v>99.9</v>
      </c>
      <c r="I31995" s="5">
        <v>0</v>
      </c>
      <c r="J31995" s="5">
        <v>0</v>
      </c>
      <c r="K31995" s="5">
        <v>0</v>
      </c>
    </row>
    <row r="31996" spans="1:11" x14ac:dyDescent="0.25">
      <c r="A31996" s="5">
        <f>31989</f>
      </c>
      <c r="B31996" s="5" t="s">
        <v>32004</v>
      </c>
      <c r="C31996" s="5">
        <v>100.2</v>
      </c>
      <c r="D31996" s="5">
        <v>0.1</v>
      </c>
      <c r="E31996" s="5">
        <v>100.3</v>
      </c>
      <c r="F31996" s="5">
        <v>200.5</v>
      </c>
      <c r="G31996" s="5">
        <v>100.1</v>
      </c>
      <c r="H31996" s="5">
        <v>99.9</v>
      </c>
      <c r="I31996" s="5">
        <v>0</v>
      </c>
      <c r="J31996" s="5">
        <v>0</v>
      </c>
      <c r="K31996" s="5">
        <v>0</v>
      </c>
    </row>
    <row r="31997" spans="1:11" x14ac:dyDescent="0.25">
      <c r="A31997" s="5">
        <f>31990</f>
      </c>
      <c r="B31997" s="5" t="s">
        <v>32005</v>
      </c>
      <c r="C31997" s="5">
        <v>100.2</v>
      </c>
      <c r="D31997" s="5">
        <v>0.1</v>
      </c>
      <c r="E31997" s="5">
        <v>100.3</v>
      </c>
      <c r="F31997" s="5">
        <v>200.5</v>
      </c>
      <c r="G31997" s="5">
        <v>100.1</v>
      </c>
      <c r="H31997" s="5">
        <v>99.9</v>
      </c>
      <c r="I31997" s="5">
        <v>0</v>
      </c>
      <c r="J31997" s="5">
        <v>0</v>
      </c>
      <c r="K31997" s="5">
        <v>0</v>
      </c>
    </row>
    <row r="31998" spans="1:11" x14ac:dyDescent="0.25">
      <c r="A31998" s="5">
        <f>31991</f>
      </c>
      <c r="B31998" s="5" t="s">
        <v>32006</v>
      </c>
      <c r="C31998" s="5">
        <v>100.9</v>
      </c>
      <c r="D31998" s="5">
        <v>0.1</v>
      </c>
      <c r="E31998" s="5">
        <v>101.1</v>
      </c>
      <c r="F31998" s="5">
        <v>201.7</v>
      </c>
      <c r="G31998" s="5">
        <v>100.6</v>
      </c>
      <c r="H31998" s="5">
        <v>100.5</v>
      </c>
      <c r="I31998" s="5">
        <v>0</v>
      </c>
      <c r="J31998" s="5">
        <v>0</v>
      </c>
      <c r="K31998" s="5">
        <v>0</v>
      </c>
    </row>
    <row r="31999" spans="1:11" x14ac:dyDescent="0.25">
      <c r="A31999" s="5">
        <f>31992</f>
      </c>
      <c r="B31999" s="5" t="s">
        <v>32007</v>
      </c>
      <c r="C31999" s="5">
        <v>100.9</v>
      </c>
      <c r="D31999" s="5">
        <v>0.1</v>
      </c>
      <c r="E31999" s="5">
        <v>101.1</v>
      </c>
      <c r="F31999" s="5">
        <v>201.7</v>
      </c>
      <c r="G31999" s="5">
        <v>100.6</v>
      </c>
      <c r="H31999" s="5">
        <v>100.5</v>
      </c>
      <c r="I31999" s="5">
        <v>0</v>
      </c>
      <c r="J31999" s="5">
        <v>0</v>
      </c>
      <c r="K31999" s="5">
        <v>0</v>
      </c>
    </row>
    <row r="32000" spans="1:11" x14ac:dyDescent="0.25">
      <c r="A32000" s="5">
        <f>31993</f>
      </c>
      <c r="B32000" s="5" t="s">
        <v>32008</v>
      </c>
      <c r="C32000" s="5">
        <v>101.1</v>
      </c>
      <c r="D32000" s="5">
        <v>0.1</v>
      </c>
      <c r="E32000" s="5">
        <v>101.3</v>
      </c>
      <c r="F32000" s="5">
        <v>202</v>
      </c>
      <c r="G32000" s="5">
        <v>100.8</v>
      </c>
      <c r="H32000" s="5">
        <v>100.7</v>
      </c>
      <c r="I32000" s="5">
        <v>0</v>
      </c>
      <c r="J32000" s="5">
        <v>0</v>
      </c>
      <c r="K32000" s="5">
        <v>0</v>
      </c>
    </row>
    <row r="32001" spans="1:11" x14ac:dyDescent="0.25">
      <c r="A32001" s="5">
        <f>31994</f>
      </c>
      <c r="B32001" s="5" t="s">
        <v>32009</v>
      </c>
      <c r="C32001" s="5">
        <v>101.1</v>
      </c>
      <c r="D32001" s="5">
        <v>0.1</v>
      </c>
      <c r="E32001" s="5">
        <v>101.3</v>
      </c>
      <c r="F32001" s="5">
        <v>202</v>
      </c>
      <c r="G32001" s="5">
        <v>100.8</v>
      </c>
      <c r="H32001" s="5">
        <v>100.7</v>
      </c>
      <c r="I32001" s="5">
        <v>0</v>
      </c>
      <c r="J32001" s="5">
        <v>0</v>
      </c>
      <c r="K32001" s="5">
        <v>0</v>
      </c>
    </row>
    <row r="32002" spans="1:11" x14ac:dyDescent="0.25">
      <c r="A32002" s="5">
        <f>31995</f>
      </c>
      <c r="B32002" s="5" t="s">
        <v>32010</v>
      </c>
      <c r="C32002" s="5">
        <v>101.1</v>
      </c>
      <c r="D32002" s="5">
        <v>0.1</v>
      </c>
      <c r="E32002" s="5">
        <v>101.2</v>
      </c>
      <c r="F32002" s="5">
        <v>201.4</v>
      </c>
      <c r="G32002" s="5">
        <v>100.5</v>
      </c>
      <c r="H32002" s="5">
        <v>100.3</v>
      </c>
      <c r="I32002" s="5">
        <v>0</v>
      </c>
      <c r="J32002" s="5">
        <v>0</v>
      </c>
      <c r="K32002" s="5">
        <v>0</v>
      </c>
    </row>
    <row r="32003" spans="1:11" x14ac:dyDescent="0.25">
      <c r="A32003" s="5">
        <f>31996</f>
      </c>
      <c r="B32003" s="5" t="s">
        <v>32011</v>
      </c>
      <c r="C32003" s="5">
        <v>101.1</v>
      </c>
      <c r="D32003" s="5">
        <v>0.1</v>
      </c>
      <c r="E32003" s="5">
        <v>101.2</v>
      </c>
      <c r="F32003" s="5">
        <v>201.4</v>
      </c>
      <c r="G32003" s="5">
        <v>100.5</v>
      </c>
      <c r="H32003" s="5">
        <v>100.3</v>
      </c>
      <c r="I32003" s="5">
        <v>0</v>
      </c>
      <c r="J32003" s="5">
        <v>0</v>
      </c>
      <c r="K32003" s="5">
        <v>0</v>
      </c>
    </row>
    <row r="32004" spans="1:11" x14ac:dyDescent="0.25">
      <c r="A32004" s="5">
        <f>31997</f>
      </c>
      <c r="B32004" s="5" t="s">
        <v>32012</v>
      </c>
      <c r="C32004" s="5">
        <v>101.1</v>
      </c>
      <c r="D32004" s="5">
        <v>0.1</v>
      </c>
      <c r="E32004" s="5">
        <v>101.2</v>
      </c>
      <c r="F32004" s="5">
        <v>201.4</v>
      </c>
      <c r="G32004" s="5">
        <v>100.5</v>
      </c>
      <c r="H32004" s="5">
        <v>100.3</v>
      </c>
      <c r="I32004" s="5">
        <v>0</v>
      </c>
      <c r="J32004" s="5">
        <v>0</v>
      </c>
      <c r="K32004" s="5">
        <v>0</v>
      </c>
    </row>
    <row r="32005" spans="1:11" x14ac:dyDescent="0.25">
      <c r="A32005" s="5">
        <f>31998</f>
      </c>
      <c r="B32005" s="5" t="s">
        <v>32013</v>
      </c>
      <c r="C32005" s="5">
        <v>97.3</v>
      </c>
      <c r="D32005" s="5">
        <v>0.1</v>
      </c>
      <c r="E32005" s="5">
        <v>97.5</v>
      </c>
      <c r="F32005" s="5">
        <v>188.9</v>
      </c>
      <c r="G32005" s="5">
        <v>94.6</v>
      </c>
      <c r="H32005" s="5">
        <v>95.1</v>
      </c>
      <c r="I32005" s="5">
        <v>0</v>
      </c>
      <c r="J32005" s="5">
        <v>0</v>
      </c>
      <c r="K32005" s="5">
        <v>0</v>
      </c>
    </row>
    <row r="32006" spans="1:11" x14ac:dyDescent="0.25">
      <c r="A32006" s="5">
        <f>31999</f>
      </c>
      <c r="B32006" s="5" t="s">
        <v>32014</v>
      </c>
      <c r="C32006" s="5">
        <v>97.3</v>
      </c>
      <c r="D32006" s="5">
        <v>0.1</v>
      </c>
      <c r="E32006" s="5">
        <v>97.5</v>
      </c>
      <c r="F32006" s="5">
        <v>188.9</v>
      </c>
      <c r="G32006" s="5">
        <v>94.6</v>
      </c>
      <c r="H32006" s="5">
        <v>95.1</v>
      </c>
      <c r="I32006" s="5">
        <v>0</v>
      </c>
      <c r="J32006" s="5">
        <v>0</v>
      </c>
      <c r="K32006" s="5">
        <v>0</v>
      </c>
    </row>
    <row r="32007" spans="1:11" x14ac:dyDescent="0.25">
      <c r="A32007" s="5">
        <f>32000</f>
      </c>
      <c r="B32007" s="5" t="s">
        <v>32015</v>
      </c>
      <c r="C32007" s="5">
        <v>101.1</v>
      </c>
      <c r="D32007" s="5">
        <v>0.1</v>
      </c>
      <c r="E32007" s="5">
        <v>101.2</v>
      </c>
      <c r="F32007" s="5">
        <v>201.7</v>
      </c>
      <c r="G32007" s="5">
        <v>100.6</v>
      </c>
      <c r="H32007" s="5">
        <v>100.5</v>
      </c>
      <c r="I32007" s="5">
        <v>0</v>
      </c>
      <c r="J32007" s="5">
        <v>0</v>
      </c>
      <c r="K32007" s="5">
        <v>0</v>
      </c>
    </row>
    <row r="32008" spans="1:11" x14ac:dyDescent="0.25">
      <c r="A32008" s="5">
        <f>32001</f>
      </c>
      <c r="B32008" s="5" t="s">
        <v>32016</v>
      </c>
      <c r="C32008" s="5">
        <v>101.1</v>
      </c>
      <c r="D32008" s="5">
        <v>0.1</v>
      </c>
      <c r="E32008" s="5">
        <v>101.2</v>
      </c>
      <c r="F32008" s="5">
        <v>201.7</v>
      </c>
      <c r="G32008" s="5">
        <v>100.6</v>
      </c>
      <c r="H32008" s="5">
        <v>100.5</v>
      </c>
      <c r="I32008" s="5">
        <v>0</v>
      </c>
      <c r="J32008" s="5">
        <v>0</v>
      </c>
      <c r="K32008" s="5">
        <v>0</v>
      </c>
    </row>
    <row r="32009" spans="1:11" x14ac:dyDescent="0.25">
      <c r="A32009" s="5">
        <f>32002</f>
      </c>
      <c r="B32009" s="5" t="s">
        <v>32017</v>
      </c>
      <c r="C32009" s="5">
        <v>100.8</v>
      </c>
      <c r="D32009" s="5">
        <v>0.1</v>
      </c>
      <c r="E32009" s="5">
        <v>100.8</v>
      </c>
      <c r="F32009" s="5">
        <v>201.7</v>
      </c>
      <c r="G32009" s="5">
        <v>100.6</v>
      </c>
      <c r="H32009" s="5">
        <v>100.4</v>
      </c>
      <c r="I32009" s="5">
        <v>0</v>
      </c>
      <c r="J32009" s="5">
        <v>0</v>
      </c>
      <c r="K32009" s="5">
        <v>0</v>
      </c>
    </row>
    <row r="32010" spans="1:11" x14ac:dyDescent="0.25">
      <c r="A32010" s="5">
        <f>32003</f>
      </c>
      <c r="B32010" s="5" t="s">
        <v>32018</v>
      </c>
      <c r="C32010" s="5">
        <v>100.8</v>
      </c>
      <c r="D32010" s="5">
        <v>0.1</v>
      </c>
      <c r="E32010" s="5">
        <v>100.8</v>
      </c>
      <c r="F32010" s="5">
        <v>201.7</v>
      </c>
      <c r="G32010" s="5">
        <v>100.6</v>
      </c>
      <c r="H32010" s="5">
        <v>100.4</v>
      </c>
      <c r="I32010" s="5">
        <v>0</v>
      </c>
      <c r="J32010" s="5">
        <v>0</v>
      </c>
      <c r="K32010" s="5">
        <v>0</v>
      </c>
    </row>
    <row r="32011" spans="1:11" x14ac:dyDescent="0.25">
      <c r="A32011" s="5">
        <f>32004</f>
      </c>
      <c r="B32011" s="5" t="s">
        <v>32019</v>
      </c>
      <c r="C32011" s="5">
        <v>95.6</v>
      </c>
      <c r="D32011" s="5">
        <v>0.1</v>
      </c>
      <c r="E32011" s="5">
        <v>95.7</v>
      </c>
      <c r="F32011" s="5">
        <v>190.9</v>
      </c>
      <c r="G32011" s="5">
        <v>95.2</v>
      </c>
      <c r="H32011" s="5">
        <v>95.1</v>
      </c>
      <c r="I32011" s="5">
        <v>0</v>
      </c>
      <c r="J32011" s="5">
        <v>0</v>
      </c>
      <c r="K32011" s="5">
        <v>0</v>
      </c>
    </row>
    <row r="32012" spans="1:11" x14ac:dyDescent="0.25">
      <c r="A32012" s="5">
        <f>32005</f>
      </c>
      <c r="B32012" s="5" t="s">
        <v>32020</v>
      </c>
      <c r="C32012" s="5">
        <v>95.6</v>
      </c>
      <c r="D32012" s="5">
        <v>0.1</v>
      </c>
      <c r="E32012" s="5">
        <v>95.7</v>
      </c>
      <c r="F32012" s="5">
        <v>190.9</v>
      </c>
      <c r="G32012" s="5">
        <v>95.2</v>
      </c>
      <c r="H32012" s="5">
        <v>95.1</v>
      </c>
      <c r="I32012" s="5">
        <v>0</v>
      </c>
      <c r="J32012" s="5">
        <v>0</v>
      </c>
      <c r="K32012" s="5">
        <v>0</v>
      </c>
    </row>
    <row r="32013" spans="1:11" x14ac:dyDescent="0.25">
      <c r="A32013" s="5">
        <f>32006</f>
      </c>
      <c r="B32013" s="5" t="s">
        <v>32021</v>
      </c>
      <c r="C32013" s="5">
        <v>95.6</v>
      </c>
      <c r="D32013" s="5">
        <v>0.1</v>
      </c>
      <c r="E32013" s="5">
        <v>95.7</v>
      </c>
      <c r="F32013" s="5">
        <v>190.9</v>
      </c>
      <c r="G32013" s="5">
        <v>95.2</v>
      </c>
      <c r="H32013" s="5">
        <v>95.1</v>
      </c>
      <c r="I32013" s="5">
        <v>0</v>
      </c>
      <c r="J32013" s="5">
        <v>0</v>
      </c>
      <c r="K32013" s="5">
        <v>0</v>
      </c>
    </row>
    <row r="32014" spans="1:11" x14ac:dyDescent="0.25">
      <c r="A32014" s="5">
        <f>32007</f>
      </c>
      <c r="B32014" s="5" t="s">
        <v>32022</v>
      </c>
      <c r="C32014" s="5">
        <v>94.1</v>
      </c>
      <c r="D32014" s="5">
        <v>0.1</v>
      </c>
      <c r="E32014" s="5">
        <v>94.1</v>
      </c>
      <c r="F32014" s="5">
        <v>198.8</v>
      </c>
      <c r="G32014" s="5">
        <v>98.7</v>
      </c>
      <c r="H32014" s="5">
        <v>98.2</v>
      </c>
      <c r="I32014" s="5">
        <v>0</v>
      </c>
      <c r="J32014" s="5">
        <v>0</v>
      </c>
      <c r="K32014" s="5">
        <v>0</v>
      </c>
    </row>
    <row r="32015" spans="1:11" x14ac:dyDescent="0.25">
      <c r="A32015" s="5">
        <f>32008</f>
      </c>
      <c r="B32015" s="5" t="s">
        <v>32023</v>
      </c>
      <c r="C32015" s="5">
        <v>92.9</v>
      </c>
      <c r="D32015" s="5">
        <v>0.1</v>
      </c>
      <c r="E32015" s="5">
        <v>99.9</v>
      </c>
      <c r="F32015" s="5">
        <v>198.3</v>
      </c>
      <c r="G32015" s="5">
        <v>91.6</v>
      </c>
      <c r="H32015" s="5">
        <v>91.6</v>
      </c>
      <c r="I32015" s="5">
        <v>0</v>
      </c>
      <c r="J32015" s="5">
        <v>0</v>
      </c>
      <c r="K32015" s="5">
        <v>0</v>
      </c>
    </row>
    <row r="32016" spans="1:11" x14ac:dyDescent="0.25">
      <c r="A32016" s="5">
        <f>32009</f>
      </c>
      <c r="B32016" s="5" t="s">
        <v>32024</v>
      </c>
      <c r="C32016" s="5">
        <v>92.9</v>
      </c>
      <c r="D32016" s="5">
        <v>0.1</v>
      </c>
      <c r="E32016" s="5">
        <v>93</v>
      </c>
      <c r="F32016" s="5">
        <v>183.6</v>
      </c>
      <c r="G32016" s="5">
        <v>91.6</v>
      </c>
      <c r="H32016" s="5">
        <v>91.6</v>
      </c>
      <c r="I32016" s="5">
        <v>0</v>
      </c>
      <c r="J32016" s="5">
        <v>0</v>
      </c>
      <c r="K32016" s="5">
        <v>0</v>
      </c>
    </row>
    <row r="32017" spans="1:11" x14ac:dyDescent="0.25">
      <c r="A32017" s="5">
        <f>32010</f>
      </c>
      <c r="B32017" s="5" t="s">
        <v>32025</v>
      </c>
      <c r="C32017" s="5">
        <v>92.9</v>
      </c>
      <c r="D32017" s="5">
        <v>0.1</v>
      </c>
      <c r="E32017" s="5">
        <v>93</v>
      </c>
      <c r="F32017" s="5">
        <v>183.6</v>
      </c>
      <c r="G32017" s="5">
        <v>91.6</v>
      </c>
      <c r="H32017" s="5">
        <v>94</v>
      </c>
      <c r="I32017" s="5">
        <v>0</v>
      </c>
      <c r="J32017" s="5">
        <v>0</v>
      </c>
      <c r="K32017" s="5">
        <v>0</v>
      </c>
    </row>
    <row r="32018" spans="1:11" x14ac:dyDescent="0.25">
      <c r="A32018" s="5">
        <f>32011</f>
      </c>
      <c r="B32018" s="5" t="s">
        <v>32026</v>
      </c>
      <c r="C32018" s="5">
        <v>94.6</v>
      </c>
      <c r="D32018" s="5">
        <v>0.1</v>
      </c>
      <c r="E32018" s="5">
        <v>94.8</v>
      </c>
      <c r="F32018" s="5">
        <v>188.6</v>
      </c>
      <c r="G32018" s="5">
        <v>94.1</v>
      </c>
      <c r="H32018" s="5">
        <v>94</v>
      </c>
      <c r="I32018" s="5">
        <v>0</v>
      </c>
      <c r="J32018" s="5">
        <v>0</v>
      </c>
      <c r="K32018" s="5">
        <v>0</v>
      </c>
    </row>
    <row r="32019" spans="1:11" x14ac:dyDescent="0.25">
      <c r="A32019" s="5">
        <f>32012</f>
      </c>
      <c r="B32019" s="5" t="s">
        <v>32027</v>
      </c>
      <c r="C32019" s="5">
        <v>94.6</v>
      </c>
      <c r="D32019" s="5">
        <v>0.1</v>
      </c>
      <c r="E32019" s="5">
        <v>94.8</v>
      </c>
      <c r="F32019" s="5">
        <v>188.6</v>
      </c>
      <c r="G32019" s="5">
        <v>94.1</v>
      </c>
      <c r="H32019" s="5">
        <v>94</v>
      </c>
      <c r="I32019" s="5">
        <v>0</v>
      </c>
      <c r="J32019" s="5">
        <v>0</v>
      </c>
      <c r="K32019" s="5">
        <v>0</v>
      </c>
    </row>
    <row r="32020" spans="1:11" x14ac:dyDescent="0.25">
      <c r="A32020" s="5">
        <f>32013</f>
      </c>
      <c r="B32020" s="5" t="s">
        <v>32028</v>
      </c>
      <c r="C32020" s="5">
        <v>98.9</v>
      </c>
      <c r="D32020" s="5">
        <v>0.1</v>
      </c>
      <c r="E32020" s="5">
        <v>99</v>
      </c>
      <c r="F32020" s="5">
        <v>197.5</v>
      </c>
      <c r="G32020" s="5">
        <v>98.5</v>
      </c>
      <c r="H32020" s="5">
        <v>98.4</v>
      </c>
      <c r="I32020" s="5">
        <v>0</v>
      </c>
      <c r="J32020" s="5">
        <v>0</v>
      </c>
      <c r="K32020" s="5">
        <v>0</v>
      </c>
    </row>
    <row r="32021" spans="1:11" x14ac:dyDescent="0.25">
      <c r="A32021" s="5">
        <f>32014</f>
      </c>
      <c r="B32021" s="5" t="s">
        <v>32029</v>
      </c>
      <c r="C32021" s="5">
        <v>98.9</v>
      </c>
      <c r="D32021" s="5">
        <v>0.1</v>
      </c>
      <c r="E32021" s="5">
        <v>99</v>
      </c>
      <c r="F32021" s="5">
        <v>197.5</v>
      </c>
      <c r="G32021" s="5">
        <v>98.5</v>
      </c>
      <c r="H32021" s="5">
        <v>98.4</v>
      </c>
      <c r="I32021" s="5">
        <v>0</v>
      </c>
      <c r="J32021" s="5">
        <v>0</v>
      </c>
      <c r="K32021" s="5">
        <v>0</v>
      </c>
    </row>
    <row r="32022" spans="1:11" x14ac:dyDescent="0.25">
      <c r="A32022" s="5">
        <f>32015</f>
      </c>
      <c r="B32022" s="5" t="s">
        <v>32030</v>
      </c>
      <c r="C32022" s="5">
        <v>93.2</v>
      </c>
      <c r="D32022" s="5">
        <v>0.1</v>
      </c>
      <c r="E32022" s="5">
        <v>93.3</v>
      </c>
      <c r="F32022" s="5">
        <v>190.4</v>
      </c>
      <c r="G32022" s="5">
        <v>94.8</v>
      </c>
      <c r="H32022" s="5">
        <v>94.6</v>
      </c>
      <c r="I32022" s="5">
        <v>0</v>
      </c>
      <c r="J32022" s="5">
        <v>0</v>
      </c>
      <c r="K32022" s="5">
        <v>0</v>
      </c>
    </row>
    <row r="32023" spans="1:11" x14ac:dyDescent="0.25">
      <c r="A32023" s="5">
        <f>32016</f>
      </c>
      <c r="B32023" s="5" t="s">
        <v>32031</v>
      </c>
      <c r="C32023" s="5">
        <v>93.2</v>
      </c>
      <c r="D32023" s="5">
        <v>0.1</v>
      </c>
      <c r="E32023" s="5">
        <v>93.3</v>
      </c>
      <c r="F32023" s="5">
        <v>190.4</v>
      </c>
      <c r="G32023" s="5">
        <v>94.8</v>
      </c>
      <c r="H32023" s="5">
        <v>94.6</v>
      </c>
      <c r="I32023" s="5">
        <v>0</v>
      </c>
      <c r="J32023" s="5">
        <v>0</v>
      </c>
      <c r="K32023" s="5">
        <v>0</v>
      </c>
    </row>
    <row r="32024" spans="1:11" x14ac:dyDescent="0.25">
      <c r="A32024" s="5">
        <f>32017</f>
      </c>
      <c r="B32024" s="5" t="s">
        <v>32032</v>
      </c>
      <c r="C32024" s="5">
        <v>93.2</v>
      </c>
      <c r="D32024" s="5">
        <v>0.1</v>
      </c>
      <c r="E32024" s="5">
        <v>93.3</v>
      </c>
      <c r="F32024" s="5">
        <v>190.4</v>
      </c>
      <c r="G32024" s="5">
        <v>94.8</v>
      </c>
      <c r="H32024" s="5">
        <v>94.6</v>
      </c>
      <c r="I32024" s="5">
        <v>0</v>
      </c>
      <c r="J32024" s="5">
        <v>0</v>
      </c>
      <c r="K32024" s="5">
        <v>0</v>
      </c>
    </row>
    <row r="32025" spans="1:11" x14ac:dyDescent="0.25">
      <c r="A32025" s="5">
        <f>32018</f>
      </c>
      <c r="B32025" s="5" t="s">
        <v>32033</v>
      </c>
      <c r="C32025" s="5">
        <v>94.3</v>
      </c>
      <c r="D32025" s="5">
        <v>0.1</v>
      </c>
      <c r="E32025" s="5">
        <v>94.5</v>
      </c>
      <c r="F32025" s="5">
        <v>186</v>
      </c>
      <c r="G32025" s="5">
        <v>92.7</v>
      </c>
      <c r="H32025" s="5">
        <v>92.5</v>
      </c>
      <c r="I32025" s="5">
        <v>0</v>
      </c>
      <c r="J32025" s="5">
        <v>0</v>
      </c>
      <c r="K32025" s="5">
        <v>0</v>
      </c>
    </row>
    <row r="32026" spans="1:11" x14ac:dyDescent="0.25">
      <c r="A32026" s="5">
        <f>32019</f>
      </c>
      <c r="B32026" s="5" t="s">
        <v>32034</v>
      </c>
      <c r="C32026" s="5">
        <v>94.3</v>
      </c>
      <c r="D32026" s="5">
        <v>0.1</v>
      </c>
      <c r="E32026" s="5">
        <v>94.5</v>
      </c>
      <c r="F32026" s="5">
        <v>186</v>
      </c>
      <c r="G32026" s="5">
        <v>92.7</v>
      </c>
      <c r="H32026" s="5">
        <v>92.5</v>
      </c>
      <c r="I32026" s="5">
        <v>0</v>
      </c>
      <c r="J32026" s="5">
        <v>0</v>
      </c>
      <c r="K32026" s="5">
        <v>0</v>
      </c>
    </row>
    <row r="32027" spans="1:11" x14ac:dyDescent="0.25">
      <c r="A32027" s="5">
        <f>32020</f>
      </c>
      <c r="B32027" s="5" t="s">
        <v>32035</v>
      </c>
      <c r="C32027" s="5">
        <v>0</v>
      </c>
      <c r="D32027" s="5">
        <v>0</v>
      </c>
      <c r="E32027" s="5">
        <v>0</v>
      </c>
      <c r="F32027" s="5">
        <v>0</v>
      </c>
      <c r="G32027" s="5">
        <v>0</v>
      </c>
      <c r="H32027" s="5">
        <v>0</v>
      </c>
      <c r="I32027" s="5">
        <v>0</v>
      </c>
      <c r="J32027" s="5">
        <v>0</v>
      </c>
      <c r="K32027" s="5">
        <v>0</v>
      </c>
    </row>
    <row r="32028" spans="1:11" x14ac:dyDescent="0.25">
      <c r="A32028" s="5">
        <f>32021</f>
      </c>
      <c r="B32028" s="5" t="s">
        <v>32036</v>
      </c>
      <c r="C32028" s="5">
        <v>0</v>
      </c>
      <c r="D32028" s="5">
        <v>0</v>
      </c>
      <c r="E32028" s="5">
        <v>0</v>
      </c>
      <c r="F32028" s="5">
        <v>0</v>
      </c>
      <c r="G32028" s="5">
        <v>0</v>
      </c>
      <c r="H32028" s="5">
        <v>0</v>
      </c>
      <c r="I32028" s="5">
        <v>0</v>
      </c>
      <c r="J32028" s="5">
        <v>0</v>
      </c>
      <c r="K32028" s="5">
        <v>0</v>
      </c>
    </row>
    <row r="32029" spans="1:11" x14ac:dyDescent="0.25">
      <c r="A32029" s="5">
        <f>32022</f>
      </c>
      <c r="B32029" s="5" t="s">
        <v>32037</v>
      </c>
      <c r="C32029" s="5">
        <v>0</v>
      </c>
      <c r="D32029" s="5">
        <v>0</v>
      </c>
      <c r="E32029" s="5">
        <v>0</v>
      </c>
      <c r="F32029" s="5">
        <v>0</v>
      </c>
      <c r="G32029" s="5">
        <v>0</v>
      </c>
      <c r="H32029" s="5">
        <v>0</v>
      </c>
      <c r="I32029" s="5">
        <v>0</v>
      </c>
      <c r="J32029" s="5">
        <v>0</v>
      </c>
      <c r="K32029" s="5">
        <v>0</v>
      </c>
    </row>
    <row r="32030" spans="1:11" x14ac:dyDescent="0.25">
      <c r="A32030" s="5">
        <f>32023</f>
      </c>
      <c r="B32030" s="5" t="s">
        <v>32038</v>
      </c>
      <c r="C32030" s="5">
        <v>0</v>
      </c>
      <c r="D32030" s="5">
        <v>0</v>
      </c>
      <c r="E32030" s="5">
        <v>0</v>
      </c>
      <c r="F32030" s="5">
        <v>0</v>
      </c>
      <c r="G32030" s="5">
        <v>0</v>
      </c>
      <c r="H32030" s="5">
        <v>0</v>
      </c>
      <c r="I32030" s="5">
        <v>0</v>
      </c>
      <c r="J32030" s="5">
        <v>0</v>
      </c>
      <c r="K32030" s="5">
        <v>0</v>
      </c>
    </row>
    <row r="32031" spans="1:11" x14ac:dyDescent="0.25">
      <c r="A32031" s="5">
        <f>32024</f>
      </c>
      <c r="B32031" s="5" t="s">
        <v>32039</v>
      </c>
      <c r="C32031" s="5">
        <v>0</v>
      </c>
      <c r="D32031" s="5">
        <v>0</v>
      </c>
      <c r="E32031" s="5">
        <v>0</v>
      </c>
      <c r="F32031" s="5">
        <v>0</v>
      </c>
      <c r="G32031" s="5">
        <v>0</v>
      </c>
      <c r="H32031" s="5">
        <v>0</v>
      </c>
      <c r="I32031" s="5">
        <v>0</v>
      </c>
      <c r="J32031" s="5">
        <v>0</v>
      </c>
      <c r="K32031" s="5">
        <v>0</v>
      </c>
    </row>
    <row r="32032" spans="1:11" x14ac:dyDescent="0.25">
      <c r="A32032" s="5">
        <f>32025</f>
      </c>
      <c r="B32032" s="5" t="s">
        <v>32040</v>
      </c>
      <c r="C32032" s="5">
        <v>0</v>
      </c>
      <c r="D32032" s="5">
        <v>0</v>
      </c>
      <c r="E32032" s="5">
        <v>0</v>
      </c>
      <c r="F32032" s="5">
        <v>0</v>
      </c>
      <c r="G32032" s="5">
        <v>0</v>
      </c>
      <c r="H32032" s="5">
        <v>0</v>
      </c>
      <c r="I32032" s="5">
        <v>0</v>
      </c>
      <c r="J32032" s="5">
        <v>0</v>
      </c>
      <c r="K32032" s="5">
        <v>0</v>
      </c>
    </row>
    <row r="32033" spans="1:11" x14ac:dyDescent="0.25">
      <c r="A32033" s="5">
        <f>32026</f>
      </c>
      <c r="B32033" s="5" t="s">
        <v>32041</v>
      </c>
      <c r="C32033" s="5">
        <v>0</v>
      </c>
      <c r="D32033" s="5">
        <v>0</v>
      </c>
      <c r="E32033" s="5">
        <v>0</v>
      </c>
      <c r="F32033" s="5">
        <v>0</v>
      </c>
      <c r="G32033" s="5">
        <v>0</v>
      </c>
      <c r="H32033" s="5">
        <v>0</v>
      </c>
      <c r="I32033" s="5">
        <v>0</v>
      </c>
      <c r="J32033" s="5">
        <v>0</v>
      </c>
      <c r="K32033" s="5">
        <v>0</v>
      </c>
    </row>
    <row r="32034" spans="1:11" x14ac:dyDescent="0.25">
      <c r="A32034" s="5">
        <f>32027</f>
      </c>
      <c r="B32034" s="5" t="s">
        <v>32042</v>
      </c>
      <c r="C32034" s="5">
        <v>0</v>
      </c>
      <c r="D32034" s="5">
        <v>0</v>
      </c>
      <c r="E32034" s="5">
        <v>0</v>
      </c>
      <c r="F32034" s="5">
        <v>0</v>
      </c>
      <c r="G32034" s="5">
        <v>0</v>
      </c>
      <c r="H32034" s="5">
        <v>0</v>
      </c>
      <c r="I32034" s="5">
        <v>0</v>
      </c>
      <c r="J32034" s="5">
        <v>0</v>
      </c>
      <c r="K32034" s="5">
        <v>0</v>
      </c>
    </row>
    <row r="32035" spans="1:11" x14ac:dyDescent="0.25">
      <c r="A32035" s="5">
        <f>32028</f>
      </c>
      <c r="B32035" s="5" t="s">
        <v>32043</v>
      </c>
      <c r="C32035" s="5">
        <v>0</v>
      </c>
      <c r="D32035" s="5">
        <v>0</v>
      </c>
      <c r="E32035" s="5">
        <v>0</v>
      </c>
      <c r="F32035" s="5">
        <v>0</v>
      </c>
      <c r="G32035" s="5">
        <v>0</v>
      </c>
      <c r="H32035" s="5">
        <v>0</v>
      </c>
      <c r="I32035" s="5">
        <v>0</v>
      </c>
      <c r="J32035" s="5">
        <v>0</v>
      </c>
      <c r="K32035" s="5">
        <v>0</v>
      </c>
    </row>
    <row r="32036" spans="1:11" x14ac:dyDescent="0.25">
      <c r="A32036" s="5">
        <f>32029</f>
      </c>
      <c r="B32036" s="5" t="s">
        <v>32044</v>
      </c>
      <c r="C32036" s="5">
        <v>0</v>
      </c>
      <c r="D32036" s="5">
        <v>0</v>
      </c>
      <c r="E32036" s="5">
        <v>0</v>
      </c>
      <c r="F32036" s="5">
        <v>0</v>
      </c>
      <c r="G32036" s="5">
        <v>0</v>
      </c>
      <c r="H32036" s="5">
        <v>0</v>
      </c>
      <c r="I32036" s="5">
        <v>0</v>
      </c>
      <c r="J32036" s="5">
        <v>0</v>
      </c>
      <c r="K32036" s="5">
        <v>0</v>
      </c>
    </row>
    <row r="32037" spans="1:11" x14ac:dyDescent="0.25">
      <c r="A32037" s="5">
        <f>32030</f>
      </c>
      <c r="B32037" s="5" t="s">
        <v>32045</v>
      </c>
      <c r="C32037" s="5">
        <v>0</v>
      </c>
      <c r="D32037" s="5">
        <v>0</v>
      </c>
      <c r="E32037" s="5">
        <v>0</v>
      </c>
      <c r="F32037" s="5">
        <v>0</v>
      </c>
      <c r="G32037" s="5">
        <v>0</v>
      </c>
      <c r="H32037" s="5">
        <v>0</v>
      </c>
      <c r="I32037" s="5">
        <v>0</v>
      </c>
      <c r="J32037" s="5">
        <v>0</v>
      </c>
      <c r="K32037" s="5">
        <v>0</v>
      </c>
    </row>
    <row r="32038" spans="1:11" x14ac:dyDescent="0.25">
      <c r="A32038" s="5">
        <f>32031</f>
      </c>
      <c r="B32038" s="5" t="s">
        <v>32046</v>
      </c>
      <c r="C32038" s="5">
        <v>0</v>
      </c>
      <c r="D32038" s="5">
        <v>0</v>
      </c>
      <c r="E32038" s="5">
        <v>0</v>
      </c>
      <c r="F32038" s="5">
        <v>0</v>
      </c>
      <c r="G32038" s="5">
        <v>0</v>
      </c>
      <c r="H32038" s="5">
        <v>0</v>
      </c>
      <c r="I32038" s="5">
        <v>0</v>
      </c>
      <c r="J32038" s="5">
        <v>0</v>
      </c>
      <c r="K32038" s="5">
        <v>0</v>
      </c>
    </row>
    <row r="32039" spans="1:11" x14ac:dyDescent="0.25">
      <c r="A32039" s="5">
        <f>32032</f>
      </c>
      <c r="B32039" s="5" t="s">
        <v>32047</v>
      </c>
      <c r="C32039" s="5">
        <v>0</v>
      </c>
      <c r="D32039" s="5">
        <v>0</v>
      </c>
      <c r="E32039" s="5">
        <v>0</v>
      </c>
      <c r="F32039" s="5">
        <v>0</v>
      </c>
      <c r="G32039" s="5">
        <v>0</v>
      </c>
      <c r="H32039" s="5">
        <v>0</v>
      </c>
      <c r="I32039" s="5">
        <v>0</v>
      </c>
      <c r="J32039" s="5">
        <v>0</v>
      </c>
      <c r="K32039" s="5">
        <v>0</v>
      </c>
    </row>
    <row r="32040" spans="1:11" x14ac:dyDescent="0.25">
      <c r="A32040" s="5">
        <f>32033</f>
      </c>
      <c r="B32040" s="5" t="s">
        <v>32048</v>
      </c>
      <c r="C32040" s="5">
        <v>0</v>
      </c>
      <c r="D32040" s="5">
        <v>0</v>
      </c>
      <c r="E32040" s="5">
        <v>0</v>
      </c>
      <c r="F32040" s="5">
        <v>0</v>
      </c>
      <c r="G32040" s="5">
        <v>0</v>
      </c>
      <c r="H32040" s="5">
        <v>0</v>
      </c>
      <c r="I32040" s="5">
        <v>0</v>
      </c>
      <c r="J32040" s="5">
        <v>0</v>
      </c>
      <c r="K32040" s="5">
        <v>0</v>
      </c>
    </row>
    <row r="32041" spans="1:11" x14ac:dyDescent="0.25">
      <c r="A32041" s="5">
        <f>32034</f>
      </c>
      <c r="B32041" s="5" t="s">
        <v>32049</v>
      </c>
      <c r="C32041" s="5">
        <v>0</v>
      </c>
      <c r="D32041" s="5">
        <v>0</v>
      </c>
      <c r="E32041" s="5">
        <v>0</v>
      </c>
      <c r="F32041" s="5">
        <v>0</v>
      </c>
      <c r="G32041" s="5">
        <v>0</v>
      </c>
      <c r="H32041" s="5">
        <v>0</v>
      </c>
      <c r="I32041" s="5">
        <v>0</v>
      </c>
      <c r="J32041" s="5">
        <v>0</v>
      </c>
      <c r="K32041" s="5">
        <v>0</v>
      </c>
    </row>
    <row r="32042" spans="1:11" x14ac:dyDescent="0.25">
      <c r="A32042" s="5">
        <f>32035</f>
      </c>
      <c r="B32042" s="5" t="s">
        <v>32050</v>
      </c>
      <c r="C32042" s="5">
        <v>0</v>
      </c>
      <c r="D32042" s="5">
        <v>0</v>
      </c>
      <c r="E32042" s="5">
        <v>0</v>
      </c>
      <c r="F32042" s="5">
        <v>191.3</v>
      </c>
      <c r="G32042" s="5">
        <v>95.5</v>
      </c>
      <c r="H32042" s="5">
        <v>95.4</v>
      </c>
      <c r="I32042" s="5">
        <v>0</v>
      </c>
      <c r="J32042" s="5">
        <v>0</v>
      </c>
      <c r="K32042" s="5">
        <v>0</v>
      </c>
    </row>
    <row r="32043" spans="1:11" x14ac:dyDescent="0.25">
      <c r="A32043" s="5">
        <f>32036</f>
      </c>
      <c r="B32043" s="5" t="s">
        <v>32051</v>
      </c>
      <c r="C32043" s="5">
        <v>98.7</v>
      </c>
      <c r="D32043" s="5">
        <v>0.1</v>
      </c>
      <c r="E32043" s="5">
        <v>98.9</v>
      </c>
      <c r="F32043" s="5">
        <v>191.3</v>
      </c>
      <c r="G32043" s="5">
        <v>95.5</v>
      </c>
      <c r="H32043" s="5">
        <v>95.4</v>
      </c>
      <c r="I32043" s="5">
        <v>0</v>
      </c>
      <c r="J32043" s="5">
        <v>0</v>
      </c>
      <c r="K32043" s="5">
        <v>0</v>
      </c>
    </row>
    <row r="32044" spans="1:11" x14ac:dyDescent="0.25">
      <c r="A32044" s="5">
        <f>32037</f>
      </c>
      <c r="B32044" s="5" t="s">
        <v>32052</v>
      </c>
      <c r="C32044" s="5">
        <v>98.7</v>
      </c>
      <c r="D32044" s="5">
        <v>0.1</v>
      </c>
      <c r="E32044" s="5">
        <v>98.9</v>
      </c>
      <c r="F32044" s="5">
        <v>191.3</v>
      </c>
      <c r="G32044" s="5">
        <v>95.5</v>
      </c>
      <c r="H32044" s="5">
        <v>101.3</v>
      </c>
      <c r="I32044" s="5">
        <v>0</v>
      </c>
      <c r="J32044" s="5">
        <v>0</v>
      </c>
      <c r="K32044" s="5">
        <v>0</v>
      </c>
    </row>
    <row r="32045" spans="1:11" x14ac:dyDescent="0.25">
      <c r="A32045" s="5">
        <f>32038</f>
      </c>
      <c r="B32045" s="5" t="s">
        <v>32053</v>
      </c>
      <c r="C32045" s="5">
        <v>101.8</v>
      </c>
      <c r="D32045" s="5">
        <v>0.1</v>
      </c>
      <c r="E32045" s="5">
        <v>101.9</v>
      </c>
      <c r="F32045" s="5">
        <v>203.2</v>
      </c>
      <c r="G32045" s="5">
        <v>101.4</v>
      </c>
      <c r="H32045" s="5">
        <v>101.3</v>
      </c>
      <c r="I32045" s="5">
        <v>0</v>
      </c>
      <c r="J32045" s="5">
        <v>0</v>
      </c>
      <c r="K32045" s="5">
        <v>0</v>
      </c>
    </row>
    <row r="32046" spans="1:11" x14ac:dyDescent="0.25">
      <c r="A32046" s="5">
        <f>32039</f>
      </c>
      <c r="B32046" s="5" t="s">
        <v>32054</v>
      </c>
      <c r="C32046" s="5">
        <v>101.8</v>
      </c>
      <c r="D32046" s="5">
        <v>0.1</v>
      </c>
      <c r="E32046" s="5">
        <v>101.9</v>
      </c>
      <c r="F32046" s="5">
        <v>203.2</v>
      </c>
      <c r="G32046" s="5">
        <v>101.4</v>
      </c>
      <c r="H32046" s="5">
        <v>101.3</v>
      </c>
      <c r="I32046" s="5">
        <v>0</v>
      </c>
      <c r="J32046" s="5">
        <v>0</v>
      </c>
      <c r="K32046" s="5">
        <v>0</v>
      </c>
    </row>
    <row r="32047" spans="1:11" x14ac:dyDescent="0.25">
      <c r="A32047" s="5">
        <f>32040</f>
      </c>
      <c r="B32047" s="5" t="s">
        <v>32055</v>
      </c>
      <c r="C32047" s="5">
        <v>101.5</v>
      </c>
      <c r="D32047" s="5">
        <v>0.1</v>
      </c>
      <c r="E32047" s="5">
        <v>101.6</v>
      </c>
      <c r="F32047" s="5">
        <v>202.6</v>
      </c>
      <c r="G32047" s="5">
        <v>101.1</v>
      </c>
      <c r="H32047" s="5">
        <v>101</v>
      </c>
      <c r="I32047" s="5">
        <v>0</v>
      </c>
      <c r="J32047" s="5">
        <v>0</v>
      </c>
      <c r="K32047" s="5">
        <v>0</v>
      </c>
    </row>
    <row r="32048" spans="1:11" x14ac:dyDescent="0.25">
      <c r="A32048" s="5">
        <f>32041</f>
      </c>
      <c r="B32048" s="5" t="s">
        <v>32056</v>
      </c>
      <c r="C32048" s="5">
        <v>101.5</v>
      </c>
      <c r="D32048" s="5">
        <v>0.1</v>
      </c>
      <c r="E32048" s="5">
        <v>101.6</v>
      </c>
      <c r="F32048" s="5">
        <v>202.6</v>
      </c>
      <c r="G32048" s="5">
        <v>101.1</v>
      </c>
      <c r="H32048" s="5">
        <v>101</v>
      </c>
      <c r="I32048" s="5">
        <v>0</v>
      </c>
      <c r="J32048" s="5">
        <v>0</v>
      </c>
      <c r="K32048" s="5">
        <v>0</v>
      </c>
    </row>
    <row r="32049" spans="1:11" x14ac:dyDescent="0.25">
      <c r="A32049" s="5">
        <f>32042</f>
      </c>
      <c r="B32049" s="5" t="s">
        <v>32057</v>
      </c>
      <c r="C32049" s="5">
        <v>93.6</v>
      </c>
      <c r="D32049" s="5">
        <v>0.1</v>
      </c>
      <c r="E32049" s="5">
        <v>93.7</v>
      </c>
      <c r="F32049" s="5">
        <v>184.4</v>
      </c>
      <c r="G32049" s="5">
        <v>92.1</v>
      </c>
      <c r="H32049" s="5">
        <v>92</v>
      </c>
      <c r="I32049" s="5">
        <v>0</v>
      </c>
      <c r="J32049" s="5">
        <v>0</v>
      </c>
      <c r="K32049" s="5">
        <v>0</v>
      </c>
    </row>
    <row r="32050" spans="1:11" x14ac:dyDescent="0.25">
      <c r="A32050" s="5">
        <f>32043</f>
      </c>
      <c r="B32050" s="5" t="s">
        <v>32058</v>
      </c>
      <c r="C32050" s="5">
        <v>93.6</v>
      </c>
      <c r="D32050" s="5">
        <v>0.1</v>
      </c>
      <c r="E32050" s="5">
        <v>93.7</v>
      </c>
      <c r="F32050" s="5">
        <v>184.4</v>
      </c>
      <c r="G32050" s="5">
        <v>92.1</v>
      </c>
      <c r="H32050" s="5">
        <v>92</v>
      </c>
      <c r="I32050" s="5">
        <v>0</v>
      </c>
      <c r="J32050" s="5">
        <v>0</v>
      </c>
      <c r="K32050" s="5">
        <v>0</v>
      </c>
    </row>
    <row r="32051" spans="1:11" x14ac:dyDescent="0.25">
      <c r="A32051" s="5">
        <f>32044</f>
      </c>
      <c r="B32051" s="5" t="s">
        <v>32059</v>
      </c>
      <c r="C32051" s="5">
        <v>93.6</v>
      </c>
      <c r="D32051" s="5">
        <v>0.1</v>
      </c>
      <c r="E32051" s="5">
        <v>93.7</v>
      </c>
      <c r="F32051" s="5">
        <v>184.4</v>
      </c>
      <c r="G32051" s="5">
        <v>92.1</v>
      </c>
      <c r="H32051" s="5">
        <v>92</v>
      </c>
      <c r="I32051" s="5">
        <v>0</v>
      </c>
      <c r="J32051" s="5">
        <v>0</v>
      </c>
      <c r="K32051" s="5">
        <v>0</v>
      </c>
    </row>
    <row r="32052" spans="1:11" x14ac:dyDescent="0.25">
      <c r="A32052" s="5">
        <f>32045</f>
      </c>
      <c r="B32052" s="5" t="s">
        <v>32060</v>
      </c>
      <c r="C32052" s="5">
        <v>99.4</v>
      </c>
      <c r="D32052" s="5">
        <v>0.1</v>
      </c>
      <c r="E32052" s="5">
        <v>99.5</v>
      </c>
      <c r="F32052" s="5">
        <v>198.3</v>
      </c>
      <c r="G32052" s="5">
        <v>98.9</v>
      </c>
      <c r="H32052" s="5">
        <v>98.8</v>
      </c>
      <c r="I32052" s="5">
        <v>0</v>
      </c>
      <c r="J32052" s="5">
        <v>0</v>
      </c>
      <c r="K32052" s="5">
        <v>0</v>
      </c>
    </row>
    <row r="32053" spans="1:11" x14ac:dyDescent="0.25">
      <c r="A32053" s="5">
        <f>32046</f>
      </c>
      <c r="B32053" s="5" t="s">
        <v>32061</v>
      </c>
      <c r="C32053" s="5">
        <v>99.4</v>
      </c>
      <c r="D32053" s="5">
        <v>0.1</v>
      </c>
      <c r="E32053" s="5">
        <v>99.5</v>
      </c>
      <c r="F32053" s="5">
        <v>198.3</v>
      </c>
      <c r="G32053" s="5">
        <v>98.9</v>
      </c>
      <c r="H32053" s="5">
        <v>98.8</v>
      </c>
      <c r="I32053" s="5">
        <v>0</v>
      </c>
      <c r="J32053" s="5">
        <v>0</v>
      </c>
      <c r="K32053" s="5">
        <v>0</v>
      </c>
    </row>
    <row r="32054" spans="1:11" x14ac:dyDescent="0.25">
      <c r="A32054" s="5">
        <f>32047</f>
      </c>
      <c r="B32054" s="5" t="s">
        <v>32062</v>
      </c>
      <c r="C32054" s="5">
        <v>99.2</v>
      </c>
      <c r="D32054" s="5">
        <v>0.1</v>
      </c>
      <c r="E32054" s="5">
        <v>99.3</v>
      </c>
      <c r="F32054" s="5">
        <v>197.9</v>
      </c>
      <c r="G32054" s="5">
        <v>98.8</v>
      </c>
      <c r="H32054" s="5">
        <v>98.6</v>
      </c>
      <c r="I32054" s="5">
        <v>0</v>
      </c>
      <c r="J32054" s="5">
        <v>0</v>
      </c>
      <c r="K32054" s="5">
        <v>0</v>
      </c>
    </row>
    <row r="32055" spans="1:11" x14ac:dyDescent="0.25">
      <c r="A32055" s="5">
        <f>32048</f>
      </c>
      <c r="B32055" s="5" t="s">
        <v>32063</v>
      </c>
      <c r="C32055" s="5">
        <v>99.2</v>
      </c>
      <c r="D32055" s="5">
        <v>0.1</v>
      </c>
      <c r="E32055" s="5">
        <v>99.3</v>
      </c>
      <c r="F32055" s="5">
        <v>197.9</v>
      </c>
      <c r="G32055" s="5">
        <v>98.8</v>
      </c>
      <c r="H32055" s="5">
        <v>98.6</v>
      </c>
      <c r="I32055" s="5">
        <v>0</v>
      </c>
      <c r="J32055" s="5">
        <v>0</v>
      </c>
      <c r="K32055" s="5">
        <v>0</v>
      </c>
    </row>
    <row r="32056" spans="1:11" x14ac:dyDescent="0.25">
      <c r="A32056" s="5">
        <f>32049</f>
      </c>
      <c r="B32056" s="5" t="s">
        <v>32064</v>
      </c>
      <c r="C32056" s="5">
        <v>98.6</v>
      </c>
      <c r="D32056" s="5">
        <v>0.1</v>
      </c>
      <c r="E32056" s="5">
        <v>98.8</v>
      </c>
      <c r="F32056" s="5">
        <v>196.5</v>
      </c>
      <c r="G32056" s="5">
        <v>98</v>
      </c>
      <c r="H32056" s="5">
        <v>97.9</v>
      </c>
      <c r="I32056" s="5">
        <v>0</v>
      </c>
      <c r="J32056" s="5">
        <v>0</v>
      </c>
      <c r="K32056" s="5">
        <v>0</v>
      </c>
    </row>
    <row r="32057" spans="1:11" x14ac:dyDescent="0.25">
      <c r="A32057" s="5">
        <f>32050</f>
      </c>
      <c r="B32057" s="5" t="s">
        <v>32065</v>
      </c>
      <c r="C32057" s="5">
        <v>98.6</v>
      </c>
      <c r="D32057" s="5">
        <v>0.1</v>
      </c>
      <c r="E32057" s="5">
        <v>98.8</v>
      </c>
      <c r="F32057" s="5">
        <v>196.5</v>
      </c>
      <c r="G32057" s="5">
        <v>98</v>
      </c>
      <c r="H32057" s="5">
        <v>97.9</v>
      </c>
      <c r="I32057" s="5">
        <v>0</v>
      </c>
      <c r="J32057" s="5">
        <v>0</v>
      </c>
      <c r="K32057" s="5">
        <v>0</v>
      </c>
    </row>
    <row r="32058" spans="1:11" x14ac:dyDescent="0.25">
      <c r="A32058" s="5">
        <f>32051</f>
      </c>
      <c r="B32058" s="5" t="s">
        <v>32066</v>
      </c>
      <c r="C32058" s="5">
        <v>94.8</v>
      </c>
      <c r="D32058" s="5">
        <v>0.1</v>
      </c>
      <c r="E32058" s="5">
        <v>95</v>
      </c>
      <c r="F32058" s="5">
        <v>192.9</v>
      </c>
      <c r="G32058" s="5">
        <v>96.1</v>
      </c>
      <c r="H32058" s="5">
        <v>95.8</v>
      </c>
      <c r="I32058" s="5">
        <v>0</v>
      </c>
      <c r="J32058" s="5">
        <v>0</v>
      </c>
      <c r="K32058" s="5">
        <v>0</v>
      </c>
    </row>
    <row r="32059" spans="1:11" x14ac:dyDescent="0.25">
      <c r="A32059" s="5">
        <f>32052</f>
      </c>
      <c r="B32059" s="5" t="s">
        <v>32067</v>
      </c>
      <c r="C32059" s="5">
        <v>94.8</v>
      </c>
      <c r="D32059" s="5">
        <v>0.1</v>
      </c>
      <c r="E32059" s="5">
        <v>95</v>
      </c>
      <c r="F32059" s="5">
        <v>192.9</v>
      </c>
      <c r="G32059" s="5">
        <v>96.1</v>
      </c>
      <c r="H32059" s="5">
        <v>95.8</v>
      </c>
      <c r="I32059" s="5">
        <v>0</v>
      </c>
      <c r="J32059" s="5">
        <v>0</v>
      </c>
      <c r="K32059" s="5">
        <v>0</v>
      </c>
    </row>
    <row r="32060" spans="1:11" x14ac:dyDescent="0.25">
      <c r="A32060" s="5">
        <f>32053</f>
      </c>
      <c r="B32060" s="5" t="s">
        <v>32068</v>
      </c>
      <c r="C32060" s="5">
        <v>94.8</v>
      </c>
      <c r="D32060" s="5">
        <v>0.1</v>
      </c>
      <c r="E32060" s="5">
        <v>95</v>
      </c>
      <c r="F32060" s="5">
        <v>192.9</v>
      </c>
      <c r="G32060" s="5">
        <v>96.1</v>
      </c>
      <c r="H32060" s="5">
        <v>95.8</v>
      </c>
      <c r="I32060" s="5">
        <v>0</v>
      </c>
      <c r="J32060" s="5">
        <v>0</v>
      </c>
      <c r="K32060" s="5">
        <v>0</v>
      </c>
    </row>
    <row r="32061" spans="1:11" x14ac:dyDescent="0.25">
      <c r="A32061" s="5">
        <f>32054</f>
      </c>
      <c r="B32061" s="5" t="s">
        <v>32069</v>
      </c>
      <c r="C32061" s="5">
        <v>94.8</v>
      </c>
      <c r="D32061" s="5">
        <v>0.1</v>
      </c>
      <c r="E32061" s="5">
        <v>95</v>
      </c>
      <c r="F32061" s="5">
        <v>192.9</v>
      </c>
      <c r="G32061" s="5">
        <v>96.1</v>
      </c>
      <c r="H32061" s="5">
        <v>95.8</v>
      </c>
      <c r="I32061" s="5">
        <v>0</v>
      </c>
      <c r="J32061" s="5">
        <v>0</v>
      </c>
      <c r="K32061" s="5">
        <v>0</v>
      </c>
    </row>
    <row r="32062" spans="1:11" x14ac:dyDescent="0.25">
      <c r="A32062" s="5">
        <f>32055</f>
      </c>
      <c r="B32062" s="5" t="s">
        <v>32070</v>
      </c>
      <c r="C32062" s="5">
        <v>90.7</v>
      </c>
      <c r="D32062" s="5">
        <v>0.1</v>
      </c>
      <c r="E32062" s="5">
        <v>90.8</v>
      </c>
      <c r="F32062" s="5">
        <v>181.9</v>
      </c>
      <c r="G32062" s="5">
        <v>90.8</v>
      </c>
      <c r="H32062" s="5">
        <v>90.7</v>
      </c>
      <c r="I32062" s="5">
        <v>0</v>
      </c>
      <c r="J32062" s="5">
        <v>0</v>
      </c>
      <c r="K32062" s="5">
        <v>0</v>
      </c>
    </row>
    <row r="32063" spans="1:11" x14ac:dyDescent="0.25">
      <c r="A32063" s="5">
        <f>32056</f>
      </c>
      <c r="B32063" s="5" t="s">
        <v>32071</v>
      </c>
      <c r="C32063" s="5">
        <v>90.7</v>
      </c>
      <c r="D32063" s="5">
        <v>0.1</v>
      </c>
      <c r="E32063" s="5">
        <v>90.8</v>
      </c>
      <c r="F32063" s="5">
        <v>181.9</v>
      </c>
      <c r="G32063" s="5">
        <v>90.8</v>
      </c>
      <c r="H32063" s="5">
        <v>90.7</v>
      </c>
      <c r="I32063" s="5">
        <v>0</v>
      </c>
      <c r="J32063" s="5">
        <v>0</v>
      </c>
      <c r="K32063" s="5">
        <v>0</v>
      </c>
    </row>
    <row r="32064" spans="1:11" x14ac:dyDescent="0.25">
      <c r="A32064" s="5">
        <f>32057</f>
      </c>
      <c r="B32064" s="5" t="s">
        <v>32072</v>
      </c>
      <c r="C32064" s="5">
        <v>92</v>
      </c>
      <c r="D32064" s="5">
        <v>0</v>
      </c>
      <c r="E32064" s="5">
        <v>92.2</v>
      </c>
      <c r="F32064" s="5">
        <v>183.9</v>
      </c>
      <c r="G32064" s="5">
        <v>91.8</v>
      </c>
      <c r="H32064" s="5">
        <v>91.6</v>
      </c>
      <c r="I32064" s="5">
        <v>0</v>
      </c>
      <c r="J32064" s="5">
        <v>0</v>
      </c>
      <c r="K32064" s="5">
        <v>0</v>
      </c>
    </row>
    <row r="32065" spans="1:11" x14ac:dyDescent="0.25">
      <c r="A32065" s="5">
        <f>32058</f>
      </c>
      <c r="B32065" s="5" t="s">
        <v>32073</v>
      </c>
      <c r="C32065" s="5">
        <v>92</v>
      </c>
      <c r="D32065" s="5">
        <v>0</v>
      </c>
      <c r="E32065" s="5">
        <v>92.2</v>
      </c>
      <c r="F32065" s="5">
        <v>183.9</v>
      </c>
      <c r="G32065" s="5">
        <v>91.8</v>
      </c>
      <c r="H32065" s="5">
        <v>91.6</v>
      </c>
      <c r="I32065" s="5">
        <v>0</v>
      </c>
      <c r="J32065" s="5">
        <v>0</v>
      </c>
      <c r="K32065" s="5">
        <v>0</v>
      </c>
    </row>
    <row r="32066" spans="1:11" x14ac:dyDescent="0.25">
      <c r="A32066" s="5">
        <f>32059</f>
      </c>
      <c r="B32066" s="5" t="s">
        <v>32074</v>
      </c>
      <c r="C32066" s="5">
        <v>90.4</v>
      </c>
      <c r="D32066" s="5">
        <v>0.1</v>
      </c>
      <c r="E32066" s="5">
        <v>90.5</v>
      </c>
      <c r="F32066" s="5">
        <v>182.4</v>
      </c>
      <c r="G32066" s="5">
        <v>90.8</v>
      </c>
      <c r="H32066" s="5">
        <v>90.6</v>
      </c>
      <c r="I32066" s="5">
        <v>0</v>
      </c>
      <c r="J32066" s="5">
        <v>0</v>
      </c>
      <c r="K32066" s="5">
        <v>0</v>
      </c>
    </row>
    <row r="32067" spans="1:11" x14ac:dyDescent="0.25">
      <c r="A32067" s="5">
        <f>32060</f>
      </c>
      <c r="B32067" s="5" t="s">
        <v>32075</v>
      </c>
      <c r="C32067" s="5">
        <v>90.4</v>
      </c>
      <c r="D32067" s="5">
        <v>0.1</v>
      </c>
      <c r="E32067" s="5">
        <v>90.5</v>
      </c>
      <c r="F32067" s="5">
        <v>182.4</v>
      </c>
      <c r="G32067" s="5">
        <v>90.8</v>
      </c>
      <c r="H32067" s="5">
        <v>90.6</v>
      </c>
      <c r="I32067" s="5">
        <v>0</v>
      </c>
      <c r="J32067" s="5">
        <v>0</v>
      </c>
      <c r="K32067" s="5">
        <v>0</v>
      </c>
    </row>
    <row r="32068" spans="1:11" x14ac:dyDescent="0.25">
      <c r="A32068" s="5">
        <f>32061</f>
      </c>
      <c r="B32068" s="5" t="s">
        <v>32076</v>
      </c>
      <c r="C32068" s="5">
        <v>100.4</v>
      </c>
      <c r="D32068" s="5">
        <v>0.1</v>
      </c>
      <c r="E32068" s="5">
        <v>100.5</v>
      </c>
      <c r="F32068" s="5">
        <v>197.1</v>
      </c>
      <c r="G32068" s="5">
        <v>98.5</v>
      </c>
      <c r="H32068" s="5">
        <v>98.5</v>
      </c>
      <c r="I32068" s="5">
        <v>0</v>
      </c>
      <c r="J32068" s="5">
        <v>0</v>
      </c>
      <c r="K32068" s="5">
        <v>0</v>
      </c>
    </row>
    <row r="32069" spans="1:11" x14ac:dyDescent="0.25">
      <c r="A32069" s="5">
        <f>32062</f>
      </c>
      <c r="B32069" s="5" t="s">
        <v>32077</v>
      </c>
      <c r="C32069" s="5">
        <v>100.4</v>
      </c>
      <c r="D32069" s="5">
        <v>0.1</v>
      </c>
      <c r="E32069" s="5">
        <v>100.5</v>
      </c>
      <c r="F32069" s="5">
        <v>197.1</v>
      </c>
      <c r="G32069" s="5">
        <v>98.5</v>
      </c>
      <c r="H32069" s="5">
        <v>98.5</v>
      </c>
      <c r="I32069" s="5">
        <v>0</v>
      </c>
      <c r="J32069" s="5">
        <v>0</v>
      </c>
      <c r="K32069" s="5">
        <v>0</v>
      </c>
    </row>
    <row r="32070" spans="1:11" x14ac:dyDescent="0.25">
      <c r="A32070" s="5">
        <f>32063</f>
      </c>
      <c r="B32070" s="5" t="s">
        <v>32078</v>
      </c>
      <c r="C32070" s="5">
        <v>100.4</v>
      </c>
      <c r="D32070" s="5">
        <v>0.1</v>
      </c>
      <c r="E32070" s="5">
        <v>100.5</v>
      </c>
      <c r="F32070" s="5">
        <v>197.1</v>
      </c>
      <c r="G32070" s="5">
        <v>98.5</v>
      </c>
      <c r="H32070" s="5">
        <v>98.5</v>
      </c>
      <c r="I32070" s="5">
        <v>0</v>
      </c>
      <c r="J32070" s="5">
        <v>0</v>
      </c>
      <c r="K32070" s="5">
        <v>0</v>
      </c>
    </row>
    <row r="32071" spans="1:11" x14ac:dyDescent="0.25">
      <c r="A32071" s="5">
        <f>32064</f>
      </c>
      <c r="B32071" s="5" t="s">
        <v>32079</v>
      </c>
      <c r="C32071" s="5">
        <v>100.4</v>
      </c>
      <c r="D32071" s="5">
        <v>0.1</v>
      </c>
      <c r="E32071" s="5">
        <v>100.5</v>
      </c>
      <c r="F32071" s="5">
        <v>197.1</v>
      </c>
      <c r="G32071" s="5">
        <v>98.5</v>
      </c>
      <c r="H32071" s="5">
        <v>98.5</v>
      </c>
      <c r="I32071" s="5">
        <v>0</v>
      </c>
      <c r="J32071" s="5">
        <v>0</v>
      </c>
      <c r="K32071" s="5">
        <v>0</v>
      </c>
    </row>
    <row r="32072" spans="1:11" x14ac:dyDescent="0.25">
      <c r="A32072" s="5">
        <f>32065</f>
      </c>
      <c r="B32072" s="5" t="s">
        <v>32080</v>
      </c>
      <c r="C32072" s="5">
        <v>95.1</v>
      </c>
      <c r="D32072" s="5">
        <v>0.1</v>
      </c>
      <c r="E32072" s="5">
        <v>95.2</v>
      </c>
      <c r="F32072" s="5">
        <v>190</v>
      </c>
      <c r="G32072" s="5">
        <v>94.9</v>
      </c>
      <c r="H32072" s="5">
        <v>94.8</v>
      </c>
      <c r="I32072" s="5">
        <v>0</v>
      </c>
      <c r="J32072" s="5">
        <v>0</v>
      </c>
      <c r="K32072" s="5">
        <v>0</v>
      </c>
    </row>
    <row r="32073" spans="1:11" x14ac:dyDescent="0.25">
      <c r="A32073" s="5">
        <f>32066</f>
      </c>
      <c r="B32073" s="5" t="s">
        <v>32081</v>
      </c>
      <c r="C32073" s="5">
        <v>95.1</v>
      </c>
      <c r="D32073" s="5">
        <v>0.1</v>
      </c>
      <c r="E32073" s="5">
        <v>95.2</v>
      </c>
      <c r="F32073" s="5">
        <v>190</v>
      </c>
      <c r="G32073" s="5">
        <v>94.9</v>
      </c>
      <c r="H32073" s="5">
        <v>94.8</v>
      </c>
      <c r="I32073" s="5">
        <v>0</v>
      </c>
      <c r="J32073" s="5">
        <v>0</v>
      </c>
      <c r="K32073" s="5">
        <v>0</v>
      </c>
    </row>
    <row r="32074" spans="1:11" x14ac:dyDescent="0.25">
      <c r="A32074" s="5">
        <f>32067</f>
      </c>
      <c r="B32074" s="5" t="s">
        <v>32082</v>
      </c>
      <c r="C32074" s="5">
        <v>98.6</v>
      </c>
      <c r="D32074" s="5">
        <v>0.1</v>
      </c>
      <c r="E32074" s="5">
        <v>98.8</v>
      </c>
      <c r="F32074" s="5">
        <v>198</v>
      </c>
      <c r="G32074" s="5">
        <v>98.7</v>
      </c>
      <c r="H32074" s="5">
        <v>98.5</v>
      </c>
      <c r="I32074" s="5">
        <v>0</v>
      </c>
      <c r="J32074" s="5">
        <v>0</v>
      </c>
      <c r="K32074" s="5">
        <v>0</v>
      </c>
    </row>
    <row r="32075" spans="1:11" x14ac:dyDescent="0.25">
      <c r="A32075" s="5">
        <f>32068</f>
      </c>
      <c r="B32075" s="5" t="s">
        <v>32083</v>
      </c>
      <c r="C32075" s="5">
        <v>98.6</v>
      </c>
      <c r="D32075" s="5">
        <v>0.1</v>
      </c>
      <c r="E32075" s="5">
        <v>98.8</v>
      </c>
      <c r="F32075" s="5">
        <v>198</v>
      </c>
      <c r="G32075" s="5">
        <v>98.7</v>
      </c>
      <c r="H32075" s="5">
        <v>98.5</v>
      </c>
      <c r="I32075" s="5">
        <v>0</v>
      </c>
      <c r="J32075" s="5">
        <v>0</v>
      </c>
      <c r="K32075" s="5">
        <v>0</v>
      </c>
    </row>
    <row r="32076" spans="1:11" x14ac:dyDescent="0.25">
      <c r="A32076" s="5">
        <f>32069</f>
      </c>
      <c r="B32076" s="5" t="s">
        <v>32084</v>
      </c>
      <c r="C32076" s="5">
        <v>99.3</v>
      </c>
      <c r="D32076" s="5">
        <v>0.1</v>
      </c>
      <c r="E32076" s="5">
        <v>99.4</v>
      </c>
      <c r="F32076" s="5">
        <v>198.6</v>
      </c>
      <c r="G32076" s="5">
        <v>99.1</v>
      </c>
      <c r="H32076" s="5">
        <v>98.9</v>
      </c>
      <c r="I32076" s="5">
        <v>0</v>
      </c>
      <c r="J32076" s="5">
        <v>0</v>
      </c>
      <c r="K32076" s="5">
        <v>0</v>
      </c>
    </row>
    <row r="32077" spans="1:11" x14ac:dyDescent="0.25">
      <c r="A32077" s="5">
        <f>32070</f>
      </c>
      <c r="B32077" s="5" t="s">
        <v>32085</v>
      </c>
      <c r="C32077" s="5">
        <v>99.3</v>
      </c>
      <c r="D32077" s="5">
        <v>0.1</v>
      </c>
      <c r="E32077" s="5">
        <v>99.4</v>
      </c>
      <c r="F32077" s="5">
        <v>198.6</v>
      </c>
      <c r="G32077" s="5">
        <v>99.1</v>
      </c>
      <c r="H32077" s="5">
        <v>98.9</v>
      </c>
      <c r="I32077" s="5">
        <v>0</v>
      </c>
      <c r="J32077" s="5">
        <v>0</v>
      </c>
      <c r="K32077" s="5">
        <v>0</v>
      </c>
    </row>
    <row r="32078" spans="1:11" x14ac:dyDescent="0.25">
      <c r="A32078" s="5">
        <f>32071</f>
      </c>
      <c r="B32078" s="5" t="s">
        <v>32086</v>
      </c>
      <c r="C32078" s="5">
        <v>91.8</v>
      </c>
      <c r="D32078" s="5">
        <v>0.1</v>
      </c>
      <c r="E32078" s="5">
        <v>91.9</v>
      </c>
      <c r="F32078" s="5">
        <v>183.1</v>
      </c>
      <c r="G32078" s="5">
        <v>99.1</v>
      </c>
      <c r="H32078" s="5">
        <v>98.9</v>
      </c>
      <c r="I32078" s="5">
        <v>0</v>
      </c>
      <c r="J32078" s="5">
        <v>0</v>
      </c>
      <c r="K32078" s="5">
        <v>0</v>
      </c>
    </row>
    <row r="32079" spans="1:11" x14ac:dyDescent="0.25">
      <c r="A32079" s="5">
        <f>32072</f>
      </c>
      <c r="B32079" s="5" t="s">
        <v>32087</v>
      </c>
      <c r="C32079" s="5">
        <v>91.8</v>
      </c>
      <c r="D32079" s="5">
        <v>0.1</v>
      </c>
      <c r="E32079" s="5">
        <v>91.9</v>
      </c>
      <c r="F32079" s="5">
        <v>183.1</v>
      </c>
      <c r="G32079" s="5">
        <v>91.4</v>
      </c>
      <c r="H32079" s="5">
        <v>91.2</v>
      </c>
      <c r="I32079" s="5">
        <v>0</v>
      </c>
      <c r="J32079" s="5">
        <v>0</v>
      </c>
      <c r="K32079" s="5">
        <v>0</v>
      </c>
    </row>
    <row r="32080" spans="1:11" x14ac:dyDescent="0.25">
      <c r="A32080" s="5">
        <f>32073</f>
      </c>
      <c r="B32080" s="5" t="s">
        <v>32088</v>
      </c>
      <c r="C32080" s="5">
        <v>91.8</v>
      </c>
      <c r="D32080" s="5">
        <v>0.1</v>
      </c>
      <c r="E32080" s="5">
        <v>91.9</v>
      </c>
      <c r="F32080" s="5">
        <v>183.1</v>
      </c>
      <c r="G32080" s="5">
        <v>91.4</v>
      </c>
      <c r="H32080" s="5">
        <v>91.2</v>
      </c>
      <c r="I32080" s="5">
        <v>0</v>
      </c>
      <c r="J32080" s="5">
        <v>0</v>
      </c>
      <c r="K32080" s="5">
        <v>0</v>
      </c>
    </row>
    <row r="32081" spans="1:11" x14ac:dyDescent="0.25">
      <c r="A32081" s="5">
        <f>32074</f>
      </c>
      <c r="B32081" s="5" t="s">
        <v>32089</v>
      </c>
      <c r="C32081" s="5">
        <v>91.8</v>
      </c>
      <c r="D32081" s="5">
        <v>0.1</v>
      </c>
      <c r="E32081" s="5">
        <v>91.9</v>
      </c>
      <c r="F32081" s="5">
        <v>183.1</v>
      </c>
      <c r="G32081" s="5">
        <v>91.4</v>
      </c>
      <c r="H32081" s="5">
        <v>91.2</v>
      </c>
      <c r="I32081" s="5">
        <v>0</v>
      </c>
      <c r="J32081" s="5">
        <v>0</v>
      </c>
      <c r="K32081" s="5">
        <v>0</v>
      </c>
    </row>
    <row r="32082" spans="1:11" x14ac:dyDescent="0.25">
      <c r="A32082" s="5">
        <f>32075</f>
      </c>
      <c r="B32082" s="5" t="s">
        <v>32090</v>
      </c>
      <c r="C32082" s="5">
        <v>94.2</v>
      </c>
      <c r="D32082" s="5">
        <v>0.1</v>
      </c>
      <c r="E32082" s="5">
        <v>94.4</v>
      </c>
      <c r="F32082" s="5">
        <v>191.4</v>
      </c>
      <c r="G32082" s="5">
        <v>95.6</v>
      </c>
      <c r="H32082" s="5">
        <v>95.6</v>
      </c>
      <c r="I32082" s="5">
        <v>0</v>
      </c>
      <c r="J32082" s="5">
        <v>0</v>
      </c>
      <c r="K32082" s="5">
        <v>0</v>
      </c>
    </row>
    <row r="32083" spans="1:11" x14ac:dyDescent="0.25">
      <c r="A32083" s="5">
        <f>32076</f>
      </c>
      <c r="B32083" s="5" t="s">
        <v>32091</v>
      </c>
      <c r="C32083" s="5">
        <v>94.2</v>
      </c>
      <c r="D32083" s="5">
        <v>0.1</v>
      </c>
      <c r="E32083" s="5">
        <v>94.4</v>
      </c>
      <c r="F32083" s="5">
        <v>191.4</v>
      </c>
      <c r="G32083" s="5">
        <v>95.6</v>
      </c>
      <c r="H32083" s="5">
        <v>95.6</v>
      </c>
      <c r="I32083" s="5">
        <v>0</v>
      </c>
      <c r="J32083" s="5">
        <v>0</v>
      </c>
      <c r="K32083" s="5">
        <v>0</v>
      </c>
    </row>
    <row r="32084" spans="1:11" x14ac:dyDescent="0.25">
      <c r="A32084" s="5">
        <f>32077</f>
      </c>
      <c r="B32084" s="5" t="s">
        <v>32092</v>
      </c>
      <c r="C32084" s="5">
        <v>94.2</v>
      </c>
      <c r="D32084" s="5">
        <v>0.1</v>
      </c>
      <c r="E32084" s="5">
        <v>94.4</v>
      </c>
      <c r="F32084" s="5">
        <v>186.7</v>
      </c>
      <c r="G32084" s="5">
        <v>93.2</v>
      </c>
      <c r="H32084" s="5">
        <v>93.1</v>
      </c>
      <c r="I32084" s="5">
        <v>0</v>
      </c>
      <c r="J32084" s="5">
        <v>0</v>
      </c>
      <c r="K32084" s="5">
        <v>0</v>
      </c>
    </row>
    <row r="32085" spans="1:11" x14ac:dyDescent="0.25">
      <c r="A32085" s="5">
        <f>32078</f>
      </c>
      <c r="B32085" s="5" t="s">
        <v>32093</v>
      </c>
      <c r="C32085" s="5">
        <v>95.1</v>
      </c>
      <c r="D32085" s="5">
        <v>0.1</v>
      </c>
      <c r="E32085" s="5">
        <v>95.1</v>
      </c>
      <c r="F32085" s="5">
        <v>186.7</v>
      </c>
      <c r="G32085" s="5">
        <v>93.2</v>
      </c>
      <c r="H32085" s="5">
        <v>93.1</v>
      </c>
      <c r="I32085" s="5">
        <v>0</v>
      </c>
      <c r="J32085" s="5">
        <v>0</v>
      </c>
      <c r="K32085" s="5">
        <v>0</v>
      </c>
    </row>
    <row r="32086" spans="1:11" x14ac:dyDescent="0.25">
      <c r="A32086" s="5">
        <f>32079</f>
      </c>
      <c r="B32086" s="5" t="s">
        <v>32094</v>
      </c>
      <c r="C32086" s="5">
        <v>95.1</v>
      </c>
      <c r="D32086" s="5">
        <v>0.1</v>
      </c>
      <c r="E32086" s="5">
        <v>95.1</v>
      </c>
      <c r="F32086" s="5">
        <v>186.7</v>
      </c>
      <c r="G32086" s="5">
        <v>93.2</v>
      </c>
      <c r="H32086" s="5">
        <v>92.5</v>
      </c>
      <c r="I32086" s="5">
        <v>0</v>
      </c>
      <c r="J32086" s="5">
        <v>0</v>
      </c>
      <c r="K32086" s="5">
        <v>0</v>
      </c>
    </row>
    <row r="32087" spans="1:11" x14ac:dyDescent="0.25">
      <c r="A32087" s="5">
        <f>32080</f>
      </c>
      <c r="B32087" s="5" t="s">
        <v>32095</v>
      </c>
      <c r="C32087" s="5">
        <v>92.2</v>
      </c>
      <c r="D32087" s="5">
        <v>0.1</v>
      </c>
      <c r="E32087" s="5">
        <v>92.3</v>
      </c>
      <c r="F32087" s="5">
        <v>186.1</v>
      </c>
      <c r="G32087" s="5">
        <v>92.7</v>
      </c>
      <c r="H32087" s="5">
        <v>92.5</v>
      </c>
      <c r="I32087" s="5">
        <v>0</v>
      </c>
      <c r="J32087" s="5">
        <v>0</v>
      </c>
      <c r="K32087" s="5">
        <v>0</v>
      </c>
    </row>
    <row r="32088" spans="1:11" x14ac:dyDescent="0.25">
      <c r="A32088" s="5">
        <f>32081</f>
      </c>
      <c r="B32088" s="5" t="s">
        <v>32096</v>
      </c>
      <c r="C32088" s="5">
        <v>92.2</v>
      </c>
      <c r="D32088" s="5">
        <v>0.1</v>
      </c>
      <c r="E32088" s="5">
        <v>92.3</v>
      </c>
      <c r="F32088" s="5">
        <v>186.1</v>
      </c>
      <c r="G32088" s="5">
        <v>92.7</v>
      </c>
      <c r="H32088" s="5">
        <v>92.5</v>
      </c>
      <c r="I32088" s="5">
        <v>0</v>
      </c>
      <c r="J32088" s="5">
        <v>0</v>
      </c>
      <c r="K32088" s="5">
        <v>0</v>
      </c>
    </row>
    <row r="32089" spans="1:11" x14ac:dyDescent="0.25">
      <c r="A32089" s="5">
        <f>32082</f>
      </c>
      <c r="B32089" s="5" t="s">
        <v>32097</v>
      </c>
      <c r="C32089" s="5">
        <v>93.9</v>
      </c>
      <c r="D32089" s="5">
        <v>0.1</v>
      </c>
      <c r="E32089" s="5">
        <v>94.1</v>
      </c>
      <c r="F32089" s="5">
        <v>184</v>
      </c>
      <c r="G32089" s="5">
        <v>91.6</v>
      </c>
      <c r="H32089" s="5">
        <v>91.4</v>
      </c>
      <c r="I32089" s="5">
        <v>0</v>
      </c>
      <c r="J32089" s="5">
        <v>0</v>
      </c>
      <c r="K32089" s="5">
        <v>0</v>
      </c>
    </row>
    <row r="32090" spans="1:11" x14ac:dyDescent="0.25">
      <c r="A32090" s="5">
        <f>32083</f>
      </c>
      <c r="B32090" s="5" t="s">
        <v>32098</v>
      </c>
      <c r="C32090" s="5">
        <v>93.9</v>
      </c>
      <c r="D32090" s="5">
        <v>0.1</v>
      </c>
      <c r="E32090" s="5">
        <v>94.1</v>
      </c>
      <c r="F32090" s="5">
        <v>184</v>
      </c>
      <c r="G32090" s="5">
        <v>91.6</v>
      </c>
      <c r="H32090" s="5">
        <v>91.4</v>
      </c>
      <c r="I32090" s="5">
        <v>0</v>
      </c>
      <c r="J32090" s="5">
        <v>0</v>
      </c>
      <c r="K32090" s="5">
        <v>0</v>
      </c>
    </row>
    <row r="32091" spans="1:11" x14ac:dyDescent="0.25">
      <c r="A32091" s="5">
        <f>32084</f>
      </c>
      <c r="B32091" s="5" t="s">
        <v>32099</v>
      </c>
      <c r="C32091" s="5">
        <v>93.9</v>
      </c>
      <c r="D32091" s="5">
        <v>0.1</v>
      </c>
      <c r="E32091" s="5">
        <v>94.1</v>
      </c>
      <c r="F32091" s="5">
        <v>184</v>
      </c>
      <c r="G32091" s="5">
        <v>91.6</v>
      </c>
      <c r="H32091" s="5">
        <v>91.4</v>
      </c>
      <c r="I32091" s="5">
        <v>0</v>
      </c>
      <c r="J32091" s="5">
        <v>0</v>
      </c>
      <c r="K32091" s="5">
        <v>0</v>
      </c>
    </row>
    <row r="32092" spans="1:11" x14ac:dyDescent="0.25">
      <c r="A32092" s="5">
        <f>32085</f>
      </c>
      <c r="B32092" s="5" t="s">
        <v>32100</v>
      </c>
      <c r="C32092" s="5">
        <v>92</v>
      </c>
      <c r="D32092" s="5">
        <v>0.1</v>
      </c>
      <c r="E32092" s="5">
        <v>92.2</v>
      </c>
      <c r="F32092" s="5">
        <v>186.6</v>
      </c>
      <c r="G32092" s="5">
        <v>92.9</v>
      </c>
      <c r="H32092" s="5">
        <v>92.6</v>
      </c>
      <c r="I32092" s="5">
        <v>0</v>
      </c>
      <c r="J32092" s="5">
        <v>0</v>
      </c>
      <c r="K32092" s="5">
        <v>0</v>
      </c>
    </row>
    <row r="32093" spans="1:11" x14ac:dyDescent="0.25">
      <c r="A32093" s="5">
        <f>32086</f>
      </c>
      <c r="B32093" s="5" t="s">
        <v>32101</v>
      </c>
      <c r="C32093" s="5">
        <v>92</v>
      </c>
      <c r="D32093" s="5">
        <v>0.1</v>
      </c>
      <c r="E32093" s="5">
        <v>92.2</v>
      </c>
      <c r="F32093" s="5">
        <v>186.6</v>
      </c>
      <c r="G32093" s="5">
        <v>92.9</v>
      </c>
      <c r="H32093" s="5">
        <v>92.6</v>
      </c>
      <c r="I32093" s="5">
        <v>0</v>
      </c>
      <c r="J32093" s="5">
        <v>0</v>
      </c>
      <c r="K32093" s="5">
        <v>0</v>
      </c>
    </row>
    <row r="32094" spans="1:11" x14ac:dyDescent="0.25">
      <c r="A32094" s="5">
        <f>32087</f>
      </c>
      <c r="B32094" s="5" t="s">
        <v>32102</v>
      </c>
      <c r="C32094" s="5">
        <v>92.1</v>
      </c>
      <c r="D32094" s="5">
        <v>0.1</v>
      </c>
      <c r="E32094" s="5">
        <v>92.2</v>
      </c>
      <c r="F32094" s="5">
        <v>186.1</v>
      </c>
      <c r="G32094" s="5">
        <v>92.7</v>
      </c>
      <c r="H32094" s="5">
        <v>92.5</v>
      </c>
      <c r="I32094" s="5">
        <v>0</v>
      </c>
      <c r="J32094" s="5">
        <v>0</v>
      </c>
      <c r="K32094" s="5">
        <v>0</v>
      </c>
    </row>
    <row r="32095" spans="1:11" x14ac:dyDescent="0.25">
      <c r="A32095" s="5">
        <f>32088</f>
      </c>
      <c r="B32095" s="5" t="s">
        <v>32103</v>
      </c>
      <c r="C32095" s="5">
        <v>92.1</v>
      </c>
      <c r="D32095" s="5">
        <v>0.1</v>
      </c>
      <c r="E32095" s="5">
        <v>92.2</v>
      </c>
      <c r="F32095" s="5">
        <v>186.1</v>
      </c>
      <c r="G32095" s="5">
        <v>92.7</v>
      </c>
      <c r="H32095" s="5">
        <v>92.5</v>
      </c>
      <c r="I32095" s="5">
        <v>0</v>
      </c>
      <c r="J32095" s="5">
        <v>0</v>
      </c>
      <c r="K32095" s="5">
        <v>0</v>
      </c>
    </row>
    <row r="32096" spans="1:11" x14ac:dyDescent="0.25">
      <c r="A32096" s="5">
        <f>32089</f>
      </c>
      <c r="B32096" s="5" t="s">
        <v>32104</v>
      </c>
      <c r="C32096" s="5">
        <v>92.1</v>
      </c>
      <c r="D32096" s="5">
        <v>0</v>
      </c>
      <c r="E32096" s="5">
        <v>92.2</v>
      </c>
      <c r="F32096" s="5">
        <v>186.1</v>
      </c>
      <c r="G32096" s="5">
        <v>92.8</v>
      </c>
      <c r="H32096" s="5">
        <v>92.6</v>
      </c>
      <c r="I32096" s="5">
        <v>0</v>
      </c>
      <c r="J32096" s="5">
        <v>0</v>
      </c>
      <c r="K32096" s="5">
        <v>0</v>
      </c>
    </row>
    <row r="32097" spans="1:11" x14ac:dyDescent="0.25">
      <c r="A32097" s="5">
        <f>32090</f>
      </c>
      <c r="B32097" s="5" t="s">
        <v>32105</v>
      </c>
      <c r="C32097" s="5">
        <v>92.1</v>
      </c>
      <c r="D32097" s="5">
        <v>0</v>
      </c>
      <c r="E32097" s="5">
        <v>92.2</v>
      </c>
      <c r="F32097" s="5">
        <v>186.1</v>
      </c>
      <c r="G32097" s="5">
        <v>92.8</v>
      </c>
      <c r="H32097" s="5">
        <v>92.6</v>
      </c>
      <c r="I32097" s="5">
        <v>0</v>
      </c>
      <c r="J32097" s="5">
        <v>0</v>
      </c>
      <c r="K32097" s="5">
        <v>0</v>
      </c>
    </row>
    <row r="32098" spans="1:11" x14ac:dyDescent="0.25">
      <c r="A32098" s="5">
        <f>32091</f>
      </c>
      <c r="B32098" s="5" t="s">
        <v>32106</v>
      </c>
      <c r="C32098" s="5">
        <v>90.5</v>
      </c>
      <c r="D32098" s="5">
        <v>0.1</v>
      </c>
      <c r="E32098" s="5">
        <v>90.6</v>
      </c>
      <c r="F32098" s="5">
        <v>183.4</v>
      </c>
      <c r="G32098" s="5">
        <v>91.3</v>
      </c>
      <c r="H32098" s="5">
        <v>91.1</v>
      </c>
      <c r="I32098" s="5">
        <v>0</v>
      </c>
      <c r="J32098" s="5">
        <v>0</v>
      </c>
      <c r="K32098" s="5">
        <v>0</v>
      </c>
    </row>
    <row r="32099" spans="1:11" x14ac:dyDescent="0.25">
      <c r="A32099" s="5">
        <f>32092</f>
      </c>
      <c r="B32099" s="5" t="s">
        <v>32107</v>
      </c>
      <c r="C32099" s="5">
        <v>90.5</v>
      </c>
      <c r="D32099" s="5">
        <v>0.1</v>
      </c>
      <c r="E32099" s="5">
        <v>90.6</v>
      </c>
      <c r="F32099" s="5">
        <v>183.4</v>
      </c>
      <c r="G32099" s="5">
        <v>91.3</v>
      </c>
      <c r="H32099" s="5">
        <v>91.1</v>
      </c>
      <c r="I32099" s="5">
        <v>0</v>
      </c>
      <c r="J32099" s="5">
        <v>0</v>
      </c>
      <c r="K32099" s="5">
        <v>0</v>
      </c>
    </row>
    <row r="32100" spans="1:11" x14ac:dyDescent="0.25">
      <c r="A32100" s="5">
        <f>32093</f>
      </c>
      <c r="B32100" s="5" t="s">
        <v>32108</v>
      </c>
      <c r="C32100" s="5">
        <v>90.5</v>
      </c>
      <c r="D32100" s="5">
        <v>0.1</v>
      </c>
      <c r="E32100" s="5">
        <v>90.6</v>
      </c>
      <c r="F32100" s="5">
        <v>183.4</v>
      </c>
      <c r="G32100" s="5">
        <v>91.3</v>
      </c>
      <c r="H32100" s="5">
        <v>91.1</v>
      </c>
      <c r="I32100" s="5">
        <v>0</v>
      </c>
      <c r="J32100" s="5">
        <v>0</v>
      </c>
      <c r="K32100" s="5">
        <v>0</v>
      </c>
    </row>
    <row r="32101" spans="1:11" x14ac:dyDescent="0.25">
      <c r="A32101" s="5">
        <f>32094</f>
      </c>
      <c r="B32101" s="5" t="s">
        <v>32109</v>
      </c>
      <c r="C32101" s="5">
        <v>90.5</v>
      </c>
      <c r="D32101" s="5">
        <v>0.1</v>
      </c>
      <c r="E32101" s="5">
        <v>90.6</v>
      </c>
      <c r="F32101" s="5">
        <v>183.4</v>
      </c>
      <c r="G32101" s="5">
        <v>91.3</v>
      </c>
      <c r="H32101" s="5">
        <v>91.1</v>
      </c>
      <c r="I32101" s="5">
        <v>0</v>
      </c>
      <c r="J32101" s="5">
        <v>0</v>
      </c>
      <c r="K32101" s="5">
        <v>0</v>
      </c>
    </row>
    <row r="32102" spans="1:11" x14ac:dyDescent="0.25">
      <c r="A32102" s="5">
        <f>32095</f>
      </c>
      <c r="B32102" s="5" t="s">
        <v>32110</v>
      </c>
      <c r="C32102" s="5">
        <v>94.1</v>
      </c>
      <c r="D32102" s="5">
        <v>0.1</v>
      </c>
      <c r="E32102" s="5">
        <v>94.1</v>
      </c>
      <c r="F32102" s="5">
        <v>189.1</v>
      </c>
      <c r="G32102" s="5">
        <v>94.5</v>
      </c>
      <c r="H32102" s="5">
        <v>94.4</v>
      </c>
      <c r="I32102" s="5">
        <v>0</v>
      </c>
      <c r="J32102" s="5">
        <v>0</v>
      </c>
      <c r="K32102" s="5">
        <v>0</v>
      </c>
    </row>
    <row r="32103" spans="1:11" x14ac:dyDescent="0.25">
      <c r="A32103" s="5">
        <f>32096</f>
      </c>
      <c r="B32103" s="5" t="s">
        <v>32111</v>
      </c>
      <c r="C32103" s="5">
        <v>94.1</v>
      </c>
      <c r="D32103" s="5">
        <v>0.1</v>
      </c>
      <c r="E32103" s="5">
        <v>94.1</v>
      </c>
      <c r="F32103" s="5">
        <v>189.1</v>
      </c>
      <c r="G32103" s="5">
        <v>94.5</v>
      </c>
      <c r="H32103" s="5">
        <v>94.4</v>
      </c>
      <c r="I32103" s="5">
        <v>0</v>
      </c>
      <c r="J32103" s="5">
        <v>0</v>
      </c>
      <c r="K32103" s="5">
        <v>0</v>
      </c>
    </row>
    <row r="32104" spans="1:11" x14ac:dyDescent="0.25">
      <c r="A32104" s="5">
        <f>32097</f>
      </c>
      <c r="B32104" s="5" t="s">
        <v>32112</v>
      </c>
      <c r="C32104" s="5">
        <v>90.9</v>
      </c>
      <c r="D32104" s="5">
        <v>0.1</v>
      </c>
      <c r="E32104" s="5">
        <v>91</v>
      </c>
      <c r="F32104" s="5">
        <v>198</v>
      </c>
      <c r="G32104" s="5">
        <v>98.5</v>
      </c>
      <c r="H32104" s="5">
        <v>98.1</v>
      </c>
      <c r="I32104" s="5">
        <v>0</v>
      </c>
      <c r="J32104" s="5">
        <v>0</v>
      </c>
      <c r="K32104" s="5">
        <v>0</v>
      </c>
    </row>
    <row r="32105" spans="1:11" x14ac:dyDescent="0.25">
      <c r="A32105" s="5">
        <f>32098</f>
      </c>
      <c r="B32105" s="5" t="s">
        <v>32113</v>
      </c>
      <c r="C32105" s="5">
        <v>90.9</v>
      </c>
      <c r="D32105" s="5">
        <v>0.1</v>
      </c>
      <c r="E32105" s="5">
        <v>91</v>
      </c>
      <c r="F32105" s="5">
        <v>198</v>
      </c>
      <c r="G32105" s="5">
        <v>98.5</v>
      </c>
      <c r="H32105" s="5">
        <v>98.1</v>
      </c>
      <c r="I32105" s="5">
        <v>0</v>
      </c>
      <c r="J32105" s="5">
        <v>0</v>
      </c>
      <c r="K32105" s="5">
        <v>0</v>
      </c>
    </row>
    <row r="32106" spans="1:11" x14ac:dyDescent="0.25">
      <c r="A32106" s="5">
        <f>32099</f>
      </c>
      <c r="B32106" s="5" t="s">
        <v>32114</v>
      </c>
      <c r="C32106" s="5">
        <v>98.7</v>
      </c>
      <c r="D32106" s="5">
        <v>0.1</v>
      </c>
      <c r="E32106" s="5">
        <v>98.9</v>
      </c>
      <c r="F32106" s="5">
        <v>190.4</v>
      </c>
      <c r="G32106" s="5">
        <v>95.3</v>
      </c>
      <c r="H32106" s="5">
        <v>95.4</v>
      </c>
      <c r="I32106" s="5">
        <v>0</v>
      </c>
      <c r="J32106" s="5">
        <v>0</v>
      </c>
      <c r="K32106" s="5">
        <v>0</v>
      </c>
    </row>
    <row r="32107" spans="1:11" x14ac:dyDescent="0.25">
      <c r="A32107" s="5">
        <f>32100</f>
      </c>
      <c r="B32107" s="5" t="s">
        <v>32115</v>
      </c>
      <c r="C32107" s="5">
        <v>98.7</v>
      </c>
      <c r="D32107" s="5">
        <v>0.1</v>
      </c>
      <c r="E32107" s="5">
        <v>98.9</v>
      </c>
      <c r="F32107" s="5">
        <v>190.4</v>
      </c>
      <c r="G32107" s="5">
        <v>95.3</v>
      </c>
      <c r="H32107" s="5">
        <v>95.4</v>
      </c>
      <c r="I32107" s="5">
        <v>0</v>
      </c>
      <c r="J32107" s="5">
        <v>0</v>
      </c>
      <c r="K32107" s="5">
        <v>0</v>
      </c>
    </row>
    <row r="32108" spans="1:11" x14ac:dyDescent="0.25">
      <c r="A32108" s="5">
        <f>32101</f>
      </c>
      <c r="B32108" s="5" t="s">
        <v>32116</v>
      </c>
      <c r="C32108" s="5">
        <v>92.6</v>
      </c>
      <c r="D32108" s="5">
        <v>0.1</v>
      </c>
      <c r="E32108" s="5">
        <v>92.8</v>
      </c>
      <c r="F32108" s="5">
        <v>183.6</v>
      </c>
      <c r="G32108" s="5">
        <v>91.6</v>
      </c>
      <c r="H32108" s="5">
        <v>91.4</v>
      </c>
      <c r="I32108" s="5">
        <v>0</v>
      </c>
      <c r="J32108" s="5">
        <v>0</v>
      </c>
      <c r="K32108" s="5">
        <v>0</v>
      </c>
    </row>
    <row r="32109" spans="1:11" x14ac:dyDescent="0.25">
      <c r="A32109" s="5">
        <f>32102</f>
      </c>
      <c r="B32109" s="5" t="s">
        <v>32117</v>
      </c>
      <c r="C32109" s="5">
        <v>92.6</v>
      </c>
      <c r="D32109" s="5">
        <v>0.1</v>
      </c>
      <c r="E32109" s="5">
        <v>92.8</v>
      </c>
      <c r="F32109" s="5">
        <v>183.6</v>
      </c>
      <c r="G32109" s="5">
        <v>91.6</v>
      </c>
      <c r="H32109" s="5">
        <v>91.4</v>
      </c>
      <c r="I32109" s="5">
        <v>0</v>
      </c>
      <c r="J32109" s="5">
        <v>0</v>
      </c>
      <c r="K32109" s="5">
        <v>0</v>
      </c>
    </row>
    <row r="32110" spans="1:11" x14ac:dyDescent="0.25">
      <c r="A32110" s="5">
        <f>32103</f>
      </c>
      <c r="B32110" s="5" t="s">
        <v>32118</v>
      </c>
      <c r="C32110" s="5">
        <v>92.6</v>
      </c>
      <c r="D32110" s="5">
        <v>0.1</v>
      </c>
      <c r="E32110" s="5">
        <v>92.8</v>
      </c>
      <c r="F32110" s="5">
        <v>183.6</v>
      </c>
      <c r="G32110" s="5">
        <v>91.6</v>
      </c>
      <c r="H32110" s="5">
        <v>91.4</v>
      </c>
      <c r="I32110" s="5">
        <v>0</v>
      </c>
      <c r="J32110" s="5">
        <v>0</v>
      </c>
      <c r="K32110" s="5">
        <v>0</v>
      </c>
    </row>
    <row r="32111" spans="1:11" x14ac:dyDescent="0.25">
      <c r="A32111" s="5">
        <f>32104</f>
      </c>
      <c r="B32111" s="5" t="s">
        <v>32119</v>
      </c>
      <c r="C32111" s="5">
        <v>92.6</v>
      </c>
      <c r="D32111" s="5">
        <v>0.1</v>
      </c>
      <c r="E32111" s="5">
        <v>92.8</v>
      </c>
      <c r="F32111" s="5">
        <v>183.6</v>
      </c>
      <c r="G32111" s="5">
        <v>91.6</v>
      </c>
      <c r="H32111" s="5">
        <v>91.4</v>
      </c>
      <c r="I32111" s="5">
        <v>0</v>
      </c>
      <c r="J32111" s="5">
        <v>0</v>
      </c>
      <c r="K32111" s="5">
        <v>0</v>
      </c>
    </row>
    <row r="32112" spans="1:11" x14ac:dyDescent="0.25">
      <c r="A32112" s="5">
        <f>32105</f>
      </c>
      <c r="B32112" s="5" t="s">
        <v>32120</v>
      </c>
      <c r="C32112" s="5">
        <v>92.3</v>
      </c>
      <c r="D32112" s="5">
        <v>0.1</v>
      </c>
      <c r="E32112" s="5">
        <v>92.4</v>
      </c>
      <c r="F32112" s="5">
        <v>183.8</v>
      </c>
      <c r="G32112" s="5">
        <v>91.7</v>
      </c>
      <c r="H32112" s="5">
        <v>91.6</v>
      </c>
      <c r="I32112" s="5">
        <v>0</v>
      </c>
      <c r="J32112" s="5">
        <v>0</v>
      </c>
      <c r="K32112" s="5">
        <v>0</v>
      </c>
    </row>
    <row r="32113" spans="1:11" x14ac:dyDescent="0.25">
      <c r="A32113" s="5">
        <f>32106</f>
      </c>
      <c r="B32113" s="5" t="s">
        <v>32121</v>
      </c>
      <c r="C32113" s="5">
        <v>92.3</v>
      </c>
      <c r="D32113" s="5">
        <v>0.1</v>
      </c>
      <c r="E32113" s="5">
        <v>92.4</v>
      </c>
      <c r="F32113" s="5">
        <v>183.8</v>
      </c>
      <c r="G32113" s="5">
        <v>91.7</v>
      </c>
      <c r="H32113" s="5">
        <v>91.6</v>
      </c>
      <c r="I32113" s="5">
        <v>0</v>
      </c>
      <c r="J32113" s="5">
        <v>0</v>
      </c>
      <c r="K32113" s="5">
        <v>0</v>
      </c>
    </row>
    <row r="32114" spans="1:11" x14ac:dyDescent="0.25">
      <c r="A32114" s="5">
        <f>32107</f>
      </c>
      <c r="B32114" s="5" t="s">
        <v>32122</v>
      </c>
      <c r="C32114" s="5">
        <v>101.3</v>
      </c>
      <c r="D32114" s="5">
        <v>0.1</v>
      </c>
      <c r="E32114" s="5">
        <v>101.5</v>
      </c>
      <c r="F32114" s="5">
        <v>199.4</v>
      </c>
      <c r="G32114" s="5">
        <v>99.6</v>
      </c>
      <c r="H32114" s="5">
        <v>99.6</v>
      </c>
      <c r="I32114" s="5">
        <v>0</v>
      </c>
      <c r="J32114" s="5">
        <v>0</v>
      </c>
      <c r="K32114" s="5">
        <v>0</v>
      </c>
    </row>
    <row r="32115" spans="1:11" x14ac:dyDescent="0.25">
      <c r="A32115" s="5">
        <f>32108</f>
      </c>
      <c r="B32115" s="5" t="s">
        <v>32123</v>
      </c>
      <c r="C32115" s="5">
        <v>101.3</v>
      </c>
      <c r="D32115" s="5">
        <v>0.1</v>
      </c>
      <c r="E32115" s="5">
        <v>101.5</v>
      </c>
      <c r="F32115" s="5">
        <v>199.4</v>
      </c>
      <c r="G32115" s="5">
        <v>99.6</v>
      </c>
      <c r="H32115" s="5">
        <v>99.6</v>
      </c>
      <c r="I32115" s="5">
        <v>0</v>
      </c>
      <c r="J32115" s="5">
        <v>0</v>
      </c>
      <c r="K32115" s="5">
        <v>0</v>
      </c>
    </row>
    <row r="32116" spans="1:11" x14ac:dyDescent="0.25">
      <c r="A32116" s="5">
        <f>32109</f>
      </c>
      <c r="B32116" s="5" t="s">
        <v>32124</v>
      </c>
      <c r="C32116" s="5">
        <v>91.9</v>
      </c>
      <c r="D32116" s="5">
        <v>0.1</v>
      </c>
      <c r="E32116" s="5">
        <v>92</v>
      </c>
      <c r="F32116" s="5">
        <v>182.8</v>
      </c>
      <c r="G32116" s="5">
        <v>91.2</v>
      </c>
      <c r="H32116" s="5">
        <v>91.1</v>
      </c>
      <c r="I32116" s="5">
        <v>0</v>
      </c>
      <c r="J32116" s="5">
        <v>0</v>
      </c>
      <c r="K32116" s="5">
        <v>0</v>
      </c>
    </row>
    <row r="32117" spans="1:11" x14ac:dyDescent="0.25">
      <c r="A32117" s="5">
        <f>32110</f>
      </c>
      <c r="B32117" s="5" t="s">
        <v>32125</v>
      </c>
      <c r="C32117" s="5">
        <v>91.9</v>
      </c>
      <c r="D32117" s="5">
        <v>0.1</v>
      </c>
      <c r="E32117" s="5">
        <v>92</v>
      </c>
      <c r="F32117" s="5">
        <v>182.8</v>
      </c>
      <c r="G32117" s="5">
        <v>91.2</v>
      </c>
      <c r="H32117" s="5">
        <v>91.1</v>
      </c>
      <c r="I32117" s="5">
        <v>0</v>
      </c>
      <c r="J32117" s="5">
        <v>0</v>
      </c>
      <c r="K32117" s="5">
        <v>0</v>
      </c>
    </row>
    <row r="32118" spans="1:11" x14ac:dyDescent="0.25">
      <c r="A32118" s="5">
        <f>32111</f>
      </c>
      <c r="B32118" s="5" t="s">
        <v>32126</v>
      </c>
      <c r="C32118" s="5">
        <v>98.8</v>
      </c>
      <c r="D32118" s="5">
        <v>0.1</v>
      </c>
      <c r="E32118" s="5">
        <v>98.9</v>
      </c>
      <c r="F32118" s="5">
        <v>188.7</v>
      </c>
      <c r="G32118" s="5">
        <v>94.5</v>
      </c>
      <c r="H32118" s="5">
        <v>94.7</v>
      </c>
      <c r="I32118" s="5">
        <v>0</v>
      </c>
      <c r="J32118" s="5">
        <v>0</v>
      </c>
      <c r="K32118" s="5">
        <v>0</v>
      </c>
    </row>
    <row r="32119" spans="1:11" x14ac:dyDescent="0.25">
      <c r="A32119" s="5">
        <f>32112</f>
      </c>
      <c r="B32119" s="5" t="s">
        <v>32127</v>
      </c>
      <c r="C32119" s="5">
        <v>98.8</v>
      </c>
      <c r="D32119" s="5">
        <v>0.1</v>
      </c>
      <c r="E32119" s="5">
        <v>98.9</v>
      </c>
      <c r="F32119" s="5">
        <v>188.7</v>
      </c>
      <c r="G32119" s="5">
        <v>94.5</v>
      </c>
      <c r="H32119" s="5">
        <v>94.7</v>
      </c>
      <c r="I32119" s="5">
        <v>0</v>
      </c>
      <c r="J32119" s="5">
        <v>0</v>
      </c>
      <c r="K32119" s="5">
        <v>0</v>
      </c>
    </row>
    <row r="32120" spans="1:11" x14ac:dyDescent="0.25">
      <c r="A32120" s="5">
        <f>32113</f>
      </c>
      <c r="B32120" s="5" t="s">
        <v>32128</v>
      </c>
      <c r="C32120" s="5">
        <v>98.8</v>
      </c>
      <c r="D32120" s="5">
        <v>0.1</v>
      </c>
      <c r="E32120" s="5">
        <v>98.9</v>
      </c>
      <c r="F32120" s="5">
        <v>188.7</v>
      </c>
      <c r="G32120" s="5">
        <v>94.5</v>
      </c>
      <c r="H32120" s="5">
        <v>94.7</v>
      </c>
      <c r="I32120" s="5">
        <v>0</v>
      </c>
      <c r="J32120" s="5">
        <v>0</v>
      </c>
      <c r="K32120" s="5">
        <v>0</v>
      </c>
    </row>
    <row r="32121" spans="1:11" x14ac:dyDescent="0.25">
      <c r="A32121" s="5">
        <f>32114</f>
      </c>
      <c r="B32121" s="5" t="s">
        <v>32129</v>
      </c>
      <c r="C32121" s="5">
        <v>98.8</v>
      </c>
      <c r="D32121" s="5">
        <v>0.1</v>
      </c>
      <c r="E32121" s="5">
        <v>98.9</v>
      </c>
      <c r="F32121" s="5">
        <v>188.7</v>
      </c>
      <c r="G32121" s="5">
        <v>94.5</v>
      </c>
      <c r="H32121" s="5">
        <v>94.7</v>
      </c>
      <c r="I32121" s="5">
        <v>0</v>
      </c>
      <c r="J32121" s="5">
        <v>0</v>
      </c>
      <c r="K32121" s="5">
        <v>0</v>
      </c>
    </row>
    <row r="32122" spans="1:11" x14ac:dyDescent="0.25">
      <c r="A32122" s="5">
        <f>32115</f>
      </c>
      <c r="B32122" s="5" t="s">
        <v>32130</v>
      </c>
      <c r="C32122" s="5">
        <v>92.2</v>
      </c>
      <c r="D32122" s="5">
        <v>0.1</v>
      </c>
      <c r="E32122" s="5">
        <v>92.2</v>
      </c>
      <c r="F32122" s="5">
        <v>187.9</v>
      </c>
      <c r="G32122" s="5">
        <v>93.8</v>
      </c>
      <c r="H32122" s="5">
        <v>93.6</v>
      </c>
      <c r="I32122" s="5">
        <v>0</v>
      </c>
      <c r="J32122" s="5">
        <v>0</v>
      </c>
      <c r="K32122" s="5">
        <v>0</v>
      </c>
    </row>
    <row r="32123" spans="1:11" x14ac:dyDescent="0.25">
      <c r="A32123" s="5">
        <f>32116</f>
      </c>
      <c r="B32123" s="5" t="s">
        <v>32131</v>
      </c>
      <c r="C32123" s="5">
        <v>92.2</v>
      </c>
      <c r="D32123" s="5">
        <v>0.1</v>
      </c>
      <c r="E32123" s="5">
        <v>92.2</v>
      </c>
      <c r="F32123" s="5">
        <v>187.9</v>
      </c>
      <c r="G32123" s="5">
        <v>93.8</v>
      </c>
      <c r="H32123" s="5">
        <v>93.6</v>
      </c>
      <c r="I32123" s="5">
        <v>0</v>
      </c>
      <c r="J32123" s="5">
        <v>0</v>
      </c>
      <c r="K32123" s="5">
        <v>0</v>
      </c>
    </row>
    <row r="32124" spans="1:11" x14ac:dyDescent="0.25">
      <c r="A32124" s="5">
        <f>32117</f>
      </c>
      <c r="B32124" s="5" t="s">
        <v>32132</v>
      </c>
      <c r="C32124" s="5">
        <v>95</v>
      </c>
      <c r="D32124" s="5">
        <v>0.1</v>
      </c>
      <c r="E32124" s="5">
        <v>95.1</v>
      </c>
      <c r="F32124" s="5">
        <v>186.6</v>
      </c>
      <c r="G32124" s="5">
        <v>93.1</v>
      </c>
      <c r="H32124" s="5">
        <v>93</v>
      </c>
      <c r="I32124" s="5">
        <v>0</v>
      </c>
      <c r="J32124" s="5">
        <v>0</v>
      </c>
      <c r="K32124" s="5">
        <v>0</v>
      </c>
    </row>
    <row r="32125" spans="1:11" x14ac:dyDescent="0.25">
      <c r="A32125" s="5">
        <f>32118</f>
      </c>
      <c r="B32125" s="5" t="s">
        <v>32133</v>
      </c>
      <c r="C32125" s="5">
        <v>95</v>
      </c>
      <c r="D32125" s="5">
        <v>0.1</v>
      </c>
      <c r="E32125" s="5">
        <v>95.1</v>
      </c>
      <c r="F32125" s="5">
        <v>186.6</v>
      </c>
      <c r="G32125" s="5">
        <v>93.1</v>
      </c>
      <c r="H32125" s="5">
        <v>93</v>
      </c>
      <c r="I32125" s="5">
        <v>0</v>
      </c>
      <c r="J32125" s="5">
        <v>0</v>
      </c>
      <c r="K32125" s="5">
        <v>0</v>
      </c>
    </row>
    <row r="32126" spans="1:11" x14ac:dyDescent="0.25">
      <c r="A32126" s="5">
        <f>32119</f>
      </c>
      <c r="B32126" s="5" t="s">
        <v>32134</v>
      </c>
      <c r="C32126" s="5">
        <v>93.1</v>
      </c>
      <c r="D32126" s="5">
        <v>0.1</v>
      </c>
      <c r="E32126" s="5">
        <v>93.2</v>
      </c>
      <c r="F32126" s="5">
        <v>184</v>
      </c>
      <c r="G32126" s="5">
        <v>91.7</v>
      </c>
      <c r="H32126" s="5">
        <v>91.5</v>
      </c>
      <c r="I32126" s="5">
        <v>0</v>
      </c>
      <c r="J32126" s="5">
        <v>0</v>
      </c>
      <c r="K32126" s="5">
        <v>0</v>
      </c>
    </row>
    <row r="32127" spans="1:11" x14ac:dyDescent="0.25">
      <c r="A32127" s="5">
        <f>32120</f>
      </c>
      <c r="B32127" s="5" t="s">
        <v>32135</v>
      </c>
      <c r="C32127" s="5">
        <v>93.1</v>
      </c>
      <c r="D32127" s="5">
        <v>0.1</v>
      </c>
      <c r="E32127" s="5">
        <v>93.2</v>
      </c>
      <c r="F32127" s="5">
        <v>184</v>
      </c>
      <c r="G32127" s="5">
        <v>91.7</v>
      </c>
      <c r="H32127" s="5">
        <v>91.5</v>
      </c>
      <c r="I32127" s="5">
        <v>0</v>
      </c>
      <c r="J32127" s="5">
        <v>0</v>
      </c>
      <c r="K32127" s="5">
        <v>0</v>
      </c>
    </row>
    <row r="32128" spans="1:11" x14ac:dyDescent="0.25">
      <c r="A32128" s="5">
        <f>32121</f>
      </c>
      <c r="B32128" s="5" t="s">
        <v>32136</v>
      </c>
      <c r="C32128" s="5">
        <v>99.8</v>
      </c>
      <c r="D32128" s="5">
        <v>0.1</v>
      </c>
      <c r="E32128" s="5">
        <v>99.9</v>
      </c>
      <c r="F32128" s="5">
        <v>199.4</v>
      </c>
      <c r="G32128" s="5">
        <v>99.4</v>
      </c>
      <c r="H32128" s="5">
        <v>99.3</v>
      </c>
      <c r="I32128" s="5">
        <v>0</v>
      </c>
      <c r="J32128" s="5">
        <v>0</v>
      </c>
      <c r="K32128" s="5">
        <v>0</v>
      </c>
    </row>
    <row r="32129" spans="1:11" x14ac:dyDescent="0.25">
      <c r="A32129" s="5">
        <f>32122</f>
      </c>
      <c r="B32129" s="5" t="s">
        <v>32137</v>
      </c>
      <c r="C32129" s="5">
        <v>99.8</v>
      </c>
      <c r="D32129" s="5">
        <v>0.1</v>
      </c>
      <c r="E32129" s="5">
        <v>99.9</v>
      </c>
      <c r="F32129" s="5">
        <v>199.4</v>
      </c>
      <c r="G32129" s="5">
        <v>99.4</v>
      </c>
      <c r="H32129" s="5">
        <v>99.3</v>
      </c>
      <c r="I32129" s="5">
        <v>0</v>
      </c>
      <c r="J32129" s="5">
        <v>0</v>
      </c>
      <c r="K32129" s="5">
        <v>0</v>
      </c>
    </row>
    <row r="32130" spans="1:11" x14ac:dyDescent="0.25">
      <c r="A32130" s="5">
        <f>32123</f>
      </c>
      <c r="B32130" s="5" t="s">
        <v>32138</v>
      </c>
      <c r="C32130" s="5">
        <v>99.8</v>
      </c>
      <c r="D32130" s="5">
        <v>0.1</v>
      </c>
      <c r="E32130" s="5">
        <v>99.9</v>
      </c>
      <c r="F32130" s="5">
        <v>199.4</v>
      </c>
      <c r="G32130" s="5">
        <v>99.4</v>
      </c>
      <c r="H32130" s="5">
        <v>99.3</v>
      </c>
      <c r="I32130" s="5">
        <v>0</v>
      </c>
      <c r="J32130" s="5">
        <v>0</v>
      </c>
      <c r="K32130" s="5">
        <v>0</v>
      </c>
    </row>
    <row r="32131" spans="1:11" x14ac:dyDescent="0.25">
      <c r="A32131" s="5">
        <f>32124</f>
      </c>
      <c r="B32131" s="5" t="s">
        <v>32139</v>
      </c>
      <c r="C32131" s="5">
        <v>99.8</v>
      </c>
      <c r="D32131" s="5">
        <v>0.1</v>
      </c>
      <c r="E32131" s="5">
        <v>99.9</v>
      </c>
      <c r="F32131" s="5">
        <v>199.4</v>
      </c>
      <c r="G32131" s="5">
        <v>99.4</v>
      </c>
      <c r="H32131" s="5">
        <v>99.3</v>
      </c>
      <c r="I32131" s="5">
        <v>0</v>
      </c>
      <c r="J32131" s="5">
        <v>0</v>
      </c>
      <c r="K32131" s="5">
        <v>0</v>
      </c>
    </row>
    <row r="32132" spans="1:11" x14ac:dyDescent="0.25">
      <c r="A32132" s="5">
        <f>32125</f>
      </c>
      <c r="B32132" s="5" t="s">
        <v>32140</v>
      </c>
      <c r="C32132" s="5">
        <v>99.8</v>
      </c>
      <c r="D32132" s="5">
        <v>0.1</v>
      </c>
      <c r="E32132" s="5">
        <v>99.9</v>
      </c>
      <c r="F32132" s="5">
        <v>199.4</v>
      </c>
      <c r="G32132" s="5">
        <v>99.4</v>
      </c>
      <c r="H32132" s="5">
        <v>99.3</v>
      </c>
      <c r="I32132" s="5">
        <v>0</v>
      </c>
      <c r="J32132" s="5">
        <v>0</v>
      </c>
      <c r="K32132" s="5">
        <v>0</v>
      </c>
    </row>
    <row r="32133" spans="1:11" x14ac:dyDescent="0.25">
      <c r="A32133" s="5">
        <f>32126</f>
      </c>
      <c r="B32133" s="5" t="s">
        <v>32141</v>
      </c>
      <c r="C32133" s="5">
        <v>99.8</v>
      </c>
      <c r="D32133" s="5">
        <v>0.1</v>
      </c>
      <c r="E32133" s="5">
        <v>99.9</v>
      </c>
      <c r="F32133" s="5">
        <v>199.4</v>
      </c>
      <c r="G32133" s="5">
        <v>99.4</v>
      </c>
      <c r="H32133" s="5">
        <v>99.3</v>
      </c>
      <c r="I32133" s="5">
        <v>0</v>
      </c>
      <c r="J32133" s="5">
        <v>0</v>
      </c>
      <c r="K32133" s="5">
        <v>0</v>
      </c>
    </row>
    <row r="32134" spans="1:11" x14ac:dyDescent="0.25">
      <c r="A32134" s="5">
        <f>32127</f>
      </c>
      <c r="B32134" s="5" t="s">
        <v>32142</v>
      </c>
      <c r="C32134" s="5">
        <v>99.4</v>
      </c>
      <c r="D32134" s="5">
        <v>0.1</v>
      </c>
      <c r="E32134" s="5">
        <v>99.5</v>
      </c>
      <c r="F32134" s="5">
        <v>198.2</v>
      </c>
      <c r="G32134" s="5">
        <v>98.9</v>
      </c>
      <c r="H32134" s="5">
        <v>98.8</v>
      </c>
      <c r="I32134" s="5">
        <v>0</v>
      </c>
      <c r="J32134" s="5">
        <v>0</v>
      </c>
      <c r="K32134" s="5">
        <v>0</v>
      </c>
    </row>
    <row r="32135" spans="1:11" x14ac:dyDescent="0.25">
      <c r="A32135" s="5">
        <f>32128</f>
      </c>
      <c r="B32135" s="5" t="s">
        <v>32143</v>
      </c>
      <c r="C32135" s="5">
        <v>99.4</v>
      </c>
      <c r="D32135" s="5">
        <v>0.1</v>
      </c>
      <c r="E32135" s="5">
        <v>99.5</v>
      </c>
      <c r="F32135" s="5">
        <v>198.2</v>
      </c>
      <c r="G32135" s="5">
        <v>98.9</v>
      </c>
      <c r="H32135" s="5">
        <v>98.8</v>
      </c>
      <c r="I32135" s="5">
        <v>0</v>
      </c>
      <c r="J32135" s="5">
        <v>0</v>
      </c>
      <c r="K32135" s="5">
        <v>0</v>
      </c>
    </row>
    <row r="32136" spans="1:11" x14ac:dyDescent="0.25">
      <c r="A32136" s="5">
        <f>32129</f>
      </c>
      <c r="B32136" s="5" t="s">
        <v>32144</v>
      </c>
      <c r="C32136" s="5">
        <v>99.5</v>
      </c>
      <c r="D32136" s="5">
        <v>0.1</v>
      </c>
      <c r="E32136" s="5">
        <v>99.6</v>
      </c>
      <c r="F32136" s="5">
        <v>198.4</v>
      </c>
      <c r="G32136" s="5">
        <v>99</v>
      </c>
      <c r="H32136" s="5">
        <v>98.9</v>
      </c>
      <c r="I32136" s="5">
        <v>0</v>
      </c>
      <c r="J32136" s="5">
        <v>0</v>
      </c>
      <c r="K32136" s="5">
        <v>0</v>
      </c>
    </row>
    <row r="32137" spans="1:11" x14ac:dyDescent="0.25">
      <c r="A32137" s="5">
        <f>32130</f>
      </c>
      <c r="B32137" s="5" t="s">
        <v>32145</v>
      </c>
      <c r="C32137" s="5">
        <v>99.5</v>
      </c>
      <c r="D32137" s="5">
        <v>0.1</v>
      </c>
      <c r="E32137" s="5">
        <v>99.6</v>
      </c>
      <c r="F32137" s="5">
        <v>198.4</v>
      </c>
      <c r="G32137" s="5">
        <v>99</v>
      </c>
      <c r="H32137" s="5">
        <v>98.9</v>
      </c>
      <c r="I32137" s="5">
        <v>0</v>
      </c>
      <c r="J32137" s="5">
        <v>0</v>
      </c>
      <c r="K32137" s="5">
        <v>0</v>
      </c>
    </row>
    <row r="32138" spans="1:11" x14ac:dyDescent="0.25">
      <c r="A32138" s="5">
        <f>32131</f>
      </c>
      <c r="B32138" s="5" t="s">
        <v>32146</v>
      </c>
      <c r="C32138" s="5">
        <v>97.6</v>
      </c>
      <c r="D32138" s="5">
        <v>0.1</v>
      </c>
      <c r="E32138" s="5">
        <v>97.8</v>
      </c>
      <c r="F32138" s="5">
        <v>195.7</v>
      </c>
      <c r="G32138" s="5">
        <v>97.6</v>
      </c>
      <c r="H32138" s="5">
        <v>97.5</v>
      </c>
      <c r="I32138" s="5">
        <v>0</v>
      </c>
      <c r="J32138" s="5">
        <v>0</v>
      </c>
      <c r="K32138" s="5">
        <v>0</v>
      </c>
    </row>
    <row r="32139" spans="1:11" x14ac:dyDescent="0.25">
      <c r="A32139" s="5">
        <f>32132</f>
      </c>
      <c r="B32139" s="5" t="s">
        <v>32147</v>
      </c>
      <c r="C32139" s="5">
        <v>97.6</v>
      </c>
      <c r="D32139" s="5">
        <v>0.1</v>
      </c>
      <c r="E32139" s="5">
        <v>97.8</v>
      </c>
      <c r="F32139" s="5">
        <v>195.7</v>
      </c>
      <c r="G32139" s="5">
        <v>97.6</v>
      </c>
      <c r="H32139" s="5">
        <v>97.5</v>
      </c>
      <c r="I32139" s="5">
        <v>0</v>
      </c>
      <c r="J32139" s="5">
        <v>0</v>
      </c>
      <c r="K32139" s="5">
        <v>0</v>
      </c>
    </row>
    <row r="32140" spans="1:11" x14ac:dyDescent="0.25">
      <c r="A32140" s="5">
        <f>32133</f>
      </c>
      <c r="B32140" s="5" t="s">
        <v>32148</v>
      </c>
      <c r="C32140" s="5">
        <v>97.6</v>
      </c>
      <c r="D32140" s="5">
        <v>0.1</v>
      </c>
      <c r="E32140" s="5">
        <v>97.8</v>
      </c>
      <c r="F32140" s="5">
        <v>195.7</v>
      </c>
      <c r="G32140" s="5">
        <v>97.6</v>
      </c>
      <c r="H32140" s="5">
        <v>97.5</v>
      </c>
      <c r="I32140" s="5">
        <v>0</v>
      </c>
      <c r="J32140" s="5">
        <v>0</v>
      </c>
      <c r="K32140" s="5">
        <v>0</v>
      </c>
    </row>
    <row r="32141" spans="1:11" x14ac:dyDescent="0.25">
      <c r="A32141" s="5">
        <f>32134</f>
      </c>
      <c r="B32141" s="5" t="s">
        <v>32149</v>
      </c>
      <c r="C32141" s="5">
        <v>97.6</v>
      </c>
      <c r="D32141" s="5">
        <v>0.1</v>
      </c>
      <c r="E32141" s="5">
        <v>97.8</v>
      </c>
      <c r="F32141" s="5">
        <v>195.7</v>
      </c>
      <c r="G32141" s="5">
        <v>97.6</v>
      </c>
      <c r="H32141" s="5">
        <v>97.5</v>
      </c>
      <c r="I32141" s="5">
        <v>0</v>
      </c>
      <c r="J32141" s="5">
        <v>0</v>
      </c>
      <c r="K32141" s="5">
        <v>0</v>
      </c>
    </row>
    <row r="32142" spans="1:11" x14ac:dyDescent="0.25">
      <c r="A32142" s="5">
        <f>32135</f>
      </c>
      <c r="B32142" s="5" t="s">
        <v>32150</v>
      </c>
      <c r="C32142" s="5">
        <v>98.8</v>
      </c>
      <c r="D32142" s="5">
        <v>0.1</v>
      </c>
      <c r="E32142" s="5">
        <v>98.9</v>
      </c>
      <c r="F32142" s="5">
        <v>196.9</v>
      </c>
      <c r="G32142" s="5">
        <v>98.2</v>
      </c>
      <c r="H32142" s="5">
        <v>98.1</v>
      </c>
      <c r="I32142" s="5">
        <v>0</v>
      </c>
      <c r="J32142" s="5">
        <v>0</v>
      </c>
      <c r="K32142" s="5">
        <v>0</v>
      </c>
    </row>
    <row r="32143" spans="1:11" x14ac:dyDescent="0.25">
      <c r="A32143" s="5">
        <f>32136</f>
      </c>
      <c r="B32143" s="5" t="s">
        <v>32151</v>
      </c>
      <c r="C32143" s="5">
        <v>98.8</v>
      </c>
      <c r="D32143" s="5">
        <v>0.1</v>
      </c>
      <c r="E32143" s="5">
        <v>98.9</v>
      </c>
      <c r="F32143" s="5">
        <v>196.9</v>
      </c>
      <c r="G32143" s="5">
        <v>98.2</v>
      </c>
      <c r="H32143" s="5">
        <v>98.1</v>
      </c>
      <c r="I32143" s="5">
        <v>0</v>
      </c>
      <c r="J32143" s="5">
        <v>0</v>
      </c>
      <c r="K32143" s="5">
        <v>0</v>
      </c>
    </row>
    <row r="32144" spans="1:11" x14ac:dyDescent="0.25">
      <c r="A32144" s="5">
        <f>32137</f>
      </c>
      <c r="B32144" s="5" t="s">
        <v>32152</v>
      </c>
      <c r="C32144" s="5">
        <v>98.3</v>
      </c>
      <c r="D32144" s="5">
        <v>0.1</v>
      </c>
      <c r="E32144" s="5">
        <v>98.4</v>
      </c>
      <c r="F32144" s="5">
        <v>197.2</v>
      </c>
      <c r="G32144" s="5">
        <v>98.4</v>
      </c>
      <c r="H32144" s="5">
        <v>98.2</v>
      </c>
      <c r="I32144" s="5">
        <v>0</v>
      </c>
      <c r="J32144" s="5">
        <v>0</v>
      </c>
      <c r="K32144" s="5">
        <v>0</v>
      </c>
    </row>
    <row r="32145" spans="1:11" x14ac:dyDescent="0.25">
      <c r="A32145" s="5">
        <f>32138</f>
      </c>
      <c r="B32145" s="5" t="s">
        <v>32153</v>
      </c>
      <c r="C32145" s="5">
        <v>98.3</v>
      </c>
      <c r="D32145" s="5">
        <v>0.1</v>
      </c>
      <c r="E32145" s="5">
        <v>98.4</v>
      </c>
      <c r="F32145" s="5">
        <v>197.2</v>
      </c>
      <c r="G32145" s="5">
        <v>98.4</v>
      </c>
      <c r="H32145" s="5">
        <v>98.2</v>
      </c>
      <c r="I32145" s="5">
        <v>0</v>
      </c>
      <c r="J32145" s="5">
        <v>0</v>
      </c>
      <c r="K32145" s="5">
        <v>0</v>
      </c>
    </row>
    <row r="32146" spans="1:11" x14ac:dyDescent="0.25">
      <c r="A32146" s="5">
        <f>32139</f>
      </c>
      <c r="B32146" s="5" t="s">
        <v>32154</v>
      </c>
      <c r="C32146" s="5">
        <v>99</v>
      </c>
      <c r="D32146" s="5">
        <v>0.1</v>
      </c>
      <c r="E32146" s="5">
        <v>99.2</v>
      </c>
      <c r="F32146" s="5">
        <v>198.7</v>
      </c>
      <c r="G32146" s="5">
        <v>99.1</v>
      </c>
      <c r="H32146" s="5">
        <v>98.9</v>
      </c>
      <c r="I32146" s="5">
        <v>0</v>
      </c>
      <c r="J32146" s="5">
        <v>0</v>
      </c>
      <c r="K32146" s="5">
        <v>0</v>
      </c>
    </row>
    <row r="32147" spans="1:11" x14ac:dyDescent="0.25">
      <c r="A32147" s="5">
        <f>32140</f>
      </c>
      <c r="B32147" s="5" t="s">
        <v>32155</v>
      </c>
      <c r="C32147" s="5">
        <v>99</v>
      </c>
      <c r="D32147" s="5">
        <v>0.1</v>
      </c>
      <c r="E32147" s="5">
        <v>99.2</v>
      </c>
      <c r="F32147" s="5">
        <v>198.7</v>
      </c>
      <c r="G32147" s="5">
        <v>99.1</v>
      </c>
      <c r="H32147" s="5">
        <v>98.9</v>
      </c>
      <c r="I32147" s="5">
        <v>0</v>
      </c>
      <c r="J32147" s="5">
        <v>0</v>
      </c>
      <c r="K32147" s="5">
        <v>0</v>
      </c>
    </row>
    <row r="32148" spans="1:11" x14ac:dyDescent="0.25">
      <c r="A32148" s="5">
        <f>32141</f>
      </c>
      <c r="B32148" s="5" t="s">
        <v>32156</v>
      </c>
      <c r="C32148" s="5">
        <v>98.7</v>
      </c>
      <c r="D32148" s="5">
        <v>0.1</v>
      </c>
      <c r="E32148" s="5">
        <v>98.9</v>
      </c>
      <c r="F32148" s="5">
        <v>198.3</v>
      </c>
      <c r="G32148" s="5">
        <v>98.9</v>
      </c>
      <c r="H32148" s="5">
        <v>98.8</v>
      </c>
      <c r="I32148" s="5">
        <v>0</v>
      </c>
      <c r="J32148" s="5">
        <v>0</v>
      </c>
      <c r="K32148" s="5">
        <v>0</v>
      </c>
    </row>
    <row r="32149" spans="1:11" x14ac:dyDescent="0.25">
      <c r="A32149" s="5">
        <f>32142</f>
      </c>
      <c r="B32149" s="5" t="s">
        <v>32157</v>
      </c>
      <c r="C32149" s="5">
        <v>98.7</v>
      </c>
      <c r="D32149" s="5">
        <v>0.1</v>
      </c>
      <c r="E32149" s="5">
        <v>98.9</v>
      </c>
      <c r="F32149" s="5">
        <v>198.3</v>
      </c>
      <c r="G32149" s="5">
        <v>98.9</v>
      </c>
      <c r="H32149" s="5">
        <v>98.8</v>
      </c>
      <c r="I32149" s="5">
        <v>0</v>
      </c>
      <c r="J32149" s="5">
        <v>0</v>
      </c>
      <c r="K32149" s="5">
        <v>0</v>
      </c>
    </row>
    <row r="32150" spans="1:11" x14ac:dyDescent="0.25">
      <c r="A32150" s="5">
        <f>32143</f>
      </c>
      <c r="B32150" s="5" t="s">
        <v>32158</v>
      </c>
      <c r="C32150" s="5">
        <v>98.7</v>
      </c>
      <c r="D32150" s="5">
        <v>0.1</v>
      </c>
      <c r="E32150" s="5">
        <v>98.9</v>
      </c>
      <c r="F32150" s="5">
        <v>198.3</v>
      </c>
      <c r="G32150" s="5">
        <v>98.9</v>
      </c>
      <c r="H32150" s="5">
        <v>98.8</v>
      </c>
      <c r="I32150" s="5">
        <v>0</v>
      </c>
      <c r="J32150" s="5">
        <v>0</v>
      </c>
      <c r="K32150" s="5">
        <v>0</v>
      </c>
    </row>
    <row r="32151" spans="1:11" x14ac:dyDescent="0.25">
      <c r="A32151" s="5">
        <f>32144</f>
      </c>
      <c r="B32151" s="5" t="s">
        <v>32159</v>
      </c>
      <c r="C32151" s="5">
        <v>98.7</v>
      </c>
      <c r="D32151" s="5">
        <v>0.1</v>
      </c>
      <c r="E32151" s="5">
        <v>98.9</v>
      </c>
      <c r="F32151" s="5">
        <v>198.3</v>
      </c>
      <c r="G32151" s="5">
        <v>98.9</v>
      </c>
      <c r="H32151" s="5">
        <v>98.8</v>
      </c>
      <c r="I32151" s="5">
        <v>0</v>
      </c>
      <c r="J32151" s="5">
        <v>0</v>
      </c>
      <c r="K32151" s="5">
        <v>0</v>
      </c>
    </row>
    <row r="32152" spans="1:11" x14ac:dyDescent="0.25">
      <c r="A32152" s="5">
        <f>32145</f>
      </c>
      <c r="B32152" s="5" t="s">
        <v>32160</v>
      </c>
      <c r="C32152" s="5">
        <v>99.8</v>
      </c>
      <c r="D32152" s="5">
        <v>0.1</v>
      </c>
      <c r="E32152" s="5">
        <v>99.9</v>
      </c>
      <c r="F32152" s="5">
        <v>198.8</v>
      </c>
      <c r="G32152" s="5">
        <v>99.2</v>
      </c>
      <c r="H32152" s="5">
        <v>99</v>
      </c>
      <c r="I32152" s="5">
        <v>0</v>
      </c>
      <c r="J32152" s="5">
        <v>0</v>
      </c>
      <c r="K32152" s="5">
        <v>0</v>
      </c>
    </row>
    <row r="32153" spans="1:11" x14ac:dyDescent="0.25">
      <c r="A32153" s="5">
        <f>32146</f>
      </c>
      <c r="B32153" s="5" t="s">
        <v>32161</v>
      </c>
      <c r="C32153" s="5">
        <v>99.8</v>
      </c>
      <c r="D32153" s="5">
        <v>0.1</v>
      </c>
      <c r="E32153" s="5">
        <v>99.9</v>
      </c>
      <c r="F32153" s="5">
        <v>198.8</v>
      </c>
      <c r="G32153" s="5">
        <v>99.2</v>
      </c>
      <c r="H32153" s="5">
        <v>99</v>
      </c>
      <c r="I32153" s="5">
        <v>0</v>
      </c>
      <c r="J32153" s="5">
        <v>0</v>
      </c>
      <c r="K32153" s="5">
        <v>0</v>
      </c>
    </row>
    <row r="32154" spans="1:11" x14ac:dyDescent="0.25">
      <c r="A32154" s="5">
        <f>32147</f>
      </c>
      <c r="B32154" s="5" t="s">
        <v>32162</v>
      </c>
      <c r="C32154" s="5">
        <v>98.9</v>
      </c>
      <c r="D32154" s="5">
        <v>0.1</v>
      </c>
      <c r="E32154" s="5">
        <v>98.9</v>
      </c>
      <c r="F32154" s="5">
        <v>197.2</v>
      </c>
      <c r="G32154" s="5">
        <v>98.4</v>
      </c>
      <c r="H32154" s="5">
        <v>98.2</v>
      </c>
      <c r="I32154" s="5">
        <v>0</v>
      </c>
      <c r="J32154" s="5">
        <v>0</v>
      </c>
      <c r="K32154" s="5">
        <v>0</v>
      </c>
    </row>
    <row r="32155" spans="1:11" x14ac:dyDescent="0.25">
      <c r="A32155" s="5">
        <f>32148</f>
      </c>
      <c r="B32155" s="5" t="s">
        <v>32163</v>
      </c>
      <c r="C32155" s="5">
        <v>98.9</v>
      </c>
      <c r="D32155" s="5">
        <v>0.1</v>
      </c>
      <c r="E32155" s="5">
        <v>98.9</v>
      </c>
      <c r="F32155" s="5">
        <v>197.2</v>
      </c>
      <c r="G32155" s="5">
        <v>98.4</v>
      </c>
      <c r="H32155" s="5">
        <v>98.2</v>
      </c>
      <c r="I32155" s="5">
        <v>0</v>
      </c>
      <c r="J32155" s="5">
        <v>0</v>
      </c>
      <c r="K32155" s="5">
        <v>0</v>
      </c>
    </row>
    <row r="32156" spans="1:11" x14ac:dyDescent="0.25">
      <c r="A32156" s="5">
        <f>32149</f>
      </c>
      <c r="B32156" s="5" t="s">
        <v>32164</v>
      </c>
      <c r="C32156" s="5">
        <v>99.5</v>
      </c>
      <c r="D32156" s="5">
        <v>0.1</v>
      </c>
      <c r="E32156" s="5">
        <v>99.6</v>
      </c>
      <c r="F32156" s="5">
        <v>199.3</v>
      </c>
      <c r="G32156" s="5">
        <v>99.4</v>
      </c>
      <c r="H32156" s="5">
        <v>99.3</v>
      </c>
      <c r="I32156" s="5">
        <v>0</v>
      </c>
      <c r="J32156" s="5">
        <v>0</v>
      </c>
      <c r="K32156" s="5">
        <v>0</v>
      </c>
    </row>
    <row r="32157" spans="1:11" x14ac:dyDescent="0.25">
      <c r="A32157" s="5">
        <f>32150</f>
      </c>
      <c r="B32157" s="5" t="s">
        <v>32165</v>
      </c>
      <c r="C32157" s="5">
        <v>99.5</v>
      </c>
      <c r="D32157" s="5">
        <v>0.1</v>
      </c>
      <c r="E32157" s="5">
        <v>99.6</v>
      </c>
      <c r="F32157" s="5">
        <v>199.3</v>
      </c>
      <c r="G32157" s="5">
        <v>99.4</v>
      </c>
      <c r="H32157" s="5">
        <v>99.3</v>
      </c>
      <c r="I32157" s="5">
        <v>0</v>
      </c>
      <c r="J32157" s="5">
        <v>0</v>
      </c>
      <c r="K32157" s="5">
        <v>0</v>
      </c>
    </row>
    <row r="32158" spans="1:11" x14ac:dyDescent="0.25">
      <c r="A32158" s="5">
        <f>32151</f>
      </c>
      <c r="B32158" s="5" t="s">
        <v>32166</v>
      </c>
      <c r="C32158" s="5">
        <v>98.9</v>
      </c>
      <c r="D32158" s="5">
        <v>0.1</v>
      </c>
      <c r="E32158" s="5">
        <v>99</v>
      </c>
      <c r="F32158" s="5">
        <v>197.8</v>
      </c>
      <c r="G32158" s="5">
        <v>98.7</v>
      </c>
      <c r="H32158" s="5">
        <v>98.5</v>
      </c>
      <c r="I32158" s="5">
        <v>0</v>
      </c>
      <c r="J32158" s="5">
        <v>0</v>
      </c>
      <c r="K32158" s="5">
        <v>0</v>
      </c>
    </row>
    <row r="32159" spans="1:11" x14ac:dyDescent="0.25">
      <c r="A32159" s="5">
        <f>32152</f>
      </c>
      <c r="B32159" s="5" t="s">
        <v>32167</v>
      </c>
      <c r="C32159" s="5">
        <v>98.9</v>
      </c>
      <c r="D32159" s="5">
        <v>0.1</v>
      </c>
      <c r="E32159" s="5">
        <v>99</v>
      </c>
      <c r="F32159" s="5">
        <v>197.8</v>
      </c>
      <c r="G32159" s="5">
        <v>98.7</v>
      </c>
      <c r="H32159" s="5">
        <v>98.5</v>
      </c>
      <c r="I32159" s="5">
        <v>0</v>
      </c>
      <c r="J32159" s="5">
        <v>0</v>
      </c>
      <c r="K32159" s="5">
        <v>0</v>
      </c>
    </row>
    <row r="32160" spans="1:11" x14ac:dyDescent="0.25">
      <c r="A32160" s="5">
        <f>32153</f>
      </c>
      <c r="B32160" s="5" t="s">
        <v>32168</v>
      </c>
      <c r="C32160" s="5">
        <v>98.9</v>
      </c>
      <c r="D32160" s="5">
        <v>0.1</v>
      </c>
      <c r="E32160" s="5">
        <v>99</v>
      </c>
      <c r="F32160" s="5">
        <v>197.8</v>
      </c>
      <c r="G32160" s="5">
        <v>98.7</v>
      </c>
      <c r="H32160" s="5">
        <v>98.5</v>
      </c>
      <c r="I32160" s="5">
        <v>0</v>
      </c>
      <c r="J32160" s="5">
        <v>0</v>
      </c>
      <c r="K32160" s="5">
        <v>0</v>
      </c>
    </row>
    <row r="32161" spans="1:11" x14ac:dyDescent="0.25">
      <c r="A32161" s="5">
        <f>32154</f>
      </c>
      <c r="B32161" s="5" t="s">
        <v>32169</v>
      </c>
      <c r="C32161" s="5">
        <v>98.9</v>
      </c>
      <c r="D32161" s="5">
        <v>0.1</v>
      </c>
      <c r="E32161" s="5">
        <v>99</v>
      </c>
      <c r="F32161" s="5">
        <v>197.8</v>
      </c>
      <c r="G32161" s="5">
        <v>98.7</v>
      </c>
      <c r="H32161" s="5">
        <v>98.5</v>
      </c>
      <c r="I32161" s="5">
        <v>0</v>
      </c>
      <c r="J32161" s="5">
        <v>0</v>
      </c>
      <c r="K32161" s="5">
        <v>0</v>
      </c>
    </row>
    <row r="32162" spans="1:11" x14ac:dyDescent="0.25">
      <c r="A32162" s="5">
        <f>32155</f>
      </c>
      <c r="B32162" s="5" t="s">
        <v>32170</v>
      </c>
      <c r="C32162" s="5">
        <v>98.8</v>
      </c>
      <c r="D32162" s="5">
        <v>0.1</v>
      </c>
      <c r="E32162" s="5">
        <v>98.9</v>
      </c>
      <c r="F32162" s="5">
        <v>197</v>
      </c>
      <c r="G32162" s="5">
        <v>98.2</v>
      </c>
      <c r="H32162" s="5">
        <v>98.1</v>
      </c>
      <c r="I32162" s="5">
        <v>0</v>
      </c>
      <c r="J32162" s="5">
        <v>0</v>
      </c>
      <c r="K32162" s="5">
        <v>0</v>
      </c>
    </row>
    <row r="32163" spans="1:11" x14ac:dyDescent="0.25">
      <c r="A32163" s="5">
        <f>32156</f>
      </c>
      <c r="B32163" s="5" t="s">
        <v>32171</v>
      </c>
      <c r="C32163" s="5">
        <v>98.8</v>
      </c>
      <c r="D32163" s="5">
        <v>0.1</v>
      </c>
      <c r="E32163" s="5">
        <v>98.9</v>
      </c>
      <c r="F32163" s="5">
        <v>197</v>
      </c>
      <c r="G32163" s="5">
        <v>98.2</v>
      </c>
      <c r="H32163" s="5">
        <v>98.1</v>
      </c>
      <c r="I32163" s="5">
        <v>0</v>
      </c>
      <c r="J32163" s="5">
        <v>0</v>
      </c>
      <c r="K32163" s="5">
        <v>0</v>
      </c>
    </row>
    <row r="32164" spans="1:11" x14ac:dyDescent="0.25">
      <c r="A32164" s="5">
        <f>32157</f>
      </c>
      <c r="B32164" s="5" t="s">
        <v>32172</v>
      </c>
      <c r="C32164" s="5">
        <v>99.5</v>
      </c>
      <c r="D32164" s="5">
        <v>0.1</v>
      </c>
      <c r="E32164" s="5">
        <v>99.7</v>
      </c>
      <c r="F32164" s="5">
        <v>197.5</v>
      </c>
      <c r="G32164" s="5">
        <v>98.4</v>
      </c>
      <c r="H32164" s="5">
        <v>98.3</v>
      </c>
      <c r="I32164" s="5">
        <v>0</v>
      </c>
      <c r="J32164" s="5">
        <v>0</v>
      </c>
      <c r="K32164" s="5">
        <v>0</v>
      </c>
    </row>
    <row r="32165" spans="1:11" x14ac:dyDescent="0.25">
      <c r="A32165" s="5">
        <f>32158</f>
      </c>
      <c r="B32165" s="5" t="s">
        <v>32173</v>
      </c>
      <c r="C32165" s="5">
        <v>99.5</v>
      </c>
      <c r="D32165" s="5">
        <v>0.1</v>
      </c>
      <c r="E32165" s="5">
        <v>99.7</v>
      </c>
      <c r="F32165" s="5">
        <v>197.5</v>
      </c>
      <c r="G32165" s="5">
        <v>98.4</v>
      </c>
      <c r="H32165" s="5">
        <v>98.3</v>
      </c>
      <c r="I32165" s="5">
        <v>0</v>
      </c>
      <c r="J32165" s="5">
        <v>0</v>
      </c>
      <c r="K32165" s="5">
        <v>0</v>
      </c>
    </row>
    <row r="32166" spans="1:11" x14ac:dyDescent="0.25">
      <c r="A32166" s="5">
        <f>32159</f>
      </c>
      <c r="B32166" s="5" t="s">
        <v>32174</v>
      </c>
      <c r="C32166" s="5">
        <v>98.9</v>
      </c>
      <c r="D32166" s="5">
        <v>0.1</v>
      </c>
      <c r="E32166" s="5">
        <v>99</v>
      </c>
      <c r="F32166" s="5">
        <v>197.6</v>
      </c>
      <c r="G32166" s="5">
        <v>98.6</v>
      </c>
      <c r="H32166" s="5">
        <v>98.4</v>
      </c>
      <c r="I32166" s="5">
        <v>0</v>
      </c>
      <c r="J32166" s="5">
        <v>0</v>
      </c>
      <c r="K32166" s="5">
        <v>0</v>
      </c>
    </row>
    <row r="32167" spans="1:11" x14ac:dyDescent="0.25">
      <c r="A32167" s="5">
        <f>32160</f>
      </c>
      <c r="B32167" s="5" t="s">
        <v>32175</v>
      </c>
      <c r="C32167" s="5">
        <v>98.9</v>
      </c>
      <c r="D32167" s="5">
        <v>0.1</v>
      </c>
      <c r="E32167" s="5">
        <v>99</v>
      </c>
      <c r="F32167" s="5">
        <v>197.6</v>
      </c>
      <c r="G32167" s="5">
        <v>98.6</v>
      </c>
      <c r="H32167" s="5">
        <v>98.4</v>
      </c>
      <c r="I32167" s="5">
        <v>0</v>
      </c>
      <c r="J32167" s="5">
        <v>0</v>
      </c>
      <c r="K32167" s="5">
        <v>0</v>
      </c>
    </row>
    <row r="32168" spans="1:11" x14ac:dyDescent="0.25">
      <c r="A32168" s="5">
        <f>32161</f>
      </c>
      <c r="B32168" s="5" t="s">
        <v>32176</v>
      </c>
      <c r="C32168" s="5">
        <v>98.6</v>
      </c>
      <c r="D32168" s="5">
        <v>0.1</v>
      </c>
      <c r="E32168" s="5">
        <v>98.8</v>
      </c>
      <c r="F32168" s="5">
        <v>197.7</v>
      </c>
      <c r="G32168" s="5">
        <v>98.7</v>
      </c>
      <c r="H32168" s="5">
        <v>98.6</v>
      </c>
      <c r="I32168" s="5">
        <v>0</v>
      </c>
      <c r="J32168" s="5">
        <v>0</v>
      </c>
      <c r="K32168" s="5">
        <v>0</v>
      </c>
    </row>
    <row r="32169" spans="1:11" x14ac:dyDescent="0.25">
      <c r="A32169" s="5">
        <f>32162</f>
      </c>
      <c r="B32169" s="5" t="s">
        <v>32177</v>
      </c>
      <c r="C32169" s="5">
        <v>98.6</v>
      </c>
      <c r="D32169" s="5">
        <v>0.1</v>
      </c>
      <c r="E32169" s="5">
        <v>98.8</v>
      </c>
      <c r="F32169" s="5">
        <v>197.7</v>
      </c>
      <c r="G32169" s="5">
        <v>98.7</v>
      </c>
      <c r="H32169" s="5">
        <v>98.6</v>
      </c>
      <c r="I32169" s="5">
        <v>0</v>
      </c>
      <c r="J32169" s="5">
        <v>0</v>
      </c>
      <c r="K32169" s="5">
        <v>0</v>
      </c>
    </row>
    <row r="32170" spans="1:11" x14ac:dyDescent="0.25">
      <c r="A32170" s="5">
        <f>32163</f>
      </c>
      <c r="B32170" s="5" t="s">
        <v>32178</v>
      </c>
      <c r="C32170" s="5">
        <v>98.6</v>
      </c>
      <c r="D32170" s="5">
        <v>0.1</v>
      </c>
      <c r="E32170" s="5">
        <v>98.8</v>
      </c>
      <c r="F32170" s="5">
        <v>197.7</v>
      </c>
      <c r="G32170" s="5">
        <v>98.7</v>
      </c>
      <c r="H32170" s="5">
        <v>98.6</v>
      </c>
      <c r="I32170" s="5">
        <v>0</v>
      </c>
      <c r="J32170" s="5">
        <v>0</v>
      </c>
      <c r="K32170" s="5">
        <v>0</v>
      </c>
    </row>
    <row r="32171" spans="1:11" x14ac:dyDescent="0.25">
      <c r="A32171" s="5">
        <f>32164</f>
      </c>
      <c r="B32171" s="5" t="s">
        <v>32179</v>
      </c>
      <c r="C32171" s="5">
        <v>0</v>
      </c>
      <c r="D32171" s="5">
        <v>0.1</v>
      </c>
      <c r="E32171" s="5">
        <v>98.8</v>
      </c>
      <c r="F32171" s="5">
        <v>197.7</v>
      </c>
      <c r="G32171" s="5">
        <v>98.7</v>
      </c>
      <c r="H32171" s="5">
        <v>98.6</v>
      </c>
      <c r="I32171" s="5">
        <v>0</v>
      </c>
      <c r="J32171" s="5">
        <v>0</v>
      </c>
      <c r="K32171" s="5">
        <v>0</v>
      </c>
    </row>
    <row r="32172" spans="1:11" x14ac:dyDescent="0.25">
      <c r="A32172" s="5">
        <f>32165</f>
      </c>
      <c r="B32172" s="5" t="s">
        <v>32180</v>
      </c>
      <c r="C32172" s="5">
        <v>99.3</v>
      </c>
      <c r="D32172" s="5">
        <v>0.1</v>
      </c>
      <c r="E32172" s="5">
        <v>99.5</v>
      </c>
      <c r="F32172" s="5">
        <v>198</v>
      </c>
      <c r="G32172" s="5">
        <v>98.8</v>
      </c>
      <c r="H32172" s="5">
        <v>98.7</v>
      </c>
      <c r="I32172" s="5">
        <v>0</v>
      </c>
      <c r="J32172" s="5">
        <v>0</v>
      </c>
      <c r="K32172" s="5">
        <v>0</v>
      </c>
    </row>
    <row r="32173" spans="1:11" x14ac:dyDescent="0.25">
      <c r="A32173" s="5">
        <f>32166</f>
      </c>
      <c r="B32173" s="5" t="s">
        <v>32181</v>
      </c>
      <c r="C32173" s="5">
        <v>99.3</v>
      </c>
      <c r="D32173" s="5">
        <v>0.1</v>
      </c>
      <c r="E32173" s="5">
        <v>99.5</v>
      </c>
      <c r="F32173" s="5">
        <v>198</v>
      </c>
      <c r="G32173" s="5">
        <v>98.8</v>
      </c>
      <c r="H32173" s="5">
        <v>98.7</v>
      </c>
      <c r="I32173" s="5">
        <v>0</v>
      </c>
      <c r="J32173" s="5">
        <v>0</v>
      </c>
      <c r="K32173" s="5">
        <v>0</v>
      </c>
    </row>
    <row r="32174" spans="1:11" x14ac:dyDescent="0.25">
      <c r="A32174" s="5">
        <f>32167</f>
      </c>
      <c r="B32174" s="5" t="s">
        <v>32182</v>
      </c>
      <c r="C32174" s="5">
        <v>98.8</v>
      </c>
      <c r="D32174" s="5">
        <v>0.1</v>
      </c>
      <c r="E32174" s="5">
        <v>98.9</v>
      </c>
      <c r="F32174" s="5">
        <v>197.6</v>
      </c>
      <c r="G32174" s="5">
        <v>98.6</v>
      </c>
      <c r="H32174" s="5">
        <v>98.5</v>
      </c>
      <c r="I32174" s="5">
        <v>0</v>
      </c>
      <c r="J32174" s="5">
        <v>0</v>
      </c>
      <c r="K32174" s="5">
        <v>0</v>
      </c>
    </row>
    <row r="32175" spans="1:11" x14ac:dyDescent="0.25">
      <c r="A32175" s="5">
        <f>32168</f>
      </c>
      <c r="B32175" s="5" t="s">
        <v>32183</v>
      </c>
      <c r="C32175" s="5">
        <v>98.8</v>
      </c>
      <c r="D32175" s="5">
        <v>0.1</v>
      </c>
      <c r="E32175" s="5">
        <v>98.9</v>
      </c>
      <c r="F32175" s="5">
        <v>197.6</v>
      </c>
      <c r="G32175" s="5">
        <v>98.6</v>
      </c>
      <c r="H32175" s="5">
        <v>98.5</v>
      </c>
      <c r="I32175" s="5">
        <v>0</v>
      </c>
      <c r="J32175" s="5">
        <v>0</v>
      </c>
      <c r="K32175" s="5">
        <v>0</v>
      </c>
    </row>
    <row r="32176" spans="1:11" x14ac:dyDescent="0.25">
      <c r="A32176" s="5">
        <f>32169</f>
      </c>
      <c r="B32176" s="5" t="s">
        <v>32184</v>
      </c>
      <c r="C32176" s="5">
        <v>98.8</v>
      </c>
      <c r="D32176" s="5">
        <v>0.1</v>
      </c>
      <c r="E32176" s="5">
        <v>98.9</v>
      </c>
      <c r="F32176" s="5">
        <v>196.9</v>
      </c>
      <c r="G32176" s="5">
        <v>98.3</v>
      </c>
      <c r="H32176" s="5">
        <v>98.2</v>
      </c>
      <c r="I32176" s="5">
        <v>0</v>
      </c>
      <c r="J32176" s="5">
        <v>0</v>
      </c>
      <c r="K32176" s="5">
        <v>0</v>
      </c>
    </row>
    <row r="32177" spans="1:11" x14ac:dyDescent="0.25">
      <c r="A32177" s="5">
        <f>32170</f>
      </c>
      <c r="B32177" s="5" t="s">
        <v>32185</v>
      </c>
      <c r="C32177" s="5">
        <v>98.8</v>
      </c>
      <c r="D32177" s="5">
        <v>0.1</v>
      </c>
      <c r="E32177" s="5">
        <v>98.9</v>
      </c>
      <c r="F32177" s="5">
        <v>196.9</v>
      </c>
      <c r="G32177" s="5">
        <v>98.3</v>
      </c>
      <c r="H32177" s="5">
        <v>98.2</v>
      </c>
      <c r="I32177" s="5">
        <v>0</v>
      </c>
      <c r="J32177" s="5">
        <v>0</v>
      </c>
      <c r="K32177" s="5">
        <v>0</v>
      </c>
    </row>
    <row r="32178" spans="1:11" x14ac:dyDescent="0.25">
      <c r="A32178" s="5">
        <f>32171</f>
      </c>
      <c r="B32178" s="5" t="s">
        <v>32186</v>
      </c>
      <c r="C32178" s="5">
        <v>98.7</v>
      </c>
      <c r="D32178" s="5">
        <v>0.1</v>
      </c>
      <c r="E32178" s="5">
        <v>98.8</v>
      </c>
      <c r="F32178" s="5">
        <v>197.2</v>
      </c>
      <c r="G32178" s="5">
        <v>98.4</v>
      </c>
      <c r="H32178" s="5">
        <v>98.3</v>
      </c>
      <c r="I32178" s="5">
        <v>0</v>
      </c>
      <c r="J32178" s="5">
        <v>0</v>
      </c>
      <c r="K32178" s="5">
        <v>0</v>
      </c>
    </row>
    <row r="32179" spans="1:11" x14ac:dyDescent="0.25">
      <c r="A32179" s="5">
        <f>32172</f>
      </c>
      <c r="B32179" s="5" t="s">
        <v>32187</v>
      </c>
      <c r="C32179" s="5">
        <v>98.7</v>
      </c>
      <c r="D32179" s="5">
        <v>0.1</v>
      </c>
      <c r="E32179" s="5">
        <v>98.8</v>
      </c>
      <c r="F32179" s="5">
        <v>197.2</v>
      </c>
      <c r="G32179" s="5">
        <v>98.4</v>
      </c>
      <c r="H32179" s="5">
        <v>98.3</v>
      </c>
      <c r="I32179" s="5">
        <v>0</v>
      </c>
      <c r="J32179" s="5">
        <v>0</v>
      </c>
      <c r="K32179" s="5">
        <v>0</v>
      </c>
    </row>
    <row r="32180" spans="1:11" x14ac:dyDescent="0.25">
      <c r="A32180" s="5">
        <f>32173</f>
      </c>
      <c r="B32180" s="5" t="s">
        <v>32188</v>
      </c>
      <c r="C32180" s="5">
        <v>98.7</v>
      </c>
      <c r="D32180" s="5">
        <v>0.1</v>
      </c>
      <c r="E32180" s="5">
        <v>98.8</v>
      </c>
      <c r="F32180" s="5">
        <v>197.2</v>
      </c>
      <c r="G32180" s="5">
        <v>98.4</v>
      </c>
      <c r="H32180" s="5">
        <v>98.3</v>
      </c>
      <c r="I32180" s="5">
        <v>0</v>
      </c>
      <c r="J32180" s="5">
        <v>0</v>
      </c>
      <c r="K32180" s="5">
        <v>0</v>
      </c>
    </row>
    <row r="32181" spans="1:11" x14ac:dyDescent="0.25">
      <c r="A32181" s="5">
        <f>32174</f>
      </c>
      <c r="B32181" s="5" t="s">
        <v>32189</v>
      </c>
      <c r="C32181" s="5">
        <v>99.5</v>
      </c>
      <c r="D32181" s="5">
        <v>0.1</v>
      </c>
      <c r="E32181" s="5">
        <v>99.6</v>
      </c>
      <c r="F32181" s="5">
        <v>198.5</v>
      </c>
      <c r="G32181" s="5">
        <v>99</v>
      </c>
      <c r="H32181" s="5">
        <v>99.2</v>
      </c>
      <c r="I32181" s="5">
        <v>0</v>
      </c>
      <c r="J32181" s="5">
        <v>0</v>
      </c>
      <c r="K32181" s="5">
        <v>0</v>
      </c>
    </row>
    <row r="32182" spans="1:11" x14ac:dyDescent="0.25">
      <c r="A32182" s="5">
        <f>32175</f>
      </c>
      <c r="B32182" s="5" t="s">
        <v>32190</v>
      </c>
      <c r="C32182" s="5">
        <v>99.5</v>
      </c>
      <c r="D32182" s="5">
        <v>0.1</v>
      </c>
      <c r="E32182" s="5">
        <v>99.6</v>
      </c>
      <c r="F32182" s="5">
        <v>198.5</v>
      </c>
      <c r="G32182" s="5">
        <v>99</v>
      </c>
      <c r="H32182" s="5">
        <v>99.2</v>
      </c>
      <c r="I32182" s="5">
        <v>0</v>
      </c>
      <c r="J32182" s="5">
        <v>0</v>
      </c>
      <c r="K32182" s="5">
        <v>0</v>
      </c>
    </row>
    <row r="32183" spans="1:11" x14ac:dyDescent="0.25">
      <c r="A32183" s="5">
        <f>32176</f>
      </c>
      <c r="B32183" s="5" t="s">
        <v>32191</v>
      </c>
      <c r="C32183" s="5">
        <v>99.5</v>
      </c>
      <c r="D32183" s="5">
        <v>0.1</v>
      </c>
      <c r="E32183" s="5">
        <v>99.5</v>
      </c>
      <c r="F32183" s="5">
        <v>197.8</v>
      </c>
      <c r="G32183" s="5">
        <v>98.7</v>
      </c>
      <c r="H32183" s="5">
        <v>98.6</v>
      </c>
      <c r="I32183" s="5">
        <v>0</v>
      </c>
      <c r="J32183" s="5">
        <v>0</v>
      </c>
      <c r="K32183" s="5">
        <v>0</v>
      </c>
    </row>
    <row r="32184" spans="1:11" x14ac:dyDescent="0.25">
      <c r="A32184" s="5">
        <f>32177</f>
      </c>
      <c r="B32184" s="5" t="s">
        <v>32192</v>
      </c>
      <c r="C32184" s="5">
        <v>99.3</v>
      </c>
      <c r="D32184" s="5">
        <v>0.1</v>
      </c>
      <c r="E32184" s="5">
        <v>99.5</v>
      </c>
      <c r="F32184" s="5">
        <v>197.8</v>
      </c>
      <c r="G32184" s="5">
        <v>98.7</v>
      </c>
      <c r="H32184" s="5">
        <v>98.6</v>
      </c>
      <c r="I32184" s="5">
        <v>0</v>
      </c>
      <c r="J32184" s="5">
        <v>0</v>
      </c>
      <c r="K32184" s="5">
        <v>0</v>
      </c>
    </row>
    <row r="32185" spans="1:11" x14ac:dyDescent="0.25">
      <c r="A32185" s="5">
        <f>32178</f>
      </c>
      <c r="B32185" s="5" t="s">
        <v>32193</v>
      </c>
      <c r="C32185" s="5">
        <v>99.3</v>
      </c>
      <c r="D32185" s="5">
        <v>0.1</v>
      </c>
      <c r="E32185" s="5">
        <v>99.7</v>
      </c>
      <c r="F32185" s="5">
        <v>198.7</v>
      </c>
      <c r="G32185" s="5">
        <v>99.1</v>
      </c>
      <c r="H32185" s="5">
        <v>98.9</v>
      </c>
      <c r="I32185" s="5">
        <v>0</v>
      </c>
      <c r="J32185" s="5">
        <v>0</v>
      </c>
      <c r="K32185" s="5">
        <v>0</v>
      </c>
    </row>
    <row r="32186" spans="1:11" x14ac:dyDescent="0.25">
      <c r="A32186" s="5">
        <f>32179</f>
      </c>
      <c r="B32186" s="5" t="s">
        <v>32194</v>
      </c>
      <c r="C32186" s="5">
        <v>99.5</v>
      </c>
      <c r="D32186" s="5">
        <v>0.1</v>
      </c>
      <c r="E32186" s="5">
        <v>99.7</v>
      </c>
      <c r="F32186" s="5">
        <v>198.7</v>
      </c>
      <c r="G32186" s="5">
        <v>99.1</v>
      </c>
      <c r="H32186" s="5">
        <v>98.9</v>
      </c>
      <c r="I32186" s="5">
        <v>0</v>
      </c>
      <c r="J32186" s="5">
        <v>0</v>
      </c>
      <c r="K32186" s="5">
        <v>0</v>
      </c>
    </row>
    <row r="32187" spans="1:11" x14ac:dyDescent="0.25">
      <c r="A32187" s="5">
        <f>32180</f>
      </c>
      <c r="B32187" s="5" t="s">
        <v>32195</v>
      </c>
      <c r="C32187" s="5">
        <v>99.5</v>
      </c>
      <c r="D32187" s="5">
        <v>0.1</v>
      </c>
      <c r="E32187" s="5">
        <v>98.9</v>
      </c>
      <c r="F32187" s="5">
        <v>197.8</v>
      </c>
      <c r="G32187" s="5">
        <v>98.7</v>
      </c>
      <c r="H32187" s="5">
        <v>98.5</v>
      </c>
      <c r="I32187" s="5">
        <v>0</v>
      </c>
      <c r="J32187" s="5">
        <v>0</v>
      </c>
      <c r="K32187" s="5">
        <v>0</v>
      </c>
    </row>
    <row r="32188" spans="1:11" x14ac:dyDescent="0.25">
      <c r="A32188" s="5">
        <f>32181</f>
      </c>
      <c r="B32188" s="5" t="s">
        <v>32196</v>
      </c>
      <c r="C32188" s="5">
        <v>98.8</v>
      </c>
      <c r="D32188" s="5">
        <v>0.1</v>
      </c>
      <c r="E32188" s="5">
        <v>98.9</v>
      </c>
      <c r="F32188" s="5">
        <v>197.8</v>
      </c>
      <c r="G32188" s="5">
        <v>98.7</v>
      </c>
      <c r="H32188" s="5">
        <v>98.5</v>
      </c>
      <c r="I32188" s="5">
        <v>0</v>
      </c>
      <c r="J32188" s="5">
        <v>0</v>
      </c>
      <c r="K32188" s="5">
        <v>0</v>
      </c>
    </row>
    <row r="32189" spans="1:11" x14ac:dyDescent="0.25">
      <c r="A32189" s="5">
        <f>32182</f>
      </c>
      <c r="B32189" s="5" t="s">
        <v>32197</v>
      </c>
      <c r="C32189" s="5">
        <v>98.8</v>
      </c>
      <c r="D32189" s="5">
        <v>0.1</v>
      </c>
      <c r="E32189" s="5">
        <v>98.9</v>
      </c>
      <c r="F32189" s="5">
        <v>197.8</v>
      </c>
      <c r="G32189" s="5">
        <v>98.7</v>
      </c>
      <c r="H32189" s="5">
        <v>98.5</v>
      </c>
      <c r="I32189" s="5">
        <v>0</v>
      </c>
      <c r="J32189" s="5">
        <v>0</v>
      </c>
      <c r="K32189" s="5">
        <v>0</v>
      </c>
    </row>
    <row r="32190" spans="1:11" x14ac:dyDescent="0.25">
      <c r="A32190" s="5">
        <f>32183</f>
      </c>
      <c r="B32190" s="5" t="s">
        <v>32198</v>
      </c>
      <c r="C32190" s="5">
        <v>98.8</v>
      </c>
      <c r="D32190" s="5">
        <v>0.1</v>
      </c>
      <c r="E32190" s="5">
        <v>98.9</v>
      </c>
      <c r="F32190" s="5">
        <v>197.8</v>
      </c>
      <c r="G32190" s="5">
        <v>98.7</v>
      </c>
      <c r="H32190" s="5">
        <v>98.5</v>
      </c>
      <c r="I32190" s="5">
        <v>0</v>
      </c>
      <c r="J32190" s="5">
        <v>0</v>
      </c>
      <c r="K32190" s="5">
        <v>0</v>
      </c>
    </row>
    <row r="32191" spans="1:11" x14ac:dyDescent="0.25">
      <c r="A32191" s="5">
        <f>32184</f>
      </c>
      <c r="B32191" s="5" t="s">
        <v>32199</v>
      </c>
      <c r="C32191" s="5">
        <v>99.8</v>
      </c>
      <c r="D32191" s="5">
        <v>0.1</v>
      </c>
      <c r="E32191" s="5">
        <v>99.9</v>
      </c>
      <c r="F32191" s="5">
        <v>199</v>
      </c>
      <c r="G32191" s="5">
        <v>99.3</v>
      </c>
      <c r="H32191" s="5">
        <v>99.1</v>
      </c>
      <c r="I32191" s="5">
        <v>0</v>
      </c>
      <c r="J32191" s="5">
        <v>0</v>
      </c>
      <c r="K32191" s="5">
        <v>0</v>
      </c>
    </row>
    <row r="32192" spans="1:11" x14ac:dyDescent="0.25">
      <c r="A32192" s="5">
        <f>32185</f>
      </c>
      <c r="B32192" s="5" t="s">
        <v>32200</v>
      </c>
      <c r="C32192" s="5">
        <v>99.8</v>
      </c>
      <c r="D32192" s="5">
        <v>0.1</v>
      </c>
      <c r="E32192" s="5">
        <v>99.9</v>
      </c>
      <c r="F32192" s="5">
        <v>199</v>
      </c>
      <c r="G32192" s="5">
        <v>99.3</v>
      </c>
      <c r="H32192" s="5">
        <v>99.1</v>
      </c>
      <c r="I32192" s="5">
        <v>0</v>
      </c>
      <c r="J32192" s="5">
        <v>0</v>
      </c>
      <c r="K32192" s="5">
        <v>0</v>
      </c>
    </row>
    <row r="32193" spans="1:11" x14ac:dyDescent="0.25">
      <c r="A32193" s="5">
        <f>32186</f>
      </c>
      <c r="B32193" s="5" t="s">
        <v>32201</v>
      </c>
      <c r="C32193" s="5">
        <v>99.3</v>
      </c>
      <c r="D32193" s="5">
        <v>0.1</v>
      </c>
      <c r="E32193" s="5">
        <v>99.4</v>
      </c>
      <c r="F32193" s="5">
        <v>198</v>
      </c>
      <c r="G32193" s="5">
        <v>98.8</v>
      </c>
      <c r="H32193" s="5">
        <v>98.7</v>
      </c>
      <c r="I32193" s="5">
        <v>0</v>
      </c>
      <c r="J32193" s="5">
        <v>0</v>
      </c>
      <c r="K32193" s="5">
        <v>0</v>
      </c>
    </row>
    <row r="32194" spans="1:11" x14ac:dyDescent="0.25">
      <c r="A32194" s="5">
        <f>32187</f>
      </c>
      <c r="B32194" s="5" t="s">
        <v>32202</v>
      </c>
      <c r="C32194" s="5">
        <v>99.3</v>
      </c>
      <c r="D32194" s="5">
        <v>0.1</v>
      </c>
      <c r="E32194" s="5">
        <v>99.4</v>
      </c>
      <c r="F32194" s="5">
        <v>198</v>
      </c>
      <c r="G32194" s="5">
        <v>98.8</v>
      </c>
      <c r="H32194" s="5">
        <v>98.7</v>
      </c>
      <c r="I32194" s="5">
        <v>0</v>
      </c>
      <c r="J32194" s="5">
        <v>0</v>
      </c>
      <c r="K32194" s="5">
        <v>0</v>
      </c>
    </row>
    <row r="32195" spans="1:11" x14ac:dyDescent="0.25">
      <c r="A32195" s="5">
        <f>32188</f>
      </c>
      <c r="B32195" s="5" t="s">
        <v>32203</v>
      </c>
      <c r="C32195" s="5">
        <v>99.4</v>
      </c>
      <c r="D32195" s="5">
        <v>0.1</v>
      </c>
      <c r="E32195" s="5">
        <v>99.5</v>
      </c>
      <c r="F32195" s="5">
        <v>198.2</v>
      </c>
      <c r="G32195" s="5">
        <v>98.9</v>
      </c>
      <c r="H32195" s="5">
        <v>98.8</v>
      </c>
      <c r="I32195" s="5">
        <v>0</v>
      </c>
      <c r="J32195" s="5">
        <v>0</v>
      </c>
      <c r="K32195" s="5">
        <v>0</v>
      </c>
    </row>
    <row r="32196" spans="1:11" x14ac:dyDescent="0.25">
      <c r="A32196" s="5">
        <f>32189</f>
      </c>
      <c r="B32196" s="5" t="s">
        <v>32204</v>
      </c>
      <c r="C32196" s="5">
        <v>99.4</v>
      </c>
      <c r="D32196" s="5">
        <v>0.1</v>
      </c>
      <c r="E32196" s="5">
        <v>99.5</v>
      </c>
      <c r="F32196" s="5">
        <v>198.2</v>
      </c>
      <c r="G32196" s="5">
        <v>98.9</v>
      </c>
      <c r="H32196" s="5">
        <v>98.8</v>
      </c>
      <c r="I32196" s="5">
        <v>0</v>
      </c>
      <c r="J32196" s="5">
        <v>0</v>
      </c>
      <c r="K32196" s="5">
        <v>0</v>
      </c>
    </row>
    <row r="32197" spans="1:11" x14ac:dyDescent="0.25">
      <c r="A32197" s="5">
        <f>32190</f>
      </c>
      <c r="B32197" s="5" t="s">
        <v>32205</v>
      </c>
      <c r="C32197" s="5">
        <v>99.2</v>
      </c>
      <c r="D32197" s="5">
        <v>0.1</v>
      </c>
      <c r="E32197" s="5">
        <v>99.4</v>
      </c>
      <c r="F32197" s="5">
        <v>198</v>
      </c>
      <c r="G32197" s="5">
        <v>98.9</v>
      </c>
      <c r="H32197" s="5">
        <v>98.8</v>
      </c>
      <c r="I32197" s="5">
        <v>0</v>
      </c>
      <c r="J32197" s="5">
        <v>0</v>
      </c>
      <c r="K32197" s="5">
        <v>0</v>
      </c>
    </row>
    <row r="32198" spans="1:11" x14ac:dyDescent="0.25">
      <c r="A32198" s="5">
        <f>32191</f>
      </c>
      <c r="B32198" s="5" t="s">
        <v>32206</v>
      </c>
      <c r="C32198" s="5">
        <v>99.2</v>
      </c>
      <c r="D32198" s="5">
        <v>0.1</v>
      </c>
      <c r="E32198" s="5">
        <v>99.4</v>
      </c>
      <c r="F32198" s="5">
        <v>198</v>
      </c>
      <c r="G32198" s="5">
        <v>98.8</v>
      </c>
      <c r="H32198" s="5">
        <v>98.7</v>
      </c>
      <c r="I32198" s="5">
        <v>0</v>
      </c>
      <c r="J32198" s="5">
        <v>0</v>
      </c>
      <c r="K32198" s="5">
        <v>0</v>
      </c>
    </row>
    <row r="32199" spans="1:11" x14ac:dyDescent="0.25">
      <c r="A32199" s="5">
        <f>32192</f>
      </c>
      <c r="B32199" s="5" t="s">
        <v>32207</v>
      </c>
      <c r="C32199" s="5">
        <v>99.2</v>
      </c>
      <c r="D32199" s="5">
        <v>0.1</v>
      </c>
      <c r="E32199" s="5">
        <v>99.4</v>
      </c>
      <c r="F32199" s="5">
        <v>198</v>
      </c>
      <c r="G32199" s="5">
        <v>98.8</v>
      </c>
      <c r="H32199" s="5">
        <v>98.7</v>
      </c>
      <c r="I32199" s="5">
        <v>0</v>
      </c>
      <c r="J32199" s="5">
        <v>0</v>
      </c>
      <c r="K32199" s="5">
        <v>0</v>
      </c>
    </row>
    <row r="32200" spans="1:11" x14ac:dyDescent="0.25">
      <c r="A32200" s="5">
        <f>32193</f>
      </c>
      <c r="B32200" s="5" t="s">
        <v>32208</v>
      </c>
      <c r="C32200" s="5">
        <v>99.2</v>
      </c>
      <c r="D32200" s="5">
        <v>0.1</v>
      </c>
      <c r="E32200" s="5">
        <v>99.4</v>
      </c>
      <c r="F32200" s="5">
        <v>198</v>
      </c>
      <c r="G32200" s="5">
        <v>98.8</v>
      </c>
      <c r="H32200" s="5">
        <v>98.7</v>
      </c>
      <c r="I32200" s="5">
        <v>0</v>
      </c>
      <c r="J32200" s="5">
        <v>0</v>
      </c>
      <c r="K32200" s="5">
        <v>0</v>
      </c>
    </row>
    <row r="32201" spans="1:11" x14ac:dyDescent="0.25">
      <c r="A32201" s="5">
        <f>32194</f>
      </c>
      <c r="B32201" s="5" t="s">
        <v>32209</v>
      </c>
      <c r="C32201" s="5">
        <v>101.7</v>
      </c>
      <c r="D32201" s="5">
        <v>0.1</v>
      </c>
      <c r="E32201" s="5">
        <v>99.4</v>
      </c>
      <c r="F32201" s="5">
        <v>198</v>
      </c>
      <c r="G32201" s="5">
        <v>98.8</v>
      </c>
      <c r="H32201" s="5">
        <v>98.7</v>
      </c>
      <c r="I32201" s="5">
        <v>0</v>
      </c>
      <c r="J32201" s="5">
        <v>0</v>
      </c>
      <c r="K32201" s="5">
        <v>0</v>
      </c>
    </row>
    <row r="32202" spans="1:11" x14ac:dyDescent="0.25">
      <c r="A32202" s="5">
        <f>32195</f>
      </c>
      <c r="B32202" s="5" t="s">
        <v>32210</v>
      </c>
      <c r="C32202" s="5">
        <v>101.7</v>
      </c>
      <c r="D32202" s="5">
        <v>0.1</v>
      </c>
      <c r="E32202" s="5">
        <v>101.8</v>
      </c>
      <c r="F32202" s="5">
        <v>203.2</v>
      </c>
      <c r="G32202" s="5">
        <v>101.4</v>
      </c>
      <c r="H32202" s="5">
        <v>101.2</v>
      </c>
      <c r="I32202" s="5">
        <v>0</v>
      </c>
      <c r="J32202" s="5">
        <v>0</v>
      </c>
      <c r="K32202" s="5">
        <v>0</v>
      </c>
    </row>
    <row r="32203" spans="1:11" x14ac:dyDescent="0.25">
      <c r="A32203" s="5">
        <f>32196</f>
      </c>
      <c r="B32203" s="5" t="s">
        <v>32211</v>
      </c>
      <c r="C32203" s="5">
        <v>101.7</v>
      </c>
      <c r="D32203" s="5">
        <v>0.1</v>
      </c>
      <c r="E32203" s="5">
        <v>101.8</v>
      </c>
      <c r="F32203" s="5">
        <v>203.2</v>
      </c>
      <c r="G32203" s="5">
        <v>101.4</v>
      </c>
      <c r="H32203" s="5">
        <v>101.2</v>
      </c>
      <c r="I32203" s="5">
        <v>0</v>
      </c>
      <c r="J32203" s="5">
        <v>0</v>
      </c>
      <c r="K32203" s="5">
        <v>0</v>
      </c>
    </row>
    <row r="32204" spans="1:11" x14ac:dyDescent="0.25">
      <c r="A32204" s="5">
        <f>32197</f>
      </c>
      <c r="B32204" s="5" t="s">
        <v>32212</v>
      </c>
      <c r="C32204" s="5">
        <v>101.6</v>
      </c>
      <c r="D32204" s="5">
        <v>0.1</v>
      </c>
      <c r="E32204" s="5">
        <v>101.8</v>
      </c>
      <c r="F32204" s="5">
        <v>203.1</v>
      </c>
      <c r="G32204" s="5">
        <v>101.3</v>
      </c>
      <c r="H32204" s="5">
        <v>101.2</v>
      </c>
      <c r="I32204" s="5">
        <v>0</v>
      </c>
      <c r="J32204" s="5">
        <v>0</v>
      </c>
      <c r="K32204" s="5">
        <v>0</v>
      </c>
    </row>
    <row r="32205" spans="1:11" x14ac:dyDescent="0.25">
      <c r="A32205" s="5">
        <f>32198</f>
      </c>
      <c r="B32205" s="5" t="s">
        <v>32213</v>
      </c>
      <c r="C32205" s="5">
        <v>101.6</v>
      </c>
      <c r="D32205" s="5">
        <v>0.1</v>
      </c>
      <c r="E32205" s="5">
        <v>101.8</v>
      </c>
      <c r="F32205" s="5">
        <v>203.1</v>
      </c>
      <c r="G32205" s="5">
        <v>101.3</v>
      </c>
      <c r="H32205" s="5">
        <v>101.2</v>
      </c>
      <c r="I32205" s="5">
        <v>0</v>
      </c>
      <c r="J32205" s="5">
        <v>0</v>
      </c>
      <c r="K32205" s="5">
        <v>0</v>
      </c>
    </row>
    <row r="32206" spans="1:11" x14ac:dyDescent="0.25">
      <c r="A32206" s="5">
        <f>32199</f>
      </c>
      <c r="B32206" s="5" t="s">
        <v>32214</v>
      </c>
      <c r="C32206" s="5">
        <v>101.4</v>
      </c>
      <c r="D32206" s="5">
        <v>0.1</v>
      </c>
      <c r="E32206" s="5">
        <v>101.5</v>
      </c>
      <c r="F32206" s="5">
        <v>202.1</v>
      </c>
      <c r="G32206" s="5">
        <v>100.8</v>
      </c>
      <c r="H32206" s="5">
        <v>100.7</v>
      </c>
      <c r="I32206" s="5">
        <v>0</v>
      </c>
      <c r="J32206" s="5">
        <v>0</v>
      </c>
      <c r="K32206" s="5">
        <v>0</v>
      </c>
    </row>
    <row r="32207" spans="1:11" x14ac:dyDescent="0.25">
      <c r="A32207" s="5">
        <f>32200</f>
      </c>
      <c r="B32207" s="5" t="s">
        <v>32215</v>
      </c>
      <c r="C32207" s="5">
        <v>101.4</v>
      </c>
      <c r="D32207" s="5">
        <v>0.1</v>
      </c>
      <c r="E32207" s="5">
        <v>101.5</v>
      </c>
      <c r="F32207" s="5">
        <v>202.1</v>
      </c>
      <c r="G32207" s="5">
        <v>100.8</v>
      </c>
      <c r="H32207" s="5">
        <v>100.7</v>
      </c>
      <c r="I32207" s="5">
        <v>0</v>
      </c>
      <c r="J32207" s="5">
        <v>0</v>
      </c>
      <c r="K32207" s="5">
        <v>0</v>
      </c>
    </row>
    <row r="32208" spans="1:11" x14ac:dyDescent="0.25">
      <c r="A32208" s="5">
        <f>32201</f>
      </c>
      <c r="B32208" s="5" t="s">
        <v>32216</v>
      </c>
      <c r="C32208" s="5">
        <v>101.1</v>
      </c>
      <c r="D32208" s="5">
        <v>0.1</v>
      </c>
      <c r="E32208" s="5">
        <v>101.3</v>
      </c>
      <c r="F32208" s="5">
        <v>202.5</v>
      </c>
      <c r="G32208" s="5">
        <v>101</v>
      </c>
      <c r="H32208" s="5">
        <v>100.8</v>
      </c>
      <c r="I32208" s="5">
        <v>0</v>
      </c>
      <c r="J32208" s="5">
        <v>0</v>
      </c>
      <c r="K32208" s="5">
        <v>0</v>
      </c>
    </row>
    <row r="32209" spans="1:11" x14ac:dyDescent="0.25">
      <c r="A32209" s="5">
        <f>32202</f>
      </c>
      <c r="B32209" s="5" t="s">
        <v>32217</v>
      </c>
      <c r="C32209" s="5">
        <v>101.1</v>
      </c>
      <c r="D32209" s="5">
        <v>0.1</v>
      </c>
      <c r="E32209" s="5">
        <v>101.3</v>
      </c>
      <c r="F32209" s="5">
        <v>202.5</v>
      </c>
      <c r="G32209" s="5">
        <v>101</v>
      </c>
      <c r="H32209" s="5">
        <v>100.8</v>
      </c>
      <c r="I32209" s="5">
        <v>0</v>
      </c>
      <c r="J32209" s="5">
        <v>0</v>
      </c>
      <c r="K32209" s="5">
        <v>0</v>
      </c>
    </row>
    <row r="32210" spans="1:11" x14ac:dyDescent="0.25">
      <c r="A32210" s="5">
        <f>32203</f>
      </c>
      <c r="B32210" s="5" t="s">
        <v>32218</v>
      </c>
      <c r="C32210" s="5">
        <v>101.1</v>
      </c>
      <c r="D32210" s="5">
        <v>0.1</v>
      </c>
      <c r="E32210" s="5">
        <v>101.3</v>
      </c>
      <c r="F32210" s="5">
        <v>202.5</v>
      </c>
      <c r="G32210" s="5">
        <v>101</v>
      </c>
      <c r="H32210" s="5">
        <v>100.8</v>
      </c>
      <c r="I32210" s="5">
        <v>0</v>
      </c>
      <c r="J32210" s="5">
        <v>0</v>
      </c>
      <c r="K32210" s="5">
        <v>0</v>
      </c>
    </row>
    <row r="32211" spans="1:11" x14ac:dyDescent="0.25">
      <c r="A32211" s="5">
        <f>32204</f>
      </c>
      <c r="B32211" s="5" t="s">
        <v>32219</v>
      </c>
      <c r="C32211" s="5">
        <v>101.1</v>
      </c>
      <c r="D32211" s="5">
        <v>0.1</v>
      </c>
      <c r="E32211" s="5">
        <v>102.1</v>
      </c>
      <c r="F32211" s="5">
        <v>204.1</v>
      </c>
      <c r="G32211" s="5">
        <v>101.8</v>
      </c>
      <c r="H32211" s="5">
        <v>101.6</v>
      </c>
      <c r="I32211" s="5">
        <v>0</v>
      </c>
      <c r="J32211" s="5">
        <v>0</v>
      </c>
      <c r="K32211" s="5">
        <v>0</v>
      </c>
    </row>
    <row r="32212" spans="1:11" x14ac:dyDescent="0.25">
      <c r="A32212" s="5">
        <f>32205</f>
      </c>
      <c r="B32212" s="5" t="s">
        <v>32220</v>
      </c>
      <c r="C32212" s="5">
        <v>102</v>
      </c>
      <c r="D32212" s="5">
        <v>0.1</v>
      </c>
      <c r="E32212" s="5">
        <v>102.1</v>
      </c>
      <c r="F32212" s="5">
        <v>204.1</v>
      </c>
      <c r="G32212" s="5">
        <v>101.8</v>
      </c>
      <c r="H32212" s="5">
        <v>101.6</v>
      </c>
      <c r="I32212" s="5">
        <v>0</v>
      </c>
      <c r="J32212" s="5">
        <v>0</v>
      </c>
      <c r="K32212" s="5">
        <v>0</v>
      </c>
    </row>
    <row r="32213" spans="1:11" x14ac:dyDescent="0.25">
      <c r="A32213" s="5">
        <f>32206</f>
      </c>
      <c r="B32213" s="5" t="s">
        <v>32221</v>
      </c>
      <c r="C32213" s="5">
        <v>102</v>
      </c>
      <c r="D32213" s="5">
        <v>0.1</v>
      </c>
      <c r="E32213" s="5">
        <v>102.5</v>
      </c>
      <c r="F32213" s="5">
        <v>204.6</v>
      </c>
      <c r="G32213" s="5">
        <v>102</v>
      </c>
      <c r="H32213" s="5">
        <v>101.9</v>
      </c>
      <c r="I32213" s="5">
        <v>0</v>
      </c>
      <c r="J32213" s="5">
        <v>0</v>
      </c>
      <c r="K32213" s="5">
        <v>0</v>
      </c>
    </row>
    <row r="32214" spans="1:11" x14ac:dyDescent="0.25">
      <c r="A32214" s="5">
        <f>32207</f>
      </c>
      <c r="B32214" s="5" t="s">
        <v>32222</v>
      </c>
      <c r="C32214" s="5">
        <v>102.4</v>
      </c>
      <c r="D32214" s="5">
        <v>0.1</v>
      </c>
      <c r="E32214" s="5">
        <v>102.5</v>
      </c>
      <c r="F32214" s="5">
        <v>204.6</v>
      </c>
      <c r="G32214" s="5">
        <v>102</v>
      </c>
      <c r="H32214" s="5">
        <v>101.9</v>
      </c>
      <c r="I32214" s="5">
        <v>0</v>
      </c>
      <c r="J32214" s="5">
        <v>0</v>
      </c>
      <c r="K32214" s="5">
        <v>0</v>
      </c>
    </row>
    <row r="32215" spans="1:11" x14ac:dyDescent="0.25">
      <c r="A32215" s="5">
        <f>32208</f>
      </c>
      <c r="B32215" s="5" t="s">
        <v>32223</v>
      </c>
      <c r="C32215" s="5">
        <v>102.4</v>
      </c>
      <c r="D32215" s="5">
        <v>0.1</v>
      </c>
      <c r="E32215" s="5">
        <v>102.5</v>
      </c>
      <c r="F32215" s="5">
        <v>204.9</v>
      </c>
      <c r="G32215" s="5">
        <v>102.2</v>
      </c>
      <c r="H32215" s="5">
        <v>102.1</v>
      </c>
      <c r="I32215" s="5">
        <v>0</v>
      </c>
      <c r="J32215" s="5">
        <v>0</v>
      </c>
      <c r="K32215" s="5">
        <v>0</v>
      </c>
    </row>
    <row r="32216" spans="1:11" x14ac:dyDescent="0.25">
      <c r="A32216" s="5">
        <f>32209</f>
      </c>
      <c r="B32216" s="5" t="s">
        <v>32224</v>
      </c>
      <c r="C32216" s="5">
        <v>102.3</v>
      </c>
      <c r="D32216" s="5">
        <v>0.1</v>
      </c>
      <c r="E32216" s="5">
        <v>102.4</v>
      </c>
      <c r="F32216" s="5">
        <v>204.9</v>
      </c>
      <c r="G32216" s="5">
        <v>102.2</v>
      </c>
      <c r="H32216" s="5">
        <v>102.1</v>
      </c>
      <c r="I32216" s="5">
        <v>0</v>
      </c>
      <c r="J32216" s="5">
        <v>0</v>
      </c>
      <c r="K32216" s="5">
        <v>0</v>
      </c>
    </row>
    <row r="32217" spans="1:11" x14ac:dyDescent="0.25">
      <c r="A32217" s="5">
        <f>32210</f>
      </c>
      <c r="B32217" s="5" t="s">
        <v>32225</v>
      </c>
      <c r="C32217" s="5">
        <v>102.3</v>
      </c>
      <c r="D32217" s="5">
        <v>0.1</v>
      </c>
      <c r="E32217" s="5">
        <v>102.4</v>
      </c>
      <c r="F32217" s="5">
        <v>204.9</v>
      </c>
      <c r="G32217" s="5">
        <v>102.2</v>
      </c>
      <c r="H32217" s="5">
        <v>101.4</v>
      </c>
      <c r="I32217" s="5">
        <v>0</v>
      </c>
      <c r="J32217" s="5">
        <v>0</v>
      </c>
      <c r="K32217" s="5">
        <v>0</v>
      </c>
    </row>
    <row r="32218" spans="1:11" x14ac:dyDescent="0.25">
      <c r="A32218" s="5">
        <f>32211</f>
      </c>
      <c r="B32218" s="5" t="s">
        <v>32226</v>
      </c>
      <c r="C32218" s="5">
        <v>102.6</v>
      </c>
      <c r="D32218" s="5">
        <v>0.1</v>
      </c>
      <c r="E32218" s="5">
        <v>102.7</v>
      </c>
      <c r="F32218" s="5">
        <v>203.4</v>
      </c>
      <c r="G32218" s="5">
        <v>101.5</v>
      </c>
      <c r="H32218" s="5">
        <v>101.4</v>
      </c>
      <c r="I32218" s="5">
        <v>0</v>
      </c>
      <c r="J32218" s="5">
        <v>0</v>
      </c>
      <c r="K32218" s="5">
        <v>0</v>
      </c>
    </row>
    <row r="32219" spans="1:11" x14ac:dyDescent="0.25">
      <c r="A32219" s="5">
        <f>32212</f>
      </c>
      <c r="B32219" s="5" t="s">
        <v>32227</v>
      </c>
      <c r="C32219" s="5">
        <v>102.6</v>
      </c>
      <c r="D32219" s="5">
        <v>0.1</v>
      </c>
      <c r="E32219" s="5">
        <v>102.7</v>
      </c>
      <c r="F32219" s="5">
        <v>203.4</v>
      </c>
      <c r="G32219" s="5">
        <v>101.5</v>
      </c>
      <c r="H32219" s="5">
        <v>101.4</v>
      </c>
      <c r="I32219" s="5">
        <v>0</v>
      </c>
      <c r="J32219" s="5">
        <v>0</v>
      </c>
      <c r="K32219" s="5">
        <v>0</v>
      </c>
    </row>
    <row r="32220" spans="1:11" x14ac:dyDescent="0.25">
      <c r="A32220" s="5">
        <f>32213</f>
      </c>
      <c r="B32220" s="5" t="s">
        <v>32228</v>
      </c>
      <c r="C32220" s="5">
        <v>102.6</v>
      </c>
      <c r="D32220" s="5">
        <v>0.1</v>
      </c>
      <c r="E32220" s="5">
        <v>102.7</v>
      </c>
      <c r="F32220" s="5">
        <v>203.4</v>
      </c>
      <c r="G32220" s="5">
        <v>101.5</v>
      </c>
      <c r="H32220" s="5">
        <v>101.4</v>
      </c>
      <c r="I32220" s="5">
        <v>0</v>
      </c>
      <c r="J32220" s="5">
        <v>0</v>
      </c>
      <c r="K32220" s="5">
        <v>0</v>
      </c>
    </row>
    <row r="32221" spans="1:11" x14ac:dyDescent="0.25">
      <c r="A32221" s="5">
        <f>32214</f>
      </c>
      <c r="B32221" s="5" t="s">
        <v>32229</v>
      </c>
      <c r="C32221" s="5">
        <v>101.6</v>
      </c>
      <c r="D32221" s="5">
        <v>0.1</v>
      </c>
      <c r="E32221" s="5">
        <v>101.8</v>
      </c>
      <c r="F32221" s="5">
        <v>203</v>
      </c>
      <c r="G32221" s="5">
        <v>101.3</v>
      </c>
      <c r="H32221" s="5">
        <v>101.2</v>
      </c>
      <c r="I32221" s="5">
        <v>0</v>
      </c>
      <c r="J32221" s="5">
        <v>0</v>
      </c>
      <c r="K32221" s="5">
        <v>0</v>
      </c>
    </row>
    <row r="32222" spans="1:11" x14ac:dyDescent="0.25">
      <c r="A32222" s="5">
        <f>32215</f>
      </c>
      <c r="B32222" s="5" t="s">
        <v>32230</v>
      </c>
      <c r="C32222" s="5">
        <v>101.6</v>
      </c>
      <c r="D32222" s="5">
        <v>0.1</v>
      </c>
      <c r="E32222" s="5">
        <v>101.8</v>
      </c>
      <c r="F32222" s="5">
        <v>203</v>
      </c>
      <c r="G32222" s="5">
        <v>101.3</v>
      </c>
      <c r="H32222" s="5">
        <v>101.2</v>
      </c>
      <c r="I32222" s="5">
        <v>0</v>
      </c>
      <c r="J32222" s="5">
        <v>0</v>
      </c>
      <c r="K32222" s="5">
        <v>0</v>
      </c>
    </row>
    <row r="32223" spans="1:11" x14ac:dyDescent="0.25">
      <c r="A32223" s="5">
        <f>32216</f>
      </c>
      <c r="B32223" s="5" t="s">
        <v>32231</v>
      </c>
      <c r="C32223" s="5">
        <v>101.5</v>
      </c>
      <c r="D32223" s="5">
        <v>0.1</v>
      </c>
      <c r="E32223" s="5">
        <v>101.6</v>
      </c>
      <c r="F32223" s="5">
        <v>203.2</v>
      </c>
      <c r="G32223" s="5">
        <v>101.4</v>
      </c>
      <c r="H32223" s="5">
        <v>101.2</v>
      </c>
      <c r="I32223" s="5">
        <v>0</v>
      </c>
      <c r="J32223" s="5">
        <v>0</v>
      </c>
      <c r="K32223" s="5">
        <v>0</v>
      </c>
    </row>
    <row r="32224" spans="1:11" x14ac:dyDescent="0.25">
      <c r="A32224" s="5">
        <f>32217</f>
      </c>
      <c r="B32224" s="5" t="s">
        <v>32232</v>
      </c>
      <c r="C32224" s="5">
        <v>101.5</v>
      </c>
      <c r="D32224" s="5">
        <v>0.1</v>
      </c>
      <c r="E32224" s="5">
        <v>101.6</v>
      </c>
      <c r="F32224" s="5">
        <v>203.2</v>
      </c>
      <c r="G32224" s="5">
        <v>101.4</v>
      </c>
      <c r="H32224" s="5">
        <v>101.2</v>
      </c>
      <c r="I32224" s="5">
        <v>0</v>
      </c>
      <c r="J32224" s="5">
        <v>0</v>
      </c>
      <c r="K32224" s="5">
        <v>0</v>
      </c>
    </row>
    <row r="32225" spans="1:11" x14ac:dyDescent="0.25">
      <c r="A32225" s="5">
        <f>32218</f>
      </c>
      <c r="B32225" s="5" t="s">
        <v>32233</v>
      </c>
      <c r="C32225" s="5">
        <v>102.1</v>
      </c>
      <c r="D32225" s="5">
        <v>0.1</v>
      </c>
      <c r="E32225" s="5">
        <v>102.3</v>
      </c>
      <c r="F32225" s="5">
        <v>203.4</v>
      </c>
      <c r="G32225" s="5">
        <v>101.5</v>
      </c>
      <c r="H32225" s="5">
        <v>101.4</v>
      </c>
      <c r="I32225" s="5">
        <v>0</v>
      </c>
      <c r="J32225" s="5">
        <v>0</v>
      </c>
      <c r="K32225" s="5">
        <v>0</v>
      </c>
    </row>
    <row r="32226" spans="1:11" x14ac:dyDescent="0.25">
      <c r="A32226" s="5">
        <f>32219</f>
      </c>
      <c r="B32226" s="5" t="s">
        <v>32234</v>
      </c>
      <c r="C32226" s="5">
        <v>102.1</v>
      </c>
      <c r="D32226" s="5">
        <v>0.1</v>
      </c>
      <c r="E32226" s="5">
        <v>102.3</v>
      </c>
      <c r="F32226" s="5">
        <v>203.4</v>
      </c>
      <c r="G32226" s="5">
        <v>101.5</v>
      </c>
      <c r="H32226" s="5">
        <v>101.4</v>
      </c>
      <c r="I32226" s="5">
        <v>0</v>
      </c>
      <c r="J32226" s="5">
        <v>0</v>
      </c>
      <c r="K32226" s="5">
        <v>0</v>
      </c>
    </row>
    <row r="32227" spans="1:11" x14ac:dyDescent="0.25">
      <c r="A32227" s="5">
        <f>32220</f>
      </c>
      <c r="B32227" s="5" t="s">
        <v>32235</v>
      </c>
      <c r="C32227" s="5">
        <v>102.4</v>
      </c>
      <c r="D32227" s="5">
        <v>0.1</v>
      </c>
      <c r="E32227" s="5">
        <v>102.6</v>
      </c>
      <c r="F32227" s="5">
        <v>204.9</v>
      </c>
      <c r="G32227" s="5">
        <v>102.2</v>
      </c>
      <c r="H32227" s="5">
        <v>102.1</v>
      </c>
      <c r="I32227" s="5">
        <v>0</v>
      </c>
      <c r="J32227" s="5">
        <v>0</v>
      </c>
      <c r="K32227" s="5">
        <v>0</v>
      </c>
    </row>
    <row r="32228" spans="1:11" x14ac:dyDescent="0.25">
      <c r="A32228" s="5">
        <f>32221</f>
      </c>
      <c r="B32228" s="5" t="s">
        <v>32236</v>
      </c>
      <c r="C32228" s="5">
        <v>102.4</v>
      </c>
      <c r="D32228" s="5">
        <v>0.1</v>
      </c>
      <c r="E32228" s="5">
        <v>102.6</v>
      </c>
      <c r="F32228" s="5">
        <v>204.9</v>
      </c>
      <c r="G32228" s="5">
        <v>102.2</v>
      </c>
      <c r="H32228" s="5">
        <v>102.1</v>
      </c>
      <c r="I32228" s="5">
        <v>0</v>
      </c>
      <c r="J32228" s="5">
        <v>0</v>
      </c>
      <c r="K32228" s="5">
        <v>0</v>
      </c>
    </row>
    <row r="32229" spans="1:11" x14ac:dyDescent="0.25">
      <c r="A32229" s="5">
        <f>32222</f>
      </c>
      <c r="B32229" s="5" t="s">
        <v>32237</v>
      </c>
      <c r="C32229" s="5">
        <v>102.4</v>
      </c>
      <c r="D32229" s="5">
        <v>0.1</v>
      </c>
      <c r="E32229" s="5">
        <v>102.6</v>
      </c>
      <c r="F32229" s="5">
        <v>204.9</v>
      </c>
      <c r="G32229" s="5">
        <v>102.2</v>
      </c>
      <c r="H32229" s="5">
        <v>102.1</v>
      </c>
      <c r="I32229" s="5">
        <v>0</v>
      </c>
      <c r="J32229" s="5">
        <v>0</v>
      </c>
      <c r="K32229" s="5">
        <v>0</v>
      </c>
    </row>
    <row r="32230" spans="1:11" x14ac:dyDescent="0.25">
      <c r="A32230" s="5">
        <f>32223</f>
      </c>
      <c r="B32230" s="5" t="s">
        <v>32238</v>
      </c>
      <c r="C32230" s="5">
        <v>102.4</v>
      </c>
      <c r="D32230" s="5">
        <v>0.1</v>
      </c>
      <c r="E32230" s="5">
        <v>102.6</v>
      </c>
      <c r="F32230" s="5">
        <v>204.9</v>
      </c>
      <c r="G32230" s="5">
        <v>102.2</v>
      </c>
      <c r="H32230" s="5">
        <v>102.1</v>
      </c>
      <c r="I32230" s="5">
        <v>0</v>
      </c>
      <c r="J32230" s="5">
        <v>0</v>
      </c>
      <c r="K32230" s="5">
        <v>0</v>
      </c>
    </row>
    <row r="32231" spans="1:11" x14ac:dyDescent="0.25">
      <c r="A32231" s="5">
        <f>32224</f>
      </c>
      <c r="B32231" s="5" t="s">
        <v>32239</v>
      </c>
      <c r="C32231" s="5">
        <v>101.8</v>
      </c>
      <c r="D32231" s="5">
        <v>0.1</v>
      </c>
      <c r="E32231" s="5">
        <v>102</v>
      </c>
      <c r="F32231" s="5">
        <v>202.8</v>
      </c>
      <c r="G32231" s="5">
        <v>101.2</v>
      </c>
      <c r="H32231" s="5">
        <v>101</v>
      </c>
      <c r="I32231" s="5">
        <v>0</v>
      </c>
      <c r="J32231" s="5">
        <v>0</v>
      </c>
      <c r="K32231" s="5">
        <v>0</v>
      </c>
    </row>
    <row r="32232" spans="1:11" x14ac:dyDescent="0.25">
      <c r="A32232" s="5">
        <f>32225</f>
      </c>
      <c r="B32232" s="5" t="s">
        <v>32240</v>
      </c>
      <c r="C32232" s="5">
        <v>101.8</v>
      </c>
      <c r="D32232" s="5">
        <v>0.1</v>
      </c>
      <c r="E32232" s="5">
        <v>102</v>
      </c>
      <c r="F32232" s="5">
        <v>202.8</v>
      </c>
      <c r="G32232" s="5">
        <v>101.2</v>
      </c>
      <c r="H32232" s="5">
        <v>101</v>
      </c>
      <c r="I32232" s="5">
        <v>0</v>
      </c>
      <c r="J32232" s="5">
        <v>0</v>
      </c>
      <c r="K32232" s="5">
        <v>0</v>
      </c>
    </row>
    <row r="32233" spans="1:11" x14ac:dyDescent="0.25">
      <c r="A32233" s="5">
        <f>32226</f>
      </c>
      <c r="B32233" s="5" t="s">
        <v>32241</v>
      </c>
      <c r="C32233" s="5">
        <v>101.8</v>
      </c>
      <c r="D32233" s="5">
        <v>0.1</v>
      </c>
      <c r="E32233" s="5">
        <v>101.9</v>
      </c>
      <c r="F32233" s="5">
        <v>203.8</v>
      </c>
      <c r="G32233" s="5">
        <v>101.7</v>
      </c>
      <c r="H32233" s="5">
        <v>101.5</v>
      </c>
      <c r="I32233" s="5">
        <v>0</v>
      </c>
      <c r="J32233" s="5">
        <v>0</v>
      </c>
      <c r="K32233" s="5">
        <v>0</v>
      </c>
    </row>
    <row r="32234" spans="1:11" x14ac:dyDescent="0.25">
      <c r="A32234" s="5">
        <f>32227</f>
      </c>
      <c r="B32234" s="5" t="s">
        <v>32242</v>
      </c>
      <c r="C32234" s="5">
        <v>101.8</v>
      </c>
      <c r="D32234" s="5">
        <v>0.1</v>
      </c>
      <c r="E32234" s="5">
        <v>101.9</v>
      </c>
      <c r="F32234" s="5">
        <v>203.8</v>
      </c>
      <c r="G32234" s="5">
        <v>101.7</v>
      </c>
      <c r="H32234" s="5">
        <v>101.5</v>
      </c>
      <c r="I32234" s="5">
        <v>0</v>
      </c>
      <c r="J32234" s="5">
        <v>0</v>
      </c>
      <c r="K32234" s="5">
        <v>0</v>
      </c>
    </row>
    <row r="32235" spans="1:11" x14ac:dyDescent="0.25">
      <c r="A32235" s="5">
        <f>32228</f>
      </c>
      <c r="B32235" s="5" t="s">
        <v>32243</v>
      </c>
      <c r="C32235" s="5">
        <v>102.4</v>
      </c>
      <c r="D32235" s="5">
        <v>0.1</v>
      </c>
      <c r="E32235" s="5">
        <v>102.6</v>
      </c>
      <c r="F32235" s="5">
        <v>203.8</v>
      </c>
      <c r="G32235" s="5">
        <v>101.7</v>
      </c>
      <c r="H32235" s="5">
        <v>101.5</v>
      </c>
      <c r="I32235" s="5">
        <v>0</v>
      </c>
      <c r="J32235" s="5">
        <v>0</v>
      </c>
      <c r="K32235" s="5">
        <v>0</v>
      </c>
    </row>
    <row r="32236" spans="1:11" x14ac:dyDescent="0.25">
      <c r="A32236" s="5">
        <f>32229</f>
      </c>
      <c r="B32236" s="5" t="s">
        <v>32244</v>
      </c>
      <c r="C32236" s="5">
        <v>102.4</v>
      </c>
      <c r="D32236" s="5">
        <v>0.1</v>
      </c>
      <c r="E32236" s="5">
        <v>102.6</v>
      </c>
      <c r="F32236" s="5">
        <v>203.8</v>
      </c>
      <c r="G32236" s="5">
        <v>101.7</v>
      </c>
      <c r="H32236" s="5">
        <v>101.5</v>
      </c>
      <c r="I32236" s="5">
        <v>0</v>
      </c>
      <c r="J32236" s="5">
        <v>0</v>
      </c>
      <c r="K32236" s="5">
        <v>0</v>
      </c>
    </row>
    <row r="32237" spans="1:11" x14ac:dyDescent="0.25">
      <c r="A32237" s="5">
        <f>32230</f>
      </c>
      <c r="B32237" s="5" t="s">
        <v>32245</v>
      </c>
      <c r="C32237" s="5">
        <v>101.9</v>
      </c>
      <c r="D32237" s="5">
        <v>0.1</v>
      </c>
      <c r="E32237" s="5">
        <v>102.1</v>
      </c>
      <c r="F32237" s="5">
        <v>203.2</v>
      </c>
      <c r="G32237" s="5">
        <v>101.4</v>
      </c>
      <c r="H32237" s="5">
        <v>101.2</v>
      </c>
      <c r="I32237" s="5">
        <v>0</v>
      </c>
      <c r="J32237" s="5">
        <v>0</v>
      </c>
      <c r="K32237" s="5">
        <v>0</v>
      </c>
    </row>
    <row r="32238" spans="1:11" x14ac:dyDescent="0.25">
      <c r="A32238" s="5">
        <f>32231</f>
      </c>
      <c r="B32238" s="5" t="s">
        <v>32246</v>
      </c>
      <c r="C32238" s="5">
        <v>101.9</v>
      </c>
      <c r="D32238" s="5">
        <v>0.1</v>
      </c>
      <c r="E32238" s="5">
        <v>102.1</v>
      </c>
      <c r="F32238" s="5">
        <v>203.2</v>
      </c>
      <c r="G32238" s="5">
        <v>101.4</v>
      </c>
      <c r="H32238" s="5">
        <v>101.2</v>
      </c>
      <c r="I32238" s="5">
        <v>0</v>
      </c>
      <c r="J32238" s="5">
        <v>0</v>
      </c>
      <c r="K32238" s="5">
        <v>0</v>
      </c>
    </row>
    <row r="32239" spans="1:11" x14ac:dyDescent="0.25">
      <c r="A32239" s="5">
        <f>32232</f>
      </c>
      <c r="B32239" s="5" t="s">
        <v>32247</v>
      </c>
      <c r="C32239" s="5">
        <v>101.9</v>
      </c>
      <c r="D32239" s="5">
        <v>0.1</v>
      </c>
      <c r="E32239" s="5">
        <v>102.1</v>
      </c>
      <c r="F32239" s="5">
        <v>203.2</v>
      </c>
      <c r="G32239" s="5">
        <v>101.4</v>
      </c>
      <c r="H32239" s="5">
        <v>101.2</v>
      </c>
      <c r="I32239" s="5">
        <v>0</v>
      </c>
      <c r="J32239" s="5">
        <v>0</v>
      </c>
      <c r="K32239" s="5">
        <v>0</v>
      </c>
    </row>
    <row r="32240" spans="1:11" x14ac:dyDescent="0.25">
      <c r="A32240" s="5">
        <f>32233</f>
      </c>
      <c r="B32240" s="5" t="s">
        <v>32248</v>
      </c>
      <c r="C32240" s="5">
        <v>101.9</v>
      </c>
      <c r="D32240" s="5">
        <v>0.1</v>
      </c>
      <c r="E32240" s="5">
        <v>102.1</v>
      </c>
      <c r="F32240" s="5">
        <v>203.2</v>
      </c>
      <c r="G32240" s="5">
        <v>101.4</v>
      </c>
      <c r="H32240" s="5">
        <v>101.2</v>
      </c>
      <c r="I32240" s="5">
        <v>0</v>
      </c>
      <c r="J32240" s="5">
        <v>0</v>
      </c>
      <c r="K32240" s="5">
        <v>0</v>
      </c>
    </row>
    <row r="32241" spans="1:11" x14ac:dyDescent="0.25">
      <c r="A32241" s="5">
        <f>32234</f>
      </c>
      <c r="B32241" s="5" t="s">
        <v>32249</v>
      </c>
      <c r="C32241" s="5">
        <v>101.8</v>
      </c>
      <c r="D32241" s="5">
        <v>0.1</v>
      </c>
      <c r="E32241" s="5">
        <v>101.9</v>
      </c>
      <c r="F32241" s="5">
        <v>203.5</v>
      </c>
      <c r="G32241" s="5">
        <v>101.5</v>
      </c>
      <c r="H32241" s="5">
        <v>101.3</v>
      </c>
      <c r="I32241" s="5">
        <v>0</v>
      </c>
      <c r="J32241" s="5">
        <v>0</v>
      </c>
      <c r="K32241" s="5">
        <v>0</v>
      </c>
    </row>
    <row r="32242" spans="1:11" x14ac:dyDescent="0.25">
      <c r="A32242" s="5">
        <f>32235</f>
      </c>
      <c r="B32242" s="5" t="s">
        <v>32250</v>
      </c>
      <c r="C32242" s="5">
        <v>101.8</v>
      </c>
      <c r="D32242" s="5">
        <v>0.1</v>
      </c>
      <c r="E32242" s="5">
        <v>101.9</v>
      </c>
      <c r="F32242" s="5">
        <v>203.5</v>
      </c>
      <c r="G32242" s="5">
        <v>101.5</v>
      </c>
      <c r="H32242" s="5">
        <v>101.3</v>
      </c>
      <c r="I32242" s="5">
        <v>0</v>
      </c>
      <c r="J32242" s="5">
        <v>0</v>
      </c>
      <c r="K32242" s="5">
        <v>0</v>
      </c>
    </row>
    <row r="32243" spans="1:11" x14ac:dyDescent="0.25">
      <c r="A32243" s="5">
        <f>32236</f>
      </c>
      <c r="B32243" s="5" t="s">
        <v>32251</v>
      </c>
      <c r="C32243" s="5">
        <v>101.2</v>
      </c>
      <c r="D32243" s="5">
        <v>0.1</v>
      </c>
      <c r="E32243" s="5">
        <v>101.4</v>
      </c>
      <c r="F32243" s="5">
        <v>202.6</v>
      </c>
      <c r="G32243" s="5">
        <v>101</v>
      </c>
      <c r="H32243" s="5">
        <v>100.9</v>
      </c>
      <c r="I32243" s="5">
        <v>0</v>
      </c>
      <c r="J32243" s="5">
        <v>0</v>
      </c>
      <c r="K32243" s="5">
        <v>0</v>
      </c>
    </row>
    <row r="32244" spans="1:11" x14ac:dyDescent="0.25">
      <c r="A32244" s="5">
        <f>32237</f>
      </c>
      <c r="B32244" s="5" t="s">
        <v>32252</v>
      </c>
      <c r="C32244" s="5">
        <v>101.2</v>
      </c>
      <c r="D32244" s="5">
        <v>0.1</v>
      </c>
      <c r="E32244" s="5">
        <v>101.4</v>
      </c>
      <c r="F32244" s="5">
        <v>202.6</v>
      </c>
      <c r="G32244" s="5">
        <v>101</v>
      </c>
      <c r="H32244" s="5">
        <v>100.9</v>
      </c>
      <c r="I32244" s="5">
        <v>0</v>
      </c>
      <c r="J32244" s="5">
        <v>0</v>
      </c>
      <c r="K32244" s="5">
        <v>0</v>
      </c>
    </row>
    <row r="32245" spans="1:11" x14ac:dyDescent="0.25">
      <c r="A32245" s="5">
        <f>32238</f>
      </c>
      <c r="B32245" s="5" t="s">
        <v>32253</v>
      </c>
      <c r="C32245" s="5">
        <v>101.9</v>
      </c>
      <c r="D32245" s="5">
        <v>0.1</v>
      </c>
      <c r="E32245" s="5">
        <v>102</v>
      </c>
      <c r="F32245" s="5">
        <v>203.7</v>
      </c>
      <c r="G32245" s="5">
        <v>101.6</v>
      </c>
      <c r="H32245" s="5">
        <v>101.4</v>
      </c>
      <c r="I32245" s="5">
        <v>0</v>
      </c>
      <c r="J32245" s="5">
        <v>0</v>
      </c>
      <c r="K32245" s="5">
        <v>0</v>
      </c>
    </row>
    <row r="32246" spans="1:11" x14ac:dyDescent="0.25">
      <c r="A32246" s="5">
        <f>32239</f>
      </c>
      <c r="B32246" s="5" t="s">
        <v>32254</v>
      </c>
      <c r="C32246" s="5">
        <v>101.9</v>
      </c>
      <c r="D32246" s="5">
        <v>0.1</v>
      </c>
      <c r="E32246" s="5">
        <v>102</v>
      </c>
      <c r="F32246" s="5">
        <v>203.7</v>
      </c>
      <c r="G32246" s="5">
        <v>101.6</v>
      </c>
      <c r="H32246" s="5">
        <v>101.4</v>
      </c>
      <c r="I32246" s="5">
        <v>0</v>
      </c>
      <c r="J32246" s="5">
        <v>0</v>
      </c>
      <c r="K32246" s="5">
        <v>0</v>
      </c>
    </row>
    <row r="32247" spans="1:11" x14ac:dyDescent="0.25">
      <c r="A32247" s="5">
        <f>32240</f>
      </c>
      <c r="B32247" s="5" t="s">
        <v>32255</v>
      </c>
      <c r="C32247" s="5">
        <v>101.8</v>
      </c>
      <c r="D32247" s="5">
        <v>0.1</v>
      </c>
      <c r="E32247" s="5">
        <v>101.9</v>
      </c>
      <c r="F32247" s="5">
        <v>202.6</v>
      </c>
      <c r="G32247" s="5">
        <v>101.2</v>
      </c>
      <c r="H32247" s="5">
        <v>101.1</v>
      </c>
      <c r="I32247" s="5">
        <v>0</v>
      </c>
      <c r="J32247" s="5">
        <v>0</v>
      </c>
      <c r="K32247" s="5">
        <v>0</v>
      </c>
    </row>
    <row r="32248" spans="1:11" x14ac:dyDescent="0.25">
      <c r="A32248" s="5">
        <f>32241</f>
      </c>
      <c r="B32248" s="5" t="s">
        <v>32256</v>
      </c>
      <c r="C32248" s="5">
        <v>101.8</v>
      </c>
      <c r="D32248" s="5">
        <v>0.1</v>
      </c>
      <c r="E32248" s="5">
        <v>101.9</v>
      </c>
      <c r="F32248" s="5">
        <v>202.6</v>
      </c>
      <c r="G32248" s="5">
        <v>101.2</v>
      </c>
      <c r="H32248" s="5">
        <v>101.1</v>
      </c>
      <c r="I32248" s="5">
        <v>0</v>
      </c>
      <c r="J32248" s="5">
        <v>0</v>
      </c>
      <c r="K32248" s="5">
        <v>0</v>
      </c>
    </row>
    <row r="32249" spans="1:11" x14ac:dyDescent="0.25">
      <c r="A32249" s="5">
        <f>32242</f>
      </c>
      <c r="B32249" s="5" t="s">
        <v>32257</v>
      </c>
      <c r="C32249" s="5">
        <v>101.8</v>
      </c>
      <c r="D32249" s="5">
        <v>0.1</v>
      </c>
      <c r="E32249" s="5">
        <v>101.9</v>
      </c>
      <c r="F32249" s="5">
        <v>202.6</v>
      </c>
      <c r="G32249" s="5">
        <v>101.2</v>
      </c>
      <c r="H32249" s="5">
        <v>101.1</v>
      </c>
      <c r="I32249" s="5">
        <v>0</v>
      </c>
      <c r="J32249" s="5">
        <v>0</v>
      </c>
      <c r="K32249" s="5">
        <v>0</v>
      </c>
    </row>
    <row r="32250" spans="1:11" x14ac:dyDescent="0.25">
      <c r="A32250" s="5">
        <f>32243</f>
      </c>
      <c r="B32250" s="5" t="s">
        <v>32258</v>
      </c>
      <c r="C32250" s="5">
        <v>101.8</v>
      </c>
      <c r="D32250" s="5">
        <v>0.1</v>
      </c>
      <c r="E32250" s="5">
        <v>101.9</v>
      </c>
      <c r="F32250" s="5">
        <v>202.6</v>
      </c>
      <c r="G32250" s="5">
        <v>101.2</v>
      </c>
      <c r="H32250" s="5">
        <v>101.1</v>
      </c>
      <c r="I32250" s="5">
        <v>0</v>
      </c>
      <c r="J32250" s="5">
        <v>0</v>
      </c>
      <c r="K32250" s="5">
        <v>0</v>
      </c>
    </row>
    <row r="32251" spans="1:11" x14ac:dyDescent="0.25">
      <c r="A32251" s="5">
        <f>32244</f>
      </c>
      <c r="B32251" s="5" t="s">
        <v>32259</v>
      </c>
      <c r="C32251" s="5">
        <v>102.1</v>
      </c>
      <c r="D32251" s="5">
        <v>0.1</v>
      </c>
      <c r="E32251" s="5">
        <v>102.3</v>
      </c>
      <c r="F32251" s="5">
        <v>203.5</v>
      </c>
      <c r="G32251" s="5">
        <v>101.5</v>
      </c>
      <c r="H32251" s="5">
        <v>101.4</v>
      </c>
      <c r="I32251" s="5">
        <v>0</v>
      </c>
      <c r="J32251" s="5">
        <v>0</v>
      </c>
      <c r="K32251" s="5">
        <v>0</v>
      </c>
    </row>
    <row r="32252" spans="1:11" x14ac:dyDescent="0.25">
      <c r="A32252" s="5">
        <f>32245</f>
      </c>
      <c r="B32252" s="5" t="s">
        <v>32260</v>
      </c>
      <c r="C32252" s="5">
        <v>102.1</v>
      </c>
      <c r="D32252" s="5">
        <v>0.1</v>
      </c>
      <c r="E32252" s="5">
        <v>102.3</v>
      </c>
      <c r="F32252" s="5">
        <v>203.5</v>
      </c>
      <c r="G32252" s="5">
        <v>101.5</v>
      </c>
      <c r="H32252" s="5">
        <v>101.4</v>
      </c>
      <c r="I32252" s="5">
        <v>0</v>
      </c>
      <c r="J32252" s="5">
        <v>0</v>
      </c>
      <c r="K32252" s="5">
        <v>0</v>
      </c>
    </row>
    <row r="32253" spans="1:11" x14ac:dyDescent="0.25">
      <c r="A32253" s="5">
        <f>32246</f>
      </c>
      <c r="B32253" s="5" t="s">
        <v>32261</v>
      </c>
      <c r="C32253" s="5">
        <v>102.2</v>
      </c>
      <c r="D32253" s="5">
        <v>0.1</v>
      </c>
      <c r="E32253" s="5">
        <v>102.4</v>
      </c>
      <c r="F32253" s="5">
        <v>205.2</v>
      </c>
      <c r="G32253" s="5">
        <v>102.3</v>
      </c>
      <c r="H32253" s="5">
        <v>102.2</v>
      </c>
      <c r="I32253" s="5">
        <v>0</v>
      </c>
      <c r="J32253" s="5">
        <v>0</v>
      </c>
      <c r="K32253" s="5">
        <v>0</v>
      </c>
    </row>
    <row r="32254" spans="1:11" x14ac:dyDescent="0.25">
      <c r="A32254" s="5">
        <f>32247</f>
      </c>
      <c r="B32254" s="5" t="s">
        <v>32262</v>
      </c>
      <c r="C32254" s="5">
        <v>102.2</v>
      </c>
      <c r="D32254" s="5">
        <v>0.1</v>
      </c>
      <c r="E32254" s="5">
        <v>102.4</v>
      </c>
      <c r="F32254" s="5">
        <v>205.2</v>
      </c>
      <c r="G32254" s="5">
        <v>102.3</v>
      </c>
      <c r="H32254" s="5">
        <v>102.2</v>
      </c>
      <c r="I32254" s="5">
        <v>0</v>
      </c>
      <c r="J32254" s="5">
        <v>0</v>
      </c>
      <c r="K32254" s="5">
        <v>0</v>
      </c>
    </row>
    <row r="32255" spans="1:11" x14ac:dyDescent="0.25">
      <c r="A32255" s="5">
        <f>32248</f>
      </c>
      <c r="B32255" s="5" t="s">
        <v>32263</v>
      </c>
      <c r="C32255" s="5">
        <v>102.4</v>
      </c>
      <c r="D32255" s="5">
        <v>0.1</v>
      </c>
      <c r="E32255" s="5">
        <v>102.5</v>
      </c>
      <c r="F32255" s="5">
        <v>204</v>
      </c>
      <c r="G32255" s="5">
        <v>101.7</v>
      </c>
      <c r="H32255" s="5">
        <v>101.6</v>
      </c>
      <c r="I32255" s="5">
        <v>0</v>
      </c>
      <c r="J32255" s="5">
        <v>0</v>
      </c>
      <c r="K32255" s="5">
        <v>0</v>
      </c>
    </row>
    <row r="32256" spans="1:11" x14ac:dyDescent="0.25">
      <c r="A32256" s="5">
        <f>32249</f>
      </c>
      <c r="B32256" s="5" t="s">
        <v>32264</v>
      </c>
      <c r="C32256" s="5">
        <v>102.4</v>
      </c>
      <c r="D32256" s="5">
        <v>0.1</v>
      </c>
      <c r="E32256" s="5">
        <v>102.5</v>
      </c>
      <c r="F32256" s="5">
        <v>204</v>
      </c>
      <c r="G32256" s="5">
        <v>101.7</v>
      </c>
      <c r="H32256" s="5">
        <v>101.6</v>
      </c>
      <c r="I32256" s="5">
        <v>0</v>
      </c>
      <c r="J32256" s="5">
        <v>0</v>
      </c>
      <c r="K32256" s="5">
        <v>0</v>
      </c>
    </row>
    <row r="32257" spans="1:11" x14ac:dyDescent="0.25">
      <c r="A32257" s="5">
        <f>32250</f>
      </c>
      <c r="B32257" s="5" t="s">
        <v>32265</v>
      </c>
      <c r="C32257" s="5">
        <v>102</v>
      </c>
      <c r="D32257" s="5">
        <v>0.1</v>
      </c>
      <c r="E32257" s="5">
        <v>102.1</v>
      </c>
      <c r="F32257" s="5">
        <v>203.9</v>
      </c>
      <c r="G32257" s="5">
        <v>101.7</v>
      </c>
      <c r="H32257" s="5">
        <v>101.5</v>
      </c>
      <c r="I32257" s="5">
        <v>0</v>
      </c>
      <c r="J32257" s="5">
        <v>0</v>
      </c>
      <c r="K32257" s="5">
        <v>0</v>
      </c>
    </row>
    <row r="32258" spans="1:11" x14ac:dyDescent="0.25">
      <c r="A32258" s="5">
        <f>32251</f>
      </c>
      <c r="B32258" s="5" t="s">
        <v>32266</v>
      </c>
      <c r="C32258" s="5">
        <v>102</v>
      </c>
      <c r="D32258" s="5">
        <v>0.1</v>
      </c>
      <c r="E32258" s="5">
        <v>102.1</v>
      </c>
      <c r="F32258" s="5">
        <v>203.9</v>
      </c>
      <c r="G32258" s="5">
        <v>101.7</v>
      </c>
      <c r="H32258" s="5">
        <v>101.5</v>
      </c>
      <c r="I32258" s="5">
        <v>0</v>
      </c>
      <c r="J32258" s="5">
        <v>0</v>
      </c>
      <c r="K32258" s="5">
        <v>0</v>
      </c>
    </row>
    <row r="32259" spans="1:11" x14ac:dyDescent="0.25">
      <c r="A32259" s="5">
        <f>32252</f>
      </c>
      <c r="B32259" s="5" t="s">
        <v>32267</v>
      </c>
      <c r="C32259" s="5">
        <v>102</v>
      </c>
      <c r="D32259" s="5">
        <v>0.1</v>
      </c>
      <c r="E32259" s="5">
        <v>102.1</v>
      </c>
      <c r="F32259" s="5">
        <v>203.9</v>
      </c>
      <c r="G32259" s="5">
        <v>101.7</v>
      </c>
      <c r="H32259" s="5">
        <v>101.5</v>
      </c>
      <c r="I32259" s="5">
        <v>0</v>
      </c>
      <c r="J32259" s="5">
        <v>0</v>
      </c>
      <c r="K32259" s="5">
        <v>0</v>
      </c>
    </row>
    <row r="32260" spans="1:11" x14ac:dyDescent="0.25">
      <c r="A32260" s="5">
        <f>32253</f>
      </c>
      <c r="B32260" s="5" t="s">
        <v>32268</v>
      </c>
      <c r="C32260" s="5">
        <v>102</v>
      </c>
      <c r="D32260" s="5">
        <v>0.1</v>
      </c>
      <c r="E32260" s="5">
        <v>102.1</v>
      </c>
      <c r="F32260" s="5">
        <v>203.9</v>
      </c>
      <c r="G32260" s="5">
        <v>101.7</v>
      </c>
      <c r="H32260" s="5">
        <v>101.5</v>
      </c>
      <c r="I32260" s="5">
        <v>0</v>
      </c>
      <c r="J32260" s="5">
        <v>0</v>
      </c>
      <c r="K32260" s="5">
        <v>0</v>
      </c>
    </row>
    <row r="32261" spans="1:11" x14ac:dyDescent="0.25">
      <c r="A32261" s="5">
        <f>32254</f>
      </c>
      <c r="B32261" s="5" t="s">
        <v>32269</v>
      </c>
      <c r="C32261" s="5">
        <v>101.8</v>
      </c>
      <c r="D32261" s="5">
        <v>0.1</v>
      </c>
      <c r="E32261" s="5">
        <v>101.9</v>
      </c>
      <c r="F32261" s="5">
        <v>203.4</v>
      </c>
      <c r="G32261" s="5">
        <v>101.5</v>
      </c>
      <c r="H32261" s="5">
        <v>101.4</v>
      </c>
      <c r="I32261" s="5">
        <v>0</v>
      </c>
      <c r="J32261" s="5">
        <v>0</v>
      </c>
      <c r="K32261" s="5">
        <v>0</v>
      </c>
    </row>
    <row r="32262" spans="1:11" x14ac:dyDescent="0.25">
      <c r="A32262" s="5">
        <f>32255</f>
      </c>
      <c r="B32262" s="5" t="s">
        <v>32270</v>
      </c>
      <c r="C32262" s="5">
        <v>101.8</v>
      </c>
      <c r="D32262" s="5">
        <v>0.1</v>
      </c>
      <c r="E32262" s="5">
        <v>101.9</v>
      </c>
      <c r="F32262" s="5">
        <v>203.4</v>
      </c>
      <c r="G32262" s="5">
        <v>101.5</v>
      </c>
      <c r="H32262" s="5">
        <v>101.4</v>
      </c>
      <c r="I32262" s="5">
        <v>0</v>
      </c>
      <c r="J32262" s="5">
        <v>0</v>
      </c>
      <c r="K32262" s="5">
        <v>0</v>
      </c>
    </row>
    <row r="32263" spans="1:11" x14ac:dyDescent="0.25">
      <c r="A32263" s="5">
        <f>32256</f>
      </c>
      <c r="B32263" s="5" t="s">
        <v>32271</v>
      </c>
      <c r="C32263" s="5">
        <v>101.7</v>
      </c>
      <c r="D32263" s="5">
        <v>0.1</v>
      </c>
      <c r="E32263" s="5">
        <v>101.8</v>
      </c>
      <c r="F32263" s="5">
        <v>202.8</v>
      </c>
      <c r="G32263" s="5">
        <v>101.2</v>
      </c>
      <c r="H32263" s="5">
        <v>101</v>
      </c>
      <c r="I32263" s="5">
        <v>0</v>
      </c>
      <c r="J32263" s="5">
        <v>0</v>
      </c>
      <c r="K32263" s="5">
        <v>0</v>
      </c>
    </row>
    <row r="32264" spans="1:11" x14ac:dyDescent="0.25">
      <c r="A32264" s="5">
        <f>32257</f>
      </c>
      <c r="B32264" s="5" t="s">
        <v>32272</v>
      </c>
      <c r="C32264" s="5">
        <v>101.7</v>
      </c>
      <c r="D32264" s="5">
        <v>0.1</v>
      </c>
      <c r="E32264" s="5">
        <v>101.8</v>
      </c>
      <c r="F32264" s="5">
        <v>202.8</v>
      </c>
      <c r="G32264" s="5">
        <v>101.2</v>
      </c>
      <c r="H32264" s="5">
        <v>101</v>
      </c>
      <c r="I32264" s="5">
        <v>0</v>
      </c>
      <c r="J32264" s="5">
        <v>0</v>
      </c>
      <c r="K32264" s="5">
        <v>0</v>
      </c>
    </row>
    <row r="32265" spans="1:11" x14ac:dyDescent="0.25">
      <c r="A32265" s="5">
        <f>32258</f>
      </c>
      <c r="B32265" s="5" t="s">
        <v>32273</v>
      </c>
      <c r="C32265" s="5">
        <v>102.5</v>
      </c>
      <c r="D32265" s="5">
        <v>0.1</v>
      </c>
      <c r="E32265" s="5">
        <v>102.7</v>
      </c>
      <c r="F32265" s="5">
        <v>204.8</v>
      </c>
      <c r="G32265" s="5">
        <v>102.2</v>
      </c>
      <c r="H32265" s="5">
        <v>102.1</v>
      </c>
      <c r="I32265" s="5">
        <v>0</v>
      </c>
      <c r="J32265" s="5">
        <v>0</v>
      </c>
      <c r="K32265" s="5">
        <v>0</v>
      </c>
    </row>
    <row r="32266" spans="1:11" x14ac:dyDescent="0.25">
      <c r="A32266" s="5">
        <f>32259</f>
      </c>
      <c r="B32266" s="5" t="s">
        <v>32274</v>
      </c>
      <c r="C32266" s="5">
        <v>102.5</v>
      </c>
      <c r="D32266" s="5">
        <v>0.1</v>
      </c>
      <c r="E32266" s="5">
        <v>102.7</v>
      </c>
      <c r="F32266" s="5">
        <v>204.8</v>
      </c>
      <c r="G32266" s="5">
        <v>102.2</v>
      </c>
      <c r="H32266" s="5">
        <v>102.1</v>
      </c>
      <c r="I32266" s="5">
        <v>0</v>
      </c>
      <c r="J32266" s="5">
        <v>0</v>
      </c>
      <c r="K32266" s="5">
        <v>0</v>
      </c>
    </row>
    <row r="32267" spans="1:11" x14ac:dyDescent="0.25">
      <c r="A32267" s="5">
        <f>32260</f>
      </c>
      <c r="B32267" s="5" t="s">
        <v>32275</v>
      </c>
      <c r="C32267" s="5">
        <v>102.1</v>
      </c>
      <c r="D32267" s="5">
        <v>0.1</v>
      </c>
      <c r="E32267" s="5">
        <v>102.3</v>
      </c>
      <c r="F32267" s="5">
        <v>204.8</v>
      </c>
      <c r="G32267" s="5">
        <v>102.1</v>
      </c>
      <c r="H32267" s="5">
        <v>101.9</v>
      </c>
      <c r="I32267" s="5">
        <v>0</v>
      </c>
      <c r="J32267" s="5">
        <v>0</v>
      </c>
      <c r="K32267" s="5">
        <v>0</v>
      </c>
    </row>
    <row r="32268" spans="1:11" x14ac:dyDescent="0.25">
      <c r="A32268" s="5">
        <f>32261</f>
      </c>
      <c r="B32268" s="5" t="s">
        <v>32276</v>
      </c>
      <c r="C32268" s="5">
        <v>102.1</v>
      </c>
      <c r="D32268" s="5">
        <v>0.1</v>
      </c>
      <c r="E32268" s="5">
        <v>102.3</v>
      </c>
      <c r="F32268" s="5">
        <v>204.8</v>
      </c>
      <c r="G32268" s="5">
        <v>102.1</v>
      </c>
      <c r="H32268" s="5">
        <v>101.9</v>
      </c>
      <c r="I32268" s="5">
        <v>0</v>
      </c>
      <c r="J32268" s="5">
        <v>0</v>
      </c>
      <c r="K32268" s="5">
        <v>0</v>
      </c>
    </row>
    <row r="32269" spans="1:11" x14ac:dyDescent="0.25">
      <c r="A32269" s="5">
        <f>32262</f>
      </c>
      <c r="B32269" s="5" t="s">
        <v>32277</v>
      </c>
      <c r="C32269" s="5">
        <v>102.1</v>
      </c>
      <c r="D32269" s="5">
        <v>0.1</v>
      </c>
      <c r="E32269" s="5">
        <v>102.3</v>
      </c>
      <c r="F32269" s="5">
        <v>204.8</v>
      </c>
      <c r="G32269" s="5">
        <v>102.1</v>
      </c>
      <c r="H32269" s="5">
        <v>101.9</v>
      </c>
      <c r="I32269" s="5">
        <v>0</v>
      </c>
      <c r="J32269" s="5">
        <v>0</v>
      </c>
      <c r="K32269" s="5">
        <v>0</v>
      </c>
    </row>
    <row r="32270" spans="1:11" x14ac:dyDescent="0.25">
      <c r="A32270" s="5">
        <f>32263</f>
      </c>
      <c r="B32270" s="5" t="s">
        <v>32278</v>
      </c>
      <c r="C32270" s="5">
        <v>102.1</v>
      </c>
      <c r="D32270" s="5">
        <v>0.1</v>
      </c>
      <c r="E32270" s="5">
        <v>102.3</v>
      </c>
      <c r="F32270" s="5">
        <v>204.8</v>
      </c>
      <c r="G32270" s="5">
        <v>102.1</v>
      </c>
      <c r="H32270" s="5">
        <v>101.9</v>
      </c>
      <c r="I32270" s="5">
        <v>0</v>
      </c>
      <c r="J32270" s="5">
        <v>0</v>
      </c>
      <c r="K32270" s="5">
        <v>0</v>
      </c>
    </row>
    <row r="32271" spans="1:11" x14ac:dyDescent="0.25">
      <c r="A32271" s="5">
        <f>32264</f>
      </c>
      <c r="B32271" s="5" t="s">
        <v>32279</v>
      </c>
      <c r="C32271" s="5">
        <v>100</v>
      </c>
      <c r="D32271" s="5">
        <v>0.1</v>
      </c>
      <c r="E32271" s="5">
        <v>100.2</v>
      </c>
      <c r="F32271" s="5">
        <v>199.8</v>
      </c>
      <c r="G32271" s="5">
        <v>99.7</v>
      </c>
      <c r="H32271" s="5">
        <v>99.5</v>
      </c>
      <c r="I32271" s="5">
        <v>0</v>
      </c>
      <c r="J32271" s="5">
        <v>0</v>
      </c>
      <c r="K32271" s="5">
        <v>0</v>
      </c>
    </row>
    <row r="32272" spans="1:11" x14ac:dyDescent="0.25">
      <c r="A32272" s="5">
        <f>32265</f>
      </c>
      <c r="B32272" s="5" t="s">
        <v>32280</v>
      </c>
      <c r="C32272" s="5">
        <v>100</v>
      </c>
      <c r="D32272" s="5">
        <v>0.1</v>
      </c>
      <c r="E32272" s="5">
        <v>100.2</v>
      </c>
      <c r="F32272" s="5">
        <v>199.8</v>
      </c>
      <c r="G32272" s="5">
        <v>99.7</v>
      </c>
      <c r="H32272" s="5">
        <v>99.5</v>
      </c>
      <c r="I32272" s="5">
        <v>0</v>
      </c>
      <c r="J32272" s="5">
        <v>0</v>
      </c>
      <c r="K32272" s="5">
        <v>0</v>
      </c>
    </row>
    <row r="32273" spans="1:11" x14ac:dyDescent="0.25">
      <c r="A32273" s="5">
        <f>32266</f>
      </c>
      <c r="B32273" s="5" t="s">
        <v>32281</v>
      </c>
      <c r="C32273" s="5">
        <v>99.7</v>
      </c>
      <c r="D32273" s="5">
        <v>0.1</v>
      </c>
      <c r="E32273" s="5">
        <v>99.9</v>
      </c>
      <c r="F32273" s="5">
        <v>199.1</v>
      </c>
      <c r="G32273" s="5">
        <v>99.3</v>
      </c>
      <c r="H32273" s="5">
        <v>99.2</v>
      </c>
      <c r="I32273" s="5">
        <v>0</v>
      </c>
      <c r="J32273" s="5">
        <v>0</v>
      </c>
      <c r="K32273" s="5">
        <v>0</v>
      </c>
    </row>
    <row r="32274" spans="1:11" x14ac:dyDescent="0.25">
      <c r="A32274" s="5">
        <f>32267</f>
      </c>
      <c r="B32274" s="5" t="s">
        <v>32282</v>
      </c>
      <c r="C32274" s="5">
        <v>99.7</v>
      </c>
      <c r="D32274" s="5">
        <v>0.1</v>
      </c>
      <c r="E32274" s="5">
        <v>99.9</v>
      </c>
      <c r="F32274" s="5">
        <v>199.1</v>
      </c>
      <c r="G32274" s="5">
        <v>99.3</v>
      </c>
      <c r="H32274" s="5">
        <v>99.2</v>
      </c>
      <c r="I32274" s="5">
        <v>0</v>
      </c>
      <c r="J32274" s="5">
        <v>0</v>
      </c>
      <c r="K32274" s="5">
        <v>0</v>
      </c>
    </row>
    <row r="32275" spans="1:11" x14ac:dyDescent="0.25">
      <c r="A32275" s="5">
        <f>32268</f>
      </c>
      <c r="B32275" s="5" t="s">
        <v>32283</v>
      </c>
      <c r="C32275" s="5">
        <v>100.4</v>
      </c>
      <c r="D32275" s="5">
        <v>0.1</v>
      </c>
      <c r="E32275" s="5">
        <v>100.5</v>
      </c>
      <c r="F32275" s="5">
        <v>200.5</v>
      </c>
      <c r="G32275" s="5">
        <v>100</v>
      </c>
      <c r="H32275" s="5">
        <v>99.8</v>
      </c>
      <c r="I32275" s="5">
        <v>0</v>
      </c>
      <c r="J32275" s="5">
        <v>0</v>
      </c>
      <c r="K32275" s="5">
        <v>0</v>
      </c>
    </row>
    <row r="32276" spans="1:11" x14ac:dyDescent="0.25">
      <c r="A32276" s="5">
        <f>32269</f>
      </c>
      <c r="B32276" s="5" t="s">
        <v>32284</v>
      </c>
      <c r="C32276" s="5">
        <v>100.4</v>
      </c>
      <c r="D32276" s="5">
        <v>0.1</v>
      </c>
      <c r="E32276" s="5">
        <v>100.5</v>
      </c>
      <c r="F32276" s="5">
        <v>200.5</v>
      </c>
      <c r="G32276" s="5">
        <v>100</v>
      </c>
      <c r="H32276" s="5">
        <v>99.8</v>
      </c>
      <c r="I32276" s="5">
        <v>0</v>
      </c>
      <c r="J32276" s="5">
        <v>0</v>
      </c>
      <c r="K32276" s="5">
        <v>0</v>
      </c>
    </row>
    <row r="32277" spans="1:11" x14ac:dyDescent="0.25">
      <c r="A32277" s="5">
        <f>32270</f>
      </c>
      <c r="B32277" s="5" t="s">
        <v>32285</v>
      </c>
      <c r="C32277" s="5">
        <v>100.5</v>
      </c>
      <c r="D32277" s="5">
        <v>0.1</v>
      </c>
      <c r="E32277" s="5">
        <v>100.5</v>
      </c>
      <c r="F32277" s="5">
        <v>199.7</v>
      </c>
      <c r="G32277" s="5">
        <v>99.7</v>
      </c>
      <c r="H32277" s="5">
        <v>99.5</v>
      </c>
      <c r="I32277" s="5">
        <v>0</v>
      </c>
      <c r="J32277" s="5">
        <v>0</v>
      </c>
      <c r="K32277" s="5">
        <v>0</v>
      </c>
    </row>
    <row r="32278" spans="1:11" x14ac:dyDescent="0.25">
      <c r="A32278" s="5">
        <f>32271</f>
      </c>
      <c r="B32278" s="5" t="s">
        <v>32286</v>
      </c>
      <c r="C32278" s="5">
        <v>100.5</v>
      </c>
      <c r="D32278" s="5">
        <v>0.1</v>
      </c>
      <c r="E32278" s="5">
        <v>100.5</v>
      </c>
      <c r="F32278" s="5">
        <v>199.7</v>
      </c>
      <c r="G32278" s="5">
        <v>99.7</v>
      </c>
      <c r="H32278" s="5">
        <v>99.5</v>
      </c>
      <c r="I32278" s="5">
        <v>0</v>
      </c>
      <c r="J32278" s="5">
        <v>0</v>
      </c>
      <c r="K32278" s="5">
        <v>0</v>
      </c>
    </row>
    <row r="32279" spans="1:11" x14ac:dyDescent="0.25">
      <c r="A32279" s="5">
        <f>32272</f>
      </c>
      <c r="B32279" s="5" t="s">
        <v>32287</v>
      </c>
      <c r="C32279" s="5">
        <v>100.5</v>
      </c>
      <c r="D32279" s="5">
        <v>0.1</v>
      </c>
      <c r="E32279" s="5">
        <v>100.5</v>
      </c>
      <c r="F32279" s="5">
        <v>199.7</v>
      </c>
      <c r="G32279" s="5">
        <v>99.7</v>
      </c>
      <c r="H32279" s="5">
        <v>99.5</v>
      </c>
      <c r="I32279" s="5">
        <v>0</v>
      </c>
      <c r="J32279" s="5">
        <v>0</v>
      </c>
      <c r="K32279" s="5">
        <v>0</v>
      </c>
    </row>
    <row r="32280" spans="1:11" x14ac:dyDescent="0.25">
      <c r="A32280" s="5">
        <f>32273</f>
      </c>
      <c r="B32280" s="5" t="s">
        <v>32288</v>
      </c>
      <c r="C32280" s="5">
        <v>100.5</v>
      </c>
      <c r="D32280" s="5">
        <v>0.1</v>
      </c>
      <c r="E32280" s="5">
        <v>100.5</v>
      </c>
      <c r="F32280" s="5">
        <v>199.7</v>
      </c>
      <c r="G32280" s="5">
        <v>99.7</v>
      </c>
      <c r="H32280" s="5">
        <v>99.5</v>
      </c>
      <c r="I32280" s="5">
        <v>0</v>
      </c>
      <c r="J32280" s="5">
        <v>0</v>
      </c>
      <c r="K32280" s="5">
        <v>0</v>
      </c>
    </row>
    <row r="32281" spans="1:11" x14ac:dyDescent="0.25">
      <c r="A32281" s="5">
        <f>32274</f>
      </c>
      <c r="B32281" s="5" t="s">
        <v>32289</v>
      </c>
      <c r="C32281" s="5">
        <v>99.8</v>
      </c>
      <c r="D32281" s="5">
        <v>0.1</v>
      </c>
      <c r="E32281" s="5">
        <v>99.9</v>
      </c>
      <c r="F32281" s="5">
        <v>200.1</v>
      </c>
      <c r="G32281" s="5">
        <v>99.8</v>
      </c>
      <c r="H32281" s="5">
        <v>99.7</v>
      </c>
      <c r="I32281" s="5">
        <v>0</v>
      </c>
      <c r="J32281" s="5">
        <v>0</v>
      </c>
      <c r="K32281" s="5">
        <v>0</v>
      </c>
    </row>
    <row r="32282" spans="1:11" x14ac:dyDescent="0.25">
      <c r="A32282" s="5">
        <f>32275</f>
      </c>
      <c r="B32282" s="5" t="s">
        <v>32290</v>
      </c>
      <c r="C32282" s="5">
        <v>99.8</v>
      </c>
      <c r="D32282" s="5">
        <v>0.1</v>
      </c>
      <c r="E32282" s="5">
        <v>99.9</v>
      </c>
      <c r="F32282" s="5">
        <v>200.1</v>
      </c>
      <c r="G32282" s="5">
        <v>99.8</v>
      </c>
      <c r="H32282" s="5">
        <v>99.7</v>
      </c>
      <c r="I32282" s="5">
        <v>0</v>
      </c>
      <c r="J32282" s="5">
        <v>0</v>
      </c>
      <c r="K32282" s="5">
        <v>0</v>
      </c>
    </row>
    <row r="32283" spans="1:11" x14ac:dyDescent="0.25">
      <c r="A32283" s="5">
        <f>32276</f>
      </c>
      <c r="B32283" s="5" t="s">
        <v>32291</v>
      </c>
      <c r="C32283" s="5">
        <v>99.6</v>
      </c>
      <c r="D32283" s="5">
        <v>0.1</v>
      </c>
      <c r="E32283" s="5">
        <v>99.8</v>
      </c>
      <c r="F32283" s="5">
        <v>199.9</v>
      </c>
      <c r="G32283" s="5">
        <v>99.7</v>
      </c>
      <c r="H32283" s="5">
        <v>99.6</v>
      </c>
      <c r="I32283" s="5">
        <v>0</v>
      </c>
      <c r="J32283" s="5">
        <v>0</v>
      </c>
      <c r="K32283" s="5">
        <v>0</v>
      </c>
    </row>
    <row r="32284" spans="1:11" x14ac:dyDescent="0.25">
      <c r="A32284" s="5">
        <f>32277</f>
      </c>
      <c r="B32284" s="5" t="s">
        <v>32292</v>
      </c>
      <c r="C32284" s="5">
        <v>99.6</v>
      </c>
      <c r="D32284" s="5">
        <v>0.1</v>
      </c>
      <c r="E32284" s="5">
        <v>99.8</v>
      </c>
      <c r="F32284" s="5">
        <v>199.9</v>
      </c>
      <c r="G32284" s="5">
        <v>99.7</v>
      </c>
      <c r="H32284" s="5">
        <v>99.6</v>
      </c>
      <c r="I32284" s="5">
        <v>0</v>
      </c>
      <c r="J32284" s="5">
        <v>0</v>
      </c>
      <c r="K32284" s="5">
        <v>0</v>
      </c>
    </row>
    <row r="32285" spans="1:11" x14ac:dyDescent="0.25">
      <c r="A32285" s="5">
        <f>32278</f>
      </c>
      <c r="B32285" s="5" t="s">
        <v>32293</v>
      </c>
      <c r="C32285" s="5">
        <v>99.9</v>
      </c>
      <c r="D32285" s="5">
        <v>0.1</v>
      </c>
      <c r="E32285" s="5">
        <v>100.1</v>
      </c>
      <c r="F32285" s="5">
        <v>200</v>
      </c>
      <c r="G32285" s="5">
        <v>99.8</v>
      </c>
      <c r="H32285" s="5">
        <v>99.7</v>
      </c>
      <c r="I32285" s="5">
        <v>0</v>
      </c>
      <c r="J32285" s="5">
        <v>0</v>
      </c>
      <c r="K32285" s="5">
        <v>0</v>
      </c>
    </row>
    <row r="32286" spans="1:11" x14ac:dyDescent="0.25">
      <c r="A32286" s="5">
        <f>32279</f>
      </c>
      <c r="B32286" s="5" t="s">
        <v>32294</v>
      </c>
      <c r="C32286" s="5">
        <v>99.9</v>
      </c>
      <c r="D32286" s="5">
        <v>0.1</v>
      </c>
      <c r="E32286" s="5">
        <v>100.1</v>
      </c>
      <c r="F32286" s="5">
        <v>200</v>
      </c>
      <c r="G32286" s="5">
        <v>99.8</v>
      </c>
      <c r="H32286" s="5">
        <v>99.7</v>
      </c>
      <c r="I32286" s="5">
        <v>0</v>
      </c>
      <c r="J32286" s="5">
        <v>0</v>
      </c>
      <c r="K32286" s="5">
        <v>0</v>
      </c>
    </row>
    <row r="32287" spans="1:11" x14ac:dyDescent="0.25">
      <c r="A32287" s="5">
        <f>32280</f>
      </c>
      <c r="B32287" s="5" t="s">
        <v>32295</v>
      </c>
      <c r="C32287" s="5">
        <v>100.3</v>
      </c>
      <c r="D32287" s="5">
        <v>0.1</v>
      </c>
      <c r="E32287" s="5">
        <v>100.5</v>
      </c>
      <c r="F32287" s="5">
        <v>201</v>
      </c>
      <c r="G32287" s="5">
        <v>100.3</v>
      </c>
      <c r="H32287" s="5">
        <v>100.1</v>
      </c>
      <c r="I32287" s="5">
        <v>0</v>
      </c>
      <c r="J32287" s="5">
        <v>0</v>
      </c>
      <c r="K32287" s="5">
        <v>0</v>
      </c>
    </row>
    <row r="32288" spans="1:11" x14ac:dyDescent="0.25">
      <c r="A32288" s="5">
        <f>32281</f>
      </c>
      <c r="B32288" s="5" t="s">
        <v>32296</v>
      </c>
      <c r="C32288" s="5">
        <v>100.3</v>
      </c>
      <c r="D32288" s="5">
        <v>0.1</v>
      </c>
      <c r="E32288" s="5">
        <v>100.5</v>
      </c>
      <c r="F32288" s="5">
        <v>201</v>
      </c>
      <c r="G32288" s="5">
        <v>100.3</v>
      </c>
      <c r="H32288" s="5">
        <v>100.1</v>
      </c>
      <c r="I32288" s="5">
        <v>0</v>
      </c>
      <c r="J32288" s="5">
        <v>0</v>
      </c>
      <c r="K32288" s="5">
        <v>0</v>
      </c>
    </row>
    <row r="32289" spans="1:11" x14ac:dyDescent="0.25">
      <c r="A32289" s="5">
        <f>32282</f>
      </c>
      <c r="B32289" s="5" t="s">
        <v>32297</v>
      </c>
      <c r="C32289" s="5">
        <v>100.3</v>
      </c>
      <c r="D32289" s="5">
        <v>0.1</v>
      </c>
      <c r="E32289" s="5">
        <v>100.5</v>
      </c>
      <c r="F32289" s="5">
        <v>201</v>
      </c>
      <c r="G32289" s="5">
        <v>100.3</v>
      </c>
      <c r="H32289" s="5">
        <v>100.1</v>
      </c>
      <c r="I32289" s="5">
        <v>0</v>
      </c>
      <c r="J32289" s="5">
        <v>0</v>
      </c>
      <c r="K32289" s="5">
        <v>0</v>
      </c>
    </row>
    <row r="32290" spans="1:11" x14ac:dyDescent="0.25">
      <c r="A32290" s="5">
        <f>32283</f>
      </c>
      <c r="B32290" s="5" t="s">
        <v>32298</v>
      </c>
      <c r="C32290" s="5">
        <v>100.3</v>
      </c>
      <c r="D32290" s="5">
        <v>0.1</v>
      </c>
      <c r="E32290" s="5">
        <v>100.5</v>
      </c>
      <c r="F32290" s="5">
        <v>201</v>
      </c>
      <c r="G32290" s="5">
        <v>100.3</v>
      </c>
      <c r="H32290" s="5">
        <v>100.1</v>
      </c>
      <c r="I32290" s="5">
        <v>0</v>
      </c>
      <c r="J32290" s="5">
        <v>0</v>
      </c>
      <c r="K32290" s="5">
        <v>0</v>
      </c>
    </row>
    <row r="32291" spans="1:11" x14ac:dyDescent="0.25">
      <c r="A32291" s="5">
        <f>32284</f>
      </c>
      <c r="B32291" s="5" t="s">
        <v>32299</v>
      </c>
      <c r="C32291" s="5">
        <v>100.7</v>
      </c>
      <c r="D32291" s="5">
        <v>0.1</v>
      </c>
      <c r="E32291" s="5">
        <v>100.8</v>
      </c>
      <c r="F32291" s="5">
        <v>201.2</v>
      </c>
      <c r="G32291" s="5">
        <v>100.4</v>
      </c>
      <c r="H32291" s="5">
        <v>100.2</v>
      </c>
      <c r="I32291" s="5">
        <v>0</v>
      </c>
      <c r="J32291" s="5">
        <v>0</v>
      </c>
      <c r="K32291" s="5">
        <v>0</v>
      </c>
    </row>
    <row r="32292" spans="1:11" x14ac:dyDescent="0.25">
      <c r="A32292" s="5">
        <f>32285</f>
      </c>
      <c r="B32292" s="5" t="s">
        <v>32300</v>
      </c>
      <c r="C32292" s="5">
        <v>100.7</v>
      </c>
      <c r="D32292" s="5">
        <v>0.1</v>
      </c>
      <c r="E32292" s="5">
        <v>100.8</v>
      </c>
      <c r="F32292" s="5">
        <v>201.2</v>
      </c>
      <c r="G32292" s="5">
        <v>100.4</v>
      </c>
      <c r="H32292" s="5">
        <v>100.2</v>
      </c>
      <c r="I32292" s="5">
        <v>0</v>
      </c>
      <c r="J32292" s="5">
        <v>0</v>
      </c>
      <c r="K32292" s="5">
        <v>0</v>
      </c>
    </row>
    <row r="32293" spans="1:11" x14ac:dyDescent="0.25">
      <c r="A32293" s="5">
        <f>32286</f>
      </c>
      <c r="B32293" s="5" t="s">
        <v>32301</v>
      </c>
      <c r="C32293" s="5">
        <v>100.1</v>
      </c>
      <c r="D32293" s="5">
        <v>0.1</v>
      </c>
      <c r="E32293" s="5">
        <v>100.2</v>
      </c>
      <c r="F32293" s="5">
        <v>200.2</v>
      </c>
      <c r="G32293" s="5">
        <v>99.9</v>
      </c>
      <c r="H32293" s="5">
        <v>99.7</v>
      </c>
      <c r="I32293" s="5">
        <v>0</v>
      </c>
      <c r="J32293" s="5">
        <v>0</v>
      </c>
      <c r="K32293" s="5">
        <v>0</v>
      </c>
    </row>
    <row r="32294" spans="1:11" x14ac:dyDescent="0.25">
      <c r="A32294" s="5">
        <f>32287</f>
      </c>
      <c r="B32294" s="5" t="s">
        <v>32302</v>
      </c>
      <c r="C32294" s="5">
        <v>100.1</v>
      </c>
      <c r="D32294" s="5">
        <v>0.1</v>
      </c>
      <c r="E32294" s="5">
        <v>100.2</v>
      </c>
      <c r="F32294" s="5">
        <v>200.2</v>
      </c>
      <c r="G32294" s="5">
        <v>99.9</v>
      </c>
      <c r="H32294" s="5">
        <v>99.7</v>
      </c>
      <c r="I32294" s="5">
        <v>0</v>
      </c>
      <c r="J32294" s="5">
        <v>0</v>
      </c>
      <c r="K32294" s="5">
        <v>0</v>
      </c>
    </row>
    <row r="32295" spans="1:11" x14ac:dyDescent="0.25">
      <c r="A32295" s="5">
        <f>32288</f>
      </c>
      <c r="B32295" s="5" t="s">
        <v>32303</v>
      </c>
      <c r="C32295" s="5">
        <v>101</v>
      </c>
      <c r="D32295" s="5">
        <v>0</v>
      </c>
      <c r="E32295" s="5">
        <v>101.1</v>
      </c>
      <c r="F32295" s="5">
        <v>201</v>
      </c>
      <c r="G32295" s="5">
        <v>100.3</v>
      </c>
      <c r="H32295" s="5">
        <v>100.1</v>
      </c>
      <c r="I32295" s="5">
        <v>0</v>
      </c>
      <c r="J32295" s="5">
        <v>0</v>
      </c>
      <c r="K32295" s="5">
        <v>0</v>
      </c>
    </row>
    <row r="32296" spans="1:11" x14ac:dyDescent="0.25">
      <c r="A32296" s="5">
        <f>32289</f>
      </c>
      <c r="B32296" s="5" t="s">
        <v>32304</v>
      </c>
      <c r="C32296" s="5">
        <v>101</v>
      </c>
      <c r="D32296" s="5">
        <v>0</v>
      </c>
      <c r="E32296" s="5">
        <v>101.1</v>
      </c>
      <c r="F32296" s="5">
        <v>201</v>
      </c>
      <c r="G32296" s="5">
        <v>100.3</v>
      </c>
      <c r="H32296" s="5">
        <v>100.1</v>
      </c>
      <c r="I32296" s="5">
        <v>0</v>
      </c>
      <c r="J32296" s="5">
        <v>0</v>
      </c>
      <c r="K32296" s="5">
        <v>0</v>
      </c>
    </row>
    <row r="32297" spans="1:11" x14ac:dyDescent="0.25">
      <c r="A32297" s="5">
        <f>32290</f>
      </c>
      <c r="B32297" s="5" t="s">
        <v>32305</v>
      </c>
      <c r="C32297" s="5">
        <v>100.8</v>
      </c>
      <c r="D32297" s="5">
        <v>0.1</v>
      </c>
      <c r="E32297" s="5">
        <v>101</v>
      </c>
      <c r="F32297" s="5">
        <v>201.6</v>
      </c>
      <c r="G32297" s="5">
        <v>100.5</v>
      </c>
      <c r="H32297" s="5">
        <v>100.4</v>
      </c>
      <c r="I32297" s="5">
        <v>0</v>
      </c>
      <c r="J32297" s="5">
        <v>0</v>
      </c>
      <c r="K32297" s="5">
        <v>0</v>
      </c>
    </row>
    <row r="32298" spans="1:11" x14ac:dyDescent="0.25">
      <c r="A32298" s="5">
        <f>32291</f>
      </c>
      <c r="B32298" s="5" t="s">
        <v>32306</v>
      </c>
      <c r="C32298" s="5">
        <v>100.8</v>
      </c>
      <c r="D32298" s="5">
        <v>0.1</v>
      </c>
      <c r="E32298" s="5">
        <v>101</v>
      </c>
      <c r="F32298" s="5">
        <v>201.6</v>
      </c>
      <c r="G32298" s="5">
        <v>100.5</v>
      </c>
      <c r="H32298" s="5">
        <v>100.4</v>
      </c>
      <c r="I32298" s="5">
        <v>0</v>
      </c>
      <c r="J32298" s="5">
        <v>0</v>
      </c>
      <c r="K32298" s="5">
        <v>0</v>
      </c>
    </row>
    <row r="32299" spans="1:11" x14ac:dyDescent="0.25">
      <c r="A32299" s="5">
        <f>32292</f>
      </c>
      <c r="B32299" s="5" t="s">
        <v>32307</v>
      </c>
      <c r="C32299" s="5">
        <v>100.8</v>
      </c>
      <c r="D32299" s="5">
        <v>0.1</v>
      </c>
      <c r="E32299" s="5">
        <v>101</v>
      </c>
      <c r="F32299" s="5">
        <v>201.6</v>
      </c>
      <c r="G32299" s="5">
        <v>100.5</v>
      </c>
      <c r="H32299" s="5">
        <v>100.4</v>
      </c>
      <c r="I32299" s="5">
        <v>0</v>
      </c>
      <c r="J32299" s="5">
        <v>0</v>
      </c>
      <c r="K32299" s="5">
        <v>0</v>
      </c>
    </row>
    <row r="32300" spans="1:11" x14ac:dyDescent="0.25">
      <c r="A32300" s="5">
        <f>32293</f>
      </c>
      <c r="B32300" s="5" t="s">
        <v>32308</v>
      </c>
      <c r="C32300" s="5">
        <v>100.8</v>
      </c>
      <c r="D32300" s="5">
        <v>0.1</v>
      </c>
      <c r="E32300" s="5">
        <v>101</v>
      </c>
      <c r="F32300" s="5">
        <v>201.6</v>
      </c>
      <c r="G32300" s="5">
        <v>101.3</v>
      </c>
      <c r="H32300" s="5">
        <v>101.2</v>
      </c>
      <c r="I32300" s="5">
        <v>0</v>
      </c>
      <c r="J32300" s="5">
        <v>0</v>
      </c>
      <c r="K32300" s="5">
        <v>0</v>
      </c>
    </row>
    <row r="32301" spans="1:11" x14ac:dyDescent="0.25">
      <c r="A32301" s="5">
        <f>32294</f>
      </c>
      <c r="B32301" s="5" t="s">
        <v>32309</v>
      </c>
      <c r="C32301" s="5">
        <v>101.9</v>
      </c>
      <c r="D32301" s="5">
        <v>0.1</v>
      </c>
      <c r="E32301" s="5">
        <v>102</v>
      </c>
      <c r="F32301" s="5">
        <v>203.2</v>
      </c>
      <c r="G32301" s="5">
        <v>101.3</v>
      </c>
      <c r="H32301" s="5">
        <v>101.2</v>
      </c>
      <c r="I32301" s="5">
        <v>0</v>
      </c>
      <c r="J32301" s="5">
        <v>0</v>
      </c>
      <c r="K32301" s="5">
        <v>0</v>
      </c>
    </row>
    <row r="32302" spans="1:11" x14ac:dyDescent="0.25">
      <c r="A32302" s="5">
        <f>32295</f>
      </c>
      <c r="B32302" s="5" t="s">
        <v>32310</v>
      </c>
      <c r="C32302" s="5">
        <v>101.9</v>
      </c>
      <c r="D32302" s="5">
        <v>0.1</v>
      </c>
      <c r="E32302" s="5">
        <v>102</v>
      </c>
      <c r="F32302" s="5">
        <v>203.2</v>
      </c>
      <c r="G32302" s="5">
        <v>101.3</v>
      </c>
      <c r="H32302" s="5">
        <v>101.2</v>
      </c>
      <c r="I32302" s="5">
        <v>0</v>
      </c>
      <c r="J32302" s="5">
        <v>0</v>
      </c>
      <c r="K32302" s="5">
        <v>0</v>
      </c>
    </row>
    <row r="32303" spans="1:11" x14ac:dyDescent="0.25">
      <c r="A32303" s="5">
        <f>32296</f>
      </c>
      <c r="B32303" s="5" t="s">
        <v>32311</v>
      </c>
      <c r="C32303" s="5">
        <v>101.1</v>
      </c>
      <c r="D32303" s="5">
        <v>0.1</v>
      </c>
      <c r="E32303" s="5">
        <v>101.3</v>
      </c>
      <c r="F32303" s="5">
        <v>202.3</v>
      </c>
      <c r="G32303" s="5">
        <v>100.9</v>
      </c>
      <c r="H32303" s="5">
        <v>100.7</v>
      </c>
      <c r="I32303" s="5">
        <v>0</v>
      </c>
      <c r="J32303" s="5">
        <v>0</v>
      </c>
      <c r="K32303" s="5">
        <v>0</v>
      </c>
    </row>
    <row r="32304" spans="1:11" x14ac:dyDescent="0.25">
      <c r="A32304" s="5">
        <f>32297</f>
      </c>
      <c r="B32304" s="5" t="s">
        <v>32312</v>
      </c>
      <c r="C32304" s="5">
        <v>101.1</v>
      </c>
      <c r="D32304" s="5">
        <v>0.1</v>
      </c>
      <c r="E32304" s="5">
        <v>101.3</v>
      </c>
      <c r="F32304" s="5">
        <v>202.3</v>
      </c>
      <c r="G32304" s="5">
        <v>100.9</v>
      </c>
      <c r="H32304" s="5">
        <v>100.7</v>
      </c>
      <c r="I32304" s="5">
        <v>0</v>
      </c>
      <c r="J32304" s="5">
        <v>0</v>
      </c>
      <c r="K32304" s="5">
        <v>0</v>
      </c>
    </row>
    <row r="32305" spans="1:11" x14ac:dyDescent="0.25">
      <c r="A32305" s="5">
        <f>32298</f>
      </c>
      <c r="B32305" s="5" t="s">
        <v>32313</v>
      </c>
      <c r="C32305" s="5">
        <v>100.8</v>
      </c>
      <c r="D32305" s="5">
        <v>0.1</v>
      </c>
      <c r="E32305" s="5">
        <v>100.8</v>
      </c>
      <c r="F32305" s="5">
        <v>201</v>
      </c>
      <c r="G32305" s="5">
        <v>100.3</v>
      </c>
      <c r="H32305" s="5">
        <v>100.1</v>
      </c>
      <c r="I32305" s="5">
        <v>0</v>
      </c>
      <c r="J32305" s="5">
        <v>0</v>
      </c>
      <c r="K32305" s="5">
        <v>0</v>
      </c>
    </row>
    <row r="32306" spans="1:11" x14ac:dyDescent="0.25">
      <c r="A32306" s="5">
        <f>32299</f>
      </c>
      <c r="B32306" s="5" t="s">
        <v>32314</v>
      </c>
      <c r="C32306" s="5">
        <v>100.8</v>
      </c>
      <c r="D32306" s="5">
        <v>0.1</v>
      </c>
      <c r="E32306" s="5">
        <v>100.8</v>
      </c>
      <c r="F32306" s="5">
        <v>201</v>
      </c>
      <c r="G32306" s="5">
        <v>100.3</v>
      </c>
      <c r="H32306" s="5">
        <v>100.1</v>
      </c>
      <c r="I32306" s="5">
        <v>0</v>
      </c>
      <c r="J32306" s="5">
        <v>0</v>
      </c>
      <c r="K32306" s="5">
        <v>0</v>
      </c>
    </row>
    <row r="32307" spans="1:11" x14ac:dyDescent="0.25">
      <c r="A32307" s="5">
        <f>32300</f>
      </c>
      <c r="B32307" s="5" t="s">
        <v>32315</v>
      </c>
      <c r="C32307" s="5">
        <v>101.1</v>
      </c>
      <c r="D32307" s="5">
        <v>0.1</v>
      </c>
      <c r="E32307" s="5">
        <v>101.2</v>
      </c>
      <c r="F32307" s="5">
        <v>202</v>
      </c>
      <c r="G32307" s="5">
        <v>100.8</v>
      </c>
      <c r="H32307" s="5">
        <v>100.6</v>
      </c>
      <c r="I32307" s="5">
        <v>0</v>
      </c>
      <c r="J32307" s="5">
        <v>0</v>
      </c>
      <c r="K32307" s="5">
        <v>0</v>
      </c>
    </row>
    <row r="32308" spans="1:11" x14ac:dyDescent="0.25">
      <c r="A32308" s="5">
        <f>32301</f>
      </c>
      <c r="B32308" s="5" t="s">
        <v>32316</v>
      </c>
      <c r="C32308" s="5">
        <v>101.1</v>
      </c>
      <c r="D32308" s="5">
        <v>0.1</v>
      </c>
      <c r="E32308" s="5">
        <v>101.2</v>
      </c>
      <c r="F32308" s="5">
        <v>202</v>
      </c>
      <c r="G32308" s="5">
        <v>100.8</v>
      </c>
      <c r="H32308" s="5">
        <v>100.6</v>
      </c>
      <c r="I32308" s="5">
        <v>0</v>
      </c>
      <c r="J32308" s="5">
        <v>0</v>
      </c>
      <c r="K32308" s="5">
        <v>0</v>
      </c>
    </row>
    <row r="32309" spans="1:11" x14ac:dyDescent="0.25">
      <c r="A32309" s="5">
        <f>32302</f>
      </c>
      <c r="B32309" s="5" t="s">
        <v>32317</v>
      </c>
      <c r="C32309" s="5">
        <v>101.1</v>
      </c>
      <c r="D32309" s="5">
        <v>0.1</v>
      </c>
      <c r="E32309" s="5">
        <v>101.2</v>
      </c>
      <c r="F32309" s="5">
        <v>202</v>
      </c>
      <c r="G32309" s="5">
        <v>100.8</v>
      </c>
      <c r="H32309" s="5">
        <v>100.6</v>
      </c>
      <c r="I32309" s="5">
        <v>0</v>
      </c>
      <c r="J32309" s="5">
        <v>0</v>
      </c>
      <c r="K32309" s="5">
        <v>0</v>
      </c>
    </row>
    <row r="32310" spans="1:11" x14ac:dyDescent="0.25">
      <c r="A32310" s="5">
        <f>32303</f>
      </c>
      <c r="B32310" s="5" t="s">
        <v>32318</v>
      </c>
      <c r="C32310" s="5">
        <v>101.1</v>
      </c>
      <c r="D32310" s="5">
        <v>0.1</v>
      </c>
      <c r="E32310" s="5">
        <v>101.2</v>
      </c>
      <c r="F32310" s="5">
        <v>202</v>
      </c>
      <c r="G32310" s="5">
        <v>100.8</v>
      </c>
      <c r="H32310" s="5">
        <v>100.6</v>
      </c>
      <c r="I32310" s="5">
        <v>0</v>
      </c>
      <c r="J32310" s="5">
        <v>0</v>
      </c>
      <c r="K32310" s="5">
        <v>0</v>
      </c>
    </row>
    <row r="32311" spans="1:11" x14ac:dyDescent="0.25">
      <c r="A32311" s="5">
        <f>32304</f>
      </c>
      <c r="B32311" s="5" t="s">
        <v>32319</v>
      </c>
      <c r="C32311" s="5">
        <v>101.4</v>
      </c>
      <c r="D32311" s="5">
        <v>0.1</v>
      </c>
      <c r="E32311" s="5">
        <v>101.5</v>
      </c>
      <c r="F32311" s="5">
        <v>202.2</v>
      </c>
      <c r="G32311" s="5">
        <v>100.9</v>
      </c>
      <c r="H32311" s="5">
        <v>100.8</v>
      </c>
      <c r="I32311" s="5">
        <v>0</v>
      </c>
      <c r="J32311" s="5">
        <v>0</v>
      </c>
      <c r="K32311" s="5">
        <v>0</v>
      </c>
    </row>
    <row r="32312" spans="1:11" x14ac:dyDescent="0.25">
      <c r="A32312" s="5">
        <f>32305</f>
      </c>
      <c r="B32312" s="5" t="s">
        <v>32320</v>
      </c>
      <c r="C32312" s="5">
        <v>101.4</v>
      </c>
      <c r="D32312" s="5">
        <v>0.1</v>
      </c>
      <c r="E32312" s="5">
        <v>101.5</v>
      </c>
      <c r="F32312" s="5">
        <v>202.2</v>
      </c>
      <c r="G32312" s="5">
        <v>100.9</v>
      </c>
      <c r="H32312" s="5">
        <v>100.8</v>
      </c>
      <c r="I32312" s="5">
        <v>0</v>
      </c>
      <c r="J32312" s="5">
        <v>0</v>
      </c>
      <c r="K32312" s="5">
        <v>0</v>
      </c>
    </row>
    <row r="32313" spans="1:11" x14ac:dyDescent="0.25">
      <c r="A32313" s="5">
        <f>32306</f>
      </c>
      <c r="B32313" s="5" t="s">
        <v>32321</v>
      </c>
      <c r="C32313" s="5">
        <v>101.5</v>
      </c>
      <c r="D32313" s="5">
        <v>0.1</v>
      </c>
      <c r="E32313" s="5">
        <v>101.5</v>
      </c>
      <c r="F32313" s="5">
        <v>202.9</v>
      </c>
      <c r="G32313" s="5">
        <v>101</v>
      </c>
      <c r="H32313" s="5">
        <v>100.8</v>
      </c>
      <c r="I32313" s="5">
        <v>0</v>
      </c>
      <c r="J32313" s="5">
        <v>0</v>
      </c>
      <c r="K32313" s="5">
        <v>0</v>
      </c>
    </row>
    <row r="32314" spans="1:11" x14ac:dyDescent="0.25">
      <c r="A32314" s="5">
        <f>32307</f>
      </c>
      <c r="B32314" s="5" t="s">
        <v>32322</v>
      </c>
      <c r="C32314" s="5">
        <v>101.5</v>
      </c>
      <c r="D32314" s="5">
        <v>0.1</v>
      </c>
      <c r="E32314" s="5">
        <v>101.5</v>
      </c>
      <c r="F32314" s="5">
        <v>202.9</v>
      </c>
      <c r="G32314" s="5">
        <v>101</v>
      </c>
      <c r="H32314" s="5">
        <v>100.8</v>
      </c>
      <c r="I32314" s="5">
        <v>0</v>
      </c>
      <c r="J32314" s="5">
        <v>0</v>
      </c>
      <c r="K32314" s="5">
        <v>0</v>
      </c>
    </row>
    <row r="32315" spans="1:11" x14ac:dyDescent="0.25">
      <c r="A32315" s="5">
        <f>32308</f>
      </c>
      <c r="B32315" s="5" t="s">
        <v>32323</v>
      </c>
      <c r="C32315" s="5">
        <v>101.5</v>
      </c>
      <c r="D32315" s="5">
        <v>0.1</v>
      </c>
      <c r="E32315" s="5">
        <v>101.7</v>
      </c>
      <c r="F32315" s="5">
        <v>202.2</v>
      </c>
      <c r="G32315" s="5">
        <v>100.9</v>
      </c>
      <c r="H32315" s="5">
        <v>100.8</v>
      </c>
      <c r="I32315" s="5">
        <v>0</v>
      </c>
      <c r="J32315" s="5">
        <v>0</v>
      </c>
      <c r="K32315" s="5">
        <v>0</v>
      </c>
    </row>
    <row r="32316" spans="1:11" x14ac:dyDescent="0.25">
      <c r="A32316" s="5">
        <f>32309</f>
      </c>
      <c r="B32316" s="5" t="s">
        <v>32324</v>
      </c>
      <c r="C32316" s="5">
        <v>101.5</v>
      </c>
      <c r="D32316" s="5">
        <v>0.1</v>
      </c>
      <c r="E32316" s="5">
        <v>101.7</v>
      </c>
      <c r="F32316" s="5">
        <v>202.2</v>
      </c>
      <c r="G32316" s="5">
        <v>100.9</v>
      </c>
      <c r="H32316" s="5">
        <v>100.8</v>
      </c>
      <c r="I32316" s="5">
        <v>0</v>
      </c>
      <c r="J32316" s="5">
        <v>0</v>
      </c>
      <c r="K32316" s="5">
        <v>0</v>
      </c>
    </row>
    <row r="32317" spans="1:11" x14ac:dyDescent="0.25">
      <c r="A32317" s="5">
        <f>32310</f>
      </c>
      <c r="B32317" s="5" t="s">
        <v>32325</v>
      </c>
      <c r="C32317" s="5">
        <v>101.7</v>
      </c>
      <c r="D32317" s="5">
        <v>0.1</v>
      </c>
      <c r="E32317" s="5">
        <v>101.8</v>
      </c>
      <c r="F32317" s="5">
        <v>202.7</v>
      </c>
      <c r="G32317" s="5">
        <v>101.1</v>
      </c>
      <c r="H32317" s="5">
        <v>101</v>
      </c>
      <c r="I32317" s="5">
        <v>0</v>
      </c>
      <c r="J32317" s="5">
        <v>0</v>
      </c>
      <c r="K32317" s="5">
        <v>0</v>
      </c>
    </row>
    <row r="32318" spans="1:11" x14ac:dyDescent="0.25">
      <c r="A32318" s="5">
        <f>32311</f>
      </c>
      <c r="B32318" s="5" t="s">
        <v>32326</v>
      </c>
      <c r="C32318" s="5">
        <v>101.7</v>
      </c>
      <c r="D32318" s="5">
        <v>0.1</v>
      </c>
      <c r="E32318" s="5">
        <v>101.8</v>
      </c>
      <c r="F32318" s="5">
        <v>202.7</v>
      </c>
      <c r="G32318" s="5">
        <v>101.1</v>
      </c>
      <c r="H32318" s="5">
        <v>101</v>
      </c>
      <c r="I32318" s="5">
        <v>0</v>
      </c>
      <c r="J32318" s="5">
        <v>0</v>
      </c>
      <c r="K32318" s="5">
        <v>0</v>
      </c>
    </row>
    <row r="32319" spans="1:11" x14ac:dyDescent="0.25">
      <c r="A32319" s="5">
        <f>32312</f>
      </c>
      <c r="B32319" s="5" t="s">
        <v>32327</v>
      </c>
      <c r="C32319" s="5">
        <v>101.7</v>
      </c>
      <c r="D32319" s="5">
        <v>0.1</v>
      </c>
      <c r="E32319" s="5">
        <v>101.8</v>
      </c>
      <c r="F32319" s="5">
        <v>202.7</v>
      </c>
      <c r="G32319" s="5">
        <v>101.1</v>
      </c>
      <c r="H32319" s="5">
        <v>101</v>
      </c>
      <c r="I32319" s="5">
        <v>0</v>
      </c>
      <c r="J32319" s="5">
        <v>0</v>
      </c>
      <c r="K32319" s="5">
        <v>0</v>
      </c>
    </row>
    <row r="32320" spans="1:11" x14ac:dyDescent="0.25">
      <c r="A32320" s="5">
        <f>32313</f>
      </c>
      <c r="B32320" s="5" t="s">
        <v>32328</v>
      </c>
      <c r="C32320" s="5">
        <v>101.7</v>
      </c>
      <c r="D32320" s="5">
        <v>0.1</v>
      </c>
      <c r="E32320" s="5">
        <v>101.8</v>
      </c>
      <c r="F32320" s="5">
        <v>202.7</v>
      </c>
      <c r="G32320" s="5">
        <v>101.1</v>
      </c>
      <c r="H32320" s="5">
        <v>101</v>
      </c>
      <c r="I32320" s="5">
        <v>0</v>
      </c>
      <c r="J32320" s="5">
        <v>0</v>
      </c>
      <c r="K32320" s="5">
        <v>0</v>
      </c>
    </row>
    <row r="32321" spans="1:11" x14ac:dyDescent="0.25">
      <c r="A32321" s="5">
        <f>32314</f>
      </c>
      <c r="B32321" s="5" t="s">
        <v>32329</v>
      </c>
      <c r="C32321" s="5">
        <v>102.4</v>
      </c>
      <c r="D32321" s="5">
        <v>0.1</v>
      </c>
      <c r="E32321" s="5">
        <v>102.6</v>
      </c>
      <c r="F32321" s="5">
        <v>204</v>
      </c>
      <c r="G32321" s="5">
        <v>101.7</v>
      </c>
      <c r="H32321" s="5">
        <v>101.6</v>
      </c>
      <c r="I32321" s="5">
        <v>0</v>
      </c>
      <c r="J32321" s="5">
        <v>0</v>
      </c>
      <c r="K32321" s="5">
        <v>0</v>
      </c>
    </row>
    <row r="32322" spans="1:11" x14ac:dyDescent="0.25">
      <c r="A32322" s="5">
        <f>32315</f>
      </c>
      <c r="B32322" s="5" t="s">
        <v>32330</v>
      </c>
      <c r="C32322" s="5">
        <v>102.4</v>
      </c>
      <c r="D32322" s="5">
        <v>0.1</v>
      </c>
      <c r="E32322" s="5">
        <v>102.6</v>
      </c>
      <c r="F32322" s="5">
        <v>204</v>
      </c>
      <c r="G32322" s="5">
        <v>101.7</v>
      </c>
      <c r="H32322" s="5">
        <v>101.6</v>
      </c>
      <c r="I32322" s="5">
        <v>0</v>
      </c>
      <c r="J32322" s="5">
        <v>0</v>
      </c>
      <c r="K32322" s="5">
        <v>0</v>
      </c>
    </row>
    <row r="32323" spans="1:11" x14ac:dyDescent="0.25">
      <c r="A32323" s="5">
        <f>32316</f>
      </c>
      <c r="B32323" s="5" t="s">
        <v>32331</v>
      </c>
      <c r="C32323" s="5">
        <v>102.1</v>
      </c>
      <c r="D32323" s="5">
        <v>0.1</v>
      </c>
      <c r="E32323" s="5">
        <v>102.3</v>
      </c>
      <c r="F32323" s="5">
        <v>203.9</v>
      </c>
      <c r="G32323" s="5">
        <v>101.7</v>
      </c>
      <c r="H32323" s="5">
        <v>101.6</v>
      </c>
      <c r="I32323" s="5">
        <v>0</v>
      </c>
      <c r="J32323" s="5">
        <v>0</v>
      </c>
      <c r="K32323" s="5">
        <v>0</v>
      </c>
    </row>
    <row r="32324" spans="1:11" x14ac:dyDescent="0.25">
      <c r="A32324" s="5">
        <f>32317</f>
      </c>
      <c r="B32324" s="5" t="s">
        <v>32332</v>
      </c>
      <c r="C32324" s="5">
        <v>102.1</v>
      </c>
      <c r="D32324" s="5">
        <v>0.1</v>
      </c>
      <c r="E32324" s="5">
        <v>102.3</v>
      </c>
      <c r="F32324" s="5">
        <v>203.9</v>
      </c>
      <c r="G32324" s="5">
        <v>101.7</v>
      </c>
      <c r="H32324" s="5">
        <v>101.6</v>
      </c>
      <c r="I32324" s="5">
        <v>0</v>
      </c>
      <c r="J32324" s="5">
        <v>0</v>
      </c>
      <c r="K32324" s="5">
        <v>0</v>
      </c>
    </row>
    <row r="32325" spans="1:11" x14ac:dyDescent="0.25">
      <c r="A32325" s="5">
        <f>32318</f>
      </c>
      <c r="B32325" s="5" t="s">
        <v>32333</v>
      </c>
      <c r="C32325" s="5">
        <v>101.5</v>
      </c>
      <c r="D32325" s="5">
        <v>0.1</v>
      </c>
      <c r="E32325" s="5">
        <v>101.7</v>
      </c>
      <c r="F32325" s="5">
        <v>203.1</v>
      </c>
      <c r="G32325" s="5">
        <v>101.3</v>
      </c>
      <c r="H32325" s="5">
        <v>101.1</v>
      </c>
      <c r="I32325" s="5">
        <v>0</v>
      </c>
      <c r="J32325" s="5">
        <v>0</v>
      </c>
      <c r="K32325" s="5">
        <v>0</v>
      </c>
    </row>
    <row r="32326" spans="1:11" x14ac:dyDescent="0.25">
      <c r="A32326" s="5">
        <f>32319</f>
      </c>
      <c r="B32326" s="5" t="s">
        <v>32334</v>
      </c>
      <c r="C32326" s="5">
        <v>101.5</v>
      </c>
      <c r="D32326" s="5">
        <v>0.1</v>
      </c>
      <c r="E32326" s="5">
        <v>101.7</v>
      </c>
      <c r="F32326" s="5">
        <v>203.1</v>
      </c>
      <c r="G32326" s="5">
        <v>101.3</v>
      </c>
      <c r="H32326" s="5">
        <v>101.1</v>
      </c>
      <c r="I32326" s="5">
        <v>0</v>
      </c>
      <c r="J32326" s="5">
        <v>0</v>
      </c>
      <c r="K32326" s="5">
        <v>0</v>
      </c>
    </row>
    <row r="32327" spans="1:11" x14ac:dyDescent="0.25">
      <c r="A32327" s="5">
        <f>32320</f>
      </c>
      <c r="B32327" s="5" t="s">
        <v>32335</v>
      </c>
      <c r="C32327" s="5">
        <v>101</v>
      </c>
      <c r="D32327" s="5">
        <v>0.1</v>
      </c>
      <c r="E32327" s="5">
        <v>101.1</v>
      </c>
      <c r="F32327" s="5">
        <v>201.8</v>
      </c>
      <c r="G32327" s="5">
        <v>100.7</v>
      </c>
      <c r="H32327" s="5">
        <v>100.5</v>
      </c>
      <c r="I32327" s="5">
        <v>0</v>
      </c>
      <c r="J32327" s="5">
        <v>0</v>
      </c>
      <c r="K32327" s="5">
        <v>0</v>
      </c>
    </row>
    <row r="32328" spans="1:11" x14ac:dyDescent="0.25">
      <c r="A32328" s="5">
        <f>32321</f>
      </c>
      <c r="B32328" s="5" t="s">
        <v>32336</v>
      </c>
      <c r="C32328" s="5">
        <v>101</v>
      </c>
      <c r="D32328" s="5">
        <v>0.1</v>
      </c>
      <c r="E32328" s="5">
        <v>101.1</v>
      </c>
      <c r="F32328" s="5">
        <v>201.8</v>
      </c>
      <c r="G32328" s="5">
        <v>100.7</v>
      </c>
      <c r="H32328" s="5">
        <v>100.5</v>
      </c>
      <c r="I32328" s="5">
        <v>0</v>
      </c>
      <c r="J32328" s="5">
        <v>0</v>
      </c>
      <c r="K32328" s="5">
        <v>0</v>
      </c>
    </row>
    <row r="32329" spans="1:11" x14ac:dyDescent="0.25">
      <c r="A32329" s="5">
        <f>32322</f>
      </c>
      <c r="B32329" s="5" t="s">
        <v>32337</v>
      </c>
      <c r="C32329" s="5">
        <v>101</v>
      </c>
      <c r="D32329" s="5">
        <v>0.1</v>
      </c>
      <c r="E32329" s="5">
        <v>101.1</v>
      </c>
      <c r="F32329" s="5">
        <v>201.8</v>
      </c>
      <c r="G32329" s="5">
        <v>100.7</v>
      </c>
      <c r="H32329" s="5">
        <v>100.5</v>
      </c>
      <c r="I32329" s="5">
        <v>0</v>
      </c>
      <c r="J32329" s="5">
        <v>0</v>
      </c>
      <c r="K32329" s="5">
        <v>0</v>
      </c>
    </row>
    <row r="32330" spans="1:11" x14ac:dyDescent="0.25">
      <c r="A32330" s="5">
        <f>32323</f>
      </c>
      <c r="B32330" s="5" t="s">
        <v>32338</v>
      </c>
      <c r="C32330" s="5">
        <v>101</v>
      </c>
      <c r="D32330" s="5">
        <v>0.1</v>
      </c>
      <c r="E32330" s="5">
        <v>101.1</v>
      </c>
      <c r="F32330" s="5">
        <v>201.8</v>
      </c>
      <c r="G32330" s="5">
        <v>100.7</v>
      </c>
      <c r="H32330" s="5">
        <v>100.5</v>
      </c>
      <c r="I32330" s="5">
        <v>0</v>
      </c>
      <c r="J32330" s="5">
        <v>0</v>
      </c>
      <c r="K32330" s="5">
        <v>0</v>
      </c>
    </row>
    <row r="32331" spans="1:11" x14ac:dyDescent="0.25">
      <c r="A32331" s="5">
        <f>32324</f>
      </c>
      <c r="B32331" s="5" t="s">
        <v>32339</v>
      </c>
      <c r="C32331" s="5">
        <v>101.8</v>
      </c>
      <c r="D32331" s="5">
        <v>0.1</v>
      </c>
      <c r="E32331" s="5">
        <v>101.9</v>
      </c>
      <c r="F32331" s="5">
        <v>203</v>
      </c>
      <c r="G32331" s="5">
        <v>101.3</v>
      </c>
      <c r="H32331" s="5">
        <v>101.3</v>
      </c>
      <c r="I32331" s="5">
        <v>0</v>
      </c>
      <c r="J32331" s="5">
        <v>0</v>
      </c>
      <c r="K32331" s="5">
        <v>0</v>
      </c>
    </row>
    <row r="32332" spans="1:11" x14ac:dyDescent="0.25">
      <c r="A32332" s="5">
        <f>32325</f>
      </c>
      <c r="B32332" s="5" t="s">
        <v>32340</v>
      </c>
      <c r="C32332" s="5">
        <v>101.8</v>
      </c>
      <c r="D32332" s="5">
        <v>0.1</v>
      </c>
      <c r="E32332" s="5">
        <v>101.9</v>
      </c>
      <c r="F32332" s="5">
        <v>203</v>
      </c>
      <c r="G32332" s="5">
        <v>101.3</v>
      </c>
      <c r="H32332" s="5">
        <v>101.3</v>
      </c>
      <c r="I32332" s="5">
        <v>0</v>
      </c>
      <c r="J32332" s="5">
        <v>0</v>
      </c>
      <c r="K32332" s="5">
        <v>0</v>
      </c>
    </row>
    <row r="32333" spans="1:11" x14ac:dyDescent="0.25">
      <c r="A32333" s="5">
        <f>32326</f>
      </c>
      <c r="B32333" s="5" t="s">
        <v>32341</v>
      </c>
      <c r="C32333" s="5">
        <v>101.8</v>
      </c>
      <c r="D32333" s="5">
        <v>0.1</v>
      </c>
      <c r="E32333" s="5">
        <v>101.9</v>
      </c>
      <c r="F32333" s="5">
        <v>203</v>
      </c>
      <c r="G32333" s="5">
        <v>101.3</v>
      </c>
      <c r="H32333" s="5">
        <v>101.1</v>
      </c>
      <c r="I32333" s="5">
        <v>0</v>
      </c>
      <c r="J32333" s="5">
        <v>0</v>
      </c>
      <c r="K32333" s="5">
        <v>0</v>
      </c>
    </row>
    <row r="32334" spans="1:11" x14ac:dyDescent="0.25">
      <c r="A32334" s="5">
        <f>32327</f>
      </c>
      <c r="B32334" s="5" t="s">
        <v>32342</v>
      </c>
      <c r="C32334" s="5">
        <v>101.8</v>
      </c>
      <c r="D32334" s="5">
        <v>0.1</v>
      </c>
      <c r="E32334" s="5">
        <v>101.9</v>
      </c>
      <c r="F32334" s="5">
        <v>203</v>
      </c>
      <c r="G32334" s="5">
        <v>101.3</v>
      </c>
      <c r="H32334" s="5">
        <v>101.1</v>
      </c>
      <c r="I32334" s="5">
        <v>0</v>
      </c>
      <c r="J32334" s="5">
        <v>0</v>
      </c>
      <c r="K32334" s="5">
        <v>0</v>
      </c>
    </row>
    <row r="32335" spans="1:11" x14ac:dyDescent="0.25">
      <c r="A32335" s="5">
        <f>32328</f>
      </c>
      <c r="B32335" s="5" t="s">
        <v>32343</v>
      </c>
      <c r="C32335" s="5">
        <v>101.4</v>
      </c>
      <c r="D32335" s="5">
        <v>0.1</v>
      </c>
      <c r="E32335" s="5">
        <v>101.5</v>
      </c>
      <c r="F32335" s="5">
        <v>202.8</v>
      </c>
      <c r="G32335" s="5">
        <v>101.1</v>
      </c>
      <c r="H32335" s="5">
        <v>100.9</v>
      </c>
      <c r="I32335" s="5">
        <v>0</v>
      </c>
      <c r="J32335" s="5">
        <v>0</v>
      </c>
      <c r="K32335" s="5">
        <v>0</v>
      </c>
    </row>
    <row r="32336" spans="1:11" x14ac:dyDescent="0.25">
      <c r="A32336" s="5">
        <f>32329</f>
      </c>
      <c r="B32336" s="5" t="s">
        <v>32344</v>
      </c>
      <c r="C32336" s="5">
        <v>101.4</v>
      </c>
      <c r="D32336" s="5">
        <v>0.1</v>
      </c>
      <c r="E32336" s="5">
        <v>101.5</v>
      </c>
      <c r="F32336" s="5">
        <v>202.8</v>
      </c>
      <c r="G32336" s="5">
        <v>101.1</v>
      </c>
      <c r="H32336" s="5">
        <v>100.9</v>
      </c>
      <c r="I32336" s="5">
        <v>0</v>
      </c>
      <c r="J32336" s="5">
        <v>0</v>
      </c>
      <c r="K32336" s="5">
        <v>0</v>
      </c>
    </row>
    <row r="32337" spans="1:11" x14ac:dyDescent="0.25">
      <c r="A32337" s="5">
        <f>32330</f>
      </c>
      <c r="B32337" s="5" t="s">
        <v>32345</v>
      </c>
      <c r="C32337" s="5">
        <v>101.1</v>
      </c>
      <c r="D32337" s="5">
        <v>0.1</v>
      </c>
      <c r="E32337" s="5">
        <v>101.3</v>
      </c>
      <c r="F32337" s="5">
        <v>201.7</v>
      </c>
      <c r="G32337" s="5">
        <v>100.6</v>
      </c>
      <c r="H32337" s="5">
        <v>100.5</v>
      </c>
      <c r="I32337" s="5">
        <v>0</v>
      </c>
      <c r="J32337" s="5">
        <v>0</v>
      </c>
      <c r="K32337" s="5">
        <v>0</v>
      </c>
    </row>
    <row r="32338" spans="1:11" x14ac:dyDescent="0.25">
      <c r="A32338" s="5">
        <f>32331</f>
      </c>
      <c r="B32338" s="5" t="s">
        <v>32346</v>
      </c>
      <c r="C32338" s="5">
        <v>101.1</v>
      </c>
      <c r="D32338" s="5">
        <v>0.1</v>
      </c>
      <c r="E32338" s="5">
        <v>101.3</v>
      </c>
      <c r="F32338" s="5">
        <v>201.7</v>
      </c>
      <c r="G32338" s="5">
        <v>100.6</v>
      </c>
      <c r="H32338" s="5">
        <v>100.5</v>
      </c>
      <c r="I32338" s="5">
        <v>0</v>
      </c>
      <c r="J32338" s="5">
        <v>0</v>
      </c>
      <c r="K32338" s="5">
        <v>0</v>
      </c>
    </row>
    <row r="32339" spans="1:11" x14ac:dyDescent="0.25">
      <c r="A32339" s="5">
        <f>32332</f>
      </c>
      <c r="B32339" s="5" t="s">
        <v>32347</v>
      </c>
      <c r="C32339" s="5">
        <v>101.1</v>
      </c>
      <c r="D32339" s="5">
        <v>0.1</v>
      </c>
      <c r="E32339" s="5">
        <v>101.3</v>
      </c>
      <c r="F32339" s="5">
        <v>201.7</v>
      </c>
      <c r="G32339" s="5">
        <v>100.6</v>
      </c>
      <c r="H32339" s="5">
        <v>100.5</v>
      </c>
      <c r="I32339" s="5">
        <v>0</v>
      </c>
      <c r="J32339" s="5">
        <v>0</v>
      </c>
      <c r="K32339" s="5">
        <v>0</v>
      </c>
    </row>
    <row r="32340" spans="1:11" x14ac:dyDescent="0.25">
      <c r="A32340" s="5">
        <f>32333</f>
      </c>
      <c r="B32340" s="5" t="s">
        <v>32348</v>
      </c>
      <c r="C32340" s="5">
        <v>101</v>
      </c>
      <c r="D32340" s="5">
        <v>0.1</v>
      </c>
      <c r="E32340" s="5">
        <v>101.1</v>
      </c>
      <c r="F32340" s="5">
        <v>202.2</v>
      </c>
      <c r="G32340" s="5">
        <v>100.9</v>
      </c>
      <c r="H32340" s="5">
        <v>100.8</v>
      </c>
      <c r="I32340" s="5">
        <v>0</v>
      </c>
      <c r="J32340" s="5">
        <v>0</v>
      </c>
      <c r="K32340" s="5">
        <v>0</v>
      </c>
    </row>
    <row r="32341" spans="1:11" x14ac:dyDescent="0.25">
      <c r="A32341" s="5">
        <f>32334</f>
      </c>
      <c r="B32341" s="5" t="s">
        <v>32349</v>
      </c>
      <c r="C32341" s="5">
        <v>101</v>
      </c>
      <c r="D32341" s="5">
        <v>0.1</v>
      </c>
      <c r="E32341" s="5">
        <v>101.1</v>
      </c>
      <c r="F32341" s="5">
        <v>202.2</v>
      </c>
      <c r="G32341" s="5">
        <v>100.9</v>
      </c>
      <c r="H32341" s="5">
        <v>100.8</v>
      </c>
      <c r="I32341" s="5">
        <v>0</v>
      </c>
      <c r="J32341" s="5">
        <v>0</v>
      </c>
      <c r="K32341" s="5">
        <v>0</v>
      </c>
    </row>
    <row r="32342" spans="1:11" x14ac:dyDescent="0.25">
      <c r="A32342" s="5">
        <f>32335</f>
      </c>
      <c r="B32342" s="5" t="s">
        <v>32350</v>
      </c>
      <c r="C32342" s="5">
        <v>101</v>
      </c>
      <c r="D32342" s="5">
        <v>0.1</v>
      </c>
      <c r="E32342" s="5">
        <v>101.1</v>
      </c>
      <c r="F32342" s="5">
        <v>201.7</v>
      </c>
      <c r="G32342" s="5">
        <v>100.6</v>
      </c>
      <c r="H32342" s="5">
        <v>100.5</v>
      </c>
      <c r="I32342" s="5">
        <v>0</v>
      </c>
      <c r="J32342" s="5">
        <v>0</v>
      </c>
      <c r="K32342" s="5">
        <v>0</v>
      </c>
    </row>
    <row r="32343" spans="1:11" x14ac:dyDescent="0.25">
      <c r="A32343" s="5">
        <f>32336</f>
      </c>
      <c r="B32343" s="5" t="s">
        <v>32351</v>
      </c>
      <c r="C32343" s="5">
        <v>100.9</v>
      </c>
      <c r="D32343" s="5">
        <v>0.1</v>
      </c>
      <c r="E32343" s="5">
        <v>101.1</v>
      </c>
      <c r="F32343" s="5">
        <v>201.7</v>
      </c>
      <c r="G32343" s="5">
        <v>100.6</v>
      </c>
      <c r="H32343" s="5">
        <v>100.5</v>
      </c>
      <c r="I32343" s="5">
        <v>0</v>
      </c>
      <c r="J32343" s="5">
        <v>0</v>
      </c>
      <c r="K32343" s="5">
        <v>0</v>
      </c>
    </row>
    <row r="32344" spans="1:11" x14ac:dyDescent="0.25">
      <c r="A32344" s="5">
        <f>32337</f>
      </c>
      <c r="B32344" s="5" t="s">
        <v>32352</v>
      </c>
      <c r="C32344" s="5">
        <v>100.9</v>
      </c>
      <c r="D32344" s="5">
        <v>0.1</v>
      </c>
      <c r="E32344" s="5">
        <v>101.1</v>
      </c>
      <c r="F32344" s="5">
        <v>202.2</v>
      </c>
      <c r="G32344" s="5">
        <v>100.9</v>
      </c>
      <c r="H32344" s="5">
        <v>100.7</v>
      </c>
      <c r="I32344" s="5">
        <v>0</v>
      </c>
      <c r="J32344" s="5">
        <v>0</v>
      </c>
      <c r="K32344" s="5">
        <v>0</v>
      </c>
    </row>
    <row r="32345" spans="1:11" x14ac:dyDescent="0.25">
      <c r="A32345" s="5">
        <f>32338</f>
      </c>
      <c r="B32345" s="5" t="s">
        <v>32353</v>
      </c>
      <c r="C32345" s="5">
        <v>100.9</v>
      </c>
      <c r="D32345" s="5">
        <v>0.1</v>
      </c>
      <c r="E32345" s="5">
        <v>101.1</v>
      </c>
      <c r="F32345" s="5">
        <v>202.2</v>
      </c>
      <c r="G32345" s="5">
        <v>100.9</v>
      </c>
      <c r="H32345" s="5">
        <v>100.7</v>
      </c>
      <c r="I32345" s="5">
        <v>0</v>
      </c>
      <c r="J32345" s="5">
        <v>0</v>
      </c>
      <c r="K32345" s="5">
        <v>0</v>
      </c>
    </row>
    <row r="32346" spans="1:11" x14ac:dyDescent="0.25">
      <c r="A32346" s="5">
        <f>32339</f>
      </c>
      <c r="B32346" s="5" t="s">
        <v>32354</v>
      </c>
      <c r="C32346" s="5">
        <v>100.9</v>
      </c>
      <c r="D32346" s="5">
        <v>0.1</v>
      </c>
      <c r="E32346" s="5">
        <v>101.1</v>
      </c>
      <c r="F32346" s="5">
        <v>202.2</v>
      </c>
      <c r="G32346" s="5">
        <v>100.9</v>
      </c>
      <c r="H32346" s="5">
        <v>100.7</v>
      </c>
      <c r="I32346" s="5">
        <v>0</v>
      </c>
      <c r="J32346" s="5">
        <v>0</v>
      </c>
      <c r="K32346" s="5">
        <v>0</v>
      </c>
    </row>
    <row r="32347" spans="1:11" x14ac:dyDescent="0.25">
      <c r="A32347" s="5">
        <f>32340</f>
      </c>
      <c r="B32347" s="5" t="s">
        <v>32355</v>
      </c>
      <c r="C32347" s="5">
        <v>101.6</v>
      </c>
      <c r="D32347" s="5">
        <v>0.1</v>
      </c>
      <c r="E32347" s="5">
        <v>101.8</v>
      </c>
      <c r="F32347" s="5">
        <v>202.2</v>
      </c>
      <c r="G32347" s="5">
        <v>100.9</v>
      </c>
      <c r="H32347" s="5">
        <v>100.7</v>
      </c>
      <c r="I32347" s="5">
        <v>0</v>
      </c>
      <c r="J32347" s="5">
        <v>0</v>
      </c>
      <c r="K32347" s="5">
        <v>0</v>
      </c>
    </row>
    <row r="32348" spans="1:11" x14ac:dyDescent="0.25">
      <c r="A32348" s="5">
        <f>32341</f>
      </c>
      <c r="B32348" s="5" t="s">
        <v>32356</v>
      </c>
      <c r="C32348" s="5">
        <v>101.6</v>
      </c>
      <c r="D32348" s="5">
        <v>0.1</v>
      </c>
      <c r="E32348" s="5">
        <v>101.8</v>
      </c>
      <c r="F32348" s="5">
        <v>202.2</v>
      </c>
      <c r="G32348" s="5">
        <v>100.9</v>
      </c>
      <c r="H32348" s="5">
        <v>100.7</v>
      </c>
      <c r="I32348" s="5">
        <v>0</v>
      </c>
      <c r="J32348" s="5">
        <v>0</v>
      </c>
      <c r="K32348" s="5">
        <v>0</v>
      </c>
    </row>
    <row r="32349" spans="1:11" x14ac:dyDescent="0.25">
      <c r="A32349" s="5">
        <f>32342</f>
      </c>
      <c r="B32349" s="5" t="s">
        <v>32357</v>
      </c>
      <c r="C32349" s="5">
        <v>101.6</v>
      </c>
      <c r="D32349" s="5">
        <v>0.1</v>
      </c>
      <c r="E32349" s="5">
        <v>101.8</v>
      </c>
      <c r="F32349" s="5">
        <v>202.2</v>
      </c>
      <c r="G32349" s="5">
        <v>100.9</v>
      </c>
      <c r="H32349" s="5">
        <v>100.7</v>
      </c>
      <c r="I32349" s="5">
        <v>0</v>
      </c>
      <c r="J32349" s="5">
        <v>0</v>
      </c>
      <c r="K32349" s="5">
        <v>0</v>
      </c>
    </row>
    <row r="32350" spans="1:11" x14ac:dyDescent="0.25">
      <c r="A32350" s="5">
        <f>32343</f>
      </c>
      <c r="B32350" s="5" t="s">
        <v>32358</v>
      </c>
      <c r="C32350" s="5">
        <v>101</v>
      </c>
      <c r="D32350" s="5">
        <v>0.1</v>
      </c>
      <c r="E32350" s="5">
        <v>101.1</v>
      </c>
      <c r="F32350" s="5">
        <v>201.8</v>
      </c>
      <c r="G32350" s="5">
        <v>100.7</v>
      </c>
      <c r="H32350" s="5">
        <v>100.5</v>
      </c>
      <c r="I32350" s="5">
        <v>0</v>
      </c>
      <c r="J32350" s="5">
        <v>0</v>
      </c>
      <c r="K32350" s="5">
        <v>0</v>
      </c>
    </row>
    <row r="32351" spans="1:11" x14ac:dyDescent="0.25">
      <c r="A32351" s="5">
        <f>32344</f>
      </c>
      <c r="B32351" s="5" t="s">
        <v>32359</v>
      </c>
      <c r="C32351" s="5">
        <v>101</v>
      </c>
      <c r="D32351" s="5">
        <v>0.1</v>
      </c>
      <c r="E32351" s="5">
        <v>101.1</v>
      </c>
      <c r="F32351" s="5">
        <v>201.8</v>
      </c>
      <c r="G32351" s="5">
        <v>100.7</v>
      </c>
      <c r="H32351" s="5">
        <v>100.5</v>
      </c>
      <c r="I32351" s="5">
        <v>0</v>
      </c>
      <c r="J32351" s="5">
        <v>0</v>
      </c>
      <c r="K32351" s="5">
        <v>0</v>
      </c>
    </row>
    <row r="32352" spans="1:11" x14ac:dyDescent="0.25">
      <c r="A32352" s="5">
        <f>32345</f>
      </c>
      <c r="B32352" s="5" t="s">
        <v>32360</v>
      </c>
      <c r="C32352" s="5">
        <v>101.1</v>
      </c>
      <c r="D32352" s="5">
        <v>0.1</v>
      </c>
      <c r="E32352" s="5">
        <v>101.3</v>
      </c>
      <c r="F32352" s="5">
        <v>202.1</v>
      </c>
      <c r="G32352" s="5">
        <v>100.8</v>
      </c>
      <c r="H32352" s="5">
        <v>100.7</v>
      </c>
      <c r="I32352" s="5">
        <v>0</v>
      </c>
      <c r="J32352" s="5">
        <v>0</v>
      </c>
      <c r="K32352" s="5">
        <v>0</v>
      </c>
    </row>
    <row r="32353" spans="1:11" x14ac:dyDescent="0.25">
      <c r="A32353" s="5">
        <f>32346</f>
      </c>
      <c r="B32353" s="5" t="s">
        <v>32361</v>
      </c>
      <c r="C32353" s="5">
        <v>101.1</v>
      </c>
      <c r="D32353" s="5">
        <v>0.1</v>
      </c>
      <c r="E32353" s="5">
        <v>101.3</v>
      </c>
      <c r="F32353" s="5">
        <v>202.1</v>
      </c>
      <c r="G32353" s="5">
        <v>100.8</v>
      </c>
      <c r="H32353" s="5">
        <v>100.7</v>
      </c>
      <c r="I32353" s="5">
        <v>0</v>
      </c>
      <c r="J32353" s="5">
        <v>0</v>
      </c>
      <c r="K32353" s="5">
        <v>0</v>
      </c>
    </row>
    <row r="32354" spans="1:11" x14ac:dyDescent="0.25">
      <c r="A32354" s="5">
        <f>32347</f>
      </c>
      <c r="B32354" s="5" t="s">
        <v>32362</v>
      </c>
      <c r="C32354" s="5">
        <v>101.3</v>
      </c>
      <c r="D32354" s="5">
        <v>0.1</v>
      </c>
      <c r="E32354" s="5">
        <v>101.5</v>
      </c>
      <c r="F32354" s="5">
        <v>202.6</v>
      </c>
      <c r="G32354" s="5">
        <v>101.1</v>
      </c>
      <c r="H32354" s="5">
        <v>100.9</v>
      </c>
      <c r="I32354" s="5">
        <v>0</v>
      </c>
      <c r="J32354" s="5">
        <v>0</v>
      </c>
      <c r="K32354" s="5">
        <v>0</v>
      </c>
    </row>
    <row r="32355" spans="1:11" x14ac:dyDescent="0.25">
      <c r="A32355" s="5">
        <f>32348</f>
      </c>
      <c r="B32355" s="5" t="s">
        <v>32363</v>
      </c>
      <c r="C32355" s="5">
        <v>101.3</v>
      </c>
      <c r="D32355" s="5">
        <v>0.1</v>
      </c>
      <c r="E32355" s="5">
        <v>101.5</v>
      </c>
      <c r="F32355" s="5">
        <v>202.6</v>
      </c>
      <c r="G32355" s="5">
        <v>101.1</v>
      </c>
      <c r="H32355" s="5">
        <v>100.9</v>
      </c>
      <c r="I32355" s="5">
        <v>0</v>
      </c>
      <c r="J32355" s="5">
        <v>0</v>
      </c>
      <c r="K32355" s="5">
        <v>0</v>
      </c>
    </row>
    <row r="32356" spans="1:11" x14ac:dyDescent="0.25">
      <c r="A32356" s="5">
        <f>32349</f>
      </c>
      <c r="B32356" s="5" t="s">
        <v>32364</v>
      </c>
      <c r="C32356" s="5">
        <v>101.5</v>
      </c>
      <c r="D32356" s="5">
        <v>0.1</v>
      </c>
      <c r="E32356" s="5">
        <v>101.6</v>
      </c>
      <c r="F32356" s="5">
        <v>202.7</v>
      </c>
      <c r="G32356" s="5">
        <v>101.1</v>
      </c>
      <c r="H32356" s="5">
        <v>101</v>
      </c>
      <c r="I32356" s="5">
        <v>0</v>
      </c>
      <c r="J32356" s="5">
        <v>0</v>
      </c>
      <c r="K32356" s="5">
        <v>0</v>
      </c>
    </row>
    <row r="32357" spans="1:11" x14ac:dyDescent="0.25">
      <c r="A32357" s="5">
        <f>32350</f>
      </c>
      <c r="B32357" s="5" t="s">
        <v>32365</v>
      </c>
      <c r="C32357" s="5">
        <v>101.5</v>
      </c>
      <c r="D32357" s="5">
        <v>0.1</v>
      </c>
      <c r="E32357" s="5">
        <v>101.6</v>
      </c>
      <c r="F32357" s="5">
        <v>202.7</v>
      </c>
      <c r="G32357" s="5">
        <v>101.1</v>
      </c>
      <c r="H32357" s="5">
        <v>101</v>
      </c>
      <c r="I32357" s="5">
        <v>0</v>
      </c>
      <c r="J32357" s="5">
        <v>0</v>
      </c>
      <c r="K32357" s="5">
        <v>0</v>
      </c>
    </row>
    <row r="32358" spans="1:11" x14ac:dyDescent="0.25">
      <c r="A32358" s="5">
        <f>32351</f>
      </c>
      <c r="B32358" s="5" t="s">
        <v>32366</v>
      </c>
      <c r="C32358" s="5">
        <v>101.5</v>
      </c>
      <c r="D32358" s="5">
        <v>0.1</v>
      </c>
      <c r="E32358" s="5">
        <v>101.6</v>
      </c>
      <c r="F32358" s="5">
        <v>202.7</v>
      </c>
      <c r="G32358" s="5">
        <v>101.1</v>
      </c>
      <c r="H32358" s="5">
        <v>101</v>
      </c>
      <c r="I32358" s="5">
        <v>0</v>
      </c>
      <c r="J32358" s="5">
        <v>0</v>
      </c>
      <c r="K32358" s="5">
        <v>0</v>
      </c>
    </row>
    <row r="32359" spans="1:11" x14ac:dyDescent="0.25">
      <c r="A32359" s="5">
        <f>32352</f>
      </c>
      <c r="B32359" s="5" t="s">
        <v>32367</v>
      </c>
      <c r="C32359" s="5">
        <v>101.5</v>
      </c>
      <c r="D32359" s="5">
        <v>0.1</v>
      </c>
      <c r="E32359" s="5">
        <v>101.6</v>
      </c>
      <c r="F32359" s="5">
        <v>202.7</v>
      </c>
      <c r="G32359" s="5">
        <v>101.1</v>
      </c>
      <c r="H32359" s="5">
        <v>101</v>
      </c>
      <c r="I32359" s="5">
        <v>0</v>
      </c>
      <c r="J32359" s="5">
        <v>0</v>
      </c>
      <c r="K32359" s="5">
        <v>0</v>
      </c>
    </row>
    <row r="32360" spans="1:11" x14ac:dyDescent="0.25">
      <c r="A32360" s="5">
        <f>32353</f>
      </c>
      <c r="B32360" s="5" t="s">
        <v>32368</v>
      </c>
      <c r="C32360" s="5">
        <v>100.5</v>
      </c>
      <c r="D32360" s="5">
        <v>0.1</v>
      </c>
      <c r="E32360" s="5">
        <v>100.7</v>
      </c>
      <c r="F32360" s="5">
        <v>201.7</v>
      </c>
      <c r="G32360" s="5">
        <v>100.6</v>
      </c>
      <c r="H32360" s="5">
        <v>100.3</v>
      </c>
      <c r="I32360" s="5">
        <v>0</v>
      </c>
      <c r="J32360" s="5">
        <v>0</v>
      </c>
      <c r="K32360" s="5">
        <v>0</v>
      </c>
    </row>
    <row r="32361" spans="1:11" x14ac:dyDescent="0.25">
      <c r="A32361" s="5">
        <f>32354</f>
      </c>
      <c r="B32361" s="5" t="s">
        <v>32369</v>
      </c>
      <c r="C32361" s="5">
        <v>100.5</v>
      </c>
      <c r="D32361" s="5">
        <v>0.1</v>
      </c>
      <c r="E32361" s="5">
        <v>100.7</v>
      </c>
      <c r="F32361" s="5">
        <v>201.7</v>
      </c>
      <c r="G32361" s="5">
        <v>100.6</v>
      </c>
      <c r="H32361" s="5">
        <v>100.3</v>
      </c>
      <c r="I32361" s="5">
        <v>0</v>
      </c>
      <c r="J32361" s="5">
        <v>0</v>
      </c>
      <c r="K32361" s="5">
        <v>0</v>
      </c>
    </row>
    <row r="32362" spans="1:11" x14ac:dyDescent="0.25">
      <c r="A32362" s="5">
        <f>32355</f>
      </c>
      <c r="B32362" s="5" t="s">
        <v>32370</v>
      </c>
      <c r="C32362" s="5">
        <v>101.1</v>
      </c>
      <c r="D32362" s="5">
        <v>0.1</v>
      </c>
      <c r="E32362" s="5">
        <v>101.3</v>
      </c>
      <c r="F32362" s="5">
        <v>201.8</v>
      </c>
      <c r="G32362" s="5">
        <v>100.7</v>
      </c>
      <c r="H32362" s="5">
        <v>100.6</v>
      </c>
      <c r="I32362" s="5">
        <v>0</v>
      </c>
      <c r="J32362" s="5">
        <v>0</v>
      </c>
      <c r="K32362" s="5">
        <v>0</v>
      </c>
    </row>
    <row r="32363" spans="1:11" x14ac:dyDescent="0.25">
      <c r="A32363" s="5">
        <f>32356</f>
      </c>
      <c r="B32363" s="5" t="s">
        <v>32371</v>
      </c>
      <c r="C32363" s="5">
        <v>101.1</v>
      </c>
      <c r="D32363" s="5">
        <v>0.1</v>
      </c>
      <c r="E32363" s="5">
        <v>101.3</v>
      </c>
      <c r="F32363" s="5">
        <v>201.8</v>
      </c>
      <c r="G32363" s="5">
        <v>100.7</v>
      </c>
      <c r="H32363" s="5">
        <v>100.6</v>
      </c>
      <c r="I32363" s="5">
        <v>0</v>
      </c>
      <c r="J32363" s="5">
        <v>0</v>
      </c>
      <c r="K32363" s="5">
        <v>0</v>
      </c>
    </row>
    <row r="32364" spans="1:11" x14ac:dyDescent="0.25">
      <c r="A32364" s="5">
        <f>32357</f>
      </c>
      <c r="B32364" s="5" t="s">
        <v>32372</v>
      </c>
      <c r="C32364" s="5">
        <v>101.3</v>
      </c>
      <c r="D32364" s="5">
        <v>0.1</v>
      </c>
      <c r="E32364" s="5">
        <v>101.5</v>
      </c>
      <c r="F32364" s="5">
        <v>202.5</v>
      </c>
      <c r="G32364" s="5">
        <v>101</v>
      </c>
      <c r="H32364" s="5">
        <v>100.8</v>
      </c>
      <c r="I32364" s="5">
        <v>0</v>
      </c>
      <c r="J32364" s="5">
        <v>0</v>
      </c>
      <c r="K32364" s="5">
        <v>0</v>
      </c>
    </row>
    <row r="32365" spans="1:11" x14ac:dyDescent="0.25">
      <c r="A32365" s="5">
        <f>32358</f>
      </c>
      <c r="B32365" s="5" t="s">
        <v>32373</v>
      </c>
      <c r="C32365" s="5">
        <v>101.3</v>
      </c>
      <c r="D32365" s="5">
        <v>0.1</v>
      </c>
      <c r="E32365" s="5">
        <v>101.5</v>
      </c>
      <c r="F32365" s="5">
        <v>202.5</v>
      </c>
      <c r="G32365" s="5">
        <v>101</v>
      </c>
      <c r="H32365" s="5">
        <v>100.8</v>
      </c>
      <c r="I32365" s="5">
        <v>0</v>
      </c>
      <c r="J32365" s="5">
        <v>0</v>
      </c>
      <c r="K32365" s="5">
        <v>0</v>
      </c>
    </row>
    <row r="32366" spans="1:11" x14ac:dyDescent="0.25">
      <c r="A32366" s="5">
        <f>32359</f>
      </c>
      <c r="B32366" s="5" t="s">
        <v>32374</v>
      </c>
      <c r="C32366" s="5">
        <v>100.8</v>
      </c>
      <c r="D32366" s="5">
        <v>0.1</v>
      </c>
      <c r="E32366" s="5">
        <v>100.9</v>
      </c>
      <c r="F32366" s="5">
        <v>201.5</v>
      </c>
      <c r="G32366" s="5">
        <v>100.5</v>
      </c>
      <c r="H32366" s="5">
        <v>100.3</v>
      </c>
      <c r="I32366" s="5">
        <v>0</v>
      </c>
      <c r="J32366" s="5">
        <v>0</v>
      </c>
      <c r="K32366" s="5">
        <v>0</v>
      </c>
    </row>
    <row r="32367" spans="1:11" x14ac:dyDescent="0.25">
      <c r="A32367" s="5">
        <f>32360</f>
      </c>
      <c r="B32367" s="5" t="s">
        <v>32375</v>
      </c>
      <c r="C32367" s="5">
        <v>100.8</v>
      </c>
      <c r="D32367" s="5">
        <v>0.1</v>
      </c>
      <c r="E32367" s="5">
        <v>100.9</v>
      </c>
      <c r="F32367" s="5">
        <v>201.5</v>
      </c>
      <c r="G32367" s="5">
        <v>100.5</v>
      </c>
      <c r="H32367" s="5">
        <v>100.3</v>
      </c>
      <c r="I32367" s="5">
        <v>0</v>
      </c>
      <c r="J32367" s="5">
        <v>0</v>
      </c>
      <c r="K32367" s="5">
        <v>0</v>
      </c>
    </row>
    <row r="32368" spans="1:11" x14ac:dyDescent="0.25">
      <c r="A32368" s="5">
        <f>32361</f>
      </c>
      <c r="B32368" s="5" t="s">
        <v>32376</v>
      </c>
      <c r="C32368" s="5">
        <v>100.8</v>
      </c>
      <c r="D32368" s="5">
        <v>0.1</v>
      </c>
      <c r="E32368" s="5">
        <v>100.9</v>
      </c>
      <c r="F32368" s="5">
        <v>201.5</v>
      </c>
      <c r="G32368" s="5">
        <v>100.5</v>
      </c>
      <c r="H32368" s="5">
        <v>100.3</v>
      </c>
      <c r="I32368" s="5">
        <v>0</v>
      </c>
      <c r="J32368" s="5">
        <v>0</v>
      </c>
      <c r="K32368" s="5">
        <v>0</v>
      </c>
    </row>
    <row r="32369" spans="1:11" x14ac:dyDescent="0.25">
      <c r="A32369" s="5">
        <f>32362</f>
      </c>
      <c r="B32369" s="5" t="s">
        <v>32377</v>
      </c>
      <c r="C32369" s="5">
        <v>100.8</v>
      </c>
      <c r="D32369" s="5">
        <v>0.1</v>
      </c>
      <c r="E32369" s="5">
        <v>100.9</v>
      </c>
      <c r="F32369" s="5">
        <v>201.5</v>
      </c>
      <c r="G32369" s="5">
        <v>100.5</v>
      </c>
      <c r="H32369" s="5">
        <v>100.3</v>
      </c>
      <c r="I32369" s="5">
        <v>0</v>
      </c>
      <c r="J32369" s="5">
        <v>0</v>
      </c>
      <c r="K32369" s="5">
        <v>0</v>
      </c>
    </row>
    <row r="32370" spans="1:11" x14ac:dyDescent="0.25">
      <c r="A32370" s="5">
        <f>32363</f>
      </c>
      <c r="B32370" s="5" t="s">
        <v>32378</v>
      </c>
      <c r="C32370" s="5">
        <v>101.5</v>
      </c>
      <c r="D32370" s="5">
        <v>0.1</v>
      </c>
      <c r="E32370" s="5">
        <v>101.6</v>
      </c>
      <c r="F32370" s="5">
        <v>202.8</v>
      </c>
      <c r="G32370" s="5">
        <v>101.2</v>
      </c>
      <c r="H32370" s="5">
        <v>101</v>
      </c>
      <c r="I32370" s="5">
        <v>0</v>
      </c>
      <c r="J32370" s="5">
        <v>0</v>
      </c>
      <c r="K32370" s="5">
        <v>0</v>
      </c>
    </row>
    <row r="32371" spans="1:11" x14ac:dyDescent="0.25">
      <c r="A32371" s="5">
        <f>32364</f>
      </c>
      <c r="B32371" s="5" t="s">
        <v>32379</v>
      </c>
      <c r="C32371" s="5">
        <v>101.5</v>
      </c>
      <c r="D32371" s="5">
        <v>0.1</v>
      </c>
      <c r="E32371" s="5">
        <v>101.6</v>
      </c>
      <c r="F32371" s="5">
        <v>202.8</v>
      </c>
      <c r="G32371" s="5">
        <v>101.2</v>
      </c>
      <c r="H32371" s="5">
        <v>101</v>
      </c>
      <c r="I32371" s="5">
        <v>0</v>
      </c>
      <c r="J32371" s="5">
        <v>0</v>
      </c>
      <c r="K32371" s="5">
        <v>0</v>
      </c>
    </row>
    <row r="32372" spans="1:11" x14ac:dyDescent="0.25">
      <c r="A32372" s="5">
        <f>32365</f>
      </c>
      <c r="B32372" s="5" t="s">
        <v>32380</v>
      </c>
      <c r="C32372" s="5">
        <v>100.9</v>
      </c>
      <c r="D32372" s="5">
        <v>0.1</v>
      </c>
      <c r="E32372" s="5">
        <v>101.1</v>
      </c>
      <c r="F32372" s="5">
        <v>201.7</v>
      </c>
      <c r="G32372" s="5">
        <v>100.6</v>
      </c>
      <c r="H32372" s="5">
        <v>100.5</v>
      </c>
      <c r="I32372" s="5">
        <v>0</v>
      </c>
      <c r="J32372" s="5">
        <v>0</v>
      </c>
      <c r="K32372" s="5">
        <v>0</v>
      </c>
    </row>
    <row r="32373" spans="1:11" x14ac:dyDescent="0.25">
      <c r="A32373" s="5">
        <f>32366</f>
      </c>
      <c r="B32373" s="5" t="s">
        <v>32381</v>
      </c>
      <c r="C32373" s="5">
        <v>100.9</v>
      </c>
      <c r="D32373" s="5">
        <v>0.1</v>
      </c>
      <c r="E32373" s="5">
        <v>101.1</v>
      </c>
      <c r="F32373" s="5">
        <v>201.7</v>
      </c>
      <c r="G32373" s="5">
        <v>100.6</v>
      </c>
      <c r="H32373" s="5">
        <v>100.5</v>
      </c>
      <c r="I32373" s="5">
        <v>0</v>
      </c>
      <c r="J32373" s="5">
        <v>0</v>
      </c>
      <c r="K32373" s="5">
        <v>0</v>
      </c>
    </row>
    <row r="32374" spans="1:11" x14ac:dyDescent="0.25">
      <c r="A32374" s="5">
        <f>32367</f>
      </c>
      <c r="B32374" s="5" t="s">
        <v>32382</v>
      </c>
      <c r="C32374" s="5">
        <v>101.1</v>
      </c>
      <c r="D32374" s="5">
        <v>0.1</v>
      </c>
      <c r="E32374" s="5">
        <v>101.2</v>
      </c>
      <c r="F32374" s="5">
        <v>202</v>
      </c>
      <c r="G32374" s="5">
        <v>100.8</v>
      </c>
      <c r="H32374" s="5">
        <v>100.6</v>
      </c>
      <c r="I32374" s="5">
        <v>0</v>
      </c>
      <c r="J32374" s="5">
        <v>0</v>
      </c>
      <c r="K32374" s="5">
        <v>0</v>
      </c>
    </row>
    <row r="32375" spans="1:11" x14ac:dyDescent="0.25">
      <c r="A32375" s="5">
        <f>32368</f>
      </c>
      <c r="B32375" s="5" t="s">
        <v>32383</v>
      </c>
      <c r="C32375" s="5">
        <v>101.1</v>
      </c>
      <c r="D32375" s="5">
        <v>0.1</v>
      </c>
      <c r="E32375" s="5">
        <v>101.2</v>
      </c>
      <c r="F32375" s="5">
        <v>202</v>
      </c>
      <c r="G32375" s="5">
        <v>100.8</v>
      </c>
      <c r="H32375" s="5">
        <v>100.6</v>
      </c>
      <c r="I32375" s="5">
        <v>0</v>
      </c>
      <c r="J32375" s="5">
        <v>0</v>
      </c>
      <c r="K32375" s="5">
        <v>0</v>
      </c>
    </row>
    <row r="32376" spans="1:11" x14ac:dyDescent="0.25">
      <c r="A32376" s="5">
        <f>32369</f>
      </c>
      <c r="B32376" s="5" t="s">
        <v>32384</v>
      </c>
      <c r="C32376" s="5">
        <v>100.7</v>
      </c>
      <c r="D32376" s="5">
        <v>0.1</v>
      </c>
      <c r="E32376" s="5">
        <v>100.8</v>
      </c>
      <c r="F32376" s="5">
        <v>201.3</v>
      </c>
      <c r="G32376" s="5">
        <v>100.4</v>
      </c>
      <c r="H32376" s="5">
        <v>100.2</v>
      </c>
      <c r="I32376" s="5">
        <v>0</v>
      </c>
      <c r="J32376" s="5">
        <v>0</v>
      </c>
      <c r="K32376" s="5">
        <v>0</v>
      </c>
    </row>
    <row r="32377" spans="1:11" x14ac:dyDescent="0.25">
      <c r="A32377" s="5">
        <f>32370</f>
      </c>
      <c r="B32377" s="5" t="s">
        <v>32385</v>
      </c>
      <c r="C32377" s="5">
        <v>100.7</v>
      </c>
      <c r="D32377" s="5">
        <v>0.1</v>
      </c>
      <c r="E32377" s="5">
        <v>100.8</v>
      </c>
      <c r="F32377" s="5">
        <v>201.3</v>
      </c>
      <c r="G32377" s="5">
        <v>100.4</v>
      </c>
      <c r="H32377" s="5">
        <v>100.2</v>
      </c>
      <c r="I32377" s="5">
        <v>0</v>
      </c>
      <c r="J32377" s="5">
        <v>0</v>
      </c>
      <c r="K32377" s="5">
        <v>0</v>
      </c>
    </row>
    <row r="32378" spans="1:11" x14ac:dyDescent="0.25">
      <c r="A32378" s="5">
        <f>32371</f>
      </c>
      <c r="B32378" s="5" t="s">
        <v>32386</v>
      </c>
      <c r="C32378" s="5">
        <v>100.7</v>
      </c>
      <c r="D32378" s="5">
        <v>0.1</v>
      </c>
      <c r="E32378" s="5">
        <v>100.8</v>
      </c>
      <c r="F32378" s="5">
        <v>201.3</v>
      </c>
      <c r="G32378" s="5">
        <v>100.4</v>
      </c>
      <c r="H32378" s="5">
        <v>100.2</v>
      </c>
      <c r="I32378" s="5">
        <v>0</v>
      </c>
      <c r="J32378" s="5">
        <v>0</v>
      </c>
      <c r="K32378" s="5">
        <v>0</v>
      </c>
    </row>
    <row r="32379" spans="1:11" x14ac:dyDescent="0.25">
      <c r="A32379" s="5">
        <f>32372</f>
      </c>
      <c r="B32379" s="5" t="s">
        <v>32387</v>
      </c>
      <c r="C32379" s="5">
        <v>100.7</v>
      </c>
      <c r="D32379" s="5">
        <v>0.1</v>
      </c>
      <c r="E32379" s="5">
        <v>100.8</v>
      </c>
      <c r="F32379" s="5">
        <v>201.3</v>
      </c>
      <c r="G32379" s="5">
        <v>100.4</v>
      </c>
      <c r="H32379" s="5">
        <v>100.2</v>
      </c>
      <c r="I32379" s="5">
        <v>0</v>
      </c>
      <c r="J32379" s="5">
        <v>0</v>
      </c>
      <c r="K32379" s="5">
        <v>0</v>
      </c>
    </row>
    <row r="32380" spans="1:11" x14ac:dyDescent="0.25">
      <c r="A32380" s="5">
        <f>32373</f>
      </c>
      <c r="B32380" s="5" t="s">
        <v>32388</v>
      </c>
      <c r="C32380" s="5">
        <v>102.9</v>
      </c>
      <c r="D32380" s="5">
        <v>0.1</v>
      </c>
      <c r="E32380" s="5">
        <v>103.1</v>
      </c>
      <c r="F32380" s="5">
        <v>205.3</v>
      </c>
      <c r="G32380" s="5">
        <v>102.4</v>
      </c>
      <c r="H32380" s="5">
        <v>102.2</v>
      </c>
      <c r="I32380" s="5">
        <v>0</v>
      </c>
      <c r="J32380" s="5">
        <v>0</v>
      </c>
      <c r="K32380" s="5">
        <v>0</v>
      </c>
    </row>
    <row r="32381" spans="1:11" x14ac:dyDescent="0.25">
      <c r="A32381" s="5">
        <f>32374</f>
      </c>
      <c r="B32381" s="5" t="s">
        <v>32389</v>
      </c>
      <c r="C32381" s="5">
        <v>102.9</v>
      </c>
      <c r="D32381" s="5">
        <v>0.1</v>
      </c>
      <c r="E32381" s="5">
        <v>103.1</v>
      </c>
      <c r="F32381" s="5">
        <v>205.3</v>
      </c>
      <c r="G32381" s="5">
        <v>102.4</v>
      </c>
      <c r="H32381" s="5">
        <v>102.2</v>
      </c>
      <c r="I32381" s="5">
        <v>0</v>
      </c>
      <c r="J32381" s="5">
        <v>0</v>
      </c>
      <c r="K32381" s="5">
        <v>0</v>
      </c>
    </row>
    <row r="32382" spans="1:11" x14ac:dyDescent="0.25">
      <c r="A32382" s="5">
        <f>32375</f>
      </c>
      <c r="B32382" s="5" t="s">
        <v>32390</v>
      </c>
      <c r="C32382" s="5">
        <v>102.7</v>
      </c>
      <c r="D32382" s="5">
        <v>0.1</v>
      </c>
      <c r="E32382" s="5">
        <v>102.8</v>
      </c>
      <c r="F32382" s="5">
        <v>205.4</v>
      </c>
      <c r="G32382" s="5">
        <v>102.4</v>
      </c>
      <c r="H32382" s="5">
        <v>102.3</v>
      </c>
      <c r="I32382" s="5">
        <v>0</v>
      </c>
      <c r="J32382" s="5">
        <v>0</v>
      </c>
      <c r="K32382" s="5">
        <v>0</v>
      </c>
    </row>
    <row r="32383" spans="1:11" x14ac:dyDescent="0.25">
      <c r="A32383" s="5">
        <f>32376</f>
      </c>
      <c r="B32383" s="5" t="s">
        <v>32391</v>
      </c>
      <c r="C32383" s="5">
        <v>102.7</v>
      </c>
      <c r="D32383" s="5">
        <v>0.1</v>
      </c>
      <c r="E32383" s="5">
        <v>102.8</v>
      </c>
      <c r="F32383" s="5">
        <v>205.4</v>
      </c>
      <c r="G32383" s="5">
        <v>102.4</v>
      </c>
      <c r="H32383" s="5">
        <v>102.3</v>
      </c>
      <c r="I32383" s="5">
        <v>0</v>
      </c>
      <c r="J32383" s="5">
        <v>0</v>
      </c>
      <c r="K32383" s="5">
        <v>0</v>
      </c>
    </row>
    <row r="32384" spans="1:11" x14ac:dyDescent="0.25">
      <c r="A32384" s="5">
        <f>32377</f>
      </c>
      <c r="B32384" s="5" t="s">
        <v>32392</v>
      </c>
      <c r="C32384" s="5">
        <v>102.5</v>
      </c>
      <c r="D32384" s="5">
        <v>0.1</v>
      </c>
      <c r="E32384" s="5">
        <v>102.7</v>
      </c>
      <c r="F32384" s="5">
        <v>205</v>
      </c>
      <c r="G32384" s="5">
        <v>102.3</v>
      </c>
      <c r="H32384" s="5">
        <v>102.1</v>
      </c>
      <c r="I32384" s="5">
        <v>0</v>
      </c>
      <c r="J32384" s="5">
        <v>0</v>
      </c>
      <c r="K32384" s="5">
        <v>0</v>
      </c>
    </row>
    <row r="32385" spans="1:11" x14ac:dyDescent="0.25">
      <c r="A32385" s="5">
        <f>32378</f>
      </c>
      <c r="B32385" s="5" t="s">
        <v>32393</v>
      </c>
      <c r="C32385" s="5">
        <v>102.5</v>
      </c>
      <c r="D32385" s="5">
        <v>0.1</v>
      </c>
      <c r="E32385" s="5">
        <v>102.7</v>
      </c>
      <c r="F32385" s="5">
        <v>205</v>
      </c>
      <c r="G32385" s="5">
        <v>102.3</v>
      </c>
      <c r="H32385" s="5">
        <v>102.1</v>
      </c>
      <c r="I32385" s="5">
        <v>0</v>
      </c>
      <c r="J32385" s="5">
        <v>0</v>
      </c>
      <c r="K32385" s="5">
        <v>0</v>
      </c>
    </row>
    <row r="32386" spans="1:11" x14ac:dyDescent="0.25">
      <c r="A32386" s="5">
        <f>32379</f>
      </c>
      <c r="B32386" s="5" t="s">
        <v>32394</v>
      </c>
      <c r="C32386" s="5">
        <v>102.9</v>
      </c>
      <c r="D32386" s="5">
        <v>0.1</v>
      </c>
      <c r="E32386" s="5">
        <v>103.1</v>
      </c>
      <c r="F32386" s="5">
        <v>205.1</v>
      </c>
      <c r="G32386" s="5">
        <v>102.3</v>
      </c>
      <c r="H32386" s="5">
        <v>102.2</v>
      </c>
      <c r="I32386" s="5">
        <v>0</v>
      </c>
      <c r="J32386" s="5">
        <v>0</v>
      </c>
      <c r="K32386" s="5">
        <v>0</v>
      </c>
    </row>
    <row r="32387" spans="1:11" x14ac:dyDescent="0.25">
      <c r="A32387" s="5">
        <f>32380</f>
      </c>
      <c r="B32387" s="5" t="s">
        <v>32395</v>
      </c>
      <c r="C32387" s="5">
        <v>102.9</v>
      </c>
      <c r="D32387" s="5">
        <v>0.1</v>
      </c>
      <c r="E32387" s="5">
        <v>103.1</v>
      </c>
      <c r="F32387" s="5">
        <v>205.1</v>
      </c>
      <c r="G32387" s="5">
        <v>102.3</v>
      </c>
      <c r="H32387" s="5">
        <v>102.2</v>
      </c>
      <c r="I32387" s="5">
        <v>0</v>
      </c>
      <c r="J32387" s="5">
        <v>0</v>
      </c>
      <c r="K32387" s="5">
        <v>0</v>
      </c>
    </row>
    <row r="32388" spans="1:11" x14ac:dyDescent="0.25">
      <c r="A32388" s="5">
        <f>32381</f>
      </c>
      <c r="B32388" s="5" t="s">
        <v>32396</v>
      </c>
      <c r="C32388" s="5">
        <v>102.9</v>
      </c>
      <c r="D32388" s="5">
        <v>0.1</v>
      </c>
      <c r="E32388" s="5">
        <v>103.1</v>
      </c>
      <c r="F32388" s="5">
        <v>205.1</v>
      </c>
      <c r="G32388" s="5">
        <v>102.3</v>
      </c>
      <c r="H32388" s="5">
        <v>102.2</v>
      </c>
      <c r="I32388" s="5">
        <v>0</v>
      </c>
      <c r="J32388" s="5">
        <v>0</v>
      </c>
      <c r="K32388" s="5">
        <v>0</v>
      </c>
    </row>
    <row r="32389" spans="1:11" x14ac:dyDescent="0.25">
      <c r="A32389" s="5">
        <f>32382</f>
      </c>
      <c r="B32389" s="5" t="s">
        <v>32397</v>
      </c>
      <c r="C32389" s="5">
        <v>102.9</v>
      </c>
      <c r="D32389" s="5">
        <v>0.1</v>
      </c>
      <c r="E32389" s="5">
        <v>103.1</v>
      </c>
      <c r="F32389" s="5">
        <v>205.1</v>
      </c>
      <c r="G32389" s="5">
        <v>102.3</v>
      </c>
      <c r="H32389" s="5">
        <v>102.2</v>
      </c>
      <c r="I32389" s="5">
        <v>0</v>
      </c>
      <c r="J32389" s="5">
        <v>0</v>
      </c>
      <c r="K32389" s="5">
        <v>0</v>
      </c>
    </row>
    <row r="32390" spans="1:11" x14ac:dyDescent="0.25">
      <c r="A32390" s="5">
        <f>32383</f>
      </c>
      <c r="B32390" s="5" t="s">
        <v>32398</v>
      </c>
      <c r="C32390" s="5">
        <v>103.5</v>
      </c>
      <c r="D32390" s="5">
        <v>0.1</v>
      </c>
      <c r="E32390" s="5">
        <v>103.7</v>
      </c>
      <c r="F32390" s="5">
        <v>206.5</v>
      </c>
      <c r="G32390" s="5">
        <v>103</v>
      </c>
      <c r="H32390" s="5">
        <v>102.9</v>
      </c>
      <c r="I32390" s="5">
        <v>0</v>
      </c>
      <c r="J32390" s="5">
        <v>0</v>
      </c>
      <c r="K32390" s="5">
        <v>0</v>
      </c>
    </row>
    <row r="32391" spans="1:11" x14ac:dyDescent="0.25">
      <c r="A32391" s="5">
        <f>32384</f>
      </c>
      <c r="B32391" s="5" t="s">
        <v>32399</v>
      </c>
      <c r="C32391" s="5">
        <v>103.5</v>
      </c>
      <c r="D32391" s="5">
        <v>0.1</v>
      </c>
      <c r="E32391" s="5">
        <v>103.7</v>
      </c>
      <c r="F32391" s="5">
        <v>206.5</v>
      </c>
      <c r="G32391" s="5">
        <v>103</v>
      </c>
      <c r="H32391" s="5">
        <v>102.9</v>
      </c>
      <c r="I32391" s="5">
        <v>0</v>
      </c>
      <c r="J32391" s="5">
        <v>0</v>
      </c>
      <c r="K32391" s="5">
        <v>0</v>
      </c>
    </row>
    <row r="32392" spans="1:11" x14ac:dyDescent="0.25">
      <c r="A32392" s="5">
        <f>32385</f>
      </c>
      <c r="B32392" s="5" t="s">
        <v>32400</v>
      </c>
      <c r="C32392" s="5">
        <v>104.5</v>
      </c>
      <c r="D32392" s="5">
        <v>0.1</v>
      </c>
      <c r="E32392" s="5">
        <v>104.6</v>
      </c>
      <c r="F32392" s="5">
        <v>208.8</v>
      </c>
      <c r="G32392" s="5">
        <v>104.1</v>
      </c>
      <c r="H32392" s="5">
        <v>104</v>
      </c>
      <c r="I32392" s="5">
        <v>0</v>
      </c>
      <c r="J32392" s="5">
        <v>0</v>
      </c>
      <c r="K32392" s="5">
        <v>0</v>
      </c>
    </row>
    <row r="32393" spans="1:11" x14ac:dyDescent="0.25">
      <c r="A32393" s="5">
        <f>32386</f>
      </c>
      <c r="B32393" s="5" t="s">
        <v>32401</v>
      </c>
      <c r="C32393" s="5">
        <v>104.5</v>
      </c>
      <c r="D32393" s="5">
        <v>0.1</v>
      </c>
      <c r="E32393" s="5">
        <v>104.6</v>
      </c>
      <c r="F32393" s="5">
        <v>208.8</v>
      </c>
      <c r="G32393" s="5">
        <v>104.1</v>
      </c>
      <c r="H32393" s="5">
        <v>104</v>
      </c>
      <c r="I32393" s="5">
        <v>0</v>
      </c>
      <c r="J32393" s="5">
        <v>0</v>
      </c>
      <c r="K32393" s="5">
        <v>0</v>
      </c>
    </row>
    <row r="32394" spans="1:11" x14ac:dyDescent="0.25">
      <c r="A32394" s="5">
        <f>32387</f>
      </c>
      <c r="B32394" s="5" t="s">
        <v>32402</v>
      </c>
      <c r="C32394" s="5">
        <v>104.3</v>
      </c>
      <c r="D32394" s="5">
        <v>0.1</v>
      </c>
      <c r="E32394" s="5">
        <v>104.4</v>
      </c>
      <c r="F32394" s="5">
        <v>207.8</v>
      </c>
      <c r="G32394" s="5">
        <v>103.7</v>
      </c>
      <c r="H32394" s="5">
        <v>103.5</v>
      </c>
      <c r="I32394" s="5">
        <v>0</v>
      </c>
      <c r="J32394" s="5">
        <v>0</v>
      </c>
      <c r="K32394" s="5">
        <v>0</v>
      </c>
    </row>
    <row r="32395" spans="1:11" x14ac:dyDescent="0.25">
      <c r="A32395" s="5">
        <f>32388</f>
      </c>
      <c r="B32395" s="5" t="s">
        <v>32403</v>
      </c>
      <c r="C32395" s="5">
        <v>104.3</v>
      </c>
      <c r="D32395" s="5">
        <v>0.1</v>
      </c>
      <c r="E32395" s="5">
        <v>104.4</v>
      </c>
      <c r="F32395" s="5">
        <v>207.8</v>
      </c>
      <c r="G32395" s="5">
        <v>103.7</v>
      </c>
      <c r="H32395" s="5">
        <v>103.5</v>
      </c>
      <c r="I32395" s="5">
        <v>0</v>
      </c>
      <c r="J32395" s="5">
        <v>0</v>
      </c>
      <c r="K32395" s="5">
        <v>0</v>
      </c>
    </row>
    <row r="32396" spans="1:11" x14ac:dyDescent="0.25">
      <c r="A32396" s="5">
        <f>32389</f>
      </c>
      <c r="B32396" s="5" t="s">
        <v>32404</v>
      </c>
      <c r="C32396" s="5">
        <v>103.6</v>
      </c>
      <c r="D32396" s="5">
        <v>0.1</v>
      </c>
      <c r="E32396" s="5">
        <v>103.7</v>
      </c>
      <c r="F32396" s="5">
        <v>206.9</v>
      </c>
      <c r="G32396" s="5">
        <v>103.2</v>
      </c>
      <c r="H32396" s="5">
        <v>103.1</v>
      </c>
      <c r="I32396" s="5">
        <v>0</v>
      </c>
      <c r="J32396" s="5">
        <v>0</v>
      </c>
      <c r="K32396" s="5">
        <v>0</v>
      </c>
    </row>
    <row r="32397" spans="1:11" x14ac:dyDescent="0.25">
      <c r="A32397" s="5">
        <f>32390</f>
      </c>
      <c r="B32397" s="5" t="s">
        <v>32405</v>
      </c>
      <c r="C32397" s="5">
        <v>103.6</v>
      </c>
      <c r="D32397" s="5">
        <v>0.1</v>
      </c>
      <c r="E32397" s="5">
        <v>103.7</v>
      </c>
      <c r="F32397" s="5">
        <v>206.9</v>
      </c>
      <c r="G32397" s="5">
        <v>103.2</v>
      </c>
      <c r="H32397" s="5">
        <v>103.1</v>
      </c>
      <c r="I32397" s="5">
        <v>0</v>
      </c>
      <c r="J32397" s="5">
        <v>0</v>
      </c>
      <c r="K32397" s="5">
        <v>0</v>
      </c>
    </row>
    <row r="32398" spans="1:11" x14ac:dyDescent="0.25">
      <c r="A32398" s="5">
        <f>32391</f>
      </c>
      <c r="B32398" s="5" t="s">
        <v>32406</v>
      </c>
      <c r="C32398" s="5">
        <v>103.6</v>
      </c>
      <c r="D32398" s="5">
        <v>0.1</v>
      </c>
      <c r="E32398" s="5">
        <v>103.7</v>
      </c>
      <c r="F32398" s="5">
        <v>206.9</v>
      </c>
      <c r="G32398" s="5">
        <v>103.2</v>
      </c>
      <c r="H32398" s="5">
        <v>103.1</v>
      </c>
      <c r="I32398" s="5">
        <v>0</v>
      </c>
      <c r="J32398" s="5">
        <v>0</v>
      </c>
      <c r="K32398" s="5">
        <v>0</v>
      </c>
    </row>
    <row r="32399" spans="1:11" x14ac:dyDescent="0.25">
      <c r="A32399" s="5">
        <f>32392</f>
      </c>
      <c r="B32399" s="5" t="s">
        <v>32407</v>
      </c>
      <c r="C32399" s="5">
        <v>103.6</v>
      </c>
      <c r="D32399" s="5">
        <v>0.1</v>
      </c>
      <c r="E32399" s="5">
        <v>103.7</v>
      </c>
      <c r="F32399" s="5">
        <v>206.9</v>
      </c>
      <c r="G32399" s="5">
        <v>103.2</v>
      </c>
      <c r="H32399" s="5">
        <v>103.1</v>
      </c>
      <c r="I32399" s="5">
        <v>0</v>
      </c>
      <c r="J32399" s="5">
        <v>0</v>
      </c>
      <c r="K32399" s="5">
        <v>0</v>
      </c>
    </row>
    <row r="32400" spans="1:11" x14ac:dyDescent="0.25">
      <c r="A32400" s="5">
        <f>32393</f>
      </c>
      <c r="B32400" s="5" t="s">
        <v>32408</v>
      </c>
      <c r="C32400" s="5">
        <v>103.7</v>
      </c>
      <c r="D32400" s="5">
        <v>0.1</v>
      </c>
      <c r="E32400" s="5">
        <v>103.9</v>
      </c>
      <c r="F32400" s="5">
        <v>207</v>
      </c>
      <c r="G32400" s="5">
        <v>103.3</v>
      </c>
      <c r="H32400" s="5">
        <v>103.1</v>
      </c>
      <c r="I32400" s="5">
        <v>0</v>
      </c>
      <c r="J32400" s="5">
        <v>0</v>
      </c>
      <c r="K32400" s="5">
        <v>0</v>
      </c>
    </row>
    <row r="32401" spans="1:11" x14ac:dyDescent="0.25">
      <c r="A32401" s="5">
        <f>32394</f>
      </c>
      <c r="B32401" s="5" t="s">
        <v>32409</v>
      </c>
      <c r="C32401" s="5">
        <v>103.7</v>
      </c>
      <c r="D32401" s="5">
        <v>0.1</v>
      </c>
      <c r="E32401" s="5">
        <v>103.9</v>
      </c>
      <c r="F32401" s="5">
        <v>207</v>
      </c>
      <c r="G32401" s="5">
        <v>103.3</v>
      </c>
      <c r="H32401" s="5">
        <v>103.1</v>
      </c>
      <c r="I32401" s="5">
        <v>0</v>
      </c>
      <c r="J32401" s="5">
        <v>0</v>
      </c>
      <c r="K32401" s="5">
        <v>0</v>
      </c>
    </row>
    <row r="32402" spans="1:11" x14ac:dyDescent="0.25">
      <c r="A32402" s="5">
        <f>32395</f>
      </c>
      <c r="B32402" s="5" t="s">
        <v>32410</v>
      </c>
      <c r="C32402" s="5">
        <v>103.9</v>
      </c>
      <c r="D32402" s="5">
        <v>0.1</v>
      </c>
      <c r="E32402" s="5">
        <v>104</v>
      </c>
      <c r="F32402" s="5">
        <v>207.2</v>
      </c>
      <c r="G32402" s="5">
        <v>103.4</v>
      </c>
      <c r="H32402" s="5">
        <v>103.3</v>
      </c>
      <c r="I32402" s="5">
        <v>0</v>
      </c>
      <c r="J32402" s="5">
        <v>0</v>
      </c>
      <c r="K32402" s="5">
        <v>0</v>
      </c>
    </row>
    <row r="32403" spans="1:11" x14ac:dyDescent="0.25">
      <c r="A32403" s="5">
        <f>32396</f>
      </c>
      <c r="B32403" s="5" t="s">
        <v>32411</v>
      </c>
      <c r="C32403" s="5">
        <v>103.9</v>
      </c>
      <c r="D32403" s="5">
        <v>0.1</v>
      </c>
      <c r="E32403" s="5">
        <v>104</v>
      </c>
      <c r="F32403" s="5">
        <v>207.2</v>
      </c>
      <c r="G32403" s="5">
        <v>103.4</v>
      </c>
      <c r="H32403" s="5">
        <v>103.3</v>
      </c>
      <c r="I32403" s="5">
        <v>0</v>
      </c>
      <c r="J32403" s="5">
        <v>0</v>
      </c>
      <c r="K32403" s="5">
        <v>0</v>
      </c>
    </row>
    <row r="32404" spans="1:11" x14ac:dyDescent="0.25">
      <c r="A32404" s="5">
        <f>32397</f>
      </c>
      <c r="B32404" s="5" t="s">
        <v>32412</v>
      </c>
      <c r="C32404" s="5">
        <v>103.5</v>
      </c>
      <c r="D32404" s="5">
        <v>0.1</v>
      </c>
      <c r="E32404" s="5">
        <v>103.7</v>
      </c>
      <c r="F32404" s="5">
        <v>207.7</v>
      </c>
      <c r="G32404" s="5">
        <v>103.6</v>
      </c>
      <c r="H32404" s="5">
        <v>103.5</v>
      </c>
      <c r="I32404" s="5">
        <v>0</v>
      </c>
      <c r="J32404" s="5">
        <v>0</v>
      </c>
      <c r="K32404" s="5">
        <v>0</v>
      </c>
    </row>
    <row r="32405" spans="1:11" x14ac:dyDescent="0.25">
      <c r="A32405" s="5">
        <f>32398</f>
      </c>
      <c r="B32405" s="5" t="s">
        <v>32413</v>
      </c>
      <c r="C32405" s="5">
        <v>103.5</v>
      </c>
      <c r="D32405" s="5">
        <v>0.1</v>
      </c>
      <c r="E32405" s="5">
        <v>103.7</v>
      </c>
      <c r="F32405" s="5">
        <v>207.7</v>
      </c>
      <c r="G32405" s="5">
        <v>103.6</v>
      </c>
      <c r="H32405" s="5">
        <v>103.5</v>
      </c>
      <c r="I32405" s="5">
        <v>0</v>
      </c>
      <c r="J32405" s="5">
        <v>0</v>
      </c>
      <c r="K32405" s="5">
        <v>0</v>
      </c>
    </row>
    <row r="32406" spans="1:11" x14ac:dyDescent="0.25">
      <c r="A32406" s="5">
        <f>32399</f>
      </c>
      <c r="B32406" s="5" t="s">
        <v>32414</v>
      </c>
      <c r="C32406" s="5">
        <v>103.4</v>
      </c>
      <c r="D32406" s="5">
        <v>0.1</v>
      </c>
      <c r="E32406" s="5">
        <v>103.5</v>
      </c>
      <c r="F32406" s="5">
        <v>207.5</v>
      </c>
      <c r="G32406" s="5">
        <v>103.5</v>
      </c>
      <c r="H32406" s="5">
        <v>103.3</v>
      </c>
      <c r="I32406" s="5">
        <v>0</v>
      </c>
      <c r="J32406" s="5">
        <v>0</v>
      </c>
      <c r="K32406" s="5">
        <v>0</v>
      </c>
    </row>
    <row r="32407" spans="1:11" x14ac:dyDescent="0.25">
      <c r="A32407" s="5">
        <f>32400</f>
      </c>
      <c r="B32407" s="5" t="s">
        <v>32415</v>
      </c>
      <c r="C32407" s="5">
        <v>103.4</v>
      </c>
      <c r="D32407" s="5">
        <v>0.1</v>
      </c>
      <c r="E32407" s="5">
        <v>103.5</v>
      </c>
      <c r="F32407" s="5">
        <v>207.5</v>
      </c>
      <c r="G32407" s="5">
        <v>103.5</v>
      </c>
      <c r="H32407" s="5">
        <v>103.3</v>
      </c>
      <c r="I32407" s="5">
        <v>0</v>
      </c>
      <c r="J32407" s="5">
        <v>0</v>
      </c>
      <c r="K32407" s="5">
        <v>0</v>
      </c>
    </row>
    <row r="32408" spans="1:11" x14ac:dyDescent="0.25">
      <c r="A32408" s="5">
        <f>32401</f>
      </c>
      <c r="B32408" s="5" t="s">
        <v>32416</v>
      </c>
      <c r="C32408" s="5">
        <v>103.4</v>
      </c>
      <c r="D32408" s="5">
        <v>0.1</v>
      </c>
      <c r="E32408" s="5">
        <v>103.5</v>
      </c>
      <c r="F32408" s="5">
        <v>207.5</v>
      </c>
      <c r="G32408" s="5">
        <v>103.5</v>
      </c>
      <c r="H32408" s="5">
        <v>103.3</v>
      </c>
      <c r="I32408" s="5">
        <v>0</v>
      </c>
      <c r="J32408" s="5">
        <v>0</v>
      </c>
      <c r="K32408" s="5">
        <v>0</v>
      </c>
    </row>
    <row r="32409" spans="1:11" x14ac:dyDescent="0.25">
      <c r="A32409" s="5">
        <f>32402</f>
      </c>
      <c r="B32409" s="5" t="s">
        <v>32417</v>
      </c>
      <c r="C32409" s="5">
        <v>103.4</v>
      </c>
      <c r="D32409" s="5">
        <v>0.1</v>
      </c>
      <c r="E32409" s="5">
        <v>103.5</v>
      </c>
      <c r="F32409" s="5">
        <v>207.5</v>
      </c>
      <c r="G32409" s="5">
        <v>103.5</v>
      </c>
      <c r="H32409" s="5">
        <v>103.3</v>
      </c>
      <c r="I32409" s="5">
        <v>0</v>
      </c>
      <c r="J32409" s="5">
        <v>0</v>
      </c>
      <c r="K32409" s="5">
        <v>0</v>
      </c>
    </row>
    <row r="32410" spans="1:11" x14ac:dyDescent="0.25">
      <c r="A32410" s="5">
        <f>32403</f>
      </c>
      <c r="B32410" s="5" t="s">
        <v>32418</v>
      </c>
      <c r="C32410" s="5">
        <v>103.1</v>
      </c>
      <c r="D32410" s="5">
        <v>0.1</v>
      </c>
      <c r="E32410" s="5">
        <v>103.3</v>
      </c>
      <c r="F32410" s="5">
        <v>206.4</v>
      </c>
      <c r="G32410" s="5">
        <v>102.9</v>
      </c>
      <c r="H32410" s="5">
        <v>102.8</v>
      </c>
      <c r="I32410" s="5">
        <v>0</v>
      </c>
      <c r="J32410" s="5">
        <v>0</v>
      </c>
      <c r="K32410" s="5">
        <v>0</v>
      </c>
    </row>
    <row r="32411" spans="1:11" x14ac:dyDescent="0.25">
      <c r="A32411" s="5">
        <f>32404</f>
      </c>
      <c r="B32411" s="5" t="s">
        <v>32419</v>
      </c>
      <c r="C32411" s="5">
        <v>103.1</v>
      </c>
      <c r="D32411" s="5">
        <v>0.1</v>
      </c>
      <c r="E32411" s="5">
        <v>103.3</v>
      </c>
      <c r="F32411" s="5">
        <v>206.4</v>
      </c>
      <c r="G32411" s="5">
        <v>102.9</v>
      </c>
      <c r="H32411" s="5">
        <v>102.8</v>
      </c>
      <c r="I32411" s="5">
        <v>0</v>
      </c>
      <c r="J32411" s="5">
        <v>0</v>
      </c>
      <c r="K32411" s="5">
        <v>0</v>
      </c>
    </row>
    <row r="32412" spans="1:11" x14ac:dyDescent="0.25">
      <c r="A32412" s="5">
        <f>32405</f>
      </c>
      <c r="B32412" s="5" t="s">
        <v>32420</v>
      </c>
      <c r="C32412" s="5">
        <v>103.8</v>
      </c>
      <c r="D32412" s="5">
        <v>0.1</v>
      </c>
      <c r="E32412" s="5">
        <v>103.9</v>
      </c>
      <c r="F32412" s="5">
        <v>207</v>
      </c>
      <c r="G32412" s="5">
        <v>103.3</v>
      </c>
      <c r="H32412" s="5">
        <v>103.2</v>
      </c>
      <c r="I32412" s="5">
        <v>0</v>
      </c>
      <c r="J32412" s="5">
        <v>0</v>
      </c>
      <c r="K32412" s="5">
        <v>0</v>
      </c>
    </row>
    <row r="32413" spans="1:11" x14ac:dyDescent="0.25">
      <c r="A32413" s="5">
        <f>32406</f>
      </c>
      <c r="B32413" s="5" t="s">
        <v>32421</v>
      </c>
      <c r="C32413" s="5">
        <v>103.8</v>
      </c>
      <c r="D32413" s="5">
        <v>0.1</v>
      </c>
      <c r="E32413" s="5">
        <v>103.9</v>
      </c>
      <c r="F32413" s="5">
        <v>207</v>
      </c>
      <c r="G32413" s="5">
        <v>103.3</v>
      </c>
      <c r="H32413" s="5">
        <v>103.2</v>
      </c>
      <c r="I32413" s="5">
        <v>0</v>
      </c>
      <c r="J32413" s="5">
        <v>0</v>
      </c>
      <c r="K32413" s="5">
        <v>0</v>
      </c>
    </row>
    <row r="32414" spans="1:11" x14ac:dyDescent="0.25">
      <c r="A32414" s="5">
        <f>32407</f>
      </c>
      <c r="B32414" s="5" t="s">
        <v>32422</v>
      </c>
      <c r="C32414" s="5">
        <v>103.6</v>
      </c>
      <c r="D32414" s="5">
        <v>0.1</v>
      </c>
      <c r="E32414" s="5">
        <v>103.7</v>
      </c>
      <c r="F32414" s="5">
        <v>207.2</v>
      </c>
      <c r="G32414" s="5">
        <v>103.4</v>
      </c>
      <c r="H32414" s="5">
        <v>103.2</v>
      </c>
      <c r="I32414" s="5">
        <v>0</v>
      </c>
      <c r="J32414" s="5">
        <v>0</v>
      </c>
      <c r="K32414" s="5">
        <v>0</v>
      </c>
    </row>
    <row r="32415" spans="1:11" x14ac:dyDescent="0.25">
      <c r="A32415" s="5">
        <f>32408</f>
      </c>
      <c r="B32415" s="5" t="s">
        <v>32423</v>
      </c>
      <c r="C32415" s="5">
        <v>103.6</v>
      </c>
      <c r="D32415" s="5">
        <v>0.1</v>
      </c>
      <c r="E32415" s="5">
        <v>103.7</v>
      </c>
      <c r="F32415" s="5">
        <v>207.2</v>
      </c>
      <c r="G32415" s="5">
        <v>103.4</v>
      </c>
      <c r="H32415" s="5">
        <v>103.2</v>
      </c>
      <c r="I32415" s="5">
        <v>0</v>
      </c>
      <c r="J32415" s="5">
        <v>0</v>
      </c>
      <c r="K32415" s="5">
        <v>0</v>
      </c>
    </row>
    <row r="32416" spans="1:11" x14ac:dyDescent="0.25">
      <c r="A32416" s="5">
        <f>32409</f>
      </c>
      <c r="B32416" s="5" t="s">
        <v>32424</v>
      </c>
      <c r="C32416" s="5">
        <v>103.6</v>
      </c>
      <c r="D32416" s="5">
        <v>0.1</v>
      </c>
      <c r="E32416" s="5">
        <v>103.7</v>
      </c>
      <c r="F32416" s="5">
        <v>206.9</v>
      </c>
      <c r="G32416" s="5">
        <v>103.2</v>
      </c>
      <c r="H32416" s="5">
        <v>103.1</v>
      </c>
      <c r="I32416" s="5">
        <v>0</v>
      </c>
      <c r="J32416" s="5">
        <v>0</v>
      </c>
      <c r="K32416" s="5">
        <v>0</v>
      </c>
    </row>
    <row r="32417" spans="1:11" x14ac:dyDescent="0.25">
      <c r="A32417" s="5">
        <f>32410</f>
      </c>
      <c r="B32417" s="5" t="s">
        <v>32425</v>
      </c>
      <c r="C32417" s="5">
        <v>103.6</v>
      </c>
      <c r="D32417" s="5">
        <v>0.1</v>
      </c>
      <c r="E32417" s="5">
        <v>103.7</v>
      </c>
      <c r="F32417" s="5">
        <v>206.9</v>
      </c>
      <c r="G32417" s="5">
        <v>103.2</v>
      </c>
      <c r="H32417" s="5">
        <v>103.1</v>
      </c>
      <c r="I32417" s="5">
        <v>0</v>
      </c>
      <c r="J32417" s="5">
        <v>0</v>
      </c>
      <c r="K32417" s="5">
        <v>0</v>
      </c>
    </row>
    <row r="32418" spans="1:11" x14ac:dyDescent="0.25">
      <c r="A32418" s="5">
        <f>32411</f>
      </c>
      <c r="B32418" s="5" t="s">
        <v>32426</v>
      </c>
      <c r="C32418" s="5">
        <v>103.6</v>
      </c>
      <c r="D32418" s="5">
        <v>0.1</v>
      </c>
      <c r="E32418" s="5">
        <v>103.7</v>
      </c>
      <c r="F32418" s="5">
        <v>206.9</v>
      </c>
      <c r="G32418" s="5">
        <v>103.2</v>
      </c>
      <c r="H32418" s="5">
        <v>103.1</v>
      </c>
      <c r="I32418" s="5">
        <v>0</v>
      </c>
      <c r="J32418" s="5">
        <v>0</v>
      </c>
      <c r="K32418" s="5">
        <v>0</v>
      </c>
    </row>
    <row r="32419" spans="1:11" x14ac:dyDescent="0.25">
      <c r="A32419" s="5">
        <f>32412</f>
      </c>
      <c r="B32419" s="5" t="s">
        <v>32427</v>
      </c>
      <c r="C32419" s="5">
        <v>103.6</v>
      </c>
      <c r="D32419" s="5">
        <v>0.1</v>
      </c>
      <c r="E32419" s="5">
        <v>103.7</v>
      </c>
      <c r="F32419" s="5">
        <v>206.9</v>
      </c>
      <c r="G32419" s="5">
        <v>103.2</v>
      </c>
      <c r="H32419" s="5">
        <v>103.1</v>
      </c>
      <c r="I32419" s="5">
        <v>0</v>
      </c>
      <c r="J32419" s="5">
        <v>0</v>
      </c>
      <c r="K32419" s="5">
        <v>0</v>
      </c>
    </row>
    <row r="32420" spans="1:11" x14ac:dyDescent="0.25">
      <c r="A32420" s="5">
        <f>32413</f>
      </c>
      <c r="B32420" s="5" t="s">
        <v>32428</v>
      </c>
      <c r="C32420" s="5">
        <v>104</v>
      </c>
      <c r="D32420" s="5">
        <v>0.1</v>
      </c>
      <c r="E32420" s="5">
        <v>104.2</v>
      </c>
      <c r="F32420" s="5">
        <v>207.8</v>
      </c>
      <c r="G32420" s="5">
        <v>103.7</v>
      </c>
      <c r="H32420" s="5">
        <v>103.6</v>
      </c>
      <c r="I32420" s="5">
        <v>0</v>
      </c>
      <c r="J32420" s="5">
        <v>0</v>
      </c>
      <c r="K32420" s="5">
        <v>0</v>
      </c>
    </row>
    <row r="32421" spans="1:11" x14ac:dyDescent="0.25">
      <c r="A32421" s="5">
        <f>32414</f>
      </c>
      <c r="B32421" s="5" t="s">
        <v>32429</v>
      </c>
      <c r="C32421" s="5">
        <v>104</v>
      </c>
      <c r="D32421" s="5">
        <v>0.1</v>
      </c>
      <c r="E32421" s="5">
        <v>104.2</v>
      </c>
      <c r="F32421" s="5">
        <v>207.8</v>
      </c>
      <c r="G32421" s="5">
        <v>103.7</v>
      </c>
      <c r="H32421" s="5">
        <v>103.6</v>
      </c>
      <c r="I32421" s="5">
        <v>0</v>
      </c>
      <c r="J32421" s="5">
        <v>0</v>
      </c>
      <c r="K32421" s="5">
        <v>0</v>
      </c>
    </row>
    <row r="32422" spans="1:11" x14ac:dyDescent="0.25">
      <c r="A32422" s="5">
        <f>32415</f>
      </c>
      <c r="B32422" s="5" t="s">
        <v>32430</v>
      </c>
      <c r="C32422" s="5">
        <v>103.4</v>
      </c>
      <c r="D32422" s="5">
        <v>0.1</v>
      </c>
      <c r="E32422" s="5">
        <v>103.6</v>
      </c>
      <c r="F32422" s="5">
        <v>207.1</v>
      </c>
      <c r="G32422" s="5">
        <v>103.3</v>
      </c>
      <c r="H32422" s="5">
        <v>103.1</v>
      </c>
      <c r="I32422" s="5">
        <v>0</v>
      </c>
      <c r="J32422" s="5">
        <v>0</v>
      </c>
      <c r="K32422" s="5">
        <v>0</v>
      </c>
    </row>
    <row r="32423" spans="1:11" x14ac:dyDescent="0.25">
      <c r="A32423" s="5">
        <f>32416</f>
      </c>
      <c r="B32423" s="5" t="s">
        <v>32431</v>
      </c>
      <c r="C32423" s="5">
        <v>103.4</v>
      </c>
      <c r="D32423" s="5">
        <v>0.1</v>
      </c>
      <c r="E32423" s="5">
        <v>103.6</v>
      </c>
      <c r="F32423" s="5">
        <v>207.1</v>
      </c>
      <c r="G32423" s="5">
        <v>103.3</v>
      </c>
      <c r="H32423" s="5">
        <v>103.1</v>
      </c>
      <c r="I32423" s="5">
        <v>0</v>
      </c>
      <c r="J32423" s="5">
        <v>0</v>
      </c>
      <c r="K32423" s="5">
        <v>0</v>
      </c>
    </row>
    <row r="32424" spans="1:11" x14ac:dyDescent="0.25">
      <c r="A32424" s="5">
        <f>32417</f>
      </c>
      <c r="B32424" s="5" t="s">
        <v>32432</v>
      </c>
      <c r="C32424" s="5">
        <v>103.5</v>
      </c>
      <c r="D32424" s="5">
        <v>0.1</v>
      </c>
      <c r="E32424" s="5">
        <v>103.7</v>
      </c>
      <c r="F32424" s="5">
        <v>206.5</v>
      </c>
      <c r="G32424" s="5">
        <v>103</v>
      </c>
      <c r="H32424" s="5">
        <v>102.9</v>
      </c>
      <c r="I32424" s="5">
        <v>0</v>
      </c>
      <c r="J32424" s="5">
        <v>0</v>
      </c>
      <c r="K32424" s="5">
        <v>0</v>
      </c>
    </row>
    <row r="32425" spans="1:11" x14ac:dyDescent="0.25">
      <c r="A32425" s="5">
        <f>32418</f>
      </c>
      <c r="B32425" s="5" t="s">
        <v>32433</v>
      </c>
      <c r="C32425" s="5">
        <v>103.5</v>
      </c>
      <c r="D32425" s="5">
        <v>0.1</v>
      </c>
      <c r="E32425" s="5">
        <v>103.7</v>
      </c>
      <c r="F32425" s="5">
        <v>206.5</v>
      </c>
      <c r="G32425" s="5">
        <v>103</v>
      </c>
      <c r="H32425" s="5">
        <v>102.9</v>
      </c>
      <c r="I32425" s="5">
        <v>0</v>
      </c>
      <c r="J32425" s="5">
        <v>0</v>
      </c>
      <c r="K32425" s="5">
        <v>0</v>
      </c>
    </row>
    <row r="32426" spans="1:11" x14ac:dyDescent="0.25">
      <c r="A32426" s="5">
        <f>32419</f>
      </c>
      <c r="B32426" s="5" t="s">
        <v>32434</v>
      </c>
      <c r="C32426" s="5">
        <v>103.6</v>
      </c>
      <c r="D32426" s="5">
        <v>0.1</v>
      </c>
      <c r="E32426" s="5">
        <v>103.7</v>
      </c>
      <c r="F32426" s="5">
        <v>208.4</v>
      </c>
      <c r="G32426" s="5">
        <v>104</v>
      </c>
      <c r="H32426" s="5">
        <v>103.8</v>
      </c>
      <c r="I32426" s="5">
        <v>0</v>
      </c>
      <c r="J32426" s="5">
        <v>0</v>
      </c>
      <c r="K32426" s="5">
        <v>0</v>
      </c>
    </row>
    <row r="32427" spans="1:11" x14ac:dyDescent="0.25">
      <c r="A32427" s="5">
        <f>32420</f>
      </c>
      <c r="B32427" s="5" t="s">
        <v>32435</v>
      </c>
      <c r="C32427" s="5">
        <v>103.6</v>
      </c>
      <c r="D32427" s="5">
        <v>0.1</v>
      </c>
      <c r="E32427" s="5">
        <v>103.7</v>
      </c>
      <c r="F32427" s="5">
        <v>208.4</v>
      </c>
      <c r="G32427" s="5">
        <v>104</v>
      </c>
      <c r="H32427" s="5">
        <v>103.8</v>
      </c>
      <c r="I32427" s="5">
        <v>0</v>
      </c>
      <c r="J32427" s="5">
        <v>0</v>
      </c>
      <c r="K32427" s="5">
        <v>0</v>
      </c>
    </row>
    <row r="32428" spans="1:11" x14ac:dyDescent="0.25">
      <c r="A32428" s="5">
        <f>32421</f>
      </c>
      <c r="B32428" s="5" t="s">
        <v>32436</v>
      </c>
      <c r="C32428" s="5">
        <v>103.6</v>
      </c>
      <c r="D32428" s="5">
        <v>0.1</v>
      </c>
      <c r="E32428" s="5">
        <v>103.7</v>
      </c>
      <c r="F32428" s="5">
        <v>208.4</v>
      </c>
      <c r="G32428" s="5">
        <v>104</v>
      </c>
      <c r="H32428" s="5">
        <v>103.8</v>
      </c>
      <c r="I32428" s="5">
        <v>0</v>
      </c>
      <c r="J32428" s="5">
        <v>0</v>
      </c>
      <c r="K32428" s="5">
        <v>0</v>
      </c>
    </row>
    <row r="32429" spans="1:11" x14ac:dyDescent="0.25">
      <c r="A32429" s="5">
        <f>32422</f>
      </c>
      <c r="B32429" s="5" t="s">
        <v>32437</v>
      </c>
      <c r="C32429" s="5">
        <v>103.6</v>
      </c>
      <c r="D32429" s="5">
        <v>0.1</v>
      </c>
      <c r="E32429" s="5">
        <v>103.7</v>
      </c>
      <c r="F32429" s="5">
        <v>208.4</v>
      </c>
      <c r="G32429" s="5">
        <v>104</v>
      </c>
      <c r="H32429" s="5">
        <v>103.8</v>
      </c>
      <c r="I32429" s="5">
        <v>0</v>
      </c>
      <c r="J32429" s="5">
        <v>0</v>
      </c>
      <c r="K32429" s="5">
        <v>0</v>
      </c>
    </row>
    <row r="32430" spans="1:11" x14ac:dyDescent="0.25">
      <c r="A32430" s="5">
        <f>32423</f>
      </c>
      <c r="B32430" s="5" t="s">
        <v>32438</v>
      </c>
      <c r="C32430" s="5">
        <v>103.3</v>
      </c>
      <c r="D32430" s="5">
        <v>0.1</v>
      </c>
      <c r="E32430" s="5">
        <v>103.4</v>
      </c>
      <c r="F32430" s="5">
        <v>206.4</v>
      </c>
      <c r="G32430" s="5">
        <v>102.9</v>
      </c>
      <c r="H32430" s="5">
        <v>102.7</v>
      </c>
      <c r="I32430" s="5">
        <v>0</v>
      </c>
      <c r="J32430" s="5">
        <v>0</v>
      </c>
      <c r="K32430" s="5">
        <v>0</v>
      </c>
    </row>
    <row r="32431" spans="1:11" x14ac:dyDescent="0.25">
      <c r="A32431" s="5">
        <f>32424</f>
      </c>
      <c r="B32431" s="5" t="s">
        <v>32439</v>
      </c>
      <c r="C32431" s="5">
        <v>103.3</v>
      </c>
      <c r="D32431" s="5">
        <v>0.1</v>
      </c>
      <c r="E32431" s="5">
        <v>103.4</v>
      </c>
      <c r="F32431" s="5">
        <v>206.4</v>
      </c>
      <c r="G32431" s="5">
        <v>102.9</v>
      </c>
      <c r="H32431" s="5">
        <v>102.7</v>
      </c>
      <c r="I32431" s="5">
        <v>0</v>
      </c>
      <c r="J32431" s="5">
        <v>0</v>
      </c>
      <c r="K32431" s="5">
        <v>0</v>
      </c>
    </row>
    <row r="32432" spans="1:11" x14ac:dyDescent="0.25">
      <c r="A32432" s="5">
        <f>32425</f>
      </c>
      <c r="B32432" s="5" t="s">
        <v>32440</v>
      </c>
      <c r="C32432" s="5">
        <v>103.6</v>
      </c>
      <c r="D32432" s="5">
        <v>0.1</v>
      </c>
      <c r="E32432" s="5">
        <v>103.7</v>
      </c>
      <c r="F32432" s="5">
        <v>207.1</v>
      </c>
      <c r="G32432" s="5">
        <v>103.3</v>
      </c>
      <c r="H32432" s="5">
        <v>103.1</v>
      </c>
      <c r="I32432" s="5">
        <v>0</v>
      </c>
      <c r="J32432" s="5">
        <v>0</v>
      </c>
      <c r="K32432" s="5">
        <v>0</v>
      </c>
    </row>
    <row r="32433" spans="1:11" x14ac:dyDescent="0.25">
      <c r="A32433" s="5">
        <f>32426</f>
      </c>
      <c r="B32433" s="5" t="s">
        <v>32441</v>
      </c>
      <c r="C32433" s="5">
        <v>103.6</v>
      </c>
      <c r="D32433" s="5">
        <v>0.1</v>
      </c>
      <c r="E32433" s="5">
        <v>103.7</v>
      </c>
      <c r="F32433" s="5">
        <v>207.1</v>
      </c>
      <c r="G32433" s="5">
        <v>103.3</v>
      </c>
      <c r="H32433" s="5">
        <v>103.1</v>
      </c>
      <c r="I32433" s="5">
        <v>0</v>
      </c>
      <c r="J32433" s="5">
        <v>0</v>
      </c>
      <c r="K32433" s="5">
        <v>0</v>
      </c>
    </row>
    <row r="32434" spans="1:11" x14ac:dyDescent="0.25">
      <c r="A32434" s="5">
        <f>32427</f>
      </c>
      <c r="B32434" s="5" t="s">
        <v>32442</v>
      </c>
      <c r="C32434" s="5">
        <v>103.2</v>
      </c>
      <c r="D32434" s="5">
        <v>0.1</v>
      </c>
      <c r="E32434" s="5">
        <v>103.4</v>
      </c>
      <c r="F32434" s="5">
        <v>206.4</v>
      </c>
      <c r="G32434" s="5">
        <v>103</v>
      </c>
      <c r="H32434" s="5">
        <v>102.8</v>
      </c>
      <c r="I32434" s="5">
        <v>0</v>
      </c>
      <c r="J32434" s="5">
        <v>0</v>
      </c>
      <c r="K32434" s="5">
        <v>0</v>
      </c>
    </row>
    <row r="32435" spans="1:11" x14ac:dyDescent="0.25">
      <c r="A32435" s="5">
        <f>32428</f>
      </c>
      <c r="B32435" s="5" t="s">
        <v>32443</v>
      </c>
      <c r="C32435" s="5">
        <v>103.2</v>
      </c>
      <c r="D32435" s="5">
        <v>0.1</v>
      </c>
      <c r="E32435" s="5">
        <v>103.4</v>
      </c>
      <c r="F32435" s="5">
        <v>206.4</v>
      </c>
      <c r="G32435" s="5">
        <v>103</v>
      </c>
      <c r="H32435" s="5">
        <v>102.8</v>
      </c>
      <c r="I32435" s="5">
        <v>0</v>
      </c>
      <c r="J32435" s="5">
        <v>0</v>
      </c>
      <c r="K32435" s="5">
        <v>0</v>
      </c>
    </row>
    <row r="32436" spans="1:11" x14ac:dyDescent="0.25">
      <c r="A32436" s="5">
        <f>32429</f>
      </c>
      <c r="B32436" s="5" t="s">
        <v>32444</v>
      </c>
      <c r="C32436" s="5">
        <v>104.2</v>
      </c>
      <c r="D32436" s="5">
        <v>0.1</v>
      </c>
      <c r="E32436" s="5">
        <v>104.3</v>
      </c>
      <c r="F32436" s="5">
        <v>208.2</v>
      </c>
      <c r="G32436" s="5">
        <v>103.9</v>
      </c>
      <c r="H32436" s="5">
        <v>103.7</v>
      </c>
      <c r="I32436" s="5">
        <v>0</v>
      </c>
      <c r="J32436" s="5">
        <v>0</v>
      </c>
      <c r="K32436" s="5">
        <v>0</v>
      </c>
    </row>
    <row r="32437" spans="1:11" x14ac:dyDescent="0.25">
      <c r="A32437" s="5">
        <f>32430</f>
      </c>
      <c r="B32437" s="5" t="s">
        <v>32445</v>
      </c>
      <c r="C32437" s="5">
        <v>104.2</v>
      </c>
      <c r="D32437" s="5">
        <v>0.1</v>
      </c>
      <c r="E32437" s="5">
        <v>104.3</v>
      </c>
      <c r="F32437" s="5">
        <v>208.2</v>
      </c>
      <c r="G32437" s="5">
        <v>103.9</v>
      </c>
      <c r="H32437" s="5">
        <v>103.7</v>
      </c>
      <c r="I32437" s="5">
        <v>0</v>
      </c>
      <c r="J32437" s="5">
        <v>0</v>
      </c>
      <c r="K32437" s="5">
        <v>0</v>
      </c>
    </row>
    <row r="32438" spans="1:11" x14ac:dyDescent="0.25">
      <c r="A32438" s="5">
        <f>32431</f>
      </c>
      <c r="B32438" s="5" t="s">
        <v>32446</v>
      </c>
      <c r="C32438" s="5">
        <v>104.2</v>
      </c>
      <c r="D32438" s="5">
        <v>0.1</v>
      </c>
      <c r="E32438" s="5">
        <v>104.3</v>
      </c>
      <c r="F32438" s="5">
        <v>208.2</v>
      </c>
      <c r="G32438" s="5">
        <v>103.9</v>
      </c>
      <c r="H32438" s="5">
        <v>103.7</v>
      </c>
      <c r="I32438" s="5">
        <v>0</v>
      </c>
      <c r="J32438" s="5">
        <v>0</v>
      </c>
      <c r="K32438" s="5">
        <v>0</v>
      </c>
    </row>
    <row r="32439" spans="1:11" x14ac:dyDescent="0.25">
      <c r="A32439" s="5">
        <f>32432</f>
      </c>
      <c r="B32439" s="5" t="s">
        <v>32447</v>
      </c>
      <c r="C32439" s="5">
        <v>104.2</v>
      </c>
      <c r="D32439" s="5">
        <v>0.1</v>
      </c>
      <c r="E32439" s="5">
        <v>104.3</v>
      </c>
      <c r="F32439" s="5">
        <v>208.2</v>
      </c>
      <c r="G32439" s="5">
        <v>103.9</v>
      </c>
      <c r="H32439" s="5">
        <v>103.7</v>
      </c>
      <c r="I32439" s="5">
        <v>0</v>
      </c>
      <c r="J32439" s="5">
        <v>0</v>
      </c>
      <c r="K32439" s="5">
        <v>0</v>
      </c>
    </row>
    <row r="32440" spans="1:11" x14ac:dyDescent="0.25">
      <c r="A32440" s="5">
        <f>32433</f>
      </c>
      <c r="B32440" s="5" t="s">
        <v>32448</v>
      </c>
      <c r="C32440" s="5">
        <v>103.7</v>
      </c>
      <c r="D32440" s="5">
        <v>0.1</v>
      </c>
      <c r="E32440" s="5">
        <v>103.9</v>
      </c>
      <c r="F32440" s="5">
        <v>206.9</v>
      </c>
      <c r="G32440" s="5">
        <v>103.2</v>
      </c>
      <c r="H32440" s="5">
        <v>103</v>
      </c>
      <c r="I32440" s="5">
        <v>0</v>
      </c>
      <c r="J32440" s="5">
        <v>0</v>
      </c>
      <c r="K32440" s="5">
        <v>0</v>
      </c>
    </row>
    <row r="32441" spans="1:11" x14ac:dyDescent="0.25">
      <c r="A32441" s="5">
        <f>32434</f>
      </c>
      <c r="B32441" s="5" t="s">
        <v>32449</v>
      </c>
      <c r="C32441" s="5">
        <v>103.7</v>
      </c>
      <c r="D32441" s="5">
        <v>0.1</v>
      </c>
      <c r="E32441" s="5">
        <v>103.9</v>
      </c>
      <c r="F32441" s="5">
        <v>206.9</v>
      </c>
      <c r="G32441" s="5">
        <v>103.2</v>
      </c>
      <c r="H32441" s="5">
        <v>103</v>
      </c>
      <c r="I32441" s="5">
        <v>0</v>
      </c>
      <c r="J32441" s="5">
        <v>0</v>
      </c>
      <c r="K32441" s="5">
        <v>0</v>
      </c>
    </row>
    <row r="32442" spans="1:11" x14ac:dyDescent="0.25">
      <c r="A32442" s="5">
        <f>32435</f>
      </c>
      <c r="B32442" s="5" t="s">
        <v>32450</v>
      </c>
      <c r="C32442" s="5">
        <v>103.4</v>
      </c>
      <c r="D32442" s="5">
        <v>0.1</v>
      </c>
      <c r="E32442" s="5">
        <v>103.6</v>
      </c>
      <c r="F32442" s="5">
        <v>206.7</v>
      </c>
      <c r="G32442" s="5">
        <v>103</v>
      </c>
      <c r="H32442" s="5">
        <v>102.9</v>
      </c>
      <c r="I32442" s="5">
        <v>0</v>
      </c>
      <c r="J32442" s="5">
        <v>0</v>
      </c>
      <c r="K32442" s="5">
        <v>0</v>
      </c>
    </row>
    <row r="32443" spans="1:11" x14ac:dyDescent="0.25">
      <c r="A32443" s="5">
        <f>32436</f>
      </c>
      <c r="B32443" s="5" t="s">
        <v>32451</v>
      </c>
      <c r="C32443" s="5">
        <v>103.4</v>
      </c>
      <c r="D32443" s="5">
        <v>0.1</v>
      </c>
      <c r="E32443" s="5">
        <v>103.6</v>
      </c>
      <c r="F32443" s="5">
        <v>206.7</v>
      </c>
      <c r="G32443" s="5">
        <v>103</v>
      </c>
      <c r="H32443" s="5">
        <v>102.9</v>
      </c>
      <c r="I32443" s="5">
        <v>0</v>
      </c>
      <c r="J32443" s="5">
        <v>0</v>
      </c>
      <c r="K32443" s="5">
        <v>0</v>
      </c>
    </row>
    <row r="32444" spans="1:11" x14ac:dyDescent="0.25">
      <c r="A32444" s="5">
        <f>32437</f>
      </c>
      <c r="B32444" s="5" t="s">
        <v>32452</v>
      </c>
      <c r="C32444" s="5">
        <v>100.8</v>
      </c>
      <c r="D32444" s="5">
        <v>0.1</v>
      </c>
      <c r="E32444" s="5">
        <v>101</v>
      </c>
      <c r="F32444" s="5">
        <v>201.9</v>
      </c>
      <c r="G32444" s="5">
        <v>100.7</v>
      </c>
      <c r="H32444" s="5">
        <v>100.5</v>
      </c>
      <c r="I32444" s="5">
        <v>0</v>
      </c>
      <c r="J32444" s="5">
        <v>0</v>
      </c>
      <c r="K32444" s="5">
        <v>0</v>
      </c>
    </row>
    <row r="32445" spans="1:11" x14ac:dyDescent="0.25">
      <c r="A32445" s="5">
        <f>32438</f>
      </c>
      <c r="B32445" s="5" t="s">
        <v>32453</v>
      </c>
      <c r="C32445" s="5">
        <v>100.8</v>
      </c>
      <c r="D32445" s="5">
        <v>0.1</v>
      </c>
      <c r="E32445" s="5">
        <v>101</v>
      </c>
      <c r="F32445" s="5">
        <v>201.9</v>
      </c>
      <c r="G32445" s="5">
        <v>100.7</v>
      </c>
      <c r="H32445" s="5">
        <v>100.5</v>
      </c>
      <c r="I32445" s="5">
        <v>0</v>
      </c>
      <c r="J32445" s="5">
        <v>0</v>
      </c>
      <c r="K32445" s="5">
        <v>0</v>
      </c>
    </row>
    <row r="32446" spans="1:11" x14ac:dyDescent="0.25">
      <c r="A32446" s="5">
        <f>32439</f>
      </c>
      <c r="B32446" s="5" t="s">
        <v>32454</v>
      </c>
      <c r="C32446" s="5">
        <v>100.6</v>
      </c>
      <c r="D32446" s="5">
        <v>0.1</v>
      </c>
      <c r="E32446" s="5">
        <v>100.8</v>
      </c>
      <c r="F32446" s="5">
        <v>201.2</v>
      </c>
      <c r="G32446" s="5">
        <v>100.4</v>
      </c>
      <c r="H32446" s="5">
        <v>100.3</v>
      </c>
      <c r="I32446" s="5">
        <v>0</v>
      </c>
      <c r="J32446" s="5">
        <v>0</v>
      </c>
      <c r="K32446" s="5">
        <v>0</v>
      </c>
    </row>
    <row r="32447" spans="1:11" x14ac:dyDescent="0.25">
      <c r="A32447" s="5">
        <f>32440</f>
      </c>
      <c r="B32447" s="5" t="s">
        <v>32455</v>
      </c>
      <c r="C32447" s="5">
        <v>100.6</v>
      </c>
      <c r="D32447" s="5">
        <v>0.1</v>
      </c>
      <c r="E32447" s="5">
        <v>100.8</v>
      </c>
      <c r="F32447" s="5">
        <v>201.2</v>
      </c>
      <c r="G32447" s="5">
        <v>100.4</v>
      </c>
      <c r="H32447" s="5">
        <v>100.3</v>
      </c>
      <c r="I32447" s="5">
        <v>0</v>
      </c>
      <c r="J32447" s="5">
        <v>0</v>
      </c>
      <c r="K32447" s="5">
        <v>0</v>
      </c>
    </row>
    <row r="32448" spans="1:11" x14ac:dyDescent="0.25">
      <c r="A32448" s="5">
        <f>32441</f>
      </c>
      <c r="B32448" s="5" t="s">
        <v>32456</v>
      </c>
      <c r="C32448" s="5">
        <v>100.6</v>
      </c>
      <c r="D32448" s="5">
        <v>0.1</v>
      </c>
      <c r="E32448" s="5">
        <v>100.8</v>
      </c>
      <c r="F32448" s="5">
        <v>201.2</v>
      </c>
      <c r="G32448" s="5">
        <v>100.4</v>
      </c>
      <c r="H32448" s="5">
        <v>100.3</v>
      </c>
      <c r="I32448" s="5">
        <v>0</v>
      </c>
      <c r="J32448" s="5">
        <v>0</v>
      </c>
      <c r="K32448" s="5">
        <v>0</v>
      </c>
    </row>
    <row r="32449" spans="1:11" x14ac:dyDescent="0.25">
      <c r="A32449" s="5">
        <f>32442</f>
      </c>
      <c r="B32449" s="5" t="s">
        <v>32457</v>
      </c>
      <c r="C32449" s="5">
        <v>101.8</v>
      </c>
      <c r="D32449" s="5">
        <v>0.1</v>
      </c>
      <c r="E32449" s="5">
        <v>101.9</v>
      </c>
      <c r="F32449" s="5">
        <v>202.6</v>
      </c>
      <c r="G32449" s="5">
        <v>101.1</v>
      </c>
      <c r="H32449" s="5">
        <v>101</v>
      </c>
      <c r="I32449" s="5">
        <v>0</v>
      </c>
      <c r="J32449" s="5">
        <v>0</v>
      </c>
      <c r="K32449" s="5">
        <v>0</v>
      </c>
    </row>
    <row r="32450" spans="1:11" x14ac:dyDescent="0.25">
      <c r="A32450" s="5">
        <f>32443</f>
      </c>
      <c r="B32450" s="5" t="s">
        <v>32458</v>
      </c>
      <c r="C32450" s="5">
        <v>101.8</v>
      </c>
      <c r="D32450" s="5">
        <v>0.1</v>
      </c>
      <c r="E32450" s="5">
        <v>101.9</v>
      </c>
      <c r="F32450" s="5">
        <v>202.6</v>
      </c>
      <c r="G32450" s="5">
        <v>101.1</v>
      </c>
      <c r="H32450" s="5">
        <v>101</v>
      </c>
      <c r="I32450" s="5">
        <v>0</v>
      </c>
      <c r="J32450" s="5">
        <v>0</v>
      </c>
      <c r="K32450" s="5">
        <v>0</v>
      </c>
    </row>
    <row r="32451" spans="1:11" x14ac:dyDescent="0.25">
      <c r="A32451" s="5">
        <f>32444</f>
      </c>
      <c r="B32451" s="5" t="s">
        <v>32459</v>
      </c>
      <c r="C32451" s="5">
        <v>101.1</v>
      </c>
      <c r="D32451" s="5">
        <v>0.1</v>
      </c>
      <c r="E32451" s="5">
        <v>101.3</v>
      </c>
      <c r="F32451" s="5">
        <v>202.1</v>
      </c>
      <c r="G32451" s="5">
        <v>100.8</v>
      </c>
      <c r="H32451" s="5">
        <v>100.7</v>
      </c>
      <c r="I32451" s="5">
        <v>0</v>
      </c>
      <c r="J32451" s="5">
        <v>0</v>
      </c>
      <c r="K32451" s="5">
        <v>0</v>
      </c>
    </row>
    <row r="32452" spans="1:11" x14ac:dyDescent="0.25">
      <c r="A32452" s="5">
        <f>32445</f>
      </c>
      <c r="B32452" s="5" t="s">
        <v>32460</v>
      </c>
      <c r="C32452" s="5">
        <v>101.1</v>
      </c>
      <c r="D32452" s="5">
        <v>0.1</v>
      </c>
      <c r="E32452" s="5">
        <v>101.3</v>
      </c>
      <c r="F32452" s="5">
        <v>202.1</v>
      </c>
      <c r="G32452" s="5">
        <v>100.8</v>
      </c>
      <c r="H32452" s="5">
        <v>100.7</v>
      </c>
      <c r="I32452" s="5">
        <v>0</v>
      </c>
      <c r="J32452" s="5">
        <v>0</v>
      </c>
      <c r="K32452" s="5">
        <v>0</v>
      </c>
    </row>
    <row r="32453" spans="1:11" x14ac:dyDescent="0.25">
      <c r="A32453" s="5">
        <f>32446</f>
      </c>
      <c r="B32453" s="5" t="s">
        <v>32461</v>
      </c>
      <c r="C32453" s="5">
        <v>101.2</v>
      </c>
      <c r="D32453" s="5">
        <v>0.1</v>
      </c>
      <c r="E32453" s="5">
        <v>101.3</v>
      </c>
      <c r="F32453" s="5">
        <v>201.9</v>
      </c>
      <c r="G32453" s="5">
        <v>100.7</v>
      </c>
      <c r="H32453" s="5">
        <v>100.6</v>
      </c>
      <c r="I32453" s="5">
        <v>0</v>
      </c>
      <c r="J32453" s="5">
        <v>0</v>
      </c>
      <c r="K32453" s="5">
        <v>0</v>
      </c>
    </row>
    <row r="32454" spans="1:11" x14ac:dyDescent="0.25">
      <c r="A32454" s="5">
        <f>32447</f>
      </c>
      <c r="B32454" s="5" t="s">
        <v>32462</v>
      </c>
      <c r="C32454" s="5">
        <v>101.2</v>
      </c>
      <c r="D32454" s="5">
        <v>0.1</v>
      </c>
      <c r="E32454" s="5">
        <v>101.3</v>
      </c>
      <c r="F32454" s="5">
        <v>201.9</v>
      </c>
      <c r="G32454" s="5">
        <v>100.7</v>
      </c>
      <c r="H32454" s="5">
        <v>100.6</v>
      </c>
      <c r="I32454" s="5">
        <v>0</v>
      </c>
      <c r="J32454" s="5">
        <v>0</v>
      </c>
      <c r="K32454" s="5">
        <v>0</v>
      </c>
    </row>
    <row r="32455" spans="1:11" x14ac:dyDescent="0.25">
      <c r="A32455" s="5">
        <f>32448</f>
      </c>
      <c r="B32455" s="5" t="s">
        <v>32463</v>
      </c>
      <c r="C32455" s="5">
        <v>101.2</v>
      </c>
      <c r="D32455" s="5">
        <v>0.1</v>
      </c>
      <c r="E32455" s="5">
        <v>100.9</v>
      </c>
      <c r="F32455" s="5">
        <v>201.2</v>
      </c>
      <c r="G32455" s="5">
        <v>100.4</v>
      </c>
      <c r="H32455" s="5">
        <v>100.2</v>
      </c>
      <c r="I32455" s="5">
        <v>0</v>
      </c>
      <c r="J32455" s="5">
        <v>0</v>
      </c>
      <c r="K32455" s="5">
        <v>0</v>
      </c>
    </row>
    <row r="32456" spans="1:11" x14ac:dyDescent="0.25">
      <c r="A32456" s="5">
        <f>32449</f>
      </c>
      <c r="B32456" s="5" t="s">
        <v>32464</v>
      </c>
      <c r="C32456" s="5">
        <v>100.8</v>
      </c>
      <c r="D32456" s="5">
        <v>0.1</v>
      </c>
      <c r="E32456" s="5">
        <v>100.9</v>
      </c>
      <c r="F32456" s="5">
        <v>201.2</v>
      </c>
      <c r="G32456" s="5">
        <v>100.4</v>
      </c>
      <c r="H32456" s="5">
        <v>100.2</v>
      </c>
      <c r="I32456" s="5">
        <v>0</v>
      </c>
      <c r="J32456" s="5">
        <v>0</v>
      </c>
      <c r="K32456" s="5">
        <v>0</v>
      </c>
    </row>
    <row r="32457" spans="1:11" x14ac:dyDescent="0.25">
      <c r="A32457" s="5">
        <f>32450</f>
      </c>
      <c r="B32457" s="5" t="s">
        <v>32465</v>
      </c>
      <c r="C32457" s="5">
        <v>100.8</v>
      </c>
      <c r="D32457" s="5">
        <v>0.1</v>
      </c>
      <c r="E32457" s="5">
        <v>100.9</v>
      </c>
      <c r="F32457" s="5">
        <v>201.2</v>
      </c>
      <c r="G32457" s="5">
        <v>100.4</v>
      </c>
      <c r="H32457" s="5">
        <v>100.2</v>
      </c>
      <c r="I32457" s="5">
        <v>0</v>
      </c>
      <c r="J32457" s="5">
        <v>0</v>
      </c>
      <c r="K32457" s="5">
        <v>0</v>
      </c>
    </row>
    <row r="32458" spans="1:11" x14ac:dyDescent="0.25">
      <c r="A32458" s="5">
        <f>32451</f>
      </c>
      <c r="B32458" s="5" t="s">
        <v>32466</v>
      </c>
      <c r="C32458" s="5">
        <v>100.8</v>
      </c>
      <c r="D32458" s="5">
        <v>0.1</v>
      </c>
      <c r="E32458" s="5">
        <v>100.9</v>
      </c>
      <c r="F32458" s="5">
        <v>201.2</v>
      </c>
      <c r="G32458" s="5">
        <v>100.4</v>
      </c>
      <c r="H32458" s="5">
        <v>100.2</v>
      </c>
      <c r="I32458" s="5">
        <v>0</v>
      </c>
      <c r="J32458" s="5">
        <v>0</v>
      </c>
      <c r="K32458" s="5">
        <v>0</v>
      </c>
    </row>
    <row r="32459" spans="1:11" x14ac:dyDescent="0.25">
      <c r="A32459" s="5">
        <f>32452</f>
      </c>
      <c r="B32459" s="5" t="s">
        <v>32467</v>
      </c>
      <c r="C32459" s="5">
        <v>101.4</v>
      </c>
      <c r="D32459" s="5">
        <v>0.1</v>
      </c>
      <c r="E32459" s="5">
        <v>101.5</v>
      </c>
      <c r="F32459" s="5">
        <v>202.4</v>
      </c>
      <c r="G32459" s="5">
        <v>100.9</v>
      </c>
      <c r="H32459" s="5">
        <v>100.2</v>
      </c>
      <c r="I32459" s="5">
        <v>0</v>
      </c>
      <c r="J32459" s="5">
        <v>0</v>
      </c>
      <c r="K32459" s="5">
        <v>0</v>
      </c>
    </row>
    <row r="32460" spans="1:11" x14ac:dyDescent="0.25">
      <c r="A32460" s="5">
        <f>32453</f>
      </c>
      <c r="B32460" s="5" t="s">
        <v>32468</v>
      </c>
      <c r="C32460" s="5">
        <v>101.4</v>
      </c>
      <c r="D32460" s="5">
        <v>0.1</v>
      </c>
      <c r="E32460" s="5">
        <v>101.5</v>
      </c>
      <c r="F32460" s="5">
        <v>202.4</v>
      </c>
      <c r="G32460" s="5">
        <v>100.9</v>
      </c>
      <c r="H32460" s="5">
        <v>100.8</v>
      </c>
      <c r="I32460" s="5">
        <v>0</v>
      </c>
      <c r="J32460" s="5">
        <v>0</v>
      </c>
      <c r="K32460" s="5">
        <v>0</v>
      </c>
    </row>
    <row r="32461" spans="1:11" x14ac:dyDescent="0.25">
      <c r="A32461" s="5">
        <f>32454</f>
      </c>
      <c r="B32461" s="5" t="s">
        <v>32469</v>
      </c>
      <c r="C32461" s="5">
        <v>101.8</v>
      </c>
      <c r="D32461" s="5">
        <v>0.1</v>
      </c>
      <c r="E32461" s="5">
        <v>102</v>
      </c>
      <c r="F32461" s="5">
        <v>203.3</v>
      </c>
      <c r="G32461" s="5">
        <v>101.3</v>
      </c>
      <c r="H32461" s="5">
        <v>100.8</v>
      </c>
      <c r="I32461" s="5">
        <v>0</v>
      </c>
      <c r="J32461" s="5">
        <v>0</v>
      </c>
      <c r="K32461" s="5">
        <v>0</v>
      </c>
    </row>
    <row r="32462" spans="1:11" x14ac:dyDescent="0.25">
      <c r="A32462" s="5">
        <f>32455</f>
      </c>
      <c r="B32462" s="5" t="s">
        <v>32470</v>
      </c>
      <c r="C32462" s="5">
        <v>101.8</v>
      </c>
      <c r="D32462" s="5">
        <v>0.1</v>
      </c>
      <c r="E32462" s="5">
        <v>102</v>
      </c>
      <c r="F32462" s="5">
        <v>203.3</v>
      </c>
      <c r="G32462" s="5">
        <v>101.3</v>
      </c>
      <c r="H32462" s="5">
        <v>100.5</v>
      </c>
      <c r="I32462" s="5">
        <v>0</v>
      </c>
      <c r="J32462" s="5">
        <v>0</v>
      </c>
      <c r="K32462" s="5">
        <v>0</v>
      </c>
    </row>
    <row r="32463" spans="1:11" x14ac:dyDescent="0.25">
      <c r="A32463" s="5">
        <f>32456</f>
      </c>
      <c r="B32463" s="5" t="s">
        <v>32471</v>
      </c>
      <c r="C32463" s="5">
        <v>101.5</v>
      </c>
      <c r="D32463" s="5">
        <v>0.1</v>
      </c>
      <c r="E32463" s="5">
        <v>102</v>
      </c>
      <c r="F32463" s="5">
        <v>203.3</v>
      </c>
      <c r="G32463" s="5">
        <v>101.3</v>
      </c>
      <c r="H32463" s="5">
        <v>100.5</v>
      </c>
      <c r="I32463" s="5">
        <v>0</v>
      </c>
      <c r="J32463" s="5">
        <v>0</v>
      </c>
      <c r="K32463" s="5">
        <v>0</v>
      </c>
    </row>
    <row r="32464" spans="1:11" x14ac:dyDescent="0.25">
      <c r="A32464" s="5">
        <f>32457</f>
      </c>
      <c r="B32464" s="5" t="s">
        <v>32472</v>
      </c>
      <c r="C32464" s="5">
        <v>101.5</v>
      </c>
      <c r="D32464" s="5">
        <v>0.1</v>
      </c>
      <c r="E32464" s="5">
        <v>101.7</v>
      </c>
      <c r="F32464" s="5">
        <v>202.8</v>
      </c>
      <c r="G32464" s="5">
        <v>101.2</v>
      </c>
      <c r="H32464" s="5">
        <v>101</v>
      </c>
      <c r="I32464" s="5">
        <v>0</v>
      </c>
      <c r="J32464" s="5">
        <v>0</v>
      </c>
      <c r="K32464" s="5">
        <v>0</v>
      </c>
    </row>
    <row r="32465" spans="1:11" x14ac:dyDescent="0.25">
      <c r="A32465" s="5">
        <f>32458</f>
      </c>
      <c r="B32465" s="5" t="s">
        <v>32473</v>
      </c>
      <c r="C32465" s="5">
        <v>101.5</v>
      </c>
      <c r="D32465" s="5">
        <v>0.1</v>
      </c>
      <c r="E32465" s="5">
        <v>101.7</v>
      </c>
      <c r="F32465" s="5">
        <v>202.8</v>
      </c>
      <c r="G32465" s="5">
        <v>101.2</v>
      </c>
      <c r="H32465" s="5">
        <v>101</v>
      </c>
      <c r="I32465" s="5">
        <v>0</v>
      </c>
      <c r="J32465" s="5">
        <v>0</v>
      </c>
      <c r="K32465" s="5">
        <v>0</v>
      </c>
    </row>
    <row r="32466" spans="1:11" x14ac:dyDescent="0.25">
      <c r="A32466" s="5">
        <f>32459</f>
      </c>
      <c r="B32466" s="5" t="s">
        <v>32474</v>
      </c>
      <c r="C32466" s="5">
        <v>100.8</v>
      </c>
      <c r="D32466" s="5">
        <v>0.1</v>
      </c>
      <c r="E32466" s="5">
        <v>101</v>
      </c>
      <c r="F32466" s="5">
        <v>201.8</v>
      </c>
      <c r="G32466" s="5">
        <v>100.7</v>
      </c>
      <c r="H32466" s="5">
        <v>100.5</v>
      </c>
      <c r="I32466" s="5">
        <v>0</v>
      </c>
      <c r="J32466" s="5">
        <v>0</v>
      </c>
      <c r="K32466" s="5">
        <v>0</v>
      </c>
    </row>
    <row r="32467" spans="1:11" x14ac:dyDescent="0.25">
      <c r="A32467" s="5">
        <f>32460</f>
      </c>
      <c r="B32467" s="5" t="s">
        <v>32475</v>
      </c>
      <c r="C32467" s="5">
        <v>100.8</v>
      </c>
      <c r="D32467" s="5">
        <v>0.1</v>
      </c>
      <c r="E32467" s="5">
        <v>101</v>
      </c>
      <c r="F32467" s="5">
        <v>201.8</v>
      </c>
      <c r="G32467" s="5">
        <v>100.7</v>
      </c>
      <c r="H32467" s="5">
        <v>100.5</v>
      </c>
      <c r="I32467" s="5">
        <v>0</v>
      </c>
      <c r="J32467" s="5">
        <v>0</v>
      </c>
      <c r="K32467" s="5">
        <v>0</v>
      </c>
    </row>
    <row r="32468" spans="1:11" x14ac:dyDescent="0.25">
      <c r="A32468" s="5">
        <f>32461</f>
      </c>
      <c r="B32468" s="5" t="s">
        <v>32476</v>
      </c>
      <c r="C32468" s="5">
        <v>100.8</v>
      </c>
      <c r="D32468" s="5">
        <v>0.1</v>
      </c>
      <c r="E32468" s="5">
        <v>101</v>
      </c>
      <c r="F32468" s="5">
        <v>201.8</v>
      </c>
      <c r="G32468" s="5">
        <v>100.7</v>
      </c>
      <c r="H32468" s="5">
        <v>100.5</v>
      </c>
      <c r="I32468" s="5">
        <v>0</v>
      </c>
      <c r="J32468" s="5">
        <v>0</v>
      </c>
      <c r="K32468" s="5">
        <v>0</v>
      </c>
    </row>
    <row r="32469" spans="1:11" x14ac:dyDescent="0.25">
      <c r="A32469" s="5">
        <f>32462</f>
      </c>
      <c r="B32469" s="5" t="s">
        <v>32477</v>
      </c>
      <c r="C32469" s="5">
        <v>100.8</v>
      </c>
      <c r="D32469" s="5">
        <v>0.1</v>
      </c>
      <c r="E32469" s="5">
        <v>101</v>
      </c>
      <c r="F32469" s="5">
        <v>201.8</v>
      </c>
      <c r="G32469" s="5">
        <v>100.7</v>
      </c>
      <c r="H32469" s="5">
        <v>100.5</v>
      </c>
      <c r="I32469" s="5">
        <v>0</v>
      </c>
      <c r="J32469" s="5">
        <v>0</v>
      </c>
      <c r="K32469" s="5">
        <v>0</v>
      </c>
    </row>
    <row r="32470" spans="1:11" x14ac:dyDescent="0.25">
      <c r="A32470" s="5">
        <f>32463</f>
      </c>
      <c r="B32470" s="5" t="s">
        <v>32478</v>
      </c>
      <c r="C32470" s="5">
        <v>100.6</v>
      </c>
      <c r="D32470" s="5">
        <v>0.1</v>
      </c>
      <c r="E32470" s="5">
        <v>100.8</v>
      </c>
      <c r="F32470" s="5">
        <v>201</v>
      </c>
      <c r="G32470" s="5">
        <v>100.2</v>
      </c>
      <c r="H32470" s="5">
        <v>100</v>
      </c>
      <c r="I32470" s="5">
        <v>0</v>
      </c>
      <c r="J32470" s="5">
        <v>0</v>
      </c>
      <c r="K32470" s="5">
        <v>0</v>
      </c>
    </row>
    <row r="32471" spans="1:11" x14ac:dyDescent="0.25">
      <c r="A32471" s="5">
        <f>32464</f>
      </c>
      <c r="B32471" s="5" t="s">
        <v>32479</v>
      </c>
      <c r="C32471" s="5">
        <v>100.6</v>
      </c>
      <c r="D32471" s="5">
        <v>0.1</v>
      </c>
      <c r="E32471" s="5">
        <v>100.8</v>
      </c>
      <c r="F32471" s="5">
        <v>201</v>
      </c>
      <c r="G32471" s="5">
        <v>100.2</v>
      </c>
      <c r="H32471" s="5">
        <v>100</v>
      </c>
      <c r="I32471" s="5">
        <v>0</v>
      </c>
      <c r="J32471" s="5">
        <v>0</v>
      </c>
      <c r="K32471" s="5">
        <v>0</v>
      </c>
    </row>
    <row r="32472" spans="1:11" x14ac:dyDescent="0.25">
      <c r="A32472" s="5">
        <f>32465</f>
      </c>
      <c r="B32472" s="5" t="s">
        <v>32480</v>
      </c>
      <c r="C32472" s="5">
        <v>101</v>
      </c>
      <c r="D32472" s="5">
        <v>0.1</v>
      </c>
      <c r="E32472" s="5">
        <v>101.1</v>
      </c>
      <c r="F32472" s="5">
        <v>200.9</v>
      </c>
      <c r="G32472" s="5">
        <v>100.2</v>
      </c>
      <c r="H32472" s="5">
        <v>100</v>
      </c>
      <c r="I32472" s="5">
        <v>0</v>
      </c>
      <c r="J32472" s="5">
        <v>0</v>
      </c>
      <c r="K32472" s="5">
        <v>0</v>
      </c>
    </row>
    <row r="32473" spans="1:11" x14ac:dyDescent="0.25">
      <c r="A32473" s="5">
        <f>32466</f>
      </c>
      <c r="B32473" s="5" t="s">
        <v>32481</v>
      </c>
      <c r="C32473" s="5">
        <v>101</v>
      </c>
      <c r="D32473" s="5">
        <v>0.1</v>
      </c>
      <c r="E32473" s="5">
        <v>101.1</v>
      </c>
      <c r="F32473" s="5">
        <v>200.9</v>
      </c>
      <c r="G32473" s="5">
        <v>100.2</v>
      </c>
      <c r="H32473" s="5">
        <v>100</v>
      </c>
      <c r="I32473" s="5">
        <v>0</v>
      </c>
      <c r="J32473" s="5">
        <v>0</v>
      </c>
      <c r="K32473" s="5">
        <v>0</v>
      </c>
    </row>
    <row r="32474" spans="1:11" x14ac:dyDescent="0.25">
      <c r="A32474" s="5">
        <f>32467</f>
      </c>
      <c r="B32474" s="5" t="s">
        <v>32482</v>
      </c>
      <c r="C32474" s="5">
        <v>101.5</v>
      </c>
      <c r="D32474" s="5">
        <v>0.1</v>
      </c>
      <c r="E32474" s="5">
        <v>101.7</v>
      </c>
      <c r="F32474" s="5">
        <v>202.6</v>
      </c>
      <c r="G32474" s="5">
        <v>101.1</v>
      </c>
      <c r="H32474" s="5">
        <v>100.9</v>
      </c>
      <c r="I32474" s="5">
        <v>0</v>
      </c>
      <c r="J32474" s="5">
        <v>0</v>
      </c>
      <c r="K32474" s="5">
        <v>0</v>
      </c>
    </row>
    <row r="32475" spans="1:11" x14ac:dyDescent="0.25">
      <c r="A32475" s="5">
        <f>32468</f>
      </c>
      <c r="B32475" s="5" t="s">
        <v>32483</v>
      </c>
      <c r="C32475" s="5">
        <v>101.5</v>
      </c>
      <c r="D32475" s="5">
        <v>0.1</v>
      </c>
      <c r="E32475" s="5">
        <v>101.7</v>
      </c>
      <c r="F32475" s="5">
        <v>202.6</v>
      </c>
      <c r="G32475" s="5">
        <v>101.1</v>
      </c>
      <c r="H32475" s="5">
        <v>100.9</v>
      </c>
      <c r="I32475" s="5">
        <v>0</v>
      </c>
      <c r="J32475" s="5">
        <v>0</v>
      </c>
      <c r="K32475" s="5">
        <v>0</v>
      </c>
    </row>
    <row r="32476" spans="1:11" x14ac:dyDescent="0.25">
      <c r="A32476" s="5">
        <f>32469</f>
      </c>
      <c r="B32476" s="5" t="s">
        <v>32484</v>
      </c>
      <c r="C32476" s="5">
        <v>101</v>
      </c>
      <c r="D32476" s="5">
        <v>0.1</v>
      </c>
      <c r="E32476" s="5">
        <v>101.1</v>
      </c>
      <c r="F32476" s="5">
        <v>202.7</v>
      </c>
      <c r="G32476" s="5">
        <v>101.1</v>
      </c>
      <c r="H32476" s="5">
        <v>101</v>
      </c>
      <c r="I32476" s="5">
        <v>0</v>
      </c>
      <c r="J32476" s="5">
        <v>0</v>
      </c>
      <c r="K32476" s="5">
        <v>0</v>
      </c>
    </row>
    <row r="32477" spans="1:11" x14ac:dyDescent="0.25">
      <c r="A32477" s="5">
        <f>32470</f>
      </c>
      <c r="B32477" s="5" t="s">
        <v>32485</v>
      </c>
      <c r="C32477" s="5">
        <v>101</v>
      </c>
      <c r="D32477" s="5">
        <v>0.1</v>
      </c>
      <c r="E32477" s="5">
        <v>101.1</v>
      </c>
      <c r="F32477" s="5">
        <v>202.7</v>
      </c>
      <c r="G32477" s="5">
        <v>101.1</v>
      </c>
      <c r="H32477" s="5">
        <v>101</v>
      </c>
      <c r="I32477" s="5">
        <v>0</v>
      </c>
      <c r="J32477" s="5">
        <v>0</v>
      </c>
      <c r="K32477" s="5">
        <v>0</v>
      </c>
    </row>
    <row r="32478" spans="1:11" x14ac:dyDescent="0.25">
      <c r="A32478" s="5">
        <f>32471</f>
      </c>
      <c r="B32478" s="5" t="s">
        <v>32486</v>
      </c>
      <c r="C32478" s="5">
        <v>101</v>
      </c>
      <c r="D32478" s="5">
        <v>0.1</v>
      </c>
      <c r="E32478" s="5">
        <v>101.1</v>
      </c>
      <c r="F32478" s="5">
        <v>202.7</v>
      </c>
      <c r="G32478" s="5">
        <v>101.1</v>
      </c>
      <c r="H32478" s="5">
        <v>101</v>
      </c>
      <c r="I32478" s="5">
        <v>0</v>
      </c>
      <c r="J32478" s="5">
        <v>0</v>
      </c>
      <c r="K32478" s="5">
        <v>0</v>
      </c>
    </row>
    <row r="32479" spans="1:11" x14ac:dyDescent="0.25">
      <c r="A32479" s="5">
        <f>32472</f>
      </c>
      <c r="B32479" s="5" t="s">
        <v>32487</v>
      </c>
      <c r="C32479" s="5">
        <v>101</v>
      </c>
      <c r="D32479" s="5">
        <v>0.1</v>
      </c>
      <c r="E32479" s="5">
        <v>101.1</v>
      </c>
      <c r="F32479" s="5">
        <v>202.1</v>
      </c>
      <c r="G32479" s="5">
        <v>100.9</v>
      </c>
      <c r="H32479" s="5">
        <v>100.7</v>
      </c>
      <c r="I32479" s="5">
        <v>0</v>
      </c>
      <c r="J32479" s="5">
        <v>0</v>
      </c>
      <c r="K32479" s="5">
        <v>0</v>
      </c>
    </row>
    <row r="32480" spans="1:11" x14ac:dyDescent="0.25">
      <c r="A32480" s="5">
        <f>32473</f>
      </c>
      <c r="B32480" s="5" t="s">
        <v>32488</v>
      </c>
      <c r="C32480" s="5">
        <v>101</v>
      </c>
      <c r="D32480" s="5">
        <v>0.1</v>
      </c>
      <c r="E32480" s="5">
        <v>101.1</v>
      </c>
      <c r="F32480" s="5">
        <v>202.1</v>
      </c>
      <c r="G32480" s="5">
        <v>100.9</v>
      </c>
      <c r="H32480" s="5">
        <v>100.7</v>
      </c>
      <c r="I32480" s="5">
        <v>0</v>
      </c>
      <c r="J32480" s="5">
        <v>0</v>
      </c>
      <c r="K32480" s="5">
        <v>0</v>
      </c>
    </row>
    <row r="32481" spans="1:11" x14ac:dyDescent="0.25">
      <c r="A32481" s="5">
        <f>32474</f>
      </c>
      <c r="B32481" s="5" t="s">
        <v>32489</v>
      </c>
      <c r="C32481" s="5">
        <v>99.9</v>
      </c>
      <c r="D32481" s="5">
        <v>0.1</v>
      </c>
      <c r="E32481" s="5">
        <v>100.1</v>
      </c>
      <c r="F32481" s="5">
        <v>200.8</v>
      </c>
      <c r="G32481" s="5">
        <v>100.1</v>
      </c>
      <c r="H32481" s="5">
        <v>99.9</v>
      </c>
      <c r="I32481" s="5">
        <v>0</v>
      </c>
      <c r="J32481" s="5">
        <v>0</v>
      </c>
      <c r="K32481" s="5">
        <v>0</v>
      </c>
    </row>
    <row r="32482" spans="1:11" x14ac:dyDescent="0.25">
      <c r="A32482" s="5">
        <f>32475</f>
      </c>
      <c r="B32482" s="5" t="s">
        <v>32490</v>
      </c>
      <c r="C32482" s="5">
        <v>99.9</v>
      </c>
      <c r="D32482" s="5">
        <v>0.1</v>
      </c>
      <c r="E32482" s="5">
        <v>100.1</v>
      </c>
      <c r="F32482" s="5">
        <v>200.8</v>
      </c>
      <c r="G32482" s="5">
        <v>100.1</v>
      </c>
      <c r="H32482" s="5">
        <v>99.9</v>
      </c>
      <c r="I32482" s="5">
        <v>0</v>
      </c>
      <c r="J32482" s="5">
        <v>0</v>
      </c>
      <c r="K32482" s="5">
        <v>0</v>
      </c>
    </row>
    <row r="32483" spans="1:11" x14ac:dyDescent="0.25">
      <c r="A32483" s="5">
        <f>32476</f>
      </c>
      <c r="B32483" s="5" t="s">
        <v>32491</v>
      </c>
      <c r="C32483" s="5">
        <v>101</v>
      </c>
      <c r="D32483" s="5">
        <v>0.1</v>
      </c>
      <c r="E32483" s="5">
        <v>101.1</v>
      </c>
      <c r="F32483" s="5">
        <v>201.7</v>
      </c>
      <c r="G32483" s="5">
        <v>100.6</v>
      </c>
      <c r="H32483" s="5">
        <v>100.5</v>
      </c>
      <c r="I32483" s="5">
        <v>0</v>
      </c>
      <c r="J32483" s="5">
        <v>0</v>
      </c>
      <c r="K32483" s="5">
        <v>0</v>
      </c>
    </row>
    <row r="32484" spans="1:11" x14ac:dyDescent="0.25">
      <c r="A32484" s="5">
        <f>32477</f>
      </c>
      <c r="B32484" s="5" t="s">
        <v>32492</v>
      </c>
      <c r="C32484" s="5">
        <v>101</v>
      </c>
      <c r="D32484" s="5">
        <v>0.1</v>
      </c>
      <c r="E32484" s="5">
        <v>101.1</v>
      </c>
      <c r="F32484" s="5">
        <v>201.7</v>
      </c>
      <c r="G32484" s="5">
        <v>100.6</v>
      </c>
      <c r="H32484" s="5">
        <v>100.5</v>
      </c>
      <c r="I32484" s="5">
        <v>0</v>
      </c>
      <c r="J32484" s="5">
        <v>0</v>
      </c>
      <c r="K32484" s="5">
        <v>0</v>
      </c>
    </row>
    <row r="32485" spans="1:11" x14ac:dyDescent="0.25">
      <c r="A32485" s="5">
        <f>32478</f>
      </c>
      <c r="B32485" s="5" t="s">
        <v>32493</v>
      </c>
      <c r="C32485" s="5">
        <v>101.4</v>
      </c>
      <c r="D32485" s="5">
        <v>0.1</v>
      </c>
      <c r="E32485" s="5">
        <v>101.5</v>
      </c>
      <c r="F32485" s="5">
        <v>201.9</v>
      </c>
      <c r="G32485" s="5">
        <v>100.7</v>
      </c>
      <c r="H32485" s="5">
        <v>100.6</v>
      </c>
      <c r="I32485" s="5">
        <v>0</v>
      </c>
      <c r="J32485" s="5">
        <v>0</v>
      </c>
      <c r="K32485" s="5">
        <v>0</v>
      </c>
    </row>
    <row r="32486" spans="1:11" x14ac:dyDescent="0.25">
      <c r="A32486" s="5">
        <f>32479</f>
      </c>
      <c r="B32486" s="5" t="s">
        <v>32494</v>
      </c>
      <c r="C32486" s="5">
        <v>101.4</v>
      </c>
      <c r="D32486" s="5">
        <v>0.1</v>
      </c>
      <c r="E32486" s="5">
        <v>101.5</v>
      </c>
      <c r="F32486" s="5">
        <v>201.9</v>
      </c>
      <c r="G32486" s="5">
        <v>100.7</v>
      </c>
      <c r="H32486" s="5">
        <v>100.6</v>
      </c>
      <c r="I32486" s="5">
        <v>0</v>
      </c>
      <c r="J32486" s="5">
        <v>0</v>
      </c>
      <c r="K32486" s="5">
        <v>0</v>
      </c>
    </row>
    <row r="32487" spans="1:11" x14ac:dyDescent="0.25">
      <c r="A32487" s="5">
        <f>32480</f>
      </c>
      <c r="B32487" s="5" t="s">
        <v>32495</v>
      </c>
      <c r="C32487" s="5">
        <v>101.4</v>
      </c>
      <c r="D32487" s="5">
        <v>0.1</v>
      </c>
      <c r="E32487" s="5">
        <v>101.5</v>
      </c>
      <c r="F32487" s="5">
        <v>201.9</v>
      </c>
      <c r="G32487" s="5">
        <v>100.7</v>
      </c>
      <c r="H32487" s="5">
        <v>100.6</v>
      </c>
      <c r="I32487" s="5">
        <v>0</v>
      </c>
      <c r="J32487" s="5">
        <v>0</v>
      </c>
      <c r="K32487" s="5">
        <v>0</v>
      </c>
    </row>
    <row r="32488" spans="1:11" x14ac:dyDescent="0.25">
      <c r="A32488" s="5">
        <f>32481</f>
      </c>
      <c r="B32488" s="5" t="s">
        <v>32496</v>
      </c>
      <c r="C32488" s="5">
        <v>101.4</v>
      </c>
      <c r="D32488" s="5">
        <v>0.1</v>
      </c>
      <c r="E32488" s="5">
        <v>101.5</v>
      </c>
      <c r="F32488" s="5">
        <v>201.9</v>
      </c>
      <c r="G32488" s="5">
        <v>100.7</v>
      </c>
      <c r="H32488" s="5">
        <v>100.6</v>
      </c>
      <c r="I32488" s="5">
        <v>0</v>
      </c>
      <c r="J32488" s="5">
        <v>0</v>
      </c>
      <c r="K32488" s="5">
        <v>0</v>
      </c>
    </row>
    <row r="32489" spans="1:11" x14ac:dyDescent="0.25">
      <c r="A32489" s="5">
        <f>32482</f>
      </c>
      <c r="B32489" s="5" t="s">
        <v>32497</v>
      </c>
      <c r="C32489" s="5">
        <v>101</v>
      </c>
      <c r="D32489" s="5">
        <v>0.1</v>
      </c>
      <c r="E32489" s="5">
        <v>101.1</v>
      </c>
      <c r="F32489" s="5">
        <v>201.8</v>
      </c>
      <c r="G32489" s="5">
        <v>100.6</v>
      </c>
      <c r="H32489" s="5">
        <v>100.4</v>
      </c>
      <c r="I32489" s="5">
        <v>0</v>
      </c>
      <c r="J32489" s="5">
        <v>0</v>
      </c>
      <c r="K32489" s="5">
        <v>0</v>
      </c>
    </row>
    <row r="32490" spans="1:11" x14ac:dyDescent="0.25">
      <c r="A32490" s="5">
        <f>32483</f>
      </c>
      <c r="B32490" s="5" t="s">
        <v>32498</v>
      </c>
      <c r="C32490" s="5">
        <v>101</v>
      </c>
      <c r="D32490" s="5">
        <v>0.1</v>
      </c>
      <c r="E32490" s="5">
        <v>101.1</v>
      </c>
      <c r="F32490" s="5">
        <v>201.8</v>
      </c>
      <c r="G32490" s="5">
        <v>100.6</v>
      </c>
      <c r="H32490" s="5">
        <v>100.4</v>
      </c>
      <c r="I32490" s="5">
        <v>0</v>
      </c>
      <c r="J32490" s="5">
        <v>0</v>
      </c>
      <c r="K32490" s="5">
        <v>0</v>
      </c>
    </row>
    <row r="32491" spans="1:11" x14ac:dyDescent="0.25">
      <c r="A32491" s="5">
        <f>32484</f>
      </c>
      <c r="B32491" s="5" t="s">
        <v>32499</v>
      </c>
      <c r="C32491" s="5">
        <v>101</v>
      </c>
      <c r="D32491" s="5">
        <v>0.1</v>
      </c>
      <c r="E32491" s="5">
        <v>101.1</v>
      </c>
      <c r="F32491" s="5">
        <v>201.8</v>
      </c>
      <c r="G32491" s="5">
        <v>100.6</v>
      </c>
      <c r="H32491" s="5">
        <v>100.4</v>
      </c>
      <c r="I32491" s="5">
        <v>0</v>
      </c>
      <c r="J32491" s="5">
        <v>0</v>
      </c>
      <c r="K32491" s="5">
        <v>0</v>
      </c>
    </row>
    <row r="32492" spans="1:11" x14ac:dyDescent="0.25">
      <c r="A32492" s="5">
        <f>32485</f>
      </c>
      <c r="B32492" s="5" t="s">
        <v>32500</v>
      </c>
      <c r="C32492" s="5">
        <v>101</v>
      </c>
      <c r="D32492" s="5">
        <v>0.1</v>
      </c>
      <c r="E32492" s="5">
        <v>101.1</v>
      </c>
      <c r="F32492" s="5">
        <v>201.8</v>
      </c>
      <c r="G32492" s="5">
        <v>100.6</v>
      </c>
      <c r="H32492" s="5">
        <v>100.4</v>
      </c>
      <c r="I32492" s="5">
        <v>0</v>
      </c>
      <c r="J32492" s="5">
        <v>0</v>
      </c>
      <c r="K32492" s="5">
        <v>0</v>
      </c>
    </row>
    <row r="32493" spans="1:11" x14ac:dyDescent="0.25">
      <c r="A32493" s="5">
        <f>32486</f>
      </c>
      <c r="B32493" s="5" t="s">
        <v>32501</v>
      </c>
      <c r="C32493" s="5">
        <v>101.6</v>
      </c>
      <c r="D32493" s="5">
        <v>0.1</v>
      </c>
      <c r="E32493" s="5">
        <v>101.8</v>
      </c>
      <c r="F32493" s="5">
        <v>201.7</v>
      </c>
      <c r="G32493" s="5">
        <v>100.6</v>
      </c>
      <c r="H32493" s="5">
        <v>100.5</v>
      </c>
      <c r="I32493" s="5">
        <v>0</v>
      </c>
      <c r="J32493" s="5">
        <v>0</v>
      </c>
      <c r="K32493" s="5">
        <v>0</v>
      </c>
    </row>
    <row r="32494" spans="1:11" x14ac:dyDescent="0.25">
      <c r="A32494" s="5">
        <f>32487</f>
      </c>
      <c r="B32494" s="5" t="s">
        <v>32502</v>
      </c>
      <c r="C32494" s="5">
        <v>101.6</v>
      </c>
      <c r="D32494" s="5">
        <v>0.1</v>
      </c>
      <c r="E32494" s="5">
        <v>101.8</v>
      </c>
      <c r="F32494" s="5">
        <v>201.7</v>
      </c>
      <c r="G32494" s="5">
        <v>100.6</v>
      </c>
      <c r="H32494" s="5">
        <v>100.5</v>
      </c>
      <c r="I32494" s="5">
        <v>0</v>
      </c>
      <c r="J32494" s="5">
        <v>0</v>
      </c>
      <c r="K32494" s="5">
        <v>0</v>
      </c>
    </row>
    <row r="32495" spans="1:11" x14ac:dyDescent="0.25">
      <c r="A32495" s="5">
        <f>32488</f>
      </c>
      <c r="B32495" s="5" t="s">
        <v>32503</v>
      </c>
      <c r="C32495" s="5">
        <v>100.6</v>
      </c>
      <c r="D32495" s="5">
        <v>0.1</v>
      </c>
      <c r="E32495" s="5">
        <v>100.8</v>
      </c>
      <c r="F32495" s="5">
        <v>201.4</v>
      </c>
      <c r="G32495" s="5">
        <v>100.4</v>
      </c>
      <c r="H32495" s="5">
        <v>100.3</v>
      </c>
      <c r="I32495" s="5">
        <v>0</v>
      </c>
      <c r="J32495" s="5">
        <v>0</v>
      </c>
      <c r="K32495" s="5">
        <v>0</v>
      </c>
    </row>
    <row r="32496" spans="1:11" x14ac:dyDescent="0.25">
      <c r="A32496" s="5">
        <f>32489</f>
      </c>
      <c r="B32496" s="5" t="s">
        <v>32504</v>
      </c>
      <c r="C32496" s="5">
        <v>100.6</v>
      </c>
      <c r="D32496" s="5">
        <v>0.1</v>
      </c>
      <c r="E32496" s="5">
        <v>100.8</v>
      </c>
      <c r="F32496" s="5">
        <v>201.4</v>
      </c>
      <c r="G32496" s="5">
        <v>100.4</v>
      </c>
      <c r="H32496" s="5">
        <v>100.3</v>
      </c>
      <c r="I32496" s="5">
        <v>0</v>
      </c>
      <c r="J32496" s="5">
        <v>0</v>
      </c>
      <c r="K32496" s="5">
        <v>0</v>
      </c>
    </row>
    <row r="32497" spans="1:11" x14ac:dyDescent="0.25">
      <c r="A32497" s="5">
        <f>32490</f>
      </c>
      <c r="B32497" s="5" t="s">
        <v>32505</v>
      </c>
      <c r="C32497" s="5">
        <v>100.6</v>
      </c>
      <c r="D32497" s="5">
        <v>0.1</v>
      </c>
      <c r="E32497" s="5">
        <v>100.8</v>
      </c>
      <c r="F32497" s="5">
        <v>201.4</v>
      </c>
      <c r="G32497" s="5">
        <v>100.4</v>
      </c>
      <c r="H32497" s="5">
        <v>100.3</v>
      </c>
      <c r="I32497" s="5">
        <v>0</v>
      </c>
      <c r="J32497" s="5">
        <v>0</v>
      </c>
      <c r="K32497" s="5">
        <v>0</v>
      </c>
    </row>
    <row r="32498" spans="1:11" x14ac:dyDescent="0.25">
      <c r="A32498" s="5">
        <f>32491</f>
      </c>
      <c r="B32498" s="5" t="s">
        <v>32506</v>
      </c>
      <c r="C32498" s="5">
        <v>100.6</v>
      </c>
      <c r="D32498" s="5">
        <v>0.1</v>
      </c>
      <c r="E32498" s="5">
        <v>100.8</v>
      </c>
      <c r="F32498" s="5">
        <v>201.4</v>
      </c>
      <c r="G32498" s="5">
        <v>100.4</v>
      </c>
      <c r="H32498" s="5">
        <v>100.3</v>
      </c>
      <c r="I32498" s="5">
        <v>0</v>
      </c>
      <c r="J32498" s="5">
        <v>0</v>
      </c>
      <c r="K32498" s="5">
        <v>0</v>
      </c>
    </row>
    <row r="32499" spans="1:11" x14ac:dyDescent="0.25">
      <c r="A32499" s="5">
        <f>32492</f>
      </c>
      <c r="B32499" s="5" t="s">
        <v>32507</v>
      </c>
      <c r="C32499" s="5">
        <v>101.1</v>
      </c>
      <c r="D32499" s="5">
        <v>0.1</v>
      </c>
      <c r="E32499" s="5">
        <v>101.3</v>
      </c>
      <c r="F32499" s="5">
        <v>201.7</v>
      </c>
      <c r="G32499" s="5">
        <v>100.7</v>
      </c>
      <c r="H32499" s="5">
        <v>100.5</v>
      </c>
      <c r="I32499" s="5">
        <v>0</v>
      </c>
      <c r="J32499" s="5">
        <v>0</v>
      </c>
      <c r="K32499" s="5">
        <v>0</v>
      </c>
    </row>
    <row r="32500" spans="1:11" x14ac:dyDescent="0.25">
      <c r="A32500" s="5">
        <f>32493</f>
      </c>
      <c r="B32500" s="5" t="s">
        <v>32508</v>
      </c>
      <c r="C32500" s="5">
        <v>101.1</v>
      </c>
      <c r="D32500" s="5">
        <v>0.1</v>
      </c>
      <c r="E32500" s="5">
        <v>101.3</v>
      </c>
      <c r="F32500" s="5">
        <v>201.7</v>
      </c>
      <c r="G32500" s="5">
        <v>100.7</v>
      </c>
      <c r="H32500" s="5">
        <v>100.5</v>
      </c>
      <c r="I32500" s="5">
        <v>0</v>
      </c>
      <c r="J32500" s="5">
        <v>0</v>
      </c>
      <c r="K32500" s="5">
        <v>0</v>
      </c>
    </row>
    <row r="32501" spans="1:11" x14ac:dyDescent="0.25">
      <c r="A32501" s="5">
        <f>32494</f>
      </c>
      <c r="B32501" s="5" t="s">
        <v>32509</v>
      </c>
      <c r="C32501" s="5">
        <v>101.3</v>
      </c>
      <c r="D32501" s="5">
        <v>0.1</v>
      </c>
      <c r="E32501" s="5">
        <v>101.4</v>
      </c>
      <c r="F32501" s="5">
        <v>202.2</v>
      </c>
      <c r="G32501" s="5">
        <v>100.9</v>
      </c>
      <c r="H32501" s="5">
        <v>100.7</v>
      </c>
      <c r="I32501" s="5">
        <v>0</v>
      </c>
      <c r="J32501" s="5">
        <v>0</v>
      </c>
      <c r="K32501" s="5">
        <v>0</v>
      </c>
    </row>
    <row r="32502" spans="1:11" x14ac:dyDescent="0.25">
      <c r="A32502" s="5">
        <f>32495</f>
      </c>
      <c r="B32502" s="5" t="s">
        <v>32510</v>
      </c>
      <c r="C32502" s="5">
        <v>101.3</v>
      </c>
      <c r="D32502" s="5">
        <v>0.1</v>
      </c>
      <c r="E32502" s="5">
        <v>101.4</v>
      </c>
      <c r="F32502" s="5">
        <v>202.2</v>
      </c>
      <c r="G32502" s="5">
        <v>100.9</v>
      </c>
      <c r="H32502" s="5">
        <v>100.7</v>
      </c>
      <c r="I32502" s="5">
        <v>0</v>
      </c>
      <c r="J32502" s="5">
        <v>0</v>
      </c>
      <c r="K32502" s="5">
        <v>0</v>
      </c>
    </row>
    <row r="32503" spans="1:11" x14ac:dyDescent="0.25">
      <c r="A32503" s="5">
        <f>32496</f>
      </c>
      <c r="B32503" s="5" t="s">
        <v>32511</v>
      </c>
      <c r="C32503" s="5">
        <v>100.3</v>
      </c>
      <c r="D32503" s="5">
        <v>0.1</v>
      </c>
      <c r="E32503" s="5">
        <v>100.4</v>
      </c>
      <c r="F32503" s="5">
        <v>200.1</v>
      </c>
      <c r="G32503" s="5">
        <v>99.8</v>
      </c>
      <c r="H32503" s="5">
        <v>99.7</v>
      </c>
      <c r="I32503" s="5">
        <v>0</v>
      </c>
      <c r="J32503" s="5">
        <v>0</v>
      </c>
      <c r="K32503" s="5">
        <v>0</v>
      </c>
    </row>
    <row r="32504" spans="1:11" x14ac:dyDescent="0.25">
      <c r="A32504" s="5">
        <f>32497</f>
      </c>
      <c r="B32504" s="5" t="s">
        <v>32512</v>
      </c>
      <c r="C32504" s="5">
        <v>100.3</v>
      </c>
      <c r="D32504" s="5">
        <v>0.1</v>
      </c>
      <c r="E32504" s="5">
        <v>100.4</v>
      </c>
      <c r="F32504" s="5">
        <v>200.1</v>
      </c>
      <c r="G32504" s="5">
        <v>99.8</v>
      </c>
      <c r="H32504" s="5">
        <v>99.7</v>
      </c>
      <c r="I32504" s="5">
        <v>0</v>
      </c>
      <c r="J32504" s="5">
        <v>0</v>
      </c>
      <c r="K32504" s="5">
        <v>0</v>
      </c>
    </row>
    <row r="32505" spans="1:11" x14ac:dyDescent="0.25">
      <c r="A32505" s="5">
        <f>32498</f>
      </c>
      <c r="B32505" s="5" t="s">
        <v>32513</v>
      </c>
      <c r="C32505" s="5">
        <v>101</v>
      </c>
      <c r="D32505" s="5">
        <v>0.1</v>
      </c>
      <c r="E32505" s="5">
        <v>101.1</v>
      </c>
      <c r="F32505" s="5">
        <v>201.6</v>
      </c>
      <c r="G32505" s="5">
        <v>100.5</v>
      </c>
      <c r="H32505" s="5">
        <v>100.4</v>
      </c>
      <c r="I32505" s="5">
        <v>0</v>
      </c>
      <c r="J32505" s="5">
        <v>0</v>
      </c>
      <c r="K32505" s="5">
        <v>0</v>
      </c>
    </row>
    <row r="32506" spans="1:11" x14ac:dyDescent="0.25">
      <c r="A32506" s="5">
        <f>32499</f>
      </c>
      <c r="B32506" s="5" t="s">
        <v>32514</v>
      </c>
      <c r="C32506" s="5">
        <v>101</v>
      </c>
      <c r="D32506" s="5">
        <v>0.1</v>
      </c>
      <c r="E32506" s="5">
        <v>101.1</v>
      </c>
      <c r="F32506" s="5">
        <v>201.6</v>
      </c>
      <c r="G32506" s="5">
        <v>100.5</v>
      </c>
      <c r="H32506" s="5">
        <v>100.4</v>
      </c>
      <c r="I32506" s="5">
        <v>0</v>
      </c>
      <c r="J32506" s="5">
        <v>0</v>
      </c>
      <c r="K32506" s="5">
        <v>0</v>
      </c>
    </row>
    <row r="32507" spans="1:11" x14ac:dyDescent="0.25">
      <c r="A32507" s="5">
        <f>32500</f>
      </c>
      <c r="B32507" s="5" t="s">
        <v>32515</v>
      </c>
      <c r="C32507" s="5">
        <v>101</v>
      </c>
      <c r="D32507" s="5">
        <v>0.1</v>
      </c>
      <c r="E32507" s="5">
        <v>101.1</v>
      </c>
      <c r="F32507" s="5">
        <v>201.6</v>
      </c>
      <c r="G32507" s="5">
        <v>100.5</v>
      </c>
      <c r="H32507" s="5">
        <v>100.4</v>
      </c>
      <c r="I32507" s="5">
        <v>0</v>
      </c>
      <c r="J32507" s="5">
        <v>0</v>
      </c>
      <c r="K32507" s="5">
        <v>0</v>
      </c>
    </row>
    <row r="32508" spans="1:11" x14ac:dyDescent="0.25">
      <c r="A32508" s="5">
        <f>32501</f>
      </c>
      <c r="B32508" s="5" t="s">
        <v>32516</v>
      </c>
      <c r="C32508" s="5">
        <v>101</v>
      </c>
      <c r="D32508" s="5">
        <v>0.1</v>
      </c>
      <c r="E32508" s="5">
        <v>101.1</v>
      </c>
      <c r="F32508" s="5">
        <v>201.6</v>
      </c>
      <c r="G32508" s="5">
        <v>100.5</v>
      </c>
      <c r="H32508" s="5">
        <v>100.4</v>
      </c>
      <c r="I32508" s="5">
        <v>0</v>
      </c>
      <c r="J32508" s="5">
        <v>0</v>
      </c>
      <c r="K32508" s="5">
        <v>0</v>
      </c>
    </row>
    <row r="32509" spans="1:11" x14ac:dyDescent="0.25">
      <c r="A32509" s="5">
        <f>32502</f>
      </c>
      <c r="B32509" s="5" t="s">
        <v>32517</v>
      </c>
      <c r="C32509" s="5">
        <v>100.6</v>
      </c>
      <c r="D32509" s="5">
        <v>0.1</v>
      </c>
      <c r="E32509" s="5">
        <v>100.8</v>
      </c>
      <c r="F32509" s="5">
        <v>201.5</v>
      </c>
      <c r="G32509" s="5">
        <v>100.5</v>
      </c>
      <c r="H32509" s="5">
        <v>100.3</v>
      </c>
      <c r="I32509" s="5">
        <v>0</v>
      </c>
      <c r="J32509" s="5">
        <v>0</v>
      </c>
      <c r="K32509" s="5">
        <v>0</v>
      </c>
    </row>
    <row r="32510" spans="1:11" x14ac:dyDescent="0.25">
      <c r="A32510" s="5">
        <f>32503</f>
      </c>
      <c r="B32510" s="5" t="s">
        <v>32518</v>
      </c>
      <c r="C32510" s="5">
        <v>100.6</v>
      </c>
      <c r="D32510" s="5">
        <v>0.1</v>
      </c>
      <c r="E32510" s="5">
        <v>100.8</v>
      </c>
      <c r="F32510" s="5">
        <v>201.5</v>
      </c>
      <c r="G32510" s="5">
        <v>100.5</v>
      </c>
      <c r="H32510" s="5">
        <v>100.3</v>
      </c>
      <c r="I32510" s="5">
        <v>0</v>
      </c>
      <c r="J32510" s="5">
        <v>0</v>
      </c>
      <c r="K32510" s="5">
        <v>0</v>
      </c>
    </row>
    <row r="32511" spans="1:11" x14ac:dyDescent="0.25">
      <c r="A32511" s="5">
        <f>32504</f>
      </c>
      <c r="B32511" s="5" t="s">
        <v>32519</v>
      </c>
      <c r="C32511" s="5">
        <v>100.3</v>
      </c>
      <c r="D32511" s="5">
        <v>0.1</v>
      </c>
      <c r="E32511" s="5">
        <v>100.5</v>
      </c>
      <c r="F32511" s="5">
        <v>201.3</v>
      </c>
      <c r="G32511" s="5">
        <v>100.4</v>
      </c>
      <c r="H32511" s="5">
        <v>100.2</v>
      </c>
      <c r="I32511" s="5">
        <v>0</v>
      </c>
      <c r="J32511" s="5">
        <v>0</v>
      </c>
      <c r="K32511" s="5">
        <v>0</v>
      </c>
    </row>
    <row r="32512" spans="1:11" x14ac:dyDescent="0.25">
      <c r="A32512" s="5">
        <f>32505</f>
      </c>
      <c r="B32512" s="5" t="s">
        <v>32520</v>
      </c>
      <c r="C32512" s="5">
        <v>100.3</v>
      </c>
      <c r="D32512" s="5">
        <v>0.1</v>
      </c>
      <c r="E32512" s="5">
        <v>100.5</v>
      </c>
      <c r="F32512" s="5">
        <v>201.3</v>
      </c>
      <c r="G32512" s="5">
        <v>100.4</v>
      </c>
      <c r="H32512" s="5">
        <v>100.2</v>
      </c>
      <c r="I32512" s="5">
        <v>0</v>
      </c>
      <c r="J32512" s="5">
        <v>0</v>
      </c>
      <c r="K32512" s="5">
        <v>0</v>
      </c>
    </row>
    <row r="32513" spans="1:11" x14ac:dyDescent="0.25">
      <c r="A32513" s="5">
        <f>32506</f>
      </c>
      <c r="B32513" s="5" t="s">
        <v>32521</v>
      </c>
      <c r="C32513" s="5">
        <v>100</v>
      </c>
      <c r="D32513" s="5">
        <v>0.1</v>
      </c>
      <c r="E32513" s="5">
        <v>100.2</v>
      </c>
      <c r="F32513" s="5">
        <v>201.1</v>
      </c>
      <c r="G32513" s="5">
        <v>100.3</v>
      </c>
      <c r="H32513" s="5">
        <v>100.1</v>
      </c>
      <c r="I32513" s="5">
        <v>0</v>
      </c>
      <c r="J32513" s="5">
        <v>0</v>
      </c>
      <c r="K32513" s="5">
        <v>0</v>
      </c>
    </row>
    <row r="32514" spans="1:11" x14ac:dyDescent="0.25">
      <c r="A32514" s="5">
        <f>32507</f>
      </c>
      <c r="B32514" s="5" t="s">
        <v>32522</v>
      </c>
      <c r="C32514" s="5">
        <v>100</v>
      </c>
      <c r="D32514" s="5">
        <v>0.1</v>
      </c>
      <c r="E32514" s="5">
        <v>100.2</v>
      </c>
      <c r="F32514" s="5">
        <v>201.1</v>
      </c>
      <c r="G32514" s="5">
        <v>100.3</v>
      </c>
      <c r="H32514" s="5">
        <v>100.1</v>
      </c>
      <c r="I32514" s="5">
        <v>0</v>
      </c>
      <c r="J32514" s="5">
        <v>0</v>
      </c>
      <c r="K32514" s="5">
        <v>0</v>
      </c>
    </row>
    <row r="32515" spans="1:11" x14ac:dyDescent="0.25">
      <c r="A32515" s="5">
        <f>32508</f>
      </c>
      <c r="B32515" s="5" t="s">
        <v>32523</v>
      </c>
      <c r="C32515" s="5">
        <v>100.8</v>
      </c>
      <c r="D32515" s="5">
        <v>0.1</v>
      </c>
      <c r="E32515" s="5">
        <v>101</v>
      </c>
      <c r="F32515" s="5">
        <v>201.1</v>
      </c>
      <c r="G32515" s="5">
        <v>100.3</v>
      </c>
      <c r="H32515" s="5">
        <v>100.2</v>
      </c>
      <c r="I32515" s="5">
        <v>0</v>
      </c>
      <c r="J32515" s="5">
        <v>0</v>
      </c>
      <c r="K32515" s="5">
        <v>0</v>
      </c>
    </row>
    <row r="32516" spans="1:11" x14ac:dyDescent="0.25">
      <c r="A32516" s="5">
        <f>32509</f>
      </c>
      <c r="B32516" s="5" t="s">
        <v>32524</v>
      </c>
      <c r="C32516" s="5">
        <v>100.8</v>
      </c>
      <c r="D32516" s="5">
        <v>0.1</v>
      </c>
      <c r="E32516" s="5">
        <v>101</v>
      </c>
      <c r="F32516" s="5">
        <v>201.1</v>
      </c>
      <c r="G32516" s="5">
        <v>100.3</v>
      </c>
      <c r="H32516" s="5">
        <v>100.2</v>
      </c>
      <c r="I32516" s="5">
        <v>0</v>
      </c>
      <c r="J32516" s="5">
        <v>0</v>
      </c>
      <c r="K32516" s="5">
        <v>0</v>
      </c>
    </row>
    <row r="32517" spans="1:11" x14ac:dyDescent="0.25">
      <c r="A32517" s="5">
        <f>32510</f>
      </c>
      <c r="B32517" s="5" t="s">
        <v>32525</v>
      </c>
      <c r="C32517" s="5">
        <v>100.8</v>
      </c>
      <c r="D32517" s="5">
        <v>0.1</v>
      </c>
      <c r="E32517" s="5">
        <v>101</v>
      </c>
      <c r="F32517" s="5">
        <v>201.1</v>
      </c>
      <c r="G32517" s="5">
        <v>100.3</v>
      </c>
      <c r="H32517" s="5">
        <v>100.2</v>
      </c>
      <c r="I32517" s="5">
        <v>0</v>
      </c>
      <c r="J32517" s="5">
        <v>0</v>
      </c>
      <c r="K32517" s="5">
        <v>0</v>
      </c>
    </row>
    <row r="32518" spans="1:11" x14ac:dyDescent="0.25">
      <c r="A32518" s="5">
        <f>32511</f>
      </c>
      <c r="B32518" s="5" t="s">
        <v>32526</v>
      </c>
      <c r="C32518" s="5">
        <v>100.8</v>
      </c>
      <c r="D32518" s="5">
        <v>0.1</v>
      </c>
      <c r="E32518" s="5">
        <v>101</v>
      </c>
      <c r="F32518" s="5">
        <v>201.1</v>
      </c>
      <c r="G32518" s="5">
        <v>100.3</v>
      </c>
      <c r="H32518" s="5">
        <v>100.2</v>
      </c>
      <c r="I32518" s="5">
        <v>0</v>
      </c>
      <c r="J32518" s="5">
        <v>0</v>
      </c>
      <c r="K32518" s="5">
        <v>0</v>
      </c>
    </row>
    <row r="32519" spans="1:11" x14ac:dyDescent="0.25">
      <c r="A32519" s="5">
        <f>32512</f>
      </c>
      <c r="B32519" s="5" t="s">
        <v>32527</v>
      </c>
      <c r="C32519" s="5">
        <v>100.5</v>
      </c>
      <c r="D32519" s="5">
        <v>0.1</v>
      </c>
      <c r="E32519" s="5">
        <v>100.6</v>
      </c>
      <c r="F32519" s="5">
        <v>201.1</v>
      </c>
      <c r="G32519" s="5">
        <v>100.3</v>
      </c>
      <c r="H32519" s="5">
        <v>100.2</v>
      </c>
      <c r="I32519" s="5">
        <v>0</v>
      </c>
      <c r="J32519" s="5">
        <v>0</v>
      </c>
      <c r="K32519" s="5">
        <v>0</v>
      </c>
    </row>
    <row r="32520" spans="1:11" x14ac:dyDescent="0.25">
      <c r="A32520" s="5">
        <f>32513</f>
      </c>
      <c r="B32520" s="5" t="s">
        <v>32528</v>
      </c>
      <c r="C32520" s="5">
        <v>100.5</v>
      </c>
      <c r="D32520" s="5">
        <v>0.1</v>
      </c>
      <c r="E32520" s="5">
        <v>100.6</v>
      </c>
      <c r="F32520" s="5">
        <v>201.1</v>
      </c>
      <c r="G32520" s="5">
        <v>100.3</v>
      </c>
      <c r="H32520" s="5">
        <v>100.2</v>
      </c>
      <c r="I32520" s="5">
        <v>0</v>
      </c>
      <c r="J32520" s="5">
        <v>0</v>
      </c>
      <c r="K32520" s="5">
        <v>0</v>
      </c>
    </row>
    <row r="32521" spans="1:11" x14ac:dyDescent="0.25">
      <c r="A32521" s="5">
        <f>32514</f>
      </c>
      <c r="B32521" s="5" t="s">
        <v>32529</v>
      </c>
      <c r="C32521" s="5">
        <v>101.2</v>
      </c>
      <c r="D32521" s="5">
        <v>0.1</v>
      </c>
      <c r="E32521" s="5">
        <v>101.4</v>
      </c>
      <c r="F32521" s="5">
        <v>201.1</v>
      </c>
      <c r="G32521" s="5">
        <v>100.3</v>
      </c>
      <c r="H32521" s="5">
        <v>100.2</v>
      </c>
      <c r="I32521" s="5">
        <v>0</v>
      </c>
      <c r="J32521" s="5">
        <v>0</v>
      </c>
      <c r="K32521" s="5">
        <v>0</v>
      </c>
    </row>
    <row r="32522" spans="1:11" x14ac:dyDescent="0.25">
      <c r="A32522" s="5">
        <f>32515</f>
      </c>
      <c r="B32522" s="5" t="s">
        <v>32530</v>
      </c>
      <c r="C32522" s="5">
        <v>101.2</v>
      </c>
      <c r="D32522" s="5">
        <v>0.1</v>
      </c>
      <c r="E32522" s="5">
        <v>101.4</v>
      </c>
      <c r="F32522" s="5">
        <v>201.1</v>
      </c>
      <c r="G32522" s="5">
        <v>100.3</v>
      </c>
      <c r="H32522" s="5">
        <v>100.2</v>
      </c>
      <c r="I32522" s="5">
        <v>0</v>
      </c>
      <c r="J32522" s="5">
        <v>0</v>
      </c>
      <c r="K32522" s="5">
        <v>0</v>
      </c>
    </row>
    <row r="32523" spans="1:11" x14ac:dyDescent="0.25">
      <c r="A32523" s="5">
        <f>32516</f>
      </c>
      <c r="B32523" s="5" t="s">
        <v>32531</v>
      </c>
      <c r="C32523" s="5">
        <v>101.1</v>
      </c>
      <c r="D32523" s="5">
        <v>0.1</v>
      </c>
      <c r="E32523" s="5">
        <v>101.2</v>
      </c>
      <c r="F32523" s="5">
        <v>201.5</v>
      </c>
      <c r="G32523" s="5">
        <v>100.5</v>
      </c>
      <c r="H32523" s="5">
        <v>100.4</v>
      </c>
      <c r="I32523" s="5">
        <v>0</v>
      </c>
      <c r="J32523" s="5">
        <v>0</v>
      </c>
      <c r="K32523" s="5">
        <v>0</v>
      </c>
    </row>
    <row r="32524" spans="1:11" x14ac:dyDescent="0.25">
      <c r="A32524" s="5">
        <f>32517</f>
      </c>
      <c r="B32524" s="5" t="s">
        <v>32532</v>
      </c>
      <c r="C32524" s="5">
        <v>101.1</v>
      </c>
      <c r="D32524" s="5">
        <v>0.1</v>
      </c>
      <c r="E32524" s="5">
        <v>101.2</v>
      </c>
      <c r="F32524" s="5">
        <v>201.5</v>
      </c>
      <c r="G32524" s="5">
        <v>100.5</v>
      </c>
      <c r="H32524" s="5">
        <v>100.4</v>
      </c>
      <c r="I32524" s="5">
        <v>0</v>
      </c>
      <c r="J32524" s="5">
        <v>0</v>
      </c>
      <c r="K32524" s="5">
        <v>0</v>
      </c>
    </row>
    <row r="32525" spans="1:11" x14ac:dyDescent="0.25">
      <c r="A32525" s="5">
        <f>32518</f>
      </c>
      <c r="B32525" s="5" t="s">
        <v>32533</v>
      </c>
      <c r="C32525" s="5">
        <v>100.4</v>
      </c>
      <c r="D32525" s="5">
        <v>0.1</v>
      </c>
      <c r="E32525" s="5">
        <v>100.5</v>
      </c>
      <c r="F32525" s="5">
        <v>200.9</v>
      </c>
      <c r="G32525" s="5">
        <v>100.2</v>
      </c>
      <c r="H32525" s="5">
        <v>100.1</v>
      </c>
      <c r="I32525" s="5">
        <v>0</v>
      </c>
      <c r="J32525" s="5">
        <v>0</v>
      </c>
      <c r="K32525" s="5">
        <v>0</v>
      </c>
    </row>
    <row r="32526" spans="1:11" x14ac:dyDescent="0.25">
      <c r="A32526" s="5">
        <f>32519</f>
      </c>
      <c r="B32526" s="5" t="s">
        <v>32534</v>
      </c>
      <c r="C32526" s="5">
        <v>100.4</v>
      </c>
      <c r="D32526" s="5">
        <v>0.1</v>
      </c>
      <c r="E32526" s="5">
        <v>100.5</v>
      </c>
      <c r="F32526" s="5">
        <v>200.9</v>
      </c>
      <c r="G32526" s="5">
        <v>100.2</v>
      </c>
      <c r="H32526" s="5">
        <v>100.1</v>
      </c>
      <c r="I32526" s="5">
        <v>0</v>
      </c>
      <c r="J32526" s="5">
        <v>0</v>
      </c>
      <c r="K32526" s="5">
        <v>0</v>
      </c>
    </row>
    <row r="32527" spans="1:11" x14ac:dyDescent="0.25">
      <c r="A32527" s="5">
        <f>32520</f>
      </c>
      <c r="B32527" s="5" t="s">
        <v>32535</v>
      </c>
      <c r="C32527" s="5">
        <v>100.4</v>
      </c>
      <c r="D32527" s="5">
        <v>0.1</v>
      </c>
      <c r="E32527" s="5">
        <v>100.5</v>
      </c>
      <c r="F32527" s="5">
        <v>200.9</v>
      </c>
      <c r="G32527" s="5">
        <v>100.2</v>
      </c>
      <c r="H32527" s="5">
        <v>100.1</v>
      </c>
      <c r="I32527" s="5">
        <v>0</v>
      </c>
      <c r="J32527" s="5">
        <v>0</v>
      </c>
      <c r="K32527" s="5">
        <v>0</v>
      </c>
    </row>
    <row r="32528" spans="1:11" x14ac:dyDescent="0.25">
      <c r="A32528" s="5">
        <f>32521</f>
      </c>
      <c r="B32528" s="5" t="s">
        <v>32536</v>
      </c>
      <c r="C32528" s="5">
        <v>100.4</v>
      </c>
      <c r="D32528" s="5">
        <v>0.1</v>
      </c>
      <c r="E32528" s="5">
        <v>100.5</v>
      </c>
      <c r="F32528" s="5">
        <v>200.9</v>
      </c>
      <c r="G32528" s="5">
        <v>100.2</v>
      </c>
      <c r="H32528" s="5">
        <v>100.1</v>
      </c>
      <c r="I32528" s="5">
        <v>0</v>
      </c>
      <c r="J32528" s="5">
        <v>0</v>
      </c>
      <c r="K32528" s="5">
        <v>0</v>
      </c>
    </row>
    <row r="32529" spans="1:11" x14ac:dyDescent="0.25">
      <c r="A32529" s="5">
        <f>32522</f>
      </c>
      <c r="B32529" s="5" t="s">
        <v>32537</v>
      </c>
      <c r="C32529" s="5">
        <v>100.7</v>
      </c>
      <c r="D32529" s="5">
        <v>0.1</v>
      </c>
      <c r="E32529" s="5">
        <v>100.8</v>
      </c>
      <c r="F32529" s="5">
        <v>202.4</v>
      </c>
      <c r="G32529" s="5">
        <v>101</v>
      </c>
      <c r="H32529" s="5">
        <v>100.9</v>
      </c>
      <c r="I32529" s="5">
        <v>0</v>
      </c>
      <c r="J32529" s="5">
        <v>0</v>
      </c>
      <c r="K32529" s="5">
        <v>0</v>
      </c>
    </row>
    <row r="32530" spans="1:11" x14ac:dyDescent="0.25">
      <c r="A32530" s="5">
        <f>32523</f>
      </c>
      <c r="B32530" s="5" t="s">
        <v>32538</v>
      </c>
      <c r="C32530" s="5">
        <v>100.7</v>
      </c>
      <c r="D32530" s="5">
        <v>0.1</v>
      </c>
      <c r="E32530" s="5">
        <v>100.8</v>
      </c>
      <c r="F32530" s="5">
        <v>202.4</v>
      </c>
      <c r="G32530" s="5">
        <v>101</v>
      </c>
      <c r="H32530" s="5">
        <v>100.9</v>
      </c>
      <c r="I32530" s="5">
        <v>0</v>
      </c>
      <c r="J32530" s="5">
        <v>0</v>
      </c>
      <c r="K32530" s="5">
        <v>0</v>
      </c>
    </row>
    <row r="32531" spans="1:11" x14ac:dyDescent="0.25">
      <c r="A32531" s="5">
        <f>32524</f>
      </c>
      <c r="B32531" s="5" t="s">
        <v>32539</v>
      </c>
      <c r="C32531" s="5">
        <v>101.5</v>
      </c>
      <c r="D32531" s="5">
        <v>0.1</v>
      </c>
      <c r="E32531" s="5">
        <v>101.6</v>
      </c>
      <c r="F32531" s="5">
        <v>202.5</v>
      </c>
      <c r="G32531" s="5">
        <v>101</v>
      </c>
      <c r="H32531" s="5">
        <v>100.9</v>
      </c>
      <c r="I32531" s="5">
        <v>0</v>
      </c>
      <c r="J32531" s="5">
        <v>0</v>
      </c>
      <c r="K32531" s="5">
        <v>0</v>
      </c>
    </row>
    <row r="32532" spans="1:11" x14ac:dyDescent="0.25">
      <c r="A32532" s="5">
        <f>32525</f>
      </c>
      <c r="B32532" s="5" t="s">
        <v>32540</v>
      </c>
      <c r="C32532" s="5">
        <v>101.5</v>
      </c>
      <c r="D32532" s="5">
        <v>0.1</v>
      </c>
      <c r="E32532" s="5">
        <v>101.6</v>
      </c>
      <c r="F32532" s="5">
        <v>202.5</v>
      </c>
      <c r="G32532" s="5">
        <v>101</v>
      </c>
      <c r="H32532" s="5">
        <v>100.9</v>
      </c>
      <c r="I32532" s="5">
        <v>0</v>
      </c>
      <c r="J32532" s="5">
        <v>0</v>
      </c>
      <c r="K32532" s="5">
        <v>0</v>
      </c>
    </row>
    <row r="32533" spans="1:11" x14ac:dyDescent="0.25">
      <c r="A32533" s="5">
        <f>32526</f>
      </c>
      <c r="B32533" s="5" t="s">
        <v>32541</v>
      </c>
      <c r="C32533" s="5">
        <v>101.6</v>
      </c>
      <c r="D32533" s="5">
        <v>0.1</v>
      </c>
      <c r="E32533" s="5">
        <v>101.8</v>
      </c>
      <c r="F32533" s="5">
        <v>201</v>
      </c>
      <c r="G32533" s="5">
        <v>100.2</v>
      </c>
      <c r="H32533" s="5">
        <v>100.1</v>
      </c>
      <c r="I32533" s="5">
        <v>0</v>
      </c>
      <c r="J32533" s="5">
        <v>0</v>
      </c>
      <c r="K32533" s="5">
        <v>0</v>
      </c>
    </row>
    <row r="32534" spans="1:11" x14ac:dyDescent="0.25">
      <c r="A32534" s="5">
        <f>32527</f>
      </c>
      <c r="B32534" s="5" t="s">
        <v>32542</v>
      </c>
      <c r="C32534" s="5">
        <v>101.6</v>
      </c>
      <c r="D32534" s="5">
        <v>0.1</v>
      </c>
      <c r="E32534" s="5">
        <v>101.8</v>
      </c>
      <c r="F32534" s="5">
        <v>201</v>
      </c>
      <c r="G32534" s="5">
        <v>100.2</v>
      </c>
      <c r="H32534" s="5">
        <v>100.1</v>
      </c>
      <c r="I32534" s="5">
        <v>0</v>
      </c>
      <c r="J32534" s="5">
        <v>0</v>
      </c>
      <c r="K32534" s="5">
        <v>0</v>
      </c>
    </row>
    <row r="32535" spans="1:11" x14ac:dyDescent="0.25">
      <c r="A32535" s="5">
        <f>32528</f>
      </c>
      <c r="B32535" s="5" t="s">
        <v>32543</v>
      </c>
      <c r="C32535" s="5">
        <v>100.8</v>
      </c>
      <c r="D32535" s="5">
        <v>0.1</v>
      </c>
      <c r="E32535" s="5">
        <v>101</v>
      </c>
      <c r="F32535" s="5">
        <v>200.1</v>
      </c>
      <c r="G32535" s="5">
        <v>99.8</v>
      </c>
      <c r="H32535" s="5">
        <v>99.7</v>
      </c>
      <c r="I32535" s="5">
        <v>0</v>
      </c>
      <c r="J32535" s="5">
        <v>0</v>
      </c>
      <c r="K32535" s="5">
        <v>0</v>
      </c>
    </row>
    <row r="32536" spans="1:11" x14ac:dyDescent="0.25">
      <c r="A32536" s="5">
        <f>32529</f>
      </c>
      <c r="B32536" s="5" t="s">
        <v>32544</v>
      </c>
      <c r="C32536" s="5">
        <v>100.8</v>
      </c>
      <c r="D32536" s="5">
        <v>0.1</v>
      </c>
      <c r="E32536" s="5">
        <v>101</v>
      </c>
      <c r="F32536" s="5">
        <v>200.1</v>
      </c>
      <c r="G32536" s="5">
        <v>99.8</v>
      </c>
      <c r="H32536" s="5">
        <v>99.7</v>
      </c>
      <c r="I32536" s="5">
        <v>0</v>
      </c>
      <c r="J32536" s="5">
        <v>0</v>
      </c>
      <c r="K32536" s="5">
        <v>0</v>
      </c>
    </row>
    <row r="32537" spans="1:11" x14ac:dyDescent="0.25">
      <c r="A32537" s="5">
        <f>32530</f>
      </c>
      <c r="B32537" s="5" t="s">
        <v>32545</v>
      </c>
      <c r="C32537" s="5">
        <v>100.8</v>
      </c>
      <c r="D32537" s="5">
        <v>0.1</v>
      </c>
      <c r="E32537" s="5">
        <v>101</v>
      </c>
      <c r="F32537" s="5">
        <v>200.1</v>
      </c>
      <c r="G32537" s="5">
        <v>99.8</v>
      </c>
      <c r="H32537" s="5">
        <v>99.7</v>
      </c>
      <c r="I32537" s="5">
        <v>0</v>
      </c>
      <c r="J32537" s="5">
        <v>0</v>
      </c>
      <c r="K32537" s="5">
        <v>0</v>
      </c>
    </row>
    <row r="32538" spans="1:11" x14ac:dyDescent="0.25">
      <c r="A32538" s="5">
        <f>32531</f>
      </c>
      <c r="B32538" s="5" t="s">
        <v>32546</v>
      </c>
      <c r="C32538" s="5">
        <v>100.8</v>
      </c>
      <c r="D32538" s="5">
        <v>0.1</v>
      </c>
      <c r="E32538" s="5">
        <v>101</v>
      </c>
      <c r="F32538" s="5">
        <v>200.1</v>
      </c>
      <c r="G32538" s="5">
        <v>99.8</v>
      </c>
      <c r="H32538" s="5">
        <v>99.7</v>
      </c>
      <c r="I32538" s="5">
        <v>0</v>
      </c>
      <c r="J32538" s="5">
        <v>0</v>
      </c>
      <c r="K32538" s="5">
        <v>0</v>
      </c>
    </row>
    <row r="32539" spans="1:11" x14ac:dyDescent="0.25">
      <c r="A32539" s="5">
        <f>32532</f>
      </c>
      <c r="B32539" s="5" t="s">
        <v>32547</v>
      </c>
      <c r="C32539" s="5">
        <v>100.8</v>
      </c>
      <c r="D32539" s="5">
        <v>0.1</v>
      </c>
      <c r="E32539" s="5">
        <v>101</v>
      </c>
      <c r="F32539" s="5">
        <v>201.1</v>
      </c>
      <c r="G32539" s="5">
        <v>100.3</v>
      </c>
      <c r="H32539" s="5">
        <v>100.2</v>
      </c>
      <c r="I32539" s="5">
        <v>0</v>
      </c>
      <c r="J32539" s="5">
        <v>0</v>
      </c>
      <c r="K32539" s="5">
        <v>0</v>
      </c>
    </row>
    <row r="32540" spans="1:11" x14ac:dyDescent="0.25">
      <c r="A32540" s="5">
        <f>32533</f>
      </c>
      <c r="B32540" s="5" t="s">
        <v>32548</v>
      </c>
      <c r="C32540" s="5">
        <v>100.8</v>
      </c>
      <c r="D32540" s="5">
        <v>0.1</v>
      </c>
      <c r="E32540" s="5">
        <v>101</v>
      </c>
      <c r="F32540" s="5">
        <v>201.1</v>
      </c>
      <c r="G32540" s="5">
        <v>100.3</v>
      </c>
      <c r="H32540" s="5">
        <v>100.2</v>
      </c>
      <c r="I32540" s="5">
        <v>0</v>
      </c>
      <c r="J32540" s="5">
        <v>0</v>
      </c>
      <c r="K32540" s="5">
        <v>0</v>
      </c>
    </row>
    <row r="32541" spans="1:11" x14ac:dyDescent="0.25">
      <c r="A32541" s="5">
        <f>32534</f>
      </c>
      <c r="B32541" s="5" t="s">
        <v>32549</v>
      </c>
      <c r="C32541" s="5">
        <v>100.7</v>
      </c>
      <c r="D32541" s="5">
        <v>0.1</v>
      </c>
      <c r="E32541" s="5">
        <v>100.8</v>
      </c>
      <c r="F32541" s="5">
        <v>201</v>
      </c>
      <c r="G32541" s="5">
        <v>100.3</v>
      </c>
      <c r="H32541" s="5">
        <v>100.2</v>
      </c>
      <c r="I32541" s="5">
        <v>0</v>
      </c>
      <c r="J32541" s="5">
        <v>0</v>
      </c>
      <c r="K32541" s="5">
        <v>0</v>
      </c>
    </row>
    <row r="32542" spans="1:11" x14ac:dyDescent="0.25">
      <c r="A32542" s="5">
        <f>32535</f>
      </c>
      <c r="B32542" s="5" t="s">
        <v>32550</v>
      </c>
      <c r="C32542" s="5">
        <v>100.7</v>
      </c>
      <c r="D32542" s="5">
        <v>0.1</v>
      </c>
      <c r="E32542" s="5">
        <v>100.8</v>
      </c>
      <c r="F32542" s="5">
        <v>201</v>
      </c>
      <c r="G32542" s="5">
        <v>100.3</v>
      </c>
      <c r="H32542" s="5">
        <v>100.2</v>
      </c>
      <c r="I32542" s="5">
        <v>0</v>
      </c>
      <c r="J32542" s="5">
        <v>0</v>
      </c>
      <c r="K32542" s="5">
        <v>0</v>
      </c>
    </row>
    <row r="32543" spans="1:11" x14ac:dyDescent="0.25">
      <c r="A32543" s="5">
        <f>32536</f>
      </c>
      <c r="B32543" s="5" t="s">
        <v>32551</v>
      </c>
      <c r="C32543" s="5">
        <v>100.3</v>
      </c>
      <c r="D32543" s="5">
        <v>0.1</v>
      </c>
      <c r="E32543" s="5">
        <v>100.5</v>
      </c>
      <c r="F32543" s="5">
        <v>200.4</v>
      </c>
      <c r="G32543" s="5">
        <v>100</v>
      </c>
      <c r="H32543" s="5">
        <v>99.9</v>
      </c>
      <c r="I32543" s="5">
        <v>0</v>
      </c>
      <c r="J32543" s="5">
        <v>0</v>
      </c>
      <c r="K32543" s="5">
        <v>0</v>
      </c>
    </row>
    <row r="32544" spans="1:11" x14ac:dyDescent="0.25">
      <c r="A32544" s="5">
        <f>32537</f>
      </c>
      <c r="B32544" s="5" t="s">
        <v>32552</v>
      </c>
      <c r="C32544" s="5">
        <v>100.3</v>
      </c>
      <c r="D32544" s="5">
        <v>0.1</v>
      </c>
      <c r="E32544" s="5">
        <v>100.5</v>
      </c>
      <c r="F32544" s="5">
        <v>200.4</v>
      </c>
      <c r="G32544" s="5">
        <v>100</v>
      </c>
      <c r="H32544" s="5">
        <v>99.9</v>
      </c>
      <c r="I32544" s="5">
        <v>0</v>
      </c>
      <c r="J32544" s="5">
        <v>0</v>
      </c>
      <c r="K32544" s="5">
        <v>0</v>
      </c>
    </row>
    <row r="32545" spans="1:11" x14ac:dyDescent="0.25">
      <c r="A32545" s="5">
        <f>32538</f>
      </c>
      <c r="B32545" s="5" t="s">
        <v>32553</v>
      </c>
      <c r="C32545" s="5">
        <v>99.9</v>
      </c>
      <c r="D32545" s="5">
        <v>0.1</v>
      </c>
      <c r="E32545" s="5">
        <v>100.1</v>
      </c>
      <c r="F32545" s="5">
        <v>199.8</v>
      </c>
      <c r="G32545" s="5">
        <v>99.7</v>
      </c>
      <c r="H32545" s="5">
        <v>99.5</v>
      </c>
      <c r="I32545" s="5">
        <v>0</v>
      </c>
      <c r="J32545" s="5">
        <v>0</v>
      </c>
      <c r="K32545" s="5">
        <v>0</v>
      </c>
    </row>
    <row r="32546" spans="1:11" x14ac:dyDescent="0.25">
      <c r="A32546" s="5">
        <f>32539</f>
      </c>
      <c r="B32546" s="5" t="s">
        <v>32554</v>
      </c>
      <c r="C32546" s="5">
        <v>99.9</v>
      </c>
      <c r="D32546" s="5">
        <v>0.1</v>
      </c>
      <c r="E32546" s="5">
        <v>100.1</v>
      </c>
      <c r="F32546" s="5">
        <v>199.8</v>
      </c>
      <c r="G32546" s="5">
        <v>99.7</v>
      </c>
      <c r="H32546" s="5">
        <v>99.5</v>
      </c>
      <c r="I32546" s="5">
        <v>0</v>
      </c>
      <c r="J32546" s="5">
        <v>0</v>
      </c>
      <c r="K32546" s="5">
        <v>0</v>
      </c>
    </row>
    <row r="32547" spans="1:11" x14ac:dyDescent="0.25">
      <c r="A32547" s="5">
        <f>32540</f>
      </c>
      <c r="B32547" s="5" t="s">
        <v>32555</v>
      </c>
      <c r="C32547" s="5">
        <v>99.9</v>
      </c>
      <c r="D32547" s="5">
        <v>0.1</v>
      </c>
      <c r="E32547" s="5">
        <v>100.1</v>
      </c>
      <c r="F32547" s="5">
        <v>199.8</v>
      </c>
      <c r="G32547" s="5">
        <v>99.7</v>
      </c>
      <c r="H32547" s="5">
        <v>99.5</v>
      </c>
      <c r="I32547" s="5">
        <v>0</v>
      </c>
      <c r="J32547" s="5">
        <v>0</v>
      </c>
      <c r="K32547" s="5">
        <v>0</v>
      </c>
    </row>
    <row r="32548" spans="1:11" x14ac:dyDescent="0.25">
      <c r="A32548" s="5">
        <f>32541</f>
      </c>
      <c r="B32548" s="5" t="s">
        <v>32556</v>
      </c>
      <c r="C32548" s="5">
        <v>99.9</v>
      </c>
      <c r="D32548" s="5">
        <v>0.1</v>
      </c>
      <c r="E32548" s="5">
        <v>100.1</v>
      </c>
      <c r="F32548" s="5">
        <v>199.8</v>
      </c>
      <c r="G32548" s="5">
        <v>99.7</v>
      </c>
      <c r="H32548" s="5">
        <v>99.5</v>
      </c>
      <c r="I32548" s="5">
        <v>0</v>
      </c>
      <c r="J32548" s="5">
        <v>0</v>
      </c>
      <c r="K32548" s="5">
        <v>0</v>
      </c>
    </row>
    <row r="32549" spans="1:11" x14ac:dyDescent="0.25">
      <c r="A32549" s="5">
        <f>32542</f>
      </c>
      <c r="B32549" s="5" t="s">
        <v>32557</v>
      </c>
      <c r="C32549" s="5">
        <v>101.9</v>
      </c>
      <c r="D32549" s="5">
        <v>0.1</v>
      </c>
      <c r="E32549" s="5">
        <v>102.1</v>
      </c>
      <c r="F32549" s="5">
        <v>204.3</v>
      </c>
      <c r="G32549" s="5">
        <v>102</v>
      </c>
      <c r="H32549" s="5">
        <v>101.8</v>
      </c>
      <c r="I32549" s="5">
        <v>0</v>
      </c>
      <c r="J32549" s="5">
        <v>0</v>
      </c>
      <c r="K32549" s="5">
        <v>0</v>
      </c>
    </row>
    <row r="32550" spans="1:11" x14ac:dyDescent="0.25">
      <c r="A32550" s="5">
        <f>32543</f>
      </c>
      <c r="B32550" s="5" t="s">
        <v>32558</v>
      </c>
      <c r="C32550" s="5">
        <v>101.9</v>
      </c>
      <c r="D32550" s="5">
        <v>0.1</v>
      </c>
      <c r="E32550" s="5">
        <v>102.1</v>
      </c>
      <c r="F32550" s="5">
        <v>204.3</v>
      </c>
      <c r="G32550" s="5">
        <v>102</v>
      </c>
      <c r="H32550" s="5">
        <v>101.8</v>
      </c>
      <c r="I32550" s="5">
        <v>0</v>
      </c>
      <c r="J32550" s="5">
        <v>0</v>
      </c>
      <c r="K32550" s="5">
        <v>0</v>
      </c>
    </row>
    <row r="32551" spans="1:11" x14ac:dyDescent="0.25">
      <c r="A32551" s="5">
        <f>32544</f>
      </c>
      <c r="B32551" s="5" t="s">
        <v>32559</v>
      </c>
      <c r="C32551" s="5">
        <v>102.4</v>
      </c>
      <c r="D32551" s="5">
        <v>0.1</v>
      </c>
      <c r="E32551" s="5">
        <v>102.6</v>
      </c>
      <c r="F32551" s="5">
        <v>204.7</v>
      </c>
      <c r="G32551" s="5">
        <v>102.1</v>
      </c>
      <c r="H32551" s="5">
        <v>101.9</v>
      </c>
      <c r="I32551" s="5">
        <v>0</v>
      </c>
      <c r="J32551" s="5">
        <v>0</v>
      </c>
      <c r="K32551" s="5">
        <v>0</v>
      </c>
    </row>
    <row r="32552" spans="1:11" x14ac:dyDescent="0.25">
      <c r="A32552" s="5">
        <f>32545</f>
      </c>
      <c r="B32552" s="5" t="s">
        <v>32560</v>
      </c>
      <c r="C32552" s="5">
        <v>102.4</v>
      </c>
      <c r="D32552" s="5">
        <v>0.1</v>
      </c>
      <c r="E32552" s="5">
        <v>102.6</v>
      </c>
      <c r="F32552" s="5">
        <v>204.7</v>
      </c>
      <c r="G32552" s="5">
        <v>102.1</v>
      </c>
      <c r="H32552" s="5">
        <v>101.9</v>
      </c>
      <c r="I32552" s="5">
        <v>0</v>
      </c>
      <c r="J32552" s="5">
        <v>0</v>
      </c>
      <c r="K32552" s="5">
        <v>0</v>
      </c>
    </row>
    <row r="32553" spans="1:11" x14ac:dyDescent="0.25">
      <c r="A32553" s="5">
        <f>32546</f>
      </c>
      <c r="B32553" s="5" t="s">
        <v>32561</v>
      </c>
      <c r="C32553" s="5">
        <v>102.4</v>
      </c>
      <c r="D32553" s="5">
        <v>0.1</v>
      </c>
      <c r="E32553" s="5">
        <v>102.6</v>
      </c>
      <c r="F32553" s="5">
        <v>205.2</v>
      </c>
      <c r="G32553" s="5">
        <v>102.3</v>
      </c>
      <c r="H32553" s="5">
        <v>102.1</v>
      </c>
      <c r="I32553" s="5">
        <v>0</v>
      </c>
      <c r="J32553" s="5">
        <v>0</v>
      </c>
      <c r="K32553" s="5">
        <v>0</v>
      </c>
    </row>
    <row r="32554" spans="1:11" x14ac:dyDescent="0.25">
      <c r="A32554" s="5">
        <f>32547</f>
      </c>
      <c r="B32554" s="5" t="s">
        <v>32562</v>
      </c>
      <c r="C32554" s="5">
        <v>102.4</v>
      </c>
      <c r="D32554" s="5">
        <v>0.1</v>
      </c>
      <c r="E32554" s="5">
        <v>102.6</v>
      </c>
      <c r="F32554" s="5">
        <v>205.2</v>
      </c>
      <c r="G32554" s="5">
        <v>102.3</v>
      </c>
      <c r="H32554" s="5">
        <v>102.1</v>
      </c>
      <c r="I32554" s="5">
        <v>0</v>
      </c>
      <c r="J32554" s="5">
        <v>0</v>
      </c>
      <c r="K32554" s="5">
        <v>0</v>
      </c>
    </row>
    <row r="32555" spans="1:11" x14ac:dyDescent="0.25">
      <c r="A32555" s="5">
        <f>32548</f>
      </c>
      <c r="B32555" s="5" t="s">
        <v>32563</v>
      </c>
      <c r="C32555" s="5">
        <v>99.9</v>
      </c>
      <c r="D32555" s="5">
        <v>0.1</v>
      </c>
      <c r="E32555" s="5">
        <v>100</v>
      </c>
      <c r="F32555" s="5">
        <v>198.8</v>
      </c>
      <c r="G32555" s="5">
        <v>99.1</v>
      </c>
      <c r="H32555" s="5">
        <v>99</v>
      </c>
      <c r="I32555" s="5">
        <v>0</v>
      </c>
      <c r="J32555" s="5">
        <v>0</v>
      </c>
      <c r="K32555" s="5">
        <v>0</v>
      </c>
    </row>
    <row r="32556" spans="1:11" x14ac:dyDescent="0.25">
      <c r="A32556" s="5">
        <f>32549</f>
      </c>
      <c r="B32556" s="5" t="s">
        <v>32564</v>
      </c>
      <c r="C32556" s="5">
        <v>99.9</v>
      </c>
      <c r="D32556" s="5">
        <v>0.1</v>
      </c>
      <c r="E32556" s="5">
        <v>100</v>
      </c>
      <c r="F32556" s="5">
        <v>198.8</v>
      </c>
      <c r="G32556" s="5">
        <v>99.1</v>
      </c>
      <c r="H32556" s="5">
        <v>99</v>
      </c>
      <c r="I32556" s="5">
        <v>0</v>
      </c>
      <c r="J32556" s="5">
        <v>0</v>
      </c>
      <c r="K32556" s="5">
        <v>0</v>
      </c>
    </row>
    <row r="32557" spans="1:11" x14ac:dyDescent="0.25">
      <c r="A32557" s="5">
        <f>32550</f>
      </c>
      <c r="B32557" s="5" t="s">
        <v>32565</v>
      </c>
      <c r="C32557" s="5">
        <v>99.9</v>
      </c>
      <c r="D32557" s="5">
        <v>0.1</v>
      </c>
      <c r="E32557" s="5">
        <v>100</v>
      </c>
      <c r="F32557" s="5">
        <v>198.8</v>
      </c>
      <c r="G32557" s="5">
        <v>99.1</v>
      </c>
      <c r="H32557" s="5">
        <v>99</v>
      </c>
      <c r="I32557" s="5">
        <v>0</v>
      </c>
      <c r="J32557" s="5">
        <v>0</v>
      </c>
      <c r="K32557" s="5">
        <v>0</v>
      </c>
    </row>
    <row r="32558" spans="1:11" x14ac:dyDescent="0.25">
      <c r="A32558" s="5">
        <f>32551</f>
      </c>
      <c r="B32558" s="5" t="s">
        <v>32566</v>
      </c>
      <c r="C32558" s="5">
        <v>99.9</v>
      </c>
      <c r="D32558" s="5">
        <v>0.1</v>
      </c>
      <c r="E32558" s="5">
        <v>100</v>
      </c>
      <c r="F32558" s="5">
        <v>198.8</v>
      </c>
      <c r="G32558" s="5">
        <v>99.1</v>
      </c>
      <c r="H32558" s="5">
        <v>99</v>
      </c>
      <c r="I32558" s="5">
        <v>0</v>
      </c>
      <c r="J32558" s="5">
        <v>0</v>
      </c>
      <c r="K32558" s="5">
        <v>0</v>
      </c>
    </row>
    <row r="32559" spans="1:11" x14ac:dyDescent="0.25">
      <c r="A32559" s="5">
        <f>32552</f>
      </c>
      <c r="B32559" s="5" t="s">
        <v>32567</v>
      </c>
      <c r="C32559" s="5">
        <v>99.5</v>
      </c>
      <c r="D32559" s="5">
        <v>0.1</v>
      </c>
      <c r="E32559" s="5">
        <v>99.6</v>
      </c>
      <c r="F32559" s="5">
        <v>199.5</v>
      </c>
      <c r="G32559" s="5">
        <v>99.5</v>
      </c>
      <c r="H32559" s="5">
        <v>99.4</v>
      </c>
      <c r="I32559" s="5">
        <v>0</v>
      </c>
      <c r="J32559" s="5">
        <v>0</v>
      </c>
      <c r="K32559" s="5">
        <v>0</v>
      </c>
    </row>
    <row r="32560" spans="1:11" x14ac:dyDescent="0.25">
      <c r="A32560" s="5">
        <f>32553</f>
      </c>
      <c r="B32560" s="5" t="s">
        <v>32568</v>
      </c>
      <c r="C32560" s="5">
        <v>99.5</v>
      </c>
      <c r="D32560" s="5">
        <v>0.1</v>
      </c>
      <c r="E32560" s="5">
        <v>99.6</v>
      </c>
      <c r="F32560" s="5">
        <v>199.5</v>
      </c>
      <c r="G32560" s="5">
        <v>99.5</v>
      </c>
      <c r="H32560" s="5">
        <v>99.4</v>
      </c>
      <c r="I32560" s="5">
        <v>0</v>
      </c>
      <c r="J32560" s="5">
        <v>0</v>
      </c>
      <c r="K32560" s="5">
        <v>0</v>
      </c>
    </row>
    <row r="32561" spans="1:11" x14ac:dyDescent="0.25">
      <c r="A32561" s="5">
        <f>32554</f>
      </c>
      <c r="B32561" s="5" t="s">
        <v>32569</v>
      </c>
      <c r="C32561" s="5">
        <v>100.7</v>
      </c>
      <c r="D32561" s="5">
        <v>0.1</v>
      </c>
      <c r="E32561" s="5">
        <v>100.8</v>
      </c>
      <c r="F32561" s="5">
        <v>200.5</v>
      </c>
      <c r="G32561" s="5">
        <v>100.1</v>
      </c>
      <c r="H32561" s="5">
        <v>100</v>
      </c>
      <c r="I32561" s="5">
        <v>0</v>
      </c>
      <c r="J32561" s="5">
        <v>0</v>
      </c>
      <c r="K32561" s="5">
        <v>0</v>
      </c>
    </row>
    <row r="32562" spans="1:11" x14ac:dyDescent="0.25">
      <c r="A32562" s="5">
        <f>32555</f>
      </c>
      <c r="B32562" s="5" t="s">
        <v>32570</v>
      </c>
      <c r="C32562" s="5">
        <v>100.7</v>
      </c>
      <c r="D32562" s="5">
        <v>0.1</v>
      </c>
      <c r="E32562" s="5">
        <v>100.8</v>
      </c>
      <c r="F32562" s="5">
        <v>200.5</v>
      </c>
      <c r="G32562" s="5">
        <v>100.1</v>
      </c>
      <c r="H32562" s="5">
        <v>100</v>
      </c>
      <c r="I32562" s="5">
        <v>0</v>
      </c>
      <c r="J32562" s="5">
        <v>0</v>
      </c>
      <c r="K32562" s="5">
        <v>0</v>
      </c>
    </row>
    <row r="32563" spans="1:11" x14ac:dyDescent="0.25">
      <c r="A32563" s="5">
        <f>32556</f>
      </c>
      <c r="B32563" s="5" t="s">
        <v>32571</v>
      </c>
      <c r="C32563" s="5">
        <v>100.2</v>
      </c>
      <c r="D32563" s="5">
        <v>0.1</v>
      </c>
      <c r="E32563" s="5">
        <v>100.3</v>
      </c>
      <c r="F32563" s="5">
        <v>200.6</v>
      </c>
      <c r="G32563" s="5">
        <v>100</v>
      </c>
      <c r="H32563" s="5">
        <v>99.8</v>
      </c>
      <c r="I32563" s="5">
        <v>0</v>
      </c>
      <c r="J32563" s="5">
        <v>0</v>
      </c>
      <c r="K32563" s="5">
        <v>0</v>
      </c>
    </row>
    <row r="32564" spans="1:11" x14ac:dyDescent="0.25">
      <c r="A32564" s="5">
        <f>32557</f>
      </c>
      <c r="B32564" s="5" t="s">
        <v>32572</v>
      </c>
      <c r="C32564" s="5">
        <v>100.2</v>
      </c>
      <c r="D32564" s="5">
        <v>0.1</v>
      </c>
      <c r="E32564" s="5">
        <v>100.3</v>
      </c>
      <c r="F32564" s="5">
        <v>200.6</v>
      </c>
      <c r="G32564" s="5">
        <v>100</v>
      </c>
      <c r="H32564" s="5">
        <v>99.8</v>
      </c>
      <c r="I32564" s="5">
        <v>0</v>
      </c>
      <c r="J32564" s="5">
        <v>0</v>
      </c>
      <c r="K32564" s="5">
        <v>0</v>
      </c>
    </row>
    <row r="32565" spans="1:11" x14ac:dyDescent="0.25">
      <c r="A32565" s="5">
        <f>32558</f>
      </c>
      <c r="B32565" s="5" t="s">
        <v>32573</v>
      </c>
      <c r="C32565" s="5">
        <v>99.8</v>
      </c>
      <c r="D32565" s="5">
        <v>0.1</v>
      </c>
      <c r="E32565" s="5">
        <v>99.9</v>
      </c>
      <c r="F32565" s="5">
        <v>199.1</v>
      </c>
      <c r="G32565" s="5">
        <v>99.3</v>
      </c>
      <c r="H32565" s="5">
        <v>99.2</v>
      </c>
      <c r="I32565" s="5">
        <v>0</v>
      </c>
      <c r="J32565" s="5">
        <v>0</v>
      </c>
      <c r="K32565" s="5">
        <v>0</v>
      </c>
    </row>
    <row r="32566" spans="1:11" x14ac:dyDescent="0.25">
      <c r="A32566" s="5">
        <f>32559</f>
      </c>
      <c r="B32566" s="5" t="s">
        <v>32574</v>
      </c>
      <c r="C32566" s="5">
        <v>99.8</v>
      </c>
      <c r="D32566" s="5">
        <v>0.1</v>
      </c>
      <c r="E32566" s="5">
        <v>99.9</v>
      </c>
      <c r="F32566" s="5">
        <v>199.1</v>
      </c>
      <c r="G32566" s="5">
        <v>99.3</v>
      </c>
      <c r="H32566" s="5">
        <v>99.2</v>
      </c>
      <c r="I32566" s="5">
        <v>0</v>
      </c>
      <c r="J32566" s="5">
        <v>0</v>
      </c>
      <c r="K32566" s="5">
        <v>0</v>
      </c>
    </row>
    <row r="32567" spans="1:11" x14ac:dyDescent="0.25">
      <c r="A32567" s="5">
        <f>32560</f>
      </c>
      <c r="B32567" s="5" t="s">
        <v>32575</v>
      </c>
      <c r="C32567" s="5">
        <v>99.8</v>
      </c>
      <c r="D32567" s="5">
        <v>0.1</v>
      </c>
      <c r="E32567" s="5">
        <v>99.9</v>
      </c>
      <c r="F32567" s="5">
        <v>199.1</v>
      </c>
      <c r="G32567" s="5">
        <v>99.3</v>
      </c>
      <c r="H32567" s="5">
        <v>99.2</v>
      </c>
      <c r="I32567" s="5">
        <v>0</v>
      </c>
      <c r="J32567" s="5">
        <v>0</v>
      </c>
      <c r="K32567" s="5">
        <v>0</v>
      </c>
    </row>
    <row r="32568" spans="1:11" x14ac:dyDescent="0.25">
      <c r="A32568" s="5">
        <f>32561</f>
      </c>
      <c r="B32568" s="5" t="s">
        <v>32576</v>
      </c>
      <c r="C32568" s="5">
        <v>99.8</v>
      </c>
      <c r="D32568" s="5">
        <v>0.1</v>
      </c>
      <c r="E32568" s="5">
        <v>99.9</v>
      </c>
      <c r="F32568" s="5">
        <v>199.1</v>
      </c>
      <c r="G32568" s="5">
        <v>99.3</v>
      </c>
      <c r="H32568" s="5">
        <v>99.2</v>
      </c>
      <c r="I32568" s="5">
        <v>0</v>
      </c>
      <c r="J32568" s="5">
        <v>0</v>
      </c>
      <c r="K32568" s="5">
        <v>0</v>
      </c>
    </row>
    <row r="32569" spans="1:11" x14ac:dyDescent="0.25">
      <c r="A32569" s="5">
        <f>32562</f>
      </c>
      <c r="B32569" s="5" t="s">
        <v>32577</v>
      </c>
      <c r="C32569" s="5">
        <v>100.5</v>
      </c>
      <c r="D32569" s="5">
        <v>0.1</v>
      </c>
      <c r="E32569" s="5">
        <v>100.6</v>
      </c>
      <c r="F32569" s="5">
        <v>199.4</v>
      </c>
      <c r="G32569" s="5">
        <v>99.5</v>
      </c>
      <c r="H32569" s="5">
        <v>99.4</v>
      </c>
      <c r="I32569" s="5">
        <v>0</v>
      </c>
      <c r="J32569" s="5">
        <v>0</v>
      </c>
      <c r="K32569" s="5">
        <v>0</v>
      </c>
    </row>
    <row r="32570" spans="1:11" x14ac:dyDescent="0.25">
      <c r="A32570" s="5">
        <f>32563</f>
      </c>
      <c r="B32570" s="5" t="s">
        <v>32578</v>
      </c>
      <c r="C32570" s="5">
        <v>100.5</v>
      </c>
      <c r="D32570" s="5">
        <v>0.1</v>
      </c>
      <c r="E32570" s="5">
        <v>100.6</v>
      </c>
      <c r="F32570" s="5">
        <v>199.4</v>
      </c>
      <c r="G32570" s="5">
        <v>99.5</v>
      </c>
      <c r="H32570" s="5">
        <v>99.4</v>
      </c>
      <c r="I32570" s="5">
        <v>0</v>
      </c>
      <c r="J32570" s="5">
        <v>0</v>
      </c>
      <c r="K32570" s="5">
        <v>0</v>
      </c>
    </row>
    <row r="32571" spans="1:11" x14ac:dyDescent="0.25">
      <c r="A32571" s="5">
        <f>32564</f>
      </c>
      <c r="B32571" s="5" t="s">
        <v>32579</v>
      </c>
      <c r="C32571" s="5">
        <v>101</v>
      </c>
      <c r="D32571" s="5">
        <v>0.1</v>
      </c>
      <c r="E32571" s="5">
        <v>101.1</v>
      </c>
      <c r="F32571" s="5">
        <v>202.4</v>
      </c>
      <c r="G32571" s="5">
        <v>100.9</v>
      </c>
      <c r="H32571" s="5">
        <v>100.7</v>
      </c>
      <c r="I32571" s="5">
        <v>0</v>
      </c>
      <c r="J32571" s="5">
        <v>0</v>
      </c>
      <c r="K32571" s="5">
        <v>0</v>
      </c>
    </row>
    <row r="32572" spans="1:11" x14ac:dyDescent="0.25">
      <c r="A32572" s="5">
        <f>32565</f>
      </c>
      <c r="B32572" s="5" t="s">
        <v>32580</v>
      </c>
      <c r="C32572" s="5">
        <v>101</v>
      </c>
      <c r="D32572" s="5">
        <v>0.1</v>
      </c>
      <c r="E32572" s="5">
        <v>101.1</v>
      </c>
      <c r="F32572" s="5">
        <v>202.4</v>
      </c>
      <c r="G32572" s="5">
        <v>100.9</v>
      </c>
      <c r="H32572" s="5">
        <v>100.7</v>
      </c>
      <c r="I32572" s="5">
        <v>0</v>
      </c>
      <c r="J32572" s="5">
        <v>0</v>
      </c>
      <c r="K32572" s="5">
        <v>0</v>
      </c>
    </row>
    <row r="32573" spans="1:11" x14ac:dyDescent="0.25">
      <c r="A32573" s="5">
        <f>32566</f>
      </c>
      <c r="B32573" s="5" t="s">
        <v>32581</v>
      </c>
      <c r="C32573" s="5">
        <v>100.7</v>
      </c>
      <c r="D32573" s="5">
        <v>0.1</v>
      </c>
      <c r="E32573" s="5">
        <v>100.8</v>
      </c>
      <c r="F32573" s="5">
        <v>201.7</v>
      </c>
      <c r="G32573" s="5">
        <v>101</v>
      </c>
      <c r="H32573" s="5">
        <v>100.9</v>
      </c>
      <c r="I32573" s="5">
        <v>0</v>
      </c>
      <c r="J32573" s="5">
        <v>0</v>
      </c>
      <c r="K32573" s="5">
        <v>0</v>
      </c>
    </row>
    <row r="32574" spans="1:11" x14ac:dyDescent="0.25">
      <c r="A32574" s="5">
        <f>32567</f>
      </c>
      <c r="B32574" s="5" t="s">
        <v>32582</v>
      </c>
      <c r="C32574" s="5">
        <v>100.7</v>
      </c>
      <c r="D32574" s="5">
        <v>0.1</v>
      </c>
      <c r="E32574" s="5">
        <v>100.8</v>
      </c>
      <c r="F32574" s="5">
        <v>201.7</v>
      </c>
      <c r="G32574" s="5">
        <v>101</v>
      </c>
      <c r="H32574" s="5">
        <v>100.9</v>
      </c>
      <c r="I32574" s="5">
        <v>0</v>
      </c>
      <c r="J32574" s="5">
        <v>0</v>
      </c>
      <c r="K32574" s="5">
        <v>0</v>
      </c>
    </row>
    <row r="32575" spans="1:11" x14ac:dyDescent="0.25">
      <c r="A32575" s="5">
        <f>32568</f>
      </c>
      <c r="B32575" s="5" t="s">
        <v>32583</v>
      </c>
      <c r="C32575" s="5">
        <v>101.2</v>
      </c>
      <c r="D32575" s="5">
        <v>0.1</v>
      </c>
      <c r="E32575" s="5">
        <v>101.4</v>
      </c>
      <c r="F32575" s="5">
        <v>201.9</v>
      </c>
      <c r="G32575" s="5">
        <v>100.8</v>
      </c>
      <c r="H32575" s="5">
        <v>100.8</v>
      </c>
      <c r="I32575" s="5">
        <v>0</v>
      </c>
      <c r="J32575" s="5">
        <v>0</v>
      </c>
      <c r="K32575" s="5">
        <v>0</v>
      </c>
    </row>
    <row r="32576" spans="1:11" x14ac:dyDescent="0.25">
      <c r="A32576" s="5">
        <f>32569</f>
      </c>
      <c r="B32576" s="5" t="s">
        <v>32584</v>
      </c>
      <c r="C32576" s="5">
        <v>101.2</v>
      </c>
      <c r="D32576" s="5">
        <v>0.1</v>
      </c>
      <c r="E32576" s="5">
        <v>101.4</v>
      </c>
      <c r="F32576" s="5">
        <v>201.9</v>
      </c>
      <c r="G32576" s="5">
        <v>100.8</v>
      </c>
      <c r="H32576" s="5">
        <v>100.8</v>
      </c>
      <c r="I32576" s="5">
        <v>0</v>
      </c>
      <c r="J32576" s="5">
        <v>0</v>
      </c>
      <c r="K32576" s="5">
        <v>0</v>
      </c>
    </row>
    <row r="32577" spans="1:11" x14ac:dyDescent="0.25">
      <c r="A32577" s="5">
        <f>32570</f>
      </c>
      <c r="B32577" s="5" t="s">
        <v>32585</v>
      </c>
      <c r="C32577" s="5">
        <v>101.2</v>
      </c>
      <c r="D32577" s="5">
        <v>0.1</v>
      </c>
      <c r="E32577" s="5">
        <v>101.4</v>
      </c>
      <c r="F32577" s="5">
        <v>201.9</v>
      </c>
      <c r="G32577" s="5">
        <v>100.8</v>
      </c>
      <c r="H32577" s="5">
        <v>100.8</v>
      </c>
      <c r="I32577" s="5">
        <v>0</v>
      </c>
      <c r="J32577" s="5">
        <v>0</v>
      </c>
      <c r="K32577" s="5">
        <v>0</v>
      </c>
    </row>
    <row r="32578" spans="1:11" x14ac:dyDescent="0.25">
      <c r="A32578" s="5">
        <f>32571</f>
      </c>
      <c r="B32578" s="5" t="s">
        <v>32586</v>
      </c>
      <c r="C32578" s="5">
        <v>102.9</v>
      </c>
      <c r="D32578" s="5">
        <v>0.1</v>
      </c>
      <c r="E32578" s="5">
        <v>103.1</v>
      </c>
      <c r="F32578" s="5">
        <v>205.8</v>
      </c>
      <c r="G32578" s="5">
        <v>102.7</v>
      </c>
      <c r="H32578" s="5">
        <v>102.5</v>
      </c>
      <c r="I32578" s="5">
        <v>0</v>
      </c>
      <c r="J32578" s="5">
        <v>0</v>
      </c>
      <c r="K32578" s="5">
        <v>0</v>
      </c>
    </row>
    <row r="32579" spans="1:11" x14ac:dyDescent="0.25">
      <c r="A32579" s="5">
        <f>32572</f>
      </c>
      <c r="B32579" s="5" t="s">
        <v>32587</v>
      </c>
      <c r="C32579" s="5">
        <v>102.9</v>
      </c>
      <c r="D32579" s="5">
        <v>0.1</v>
      </c>
      <c r="E32579" s="5">
        <v>103.1</v>
      </c>
      <c r="F32579" s="5">
        <v>205.8</v>
      </c>
      <c r="G32579" s="5">
        <v>102.7</v>
      </c>
      <c r="H32579" s="5">
        <v>102.5</v>
      </c>
      <c r="I32579" s="5">
        <v>0</v>
      </c>
      <c r="J32579" s="5">
        <v>0</v>
      </c>
      <c r="K32579" s="5">
        <v>0</v>
      </c>
    </row>
    <row r="32580" spans="1:11" x14ac:dyDescent="0.25">
      <c r="A32580" s="5">
        <f>32573</f>
      </c>
      <c r="B32580" s="5" t="s">
        <v>32588</v>
      </c>
      <c r="C32580" s="5">
        <v>102.9</v>
      </c>
      <c r="D32580" s="5">
        <v>0.1</v>
      </c>
      <c r="E32580" s="5">
        <v>103.1</v>
      </c>
      <c r="F32580" s="5">
        <v>205.8</v>
      </c>
      <c r="G32580" s="5">
        <v>102.7</v>
      </c>
      <c r="H32580" s="5">
        <v>102.5</v>
      </c>
      <c r="I32580" s="5">
        <v>0</v>
      </c>
      <c r="J32580" s="5">
        <v>0</v>
      </c>
      <c r="K32580" s="5">
        <v>0</v>
      </c>
    </row>
    <row r="32581" spans="1:11" x14ac:dyDescent="0.25">
      <c r="A32581" s="5">
        <f>32574</f>
      </c>
      <c r="B32581" s="5" t="s">
        <v>32589</v>
      </c>
      <c r="C32581" s="5">
        <v>102.9</v>
      </c>
      <c r="D32581" s="5">
        <v>0.1</v>
      </c>
      <c r="E32581" s="5">
        <v>103.1</v>
      </c>
      <c r="F32581" s="5">
        <v>205.8</v>
      </c>
      <c r="G32581" s="5">
        <v>102.7</v>
      </c>
      <c r="H32581" s="5">
        <v>102.5</v>
      </c>
      <c r="I32581" s="5">
        <v>0</v>
      </c>
      <c r="J32581" s="5">
        <v>0</v>
      </c>
      <c r="K32581" s="5">
        <v>0</v>
      </c>
    </row>
    <row r="32582" spans="1:11" x14ac:dyDescent="0.25">
      <c r="A32582" s="5">
        <f>32575</f>
      </c>
      <c r="B32582" s="5" t="s">
        <v>32590</v>
      </c>
      <c r="C32582" s="5">
        <v>103.1</v>
      </c>
      <c r="D32582" s="5">
        <v>0.1</v>
      </c>
      <c r="E32582" s="5">
        <v>103.3</v>
      </c>
      <c r="F32582" s="5">
        <v>206.3</v>
      </c>
      <c r="G32582" s="5">
        <v>102.9</v>
      </c>
      <c r="H32582" s="5">
        <v>102.8</v>
      </c>
      <c r="I32582" s="5">
        <v>0</v>
      </c>
      <c r="J32582" s="5">
        <v>0</v>
      </c>
      <c r="K32582" s="5">
        <v>0</v>
      </c>
    </row>
    <row r="32583" spans="1:11" x14ac:dyDescent="0.25">
      <c r="A32583" s="5">
        <f>32576</f>
      </c>
      <c r="B32583" s="5" t="s">
        <v>32591</v>
      </c>
      <c r="C32583" s="5">
        <v>103.1</v>
      </c>
      <c r="D32583" s="5">
        <v>0.1</v>
      </c>
      <c r="E32583" s="5">
        <v>103.3</v>
      </c>
      <c r="F32583" s="5">
        <v>206.3</v>
      </c>
      <c r="G32583" s="5">
        <v>102.9</v>
      </c>
      <c r="H32583" s="5">
        <v>102.8</v>
      </c>
      <c r="I32583" s="5">
        <v>0</v>
      </c>
      <c r="J32583" s="5">
        <v>0</v>
      </c>
      <c r="K32583" s="5">
        <v>0</v>
      </c>
    </row>
    <row r="32584" spans="1:11" x14ac:dyDescent="0.25">
      <c r="A32584" s="5">
        <f>32577</f>
      </c>
      <c r="B32584" s="5" t="s">
        <v>32592</v>
      </c>
      <c r="C32584" s="5">
        <v>101.9</v>
      </c>
      <c r="D32584" s="5">
        <v>0.1</v>
      </c>
      <c r="E32584" s="5">
        <v>102.1</v>
      </c>
      <c r="F32584" s="5">
        <v>204.6</v>
      </c>
      <c r="G32584" s="5">
        <v>102.1</v>
      </c>
      <c r="H32584" s="5">
        <v>101.9</v>
      </c>
      <c r="I32584" s="5">
        <v>0</v>
      </c>
      <c r="J32584" s="5">
        <v>0</v>
      </c>
      <c r="K32584" s="5">
        <v>0</v>
      </c>
    </row>
    <row r="32585" spans="1:11" x14ac:dyDescent="0.25">
      <c r="A32585" s="5">
        <f>32578</f>
      </c>
      <c r="B32585" s="5" t="s">
        <v>32593</v>
      </c>
      <c r="C32585" s="5">
        <v>101.9</v>
      </c>
      <c r="D32585" s="5">
        <v>0.1</v>
      </c>
      <c r="E32585" s="5">
        <v>102.1</v>
      </c>
      <c r="F32585" s="5">
        <v>204.6</v>
      </c>
      <c r="G32585" s="5">
        <v>102.1</v>
      </c>
      <c r="H32585" s="5">
        <v>101.9</v>
      </c>
      <c r="I32585" s="5">
        <v>0</v>
      </c>
      <c r="J32585" s="5">
        <v>0</v>
      </c>
      <c r="K32585" s="5">
        <v>0</v>
      </c>
    </row>
    <row r="32586" spans="1:11" x14ac:dyDescent="0.25">
      <c r="A32586" s="5">
        <f>32579</f>
      </c>
      <c r="B32586" s="5" t="s">
        <v>32594</v>
      </c>
      <c r="C32586" s="5">
        <v>101.9</v>
      </c>
      <c r="D32586" s="5">
        <v>0.1</v>
      </c>
      <c r="E32586" s="5">
        <v>102.1</v>
      </c>
      <c r="F32586" s="5">
        <v>204.6</v>
      </c>
      <c r="G32586" s="5">
        <v>102.1</v>
      </c>
      <c r="H32586" s="5">
        <v>101.9</v>
      </c>
      <c r="I32586" s="5">
        <v>0</v>
      </c>
      <c r="J32586" s="5">
        <v>0</v>
      </c>
      <c r="K32586" s="5">
        <v>0</v>
      </c>
    </row>
    <row r="32587" spans="1:11" x14ac:dyDescent="0.25">
      <c r="A32587" s="5">
        <f>32580</f>
      </c>
      <c r="B32587" s="5" t="s">
        <v>32595</v>
      </c>
      <c r="C32587" s="5">
        <v>101.9</v>
      </c>
      <c r="D32587" s="5">
        <v>0.1</v>
      </c>
      <c r="E32587" s="5">
        <v>102.1</v>
      </c>
      <c r="F32587" s="5">
        <v>204.6</v>
      </c>
      <c r="G32587" s="5">
        <v>102.1</v>
      </c>
      <c r="H32587" s="5">
        <v>101.9</v>
      </c>
      <c r="I32587" s="5">
        <v>0</v>
      </c>
      <c r="J32587" s="5">
        <v>0</v>
      </c>
      <c r="K32587" s="5">
        <v>0</v>
      </c>
    </row>
    <row r="32588" spans="1:11" x14ac:dyDescent="0.25">
      <c r="A32588" s="5">
        <f>32581</f>
      </c>
      <c r="B32588" s="5" t="s">
        <v>32596</v>
      </c>
      <c r="C32588" s="5">
        <v>102.4</v>
      </c>
      <c r="D32588" s="5">
        <v>0.1</v>
      </c>
      <c r="E32588" s="5">
        <v>102.5</v>
      </c>
      <c r="F32588" s="5">
        <v>204.6</v>
      </c>
      <c r="G32588" s="5">
        <v>102.1</v>
      </c>
      <c r="H32588" s="5">
        <v>101.9</v>
      </c>
      <c r="I32588" s="5">
        <v>0</v>
      </c>
      <c r="J32588" s="5">
        <v>0</v>
      </c>
      <c r="K32588" s="5">
        <v>0</v>
      </c>
    </row>
    <row r="32589" spans="1:11" x14ac:dyDescent="0.25">
      <c r="A32589" s="5">
        <f>32582</f>
      </c>
      <c r="B32589" s="5" t="s">
        <v>32597</v>
      </c>
      <c r="C32589" s="5">
        <v>102.4</v>
      </c>
      <c r="D32589" s="5">
        <v>0.1</v>
      </c>
      <c r="E32589" s="5">
        <v>102.5</v>
      </c>
      <c r="F32589" s="5">
        <v>205.1</v>
      </c>
      <c r="G32589" s="5">
        <v>102.3</v>
      </c>
      <c r="H32589" s="5">
        <v>102.8</v>
      </c>
      <c r="I32589" s="5">
        <v>0</v>
      </c>
      <c r="J32589" s="5">
        <v>0</v>
      </c>
      <c r="K32589" s="5">
        <v>0</v>
      </c>
    </row>
    <row r="32590" spans="1:11" x14ac:dyDescent="0.25">
      <c r="A32590" s="5">
        <f>32583</f>
      </c>
      <c r="B32590" s="5" t="s">
        <v>32598</v>
      </c>
      <c r="C32590" s="5">
        <v>103.1</v>
      </c>
      <c r="D32590" s="5">
        <v>0.1</v>
      </c>
      <c r="E32590" s="5">
        <v>102.5</v>
      </c>
      <c r="F32590" s="5">
        <v>205.1</v>
      </c>
      <c r="G32590" s="5">
        <v>102.3</v>
      </c>
      <c r="H32590" s="5">
        <v>102.8</v>
      </c>
      <c r="I32590" s="5">
        <v>0</v>
      </c>
      <c r="J32590" s="5">
        <v>0</v>
      </c>
      <c r="K32590" s="5">
        <v>0</v>
      </c>
    </row>
    <row r="32591" spans="1:11" x14ac:dyDescent="0.25">
      <c r="A32591" s="5">
        <f>32584</f>
      </c>
      <c r="B32591" s="5" t="s">
        <v>32599</v>
      </c>
      <c r="C32591" s="5">
        <v>103.1</v>
      </c>
      <c r="D32591" s="5">
        <v>0.1</v>
      </c>
      <c r="E32591" s="5">
        <v>103.2</v>
      </c>
      <c r="F32591" s="5">
        <v>206</v>
      </c>
      <c r="G32591" s="5">
        <v>102.8</v>
      </c>
      <c r="H32591" s="5">
        <v>102.6</v>
      </c>
      <c r="I32591" s="5">
        <v>0</v>
      </c>
      <c r="J32591" s="5">
        <v>0</v>
      </c>
      <c r="K32591" s="5">
        <v>0</v>
      </c>
    </row>
    <row r="32592" spans="1:11" x14ac:dyDescent="0.25">
      <c r="A32592" s="5">
        <f>32585</f>
      </c>
      <c r="B32592" s="5" t="s">
        <v>32600</v>
      </c>
      <c r="C32592" s="5">
        <v>103.1</v>
      </c>
      <c r="D32592" s="5">
        <v>0.1</v>
      </c>
      <c r="E32592" s="5">
        <v>103.2</v>
      </c>
      <c r="F32592" s="5">
        <v>206</v>
      </c>
      <c r="G32592" s="5">
        <v>102.8</v>
      </c>
      <c r="H32592" s="5">
        <v>102.6</v>
      </c>
      <c r="I32592" s="5">
        <v>0</v>
      </c>
      <c r="J32592" s="5">
        <v>0</v>
      </c>
      <c r="K32592" s="5">
        <v>0</v>
      </c>
    </row>
    <row r="32593" spans="1:11" x14ac:dyDescent="0.25">
      <c r="A32593" s="5">
        <f>32586</f>
      </c>
      <c r="B32593" s="5" t="s">
        <v>32601</v>
      </c>
      <c r="C32593" s="5">
        <v>103</v>
      </c>
      <c r="D32593" s="5">
        <v>0.1</v>
      </c>
      <c r="E32593" s="5">
        <v>103.1</v>
      </c>
      <c r="F32593" s="5">
        <v>206.3</v>
      </c>
      <c r="G32593" s="5">
        <v>102.9</v>
      </c>
      <c r="H32593" s="5">
        <v>102.9</v>
      </c>
      <c r="I32593" s="5">
        <v>0</v>
      </c>
      <c r="J32593" s="5">
        <v>0</v>
      </c>
      <c r="K32593" s="5">
        <v>0</v>
      </c>
    </row>
    <row r="32594" spans="1:11" x14ac:dyDescent="0.25">
      <c r="A32594" s="5">
        <f>32587</f>
      </c>
      <c r="B32594" s="5" t="s">
        <v>32602</v>
      </c>
      <c r="C32594" s="5">
        <v>103</v>
      </c>
      <c r="D32594" s="5">
        <v>0.1</v>
      </c>
      <c r="E32594" s="5">
        <v>103.1</v>
      </c>
      <c r="F32594" s="5">
        <v>206.3</v>
      </c>
      <c r="G32594" s="5">
        <v>102.9</v>
      </c>
      <c r="H32594" s="5">
        <v>102.9</v>
      </c>
      <c r="I32594" s="5">
        <v>0</v>
      </c>
      <c r="J32594" s="5">
        <v>0</v>
      </c>
      <c r="K32594" s="5">
        <v>0</v>
      </c>
    </row>
    <row r="32595" spans="1:11" x14ac:dyDescent="0.25">
      <c r="A32595" s="5">
        <f>32588</f>
      </c>
      <c r="B32595" s="5" t="s">
        <v>32603</v>
      </c>
      <c r="C32595" s="5">
        <v>102.8</v>
      </c>
      <c r="D32595" s="5">
        <v>0.1</v>
      </c>
      <c r="E32595" s="5">
        <v>103</v>
      </c>
      <c r="F32595" s="5">
        <v>205.5</v>
      </c>
      <c r="G32595" s="5">
        <v>102.5</v>
      </c>
      <c r="H32595" s="5">
        <v>102.4</v>
      </c>
      <c r="I32595" s="5">
        <v>0</v>
      </c>
      <c r="J32595" s="5">
        <v>0</v>
      </c>
      <c r="K32595" s="5">
        <v>0</v>
      </c>
    </row>
    <row r="32596" spans="1:11" x14ac:dyDescent="0.25">
      <c r="A32596" s="5">
        <f>32589</f>
      </c>
      <c r="B32596" s="5" t="s">
        <v>32604</v>
      </c>
      <c r="C32596" s="5">
        <v>102.8</v>
      </c>
      <c r="D32596" s="5">
        <v>0.1</v>
      </c>
      <c r="E32596" s="5">
        <v>103</v>
      </c>
      <c r="F32596" s="5">
        <v>205.5</v>
      </c>
      <c r="G32596" s="5">
        <v>102.5</v>
      </c>
      <c r="H32596" s="5">
        <v>102.4</v>
      </c>
      <c r="I32596" s="5">
        <v>0</v>
      </c>
      <c r="J32596" s="5">
        <v>0</v>
      </c>
      <c r="K32596" s="5">
        <v>0</v>
      </c>
    </row>
    <row r="32597" spans="1:11" x14ac:dyDescent="0.25">
      <c r="A32597" s="5">
        <f>32590</f>
      </c>
      <c r="B32597" s="5" t="s">
        <v>32605</v>
      </c>
      <c r="C32597" s="5">
        <v>102.8</v>
      </c>
      <c r="D32597" s="5">
        <v>0.1</v>
      </c>
      <c r="E32597" s="5">
        <v>103</v>
      </c>
      <c r="F32597" s="5">
        <v>205.5</v>
      </c>
      <c r="G32597" s="5">
        <v>102.5</v>
      </c>
      <c r="H32597" s="5">
        <v>102.4</v>
      </c>
      <c r="I32597" s="5">
        <v>0</v>
      </c>
      <c r="J32597" s="5">
        <v>0</v>
      </c>
      <c r="K32597" s="5">
        <v>0</v>
      </c>
    </row>
    <row r="32598" spans="1:11" x14ac:dyDescent="0.25">
      <c r="A32598" s="5">
        <f>32591</f>
      </c>
      <c r="B32598" s="5" t="s">
        <v>32606</v>
      </c>
      <c r="C32598" s="5">
        <v>102.8</v>
      </c>
      <c r="D32598" s="5">
        <v>0.1</v>
      </c>
      <c r="E32598" s="5">
        <v>103</v>
      </c>
      <c r="F32598" s="5">
        <v>205.5</v>
      </c>
      <c r="G32598" s="5">
        <v>102.5</v>
      </c>
      <c r="H32598" s="5">
        <v>102.4</v>
      </c>
      <c r="I32598" s="5">
        <v>0</v>
      </c>
      <c r="J32598" s="5">
        <v>0</v>
      </c>
      <c r="K32598" s="5">
        <v>0</v>
      </c>
    </row>
    <row r="32599" spans="1:11" x14ac:dyDescent="0.25">
      <c r="A32599" s="5">
        <f>32592</f>
      </c>
      <c r="B32599" s="5" t="s">
        <v>32607</v>
      </c>
      <c r="C32599" s="5">
        <v>102.4</v>
      </c>
      <c r="D32599" s="5">
        <v>0.1</v>
      </c>
      <c r="E32599" s="5">
        <v>102.6</v>
      </c>
      <c r="F32599" s="5">
        <v>204.9</v>
      </c>
      <c r="G32599" s="5">
        <v>102.3</v>
      </c>
      <c r="H32599" s="5">
        <v>102.2</v>
      </c>
      <c r="I32599" s="5">
        <v>0</v>
      </c>
      <c r="J32599" s="5">
        <v>0</v>
      </c>
      <c r="K32599" s="5">
        <v>0</v>
      </c>
    </row>
    <row r="32600" spans="1:11" x14ac:dyDescent="0.25">
      <c r="A32600" s="5">
        <f>32593</f>
      </c>
      <c r="B32600" s="5" t="s">
        <v>32608</v>
      </c>
      <c r="C32600" s="5">
        <v>102.4</v>
      </c>
      <c r="D32600" s="5">
        <v>0.1</v>
      </c>
      <c r="E32600" s="5">
        <v>102.6</v>
      </c>
      <c r="F32600" s="5">
        <v>204.9</v>
      </c>
      <c r="G32600" s="5">
        <v>102.3</v>
      </c>
      <c r="H32600" s="5">
        <v>102.2</v>
      </c>
      <c r="I32600" s="5">
        <v>0</v>
      </c>
      <c r="J32600" s="5">
        <v>0</v>
      </c>
      <c r="K32600" s="5">
        <v>0</v>
      </c>
    </row>
    <row r="32601" spans="1:11" x14ac:dyDescent="0.25">
      <c r="A32601" s="5">
        <f>32594</f>
      </c>
      <c r="B32601" s="5" t="s">
        <v>32609</v>
      </c>
      <c r="C32601" s="5">
        <v>103.6</v>
      </c>
      <c r="D32601" s="5">
        <v>0.1</v>
      </c>
      <c r="E32601" s="5">
        <v>103.7</v>
      </c>
      <c r="F32601" s="5">
        <v>205.5</v>
      </c>
      <c r="G32601" s="5">
        <v>102.5</v>
      </c>
      <c r="H32601" s="5">
        <v>102.3</v>
      </c>
      <c r="I32601" s="5">
        <v>0</v>
      </c>
      <c r="J32601" s="5">
        <v>0</v>
      </c>
      <c r="K32601" s="5">
        <v>0</v>
      </c>
    </row>
    <row r="32602" spans="1:11" x14ac:dyDescent="0.25">
      <c r="A32602" s="5">
        <f>32595</f>
      </c>
      <c r="B32602" s="5" t="s">
        <v>32610</v>
      </c>
      <c r="C32602" s="5">
        <v>103.6</v>
      </c>
      <c r="D32602" s="5">
        <v>0.1</v>
      </c>
      <c r="E32602" s="5">
        <v>103.7</v>
      </c>
      <c r="F32602" s="5">
        <v>205.5</v>
      </c>
      <c r="G32602" s="5">
        <v>102.5</v>
      </c>
      <c r="H32602" s="5">
        <v>102.3</v>
      </c>
      <c r="I32602" s="5">
        <v>0</v>
      </c>
      <c r="J32602" s="5">
        <v>0</v>
      </c>
      <c r="K32602" s="5">
        <v>0</v>
      </c>
    </row>
    <row r="32603" spans="1:11" x14ac:dyDescent="0.25">
      <c r="A32603" s="5">
        <f>32596</f>
      </c>
      <c r="B32603" s="5" t="s">
        <v>32611</v>
      </c>
      <c r="C32603" s="5">
        <v>102.7</v>
      </c>
      <c r="D32603" s="5">
        <v>0.1</v>
      </c>
      <c r="E32603" s="5">
        <v>102.8</v>
      </c>
      <c r="F32603" s="5">
        <v>206.2</v>
      </c>
      <c r="G32603" s="5">
        <v>102.9</v>
      </c>
      <c r="H32603" s="5">
        <v>102.8</v>
      </c>
      <c r="I32603" s="5">
        <v>0</v>
      </c>
      <c r="J32603" s="5">
        <v>0</v>
      </c>
      <c r="K32603" s="5">
        <v>0</v>
      </c>
    </row>
    <row r="32604" spans="1:11" x14ac:dyDescent="0.25">
      <c r="A32604" s="5">
        <f>32597</f>
      </c>
      <c r="B32604" s="5" t="s">
        <v>32612</v>
      </c>
      <c r="C32604" s="5">
        <v>102.7</v>
      </c>
      <c r="D32604" s="5">
        <v>0.1</v>
      </c>
      <c r="E32604" s="5">
        <v>102.8</v>
      </c>
      <c r="F32604" s="5">
        <v>206.2</v>
      </c>
      <c r="G32604" s="5">
        <v>102.9</v>
      </c>
      <c r="H32604" s="5">
        <v>102.8</v>
      </c>
      <c r="I32604" s="5">
        <v>0</v>
      </c>
      <c r="J32604" s="5">
        <v>0</v>
      </c>
      <c r="K32604" s="5">
        <v>0</v>
      </c>
    </row>
    <row r="32605" spans="1:11" x14ac:dyDescent="0.25">
      <c r="A32605" s="5">
        <f>32598</f>
      </c>
      <c r="B32605" s="5" t="s">
        <v>32613</v>
      </c>
      <c r="C32605" s="5">
        <v>103.4</v>
      </c>
      <c r="D32605" s="5">
        <v>0.1</v>
      </c>
      <c r="E32605" s="5">
        <v>103.6</v>
      </c>
      <c r="F32605" s="5">
        <v>205.4</v>
      </c>
      <c r="G32605" s="5">
        <v>102.5</v>
      </c>
      <c r="H32605" s="5">
        <v>102.4</v>
      </c>
      <c r="I32605" s="5">
        <v>0</v>
      </c>
      <c r="J32605" s="5">
        <v>0</v>
      </c>
      <c r="K32605" s="5">
        <v>0</v>
      </c>
    </row>
    <row r="32606" spans="1:11" x14ac:dyDescent="0.25">
      <c r="A32606" s="5">
        <f>32599</f>
      </c>
      <c r="B32606" s="5" t="s">
        <v>32614</v>
      </c>
      <c r="C32606" s="5">
        <v>103.4</v>
      </c>
      <c r="D32606" s="5">
        <v>0.1</v>
      </c>
      <c r="E32606" s="5">
        <v>103.6</v>
      </c>
      <c r="F32606" s="5">
        <v>205.4</v>
      </c>
      <c r="G32606" s="5">
        <v>102.5</v>
      </c>
      <c r="H32606" s="5">
        <v>102.4</v>
      </c>
      <c r="I32606" s="5">
        <v>0</v>
      </c>
      <c r="J32606" s="5">
        <v>0</v>
      </c>
      <c r="K32606" s="5">
        <v>0</v>
      </c>
    </row>
    <row r="32607" spans="1:11" x14ac:dyDescent="0.25">
      <c r="A32607" s="5">
        <f>32600</f>
      </c>
      <c r="B32607" s="5" t="s">
        <v>32615</v>
      </c>
      <c r="C32607" s="5">
        <v>103.4</v>
      </c>
      <c r="D32607" s="5">
        <v>0.1</v>
      </c>
      <c r="E32607" s="5">
        <v>103.6</v>
      </c>
      <c r="F32607" s="5">
        <v>205.4</v>
      </c>
      <c r="G32607" s="5">
        <v>102.5</v>
      </c>
      <c r="H32607" s="5">
        <v>102.4</v>
      </c>
      <c r="I32607" s="5">
        <v>0</v>
      </c>
      <c r="J32607" s="5">
        <v>0</v>
      </c>
      <c r="K32607" s="5">
        <v>0</v>
      </c>
    </row>
    <row r="32608" spans="1:11" x14ac:dyDescent="0.25">
      <c r="A32608" s="5">
        <f>32601</f>
      </c>
      <c r="B32608" s="5" t="s">
        <v>32616</v>
      </c>
      <c r="C32608" s="5">
        <v>102.5</v>
      </c>
      <c r="D32608" s="5">
        <v>0.1</v>
      </c>
      <c r="E32608" s="5">
        <v>102.7</v>
      </c>
      <c r="F32608" s="5">
        <v>204.9</v>
      </c>
      <c r="G32608" s="5">
        <v>102.2</v>
      </c>
      <c r="H32608" s="5">
        <v>102.1</v>
      </c>
      <c r="I32608" s="5">
        <v>0</v>
      </c>
      <c r="J32608" s="5">
        <v>0</v>
      </c>
      <c r="K32608" s="5">
        <v>0</v>
      </c>
    </row>
    <row r="32609" spans="1:11" x14ac:dyDescent="0.25">
      <c r="A32609" s="5">
        <f>32602</f>
      </c>
      <c r="B32609" s="5" t="s">
        <v>32617</v>
      </c>
      <c r="C32609" s="5">
        <v>102.5</v>
      </c>
      <c r="D32609" s="5">
        <v>0.1</v>
      </c>
      <c r="E32609" s="5">
        <v>102.7</v>
      </c>
      <c r="F32609" s="5">
        <v>204.9</v>
      </c>
      <c r="G32609" s="5">
        <v>102.2</v>
      </c>
      <c r="H32609" s="5">
        <v>102.1</v>
      </c>
      <c r="I32609" s="5">
        <v>0</v>
      </c>
      <c r="J32609" s="5">
        <v>0</v>
      </c>
      <c r="K32609" s="5">
        <v>0</v>
      </c>
    </row>
    <row r="32610" spans="1:11" x14ac:dyDescent="0.25">
      <c r="A32610" s="5">
        <f>32603</f>
      </c>
      <c r="B32610" s="5" t="s">
        <v>32618</v>
      </c>
      <c r="C32610" s="5">
        <v>102.7</v>
      </c>
      <c r="D32610" s="5">
        <v>0.1</v>
      </c>
      <c r="E32610" s="5">
        <v>102.9</v>
      </c>
      <c r="F32610" s="5">
        <v>205.1</v>
      </c>
      <c r="G32610" s="5">
        <v>102.3</v>
      </c>
      <c r="H32610" s="5">
        <v>102.2</v>
      </c>
      <c r="I32610" s="5">
        <v>0</v>
      </c>
      <c r="J32610" s="5">
        <v>0</v>
      </c>
      <c r="K32610" s="5">
        <v>0</v>
      </c>
    </row>
    <row r="32611" spans="1:11" x14ac:dyDescent="0.25">
      <c r="A32611" s="5">
        <f>32604</f>
      </c>
      <c r="B32611" s="5" t="s">
        <v>32619</v>
      </c>
      <c r="C32611" s="5">
        <v>102.7</v>
      </c>
      <c r="D32611" s="5">
        <v>0.1</v>
      </c>
      <c r="E32611" s="5">
        <v>102.9</v>
      </c>
      <c r="F32611" s="5">
        <v>205.1</v>
      </c>
      <c r="G32611" s="5">
        <v>102.3</v>
      </c>
      <c r="H32611" s="5">
        <v>102.2</v>
      </c>
      <c r="I32611" s="5">
        <v>0</v>
      </c>
      <c r="J32611" s="5">
        <v>0</v>
      </c>
      <c r="K32611" s="5">
        <v>0</v>
      </c>
    </row>
    <row r="32612" spans="1:11" x14ac:dyDescent="0.25">
      <c r="A32612" s="5">
        <f>32605</f>
      </c>
      <c r="B32612" s="5" t="s">
        <v>32620</v>
      </c>
      <c r="C32612" s="5">
        <v>102.7</v>
      </c>
      <c r="D32612" s="5">
        <v>0.1</v>
      </c>
      <c r="E32612" s="5">
        <v>103.3</v>
      </c>
      <c r="F32612" s="5">
        <v>205.6</v>
      </c>
      <c r="G32612" s="5">
        <v>102.6</v>
      </c>
      <c r="H32612" s="5">
        <v>102.4</v>
      </c>
      <c r="I32612" s="5">
        <v>0</v>
      </c>
      <c r="J32612" s="5">
        <v>0</v>
      </c>
      <c r="K32612" s="5">
        <v>0</v>
      </c>
    </row>
    <row r="32613" spans="1:11" x14ac:dyDescent="0.25">
      <c r="A32613" s="5">
        <f>32606</f>
      </c>
      <c r="B32613" s="5" t="s">
        <v>32621</v>
      </c>
      <c r="C32613" s="5">
        <v>103.1</v>
      </c>
      <c r="D32613" s="5">
        <v>0.1</v>
      </c>
      <c r="E32613" s="5">
        <v>103.3</v>
      </c>
      <c r="F32613" s="5">
        <v>205.6</v>
      </c>
      <c r="G32613" s="5">
        <v>102.6</v>
      </c>
      <c r="H32613" s="5">
        <v>102.4</v>
      </c>
      <c r="I32613" s="5">
        <v>0</v>
      </c>
      <c r="J32613" s="5">
        <v>0</v>
      </c>
      <c r="K32613" s="5">
        <v>0</v>
      </c>
    </row>
    <row r="32614" spans="1:11" x14ac:dyDescent="0.25">
      <c r="A32614" s="5">
        <f>32607</f>
      </c>
      <c r="B32614" s="5" t="s">
        <v>32622</v>
      </c>
      <c r="C32614" s="5">
        <v>103.1</v>
      </c>
      <c r="D32614" s="5">
        <v>0.1</v>
      </c>
      <c r="E32614" s="5">
        <v>103.2</v>
      </c>
      <c r="F32614" s="5">
        <v>205.3</v>
      </c>
      <c r="G32614" s="5">
        <v>102.5</v>
      </c>
      <c r="H32614" s="5">
        <v>102.4</v>
      </c>
      <c r="I32614" s="5">
        <v>0</v>
      </c>
      <c r="J32614" s="5">
        <v>0</v>
      </c>
      <c r="K32614" s="5">
        <v>0</v>
      </c>
    </row>
    <row r="32615" spans="1:11" x14ac:dyDescent="0.25">
      <c r="A32615" s="5">
        <f>32608</f>
      </c>
      <c r="B32615" s="5" t="s">
        <v>32623</v>
      </c>
      <c r="C32615" s="5">
        <v>103.1</v>
      </c>
      <c r="D32615" s="5">
        <v>0.1</v>
      </c>
      <c r="E32615" s="5">
        <v>103.2</v>
      </c>
      <c r="F32615" s="5">
        <v>205.3</v>
      </c>
      <c r="G32615" s="5">
        <v>102.5</v>
      </c>
      <c r="H32615" s="5">
        <v>102.4</v>
      </c>
      <c r="I32615" s="5">
        <v>0</v>
      </c>
      <c r="J32615" s="5">
        <v>0</v>
      </c>
      <c r="K32615" s="5">
        <v>0</v>
      </c>
    </row>
    <row r="32616" spans="1:11" x14ac:dyDescent="0.25">
      <c r="A32616" s="5">
        <f>32609</f>
      </c>
      <c r="B32616" s="5" t="s">
        <v>32624</v>
      </c>
      <c r="C32616" s="5">
        <v>103.1</v>
      </c>
      <c r="D32616" s="5">
        <v>0.1</v>
      </c>
      <c r="E32616" s="5">
        <v>103.2</v>
      </c>
      <c r="F32616" s="5">
        <v>205.3</v>
      </c>
      <c r="G32616" s="5">
        <v>102.5</v>
      </c>
      <c r="H32616" s="5">
        <v>102.4</v>
      </c>
      <c r="I32616" s="5">
        <v>0</v>
      </c>
      <c r="J32616" s="5">
        <v>0</v>
      </c>
      <c r="K32616" s="5">
        <v>0</v>
      </c>
    </row>
    <row r="32617" spans="1:11" x14ac:dyDescent="0.25">
      <c r="A32617" s="5">
        <f>32610</f>
      </c>
      <c r="B32617" s="5" t="s">
        <v>32625</v>
      </c>
      <c r="C32617" s="5">
        <v>103.1</v>
      </c>
      <c r="D32617" s="5">
        <v>0.1</v>
      </c>
      <c r="E32617" s="5">
        <v>103.2</v>
      </c>
      <c r="F32617" s="5">
        <v>205.3</v>
      </c>
      <c r="G32617" s="5">
        <v>102.5</v>
      </c>
      <c r="H32617" s="5">
        <v>102.4</v>
      </c>
      <c r="I32617" s="5">
        <v>0</v>
      </c>
      <c r="J32617" s="5">
        <v>0</v>
      </c>
      <c r="K32617" s="5">
        <v>0</v>
      </c>
    </row>
    <row r="32618" spans="1:11" x14ac:dyDescent="0.25">
      <c r="A32618" s="5">
        <f>32611</f>
      </c>
      <c r="B32618" s="5" t="s">
        <v>32626</v>
      </c>
      <c r="C32618" s="5">
        <v>100.9</v>
      </c>
      <c r="D32618" s="5">
        <v>0.1</v>
      </c>
      <c r="E32618" s="5">
        <v>101.1</v>
      </c>
      <c r="F32618" s="5">
        <v>200.8</v>
      </c>
      <c r="G32618" s="5">
        <v>100.2</v>
      </c>
      <c r="H32618" s="5">
        <v>100</v>
      </c>
      <c r="I32618" s="5">
        <v>0</v>
      </c>
      <c r="J32618" s="5">
        <v>0</v>
      </c>
      <c r="K32618" s="5">
        <v>0</v>
      </c>
    </row>
    <row r="32619" spans="1:11" x14ac:dyDescent="0.25">
      <c r="A32619" s="5">
        <f>32612</f>
      </c>
      <c r="B32619" s="5" t="s">
        <v>32627</v>
      </c>
      <c r="C32619" s="5">
        <v>100.9</v>
      </c>
      <c r="D32619" s="5">
        <v>0.1</v>
      </c>
      <c r="E32619" s="5">
        <v>101.1</v>
      </c>
      <c r="F32619" s="5">
        <v>200.8</v>
      </c>
      <c r="G32619" s="5">
        <v>100.2</v>
      </c>
      <c r="H32619" s="5">
        <v>100</v>
      </c>
      <c r="I32619" s="5">
        <v>0</v>
      </c>
      <c r="J32619" s="5">
        <v>0</v>
      </c>
      <c r="K32619" s="5">
        <v>0</v>
      </c>
    </row>
    <row r="32620" spans="1:11" x14ac:dyDescent="0.25">
      <c r="A32620" s="5">
        <f>32613</f>
      </c>
      <c r="B32620" s="5" t="s">
        <v>32628</v>
      </c>
      <c r="C32620" s="5">
        <v>100.9</v>
      </c>
      <c r="D32620" s="5">
        <v>0.1</v>
      </c>
      <c r="E32620" s="5">
        <v>101.1</v>
      </c>
      <c r="F32620" s="5">
        <v>200.8</v>
      </c>
      <c r="G32620" s="5">
        <v>100.2</v>
      </c>
      <c r="H32620" s="5">
        <v>100</v>
      </c>
      <c r="I32620" s="5">
        <v>0</v>
      </c>
      <c r="J32620" s="5">
        <v>0</v>
      </c>
      <c r="K32620" s="5">
        <v>0</v>
      </c>
    </row>
    <row r="32621" spans="1:11" x14ac:dyDescent="0.25">
      <c r="A32621" s="5">
        <f>32614</f>
      </c>
      <c r="B32621" s="5" t="s">
        <v>32629</v>
      </c>
      <c r="C32621" s="5">
        <v>100.9</v>
      </c>
      <c r="D32621" s="5">
        <v>0.1</v>
      </c>
      <c r="E32621" s="5">
        <v>101.1</v>
      </c>
      <c r="F32621" s="5">
        <v>200.8</v>
      </c>
      <c r="G32621" s="5">
        <v>100.2</v>
      </c>
      <c r="H32621" s="5">
        <v>100</v>
      </c>
      <c r="I32621" s="5">
        <v>0</v>
      </c>
      <c r="J32621" s="5">
        <v>0</v>
      </c>
      <c r="K32621" s="5">
        <v>0</v>
      </c>
    </row>
    <row r="32622" spans="1:11" x14ac:dyDescent="0.25">
      <c r="A32622" s="5">
        <f>32615</f>
      </c>
      <c r="B32622" s="5" t="s">
        <v>32630</v>
      </c>
      <c r="C32622" s="5">
        <v>100.8</v>
      </c>
      <c r="D32622" s="5">
        <v>0.1</v>
      </c>
      <c r="E32622" s="5">
        <v>101</v>
      </c>
      <c r="F32622" s="5">
        <v>201.6</v>
      </c>
      <c r="G32622" s="5">
        <v>100.6</v>
      </c>
      <c r="H32622" s="5">
        <v>100.4</v>
      </c>
      <c r="I32622" s="5">
        <v>0</v>
      </c>
      <c r="J32622" s="5">
        <v>0</v>
      </c>
      <c r="K32622" s="5">
        <v>0</v>
      </c>
    </row>
    <row r="32623" spans="1:11" x14ac:dyDescent="0.25">
      <c r="A32623" s="5">
        <f>32616</f>
      </c>
      <c r="B32623" s="5" t="s">
        <v>32631</v>
      </c>
      <c r="C32623" s="5">
        <v>100.8</v>
      </c>
      <c r="D32623" s="5">
        <v>0.1</v>
      </c>
      <c r="E32623" s="5">
        <v>101</v>
      </c>
      <c r="F32623" s="5">
        <v>201.6</v>
      </c>
      <c r="G32623" s="5">
        <v>100.6</v>
      </c>
      <c r="H32623" s="5">
        <v>100.4</v>
      </c>
      <c r="I32623" s="5">
        <v>0</v>
      </c>
      <c r="J32623" s="5">
        <v>0</v>
      </c>
      <c r="K32623" s="5">
        <v>0</v>
      </c>
    </row>
    <row r="32624" spans="1:11" x14ac:dyDescent="0.25">
      <c r="A32624" s="5">
        <f>32617</f>
      </c>
      <c r="B32624" s="5" t="s">
        <v>32632</v>
      </c>
      <c r="C32624" s="5">
        <v>100.4</v>
      </c>
      <c r="D32624" s="5">
        <v>0.1</v>
      </c>
      <c r="E32624" s="5">
        <v>100.5</v>
      </c>
      <c r="F32624" s="5">
        <v>199.2</v>
      </c>
      <c r="G32624" s="5">
        <v>99.3</v>
      </c>
      <c r="H32624" s="5">
        <v>99.2</v>
      </c>
      <c r="I32624" s="5">
        <v>0</v>
      </c>
      <c r="J32624" s="5">
        <v>0</v>
      </c>
      <c r="K32624" s="5">
        <v>0</v>
      </c>
    </row>
    <row r="32625" spans="1:11" x14ac:dyDescent="0.25">
      <c r="A32625" s="5">
        <f>32618</f>
      </c>
      <c r="B32625" s="5" t="s">
        <v>32633</v>
      </c>
      <c r="C32625" s="5">
        <v>100.4</v>
      </c>
      <c r="D32625" s="5">
        <v>0.1</v>
      </c>
      <c r="E32625" s="5">
        <v>100.5</v>
      </c>
      <c r="F32625" s="5">
        <v>199.2</v>
      </c>
      <c r="G32625" s="5">
        <v>99.3</v>
      </c>
      <c r="H32625" s="5">
        <v>99.2</v>
      </c>
      <c r="I32625" s="5">
        <v>0</v>
      </c>
      <c r="J32625" s="5">
        <v>0</v>
      </c>
      <c r="K32625" s="5">
        <v>0</v>
      </c>
    </row>
    <row r="32626" spans="1:11" x14ac:dyDescent="0.25">
      <c r="A32626" s="5">
        <f>32619</f>
      </c>
      <c r="B32626" s="5" t="s">
        <v>32634</v>
      </c>
      <c r="C32626" s="5">
        <v>100.4</v>
      </c>
      <c r="D32626" s="5">
        <v>0.1</v>
      </c>
      <c r="E32626" s="5">
        <v>100.5</v>
      </c>
      <c r="F32626" s="5">
        <v>199.2</v>
      </c>
      <c r="G32626" s="5">
        <v>99.3</v>
      </c>
      <c r="H32626" s="5">
        <v>99.2</v>
      </c>
      <c r="I32626" s="5">
        <v>0</v>
      </c>
      <c r="J32626" s="5">
        <v>0</v>
      </c>
      <c r="K32626" s="5">
        <v>0</v>
      </c>
    </row>
    <row r="32627" spans="1:11" x14ac:dyDescent="0.25">
      <c r="A32627" s="5">
        <f>32620</f>
      </c>
      <c r="B32627" s="5" t="s">
        <v>32635</v>
      </c>
      <c r="C32627" s="5">
        <v>100.4</v>
      </c>
      <c r="D32627" s="5">
        <v>0.1</v>
      </c>
      <c r="E32627" s="5">
        <v>100.5</v>
      </c>
      <c r="F32627" s="5">
        <v>199.2</v>
      </c>
      <c r="G32627" s="5">
        <v>99.3</v>
      </c>
      <c r="H32627" s="5">
        <v>99.2</v>
      </c>
      <c r="I32627" s="5">
        <v>0</v>
      </c>
      <c r="J32627" s="5">
        <v>0</v>
      </c>
      <c r="K32627" s="5">
        <v>0</v>
      </c>
    </row>
    <row r="32628" spans="1:11" x14ac:dyDescent="0.25">
      <c r="A32628" s="5">
        <f>32621</f>
      </c>
      <c r="B32628" s="5" t="s">
        <v>32636</v>
      </c>
      <c r="C32628" s="5">
        <v>99.4</v>
      </c>
      <c r="D32628" s="5">
        <v>0.1</v>
      </c>
      <c r="E32628" s="5">
        <v>99.5</v>
      </c>
      <c r="F32628" s="5">
        <v>199</v>
      </c>
      <c r="G32628" s="5">
        <v>99.2</v>
      </c>
      <c r="H32628" s="5">
        <v>99.1</v>
      </c>
      <c r="I32628" s="5">
        <v>0</v>
      </c>
      <c r="J32628" s="5">
        <v>0</v>
      </c>
      <c r="K32628" s="5">
        <v>0</v>
      </c>
    </row>
    <row r="32629" spans="1:11" x14ac:dyDescent="0.25">
      <c r="A32629" s="5">
        <f>32622</f>
      </c>
      <c r="B32629" s="5" t="s">
        <v>32637</v>
      </c>
      <c r="C32629" s="5">
        <v>99.4</v>
      </c>
      <c r="D32629" s="5">
        <v>0.1</v>
      </c>
      <c r="E32629" s="5">
        <v>99.5</v>
      </c>
      <c r="F32629" s="5">
        <v>199</v>
      </c>
      <c r="G32629" s="5">
        <v>99.2</v>
      </c>
      <c r="H32629" s="5">
        <v>99.1</v>
      </c>
      <c r="I32629" s="5">
        <v>0</v>
      </c>
      <c r="J32629" s="5">
        <v>0</v>
      </c>
      <c r="K32629" s="5">
        <v>0</v>
      </c>
    </row>
    <row r="32630" spans="1:11" x14ac:dyDescent="0.25">
      <c r="A32630" s="5">
        <f>32623</f>
      </c>
      <c r="B32630" s="5" t="s">
        <v>32638</v>
      </c>
      <c r="C32630" s="5">
        <v>98.6</v>
      </c>
      <c r="D32630" s="5">
        <v>0.1</v>
      </c>
      <c r="E32630" s="5">
        <v>98.7</v>
      </c>
      <c r="F32630" s="5">
        <v>197.1</v>
      </c>
      <c r="G32630" s="5">
        <v>98.3</v>
      </c>
      <c r="H32630" s="5">
        <v>98.2</v>
      </c>
      <c r="I32630" s="5">
        <v>0</v>
      </c>
      <c r="J32630" s="5">
        <v>0</v>
      </c>
      <c r="K32630" s="5">
        <v>0</v>
      </c>
    </row>
    <row r="32631" spans="1:11" x14ac:dyDescent="0.25">
      <c r="A32631" s="5">
        <f>32624</f>
      </c>
      <c r="B32631" s="5" t="s">
        <v>32639</v>
      </c>
      <c r="C32631" s="5">
        <v>98.6</v>
      </c>
      <c r="D32631" s="5">
        <v>0.1</v>
      </c>
      <c r="E32631" s="5">
        <v>98.7</v>
      </c>
      <c r="F32631" s="5">
        <v>197.1</v>
      </c>
      <c r="G32631" s="5">
        <v>98.3</v>
      </c>
      <c r="H32631" s="5">
        <v>98.2</v>
      </c>
      <c r="I32631" s="5">
        <v>0</v>
      </c>
      <c r="J32631" s="5">
        <v>0</v>
      </c>
      <c r="K32631" s="5">
        <v>0</v>
      </c>
    </row>
    <row r="32632" spans="1:11" x14ac:dyDescent="0.25">
      <c r="A32632" s="5">
        <f>32625</f>
      </c>
      <c r="B32632" s="5" t="s">
        <v>32640</v>
      </c>
      <c r="C32632" s="5">
        <v>100.4</v>
      </c>
      <c r="D32632" s="5">
        <v>0.1</v>
      </c>
      <c r="E32632" s="5">
        <v>100.5</v>
      </c>
      <c r="F32632" s="5">
        <v>200</v>
      </c>
      <c r="G32632" s="5">
        <v>99.8</v>
      </c>
      <c r="H32632" s="5">
        <v>99.7</v>
      </c>
      <c r="I32632" s="5">
        <v>0</v>
      </c>
      <c r="J32632" s="5">
        <v>0</v>
      </c>
      <c r="K32632" s="5">
        <v>0</v>
      </c>
    </row>
    <row r="32633" spans="1:11" x14ac:dyDescent="0.25">
      <c r="A32633" s="5">
        <f>32626</f>
      </c>
      <c r="B32633" s="5" t="s">
        <v>32641</v>
      </c>
      <c r="C32633" s="5">
        <v>100.4</v>
      </c>
      <c r="D32633" s="5">
        <v>0.1</v>
      </c>
      <c r="E32633" s="5">
        <v>100.5</v>
      </c>
      <c r="F32633" s="5">
        <v>200</v>
      </c>
      <c r="G32633" s="5">
        <v>99.8</v>
      </c>
      <c r="H32633" s="5">
        <v>99.7</v>
      </c>
      <c r="I32633" s="5">
        <v>0</v>
      </c>
      <c r="J32633" s="5">
        <v>0</v>
      </c>
      <c r="K32633" s="5">
        <v>0</v>
      </c>
    </row>
    <row r="32634" spans="1:11" x14ac:dyDescent="0.25">
      <c r="A32634" s="5">
        <f>32627</f>
      </c>
      <c r="B32634" s="5" t="s">
        <v>32642</v>
      </c>
      <c r="C32634" s="5">
        <v>99.5</v>
      </c>
      <c r="D32634" s="5">
        <v>0.1</v>
      </c>
      <c r="E32634" s="5">
        <v>99.7</v>
      </c>
      <c r="F32634" s="5">
        <v>199.1</v>
      </c>
      <c r="G32634" s="5">
        <v>99.3</v>
      </c>
      <c r="H32634" s="5">
        <v>99.2</v>
      </c>
      <c r="I32634" s="5">
        <v>0</v>
      </c>
      <c r="J32634" s="5">
        <v>0</v>
      </c>
      <c r="K32634" s="5">
        <v>0</v>
      </c>
    </row>
    <row r="32635" spans="1:11" x14ac:dyDescent="0.25">
      <c r="A32635" s="5">
        <f>32628</f>
      </c>
      <c r="B32635" s="5" t="s">
        <v>32643</v>
      </c>
      <c r="C32635" s="5">
        <v>99.5</v>
      </c>
      <c r="D32635" s="5">
        <v>0.1</v>
      </c>
      <c r="E32635" s="5">
        <v>99.7</v>
      </c>
      <c r="F32635" s="5">
        <v>199.1</v>
      </c>
      <c r="G32635" s="5">
        <v>99.3</v>
      </c>
      <c r="H32635" s="5">
        <v>99.2</v>
      </c>
      <c r="I32635" s="5">
        <v>0</v>
      </c>
      <c r="J32635" s="5">
        <v>0</v>
      </c>
      <c r="K32635" s="5">
        <v>0</v>
      </c>
    </row>
    <row r="32636" spans="1:11" x14ac:dyDescent="0.25">
      <c r="A32636" s="5">
        <f>32629</f>
      </c>
      <c r="B32636" s="5" t="s">
        <v>32644</v>
      </c>
      <c r="C32636" s="5">
        <v>99.5</v>
      </c>
      <c r="D32636" s="5">
        <v>0.1</v>
      </c>
      <c r="E32636" s="5">
        <v>99.7</v>
      </c>
      <c r="F32636" s="5">
        <v>199.1</v>
      </c>
      <c r="G32636" s="5">
        <v>99.3</v>
      </c>
      <c r="H32636" s="5">
        <v>99.2</v>
      </c>
      <c r="I32636" s="5">
        <v>0</v>
      </c>
      <c r="J32636" s="5">
        <v>0</v>
      </c>
      <c r="K32636" s="5">
        <v>0</v>
      </c>
    </row>
    <row r="32637" spans="1:11" x14ac:dyDescent="0.25">
      <c r="A32637" s="5">
        <f>32630</f>
      </c>
      <c r="B32637" s="5" t="s">
        <v>32645</v>
      </c>
      <c r="C32637" s="5">
        <v>99.5</v>
      </c>
      <c r="D32637" s="5">
        <v>0.1</v>
      </c>
      <c r="E32637" s="5">
        <v>99.7</v>
      </c>
      <c r="F32637" s="5">
        <v>199.1</v>
      </c>
      <c r="G32637" s="5">
        <v>99.3</v>
      </c>
      <c r="H32637" s="5">
        <v>99.2</v>
      </c>
      <c r="I32637" s="5">
        <v>0</v>
      </c>
      <c r="J32637" s="5">
        <v>0</v>
      </c>
      <c r="K32637" s="5">
        <v>0</v>
      </c>
    </row>
    <row r="32638" spans="1:11" x14ac:dyDescent="0.25">
      <c r="A32638" s="5">
        <f>32631</f>
      </c>
      <c r="B32638" s="5" t="s">
        <v>32646</v>
      </c>
      <c r="C32638" s="5">
        <v>96.4</v>
      </c>
      <c r="D32638" s="5">
        <v>0.1</v>
      </c>
      <c r="E32638" s="5">
        <v>96.6</v>
      </c>
      <c r="F32638" s="5">
        <v>189.4</v>
      </c>
      <c r="G32638" s="5">
        <v>94.3</v>
      </c>
      <c r="H32638" s="5">
        <v>94</v>
      </c>
      <c r="I32638" s="5">
        <v>0</v>
      </c>
      <c r="J32638" s="5">
        <v>0</v>
      </c>
      <c r="K32638" s="5">
        <v>0</v>
      </c>
    </row>
    <row r="32639" spans="1:11" x14ac:dyDescent="0.25">
      <c r="A32639" s="5">
        <f>32632</f>
      </c>
      <c r="B32639" s="5" t="s">
        <v>32647</v>
      </c>
      <c r="C32639" s="5">
        <v>96.4</v>
      </c>
      <c r="D32639" s="5">
        <v>0.1</v>
      </c>
      <c r="E32639" s="5">
        <v>96.6</v>
      </c>
      <c r="F32639" s="5">
        <v>189.4</v>
      </c>
      <c r="G32639" s="5">
        <v>94.3</v>
      </c>
      <c r="H32639" s="5">
        <v>94</v>
      </c>
      <c r="I32639" s="5">
        <v>0</v>
      </c>
      <c r="J32639" s="5">
        <v>0</v>
      </c>
      <c r="K32639" s="5">
        <v>0</v>
      </c>
    </row>
    <row r="32640" spans="1:11" x14ac:dyDescent="0.25">
      <c r="A32640" s="5">
        <f>32633</f>
      </c>
      <c r="B32640" s="5" t="s">
        <v>32648</v>
      </c>
      <c r="C32640" s="5">
        <v>93.3</v>
      </c>
      <c r="D32640" s="5">
        <v>0.1</v>
      </c>
      <c r="E32640" s="5">
        <v>93.5</v>
      </c>
      <c r="F32640" s="5">
        <v>188.7</v>
      </c>
      <c r="G32640" s="5">
        <v>93.9</v>
      </c>
      <c r="H32640" s="5">
        <v>93.6</v>
      </c>
      <c r="I32640" s="5">
        <v>0</v>
      </c>
      <c r="J32640" s="5">
        <v>0</v>
      </c>
      <c r="K32640" s="5">
        <v>0</v>
      </c>
    </row>
    <row r="32641" spans="1:11" x14ac:dyDescent="0.25">
      <c r="A32641" s="5">
        <f>32634</f>
      </c>
      <c r="B32641" s="5" t="s">
        <v>32649</v>
      </c>
      <c r="C32641" s="5">
        <v>93.3</v>
      </c>
      <c r="D32641" s="5">
        <v>0.1</v>
      </c>
      <c r="E32641" s="5">
        <v>93.5</v>
      </c>
      <c r="F32641" s="5">
        <v>188.7</v>
      </c>
      <c r="G32641" s="5">
        <v>93.9</v>
      </c>
      <c r="H32641" s="5">
        <v>93.6</v>
      </c>
      <c r="I32641" s="5">
        <v>0</v>
      </c>
      <c r="J32641" s="5">
        <v>0</v>
      </c>
      <c r="K32641" s="5">
        <v>0</v>
      </c>
    </row>
    <row r="32642" spans="1:11" x14ac:dyDescent="0.25">
      <c r="A32642" s="5">
        <f>32635</f>
      </c>
      <c r="B32642" s="5" t="s">
        <v>32650</v>
      </c>
      <c r="C32642" s="5">
        <v>100.6</v>
      </c>
      <c r="D32642" s="5">
        <v>0.1</v>
      </c>
      <c r="E32642" s="5">
        <v>100.8</v>
      </c>
      <c r="F32642" s="5">
        <v>203</v>
      </c>
      <c r="G32642" s="5">
        <v>101.2</v>
      </c>
      <c r="H32642" s="5">
        <v>101</v>
      </c>
      <c r="I32642" s="5">
        <v>0</v>
      </c>
      <c r="J32642" s="5">
        <v>0</v>
      </c>
      <c r="K32642" s="5">
        <v>0</v>
      </c>
    </row>
    <row r="32643" spans="1:11" x14ac:dyDescent="0.25">
      <c r="A32643" s="5">
        <f>32636</f>
      </c>
      <c r="B32643" s="5" t="s">
        <v>32651</v>
      </c>
      <c r="C32643" s="5">
        <v>100.6</v>
      </c>
      <c r="D32643" s="5">
        <v>0.1</v>
      </c>
      <c r="E32643" s="5">
        <v>100.8</v>
      </c>
      <c r="F32643" s="5">
        <v>203</v>
      </c>
      <c r="G32643" s="5">
        <v>101.2</v>
      </c>
      <c r="H32643" s="5">
        <v>101</v>
      </c>
      <c r="I32643" s="5">
        <v>0</v>
      </c>
      <c r="J32643" s="5">
        <v>0</v>
      </c>
      <c r="K32643" s="5">
        <v>0</v>
      </c>
    </row>
    <row r="32644" spans="1:11" x14ac:dyDescent="0.25">
      <c r="A32644" s="5">
        <f>32637</f>
      </c>
      <c r="B32644" s="5" t="s">
        <v>32652</v>
      </c>
      <c r="C32644" s="5">
        <v>95.8</v>
      </c>
      <c r="D32644" s="5">
        <v>0.1</v>
      </c>
      <c r="E32644" s="5">
        <v>96</v>
      </c>
      <c r="F32644" s="5">
        <v>196.1</v>
      </c>
      <c r="G32644" s="5">
        <v>97.7</v>
      </c>
      <c r="H32644" s="5">
        <v>97.5</v>
      </c>
      <c r="I32644" s="5">
        <v>0</v>
      </c>
      <c r="J32644" s="5">
        <v>0</v>
      </c>
      <c r="K32644" s="5">
        <v>0</v>
      </c>
    </row>
    <row r="32645" spans="1:11" x14ac:dyDescent="0.25">
      <c r="A32645" s="5">
        <f>32638</f>
      </c>
      <c r="B32645" s="5" t="s">
        <v>32653</v>
      </c>
      <c r="C32645" s="5">
        <v>95.8</v>
      </c>
      <c r="D32645" s="5">
        <v>0.1</v>
      </c>
      <c r="E32645" s="5">
        <v>96</v>
      </c>
      <c r="F32645" s="5">
        <v>196.1</v>
      </c>
      <c r="G32645" s="5">
        <v>97.7</v>
      </c>
      <c r="H32645" s="5">
        <v>97.5</v>
      </c>
      <c r="I32645" s="5">
        <v>0</v>
      </c>
      <c r="J32645" s="5">
        <v>0</v>
      </c>
      <c r="K32645" s="5">
        <v>0</v>
      </c>
    </row>
    <row r="32646" spans="1:11" x14ac:dyDescent="0.25">
      <c r="A32646" s="5">
        <f>32639</f>
      </c>
      <c r="B32646" s="5" t="s">
        <v>32654</v>
      </c>
      <c r="C32646" s="5">
        <v>95.8</v>
      </c>
      <c r="D32646" s="5">
        <v>0.1</v>
      </c>
      <c r="E32646" s="5">
        <v>96</v>
      </c>
      <c r="F32646" s="5">
        <v>196.1</v>
      </c>
      <c r="G32646" s="5">
        <v>97.7</v>
      </c>
      <c r="H32646" s="5">
        <v>97.5</v>
      </c>
      <c r="I32646" s="5">
        <v>0</v>
      </c>
      <c r="J32646" s="5">
        <v>0</v>
      </c>
      <c r="K32646" s="5">
        <v>0</v>
      </c>
    </row>
    <row r="32647" spans="1:11" x14ac:dyDescent="0.25">
      <c r="A32647" s="5">
        <f>32640</f>
      </c>
      <c r="B32647" s="5" t="s">
        <v>32655</v>
      </c>
      <c r="C32647" s="5">
        <v>95.8</v>
      </c>
      <c r="D32647" s="5">
        <v>0.1</v>
      </c>
      <c r="E32647" s="5">
        <v>96</v>
      </c>
      <c r="F32647" s="5">
        <v>196.1</v>
      </c>
      <c r="G32647" s="5">
        <v>97.7</v>
      </c>
      <c r="H32647" s="5">
        <v>97.5</v>
      </c>
      <c r="I32647" s="5">
        <v>0</v>
      </c>
      <c r="J32647" s="5">
        <v>0</v>
      </c>
      <c r="K32647" s="5">
        <v>0</v>
      </c>
    </row>
    <row r="32648" spans="1:11" x14ac:dyDescent="0.25">
      <c r="A32648" s="5">
        <f>32641</f>
      </c>
      <c r="B32648" s="5" t="s">
        <v>32656</v>
      </c>
      <c r="C32648" s="5">
        <v>95.7</v>
      </c>
      <c r="D32648" s="5">
        <v>0.1</v>
      </c>
      <c r="E32648" s="5">
        <v>95.9</v>
      </c>
      <c r="F32648" s="5">
        <v>190.1</v>
      </c>
      <c r="G32648" s="5">
        <v>94.9</v>
      </c>
      <c r="H32648" s="5">
        <v>94.8</v>
      </c>
      <c r="I32648" s="5">
        <v>0</v>
      </c>
      <c r="J32648" s="5">
        <v>0</v>
      </c>
      <c r="K32648" s="5">
        <v>0</v>
      </c>
    </row>
    <row r="32649" spans="1:11" x14ac:dyDescent="0.25">
      <c r="A32649" s="5">
        <f>32642</f>
      </c>
      <c r="B32649" s="5" t="s">
        <v>32657</v>
      </c>
      <c r="C32649" s="5">
        <v>95.7</v>
      </c>
      <c r="D32649" s="5">
        <v>0.1</v>
      </c>
      <c r="E32649" s="5">
        <v>95.9</v>
      </c>
      <c r="F32649" s="5">
        <v>190.1</v>
      </c>
      <c r="G32649" s="5">
        <v>94.9</v>
      </c>
      <c r="H32649" s="5">
        <v>94.8</v>
      </c>
      <c r="I32649" s="5">
        <v>0</v>
      </c>
      <c r="J32649" s="5">
        <v>0</v>
      </c>
      <c r="K32649" s="5">
        <v>0</v>
      </c>
    </row>
    <row r="32650" spans="1:11" x14ac:dyDescent="0.25">
      <c r="A32650" s="5">
        <f>32643</f>
      </c>
      <c r="B32650" s="5" t="s">
        <v>32658</v>
      </c>
      <c r="C32650" s="5">
        <v>94.1</v>
      </c>
      <c r="D32650" s="5">
        <v>0.1</v>
      </c>
      <c r="E32650" s="5">
        <v>94.3</v>
      </c>
      <c r="F32650" s="5">
        <v>189.1</v>
      </c>
      <c r="G32650" s="5">
        <v>94.3</v>
      </c>
      <c r="H32650" s="5">
        <v>94.2</v>
      </c>
      <c r="I32650" s="5">
        <v>0</v>
      </c>
      <c r="J32650" s="5">
        <v>0</v>
      </c>
      <c r="K32650" s="5">
        <v>0</v>
      </c>
    </row>
    <row r="32651" spans="1:11" x14ac:dyDescent="0.25">
      <c r="A32651" s="5">
        <f>32644</f>
      </c>
      <c r="B32651" s="5" t="s">
        <v>32659</v>
      </c>
      <c r="C32651" s="5">
        <v>94.1</v>
      </c>
      <c r="D32651" s="5">
        <v>0.1</v>
      </c>
      <c r="E32651" s="5">
        <v>94.3</v>
      </c>
      <c r="F32651" s="5">
        <v>189.1</v>
      </c>
      <c r="G32651" s="5">
        <v>94.3</v>
      </c>
      <c r="H32651" s="5">
        <v>94.2</v>
      </c>
      <c r="I32651" s="5">
        <v>0</v>
      </c>
      <c r="J32651" s="5">
        <v>0</v>
      </c>
      <c r="K32651" s="5">
        <v>0</v>
      </c>
    </row>
    <row r="32652" spans="1:11" x14ac:dyDescent="0.25">
      <c r="A32652" s="5">
        <f>32645</f>
      </c>
      <c r="B32652" s="5" t="s">
        <v>32660</v>
      </c>
      <c r="C32652" s="5">
        <v>95.2</v>
      </c>
      <c r="D32652" s="5">
        <v>0.1</v>
      </c>
      <c r="E32652" s="5">
        <v>95.4</v>
      </c>
      <c r="F32652" s="5">
        <v>190.3</v>
      </c>
      <c r="G32652" s="5">
        <v>94.9</v>
      </c>
      <c r="H32652" s="5">
        <v>94.8</v>
      </c>
      <c r="I32652" s="5">
        <v>0</v>
      </c>
      <c r="J32652" s="5">
        <v>0</v>
      </c>
      <c r="K32652" s="5">
        <v>0</v>
      </c>
    </row>
    <row r="32653" spans="1:11" x14ac:dyDescent="0.25">
      <c r="A32653" s="5">
        <f>32646</f>
      </c>
      <c r="B32653" s="5" t="s">
        <v>32661</v>
      </c>
      <c r="C32653" s="5">
        <v>95.2</v>
      </c>
      <c r="D32653" s="5">
        <v>0.1</v>
      </c>
      <c r="E32653" s="5">
        <v>95.4</v>
      </c>
      <c r="F32653" s="5">
        <v>190.3</v>
      </c>
      <c r="G32653" s="5">
        <v>94.9</v>
      </c>
      <c r="H32653" s="5">
        <v>94.8</v>
      </c>
      <c r="I32653" s="5">
        <v>0</v>
      </c>
      <c r="J32653" s="5">
        <v>0</v>
      </c>
      <c r="K32653" s="5">
        <v>0</v>
      </c>
    </row>
    <row r="32654" spans="1:11" x14ac:dyDescent="0.25">
      <c r="A32654" s="5">
        <f>32647</f>
      </c>
      <c r="B32654" s="5" t="s">
        <v>32662</v>
      </c>
      <c r="C32654" s="5">
        <v>96.1</v>
      </c>
      <c r="D32654" s="5">
        <v>0.1</v>
      </c>
      <c r="E32654" s="5">
        <v>96.2</v>
      </c>
      <c r="F32654" s="5">
        <v>191.8</v>
      </c>
      <c r="G32654" s="5">
        <v>95.7</v>
      </c>
      <c r="H32654" s="5">
        <v>95.5</v>
      </c>
      <c r="I32654" s="5">
        <v>0</v>
      </c>
      <c r="J32654" s="5">
        <v>0</v>
      </c>
      <c r="K32654" s="5">
        <v>0</v>
      </c>
    </row>
    <row r="32655" spans="1:11" x14ac:dyDescent="0.25">
      <c r="A32655" s="5">
        <f>32648</f>
      </c>
      <c r="B32655" s="5" t="s">
        <v>32663</v>
      </c>
      <c r="C32655" s="5">
        <v>96.1</v>
      </c>
      <c r="D32655" s="5">
        <v>0.1</v>
      </c>
      <c r="E32655" s="5">
        <v>96.2</v>
      </c>
      <c r="F32655" s="5">
        <v>191.8</v>
      </c>
      <c r="G32655" s="5">
        <v>95.7</v>
      </c>
      <c r="H32655" s="5">
        <v>95.5</v>
      </c>
      <c r="I32655" s="5">
        <v>0</v>
      </c>
      <c r="J32655" s="5">
        <v>0</v>
      </c>
      <c r="K32655" s="5">
        <v>0</v>
      </c>
    </row>
    <row r="32656" spans="1:11" x14ac:dyDescent="0.25">
      <c r="A32656" s="5">
        <f>32649</f>
      </c>
      <c r="B32656" s="5" t="s">
        <v>32664</v>
      </c>
      <c r="C32656" s="5">
        <v>96.1</v>
      </c>
      <c r="D32656" s="5">
        <v>0.1</v>
      </c>
      <c r="E32656" s="5">
        <v>96.2</v>
      </c>
      <c r="F32656" s="5">
        <v>191.8</v>
      </c>
      <c r="G32656" s="5">
        <v>95.7</v>
      </c>
      <c r="H32656" s="5">
        <v>95.5</v>
      </c>
      <c r="I32656" s="5">
        <v>0</v>
      </c>
      <c r="J32656" s="5">
        <v>0</v>
      </c>
      <c r="K32656" s="5">
        <v>0</v>
      </c>
    </row>
    <row r="32657" spans="1:11" x14ac:dyDescent="0.25">
      <c r="A32657" s="5">
        <f>32650</f>
      </c>
      <c r="B32657" s="5" t="s">
        <v>32665</v>
      </c>
      <c r="C32657" s="5">
        <v>96.1</v>
      </c>
      <c r="D32657" s="5">
        <v>0.1</v>
      </c>
      <c r="E32657" s="5">
        <v>96.2</v>
      </c>
      <c r="F32657" s="5">
        <v>191.8</v>
      </c>
      <c r="G32657" s="5">
        <v>95.7</v>
      </c>
      <c r="H32657" s="5">
        <v>95.5</v>
      </c>
      <c r="I32657" s="5">
        <v>0</v>
      </c>
      <c r="J32657" s="5">
        <v>0</v>
      </c>
      <c r="K32657" s="5">
        <v>0</v>
      </c>
    </row>
    <row r="32658" spans="1:11" x14ac:dyDescent="0.25">
      <c r="A32658" s="5">
        <f>32651</f>
      </c>
      <c r="B32658" s="5" t="s">
        <v>32666</v>
      </c>
      <c r="C32658" s="5">
        <v>99.9</v>
      </c>
      <c r="D32658" s="5">
        <v>0.1</v>
      </c>
      <c r="E32658" s="5">
        <v>100.1</v>
      </c>
      <c r="F32658" s="5">
        <v>200.2</v>
      </c>
      <c r="G32658" s="5">
        <v>99.9</v>
      </c>
      <c r="H32658" s="5">
        <v>99.8</v>
      </c>
      <c r="I32658" s="5">
        <v>0</v>
      </c>
      <c r="J32658" s="5">
        <v>0</v>
      </c>
      <c r="K32658" s="5">
        <v>0</v>
      </c>
    </row>
    <row r="32659" spans="1:11" x14ac:dyDescent="0.25">
      <c r="A32659" s="5">
        <f>32652</f>
      </c>
      <c r="B32659" s="5" t="s">
        <v>32667</v>
      </c>
      <c r="C32659" s="5">
        <v>99.9</v>
      </c>
      <c r="D32659" s="5">
        <v>0.1</v>
      </c>
      <c r="E32659" s="5">
        <v>100.1</v>
      </c>
      <c r="F32659" s="5">
        <v>200.2</v>
      </c>
      <c r="G32659" s="5">
        <v>99.9</v>
      </c>
      <c r="H32659" s="5">
        <v>99.8</v>
      </c>
      <c r="I32659" s="5">
        <v>0</v>
      </c>
      <c r="J32659" s="5">
        <v>0</v>
      </c>
      <c r="K32659" s="5">
        <v>0</v>
      </c>
    </row>
    <row r="32660" spans="1:11" x14ac:dyDescent="0.25">
      <c r="A32660" s="5">
        <f>32653</f>
      </c>
      <c r="B32660" s="5" t="s">
        <v>32668</v>
      </c>
      <c r="C32660" s="5">
        <v>100.3</v>
      </c>
      <c r="D32660" s="5">
        <v>0.1</v>
      </c>
      <c r="E32660" s="5">
        <v>100.5</v>
      </c>
      <c r="F32660" s="5">
        <v>200.8</v>
      </c>
      <c r="G32660" s="5">
        <v>100.2</v>
      </c>
      <c r="H32660" s="5">
        <v>100.1</v>
      </c>
      <c r="I32660" s="5">
        <v>0</v>
      </c>
      <c r="J32660" s="5">
        <v>0</v>
      </c>
      <c r="K32660" s="5">
        <v>0</v>
      </c>
    </row>
    <row r="32661" spans="1:11" x14ac:dyDescent="0.25">
      <c r="A32661" s="5">
        <f>32654</f>
      </c>
      <c r="B32661" s="5" t="s">
        <v>32669</v>
      </c>
      <c r="C32661" s="5">
        <v>100.3</v>
      </c>
      <c r="D32661" s="5">
        <v>0.1</v>
      </c>
      <c r="E32661" s="5">
        <v>100.5</v>
      </c>
      <c r="F32661" s="5">
        <v>200.8</v>
      </c>
      <c r="G32661" s="5">
        <v>100.2</v>
      </c>
      <c r="H32661" s="5">
        <v>100.1</v>
      </c>
      <c r="I32661" s="5">
        <v>0</v>
      </c>
      <c r="J32661" s="5">
        <v>0</v>
      </c>
      <c r="K32661" s="5">
        <v>0</v>
      </c>
    </row>
    <row r="32662" spans="1:11" x14ac:dyDescent="0.25">
      <c r="A32662" s="5">
        <f>32655</f>
      </c>
      <c r="B32662" s="5" t="s">
        <v>32670</v>
      </c>
      <c r="C32662" s="5">
        <v>100.2</v>
      </c>
      <c r="D32662" s="5">
        <v>0.1</v>
      </c>
      <c r="E32662" s="5">
        <v>100.3</v>
      </c>
      <c r="F32662" s="5">
        <v>200.4</v>
      </c>
      <c r="G32662" s="5">
        <v>100</v>
      </c>
      <c r="H32662" s="5">
        <v>99.9</v>
      </c>
      <c r="I32662" s="5">
        <v>0</v>
      </c>
      <c r="J32662" s="5">
        <v>0</v>
      </c>
      <c r="K32662" s="5">
        <v>0</v>
      </c>
    </row>
    <row r="32663" spans="1:11" x14ac:dyDescent="0.25">
      <c r="A32663" s="5">
        <f>32656</f>
      </c>
      <c r="B32663" s="5" t="s">
        <v>32671</v>
      </c>
      <c r="C32663" s="5">
        <v>100.2</v>
      </c>
      <c r="D32663" s="5">
        <v>0.1</v>
      </c>
      <c r="E32663" s="5">
        <v>100.3</v>
      </c>
      <c r="F32663" s="5">
        <v>200.4</v>
      </c>
      <c r="G32663" s="5">
        <v>100</v>
      </c>
      <c r="H32663" s="5">
        <v>99.9</v>
      </c>
      <c r="I32663" s="5">
        <v>0</v>
      </c>
      <c r="J32663" s="5">
        <v>0</v>
      </c>
      <c r="K32663" s="5">
        <v>0</v>
      </c>
    </row>
    <row r="32664" spans="1:11" x14ac:dyDescent="0.25">
      <c r="A32664" s="5">
        <f>32657</f>
      </c>
      <c r="B32664" s="5" t="s">
        <v>32672</v>
      </c>
      <c r="C32664" s="5">
        <v>100.4</v>
      </c>
      <c r="D32664" s="5">
        <v>0.1</v>
      </c>
      <c r="E32664" s="5">
        <v>100.5</v>
      </c>
      <c r="F32664" s="5">
        <v>200.9</v>
      </c>
      <c r="G32664" s="5">
        <v>100.3</v>
      </c>
      <c r="H32664" s="5">
        <v>100.1</v>
      </c>
      <c r="I32664" s="5">
        <v>0</v>
      </c>
      <c r="J32664" s="5">
        <v>0</v>
      </c>
      <c r="K32664" s="5">
        <v>0</v>
      </c>
    </row>
    <row r="32665" spans="1:11" x14ac:dyDescent="0.25">
      <c r="A32665" s="5">
        <f>32658</f>
      </c>
      <c r="B32665" s="5" t="s">
        <v>32673</v>
      </c>
      <c r="C32665" s="5">
        <v>100.4</v>
      </c>
      <c r="D32665" s="5">
        <v>0.1</v>
      </c>
      <c r="E32665" s="5">
        <v>100.5</v>
      </c>
      <c r="F32665" s="5">
        <v>200.9</v>
      </c>
      <c r="G32665" s="5">
        <v>100.3</v>
      </c>
      <c r="H32665" s="5">
        <v>100.1</v>
      </c>
      <c r="I32665" s="5">
        <v>0</v>
      </c>
      <c r="J32665" s="5">
        <v>0</v>
      </c>
      <c r="K32665" s="5">
        <v>0</v>
      </c>
    </row>
    <row r="32666" spans="1:11" x14ac:dyDescent="0.25">
      <c r="A32666" s="5">
        <f>32659</f>
      </c>
      <c r="B32666" s="5" t="s">
        <v>32674</v>
      </c>
      <c r="C32666" s="5">
        <v>100.4</v>
      </c>
      <c r="D32666" s="5">
        <v>0.1</v>
      </c>
      <c r="E32666" s="5">
        <v>100.5</v>
      </c>
      <c r="F32666" s="5">
        <v>200.9</v>
      </c>
      <c r="G32666" s="5">
        <v>100.3</v>
      </c>
      <c r="H32666" s="5">
        <v>100.1</v>
      </c>
      <c r="I32666" s="5">
        <v>0</v>
      </c>
      <c r="J32666" s="5">
        <v>0</v>
      </c>
      <c r="K32666" s="5">
        <v>0</v>
      </c>
    </row>
    <row r="32667" spans="1:11" x14ac:dyDescent="0.25">
      <c r="A32667" s="5">
        <f>32660</f>
      </c>
      <c r="B32667" s="5" t="s">
        <v>32675</v>
      </c>
      <c r="C32667" s="5">
        <v>100.4</v>
      </c>
      <c r="D32667" s="5">
        <v>0.1</v>
      </c>
      <c r="E32667" s="5">
        <v>100.5</v>
      </c>
      <c r="F32667" s="5">
        <v>200.9</v>
      </c>
      <c r="G32667" s="5">
        <v>100.3</v>
      </c>
      <c r="H32667" s="5">
        <v>100.1</v>
      </c>
      <c r="I32667" s="5">
        <v>0</v>
      </c>
      <c r="J32667" s="5">
        <v>0</v>
      </c>
      <c r="K32667" s="5">
        <v>0</v>
      </c>
    </row>
    <row r="32668" spans="1:11" x14ac:dyDescent="0.25">
      <c r="A32668" s="5">
        <f>32661</f>
      </c>
      <c r="B32668" s="5" t="s">
        <v>32676</v>
      </c>
      <c r="C32668" s="5">
        <v>100.3</v>
      </c>
      <c r="D32668" s="5">
        <v>0.1</v>
      </c>
      <c r="E32668" s="5">
        <v>100.5</v>
      </c>
      <c r="F32668" s="5">
        <v>200.5</v>
      </c>
      <c r="G32668" s="5">
        <v>100</v>
      </c>
      <c r="H32668" s="5">
        <v>99.8</v>
      </c>
      <c r="I32668" s="5">
        <v>0</v>
      </c>
      <c r="J32668" s="5">
        <v>0</v>
      </c>
      <c r="K32668" s="5">
        <v>0</v>
      </c>
    </row>
    <row r="32669" spans="1:11" x14ac:dyDescent="0.25">
      <c r="A32669" s="5">
        <f>32662</f>
      </c>
      <c r="B32669" s="5" t="s">
        <v>32677</v>
      </c>
      <c r="C32669" s="5">
        <v>100.3</v>
      </c>
      <c r="D32669" s="5">
        <v>0.1</v>
      </c>
      <c r="E32669" s="5">
        <v>100.5</v>
      </c>
      <c r="F32669" s="5">
        <v>200.5</v>
      </c>
      <c r="G32669" s="5">
        <v>100</v>
      </c>
      <c r="H32669" s="5">
        <v>99.8</v>
      </c>
      <c r="I32669" s="5">
        <v>0</v>
      </c>
      <c r="J32669" s="5">
        <v>0</v>
      </c>
      <c r="K32669" s="5">
        <v>0</v>
      </c>
    </row>
    <row r="32670" spans="1:11" x14ac:dyDescent="0.25">
      <c r="A32670" s="5">
        <f>32663</f>
      </c>
      <c r="B32670" s="5" t="s">
        <v>32678</v>
      </c>
      <c r="C32670" s="5">
        <v>99.5</v>
      </c>
      <c r="D32670" s="5">
        <v>0.1</v>
      </c>
      <c r="E32670" s="5">
        <v>99.7</v>
      </c>
      <c r="F32670" s="5">
        <v>199.2</v>
      </c>
      <c r="G32670" s="5">
        <v>99.4</v>
      </c>
      <c r="H32670" s="5">
        <v>99.2</v>
      </c>
      <c r="I32670" s="5">
        <v>0</v>
      </c>
      <c r="J32670" s="5">
        <v>0</v>
      </c>
      <c r="K32670" s="5">
        <v>0</v>
      </c>
    </row>
    <row r="32671" spans="1:11" x14ac:dyDescent="0.25">
      <c r="A32671" s="5">
        <f>32664</f>
      </c>
      <c r="B32671" s="5" t="s">
        <v>32679</v>
      </c>
      <c r="C32671" s="5">
        <v>99.5</v>
      </c>
      <c r="D32671" s="5">
        <v>0.1</v>
      </c>
      <c r="E32671" s="5">
        <v>99.7</v>
      </c>
      <c r="F32671" s="5">
        <v>199.2</v>
      </c>
      <c r="G32671" s="5">
        <v>99.4</v>
      </c>
      <c r="H32671" s="5">
        <v>99.2</v>
      </c>
      <c r="I32671" s="5">
        <v>0</v>
      </c>
      <c r="J32671" s="5">
        <v>0</v>
      </c>
      <c r="K32671" s="5">
        <v>0</v>
      </c>
    </row>
    <row r="32672" spans="1:11" x14ac:dyDescent="0.25">
      <c r="A32672" s="5">
        <f>32665</f>
      </c>
      <c r="B32672" s="5" t="s">
        <v>32680</v>
      </c>
      <c r="C32672" s="5">
        <v>99.6</v>
      </c>
      <c r="D32672" s="5">
        <v>0.1</v>
      </c>
      <c r="E32672" s="5">
        <v>99.8</v>
      </c>
      <c r="F32672" s="5">
        <v>198.9</v>
      </c>
      <c r="G32672" s="5">
        <v>99.3</v>
      </c>
      <c r="H32672" s="5">
        <v>99.1</v>
      </c>
      <c r="I32672" s="5">
        <v>0</v>
      </c>
      <c r="J32672" s="5">
        <v>0</v>
      </c>
      <c r="K32672" s="5">
        <v>0</v>
      </c>
    </row>
    <row r="32673" spans="1:11" x14ac:dyDescent="0.25">
      <c r="A32673" s="5">
        <f>32666</f>
      </c>
      <c r="B32673" s="5" t="s">
        <v>32681</v>
      </c>
      <c r="C32673" s="5">
        <v>99.6</v>
      </c>
      <c r="D32673" s="5">
        <v>0.1</v>
      </c>
      <c r="E32673" s="5">
        <v>99.8</v>
      </c>
      <c r="F32673" s="5">
        <v>198.9</v>
      </c>
      <c r="G32673" s="5">
        <v>99.3</v>
      </c>
      <c r="H32673" s="5">
        <v>99.1</v>
      </c>
      <c r="I32673" s="5">
        <v>0</v>
      </c>
      <c r="J32673" s="5">
        <v>0</v>
      </c>
      <c r="K32673" s="5">
        <v>0</v>
      </c>
    </row>
    <row r="32674" spans="1:11" x14ac:dyDescent="0.25">
      <c r="A32674" s="5">
        <f>32667</f>
      </c>
      <c r="B32674" s="5" t="s">
        <v>32682</v>
      </c>
      <c r="C32674" s="5">
        <v>99.9</v>
      </c>
      <c r="D32674" s="5">
        <v>0.1</v>
      </c>
      <c r="E32674" s="5">
        <v>100.1</v>
      </c>
      <c r="F32674" s="5">
        <v>199.3</v>
      </c>
      <c r="G32674" s="5">
        <v>99.5</v>
      </c>
      <c r="H32674" s="5">
        <v>99.3</v>
      </c>
      <c r="I32674" s="5">
        <v>0</v>
      </c>
      <c r="J32674" s="5">
        <v>0</v>
      </c>
      <c r="K32674" s="5">
        <v>0</v>
      </c>
    </row>
    <row r="32675" spans="1:11" x14ac:dyDescent="0.25">
      <c r="A32675" s="5">
        <f>32668</f>
      </c>
      <c r="B32675" s="5" t="s">
        <v>32683</v>
      </c>
      <c r="C32675" s="5">
        <v>99.9</v>
      </c>
      <c r="D32675" s="5">
        <v>0.1</v>
      </c>
      <c r="E32675" s="5">
        <v>100.1</v>
      </c>
      <c r="F32675" s="5">
        <v>199.3</v>
      </c>
      <c r="G32675" s="5">
        <v>99.5</v>
      </c>
      <c r="H32675" s="5">
        <v>99.3</v>
      </c>
      <c r="I32675" s="5">
        <v>0</v>
      </c>
      <c r="J32675" s="5">
        <v>0</v>
      </c>
      <c r="K32675" s="5">
        <v>0</v>
      </c>
    </row>
    <row r="32676" spans="1:11" x14ac:dyDescent="0.25">
      <c r="A32676" s="5">
        <f>32669</f>
      </c>
      <c r="B32676" s="5" t="s">
        <v>32684</v>
      </c>
      <c r="C32676" s="5">
        <v>99.9</v>
      </c>
      <c r="D32676" s="5">
        <v>0.1</v>
      </c>
      <c r="E32676" s="5">
        <v>100.1</v>
      </c>
      <c r="F32676" s="5">
        <v>199.3</v>
      </c>
      <c r="G32676" s="5">
        <v>99.5</v>
      </c>
      <c r="H32676" s="5">
        <v>99.3</v>
      </c>
      <c r="I32676" s="5">
        <v>0</v>
      </c>
      <c r="J32676" s="5">
        <v>0</v>
      </c>
      <c r="K32676" s="5">
        <v>0</v>
      </c>
    </row>
    <row r="32677" spans="1:11" x14ac:dyDescent="0.25">
      <c r="A32677" s="5">
        <f>32670</f>
      </c>
      <c r="B32677" s="5" t="s">
        <v>32685</v>
      </c>
      <c r="C32677" s="5">
        <v>99.9</v>
      </c>
      <c r="D32677" s="5">
        <v>0.1</v>
      </c>
      <c r="E32677" s="5">
        <v>100.1</v>
      </c>
      <c r="F32677" s="5">
        <v>199.3</v>
      </c>
      <c r="G32677" s="5">
        <v>99.5</v>
      </c>
      <c r="H32677" s="5">
        <v>99.3</v>
      </c>
      <c r="I32677" s="5">
        <v>0</v>
      </c>
      <c r="J32677" s="5">
        <v>0</v>
      </c>
      <c r="K32677" s="5">
        <v>0</v>
      </c>
    </row>
    <row r="32678" spans="1:11" x14ac:dyDescent="0.25">
      <c r="A32678" s="5">
        <f>32671</f>
      </c>
      <c r="B32678" s="5" t="s">
        <v>32686</v>
      </c>
      <c r="C32678" s="5">
        <v>99.9</v>
      </c>
      <c r="D32678" s="5">
        <v>0.1</v>
      </c>
      <c r="E32678" s="5">
        <v>100.1</v>
      </c>
      <c r="F32678" s="5">
        <v>200</v>
      </c>
      <c r="G32678" s="5">
        <v>99.7</v>
      </c>
      <c r="H32678" s="5">
        <v>99.5</v>
      </c>
      <c r="I32678" s="5">
        <v>0</v>
      </c>
      <c r="J32678" s="5">
        <v>0</v>
      </c>
      <c r="K32678" s="5">
        <v>0</v>
      </c>
    </row>
    <row r="32679" spans="1:11" x14ac:dyDescent="0.25">
      <c r="A32679" s="5">
        <f>32672</f>
      </c>
      <c r="B32679" s="5" t="s">
        <v>32687</v>
      </c>
      <c r="C32679" s="5">
        <v>99.9</v>
      </c>
      <c r="D32679" s="5">
        <v>0.1</v>
      </c>
      <c r="E32679" s="5">
        <v>100.1</v>
      </c>
      <c r="F32679" s="5">
        <v>200</v>
      </c>
      <c r="G32679" s="5">
        <v>99.7</v>
      </c>
      <c r="H32679" s="5">
        <v>99.5</v>
      </c>
      <c r="I32679" s="5">
        <v>0</v>
      </c>
      <c r="J32679" s="5">
        <v>0</v>
      </c>
      <c r="K32679" s="5">
        <v>0</v>
      </c>
    </row>
    <row r="32680" spans="1:11" x14ac:dyDescent="0.25">
      <c r="A32680" s="5">
        <f>32673</f>
      </c>
      <c r="B32680" s="5" t="s">
        <v>32688</v>
      </c>
      <c r="C32680" s="5">
        <v>99.7</v>
      </c>
      <c r="D32680" s="5">
        <v>0.1</v>
      </c>
      <c r="E32680" s="5">
        <v>99.9</v>
      </c>
      <c r="F32680" s="5">
        <v>198.7</v>
      </c>
      <c r="G32680" s="5">
        <v>99.1</v>
      </c>
      <c r="H32680" s="5">
        <v>99</v>
      </c>
      <c r="I32680" s="5">
        <v>0</v>
      </c>
      <c r="J32680" s="5">
        <v>0</v>
      </c>
      <c r="K32680" s="5">
        <v>0</v>
      </c>
    </row>
    <row r="32681" spans="1:11" x14ac:dyDescent="0.25">
      <c r="A32681" s="5">
        <f>32674</f>
      </c>
      <c r="B32681" s="5" t="s">
        <v>32689</v>
      </c>
      <c r="C32681" s="5">
        <v>99.7</v>
      </c>
      <c r="D32681" s="5">
        <v>0.1</v>
      </c>
      <c r="E32681" s="5">
        <v>99.9</v>
      </c>
      <c r="F32681" s="5">
        <v>198.7</v>
      </c>
      <c r="G32681" s="5">
        <v>99.1</v>
      </c>
      <c r="H32681" s="5">
        <v>99</v>
      </c>
      <c r="I32681" s="5">
        <v>0</v>
      </c>
      <c r="J32681" s="5">
        <v>0</v>
      </c>
      <c r="K32681" s="5">
        <v>0</v>
      </c>
    </row>
    <row r="32682" spans="1:11" x14ac:dyDescent="0.25">
      <c r="A32682" s="5">
        <f>32675</f>
      </c>
      <c r="B32682" s="5" t="s">
        <v>32690</v>
      </c>
      <c r="C32682" s="5">
        <v>98.9</v>
      </c>
      <c r="D32682" s="5">
        <v>0.1</v>
      </c>
      <c r="E32682" s="5">
        <v>99</v>
      </c>
      <c r="F32682" s="5">
        <v>199.6</v>
      </c>
      <c r="G32682" s="5">
        <v>99.5</v>
      </c>
      <c r="H32682" s="5">
        <v>99.3</v>
      </c>
      <c r="I32682" s="5">
        <v>0</v>
      </c>
      <c r="J32682" s="5">
        <v>0</v>
      </c>
      <c r="K32682" s="5">
        <v>0</v>
      </c>
    </row>
    <row r="32683" spans="1:11" x14ac:dyDescent="0.25">
      <c r="A32683" s="5">
        <f>32676</f>
      </c>
      <c r="B32683" s="5" t="s">
        <v>32691</v>
      </c>
      <c r="C32683" s="5">
        <v>98.9</v>
      </c>
      <c r="D32683" s="5">
        <v>0.1</v>
      </c>
      <c r="E32683" s="5">
        <v>99</v>
      </c>
      <c r="F32683" s="5">
        <v>199.6</v>
      </c>
      <c r="G32683" s="5">
        <v>99.5</v>
      </c>
      <c r="H32683" s="5">
        <v>99.3</v>
      </c>
      <c r="I32683" s="5">
        <v>0</v>
      </c>
      <c r="J32683" s="5">
        <v>0</v>
      </c>
      <c r="K32683" s="5">
        <v>0</v>
      </c>
    </row>
    <row r="32684" spans="1:11" x14ac:dyDescent="0.25">
      <c r="A32684" s="5">
        <f>32677</f>
      </c>
      <c r="B32684" s="5" t="s">
        <v>32692</v>
      </c>
      <c r="C32684" s="5">
        <v>99.9</v>
      </c>
      <c r="D32684" s="5">
        <v>0.1</v>
      </c>
      <c r="E32684" s="5">
        <v>100</v>
      </c>
      <c r="F32684" s="5">
        <v>199.8</v>
      </c>
      <c r="G32684" s="5">
        <v>99.8</v>
      </c>
      <c r="H32684" s="5">
        <v>99.6</v>
      </c>
      <c r="I32684" s="5">
        <v>0</v>
      </c>
      <c r="J32684" s="5">
        <v>0</v>
      </c>
      <c r="K32684" s="5">
        <v>0</v>
      </c>
    </row>
    <row r="32685" spans="1:11" x14ac:dyDescent="0.25">
      <c r="A32685" s="5">
        <f>32678</f>
      </c>
      <c r="B32685" s="5" t="s">
        <v>32693</v>
      </c>
      <c r="C32685" s="5">
        <v>99.9</v>
      </c>
      <c r="D32685" s="5">
        <v>0.1</v>
      </c>
      <c r="E32685" s="5">
        <v>100</v>
      </c>
      <c r="F32685" s="5">
        <v>199.8</v>
      </c>
      <c r="G32685" s="5">
        <v>99.8</v>
      </c>
      <c r="H32685" s="5">
        <v>99.6</v>
      </c>
      <c r="I32685" s="5">
        <v>0</v>
      </c>
      <c r="J32685" s="5">
        <v>0</v>
      </c>
      <c r="K32685" s="5">
        <v>0</v>
      </c>
    </row>
    <row r="32686" spans="1:11" x14ac:dyDescent="0.25">
      <c r="A32686" s="5">
        <f>32679</f>
      </c>
      <c r="B32686" s="5" t="s">
        <v>32694</v>
      </c>
      <c r="C32686" s="5">
        <v>99.9</v>
      </c>
      <c r="D32686" s="5">
        <v>0.1</v>
      </c>
      <c r="E32686" s="5">
        <v>100</v>
      </c>
      <c r="F32686" s="5">
        <v>199.8</v>
      </c>
      <c r="G32686" s="5">
        <v>99.8</v>
      </c>
      <c r="H32686" s="5">
        <v>99.6</v>
      </c>
      <c r="I32686" s="5">
        <v>0</v>
      </c>
      <c r="J32686" s="5">
        <v>0</v>
      </c>
      <c r="K32686" s="5">
        <v>0</v>
      </c>
    </row>
    <row r="32687" spans="1:11" x14ac:dyDescent="0.25">
      <c r="A32687" s="5">
        <f>32680</f>
      </c>
      <c r="B32687" s="5" t="s">
        <v>32695</v>
      </c>
      <c r="C32687" s="5">
        <v>99.9</v>
      </c>
      <c r="D32687" s="5">
        <v>0.1</v>
      </c>
      <c r="E32687" s="5">
        <v>100</v>
      </c>
      <c r="F32687" s="5">
        <v>199.8</v>
      </c>
      <c r="G32687" s="5">
        <v>99.8</v>
      </c>
      <c r="H32687" s="5">
        <v>99.6</v>
      </c>
      <c r="I32687" s="5">
        <v>0</v>
      </c>
      <c r="J32687" s="5">
        <v>0</v>
      </c>
      <c r="K32687" s="5">
        <v>0</v>
      </c>
    </row>
    <row r="32688" spans="1:11" x14ac:dyDescent="0.25">
      <c r="A32688" s="5">
        <f>32681</f>
      </c>
      <c r="B32688" s="5" t="s">
        <v>32696</v>
      </c>
      <c r="C32688" s="5">
        <v>100.9</v>
      </c>
      <c r="D32688" s="5">
        <v>0.1</v>
      </c>
      <c r="E32688" s="5">
        <v>101.1</v>
      </c>
      <c r="F32688" s="5">
        <v>200.9</v>
      </c>
      <c r="G32688" s="5">
        <v>100.3</v>
      </c>
      <c r="H32688" s="5">
        <v>100.1</v>
      </c>
      <c r="I32688" s="5">
        <v>0</v>
      </c>
      <c r="J32688" s="5">
        <v>0</v>
      </c>
      <c r="K32688" s="5">
        <v>0</v>
      </c>
    </row>
    <row r="32689" spans="1:11" x14ac:dyDescent="0.25">
      <c r="A32689" s="5">
        <f>32682</f>
      </c>
      <c r="B32689" s="5" t="s">
        <v>32697</v>
      </c>
      <c r="C32689" s="5">
        <v>100.9</v>
      </c>
      <c r="D32689" s="5">
        <v>0.1</v>
      </c>
      <c r="E32689" s="5">
        <v>101.1</v>
      </c>
      <c r="F32689" s="5">
        <v>200.9</v>
      </c>
      <c r="G32689" s="5">
        <v>100.3</v>
      </c>
      <c r="H32689" s="5">
        <v>100.1</v>
      </c>
      <c r="I32689" s="5">
        <v>0</v>
      </c>
      <c r="J32689" s="5">
        <v>0</v>
      </c>
      <c r="K32689" s="5">
        <v>0</v>
      </c>
    </row>
    <row r="32690" spans="1:11" x14ac:dyDescent="0.25">
      <c r="A32690" s="5">
        <f>32683</f>
      </c>
      <c r="B32690" s="5" t="s">
        <v>32698</v>
      </c>
      <c r="C32690" s="5">
        <v>99.5</v>
      </c>
      <c r="D32690" s="5">
        <v>0.1</v>
      </c>
      <c r="E32690" s="5">
        <v>99.6</v>
      </c>
      <c r="F32690" s="5">
        <v>199.2</v>
      </c>
      <c r="G32690" s="5">
        <v>99.3</v>
      </c>
      <c r="H32690" s="5">
        <v>99.2</v>
      </c>
      <c r="I32690" s="5">
        <v>0</v>
      </c>
      <c r="J32690" s="5">
        <v>0</v>
      </c>
      <c r="K32690" s="5">
        <v>0</v>
      </c>
    </row>
    <row r="32691" spans="1:11" x14ac:dyDescent="0.25">
      <c r="A32691" s="5">
        <f>32684</f>
      </c>
      <c r="B32691" s="5" t="s">
        <v>32699</v>
      </c>
      <c r="C32691" s="5">
        <v>99.5</v>
      </c>
      <c r="D32691" s="5">
        <v>0.1</v>
      </c>
      <c r="E32691" s="5">
        <v>99.6</v>
      </c>
      <c r="F32691" s="5">
        <v>199.2</v>
      </c>
      <c r="G32691" s="5">
        <v>99.3</v>
      </c>
      <c r="H32691" s="5">
        <v>99.2</v>
      </c>
      <c r="I32691" s="5">
        <v>0</v>
      </c>
      <c r="J32691" s="5">
        <v>0</v>
      </c>
      <c r="K32691" s="5">
        <v>0</v>
      </c>
    </row>
    <row r="32692" spans="1:11" x14ac:dyDescent="0.25">
      <c r="A32692" s="5">
        <f>32685</f>
      </c>
      <c r="B32692" s="5" t="s">
        <v>32700</v>
      </c>
      <c r="C32692" s="5">
        <v>100.8</v>
      </c>
      <c r="D32692" s="5">
        <v>0.1</v>
      </c>
      <c r="E32692" s="5">
        <v>100.9</v>
      </c>
      <c r="F32692" s="5">
        <v>200.6</v>
      </c>
      <c r="G32692" s="5">
        <v>100.1</v>
      </c>
      <c r="H32692" s="5">
        <v>100</v>
      </c>
      <c r="I32692" s="5">
        <v>0</v>
      </c>
      <c r="J32692" s="5">
        <v>0</v>
      </c>
      <c r="K32692" s="5">
        <v>0</v>
      </c>
    </row>
    <row r="32693" spans="1:11" x14ac:dyDescent="0.25">
      <c r="A32693" s="5">
        <f>32686</f>
      </c>
      <c r="B32693" s="5" t="s">
        <v>32701</v>
      </c>
      <c r="C32693" s="5">
        <v>100.8</v>
      </c>
      <c r="D32693" s="5">
        <v>0.1</v>
      </c>
      <c r="E32693" s="5">
        <v>100.9</v>
      </c>
      <c r="F32693" s="5">
        <v>200.6</v>
      </c>
      <c r="G32693" s="5">
        <v>100.1</v>
      </c>
      <c r="H32693" s="5">
        <v>100</v>
      </c>
      <c r="I32693" s="5">
        <v>0</v>
      </c>
      <c r="J32693" s="5">
        <v>0</v>
      </c>
      <c r="K32693" s="5">
        <v>0</v>
      </c>
    </row>
    <row r="32694" spans="1:11" x14ac:dyDescent="0.25">
      <c r="A32694" s="5">
        <f>32687</f>
      </c>
      <c r="B32694" s="5" t="s">
        <v>32702</v>
      </c>
      <c r="C32694" s="5">
        <v>100.2</v>
      </c>
      <c r="D32694" s="5">
        <v>0.1</v>
      </c>
      <c r="E32694" s="5">
        <v>100.3</v>
      </c>
      <c r="F32694" s="5">
        <v>200</v>
      </c>
      <c r="G32694" s="5">
        <v>99.8</v>
      </c>
      <c r="H32694" s="5">
        <v>99.7</v>
      </c>
      <c r="I32694" s="5">
        <v>0</v>
      </c>
      <c r="J32694" s="5">
        <v>0</v>
      </c>
      <c r="K32694" s="5">
        <v>0</v>
      </c>
    </row>
    <row r="32695" spans="1:11" x14ac:dyDescent="0.25">
      <c r="A32695" s="5">
        <f>32688</f>
      </c>
      <c r="B32695" s="5" t="s">
        <v>32703</v>
      </c>
      <c r="C32695" s="5">
        <v>100.2</v>
      </c>
      <c r="D32695" s="5">
        <v>0.1</v>
      </c>
      <c r="E32695" s="5">
        <v>100.3</v>
      </c>
      <c r="F32695" s="5">
        <v>200</v>
      </c>
      <c r="G32695" s="5">
        <v>99.8</v>
      </c>
      <c r="H32695" s="5">
        <v>99.7</v>
      </c>
      <c r="I32695" s="5">
        <v>0</v>
      </c>
      <c r="J32695" s="5">
        <v>0</v>
      </c>
      <c r="K32695" s="5">
        <v>0</v>
      </c>
    </row>
    <row r="32696" spans="1:11" x14ac:dyDescent="0.25">
      <c r="A32696" s="5">
        <f>32689</f>
      </c>
      <c r="B32696" s="5" t="s">
        <v>32704</v>
      </c>
      <c r="C32696" s="5">
        <v>100.2</v>
      </c>
      <c r="D32696" s="5">
        <v>0.1</v>
      </c>
      <c r="E32696" s="5">
        <v>100.3</v>
      </c>
      <c r="F32696" s="5">
        <v>200</v>
      </c>
      <c r="G32696" s="5">
        <v>99.8</v>
      </c>
      <c r="H32696" s="5">
        <v>99.7</v>
      </c>
      <c r="I32696" s="5">
        <v>0</v>
      </c>
      <c r="J32696" s="5">
        <v>0</v>
      </c>
      <c r="K32696" s="5">
        <v>0</v>
      </c>
    </row>
    <row r="32697" spans="1:11" x14ac:dyDescent="0.25">
      <c r="A32697" s="5">
        <f>32690</f>
      </c>
      <c r="B32697" s="5" t="s">
        <v>32705</v>
      </c>
      <c r="C32697" s="5">
        <v>100.2</v>
      </c>
      <c r="D32697" s="5">
        <v>0.1</v>
      </c>
      <c r="E32697" s="5">
        <v>100.3</v>
      </c>
      <c r="F32697" s="5">
        <v>200</v>
      </c>
      <c r="G32697" s="5">
        <v>99.8</v>
      </c>
      <c r="H32697" s="5">
        <v>99.7</v>
      </c>
      <c r="I32697" s="5">
        <v>0</v>
      </c>
      <c r="J32697" s="5">
        <v>0</v>
      </c>
      <c r="K32697" s="5">
        <v>0</v>
      </c>
    </row>
    <row r="32698" spans="1:11" x14ac:dyDescent="0.25">
      <c r="A32698" s="5">
        <f>32691</f>
      </c>
      <c r="B32698" s="5" t="s">
        <v>32706</v>
      </c>
      <c r="C32698" s="5">
        <v>100.7</v>
      </c>
      <c r="D32698" s="5">
        <v>0.1</v>
      </c>
      <c r="E32698" s="5">
        <v>100.8</v>
      </c>
      <c r="F32698" s="5">
        <v>200.9</v>
      </c>
      <c r="G32698" s="5">
        <v>100.2</v>
      </c>
      <c r="H32698" s="5">
        <v>100.1</v>
      </c>
      <c r="I32698" s="5">
        <v>0</v>
      </c>
      <c r="J32698" s="5">
        <v>0</v>
      </c>
      <c r="K32698" s="5">
        <v>0</v>
      </c>
    </row>
    <row r="32699" spans="1:11" x14ac:dyDescent="0.25">
      <c r="A32699" s="5">
        <f>32692</f>
      </c>
      <c r="B32699" s="5" t="s">
        <v>32707</v>
      </c>
      <c r="C32699" s="5">
        <v>100.7</v>
      </c>
      <c r="D32699" s="5">
        <v>0.1</v>
      </c>
      <c r="E32699" s="5">
        <v>100.8</v>
      </c>
      <c r="F32699" s="5">
        <v>200.9</v>
      </c>
      <c r="G32699" s="5">
        <v>100.2</v>
      </c>
      <c r="H32699" s="5">
        <v>100.1</v>
      </c>
      <c r="I32699" s="5">
        <v>0</v>
      </c>
      <c r="J32699" s="5">
        <v>0</v>
      </c>
      <c r="K32699" s="5">
        <v>0</v>
      </c>
    </row>
    <row r="32700" spans="1:11" x14ac:dyDescent="0.25">
      <c r="A32700" s="5">
        <f>32693</f>
      </c>
      <c r="B32700" s="5" t="s">
        <v>32708</v>
      </c>
      <c r="C32700" s="5">
        <v>100.2</v>
      </c>
      <c r="D32700" s="5">
        <v>0.1</v>
      </c>
      <c r="E32700" s="5">
        <v>100.4</v>
      </c>
      <c r="F32700" s="5">
        <v>199.8</v>
      </c>
      <c r="G32700" s="5">
        <v>99.7</v>
      </c>
      <c r="H32700" s="5">
        <v>99.5</v>
      </c>
      <c r="I32700" s="5">
        <v>0</v>
      </c>
      <c r="J32700" s="5">
        <v>0</v>
      </c>
      <c r="K32700" s="5">
        <v>0</v>
      </c>
    </row>
    <row r="32701" spans="1:11" x14ac:dyDescent="0.25">
      <c r="A32701" s="5">
        <f>32694</f>
      </c>
      <c r="B32701" s="5" t="s">
        <v>32709</v>
      </c>
      <c r="C32701" s="5">
        <v>100.2</v>
      </c>
      <c r="D32701" s="5">
        <v>0.1</v>
      </c>
      <c r="E32701" s="5">
        <v>100.4</v>
      </c>
      <c r="F32701" s="5">
        <v>199.8</v>
      </c>
      <c r="G32701" s="5">
        <v>99.7</v>
      </c>
      <c r="H32701" s="5">
        <v>99.5</v>
      </c>
      <c r="I32701" s="5">
        <v>0</v>
      </c>
      <c r="J32701" s="5">
        <v>0</v>
      </c>
      <c r="K32701" s="5">
        <v>0</v>
      </c>
    </row>
    <row r="32702" spans="1:11" x14ac:dyDescent="0.25">
      <c r="A32702" s="5">
        <f>32695</f>
      </c>
      <c r="B32702" s="5" t="s">
        <v>32710</v>
      </c>
      <c r="C32702" s="5">
        <v>100.5</v>
      </c>
      <c r="D32702" s="5">
        <v>0.1</v>
      </c>
      <c r="E32702" s="5">
        <v>100.6</v>
      </c>
      <c r="F32702" s="5">
        <v>200.4</v>
      </c>
      <c r="G32702" s="5">
        <v>99.9</v>
      </c>
      <c r="H32702" s="5">
        <v>99.8</v>
      </c>
      <c r="I32702" s="5">
        <v>0</v>
      </c>
      <c r="J32702" s="5">
        <v>0</v>
      </c>
      <c r="K32702" s="5">
        <v>0</v>
      </c>
    </row>
    <row r="32703" spans="1:11" x14ac:dyDescent="0.25">
      <c r="A32703" s="5">
        <f>32696</f>
      </c>
      <c r="B32703" s="5" t="s">
        <v>32711</v>
      </c>
      <c r="C32703" s="5">
        <v>100.5</v>
      </c>
      <c r="D32703" s="5">
        <v>0.1</v>
      </c>
      <c r="E32703" s="5">
        <v>100.6</v>
      </c>
      <c r="F32703" s="5">
        <v>200.4</v>
      </c>
      <c r="G32703" s="5">
        <v>99.9</v>
      </c>
      <c r="H32703" s="5">
        <v>99.8</v>
      </c>
      <c r="I32703" s="5">
        <v>0</v>
      </c>
      <c r="J32703" s="5">
        <v>0</v>
      </c>
      <c r="K32703" s="5">
        <v>0</v>
      </c>
    </row>
    <row r="32704" spans="1:11" x14ac:dyDescent="0.25">
      <c r="A32704" s="5">
        <f>32697</f>
      </c>
      <c r="B32704" s="5" t="s">
        <v>32712</v>
      </c>
      <c r="C32704" s="5">
        <v>100.1</v>
      </c>
      <c r="D32704" s="5">
        <v>0.1</v>
      </c>
      <c r="E32704" s="5">
        <v>100.2</v>
      </c>
      <c r="F32704" s="5">
        <v>200.1</v>
      </c>
      <c r="G32704" s="5">
        <v>99.9</v>
      </c>
      <c r="H32704" s="5">
        <v>99.9</v>
      </c>
      <c r="I32704" s="5">
        <v>0</v>
      </c>
      <c r="J32704" s="5">
        <v>0</v>
      </c>
      <c r="K32704" s="5">
        <v>0</v>
      </c>
    </row>
    <row r="32705" spans="1:11" x14ac:dyDescent="0.25">
      <c r="A32705" s="5">
        <f>32698</f>
      </c>
      <c r="B32705" s="5" t="s">
        <v>32713</v>
      </c>
      <c r="C32705" s="5">
        <v>100.1</v>
      </c>
      <c r="D32705" s="5">
        <v>0.1</v>
      </c>
      <c r="E32705" s="5">
        <v>100.2</v>
      </c>
      <c r="F32705" s="5">
        <v>200.1</v>
      </c>
      <c r="G32705" s="5">
        <v>99.9</v>
      </c>
      <c r="H32705" s="5">
        <v>99.9</v>
      </c>
      <c r="I32705" s="5">
        <v>0</v>
      </c>
      <c r="J32705" s="5">
        <v>0</v>
      </c>
      <c r="K32705" s="5">
        <v>0</v>
      </c>
    </row>
    <row r="32706" spans="1:11" x14ac:dyDescent="0.25">
      <c r="A32706" s="5">
        <f>32699</f>
      </c>
      <c r="B32706" s="5" t="s">
        <v>32714</v>
      </c>
      <c r="C32706" s="5">
        <v>100.1</v>
      </c>
      <c r="D32706" s="5">
        <v>0.1</v>
      </c>
      <c r="E32706" s="5">
        <v>100.2</v>
      </c>
      <c r="F32706" s="5">
        <v>200.1</v>
      </c>
      <c r="G32706" s="5">
        <v>99.9</v>
      </c>
      <c r="H32706" s="5">
        <v>99.9</v>
      </c>
      <c r="I32706" s="5">
        <v>0</v>
      </c>
      <c r="J32706" s="5">
        <v>0</v>
      </c>
      <c r="K32706" s="5">
        <v>0</v>
      </c>
    </row>
    <row r="32707" spans="1:11" x14ac:dyDescent="0.25">
      <c r="A32707" s="5">
        <f>32700</f>
      </c>
      <c r="B32707" s="5" t="s">
        <v>32715</v>
      </c>
      <c r="C32707" s="5">
        <v>100.1</v>
      </c>
      <c r="D32707" s="5">
        <v>0.1</v>
      </c>
      <c r="E32707" s="5">
        <v>100.2</v>
      </c>
      <c r="F32707" s="5">
        <v>200.1</v>
      </c>
      <c r="G32707" s="5">
        <v>99.9</v>
      </c>
      <c r="H32707" s="5">
        <v>99.9</v>
      </c>
      <c r="I32707" s="5">
        <v>0</v>
      </c>
      <c r="J32707" s="5">
        <v>0</v>
      </c>
      <c r="K32707" s="5">
        <v>0</v>
      </c>
    </row>
    <row r="32708" spans="1:11" x14ac:dyDescent="0.25">
      <c r="A32708" s="5">
        <f>32701</f>
      </c>
      <c r="B32708" s="5" t="s">
        <v>32716</v>
      </c>
      <c r="C32708" s="5">
        <v>101.3</v>
      </c>
      <c r="D32708" s="5">
        <v>0.1</v>
      </c>
      <c r="E32708" s="5">
        <v>101.5</v>
      </c>
      <c r="F32708" s="5">
        <v>202</v>
      </c>
      <c r="G32708" s="5">
        <v>100.7</v>
      </c>
      <c r="H32708" s="5">
        <v>100.6</v>
      </c>
      <c r="I32708" s="5">
        <v>0</v>
      </c>
      <c r="J32708" s="5">
        <v>0</v>
      </c>
      <c r="K32708" s="5">
        <v>0</v>
      </c>
    </row>
    <row r="32709" spans="1:11" x14ac:dyDescent="0.25">
      <c r="A32709" s="5">
        <f>32702</f>
      </c>
      <c r="B32709" s="5" t="s">
        <v>32717</v>
      </c>
      <c r="C32709" s="5">
        <v>101.3</v>
      </c>
      <c r="D32709" s="5">
        <v>0.1</v>
      </c>
      <c r="E32709" s="5">
        <v>101.5</v>
      </c>
      <c r="F32709" s="5">
        <v>202</v>
      </c>
      <c r="G32709" s="5">
        <v>100.7</v>
      </c>
      <c r="H32709" s="5">
        <v>100.6</v>
      </c>
      <c r="I32709" s="5">
        <v>0</v>
      </c>
      <c r="J32709" s="5">
        <v>0</v>
      </c>
      <c r="K32709" s="5">
        <v>0</v>
      </c>
    </row>
    <row r="32710" spans="1:11" x14ac:dyDescent="0.25">
      <c r="A32710" s="5">
        <f>32703</f>
      </c>
      <c r="B32710" s="5" t="s">
        <v>32718</v>
      </c>
      <c r="C32710" s="5">
        <v>100.6</v>
      </c>
      <c r="D32710" s="5">
        <v>0.1</v>
      </c>
      <c r="E32710" s="5">
        <v>100.8</v>
      </c>
      <c r="F32710" s="5">
        <v>200.7</v>
      </c>
      <c r="G32710" s="5">
        <v>100.1</v>
      </c>
      <c r="H32710" s="5">
        <v>100</v>
      </c>
      <c r="I32710" s="5">
        <v>0</v>
      </c>
      <c r="J32710" s="5">
        <v>0</v>
      </c>
      <c r="K32710" s="5">
        <v>0</v>
      </c>
    </row>
    <row r="32711" spans="1:11" x14ac:dyDescent="0.25">
      <c r="A32711" s="5">
        <f>32704</f>
      </c>
      <c r="B32711" s="5" t="s">
        <v>32719</v>
      </c>
      <c r="C32711" s="5">
        <v>100.6</v>
      </c>
      <c r="D32711" s="5">
        <v>0.1</v>
      </c>
      <c r="E32711" s="5">
        <v>100.8</v>
      </c>
      <c r="F32711" s="5">
        <v>200.7</v>
      </c>
      <c r="G32711" s="5">
        <v>100.1</v>
      </c>
      <c r="H32711" s="5">
        <v>100</v>
      </c>
      <c r="I32711" s="5">
        <v>0</v>
      </c>
      <c r="J32711" s="5">
        <v>0</v>
      </c>
      <c r="K32711" s="5">
        <v>0</v>
      </c>
    </row>
    <row r="32712" spans="1:11" x14ac:dyDescent="0.25">
      <c r="A32712" s="5">
        <f>32705</f>
      </c>
      <c r="B32712" s="5" t="s">
        <v>32720</v>
      </c>
      <c r="C32712" s="5">
        <v>100.8</v>
      </c>
      <c r="D32712" s="5">
        <v>0.1</v>
      </c>
      <c r="E32712" s="5">
        <v>100.9</v>
      </c>
      <c r="F32712" s="5">
        <v>201.1</v>
      </c>
      <c r="G32712" s="5">
        <v>100.3</v>
      </c>
      <c r="H32712" s="5">
        <v>100.2</v>
      </c>
      <c r="I32712" s="5">
        <v>0</v>
      </c>
      <c r="J32712" s="5">
        <v>0</v>
      </c>
      <c r="K32712" s="5">
        <v>0</v>
      </c>
    </row>
    <row r="32713" spans="1:11" x14ac:dyDescent="0.25">
      <c r="A32713" s="5">
        <f>32706</f>
      </c>
      <c r="B32713" s="5" t="s">
        <v>32721</v>
      </c>
      <c r="C32713" s="5">
        <v>100.8</v>
      </c>
      <c r="D32713" s="5">
        <v>0.1</v>
      </c>
      <c r="E32713" s="5">
        <v>100.9</v>
      </c>
      <c r="F32713" s="5">
        <v>201.1</v>
      </c>
      <c r="G32713" s="5">
        <v>100.3</v>
      </c>
      <c r="H32713" s="5">
        <v>100.2</v>
      </c>
      <c r="I32713" s="5">
        <v>0</v>
      </c>
      <c r="J32713" s="5">
        <v>0</v>
      </c>
      <c r="K32713" s="5">
        <v>0</v>
      </c>
    </row>
    <row r="32714" spans="1:11" x14ac:dyDescent="0.25">
      <c r="A32714" s="5">
        <f>32707</f>
      </c>
      <c r="B32714" s="5" t="s">
        <v>32722</v>
      </c>
      <c r="C32714" s="5">
        <v>100.4</v>
      </c>
      <c r="D32714" s="5">
        <v>0.1</v>
      </c>
      <c r="E32714" s="5">
        <v>100.5</v>
      </c>
      <c r="F32714" s="5">
        <v>200.9</v>
      </c>
      <c r="G32714" s="5">
        <v>100.2</v>
      </c>
      <c r="H32714" s="5">
        <v>100.1</v>
      </c>
      <c r="I32714" s="5">
        <v>0</v>
      </c>
      <c r="J32714" s="5">
        <v>0</v>
      </c>
      <c r="K32714" s="5">
        <v>0</v>
      </c>
    </row>
    <row r="32715" spans="1:11" x14ac:dyDescent="0.25">
      <c r="A32715" s="5">
        <f>32708</f>
      </c>
      <c r="B32715" s="5" t="s">
        <v>32723</v>
      </c>
      <c r="C32715" s="5">
        <v>100.4</v>
      </c>
      <c r="D32715" s="5">
        <v>0.1</v>
      </c>
      <c r="E32715" s="5">
        <v>100.5</v>
      </c>
      <c r="F32715" s="5">
        <v>200.9</v>
      </c>
      <c r="G32715" s="5">
        <v>100.2</v>
      </c>
      <c r="H32715" s="5">
        <v>100.1</v>
      </c>
      <c r="I32715" s="5">
        <v>0</v>
      </c>
      <c r="J32715" s="5">
        <v>0</v>
      </c>
      <c r="K32715" s="5">
        <v>0</v>
      </c>
    </row>
    <row r="32716" spans="1:11" x14ac:dyDescent="0.25">
      <c r="A32716" s="5">
        <f>32709</f>
      </c>
      <c r="B32716" s="5" t="s">
        <v>32724</v>
      </c>
      <c r="C32716" s="5">
        <v>100.4</v>
      </c>
      <c r="D32716" s="5">
        <v>0.1</v>
      </c>
      <c r="E32716" s="5">
        <v>100.5</v>
      </c>
      <c r="F32716" s="5">
        <v>200.9</v>
      </c>
      <c r="G32716" s="5">
        <v>100.2</v>
      </c>
      <c r="H32716" s="5">
        <v>100.1</v>
      </c>
      <c r="I32716" s="5">
        <v>0</v>
      </c>
      <c r="J32716" s="5">
        <v>0</v>
      </c>
      <c r="K32716" s="5">
        <v>0</v>
      </c>
    </row>
    <row r="32717" spans="1:11" x14ac:dyDescent="0.25">
      <c r="A32717" s="5">
        <f>32710</f>
      </c>
      <c r="B32717" s="5" t="s">
        <v>32725</v>
      </c>
      <c r="C32717" s="5">
        <v>100.4</v>
      </c>
      <c r="D32717" s="5">
        <v>0.1</v>
      </c>
      <c r="E32717" s="5">
        <v>100.5</v>
      </c>
      <c r="F32717" s="5">
        <v>200.9</v>
      </c>
      <c r="G32717" s="5">
        <v>100.2</v>
      </c>
      <c r="H32717" s="5">
        <v>100.1</v>
      </c>
      <c r="I32717" s="5">
        <v>0</v>
      </c>
      <c r="J32717" s="5">
        <v>0</v>
      </c>
      <c r="K32717" s="5">
        <v>0</v>
      </c>
    </row>
    <row r="32718" spans="1:11" x14ac:dyDescent="0.25">
      <c r="A32718" s="5">
        <f>32711</f>
      </c>
      <c r="B32718" s="5" t="s">
        <v>32726</v>
      </c>
      <c r="C32718" s="5">
        <v>99.9</v>
      </c>
      <c r="D32718" s="5">
        <v>0.1</v>
      </c>
      <c r="E32718" s="5">
        <v>100</v>
      </c>
      <c r="F32718" s="5">
        <v>200.1</v>
      </c>
      <c r="G32718" s="5">
        <v>99.9</v>
      </c>
      <c r="H32718" s="5">
        <v>99.8</v>
      </c>
      <c r="I32718" s="5">
        <v>0</v>
      </c>
      <c r="J32718" s="5">
        <v>0</v>
      </c>
      <c r="K32718" s="5">
        <v>0</v>
      </c>
    </row>
    <row r="32719" spans="1:11" x14ac:dyDescent="0.25">
      <c r="A32719" s="5">
        <f>32712</f>
      </c>
      <c r="B32719" s="5" t="s">
        <v>32727</v>
      </c>
      <c r="C32719" s="5">
        <v>99.9</v>
      </c>
      <c r="D32719" s="5">
        <v>0.1</v>
      </c>
      <c r="E32719" s="5">
        <v>100</v>
      </c>
      <c r="F32719" s="5">
        <v>200.1</v>
      </c>
      <c r="G32719" s="5">
        <v>99.9</v>
      </c>
      <c r="H32719" s="5">
        <v>99.8</v>
      </c>
      <c r="I32719" s="5">
        <v>0</v>
      </c>
      <c r="J32719" s="5">
        <v>0</v>
      </c>
      <c r="K32719" s="5">
        <v>0</v>
      </c>
    </row>
    <row r="32720" spans="1:11" x14ac:dyDescent="0.25">
      <c r="A32720" s="5">
        <f>32713</f>
      </c>
      <c r="B32720" s="5" t="s">
        <v>32728</v>
      </c>
      <c r="C32720" s="5">
        <v>100.5</v>
      </c>
      <c r="D32720" s="5">
        <v>0.1</v>
      </c>
      <c r="E32720" s="5">
        <v>100.5</v>
      </c>
      <c r="F32720" s="5">
        <v>200.8</v>
      </c>
      <c r="G32720" s="5">
        <v>100.1</v>
      </c>
      <c r="H32720" s="5">
        <v>99.3</v>
      </c>
      <c r="I32720" s="5">
        <v>0</v>
      </c>
      <c r="J32720" s="5">
        <v>0</v>
      </c>
      <c r="K32720" s="5">
        <v>0</v>
      </c>
    </row>
    <row r="32721" spans="1:11" x14ac:dyDescent="0.25">
      <c r="A32721" s="5">
        <f>32714</f>
      </c>
      <c r="B32721" s="5" t="s">
        <v>32729</v>
      </c>
      <c r="C32721" s="5">
        <v>100.5</v>
      </c>
      <c r="D32721" s="5">
        <v>0.1</v>
      </c>
      <c r="E32721" s="5">
        <v>100.5</v>
      </c>
      <c r="F32721" s="5">
        <v>200.8</v>
      </c>
      <c r="G32721" s="5">
        <v>100.1</v>
      </c>
      <c r="H32721" s="5">
        <v>99.3</v>
      </c>
      <c r="I32721" s="5">
        <v>0</v>
      </c>
      <c r="J32721" s="5">
        <v>0</v>
      </c>
      <c r="K32721" s="5">
        <v>0</v>
      </c>
    </row>
    <row r="32722" spans="1:11" x14ac:dyDescent="0.25">
      <c r="A32722" s="5">
        <f>32715</f>
      </c>
      <c r="B32722" s="5" t="s">
        <v>32730</v>
      </c>
      <c r="C32722" s="5">
        <v>100.1</v>
      </c>
      <c r="D32722" s="5">
        <v>0.1</v>
      </c>
      <c r="E32722" s="5">
        <v>100.2</v>
      </c>
      <c r="F32722" s="5">
        <v>200.3</v>
      </c>
      <c r="G32722" s="5">
        <v>99.9</v>
      </c>
      <c r="H32722" s="5">
        <v>100</v>
      </c>
      <c r="I32722" s="5">
        <v>0</v>
      </c>
      <c r="J32722" s="5">
        <v>0</v>
      </c>
      <c r="K32722" s="5">
        <v>0</v>
      </c>
    </row>
    <row r="32723" spans="1:11" x14ac:dyDescent="0.25">
      <c r="A32723" s="5">
        <f>32716</f>
      </c>
      <c r="B32723" s="5" t="s">
        <v>32731</v>
      </c>
      <c r="C32723" s="5">
        <v>100.1</v>
      </c>
      <c r="D32723" s="5">
        <v>0.1</v>
      </c>
      <c r="E32723" s="5">
        <v>100.2</v>
      </c>
      <c r="F32723" s="5">
        <v>200.3</v>
      </c>
      <c r="G32723" s="5">
        <v>99.9</v>
      </c>
      <c r="H32723" s="5">
        <v>100</v>
      </c>
      <c r="I32723" s="5">
        <v>0</v>
      </c>
      <c r="J32723" s="5">
        <v>0</v>
      </c>
      <c r="K32723" s="5">
        <v>0</v>
      </c>
    </row>
    <row r="32724" spans="1:11" x14ac:dyDescent="0.25">
      <c r="A32724" s="5">
        <f>32717</f>
      </c>
      <c r="B32724" s="5" t="s">
        <v>32732</v>
      </c>
      <c r="C32724" s="5">
        <v>100.5</v>
      </c>
      <c r="D32724" s="5">
        <v>0</v>
      </c>
      <c r="E32724" s="5">
        <v>100.6</v>
      </c>
      <c r="F32724" s="5">
        <v>200.7</v>
      </c>
      <c r="G32724" s="5">
        <v>100.2</v>
      </c>
      <c r="H32724" s="5">
        <v>100</v>
      </c>
      <c r="I32724" s="5">
        <v>0</v>
      </c>
      <c r="J32724" s="5">
        <v>0</v>
      </c>
      <c r="K32724" s="5">
        <v>0</v>
      </c>
    </row>
    <row r="32725" spans="1:11" x14ac:dyDescent="0.25">
      <c r="A32725" s="5">
        <f>32718</f>
      </c>
      <c r="B32725" s="5" t="s">
        <v>32733</v>
      </c>
      <c r="C32725" s="5">
        <v>100.5</v>
      </c>
      <c r="D32725" s="5">
        <v>0</v>
      </c>
      <c r="E32725" s="5">
        <v>100.6</v>
      </c>
      <c r="F32725" s="5">
        <v>200.7</v>
      </c>
      <c r="G32725" s="5">
        <v>100.2</v>
      </c>
      <c r="H32725" s="5">
        <v>100</v>
      </c>
      <c r="I32725" s="5">
        <v>0</v>
      </c>
      <c r="J32725" s="5">
        <v>0</v>
      </c>
      <c r="K32725" s="5">
        <v>0</v>
      </c>
    </row>
    <row r="32726" spans="1:11" x14ac:dyDescent="0.25">
      <c r="A32726" s="5">
        <f>32719</f>
      </c>
      <c r="B32726" s="5" t="s">
        <v>32734</v>
      </c>
      <c r="C32726" s="5">
        <v>100.5</v>
      </c>
      <c r="D32726" s="5">
        <v>0</v>
      </c>
      <c r="E32726" s="5">
        <v>100.6</v>
      </c>
      <c r="F32726" s="5">
        <v>200.7</v>
      </c>
      <c r="G32726" s="5">
        <v>100.2</v>
      </c>
      <c r="H32726" s="5">
        <v>100</v>
      </c>
      <c r="I32726" s="5">
        <v>0</v>
      </c>
      <c r="J32726" s="5">
        <v>0</v>
      </c>
      <c r="K32726" s="5">
        <v>0</v>
      </c>
    </row>
    <row r="32727" spans="1:11" x14ac:dyDescent="0.25">
      <c r="A32727" s="5">
        <f>32720</f>
      </c>
      <c r="B32727" s="5" t="s">
        <v>32735</v>
      </c>
      <c r="C32727" s="5">
        <v>100.5</v>
      </c>
      <c r="D32727" s="5">
        <v>0</v>
      </c>
      <c r="E32727" s="5">
        <v>100.6</v>
      </c>
      <c r="F32727" s="5">
        <v>200.7</v>
      </c>
      <c r="G32727" s="5">
        <v>100.2</v>
      </c>
      <c r="H32727" s="5">
        <v>100</v>
      </c>
      <c r="I32727" s="5">
        <v>0</v>
      </c>
      <c r="J32727" s="5">
        <v>0</v>
      </c>
      <c r="K32727" s="5">
        <v>0</v>
      </c>
    </row>
    <row r="32728" spans="1:11" x14ac:dyDescent="0.25">
      <c r="A32728" s="5">
        <f>32721</f>
      </c>
      <c r="B32728" s="5" t="s">
        <v>32736</v>
      </c>
      <c r="C32728" s="5">
        <v>100.2</v>
      </c>
      <c r="D32728" s="5">
        <v>0.1</v>
      </c>
      <c r="E32728" s="5">
        <v>100.4</v>
      </c>
      <c r="F32728" s="5">
        <v>201.3</v>
      </c>
      <c r="G32728" s="5">
        <v>100.4</v>
      </c>
      <c r="H32728" s="5">
        <v>100.3</v>
      </c>
      <c r="I32728" s="5">
        <v>0</v>
      </c>
      <c r="J32728" s="5">
        <v>0</v>
      </c>
      <c r="K32728" s="5">
        <v>0</v>
      </c>
    </row>
    <row r="32729" spans="1:11" x14ac:dyDescent="0.25">
      <c r="A32729" s="5">
        <f>32722</f>
      </c>
      <c r="B32729" s="5" t="s">
        <v>32737</v>
      </c>
      <c r="C32729" s="5">
        <v>100.2</v>
      </c>
      <c r="D32729" s="5">
        <v>0.1</v>
      </c>
      <c r="E32729" s="5">
        <v>100.4</v>
      </c>
      <c r="F32729" s="5">
        <v>201.3</v>
      </c>
      <c r="G32729" s="5">
        <v>100.4</v>
      </c>
      <c r="H32729" s="5">
        <v>100.3</v>
      </c>
      <c r="I32729" s="5">
        <v>0</v>
      </c>
      <c r="J32729" s="5">
        <v>0</v>
      </c>
      <c r="K32729" s="5">
        <v>0</v>
      </c>
    </row>
    <row r="32730" spans="1:11" x14ac:dyDescent="0.25">
      <c r="A32730" s="5">
        <f>32723</f>
      </c>
      <c r="B32730" s="5" t="s">
        <v>32738</v>
      </c>
      <c r="C32730" s="5">
        <v>100.4</v>
      </c>
      <c r="D32730" s="5">
        <v>0.1</v>
      </c>
      <c r="E32730" s="5">
        <v>100.5</v>
      </c>
      <c r="F32730" s="5">
        <v>199.4</v>
      </c>
      <c r="G32730" s="5">
        <v>99.6</v>
      </c>
      <c r="H32730" s="5">
        <v>99.7</v>
      </c>
      <c r="I32730" s="5">
        <v>0</v>
      </c>
      <c r="J32730" s="5">
        <v>0</v>
      </c>
      <c r="K32730" s="5">
        <v>0</v>
      </c>
    </row>
    <row r="32731" spans="1:11" x14ac:dyDescent="0.25">
      <c r="A32731" s="5">
        <f>32724</f>
      </c>
      <c r="B32731" s="5" t="s">
        <v>32739</v>
      </c>
      <c r="C32731" s="5">
        <v>100.4</v>
      </c>
      <c r="D32731" s="5">
        <v>0.1</v>
      </c>
      <c r="E32731" s="5">
        <v>100.5</v>
      </c>
      <c r="F32731" s="5">
        <v>199.4</v>
      </c>
      <c r="G32731" s="5">
        <v>99.6</v>
      </c>
      <c r="H32731" s="5">
        <v>99.7</v>
      </c>
      <c r="I32731" s="5">
        <v>0</v>
      </c>
      <c r="J32731" s="5">
        <v>0</v>
      </c>
      <c r="K32731" s="5">
        <v>0</v>
      </c>
    </row>
    <row r="32732" spans="1:11" x14ac:dyDescent="0.25">
      <c r="A32732" s="5">
        <f>32725</f>
      </c>
      <c r="B32732" s="5" t="s">
        <v>32740</v>
      </c>
      <c r="C32732" s="5">
        <v>102.8</v>
      </c>
      <c r="D32732" s="5">
        <v>0.1</v>
      </c>
      <c r="E32732" s="5">
        <v>103</v>
      </c>
      <c r="F32732" s="5">
        <v>205.1</v>
      </c>
      <c r="G32732" s="5">
        <v>102.3</v>
      </c>
      <c r="H32732" s="5">
        <v>102.1</v>
      </c>
      <c r="I32732" s="5">
        <v>0</v>
      </c>
      <c r="J32732" s="5">
        <v>0</v>
      </c>
      <c r="K32732" s="5">
        <v>0</v>
      </c>
    </row>
    <row r="32733" spans="1:11" x14ac:dyDescent="0.25">
      <c r="A32733" s="5">
        <f>32726</f>
      </c>
      <c r="B32733" s="5" t="s">
        <v>32741</v>
      </c>
      <c r="C32733" s="5">
        <v>102.8</v>
      </c>
      <c r="D32733" s="5">
        <v>0.1</v>
      </c>
      <c r="E32733" s="5">
        <v>103</v>
      </c>
      <c r="F32733" s="5">
        <v>205.1</v>
      </c>
      <c r="G32733" s="5">
        <v>102.3</v>
      </c>
      <c r="H32733" s="5">
        <v>102.1</v>
      </c>
      <c r="I32733" s="5">
        <v>0</v>
      </c>
      <c r="J32733" s="5">
        <v>0</v>
      </c>
      <c r="K32733" s="5">
        <v>0</v>
      </c>
    </row>
    <row r="32734" spans="1:11" x14ac:dyDescent="0.25">
      <c r="A32734" s="5">
        <f>32727</f>
      </c>
      <c r="B32734" s="5" t="s">
        <v>32742</v>
      </c>
      <c r="C32734" s="5">
        <v>103.1</v>
      </c>
      <c r="D32734" s="5">
        <v>0.1</v>
      </c>
      <c r="E32734" s="5">
        <v>103.1</v>
      </c>
      <c r="F32734" s="5">
        <v>205.1</v>
      </c>
      <c r="G32734" s="5">
        <v>102.3</v>
      </c>
      <c r="H32734" s="5">
        <v>102.2</v>
      </c>
      <c r="I32734" s="5">
        <v>0</v>
      </c>
      <c r="J32734" s="5">
        <v>0</v>
      </c>
      <c r="K32734" s="5">
        <v>0</v>
      </c>
    </row>
    <row r="32735" spans="1:11" x14ac:dyDescent="0.25">
      <c r="A32735" s="5">
        <f>32728</f>
      </c>
      <c r="B32735" s="5" t="s">
        <v>32743</v>
      </c>
      <c r="C32735" s="5">
        <v>103.1</v>
      </c>
      <c r="D32735" s="5">
        <v>0.1</v>
      </c>
      <c r="E32735" s="5">
        <v>103.1</v>
      </c>
      <c r="F32735" s="5">
        <v>205.1</v>
      </c>
      <c r="G32735" s="5">
        <v>102.3</v>
      </c>
      <c r="H32735" s="5">
        <v>102.2</v>
      </c>
      <c r="I32735" s="5">
        <v>0</v>
      </c>
      <c r="J32735" s="5">
        <v>0</v>
      </c>
      <c r="K32735" s="5">
        <v>0</v>
      </c>
    </row>
    <row r="32736" spans="1:11" x14ac:dyDescent="0.25">
      <c r="A32736" s="5">
        <f>32729</f>
      </c>
      <c r="B32736" s="5" t="s">
        <v>32744</v>
      </c>
      <c r="C32736" s="5">
        <v>103.1</v>
      </c>
      <c r="D32736" s="5">
        <v>0.1</v>
      </c>
      <c r="E32736" s="5">
        <v>103.1</v>
      </c>
      <c r="F32736" s="5">
        <v>205.1</v>
      </c>
      <c r="G32736" s="5">
        <v>102.3</v>
      </c>
      <c r="H32736" s="5">
        <v>102.2</v>
      </c>
      <c r="I32736" s="5">
        <v>0</v>
      </c>
      <c r="J32736" s="5">
        <v>0</v>
      </c>
      <c r="K32736" s="5">
        <v>0</v>
      </c>
    </row>
    <row r="32737" spans="1:11" x14ac:dyDescent="0.25">
      <c r="A32737" s="5">
        <f>32730</f>
      </c>
      <c r="B32737" s="5" t="s">
        <v>32745</v>
      </c>
      <c r="C32737" s="5">
        <v>103.1</v>
      </c>
      <c r="D32737" s="5">
        <v>0.1</v>
      </c>
      <c r="E32737" s="5">
        <v>103.3</v>
      </c>
      <c r="F32737" s="5">
        <v>206.2</v>
      </c>
      <c r="G32737" s="5">
        <v>102.9</v>
      </c>
      <c r="H32737" s="5">
        <v>102.7</v>
      </c>
      <c r="I32737" s="5">
        <v>0</v>
      </c>
      <c r="J32737" s="5">
        <v>0</v>
      </c>
      <c r="K32737" s="5">
        <v>0</v>
      </c>
    </row>
    <row r="32738" spans="1:11" x14ac:dyDescent="0.25">
      <c r="A32738" s="5">
        <f>32731</f>
      </c>
      <c r="B32738" s="5" t="s">
        <v>32746</v>
      </c>
      <c r="C32738" s="5">
        <v>103.1</v>
      </c>
      <c r="D32738" s="5">
        <v>0.1</v>
      </c>
      <c r="E32738" s="5">
        <v>103.3</v>
      </c>
      <c r="F32738" s="5">
        <v>206.2</v>
      </c>
      <c r="G32738" s="5">
        <v>102.9</v>
      </c>
      <c r="H32738" s="5">
        <v>102.7</v>
      </c>
      <c r="I32738" s="5">
        <v>0</v>
      </c>
      <c r="J32738" s="5">
        <v>0</v>
      </c>
      <c r="K32738" s="5">
        <v>0</v>
      </c>
    </row>
    <row r="32739" spans="1:11" x14ac:dyDescent="0.25">
      <c r="A32739" s="5">
        <f>32732</f>
      </c>
      <c r="B32739" s="5" t="s">
        <v>32747</v>
      </c>
      <c r="C32739" s="5">
        <v>103.1</v>
      </c>
      <c r="D32739" s="5">
        <v>0.1</v>
      </c>
      <c r="E32739" s="5">
        <v>103.3</v>
      </c>
      <c r="F32739" s="5">
        <v>206.2</v>
      </c>
      <c r="G32739" s="5">
        <v>102.9</v>
      </c>
      <c r="H32739" s="5">
        <v>102.7</v>
      </c>
      <c r="I32739" s="5">
        <v>0</v>
      </c>
      <c r="J32739" s="5">
        <v>0</v>
      </c>
      <c r="K32739" s="5">
        <v>0</v>
      </c>
    </row>
    <row r="32740" spans="1:11" x14ac:dyDescent="0.25">
      <c r="A32740" s="5">
        <f>32733</f>
      </c>
      <c r="B32740" s="5" t="s">
        <v>32748</v>
      </c>
      <c r="C32740" s="5">
        <v>102.7</v>
      </c>
      <c r="D32740" s="5">
        <v>0.1</v>
      </c>
      <c r="E32740" s="5">
        <v>102.9</v>
      </c>
      <c r="F32740" s="5">
        <v>205.2</v>
      </c>
      <c r="G32740" s="5">
        <v>102.4</v>
      </c>
      <c r="H32740" s="5">
        <v>102.2</v>
      </c>
      <c r="I32740" s="5">
        <v>0</v>
      </c>
      <c r="J32740" s="5">
        <v>0</v>
      </c>
      <c r="K32740" s="5">
        <v>0</v>
      </c>
    </row>
    <row r="32741" spans="1:11" x14ac:dyDescent="0.25">
      <c r="A32741" s="5">
        <f>32734</f>
      </c>
      <c r="B32741" s="5" t="s">
        <v>32749</v>
      </c>
      <c r="C32741" s="5">
        <v>102.7</v>
      </c>
      <c r="D32741" s="5">
        <v>0.1</v>
      </c>
      <c r="E32741" s="5">
        <v>102.9</v>
      </c>
      <c r="F32741" s="5">
        <v>205.2</v>
      </c>
      <c r="G32741" s="5">
        <v>102.4</v>
      </c>
      <c r="H32741" s="5">
        <v>102.2</v>
      </c>
      <c r="I32741" s="5">
        <v>0</v>
      </c>
      <c r="J32741" s="5">
        <v>0</v>
      </c>
      <c r="K32741" s="5">
        <v>0</v>
      </c>
    </row>
    <row r="32742" spans="1:11" x14ac:dyDescent="0.25">
      <c r="A32742" s="5">
        <f>32735</f>
      </c>
      <c r="B32742" s="5" t="s">
        <v>32750</v>
      </c>
      <c r="C32742" s="5">
        <v>103.1</v>
      </c>
      <c r="D32742" s="5">
        <v>0.1</v>
      </c>
      <c r="E32742" s="5">
        <v>103.2</v>
      </c>
      <c r="F32742" s="5">
        <v>205.9</v>
      </c>
      <c r="G32742" s="5">
        <v>102.7</v>
      </c>
      <c r="H32742" s="5">
        <v>102.6</v>
      </c>
      <c r="I32742" s="5">
        <v>0</v>
      </c>
      <c r="J32742" s="5">
        <v>0</v>
      </c>
      <c r="K32742" s="5">
        <v>0</v>
      </c>
    </row>
    <row r="32743" spans="1:11" x14ac:dyDescent="0.25">
      <c r="A32743" s="5">
        <f>32736</f>
      </c>
      <c r="B32743" s="5" t="s">
        <v>32751</v>
      </c>
      <c r="C32743" s="5">
        <v>103.1</v>
      </c>
      <c r="D32743" s="5">
        <v>0.1</v>
      </c>
      <c r="E32743" s="5">
        <v>103.2</v>
      </c>
      <c r="F32743" s="5">
        <v>205.9</v>
      </c>
      <c r="G32743" s="5">
        <v>102.7</v>
      </c>
      <c r="H32743" s="5">
        <v>102.6</v>
      </c>
      <c r="I32743" s="5">
        <v>0</v>
      </c>
      <c r="J32743" s="5">
        <v>0</v>
      </c>
      <c r="K32743" s="5">
        <v>0</v>
      </c>
    </row>
    <row r="32744" spans="1:11" x14ac:dyDescent="0.25">
      <c r="A32744" s="5">
        <f>32737</f>
      </c>
      <c r="B32744" s="5" t="s">
        <v>32752</v>
      </c>
      <c r="C32744" s="5">
        <v>102.6</v>
      </c>
      <c r="D32744" s="5">
        <v>0.1</v>
      </c>
      <c r="E32744" s="5">
        <v>102.7</v>
      </c>
      <c r="F32744" s="5">
        <v>205.4</v>
      </c>
      <c r="G32744" s="5">
        <v>102.5</v>
      </c>
      <c r="H32744" s="5">
        <v>102.3</v>
      </c>
      <c r="I32744" s="5">
        <v>0</v>
      </c>
      <c r="J32744" s="5">
        <v>0</v>
      </c>
      <c r="K32744" s="5">
        <v>0</v>
      </c>
    </row>
    <row r="32745" spans="1:11" x14ac:dyDescent="0.25">
      <c r="A32745" s="5">
        <f>32738</f>
      </c>
      <c r="B32745" s="5" t="s">
        <v>32753</v>
      </c>
      <c r="C32745" s="5">
        <v>102.6</v>
      </c>
      <c r="D32745" s="5">
        <v>0.1</v>
      </c>
      <c r="E32745" s="5">
        <v>102.7</v>
      </c>
      <c r="F32745" s="5">
        <v>205.4</v>
      </c>
      <c r="G32745" s="5">
        <v>102.5</v>
      </c>
      <c r="H32745" s="5">
        <v>102.3</v>
      </c>
      <c r="I32745" s="5">
        <v>0</v>
      </c>
      <c r="J32745" s="5">
        <v>0</v>
      </c>
      <c r="K32745" s="5">
        <v>0</v>
      </c>
    </row>
    <row r="32746" spans="1:11" x14ac:dyDescent="0.25">
      <c r="A32746" s="5">
        <f>32739</f>
      </c>
      <c r="B32746" s="5" t="s">
        <v>32754</v>
      </c>
      <c r="C32746" s="5">
        <v>102.6</v>
      </c>
      <c r="D32746" s="5">
        <v>0.1</v>
      </c>
      <c r="E32746" s="5">
        <v>102.7</v>
      </c>
      <c r="F32746" s="5">
        <v>205.4</v>
      </c>
      <c r="G32746" s="5">
        <v>102.5</v>
      </c>
      <c r="H32746" s="5">
        <v>102.3</v>
      </c>
      <c r="I32746" s="5">
        <v>0</v>
      </c>
      <c r="J32746" s="5">
        <v>0</v>
      </c>
      <c r="K32746" s="5">
        <v>0</v>
      </c>
    </row>
    <row r="32747" spans="1:11" x14ac:dyDescent="0.25">
      <c r="A32747" s="5">
        <f>32740</f>
      </c>
      <c r="B32747" s="5" t="s">
        <v>32755</v>
      </c>
      <c r="C32747" s="5">
        <v>102.6</v>
      </c>
      <c r="D32747" s="5">
        <v>0.1</v>
      </c>
      <c r="E32747" s="5">
        <v>102.7</v>
      </c>
      <c r="F32747" s="5">
        <v>205.3</v>
      </c>
      <c r="G32747" s="5">
        <v>102.4</v>
      </c>
      <c r="H32747" s="5">
        <v>102.3</v>
      </c>
      <c r="I32747" s="5">
        <v>0</v>
      </c>
      <c r="J32747" s="5">
        <v>0</v>
      </c>
      <c r="K32747" s="5">
        <v>0</v>
      </c>
    </row>
    <row r="32748" spans="1:11" x14ac:dyDescent="0.25">
      <c r="A32748" s="5">
        <f>32741</f>
      </c>
      <c r="B32748" s="5" t="s">
        <v>32756</v>
      </c>
      <c r="C32748" s="5">
        <v>102.6</v>
      </c>
      <c r="D32748" s="5">
        <v>0.1</v>
      </c>
      <c r="E32748" s="5">
        <v>102.7</v>
      </c>
      <c r="F32748" s="5">
        <v>205.3</v>
      </c>
      <c r="G32748" s="5">
        <v>102.4</v>
      </c>
      <c r="H32748" s="5">
        <v>102.3</v>
      </c>
      <c r="I32748" s="5">
        <v>0</v>
      </c>
      <c r="J32748" s="5">
        <v>0</v>
      </c>
      <c r="K32748" s="5">
        <v>0</v>
      </c>
    </row>
    <row r="32749" spans="1:11" x14ac:dyDescent="0.25">
      <c r="A32749" s="5">
        <f>32742</f>
      </c>
      <c r="B32749" s="5" t="s">
        <v>32757</v>
      </c>
      <c r="C32749" s="5">
        <v>103.1</v>
      </c>
      <c r="D32749" s="5">
        <v>0.1</v>
      </c>
      <c r="E32749" s="5">
        <v>103.2</v>
      </c>
      <c r="F32749" s="5">
        <v>205.4</v>
      </c>
      <c r="G32749" s="5">
        <v>102.5</v>
      </c>
      <c r="H32749" s="5">
        <v>102.4</v>
      </c>
      <c r="I32749" s="5">
        <v>0</v>
      </c>
      <c r="J32749" s="5">
        <v>0</v>
      </c>
      <c r="K32749" s="5">
        <v>0</v>
      </c>
    </row>
    <row r="32750" spans="1:11" x14ac:dyDescent="0.25">
      <c r="A32750" s="5">
        <f>32743</f>
      </c>
      <c r="B32750" s="5" t="s">
        <v>32758</v>
      </c>
      <c r="C32750" s="5">
        <v>103.1</v>
      </c>
      <c r="D32750" s="5">
        <v>0.1</v>
      </c>
      <c r="E32750" s="5">
        <v>103.2</v>
      </c>
      <c r="F32750" s="5">
        <v>205.4</v>
      </c>
      <c r="G32750" s="5">
        <v>102.5</v>
      </c>
      <c r="H32750" s="5">
        <v>102.4</v>
      </c>
      <c r="I32750" s="5">
        <v>0</v>
      </c>
      <c r="J32750" s="5">
        <v>0</v>
      </c>
      <c r="K32750" s="5">
        <v>0</v>
      </c>
    </row>
    <row r="32751" spans="1:11" x14ac:dyDescent="0.25">
      <c r="A32751" s="5">
        <f>32744</f>
      </c>
      <c r="B32751" s="5" t="s">
        <v>32759</v>
      </c>
      <c r="C32751" s="5">
        <v>103.1</v>
      </c>
      <c r="D32751" s="5">
        <v>0.1</v>
      </c>
      <c r="E32751" s="5">
        <v>103.3</v>
      </c>
      <c r="F32751" s="5">
        <v>205.9</v>
      </c>
      <c r="G32751" s="5">
        <v>102.8</v>
      </c>
      <c r="H32751" s="5">
        <v>102.6</v>
      </c>
      <c r="I32751" s="5">
        <v>0</v>
      </c>
      <c r="J32751" s="5">
        <v>0</v>
      </c>
      <c r="K32751" s="5">
        <v>0</v>
      </c>
    </row>
    <row r="32752" spans="1:11" x14ac:dyDescent="0.25">
      <c r="A32752" s="5">
        <f>32745</f>
      </c>
      <c r="B32752" s="5" t="s">
        <v>32760</v>
      </c>
      <c r="C32752" s="5">
        <v>103.1</v>
      </c>
      <c r="D32752" s="5">
        <v>0.1</v>
      </c>
      <c r="E32752" s="5">
        <v>103.3</v>
      </c>
      <c r="F32752" s="5">
        <v>205.9</v>
      </c>
      <c r="G32752" s="5">
        <v>102.8</v>
      </c>
      <c r="H32752" s="5">
        <v>102.6</v>
      </c>
      <c r="I32752" s="5">
        <v>0</v>
      </c>
      <c r="J32752" s="5">
        <v>0</v>
      </c>
      <c r="K32752" s="5">
        <v>0</v>
      </c>
    </row>
    <row r="32753" spans="1:11" x14ac:dyDescent="0.25">
      <c r="A32753" s="5">
        <f>32746</f>
      </c>
      <c r="B32753" s="5" t="s">
        <v>32761</v>
      </c>
      <c r="C32753" s="5">
        <v>103.5</v>
      </c>
      <c r="D32753" s="5">
        <v>0.1</v>
      </c>
      <c r="E32753" s="5">
        <v>103.7</v>
      </c>
      <c r="F32753" s="5">
        <v>207</v>
      </c>
      <c r="G32753" s="5">
        <v>103.3</v>
      </c>
      <c r="H32753" s="5">
        <v>103.1</v>
      </c>
      <c r="I32753" s="5">
        <v>0</v>
      </c>
      <c r="J32753" s="5">
        <v>0</v>
      </c>
      <c r="K32753" s="5">
        <v>0</v>
      </c>
    </row>
    <row r="32754" spans="1:11" x14ac:dyDescent="0.25">
      <c r="A32754" s="5">
        <f>32747</f>
      </c>
      <c r="B32754" s="5" t="s">
        <v>32762</v>
      </c>
      <c r="C32754" s="5">
        <v>103.5</v>
      </c>
      <c r="D32754" s="5">
        <v>0.1</v>
      </c>
      <c r="E32754" s="5">
        <v>103.7</v>
      </c>
      <c r="F32754" s="5">
        <v>207</v>
      </c>
      <c r="G32754" s="5">
        <v>103.3</v>
      </c>
      <c r="H32754" s="5">
        <v>103.1</v>
      </c>
      <c r="I32754" s="5">
        <v>0</v>
      </c>
      <c r="J32754" s="5">
        <v>0</v>
      </c>
      <c r="K32754" s="5">
        <v>0</v>
      </c>
    </row>
    <row r="32755" spans="1:11" x14ac:dyDescent="0.25">
      <c r="A32755" s="5">
        <f>32748</f>
      </c>
      <c r="B32755" s="5" t="s">
        <v>32763</v>
      </c>
      <c r="C32755" s="5">
        <v>103.5</v>
      </c>
      <c r="D32755" s="5">
        <v>0.1</v>
      </c>
      <c r="E32755" s="5">
        <v>103.7</v>
      </c>
      <c r="F32755" s="5">
        <v>207</v>
      </c>
      <c r="G32755" s="5">
        <v>103.3</v>
      </c>
      <c r="H32755" s="5">
        <v>103.1</v>
      </c>
      <c r="I32755" s="5">
        <v>0</v>
      </c>
      <c r="J32755" s="5">
        <v>0</v>
      </c>
      <c r="K32755" s="5">
        <v>0</v>
      </c>
    </row>
    <row r="32756" spans="1:11" x14ac:dyDescent="0.25">
      <c r="A32756" s="5">
        <f>32749</f>
      </c>
      <c r="B32756" s="5" t="s">
        <v>32764</v>
      </c>
      <c r="C32756" s="5">
        <v>103.5</v>
      </c>
      <c r="D32756" s="5">
        <v>0.1</v>
      </c>
      <c r="E32756" s="5">
        <v>103.7</v>
      </c>
      <c r="F32756" s="5">
        <v>207</v>
      </c>
      <c r="G32756" s="5">
        <v>103.3</v>
      </c>
      <c r="H32756" s="5">
        <v>103.1</v>
      </c>
      <c r="I32756" s="5">
        <v>0</v>
      </c>
      <c r="J32756" s="5">
        <v>0</v>
      </c>
      <c r="K32756" s="5">
        <v>0</v>
      </c>
    </row>
    <row r="32757" spans="1:11" x14ac:dyDescent="0.25">
      <c r="A32757" s="5">
        <f>32750</f>
      </c>
      <c r="B32757" s="5" t="s">
        <v>32765</v>
      </c>
      <c r="C32757" s="5">
        <v>103.1</v>
      </c>
      <c r="D32757" s="5">
        <v>0.1</v>
      </c>
      <c r="E32757" s="5">
        <v>103.2</v>
      </c>
      <c r="F32757" s="5">
        <v>206.1</v>
      </c>
      <c r="G32757" s="5">
        <v>102.8</v>
      </c>
      <c r="H32757" s="5">
        <v>102.6</v>
      </c>
      <c r="I32757" s="5">
        <v>0</v>
      </c>
      <c r="J32757" s="5">
        <v>0</v>
      </c>
      <c r="K32757" s="5">
        <v>0</v>
      </c>
    </row>
    <row r="32758" spans="1:11" x14ac:dyDescent="0.25">
      <c r="A32758" s="5">
        <f>32751</f>
      </c>
      <c r="B32758" s="5" t="s">
        <v>32766</v>
      </c>
      <c r="C32758" s="5">
        <v>103.1</v>
      </c>
      <c r="D32758" s="5">
        <v>0.1</v>
      </c>
      <c r="E32758" s="5">
        <v>103.2</v>
      </c>
      <c r="F32758" s="5">
        <v>206.1</v>
      </c>
      <c r="G32758" s="5">
        <v>102.8</v>
      </c>
      <c r="H32758" s="5">
        <v>102.6</v>
      </c>
      <c r="I32758" s="5">
        <v>0</v>
      </c>
      <c r="J32758" s="5">
        <v>0</v>
      </c>
      <c r="K32758" s="5">
        <v>0</v>
      </c>
    </row>
    <row r="32759" spans="1:11" x14ac:dyDescent="0.25">
      <c r="A32759" s="5">
        <f>32752</f>
      </c>
      <c r="B32759" s="5" t="s">
        <v>32767</v>
      </c>
      <c r="C32759" s="5">
        <v>103.4</v>
      </c>
      <c r="D32759" s="5">
        <v>0.1</v>
      </c>
      <c r="E32759" s="5">
        <v>103.5</v>
      </c>
      <c r="F32759" s="5">
        <v>206.6</v>
      </c>
      <c r="G32759" s="5">
        <v>102.8</v>
      </c>
      <c r="H32759" s="5">
        <v>102.6</v>
      </c>
      <c r="I32759" s="5">
        <v>0</v>
      </c>
      <c r="J32759" s="5">
        <v>0</v>
      </c>
      <c r="K32759" s="5">
        <v>0</v>
      </c>
    </row>
    <row r="32760" spans="1:11" x14ac:dyDescent="0.25">
      <c r="A32760" s="5">
        <f>32753</f>
      </c>
      <c r="B32760" s="5" t="s">
        <v>32768</v>
      </c>
      <c r="C32760" s="5">
        <v>103.4</v>
      </c>
      <c r="D32760" s="5">
        <v>0.1</v>
      </c>
      <c r="E32760" s="5">
        <v>103.5</v>
      </c>
      <c r="F32760" s="5">
        <v>206.6</v>
      </c>
      <c r="G32760" s="5">
        <v>103.1</v>
      </c>
      <c r="H32760" s="5">
        <v>103</v>
      </c>
      <c r="I32760" s="5">
        <v>0</v>
      </c>
      <c r="J32760" s="5">
        <v>0</v>
      </c>
      <c r="K32760" s="5">
        <v>0</v>
      </c>
    </row>
    <row r="32761" spans="1:11" x14ac:dyDescent="0.25">
      <c r="A32761" s="5">
        <f>32754</f>
      </c>
      <c r="B32761" s="5" t="s">
        <v>32769</v>
      </c>
      <c r="C32761" s="5">
        <v>102.5</v>
      </c>
      <c r="D32761" s="5">
        <v>0.1</v>
      </c>
      <c r="E32761" s="5">
        <v>102.7</v>
      </c>
      <c r="F32761" s="5">
        <v>206.6</v>
      </c>
      <c r="G32761" s="5">
        <v>103.1</v>
      </c>
      <c r="H32761" s="5">
        <v>103</v>
      </c>
      <c r="I32761" s="5">
        <v>0</v>
      </c>
      <c r="J32761" s="5">
        <v>0</v>
      </c>
      <c r="K32761" s="5">
        <v>0</v>
      </c>
    </row>
    <row r="32762" spans="1:11" x14ac:dyDescent="0.25">
      <c r="A32762" s="5">
        <f>32755</f>
      </c>
      <c r="B32762" s="5" t="s">
        <v>32770</v>
      </c>
      <c r="C32762" s="5">
        <v>102.5</v>
      </c>
      <c r="D32762" s="5">
        <v>0.1</v>
      </c>
      <c r="E32762" s="5">
        <v>102.7</v>
      </c>
      <c r="F32762" s="5">
        <v>204.9</v>
      </c>
      <c r="G32762" s="5">
        <v>102.3</v>
      </c>
      <c r="H32762" s="5">
        <v>102.1</v>
      </c>
      <c r="I32762" s="5">
        <v>0</v>
      </c>
      <c r="J32762" s="5">
        <v>0</v>
      </c>
      <c r="K32762" s="5">
        <v>0</v>
      </c>
    </row>
    <row r="32763" spans="1:11" x14ac:dyDescent="0.25">
      <c r="A32763" s="5">
        <f>32756</f>
      </c>
      <c r="B32763" s="5" t="s">
        <v>32771</v>
      </c>
      <c r="C32763" s="5">
        <v>102.5</v>
      </c>
      <c r="D32763" s="5">
        <v>0.1</v>
      </c>
      <c r="E32763" s="5">
        <v>102.7</v>
      </c>
      <c r="F32763" s="5">
        <v>204.9</v>
      </c>
      <c r="G32763" s="5">
        <v>102.3</v>
      </c>
      <c r="H32763" s="5">
        <v>102.1</v>
      </c>
      <c r="I32763" s="5">
        <v>0</v>
      </c>
      <c r="J32763" s="5">
        <v>0</v>
      </c>
      <c r="K32763" s="5">
        <v>0</v>
      </c>
    </row>
    <row r="32764" spans="1:11" x14ac:dyDescent="0.25">
      <c r="A32764" s="5">
        <f>32757</f>
      </c>
      <c r="B32764" s="5" t="s">
        <v>32772</v>
      </c>
      <c r="C32764" s="5">
        <v>104</v>
      </c>
      <c r="D32764" s="5">
        <v>0.1</v>
      </c>
      <c r="E32764" s="5">
        <v>104.1</v>
      </c>
      <c r="F32764" s="5">
        <v>207.4</v>
      </c>
      <c r="G32764" s="5">
        <v>103.5</v>
      </c>
      <c r="H32764" s="5">
        <v>103.3</v>
      </c>
      <c r="I32764" s="5">
        <v>0</v>
      </c>
      <c r="J32764" s="5">
        <v>0</v>
      </c>
      <c r="K32764" s="5">
        <v>0</v>
      </c>
    </row>
    <row r="32765" spans="1:11" x14ac:dyDescent="0.25">
      <c r="A32765" s="5">
        <f>32758</f>
      </c>
      <c r="B32765" s="5" t="s">
        <v>32773</v>
      </c>
      <c r="C32765" s="5">
        <v>104</v>
      </c>
      <c r="D32765" s="5">
        <v>0.1</v>
      </c>
      <c r="E32765" s="5">
        <v>104.1</v>
      </c>
      <c r="F32765" s="5">
        <v>207.4</v>
      </c>
      <c r="G32765" s="5">
        <v>103.5</v>
      </c>
      <c r="H32765" s="5">
        <v>103.3</v>
      </c>
      <c r="I32765" s="5">
        <v>0</v>
      </c>
      <c r="J32765" s="5">
        <v>0</v>
      </c>
      <c r="K32765" s="5">
        <v>0</v>
      </c>
    </row>
    <row r="32766" spans="1:11" x14ac:dyDescent="0.25">
      <c r="A32766" s="5">
        <f>32759</f>
      </c>
      <c r="B32766" s="5" t="s">
        <v>32774</v>
      </c>
      <c r="C32766" s="5">
        <v>104</v>
      </c>
      <c r="D32766" s="5">
        <v>0.1</v>
      </c>
      <c r="E32766" s="5">
        <v>104.1</v>
      </c>
      <c r="F32766" s="5">
        <v>207.4</v>
      </c>
      <c r="G32766" s="5">
        <v>103.5</v>
      </c>
      <c r="H32766" s="5">
        <v>103.3</v>
      </c>
      <c r="I32766" s="5">
        <v>0</v>
      </c>
      <c r="J32766" s="5">
        <v>0</v>
      </c>
      <c r="K32766" s="5">
        <v>0</v>
      </c>
    </row>
    <row r="32767" spans="1:11" x14ac:dyDescent="0.25">
      <c r="A32767" s="5">
        <f>32760</f>
      </c>
      <c r="B32767" s="5" t="s">
        <v>32775</v>
      </c>
      <c r="C32767" s="5">
        <v>104</v>
      </c>
      <c r="D32767" s="5">
        <v>0.1</v>
      </c>
      <c r="E32767" s="5">
        <v>102.1</v>
      </c>
      <c r="F32767" s="5">
        <v>195.5</v>
      </c>
      <c r="G32767" s="5">
        <v>97.5</v>
      </c>
      <c r="H32767" s="5">
        <v>97.5</v>
      </c>
      <c r="I32767" s="5">
        <v>0</v>
      </c>
      <c r="J32767" s="5">
        <v>0</v>
      </c>
      <c r="K32767" s="5">
        <v>0</v>
      </c>
    </row>
    <row r="32768" spans="1:11" x14ac:dyDescent="0.25">
      <c r="A32768" s="5">
        <f>32761</f>
      </c>
      <c r="B32768" s="5" t="s">
        <v>32776</v>
      </c>
      <c r="C32768" s="5">
        <v>102</v>
      </c>
      <c r="D32768" s="5">
        <v>0.1</v>
      </c>
      <c r="E32768" s="5">
        <v>102.1</v>
      </c>
      <c r="F32768" s="5">
        <v>195.5</v>
      </c>
      <c r="G32768" s="5">
        <v>97.5</v>
      </c>
      <c r="H32768" s="5">
        <v>97.5</v>
      </c>
      <c r="I32768" s="5">
        <v>0</v>
      </c>
      <c r="J32768" s="5">
        <v>0</v>
      </c>
      <c r="K32768" s="5">
        <v>0</v>
      </c>
    </row>
    <row r="32769" spans="1:11" x14ac:dyDescent="0.25">
      <c r="A32769" s="5">
        <f>32762</f>
      </c>
      <c r="B32769" s="5" t="s">
        <v>32777</v>
      </c>
      <c r="C32769" s="5">
        <v>102</v>
      </c>
      <c r="D32769" s="5">
        <v>0.1</v>
      </c>
      <c r="E32769" s="5">
        <v>102.1</v>
      </c>
      <c r="F32769" s="5">
        <v>203.1</v>
      </c>
      <c r="G32769" s="5">
        <v>101.6</v>
      </c>
      <c r="H32769" s="5">
        <v>101.6</v>
      </c>
      <c r="I32769" s="5">
        <v>0</v>
      </c>
      <c r="J32769" s="5">
        <v>0</v>
      </c>
      <c r="K32769" s="5">
        <v>0</v>
      </c>
    </row>
    <row r="32770" spans="1:11" x14ac:dyDescent="0.25">
      <c r="A32770" s="5">
        <f>32763</f>
      </c>
      <c r="B32770" s="5" t="s">
        <v>32778</v>
      </c>
      <c r="C32770" s="5">
        <v>103</v>
      </c>
      <c r="D32770" s="5">
        <v>0.1</v>
      </c>
      <c r="E32770" s="5">
        <v>103.1</v>
      </c>
      <c r="F32770" s="5">
        <v>203.1</v>
      </c>
      <c r="G32770" s="5">
        <v>101.6</v>
      </c>
      <c r="H32770" s="5">
        <v>101.6</v>
      </c>
      <c r="I32770" s="5">
        <v>0</v>
      </c>
      <c r="J32770" s="5">
        <v>0</v>
      </c>
      <c r="K32770" s="5">
        <v>0</v>
      </c>
    </row>
    <row r="32771" spans="1:11" x14ac:dyDescent="0.25">
      <c r="A32771" s="5">
        <f>32764</f>
      </c>
      <c r="B32771" s="5" t="s">
        <v>32779</v>
      </c>
      <c r="C32771" s="5">
        <v>103</v>
      </c>
      <c r="D32771" s="5">
        <v>0.1</v>
      </c>
      <c r="E32771" s="5">
        <v>103.1</v>
      </c>
      <c r="F32771" s="5">
        <v>203.1</v>
      </c>
      <c r="G32771" s="5">
        <v>103</v>
      </c>
      <c r="H32771" s="5">
        <v>102.7</v>
      </c>
      <c r="I32771" s="5">
        <v>0</v>
      </c>
      <c r="J32771" s="5">
        <v>0</v>
      </c>
      <c r="K32771" s="5">
        <v>0</v>
      </c>
    </row>
    <row r="32772" spans="1:11" x14ac:dyDescent="0.25">
      <c r="A32772" s="5">
        <f>32765</f>
      </c>
      <c r="B32772" s="5" t="s">
        <v>32780</v>
      </c>
      <c r="C32772" s="5">
        <v>98.4</v>
      </c>
      <c r="D32772" s="5">
        <v>0.1</v>
      </c>
      <c r="E32772" s="5">
        <v>98.5</v>
      </c>
      <c r="F32772" s="5">
        <v>206.4</v>
      </c>
      <c r="G32772" s="5">
        <v>103</v>
      </c>
      <c r="H32772" s="5">
        <v>102.7</v>
      </c>
      <c r="I32772" s="5">
        <v>0</v>
      </c>
      <c r="J32772" s="5">
        <v>0</v>
      </c>
      <c r="K32772" s="5">
        <v>0</v>
      </c>
    </row>
    <row r="32773" spans="1:11" x14ac:dyDescent="0.25">
      <c r="A32773" s="5">
        <f>32766</f>
      </c>
      <c r="B32773" s="5" t="s">
        <v>32781</v>
      </c>
      <c r="C32773" s="5">
        <v>98.4</v>
      </c>
      <c r="D32773" s="5">
        <v>0.1</v>
      </c>
      <c r="E32773" s="5">
        <v>98.5</v>
      </c>
      <c r="F32773" s="5">
        <v>206.4</v>
      </c>
      <c r="G32773" s="5">
        <v>99.2</v>
      </c>
      <c r="H32773" s="5">
        <v>98.9</v>
      </c>
      <c r="I32773" s="5">
        <v>0</v>
      </c>
      <c r="J32773" s="5">
        <v>0</v>
      </c>
      <c r="K32773" s="5">
        <v>0</v>
      </c>
    </row>
    <row r="32774" spans="1:11" x14ac:dyDescent="0.25">
      <c r="A32774" s="5">
        <f>32767</f>
      </c>
      <c r="B32774" s="5" t="s">
        <v>32782</v>
      </c>
      <c r="C32774" s="5">
        <v>96.6</v>
      </c>
      <c r="D32774" s="5">
        <v>0.1</v>
      </c>
      <c r="E32774" s="5">
        <v>96.7</v>
      </c>
      <c r="F32774" s="5">
        <v>199.2</v>
      </c>
      <c r="G32774" s="5">
        <v>99.2</v>
      </c>
      <c r="H32774" s="5">
        <v>98.9</v>
      </c>
      <c r="I32774" s="5">
        <v>0</v>
      </c>
      <c r="J32774" s="5">
        <v>0</v>
      </c>
      <c r="K32774" s="5">
        <v>0</v>
      </c>
    </row>
    <row r="32775" spans="1:11" x14ac:dyDescent="0.25">
      <c r="A32775" s="5">
        <f>32768</f>
      </c>
      <c r="B32775" s="5" t="s">
        <v>32783</v>
      </c>
      <c r="C32775" s="5">
        <v>96.6</v>
      </c>
      <c r="D32775" s="5">
        <v>0.1</v>
      </c>
      <c r="E32775" s="5">
        <v>96.7</v>
      </c>
      <c r="F32775" s="5">
        <v>199.2</v>
      </c>
      <c r="G32775" s="5">
        <v>99.2</v>
      </c>
      <c r="H32775" s="5">
        <v>98.9</v>
      </c>
      <c r="I32775" s="5">
        <v>0</v>
      </c>
      <c r="J32775" s="5">
        <v>0</v>
      </c>
      <c r="K32775" s="5">
        <v>0</v>
      </c>
    </row>
    <row r="32776" spans="1:11" x14ac:dyDescent="0.25">
      <c r="A32776" s="5">
        <f>32769</f>
      </c>
      <c r="B32776" s="5" t="s">
        <v>32784</v>
      </c>
      <c r="C32776" s="5">
        <v>96.6</v>
      </c>
      <c r="D32776" s="5">
        <v>0.1</v>
      </c>
      <c r="E32776" s="5">
        <v>96.7</v>
      </c>
      <c r="F32776" s="5">
        <v>199.2</v>
      </c>
      <c r="G32776" s="5">
        <v>99.2</v>
      </c>
      <c r="H32776" s="5">
        <v>98.9</v>
      </c>
      <c r="I32776" s="5">
        <v>0</v>
      </c>
      <c r="J32776" s="5">
        <v>0</v>
      </c>
      <c r="K32776" s="5">
        <v>0</v>
      </c>
    </row>
    <row r="32777" spans="1:11" x14ac:dyDescent="0.25">
      <c r="A32777" s="5">
        <f>32770</f>
      </c>
      <c r="B32777" s="5" t="s">
        <v>32785</v>
      </c>
      <c r="C32777" s="5">
        <v>103.6</v>
      </c>
      <c r="D32777" s="5">
        <v>0.1</v>
      </c>
      <c r="E32777" s="5">
        <v>103.7</v>
      </c>
      <c r="F32777" s="5">
        <v>206.9</v>
      </c>
      <c r="G32777" s="5">
        <v>103.2</v>
      </c>
      <c r="H32777" s="5">
        <v>103.1</v>
      </c>
      <c r="I32777" s="5">
        <v>0</v>
      </c>
      <c r="J32777" s="5">
        <v>0</v>
      </c>
      <c r="K32777" s="5">
        <v>0</v>
      </c>
    </row>
    <row r="32778" spans="1:11" x14ac:dyDescent="0.25">
      <c r="A32778" s="5">
        <f>32771</f>
      </c>
      <c r="B32778" s="5" t="s">
        <v>32786</v>
      </c>
      <c r="C32778" s="5">
        <v>103.6</v>
      </c>
      <c r="D32778" s="5">
        <v>0.1</v>
      </c>
      <c r="E32778" s="5">
        <v>103.7</v>
      </c>
      <c r="F32778" s="5">
        <v>206.9</v>
      </c>
      <c r="G32778" s="5">
        <v>103.2</v>
      </c>
      <c r="H32778" s="5">
        <v>103.1</v>
      </c>
      <c r="I32778" s="5">
        <v>0</v>
      </c>
      <c r="J32778" s="5">
        <v>0</v>
      </c>
      <c r="K32778" s="5">
        <v>0</v>
      </c>
    </row>
    <row r="32779" spans="1:11" x14ac:dyDescent="0.25">
      <c r="A32779" s="5">
        <f>32772</f>
      </c>
      <c r="B32779" s="5" t="s">
        <v>32787</v>
      </c>
      <c r="C32779" s="5">
        <v>103</v>
      </c>
      <c r="D32779" s="5">
        <v>0.1</v>
      </c>
      <c r="E32779" s="5">
        <v>103.1</v>
      </c>
      <c r="F32779" s="5">
        <v>205.6</v>
      </c>
      <c r="G32779" s="5">
        <v>102.6</v>
      </c>
      <c r="H32779" s="5">
        <v>102.4</v>
      </c>
      <c r="I32779" s="5">
        <v>0</v>
      </c>
      <c r="J32779" s="5">
        <v>0</v>
      </c>
      <c r="K32779" s="5">
        <v>0</v>
      </c>
    </row>
    <row r="32780" spans="1:11" x14ac:dyDescent="0.25">
      <c r="A32780" s="5">
        <f>32773</f>
      </c>
      <c r="B32780" s="5" t="s">
        <v>32788</v>
      </c>
      <c r="C32780" s="5">
        <v>103</v>
      </c>
      <c r="D32780" s="5">
        <v>0.1</v>
      </c>
      <c r="E32780" s="5">
        <v>103.1</v>
      </c>
      <c r="F32780" s="5">
        <v>205.6</v>
      </c>
      <c r="G32780" s="5">
        <v>102.6</v>
      </c>
      <c r="H32780" s="5">
        <v>102.4</v>
      </c>
      <c r="I32780" s="5">
        <v>0</v>
      </c>
      <c r="J32780" s="5">
        <v>0</v>
      </c>
      <c r="K32780" s="5">
        <v>0</v>
      </c>
    </row>
    <row r="32781" spans="1:11" x14ac:dyDescent="0.25">
      <c r="A32781" s="5">
        <f>32774</f>
      </c>
      <c r="B32781" s="5" t="s">
        <v>32789</v>
      </c>
      <c r="C32781" s="5">
        <v>103.1</v>
      </c>
      <c r="D32781" s="5">
        <v>0.1</v>
      </c>
      <c r="E32781" s="5">
        <v>103.3</v>
      </c>
      <c r="F32781" s="5">
        <v>206.1</v>
      </c>
      <c r="G32781" s="5">
        <v>102.8</v>
      </c>
      <c r="H32781" s="5">
        <v>102.7</v>
      </c>
      <c r="I32781" s="5">
        <v>0</v>
      </c>
      <c r="J32781" s="5">
        <v>0</v>
      </c>
      <c r="K32781" s="5">
        <v>0</v>
      </c>
    </row>
    <row r="32782" spans="1:11" x14ac:dyDescent="0.25">
      <c r="A32782" s="5">
        <f>32775</f>
      </c>
      <c r="B32782" s="5" t="s">
        <v>32790</v>
      </c>
      <c r="C32782" s="5">
        <v>103.1</v>
      </c>
      <c r="D32782" s="5">
        <v>0.1</v>
      </c>
      <c r="E32782" s="5">
        <v>103.3</v>
      </c>
      <c r="F32782" s="5">
        <v>206.1</v>
      </c>
      <c r="G32782" s="5">
        <v>102.8</v>
      </c>
      <c r="H32782" s="5">
        <v>102.7</v>
      </c>
      <c r="I32782" s="5">
        <v>0</v>
      </c>
      <c r="J32782" s="5">
        <v>0</v>
      </c>
      <c r="K32782" s="5">
        <v>0</v>
      </c>
    </row>
    <row r="32783" spans="1:11" x14ac:dyDescent="0.25">
      <c r="A32783" s="5">
        <f>32776</f>
      </c>
      <c r="B32783" s="5" t="s">
        <v>32791</v>
      </c>
      <c r="C32783" s="5">
        <v>97.5</v>
      </c>
      <c r="D32783" s="5">
        <v>0.1</v>
      </c>
      <c r="E32783" s="5">
        <v>97.6</v>
      </c>
      <c r="F32783" s="5">
        <v>195.2</v>
      </c>
      <c r="G32783" s="5">
        <v>97.3</v>
      </c>
      <c r="H32783" s="5">
        <v>97.1</v>
      </c>
      <c r="I32783" s="5">
        <v>0</v>
      </c>
      <c r="J32783" s="5">
        <v>0</v>
      </c>
      <c r="K32783" s="5">
        <v>0</v>
      </c>
    </row>
    <row r="32784" spans="1:11" x14ac:dyDescent="0.25">
      <c r="A32784" s="5">
        <f>32777</f>
      </c>
      <c r="B32784" s="5" t="s">
        <v>32792</v>
      </c>
      <c r="C32784" s="5">
        <v>97.5</v>
      </c>
      <c r="D32784" s="5">
        <v>0.1</v>
      </c>
      <c r="E32784" s="5">
        <v>97.6</v>
      </c>
      <c r="F32784" s="5">
        <v>195.2</v>
      </c>
      <c r="G32784" s="5">
        <v>97.3</v>
      </c>
      <c r="H32784" s="5">
        <v>97.1</v>
      </c>
      <c r="I32784" s="5">
        <v>0</v>
      </c>
      <c r="J32784" s="5">
        <v>0</v>
      </c>
      <c r="K32784" s="5">
        <v>0</v>
      </c>
    </row>
    <row r="32785" spans="1:11" x14ac:dyDescent="0.25">
      <c r="A32785" s="5">
        <f>32778</f>
      </c>
      <c r="B32785" s="5" t="s">
        <v>32793</v>
      </c>
      <c r="C32785" s="5">
        <v>97.5</v>
      </c>
      <c r="D32785" s="5">
        <v>0.1</v>
      </c>
      <c r="E32785" s="5">
        <v>97.6</v>
      </c>
      <c r="F32785" s="5">
        <v>195.2</v>
      </c>
      <c r="G32785" s="5">
        <v>97.3</v>
      </c>
      <c r="H32785" s="5">
        <v>97.1</v>
      </c>
      <c r="I32785" s="5">
        <v>0</v>
      </c>
      <c r="J32785" s="5">
        <v>0</v>
      </c>
      <c r="K32785" s="5">
        <v>0</v>
      </c>
    </row>
    <row r="32786" spans="1:11" x14ac:dyDescent="0.25">
      <c r="A32786" s="5">
        <f>32779</f>
      </c>
      <c r="B32786" s="5" t="s">
        <v>32794</v>
      </c>
      <c r="C32786" s="5">
        <v>97.5</v>
      </c>
      <c r="D32786" s="5">
        <v>0.1</v>
      </c>
      <c r="E32786" s="5">
        <v>97.6</v>
      </c>
      <c r="F32786" s="5">
        <v>195.2</v>
      </c>
      <c r="G32786" s="5">
        <v>97.3</v>
      </c>
      <c r="H32786" s="5">
        <v>97.1</v>
      </c>
      <c r="I32786" s="5">
        <v>0</v>
      </c>
      <c r="J32786" s="5">
        <v>0</v>
      </c>
      <c r="K32786" s="5">
        <v>0</v>
      </c>
    </row>
    <row r="32787" spans="1:11" x14ac:dyDescent="0.25">
      <c r="A32787" s="5">
        <f>32780</f>
      </c>
      <c r="B32787" s="5" t="s">
        <v>32795</v>
      </c>
      <c r="C32787" s="5">
        <v>102.6</v>
      </c>
      <c r="D32787" s="5">
        <v>0.1</v>
      </c>
      <c r="E32787" s="5">
        <v>102.7</v>
      </c>
      <c r="F32787" s="5">
        <v>204.1</v>
      </c>
      <c r="G32787" s="5">
        <v>101.8</v>
      </c>
      <c r="H32787" s="5">
        <v>101.7</v>
      </c>
      <c r="I32787" s="5">
        <v>0</v>
      </c>
      <c r="J32787" s="5">
        <v>0</v>
      </c>
      <c r="K32787" s="5">
        <v>0</v>
      </c>
    </row>
    <row r="32788" spans="1:11" x14ac:dyDescent="0.25">
      <c r="A32788" s="5">
        <f>32781</f>
      </c>
      <c r="B32788" s="5" t="s">
        <v>32796</v>
      </c>
      <c r="C32788" s="5">
        <v>102.6</v>
      </c>
      <c r="D32788" s="5">
        <v>0.1</v>
      </c>
      <c r="E32788" s="5">
        <v>102.7</v>
      </c>
      <c r="F32788" s="5">
        <v>204.1</v>
      </c>
      <c r="G32788" s="5">
        <v>101.8</v>
      </c>
      <c r="H32788" s="5">
        <v>101.7</v>
      </c>
      <c r="I32788" s="5">
        <v>0</v>
      </c>
      <c r="J32788" s="5">
        <v>0</v>
      </c>
      <c r="K32788" s="5">
        <v>0</v>
      </c>
    </row>
    <row r="32789" spans="1:11" x14ac:dyDescent="0.25">
      <c r="A32789" s="5">
        <f>32782</f>
      </c>
      <c r="B32789" s="5" t="s">
        <v>32797</v>
      </c>
      <c r="C32789" s="5">
        <v>102.8</v>
      </c>
      <c r="D32789" s="5">
        <v>0.1</v>
      </c>
      <c r="E32789" s="5">
        <v>103</v>
      </c>
      <c r="F32789" s="5">
        <v>205</v>
      </c>
      <c r="G32789" s="5">
        <v>102.2</v>
      </c>
      <c r="H32789" s="5">
        <v>102</v>
      </c>
      <c r="I32789" s="5">
        <v>0</v>
      </c>
      <c r="J32789" s="5">
        <v>0</v>
      </c>
      <c r="K32789" s="5">
        <v>0</v>
      </c>
    </row>
    <row r="32790" spans="1:11" x14ac:dyDescent="0.25">
      <c r="A32790" s="5">
        <f>32783</f>
      </c>
      <c r="B32790" s="5" t="s">
        <v>32798</v>
      </c>
      <c r="C32790" s="5">
        <v>102.8</v>
      </c>
      <c r="D32790" s="5">
        <v>0.1</v>
      </c>
      <c r="E32790" s="5">
        <v>103</v>
      </c>
      <c r="F32790" s="5">
        <v>205</v>
      </c>
      <c r="G32790" s="5">
        <v>102.2</v>
      </c>
      <c r="H32790" s="5">
        <v>102</v>
      </c>
      <c r="I32790" s="5">
        <v>0</v>
      </c>
      <c r="J32790" s="5">
        <v>0</v>
      </c>
      <c r="K32790" s="5">
        <v>0</v>
      </c>
    </row>
    <row r="32791" spans="1:11" x14ac:dyDescent="0.25">
      <c r="A32791" s="5">
        <f>32784</f>
      </c>
      <c r="B32791" s="5" t="s">
        <v>32799</v>
      </c>
      <c r="C32791" s="5">
        <v>102.9</v>
      </c>
      <c r="D32791" s="5">
        <v>0.1</v>
      </c>
      <c r="E32791" s="5">
        <v>103.1</v>
      </c>
      <c r="F32791" s="5">
        <v>205.5</v>
      </c>
      <c r="G32791" s="5">
        <v>102.5</v>
      </c>
      <c r="H32791" s="5">
        <v>102.4</v>
      </c>
      <c r="I32791" s="5">
        <v>0</v>
      </c>
      <c r="J32791" s="5">
        <v>0</v>
      </c>
      <c r="K32791" s="5">
        <v>0</v>
      </c>
    </row>
    <row r="32792" spans="1:11" x14ac:dyDescent="0.25">
      <c r="A32792" s="5">
        <f>32785</f>
      </c>
      <c r="B32792" s="5" t="s">
        <v>32800</v>
      </c>
      <c r="C32792" s="5">
        <v>102.9</v>
      </c>
      <c r="D32792" s="5">
        <v>0.1</v>
      </c>
      <c r="E32792" s="5">
        <v>103.1</v>
      </c>
      <c r="F32792" s="5">
        <v>205.5</v>
      </c>
      <c r="G32792" s="5">
        <v>102.5</v>
      </c>
      <c r="H32792" s="5">
        <v>102.4</v>
      </c>
      <c r="I32792" s="5">
        <v>0</v>
      </c>
      <c r="J32792" s="5">
        <v>0</v>
      </c>
      <c r="K32792" s="5">
        <v>0</v>
      </c>
    </row>
    <row r="32793" spans="1:11" x14ac:dyDescent="0.25">
      <c r="A32793" s="5">
        <f>32786</f>
      </c>
      <c r="B32793" s="5" t="s">
        <v>32801</v>
      </c>
      <c r="C32793" s="5">
        <v>102.7</v>
      </c>
      <c r="D32793" s="5">
        <v>0.1</v>
      </c>
      <c r="E32793" s="5">
        <v>102.9</v>
      </c>
      <c r="F32793" s="5">
        <v>204.4</v>
      </c>
      <c r="G32793" s="5">
        <v>102</v>
      </c>
      <c r="H32793" s="5">
        <v>101.9</v>
      </c>
      <c r="I32793" s="5">
        <v>0</v>
      </c>
      <c r="J32793" s="5">
        <v>0</v>
      </c>
      <c r="K32793" s="5">
        <v>0</v>
      </c>
    </row>
    <row r="32794" spans="1:11" x14ac:dyDescent="0.25">
      <c r="A32794" s="5">
        <f>32787</f>
      </c>
      <c r="B32794" s="5" t="s">
        <v>32802</v>
      </c>
      <c r="C32794" s="5">
        <v>102.7</v>
      </c>
      <c r="D32794" s="5">
        <v>0.1</v>
      </c>
      <c r="E32794" s="5">
        <v>102.9</v>
      </c>
      <c r="F32794" s="5">
        <v>204.4</v>
      </c>
      <c r="G32794" s="5">
        <v>102</v>
      </c>
      <c r="H32794" s="5">
        <v>101.9</v>
      </c>
      <c r="I32794" s="5">
        <v>0</v>
      </c>
      <c r="J32794" s="5">
        <v>0</v>
      </c>
      <c r="K32794" s="5">
        <v>0</v>
      </c>
    </row>
    <row r="32795" spans="1:11" x14ac:dyDescent="0.25">
      <c r="A32795" s="5">
        <f>32788</f>
      </c>
      <c r="B32795" s="5" t="s">
        <v>32803</v>
      </c>
      <c r="C32795" s="5">
        <v>102.7</v>
      </c>
      <c r="D32795" s="5">
        <v>0.1</v>
      </c>
      <c r="E32795" s="5">
        <v>102.9</v>
      </c>
      <c r="F32795" s="5">
        <v>204.4</v>
      </c>
      <c r="G32795" s="5">
        <v>102</v>
      </c>
      <c r="H32795" s="5">
        <v>101.9</v>
      </c>
      <c r="I32795" s="5">
        <v>0</v>
      </c>
      <c r="J32795" s="5">
        <v>0</v>
      </c>
      <c r="K32795" s="5">
        <v>0</v>
      </c>
    </row>
    <row r="32796" spans="1:11" x14ac:dyDescent="0.25">
      <c r="A32796" s="5">
        <f>32789</f>
      </c>
      <c r="B32796" s="5" t="s">
        <v>32804</v>
      </c>
      <c r="C32796" s="5">
        <v>102.7</v>
      </c>
      <c r="D32796" s="5">
        <v>0.1</v>
      </c>
      <c r="E32796" s="5">
        <v>102.9</v>
      </c>
      <c r="F32796" s="5">
        <v>204.4</v>
      </c>
      <c r="G32796" s="5">
        <v>102</v>
      </c>
      <c r="H32796" s="5">
        <v>101.9</v>
      </c>
      <c r="I32796" s="5">
        <v>0</v>
      </c>
      <c r="J32796" s="5">
        <v>0</v>
      </c>
      <c r="K32796" s="5">
        <v>0</v>
      </c>
    </row>
    <row r="32797" spans="1:11" x14ac:dyDescent="0.25">
      <c r="A32797" s="5">
        <f>32790</f>
      </c>
      <c r="B32797" s="5" t="s">
        <v>32805</v>
      </c>
      <c r="C32797" s="5">
        <v>101.4</v>
      </c>
      <c r="D32797" s="5">
        <v>0.1</v>
      </c>
      <c r="E32797" s="5">
        <v>101.5</v>
      </c>
      <c r="F32797" s="5">
        <v>202.9</v>
      </c>
      <c r="G32797" s="5">
        <v>101.2</v>
      </c>
      <c r="H32797" s="5">
        <v>101.1</v>
      </c>
      <c r="I32797" s="5">
        <v>0</v>
      </c>
      <c r="J32797" s="5">
        <v>0</v>
      </c>
      <c r="K32797" s="5">
        <v>0</v>
      </c>
    </row>
    <row r="32798" spans="1:11" x14ac:dyDescent="0.25">
      <c r="A32798" s="5">
        <f>32791</f>
      </c>
      <c r="B32798" s="5" t="s">
        <v>32806</v>
      </c>
      <c r="C32798" s="5">
        <v>101.4</v>
      </c>
      <c r="D32798" s="5">
        <v>0.1</v>
      </c>
      <c r="E32798" s="5">
        <v>101.5</v>
      </c>
      <c r="F32798" s="5">
        <v>202.9</v>
      </c>
      <c r="G32798" s="5">
        <v>101.2</v>
      </c>
      <c r="H32798" s="5">
        <v>101.1</v>
      </c>
      <c r="I32798" s="5">
        <v>0</v>
      </c>
      <c r="J32798" s="5">
        <v>0</v>
      </c>
      <c r="K32798" s="5">
        <v>0</v>
      </c>
    </row>
    <row r="32799" spans="1:11" x14ac:dyDescent="0.25">
      <c r="A32799" s="5">
        <f>32792</f>
      </c>
      <c r="B32799" s="5" t="s">
        <v>32807</v>
      </c>
      <c r="C32799" s="5">
        <v>101.9</v>
      </c>
      <c r="D32799" s="5">
        <v>0.1</v>
      </c>
      <c r="E32799" s="5">
        <v>102.1</v>
      </c>
      <c r="F32799" s="5">
        <v>204.4</v>
      </c>
      <c r="G32799" s="5">
        <v>102</v>
      </c>
      <c r="H32799" s="5">
        <v>101.8</v>
      </c>
      <c r="I32799" s="5">
        <v>0</v>
      </c>
      <c r="J32799" s="5">
        <v>0</v>
      </c>
      <c r="K32799" s="5">
        <v>0</v>
      </c>
    </row>
    <row r="32800" spans="1:11" x14ac:dyDescent="0.25">
      <c r="A32800" s="5">
        <f>32793</f>
      </c>
      <c r="B32800" s="5" t="s">
        <v>32808</v>
      </c>
      <c r="C32800" s="5">
        <v>101.9</v>
      </c>
      <c r="D32800" s="5">
        <v>0.1</v>
      </c>
      <c r="E32800" s="5">
        <v>102.1</v>
      </c>
      <c r="F32800" s="5">
        <v>204.4</v>
      </c>
      <c r="G32800" s="5">
        <v>102</v>
      </c>
      <c r="H32800" s="5">
        <v>101.8</v>
      </c>
      <c r="I32800" s="5">
        <v>0</v>
      </c>
      <c r="J32800" s="5">
        <v>0</v>
      </c>
      <c r="K32800" s="5">
        <v>0</v>
      </c>
    </row>
    <row r="32801" spans="1:11" x14ac:dyDescent="0.25">
      <c r="A32801" s="5">
        <f>32794</f>
      </c>
      <c r="B32801" s="5" t="s">
        <v>32809</v>
      </c>
      <c r="C32801" s="5">
        <v>102.6</v>
      </c>
      <c r="D32801" s="5">
        <v>0.1</v>
      </c>
      <c r="E32801" s="5">
        <v>102.7</v>
      </c>
      <c r="F32801" s="5">
        <v>205.2</v>
      </c>
      <c r="G32801" s="5">
        <v>102.3</v>
      </c>
      <c r="H32801" s="5">
        <v>102.2</v>
      </c>
      <c r="I32801" s="5">
        <v>0</v>
      </c>
      <c r="J32801" s="5">
        <v>0</v>
      </c>
      <c r="K32801" s="5">
        <v>0</v>
      </c>
    </row>
    <row r="32802" spans="1:11" x14ac:dyDescent="0.25">
      <c r="A32802" s="5">
        <f>32795</f>
      </c>
      <c r="B32802" s="5" t="s">
        <v>32810</v>
      </c>
      <c r="C32802" s="5">
        <v>102.6</v>
      </c>
      <c r="D32802" s="5">
        <v>0.1</v>
      </c>
      <c r="E32802" s="5">
        <v>102.7</v>
      </c>
      <c r="F32802" s="5">
        <v>205.2</v>
      </c>
      <c r="G32802" s="5">
        <v>102.3</v>
      </c>
      <c r="H32802" s="5">
        <v>102.2</v>
      </c>
      <c r="I32802" s="5">
        <v>0</v>
      </c>
      <c r="J32802" s="5">
        <v>0</v>
      </c>
      <c r="K32802" s="5">
        <v>0</v>
      </c>
    </row>
    <row r="32803" spans="1:11" x14ac:dyDescent="0.25">
      <c r="A32803" s="5">
        <f>32796</f>
      </c>
      <c r="B32803" s="5" t="s">
        <v>32811</v>
      </c>
      <c r="C32803" s="5">
        <v>99.9</v>
      </c>
      <c r="D32803" s="5">
        <v>0.1</v>
      </c>
      <c r="E32803" s="5">
        <v>100.1</v>
      </c>
      <c r="F32803" s="5">
        <v>200.1</v>
      </c>
      <c r="G32803" s="5">
        <v>99.8</v>
      </c>
      <c r="H32803" s="5">
        <v>99.6</v>
      </c>
      <c r="I32803" s="5">
        <v>0</v>
      </c>
      <c r="J32803" s="5">
        <v>0</v>
      </c>
      <c r="K32803" s="5">
        <v>0</v>
      </c>
    </row>
    <row r="32804" spans="1:11" x14ac:dyDescent="0.25">
      <c r="A32804" s="5">
        <f>32797</f>
      </c>
      <c r="B32804" s="5" t="s">
        <v>32812</v>
      </c>
      <c r="C32804" s="5">
        <v>99.9</v>
      </c>
      <c r="D32804" s="5">
        <v>0.1</v>
      </c>
      <c r="E32804" s="5">
        <v>100.1</v>
      </c>
      <c r="F32804" s="5">
        <v>200.1</v>
      </c>
      <c r="G32804" s="5">
        <v>99.8</v>
      </c>
      <c r="H32804" s="5">
        <v>99.6</v>
      </c>
      <c r="I32804" s="5">
        <v>0</v>
      </c>
      <c r="J32804" s="5">
        <v>0</v>
      </c>
      <c r="K32804" s="5">
        <v>0</v>
      </c>
    </row>
    <row r="32805" spans="1:11" x14ac:dyDescent="0.25">
      <c r="A32805" s="5">
        <f>32798</f>
      </c>
      <c r="B32805" s="5" t="s">
        <v>32813</v>
      </c>
      <c r="C32805" s="5">
        <v>99.9</v>
      </c>
      <c r="D32805" s="5">
        <v>0.1</v>
      </c>
      <c r="E32805" s="5">
        <v>100.1</v>
      </c>
      <c r="F32805" s="5">
        <v>200.1</v>
      </c>
      <c r="G32805" s="5">
        <v>99.8</v>
      </c>
      <c r="H32805" s="5">
        <v>99.6</v>
      </c>
      <c r="I32805" s="5">
        <v>0</v>
      </c>
      <c r="J32805" s="5">
        <v>0</v>
      </c>
      <c r="K32805" s="5">
        <v>0</v>
      </c>
    </row>
    <row r="32806" spans="1:11" x14ac:dyDescent="0.25">
      <c r="A32806" s="5">
        <f>32799</f>
      </c>
      <c r="B32806" s="5" t="s">
        <v>32814</v>
      </c>
      <c r="C32806" s="5">
        <v>99.9</v>
      </c>
      <c r="D32806" s="5">
        <v>0.1</v>
      </c>
      <c r="E32806" s="5">
        <v>100.1</v>
      </c>
      <c r="F32806" s="5">
        <v>200.1</v>
      </c>
      <c r="G32806" s="5">
        <v>99.8</v>
      </c>
      <c r="H32806" s="5">
        <v>99.6</v>
      </c>
      <c r="I32806" s="5">
        <v>0</v>
      </c>
      <c r="J32806" s="5">
        <v>0</v>
      </c>
      <c r="K32806" s="5">
        <v>0</v>
      </c>
    </row>
    <row r="32807" spans="1:11" x14ac:dyDescent="0.25">
      <c r="A32807" s="5">
        <f>32800</f>
      </c>
      <c r="B32807" s="5" t="s">
        <v>32815</v>
      </c>
      <c r="C32807" s="5">
        <v>100</v>
      </c>
      <c r="D32807" s="5">
        <v>0.1</v>
      </c>
      <c r="E32807" s="5">
        <v>100.1</v>
      </c>
      <c r="F32807" s="5">
        <v>200.5</v>
      </c>
      <c r="G32807" s="5">
        <v>100</v>
      </c>
      <c r="H32807" s="5">
        <v>99.8</v>
      </c>
      <c r="I32807" s="5">
        <v>0</v>
      </c>
      <c r="J32807" s="5">
        <v>0</v>
      </c>
      <c r="K32807" s="5">
        <v>0</v>
      </c>
    </row>
    <row r="32808" spans="1:11" x14ac:dyDescent="0.25">
      <c r="A32808" s="5">
        <f>32801</f>
      </c>
      <c r="B32808" s="5" t="s">
        <v>32816</v>
      </c>
      <c r="C32808" s="5">
        <v>100</v>
      </c>
      <c r="D32808" s="5">
        <v>0.1</v>
      </c>
      <c r="E32808" s="5">
        <v>100.1</v>
      </c>
      <c r="F32808" s="5">
        <v>200.5</v>
      </c>
      <c r="G32808" s="5">
        <v>100</v>
      </c>
      <c r="H32808" s="5">
        <v>99.8</v>
      </c>
      <c r="I32808" s="5">
        <v>0</v>
      </c>
      <c r="J32808" s="5">
        <v>0</v>
      </c>
      <c r="K32808" s="5">
        <v>0</v>
      </c>
    </row>
    <row r="32809" spans="1:11" x14ac:dyDescent="0.25">
      <c r="A32809" s="5">
        <f>32802</f>
      </c>
      <c r="B32809" s="5" t="s">
        <v>32817</v>
      </c>
      <c r="C32809" s="5">
        <v>100.3</v>
      </c>
      <c r="D32809" s="5">
        <v>0.1</v>
      </c>
      <c r="E32809" s="5">
        <v>100.5</v>
      </c>
      <c r="F32809" s="5">
        <v>200.2</v>
      </c>
      <c r="G32809" s="5">
        <v>99.9</v>
      </c>
      <c r="H32809" s="5">
        <v>99.7</v>
      </c>
      <c r="I32809" s="5">
        <v>0</v>
      </c>
      <c r="J32809" s="5">
        <v>0</v>
      </c>
      <c r="K32809" s="5">
        <v>0</v>
      </c>
    </row>
    <row r="32810" spans="1:11" x14ac:dyDescent="0.25">
      <c r="A32810" s="5">
        <f>32803</f>
      </c>
      <c r="B32810" s="5" t="s">
        <v>32818</v>
      </c>
      <c r="C32810" s="5">
        <v>100.3</v>
      </c>
      <c r="D32810" s="5">
        <v>0.1</v>
      </c>
      <c r="E32810" s="5">
        <v>100.5</v>
      </c>
      <c r="F32810" s="5">
        <v>200.2</v>
      </c>
      <c r="G32810" s="5">
        <v>99.9</v>
      </c>
      <c r="H32810" s="5">
        <v>99.7</v>
      </c>
      <c r="I32810" s="5">
        <v>0</v>
      </c>
      <c r="J32810" s="5">
        <v>0</v>
      </c>
      <c r="K32810" s="5">
        <v>0</v>
      </c>
    </row>
    <row r="32811" spans="1:11" x14ac:dyDescent="0.25">
      <c r="A32811" s="5">
        <f>32804</f>
      </c>
      <c r="B32811" s="5" t="s">
        <v>32819</v>
      </c>
      <c r="C32811" s="5">
        <v>100.8</v>
      </c>
      <c r="D32811" s="5">
        <v>0.1</v>
      </c>
      <c r="E32811" s="5">
        <v>100.8</v>
      </c>
      <c r="F32811" s="5">
        <v>200.2</v>
      </c>
      <c r="G32811" s="5">
        <v>99.8</v>
      </c>
      <c r="H32811" s="5">
        <v>99.7</v>
      </c>
      <c r="I32811" s="5">
        <v>0</v>
      </c>
      <c r="J32811" s="5">
        <v>0</v>
      </c>
      <c r="K32811" s="5">
        <v>0</v>
      </c>
    </row>
    <row r="32812" spans="1:11" x14ac:dyDescent="0.25">
      <c r="A32812" s="5">
        <f>32805</f>
      </c>
      <c r="B32812" s="5" t="s">
        <v>32820</v>
      </c>
      <c r="C32812" s="5">
        <v>100.8</v>
      </c>
      <c r="D32812" s="5">
        <v>0.1</v>
      </c>
      <c r="E32812" s="5">
        <v>100.8</v>
      </c>
      <c r="F32812" s="5">
        <v>200.2</v>
      </c>
      <c r="G32812" s="5">
        <v>99.8</v>
      </c>
      <c r="H32812" s="5">
        <v>99.7</v>
      </c>
      <c r="I32812" s="5">
        <v>0</v>
      </c>
      <c r="J32812" s="5">
        <v>0</v>
      </c>
      <c r="K32812" s="5">
        <v>0</v>
      </c>
    </row>
    <row r="32813" spans="1:11" x14ac:dyDescent="0.25">
      <c r="A32813" s="5">
        <f>32806</f>
      </c>
      <c r="B32813" s="5" t="s">
        <v>32821</v>
      </c>
      <c r="C32813" s="5">
        <v>100.4</v>
      </c>
      <c r="D32813" s="5">
        <v>0.1</v>
      </c>
      <c r="E32813" s="5">
        <v>100.5</v>
      </c>
      <c r="F32813" s="5">
        <v>200.2</v>
      </c>
      <c r="G32813" s="5">
        <v>99.8</v>
      </c>
      <c r="H32813" s="5">
        <v>99.7</v>
      </c>
      <c r="I32813" s="5">
        <v>0</v>
      </c>
      <c r="J32813" s="5">
        <v>0</v>
      </c>
      <c r="K32813" s="5">
        <v>0</v>
      </c>
    </row>
    <row r="32814" spans="1:11" x14ac:dyDescent="0.25">
      <c r="A32814" s="5">
        <f>32807</f>
      </c>
      <c r="B32814" s="5" t="s">
        <v>32822</v>
      </c>
      <c r="C32814" s="5">
        <v>100.4</v>
      </c>
      <c r="D32814" s="5">
        <v>0.1</v>
      </c>
      <c r="E32814" s="5">
        <v>100.5</v>
      </c>
      <c r="F32814" s="5">
        <v>200.2</v>
      </c>
      <c r="G32814" s="5">
        <v>99.8</v>
      </c>
      <c r="H32814" s="5">
        <v>99.7</v>
      </c>
      <c r="I32814" s="5">
        <v>0</v>
      </c>
      <c r="J32814" s="5">
        <v>0</v>
      </c>
      <c r="K32814" s="5">
        <v>0</v>
      </c>
    </row>
    <row r="32815" spans="1:11" x14ac:dyDescent="0.25">
      <c r="A32815" s="5">
        <f>32808</f>
      </c>
      <c r="B32815" s="5" t="s">
        <v>32823</v>
      </c>
      <c r="C32815" s="5">
        <v>100.4</v>
      </c>
      <c r="D32815" s="5">
        <v>0.1</v>
      </c>
      <c r="E32815" s="5">
        <v>100.5</v>
      </c>
      <c r="F32815" s="5">
        <v>200.2</v>
      </c>
      <c r="G32815" s="5">
        <v>99.8</v>
      </c>
      <c r="H32815" s="5">
        <v>99.7</v>
      </c>
      <c r="I32815" s="5">
        <v>0</v>
      </c>
      <c r="J32815" s="5">
        <v>0</v>
      </c>
      <c r="K32815" s="5">
        <v>0</v>
      </c>
    </row>
    <row r="32816" spans="1:11" x14ac:dyDescent="0.25">
      <c r="A32816" s="5">
        <f>32809</f>
      </c>
      <c r="B32816" s="5" t="s">
        <v>32824</v>
      </c>
      <c r="C32816" s="5">
        <v>100.4</v>
      </c>
      <c r="D32816" s="5">
        <v>0.1</v>
      </c>
      <c r="E32816" s="5">
        <v>100.5</v>
      </c>
      <c r="F32816" s="5">
        <v>200.2</v>
      </c>
      <c r="G32816" s="5">
        <v>99.8</v>
      </c>
      <c r="H32816" s="5">
        <v>99.7</v>
      </c>
      <c r="I32816" s="5">
        <v>0</v>
      </c>
      <c r="J32816" s="5">
        <v>0</v>
      </c>
      <c r="K32816" s="5">
        <v>0</v>
      </c>
    </row>
    <row r="32817" spans="1:11" x14ac:dyDescent="0.25">
      <c r="A32817" s="5">
        <f>32810</f>
      </c>
      <c r="B32817" s="5" t="s">
        <v>32825</v>
      </c>
      <c r="C32817" s="5">
        <v>100.7</v>
      </c>
      <c r="D32817" s="5">
        <v>0.1</v>
      </c>
      <c r="E32817" s="5">
        <v>100.8</v>
      </c>
      <c r="F32817" s="5">
        <v>201.8</v>
      </c>
      <c r="G32817" s="5">
        <v>100.6</v>
      </c>
      <c r="H32817" s="5">
        <v>100.5</v>
      </c>
      <c r="I32817" s="5">
        <v>0</v>
      </c>
      <c r="J32817" s="5">
        <v>0</v>
      </c>
      <c r="K32817" s="5">
        <v>0</v>
      </c>
    </row>
    <row r="32818" spans="1:11" x14ac:dyDescent="0.25">
      <c r="A32818" s="5">
        <f>32811</f>
      </c>
      <c r="B32818" s="5" t="s">
        <v>32826</v>
      </c>
      <c r="C32818" s="5">
        <v>100.7</v>
      </c>
      <c r="D32818" s="5">
        <v>0.1</v>
      </c>
      <c r="E32818" s="5">
        <v>100.8</v>
      </c>
      <c r="F32818" s="5">
        <v>201.8</v>
      </c>
      <c r="G32818" s="5">
        <v>100.6</v>
      </c>
      <c r="H32818" s="5">
        <v>100.5</v>
      </c>
      <c r="I32818" s="5">
        <v>0</v>
      </c>
      <c r="J32818" s="5">
        <v>0</v>
      </c>
      <c r="K32818" s="5">
        <v>0</v>
      </c>
    </row>
    <row r="32819" spans="1:11" x14ac:dyDescent="0.25">
      <c r="A32819" s="5">
        <f>32812</f>
      </c>
      <c r="B32819" s="5" t="s">
        <v>32827</v>
      </c>
      <c r="C32819" s="5">
        <v>0</v>
      </c>
      <c r="D32819" s="5">
        <v>0</v>
      </c>
      <c r="E32819" s="5">
        <v>0</v>
      </c>
      <c r="F32819" s="5">
        <v>0</v>
      </c>
      <c r="G32819" s="5">
        <v>0</v>
      </c>
      <c r="H32819" s="5">
        <v>0</v>
      </c>
      <c r="I32819" s="5">
        <v>0</v>
      </c>
      <c r="J32819" s="5">
        <v>0</v>
      </c>
      <c r="K32819" s="5">
        <v>0</v>
      </c>
    </row>
    <row r="32820" spans="1:11" x14ac:dyDescent="0.25">
      <c r="A32820" s="5">
        <f>32813</f>
      </c>
      <c r="B32820" s="5" t="s">
        <v>32828</v>
      </c>
      <c r="C32820" s="5">
        <v>0</v>
      </c>
      <c r="D32820" s="5">
        <v>0</v>
      </c>
      <c r="E32820" s="5">
        <v>0</v>
      </c>
      <c r="F32820" s="5">
        <v>0</v>
      </c>
      <c r="G32820" s="5">
        <v>0</v>
      </c>
      <c r="H32820" s="5">
        <v>0</v>
      </c>
      <c r="I32820" s="5">
        <v>0</v>
      </c>
      <c r="J32820" s="5">
        <v>0</v>
      </c>
      <c r="K32820" s="5">
        <v>0</v>
      </c>
    </row>
    <row r="32821" spans="1:11" x14ac:dyDescent="0.25">
      <c r="A32821" s="5">
        <f>32814</f>
      </c>
      <c r="B32821" s="5" t="s">
        <v>32829</v>
      </c>
      <c r="C32821" s="5">
        <v>0</v>
      </c>
      <c r="D32821" s="5">
        <v>0</v>
      </c>
      <c r="E32821" s="5">
        <v>0</v>
      </c>
      <c r="F32821" s="5">
        <v>0</v>
      </c>
      <c r="G32821" s="5">
        <v>0</v>
      </c>
      <c r="H32821" s="5">
        <v>0</v>
      </c>
      <c r="I32821" s="5">
        <v>0</v>
      </c>
      <c r="J32821" s="5">
        <v>0</v>
      </c>
      <c r="K32821" s="5">
        <v>0</v>
      </c>
    </row>
    <row r="32822" spans="1:11" x14ac:dyDescent="0.25">
      <c r="A32822" s="5">
        <f>32815</f>
      </c>
      <c r="B32822" s="5" t="s">
        <v>32830</v>
      </c>
      <c r="C32822" s="5">
        <v>0</v>
      </c>
      <c r="D32822" s="5">
        <v>0</v>
      </c>
      <c r="E32822" s="5">
        <v>0</v>
      </c>
      <c r="F32822" s="5">
        <v>0</v>
      </c>
      <c r="G32822" s="5">
        <v>0</v>
      </c>
      <c r="H32822" s="5">
        <v>0</v>
      </c>
      <c r="I32822" s="5">
        <v>0</v>
      </c>
      <c r="J32822" s="5">
        <v>0</v>
      </c>
      <c r="K32822" s="5">
        <v>0</v>
      </c>
    </row>
    <row r="32823" spans="1:11" x14ac:dyDescent="0.25">
      <c r="A32823" s="5">
        <f>32816</f>
      </c>
      <c r="B32823" s="5" t="s">
        <v>32831</v>
      </c>
      <c r="C32823" s="5">
        <v>0</v>
      </c>
      <c r="D32823" s="5">
        <v>0</v>
      </c>
      <c r="E32823" s="5">
        <v>0</v>
      </c>
      <c r="F32823" s="5">
        <v>0</v>
      </c>
      <c r="G32823" s="5">
        <v>0</v>
      </c>
      <c r="H32823" s="5">
        <v>0</v>
      </c>
      <c r="I32823" s="5">
        <v>0</v>
      </c>
      <c r="J32823" s="5">
        <v>0</v>
      </c>
      <c r="K32823" s="5">
        <v>0</v>
      </c>
    </row>
    <row r="32824" spans="1:11" x14ac:dyDescent="0.25">
      <c r="A32824" s="5">
        <f>32817</f>
      </c>
      <c r="B32824" s="5" t="s">
        <v>32832</v>
      </c>
      <c r="C32824" s="5">
        <v>0</v>
      </c>
      <c r="D32824" s="5">
        <v>0</v>
      </c>
      <c r="E32824" s="5">
        <v>0</v>
      </c>
      <c r="F32824" s="5">
        <v>0</v>
      </c>
      <c r="G32824" s="5">
        <v>0</v>
      </c>
      <c r="H32824" s="5">
        <v>0</v>
      </c>
      <c r="I32824" s="5">
        <v>0</v>
      </c>
      <c r="J32824" s="5">
        <v>0</v>
      </c>
      <c r="K32824" s="5">
        <v>0</v>
      </c>
    </row>
    <row r="32825" spans="1:11" x14ac:dyDescent="0.25">
      <c r="A32825" s="5">
        <f>32818</f>
      </c>
      <c r="B32825" s="5" t="s">
        <v>32833</v>
      </c>
      <c r="C32825" s="5">
        <v>0</v>
      </c>
      <c r="D32825" s="5">
        <v>0</v>
      </c>
      <c r="E32825" s="5">
        <v>0</v>
      </c>
      <c r="F32825" s="5">
        <v>0</v>
      </c>
      <c r="G32825" s="5">
        <v>0</v>
      </c>
      <c r="H32825" s="5">
        <v>0</v>
      </c>
      <c r="I32825" s="5">
        <v>0</v>
      </c>
      <c r="J32825" s="5">
        <v>0</v>
      </c>
      <c r="K32825" s="5">
        <v>0</v>
      </c>
    </row>
    <row r="32826" spans="1:11" x14ac:dyDescent="0.25">
      <c r="A32826" s="5">
        <f>32819</f>
      </c>
      <c r="B32826" s="5" t="s">
        <v>32834</v>
      </c>
      <c r="C32826" s="5">
        <v>0</v>
      </c>
      <c r="D32826" s="5">
        <v>0</v>
      </c>
      <c r="E32826" s="5">
        <v>0</v>
      </c>
      <c r="F32826" s="5">
        <v>0</v>
      </c>
      <c r="G32826" s="5">
        <v>0</v>
      </c>
      <c r="H32826" s="5">
        <v>0</v>
      </c>
      <c r="I32826" s="5">
        <v>0</v>
      </c>
      <c r="J32826" s="5">
        <v>0</v>
      </c>
      <c r="K32826" s="5">
        <v>0</v>
      </c>
    </row>
    <row r="32827" spans="1:11" x14ac:dyDescent="0.25">
      <c r="A32827" s="5">
        <f>32820</f>
      </c>
      <c r="B32827" s="5" t="s">
        <v>32835</v>
      </c>
      <c r="C32827" s="5">
        <v>0</v>
      </c>
      <c r="D32827" s="5">
        <v>0</v>
      </c>
      <c r="E32827" s="5">
        <v>0</v>
      </c>
      <c r="F32827" s="5">
        <v>0</v>
      </c>
      <c r="G32827" s="5">
        <v>0</v>
      </c>
      <c r="H32827" s="5">
        <v>0</v>
      </c>
      <c r="I32827" s="5">
        <v>0</v>
      </c>
      <c r="J32827" s="5">
        <v>0</v>
      </c>
      <c r="K32827" s="5">
        <v>0</v>
      </c>
    </row>
    <row r="32828" spans="1:11" x14ac:dyDescent="0.25">
      <c r="A32828" s="5">
        <f>32821</f>
      </c>
      <c r="B32828" s="5" t="s">
        <v>32836</v>
      </c>
      <c r="C32828" s="5">
        <v>0</v>
      </c>
      <c r="D32828" s="5">
        <v>0</v>
      </c>
      <c r="E32828" s="5">
        <v>0</v>
      </c>
      <c r="F32828" s="5">
        <v>0</v>
      </c>
      <c r="G32828" s="5">
        <v>0</v>
      </c>
      <c r="H32828" s="5">
        <v>0</v>
      </c>
      <c r="I32828" s="5">
        <v>0</v>
      </c>
      <c r="J32828" s="5">
        <v>0</v>
      </c>
      <c r="K32828" s="5">
        <v>0</v>
      </c>
    </row>
    <row r="32829" spans="1:11" x14ac:dyDescent="0.25">
      <c r="A32829" s="5">
        <f>32822</f>
      </c>
      <c r="B32829" s="5" t="s">
        <v>32837</v>
      </c>
      <c r="C32829" s="5">
        <v>0</v>
      </c>
      <c r="D32829" s="5">
        <v>0</v>
      </c>
      <c r="E32829" s="5">
        <v>0</v>
      </c>
      <c r="F32829" s="5">
        <v>0</v>
      </c>
      <c r="G32829" s="5">
        <v>0</v>
      </c>
      <c r="H32829" s="5">
        <v>0</v>
      </c>
      <c r="I32829" s="5">
        <v>0</v>
      </c>
      <c r="J32829" s="5">
        <v>0</v>
      </c>
      <c r="K32829" s="5">
        <v>0</v>
      </c>
    </row>
    <row r="32830" spans="1:11" x14ac:dyDescent="0.25">
      <c r="A32830" s="5">
        <f>32823</f>
      </c>
      <c r="B32830" s="5" t="s">
        <v>32838</v>
      </c>
      <c r="C32830" s="5">
        <v>0</v>
      </c>
      <c r="D32830" s="5">
        <v>0</v>
      </c>
      <c r="E32830" s="5">
        <v>0</v>
      </c>
      <c r="F32830" s="5">
        <v>0</v>
      </c>
      <c r="G32830" s="5">
        <v>0</v>
      </c>
      <c r="H32830" s="5">
        <v>0</v>
      </c>
      <c r="I32830" s="5">
        <v>0</v>
      </c>
      <c r="J32830" s="5">
        <v>0</v>
      </c>
      <c r="K32830" s="5">
        <v>0</v>
      </c>
    </row>
    <row r="32831" spans="1:11" x14ac:dyDescent="0.25">
      <c r="A32831" s="5">
        <f>32824</f>
      </c>
      <c r="B32831" s="5" t="s">
        <v>32839</v>
      </c>
      <c r="C32831" s="5">
        <v>0</v>
      </c>
      <c r="D32831" s="5">
        <v>0</v>
      </c>
      <c r="E32831" s="5">
        <v>0</v>
      </c>
      <c r="F32831" s="5">
        <v>0</v>
      </c>
      <c r="G32831" s="5">
        <v>0</v>
      </c>
      <c r="H32831" s="5">
        <v>0</v>
      </c>
      <c r="I32831" s="5">
        <v>0</v>
      </c>
      <c r="J32831" s="5">
        <v>0</v>
      </c>
      <c r="K32831" s="5">
        <v>0</v>
      </c>
    </row>
    <row r="32832" spans="1:11" x14ac:dyDescent="0.25">
      <c r="A32832" s="5">
        <f>32825</f>
      </c>
      <c r="B32832" s="5" t="s">
        <v>32840</v>
      </c>
      <c r="C32832" s="5">
        <v>0</v>
      </c>
      <c r="D32832" s="5">
        <v>0</v>
      </c>
      <c r="E32832" s="5">
        <v>0</v>
      </c>
      <c r="F32832" s="5">
        <v>0</v>
      </c>
      <c r="G32832" s="5">
        <v>0</v>
      </c>
      <c r="H32832" s="5">
        <v>0</v>
      </c>
      <c r="I32832" s="5">
        <v>0</v>
      </c>
      <c r="J32832" s="5">
        <v>0</v>
      </c>
      <c r="K32832" s="5">
        <v>0</v>
      </c>
    </row>
    <row r="32833" spans="1:11" x14ac:dyDescent="0.25">
      <c r="A32833" s="5">
        <f>32826</f>
      </c>
      <c r="B32833" s="5" t="s">
        <v>32841</v>
      </c>
      <c r="C32833" s="5">
        <v>0</v>
      </c>
      <c r="D32833" s="5">
        <v>0</v>
      </c>
      <c r="E32833" s="5">
        <v>0</v>
      </c>
      <c r="F32833" s="5">
        <v>0</v>
      </c>
      <c r="G32833" s="5">
        <v>0</v>
      </c>
      <c r="H32833" s="5">
        <v>0</v>
      </c>
      <c r="I32833" s="5">
        <v>0</v>
      </c>
      <c r="J32833" s="5">
        <v>0</v>
      </c>
      <c r="K32833" s="5">
        <v>0</v>
      </c>
    </row>
    <row r="32834" spans="1:11" x14ac:dyDescent="0.25">
      <c r="A32834" s="5">
        <f>32827</f>
      </c>
      <c r="B32834" s="5" t="s">
        <v>32842</v>
      </c>
      <c r="C32834" s="5">
        <v>0</v>
      </c>
      <c r="D32834" s="5">
        <v>0</v>
      </c>
      <c r="E32834" s="5">
        <v>0</v>
      </c>
      <c r="F32834" s="5">
        <v>0</v>
      </c>
      <c r="G32834" s="5">
        <v>0</v>
      </c>
      <c r="H32834" s="5">
        <v>0</v>
      </c>
      <c r="I32834" s="5">
        <v>0</v>
      </c>
      <c r="J32834" s="5">
        <v>0</v>
      </c>
      <c r="K32834" s="5">
        <v>0</v>
      </c>
    </row>
    <row r="32835" spans="1:11" x14ac:dyDescent="0.25">
      <c r="A32835" s="5">
        <f>32828</f>
      </c>
      <c r="B32835" s="5" t="s">
        <v>32843</v>
      </c>
      <c r="C32835" s="5">
        <v>0</v>
      </c>
      <c r="D32835" s="5">
        <v>0</v>
      </c>
      <c r="E32835" s="5">
        <v>0</v>
      </c>
      <c r="F32835" s="5">
        <v>0</v>
      </c>
      <c r="G32835" s="5">
        <v>0</v>
      </c>
      <c r="H32835" s="5">
        <v>0</v>
      </c>
      <c r="I32835" s="5">
        <v>0</v>
      </c>
      <c r="J32835" s="5">
        <v>0</v>
      </c>
      <c r="K32835" s="5">
        <v>0</v>
      </c>
    </row>
    <row r="32836" spans="1:11" x14ac:dyDescent="0.25">
      <c r="A32836" s="5">
        <f>32829</f>
      </c>
      <c r="B32836" s="5" t="s">
        <v>32844</v>
      </c>
      <c r="C32836" s="5">
        <v>0</v>
      </c>
      <c r="D32836" s="5">
        <v>0</v>
      </c>
      <c r="E32836" s="5">
        <v>0</v>
      </c>
      <c r="F32836" s="5">
        <v>0</v>
      </c>
      <c r="G32836" s="5">
        <v>0</v>
      </c>
      <c r="H32836" s="5">
        <v>0</v>
      </c>
      <c r="I32836" s="5">
        <v>0</v>
      </c>
      <c r="J32836" s="5">
        <v>0</v>
      </c>
      <c r="K32836" s="5">
        <v>0</v>
      </c>
    </row>
    <row r="32837" spans="1:11" x14ac:dyDescent="0.25">
      <c r="A32837" s="5">
        <f>32830</f>
      </c>
      <c r="B32837" s="5" t="s">
        <v>32845</v>
      </c>
      <c r="C32837" s="5">
        <v>0</v>
      </c>
      <c r="D32837" s="5">
        <v>0</v>
      </c>
      <c r="E32837" s="5">
        <v>0</v>
      </c>
      <c r="F32837" s="5">
        <v>0</v>
      </c>
      <c r="G32837" s="5">
        <v>0</v>
      </c>
      <c r="H32837" s="5">
        <v>0</v>
      </c>
      <c r="I32837" s="5">
        <v>0</v>
      </c>
      <c r="J32837" s="5">
        <v>0</v>
      </c>
      <c r="K32837" s="5">
        <v>0</v>
      </c>
    </row>
    <row r="32838" spans="1:11" x14ac:dyDescent="0.25">
      <c r="A32838" s="5">
        <f>32831</f>
      </c>
      <c r="B32838" s="5" t="s">
        <v>32846</v>
      </c>
      <c r="C32838" s="5">
        <v>0</v>
      </c>
      <c r="D32838" s="5">
        <v>0</v>
      </c>
      <c r="E32838" s="5">
        <v>0</v>
      </c>
      <c r="F32838" s="5">
        <v>0</v>
      </c>
      <c r="G32838" s="5">
        <v>0</v>
      </c>
      <c r="H32838" s="5">
        <v>0</v>
      </c>
      <c r="I32838" s="5">
        <v>0</v>
      </c>
      <c r="J32838" s="5">
        <v>0</v>
      </c>
      <c r="K32838" s="5">
        <v>0</v>
      </c>
    </row>
    <row r="32839" spans="1:11" x14ac:dyDescent="0.25">
      <c r="A32839" s="5">
        <f>32832</f>
      </c>
      <c r="B32839" s="5" t="s">
        <v>32847</v>
      </c>
      <c r="C32839" s="5">
        <v>0</v>
      </c>
      <c r="D32839" s="5">
        <v>0</v>
      </c>
      <c r="E32839" s="5">
        <v>0</v>
      </c>
      <c r="F32839" s="5">
        <v>0</v>
      </c>
      <c r="G32839" s="5">
        <v>0</v>
      </c>
      <c r="H32839" s="5">
        <v>0</v>
      </c>
      <c r="I32839" s="5">
        <v>0</v>
      </c>
      <c r="J32839" s="5">
        <v>0</v>
      </c>
      <c r="K32839" s="5">
        <v>0</v>
      </c>
    </row>
    <row r="32840" spans="1:11" x14ac:dyDescent="0.25">
      <c r="A32840" s="5">
        <f>32833</f>
      </c>
      <c r="B32840" s="5" t="s">
        <v>32848</v>
      </c>
      <c r="C32840" s="5">
        <v>0</v>
      </c>
      <c r="D32840" s="5">
        <v>0</v>
      </c>
      <c r="E32840" s="5">
        <v>0</v>
      </c>
      <c r="F32840" s="5">
        <v>0</v>
      </c>
      <c r="G32840" s="5">
        <v>0</v>
      </c>
      <c r="H32840" s="5">
        <v>0</v>
      </c>
      <c r="I32840" s="5">
        <v>0</v>
      </c>
      <c r="J32840" s="5">
        <v>0</v>
      </c>
      <c r="K32840" s="5">
        <v>0</v>
      </c>
    </row>
    <row r="32841" spans="1:11" x14ac:dyDescent="0.25">
      <c r="A32841" s="5">
        <f>32834</f>
      </c>
      <c r="B32841" s="5" t="s">
        <v>32849</v>
      </c>
      <c r="C32841" s="5">
        <v>0</v>
      </c>
      <c r="D32841" s="5">
        <v>0</v>
      </c>
      <c r="E32841" s="5">
        <v>0</v>
      </c>
      <c r="F32841" s="5">
        <v>0</v>
      </c>
      <c r="G32841" s="5">
        <v>0</v>
      </c>
      <c r="H32841" s="5">
        <v>0</v>
      </c>
      <c r="I32841" s="5">
        <v>0</v>
      </c>
      <c r="J32841" s="5">
        <v>0</v>
      </c>
      <c r="K32841" s="5">
        <v>0</v>
      </c>
    </row>
    <row r="32842" spans="1:11" x14ac:dyDescent="0.25">
      <c r="A32842" s="5">
        <f>32835</f>
      </c>
      <c r="B32842" s="5" t="s">
        <v>32850</v>
      </c>
      <c r="C32842" s="5">
        <v>0</v>
      </c>
      <c r="D32842" s="5">
        <v>0</v>
      </c>
      <c r="E32842" s="5">
        <v>0</v>
      </c>
      <c r="F32842" s="5">
        <v>0</v>
      </c>
      <c r="G32842" s="5">
        <v>0</v>
      </c>
      <c r="H32842" s="5">
        <v>0</v>
      </c>
      <c r="I32842" s="5">
        <v>0</v>
      </c>
      <c r="J32842" s="5">
        <v>0</v>
      </c>
      <c r="K32842" s="5">
        <v>0</v>
      </c>
    </row>
    <row r="32843" spans="1:11" x14ac:dyDescent="0.25">
      <c r="A32843" s="5">
        <f>32836</f>
      </c>
      <c r="B32843" s="5" t="s">
        <v>32851</v>
      </c>
      <c r="C32843" s="5">
        <v>0</v>
      </c>
      <c r="D32843" s="5">
        <v>0</v>
      </c>
      <c r="E32843" s="5">
        <v>0</v>
      </c>
      <c r="F32843" s="5">
        <v>0</v>
      </c>
      <c r="G32843" s="5">
        <v>0</v>
      </c>
      <c r="H32843" s="5">
        <v>0</v>
      </c>
      <c r="I32843" s="5">
        <v>0</v>
      </c>
      <c r="J32843" s="5">
        <v>0</v>
      </c>
      <c r="K32843" s="5">
        <v>0</v>
      </c>
    </row>
    <row r="32844" spans="1:11" x14ac:dyDescent="0.25">
      <c r="A32844" s="5">
        <f>32837</f>
      </c>
      <c r="B32844" s="5" t="s">
        <v>32852</v>
      </c>
      <c r="C32844" s="5">
        <v>0</v>
      </c>
      <c r="D32844" s="5">
        <v>0</v>
      </c>
      <c r="E32844" s="5">
        <v>0</v>
      </c>
      <c r="F32844" s="5">
        <v>0</v>
      </c>
      <c r="G32844" s="5">
        <v>0</v>
      </c>
      <c r="H32844" s="5">
        <v>0</v>
      </c>
      <c r="I32844" s="5">
        <v>0</v>
      </c>
      <c r="J32844" s="5">
        <v>0</v>
      </c>
      <c r="K32844" s="5">
        <v>0</v>
      </c>
    </row>
    <row r="32845" spans="1:11" x14ac:dyDescent="0.25">
      <c r="A32845" s="5">
        <f>32838</f>
      </c>
      <c r="B32845" s="5" t="s">
        <v>32853</v>
      </c>
      <c r="C32845" s="5">
        <v>0</v>
      </c>
      <c r="D32845" s="5">
        <v>0</v>
      </c>
      <c r="E32845" s="5">
        <v>0</v>
      </c>
      <c r="F32845" s="5">
        <v>0</v>
      </c>
      <c r="G32845" s="5">
        <v>0</v>
      </c>
      <c r="H32845" s="5">
        <v>0</v>
      </c>
      <c r="I32845" s="5">
        <v>0</v>
      </c>
      <c r="J32845" s="5">
        <v>0</v>
      </c>
      <c r="K32845" s="5">
        <v>0</v>
      </c>
    </row>
    <row r="32846" spans="1:11" x14ac:dyDescent="0.25">
      <c r="A32846" s="5">
        <f>32839</f>
      </c>
      <c r="B32846" s="5" t="s">
        <v>32854</v>
      </c>
      <c r="C32846" s="5">
        <v>0</v>
      </c>
      <c r="D32846" s="5">
        <v>0</v>
      </c>
      <c r="E32846" s="5">
        <v>0</v>
      </c>
      <c r="F32846" s="5">
        <v>0</v>
      </c>
      <c r="G32846" s="5">
        <v>0</v>
      </c>
      <c r="H32846" s="5">
        <v>0</v>
      </c>
      <c r="I32846" s="5">
        <v>0</v>
      </c>
      <c r="J32846" s="5">
        <v>0</v>
      </c>
      <c r="K32846" s="5">
        <v>0</v>
      </c>
    </row>
    <row r="32847" spans="1:11" x14ac:dyDescent="0.25">
      <c r="A32847" s="5">
        <f>32840</f>
      </c>
      <c r="B32847" s="5" t="s">
        <v>32855</v>
      </c>
      <c r="C32847" s="5">
        <v>0</v>
      </c>
      <c r="D32847" s="5">
        <v>0</v>
      </c>
      <c r="E32847" s="5">
        <v>0</v>
      </c>
      <c r="F32847" s="5">
        <v>0</v>
      </c>
      <c r="G32847" s="5">
        <v>0</v>
      </c>
      <c r="H32847" s="5">
        <v>0</v>
      </c>
      <c r="I32847" s="5">
        <v>0</v>
      </c>
      <c r="J32847" s="5">
        <v>0</v>
      </c>
      <c r="K32847" s="5">
        <v>0</v>
      </c>
    </row>
    <row r="32848" spans="1:11" x14ac:dyDescent="0.25">
      <c r="A32848" s="5">
        <f>32841</f>
      </c>
      <c r="B32848" s="5" t="s">
        <v>32856</v>
      </c>
      <c r="C32848" s="5">
        <v>0</v>
      </c>
      <c r="D32848" s="5">
        <v>0</v>
      </c>
      <c r="E32848" s="5">
        <v>0</v>
      </c>
      <c r="F32848" s="5">
        <v>0</v>
      </c>
      <c r="G32848" s="5">
        <v>0</v>
      </c>
      <c r="H32848" s="5">
        <v>0</v>
      </c>
      <c r="I32848" s="5">
        <v>0</v>
      </c>
      <c r="J32848" s="5">
        <v>0</v>
      </c>
      <c r="K32848" s="5">
        <v>0</v>
      </c>
    </row>
    <row r="32849" spans="1:11" x14ac:dyDescent="0.25">
      <c r="A32849" s="5">
        <f>32842</f>
      </c>
      <c r="B32849" s="5" t="s">
        <v>32857</v>
      </c>
      <c r="C32849" s="5">
        <v>0</v>
      </c>
      <c r="D32849" s="5">
        <v>0</v>
      </c>
      <c r="E32849" s="5">
        <v>0</v>
      </c>
      <c r="F32849" s="5">
        <v>0</v>
      </c>
      <c r="G32849" s="5">
        <v>0</v>
      </c>
      <c r="H32849" s="5">
        <v>0</v>
      </c>
      <c r="I32849" s="5">
        <v>0</v>
      </c>
      <c r="J32849" s="5">
        <v>0</v>
      </c>
      <c r="K32849" s="5">
        <v>0</v>
      </c>
    </row>
    <row r="32850" spans="1:11" x14ac:dyDescent="0.25">
      <c r="A32850" s="5">
        <f>32843</f>
      </c>
      <c r="B32850" s="5" t="s">
        <v>32858</v>
      </c>
      <c r="C32850" s="5">
        <v>0</v>
      </c>
      <c r="D32850" s="5">
        <v>0</v>
      </c>
      <c r="E32850" s="5">
        <v>0</v>
      </c>
      <c r="F32850" s="5">
        <v>0</v>
      </c>
      <c r="G32850" s="5">
        <v>0</v>
      </c>
      <c r="H32850" s="5">
        <v>0</v>
      </c>
      <c r="I32850" s="5">
        <v>0</v>
      </c>
      <c r="J32850" s="5">
        <v>0</v>
      </c>
      <c r="K32850" s="5">
        <v>0</v>
      </c>
    </row>
    <row r="32851" spans="1:11" x14ac:dyDescent="0.25">
      <c r="A32851" s="5">
        <f>32844</f>
      </c>
      <c r="B32851" s="5" t="s">
        <v>32859</v>
      </c>
      <c r="C32851" s="5">
        <v>0</v>
      </c>
      <c r="D32851" s="5">
        <v>0</v>
      </c>
      <c r="E32851" s="5">
        <v>0</v>
      </c>
      <c r="F32851" s="5">
        <v>0</v>
      </c>
      <c r="G32851" s="5">
        <v>0</v>
      </c>
      <c r="H32851" s="5">
        <v>0</v>
      </c>
      <c r="I32851" s="5">
        <v>0</v>
      </c>
      <c r="J32851" s="5">
        <v>0</v>
      </c>
      <c r="K32851" s="5">
        <v>0</v>
      </c>
    </row>
    <row r="32852" spans="1:11" x14ac:dyDescent="0.25">
      <c r="A32852" s="5">
        <f>32845</f>
      </c>
      <c r="B32852" s="5" t="s">
        <v>32860</v>
      </c>
      <c r="C32852" s="5">
        <v>0</v>
      </c>
      <c r="D32852" s="5">
        <v>0</v>
      </c>
      <c r="E32852" s="5">
        <v>0</v>
      </c>
      <c r="F32852" s="5">
        <v>0</v>
      </c>
      <c r="G32852" s="5">
        <v>0</v>
      </c>
      <c r="H32852" s="5">
        <v>0</v>
      </c>
      <c r="I32852" s="5">
        <v>0</v>
      </c>
      <c r="J32852" s="5">
        <v>0</v>
      </c>
      <c r="K32852" s="5">
        <v>0</v>
      </c>
    </row>
    <row r="32853" spans="1:11" x14ac:dyDescent="0.25">
      <c r="A32853" s="5">
        <f>32846</f>
      </c>
      <c r="B32853" s="5" t="s">
        <v>32861</v>
      </c>
      <c r="C32853" s="5">
        <v>0</v>
      </c>
      <c r="D32853" s="5">
        <v>0</v>
      </c>
      <c r="E32853" s="5">
        <v>0</v>
      </c>
      <c r="F32853" s="5">
        <v>0</v>
      </c>
      <c r="G32853" s="5">
        <v>0</v>
      </c>
      <c r="H32853" s="5">
        <v>0</v>
      </c>
      <c r="I32853" s="5">
        <v>0</v>
      </c>
      <c r="J32853" s="5">
        <v>0</v>
      </c>
      <c r="K32853" s="5">
        <v>0</v>
      </c>
    </row>
    <row r="32854" spans="1:11" x14ac:dyDescent="0.25">
      <c r="A32854" s="5">
        <f>32847</f>
      </c>
      <c r="B32854" s="5" t="s">
        <v>32862</v>
      </c>
      <c r="C32854" s="5">
        <v>0</v>
      </c>
      <c r="D32854" s="5">
        <v>0</v>
      </c>
      <c r="E32854" s="5">
        <v>0</v>
      </c>
      <c r="F32854" s="5">
        <v>0</v>
      </c>
      <c r="G32854" s="5">
        <v>0</v>
      </c>
      <c r="H32854" s="5">
        <v>0</v>
      </c>
      <c r="I32854" s="5">
        <v>0</v>
      </c>
      <c r="J32854" s="5">
        <v>0</v>
      </c>
      <c r="K32854" s="5">
        <v>0</v>
      </c>
    </row>
    <row r="32855" spans="1:11" x14ac:dyDescent="0.25">
      <c r="A32855" s="5">
        <f>32848</f>
      </c>
      <c r="B32855" s="5" t="s">
        <v>32863</v>
      </c>
      <c r="C32855" s="5">
        <v>0</v>
      </c>
      <c r="D32855" s="5">
        <v>0</v>
      </c>
      <c r="E32855" s="5">
        <v>0</v>
      </c>
      <c r="F32855" s="5">
        <v>0</v>
      </c>
      <c r="G32855" s="5">
        <v>0</v>
      </c>
      <c r="H32855" s="5">
        <v>0</v>
      </c>
      <c r="I32855" s="5">
        <v>0</v>
      </c>
      <c r="J32855" s="5">
        <v>0</v>
      </c>
      <c r="K32855" s="5">
        <v>0</v>
      </c>
    </row>
    <row r="32856" spans="1:11" x14ac:dyDescent="0.25">
      <c r="A32856" s="5">
        <f>32849</f>
      </c>
      <c r="B32856" s="5" t="s">
        <v>32864</v>
      </c>
      <c r="C32856" s="5">
        <v>0</v>
      </c>
      <c r="D32856" s="5">
        <v>0</v>
      </c>
      <c r="E32856" s="5">
        <v>0</v>
      </c>
      <c r="F32856" s="5">
        <v>0</v>
      </c>
      <c r="G32856" s="5">
        <v>0</v>
      </c>
      <c r="H32856" s="5">
        <v>0</v>
      </c>
      <c r="I32856" s="5">
        <v>0</v>
      </c>
      <c r="J32856" s="5">
        <v>0</v>
      </c>
      <c r="K32856" s="5">
        <v>0</v>
      </c>
    </row>
    <row r="32857" spans="1:11" x14ac:dyDescent="0.25">
      <c r="A32857" s="5">
        <f>32850</f>
      </c>
      <c r="B32857" s="5" t="s">
        <v>32865</v>
      </c>
      <c r="C32857" s="5">
        <v>0</v>
      </c>
      <c r="D32857" s="5">
        <v>0</v>
      </c>
      <c r="E32857" s="5">
        <v>0</v>
      </c>
      <c r="F32857" s="5">
        <v>0</v>
      </c>
      <c r="G32857" s="5">
        <v>0</v>
      </c>
      <c r="H32857" s="5">
        <v>0</v>
      </c>
      <c r="I32857" s="5">
        <v>0</v>
      </c>
      <c r="J32857" s="5">
        <v>0</v>
      </c>
      <c r="K32857" s="5">
        <v>0</v>
      </c>
    </row>
    <row r="32858" spans="1:11" x14ac:dyDescent="0.25">
      <c r="A32858" s="5">
        <f>32851</f>
      </c>
      <c r="B32858" s="5" t="s">
        <v>32866</v>
      </c>
      <c r="C32858" s="5">
        <v>0</v>
      </c>
      <c r="D32858" s="5">
        <v>0</v>
      </c>
      <c r="E32858" s="5">
        <v>0</v>
      </c>
      <c r="F32858" s="5">
        <v>0</v>
      </c>
      <c r="G32858" s="5">
        <v>0</v>
      </c>
      <c r="H32858" s="5">
        <v>0</v>
      </c>
      <c r="I32858" s="5">
        <v>0</v>
      </c>
      <c r="J32858" s="5">
        <v>0</v>
      </c>
      <c r="K32858" s="5">
        <v>0</v>
      </c>
    </row>
    <row r="32859" spans="1:11" x14ac:dyDescent="0.25">
      <c r="A32859" s="5">
        <f>32852</f>
      </c>
      <c r="B32859" s="5" t="s">
        <v>32867</v>
      </c>
      <c r="C32859" s="5">
        <v>0</v>
      </c>
      <c r="D32859" s="5">
        <v>0</v>
      </c>
      <c r="E32859" s="5">
        <v>0</v>
      </c>
      <c r="F32859" s="5">
        <v>0</v>
      </c>
      <c r="G32859" s="5">
        <v>0</v>
      </c>
      <c r="H32859" s="5">
        <v>0</v>
      </c>
      <c r="I32859" s="5">
        <v>0</v>
      </c>
      <c r="J32859" s="5">
        <v>0</v>
      </c>
      <c r="K32859" s="5">
        <v>0</v>
      </c>
    </row>
    <row r="32860" spans="1:11" x14ac:dyDescent="0.25">
      <c r="A32860" s="5">
        <f>32853</f>
      </c>
      <c r="B32860" s="5" t="s">
        <v>32868</v>
      </c>
      <c r="C32860" s="5">
        <v>0</v>
      </c>
      <c r="D32860" s="5">
        <v>0</v>
      </c>
      <c r="E32860" s="5">
        <v>0</v>
      </c>
      <c r="F32860" s="5">
        <v>0</v>
      </c>
      <c r="G32860" s="5">
        <v>0</v>
      </c>
      <c r="H32860" s="5">
        <v>0</v>
      </c>
      <c r="I32860" s="5">
        <v>0</v>
      </c>
      <c r="J32860" s="5">
        <v>0</v>
      </c>
      <c r="K32860" s="5">
        <v>0</v>
      </c>
    </row>
    <row r="32861" spans="1:11" x14ac:dyDescent="0.25">
      <c r="A32861" s="5">
        <f>32854</f>
      </c>
      <c r="B32861" s="5" t="s">
        <v>32869</v>
      </c>
      <c r="C32861" s="5">
        <v>0</v>
      </c>
      <c r="D32861" s="5">
        <v>0</v>
      </c>
      <c r="E32861" s="5">
        <v>0</v>
      </c>
      <c r="F32861" s="5">
        <v>0</v>
      </c>
      <c r="G32861" s="5">
        <v>0</v>
      </c>
      <c r="H32861" s="5">
        <v>0</v>
      </c>
      <c r="I32861" s="5">
        <v>0</v>
      </c>
      <c r="J32861" s="5">
        <v>0</v>
      </c>
      <c r="K32861" s="5">
        <v>0</v>
      </c>
    </row>
    <row r="32862" spans="1:11" x14ac:dyDescent="0.25">
      <c r="A32862" s="5">
        <f>32855</f>
      </c>
      <c r="B32862" s="5" t="s">
        <v>32870</v>
      </c>
      <c r="C32862" s="5">
        <v>0</v>
      </c>
      <c r="D32862" s="5">
        <v>0</v>
      </c>
      <c r="E32862" s="5">
        <v>0</v>
      </c>
      <c r="F32862" s="5">
        <v>0</v>
      </c>
      <c r="G32862" s="5">
        <v>0</v>
      </c>
      <c r="H32862" s="5">
        <v>0</v>
      </c>
      <c r="I32862" s="5">
        <v>0</v>
      </c>
      <c r="J32862" s="5">
        <v>0</v>
      </c>
      <c r="K32862" s="5">
        <v>0</v>
      </c>
    </row>
    <row r="32863" spans="1:11" x14ac:dyDescent="0.25">
      <c r="A32863" s="5">
        <f>32856</f>
      </c>
      <c r="B32863" s="5" t="s">
        <v>32871</v>
      </c>
      <c r="C32863" s="5">
        <v>0</v>
      </c>
      <c r="D32863" s="5">
        <v>0</v>
      </c>
      <c r="E32863" s="5">
        <v>0</v>
      </c>
      <c r="F32863" s="5">
        <v>0</v>
      </c>
      <c r="G32863" s="5">
        <v>0</v>
      </c>
      <c r="H32863" s="5">
        <v>0</v>
      </c>
      <c r="I32863" s="5">
        <v>0</v>
      </c>
      <c r="J32863" s="5">
        <v>0</v>
      </c>
      <c r="K32863" s="5">
        <v>0</v>
      </c>
    </row>
    <row r="32864" spans="1:11" x14ac:dyDescent="0.25">
      <c r="A32864" s="5">
        <f>32857</f>
      </c>
      <c r="B32864" s="5" t="s">
        <v>32872</v>
      </c>
      <c r="C32864" s="5">
        <v>0</v>
      </c>
      <c r="D32864" s="5">
        <v>0</v>
      </c>
      <c r="E32864" s="5">
        <v>0</v>
      </c>
      <c r="F32864" s="5">
        <v>0</v>
      </c>
      <c r="G32864" s="5">
        <v>0</v>
      </c>
      <c r="H32864" s="5">
        <v>0</v>
      </c>
      <c r="I32864" s="5">
        <v>0</v>
      </c>
      <c r="J32864" s="5">
        <v>0</v>
      </c>
      <c r="K32864" s="5">
        <v>0</v>
      </c>
    </row>
    <row r="32865" spans="1:11" x14ac:dyDescent="0.25">
      <c r="A32865" s="5">
        <f>32858</f>
      </c>
      <c r="B32865" s="5" t="s">
        <v>32873</v>
      </c>
      <c r="C32865" s="5">
        <v>0</v>
      </c>
      <c r="D32865" s="5">
        <v>0</v>
      </c>
      <c r="E32865" s="5">
        <v>0</v>
      </c>
      <c r="F32865" s="5">
        <v>0</v>
      </c>
      <c r="G32865" s="5">
        <v>0</v>
      </c>
      <c r="H32865" s="5">
        <v>0</v>
      </c>
      <c r="I32865" s="5">
        <v>0</v>
      </c>
      <c r="J32865" s="5">
        <v>0</v>
      </c>
      <c r="K32865" s="5">
        <v>0</v>
      </c>
    </row>
    <row r="32866" spans="1:11" x14ac:dyDescent="0.25">
      <c r="A32866" s="5">
        <f>32859</f>
      </c>
      <c r="B32866" s="5" t="s">
        <v>32874</v>
      </c>
      <c r="C32866" s="5">
        <v>0</v>
      </c>
      <c r="D32866" s="5">
        <v>0</v>
      </c>
      <c r="E32866" s="5">
        <v>0</v>
      </c>
      <c r="F32866" s="5">
        <v>0</v>
      </c>
      <c r="G32866" s="5">
        <v>0</v>
      </c>
      <c r="H32866" s="5">
        <v>0</v>
      </c>
      <c r="I32866" s="5">
        <v>0</v>
      </c>
      <c r="J32866" s="5">
        <v>0</v>
      </c>
      <c r="K32866" s="5">
        <v>0</v>
      </c>
    </row>
    <row r="32867" spans="1:11" x14ac:dyDescent="0.25">
      <c r="A32867" s="5">
        <f>32860</f>
      </c>
      <c r="B32867" s="5" t="s">
        <v>32875</v>
      </c>
      <c r="C32867" s="5">
        <v>0</v>
      </c>
      <c r="D32867" s="5">
        <v>0</v>
      </c>
      <c r="E32867" s="5">
        <v>0</v>
      </c>
      <c r="F32867" s="5">
        <v>0</v>
      </c>
      <c r="G32867" s="5">
        <v>0</v>
      </c>
      <c r="H32867" s="5">
        <v>0</v>
      </c>
      <c r="I32867" s="5">
        <v>0</v>
      </c>
      <c r="J32867" s="5">
        <v>0</v>
      </c>
      <c r="K32867" s="5">
        <v>0</v>
      </c>
    </row>
    <row r="32868" spans="1:11" x14ac:dyDescent="0.25">
      <c r="A32868" s="5">
        <f>32861</f>
      </c>
      <c r="B32868" s="5" t="s">
        <v>32876</v>
      </c>
      <c r="C32868" s="5">
        <v>0</v>
      </c>
      <c r="D32868" s="5">
        <v>0</v>
      </c>
      <c r="E32868" s="5">
        <v>0</v>
      </c>
      <c r="F32868" s="5">
        <v>0</v>
      </c>
      <c r="G32868" s="5">
        <v>0</v>
      </c>
      <c r="H32868" s="5">
        <v>0</v>
      </c>
      <c r="I32868" s="5">
        <v>0</v>
      </c>
      <c r="J32868" s="5">
        <v>0</v>
      </c>
      <c r="K32868" s="5">
        <v>0</v>
      </c>
    </row>
    <row r="32869" spans="1:11" x14ac:dyDescent="0.25">
      <c r="A32869" s="5">
        <f>32862</f>
      </c>
      <c r="B32869" s="5" t="s">
        <v>32877</v>
      </c>
      <c r="C32869" s="5">
        <v>0</v>
      </c>
      <c r="D32869" s="5">
        <v>0</v>
      </c>
      <c r="E32869" s="5">
        <v>0</v>
      </c>
      <c r="F32869" s="5">
        <v>0</v>
      </c>
      <c r="G32869" s="5">
        <v>0</v>
      </c>
      <c r="H32869" s="5">
        <v>0</v>
      </c>
      <c r="I32869" s="5">
        <v>0</v>
      </c>
      <c r="J32869" s="5">
        <v>0</v>
      </c>
      <c r="K32869" s="5">
        <v>0</v>
      </c>
    </row>
    <row r="32870" spans="1:11" x14ac:dyDescent="0.25">
      <c r="A32870" s="5">
        <f>32863</f>
      </c>
      <c r="B32870" s="5" t="s">
        <v>32878</v>
      </c>
      <c r="C32870" s="5">
        <v>0</v>
      </c>
      <c r="D32870" s="5">
        <v>0</v>
      </c>
      <c r="E32870" s="5">
        <v>0</v>
      </c>
      <c r="F32870" s="5">
        <v>0</v>
      </c>
      <c r="G32870" s="5">
        <v>0</v>
      </c>
      <c r="H32870" s="5">
        <v>0</v>
      </c>
      <c r="I32870" s="5">
        <v>0</v>
      </c>
      <c r="J32870" s="5">
        <v>0</v>
      </c>
      <c r="K32870" s="5">
        <v>0</v>
      </c>
    </row>
    <row r="32871" spans="1:11" x14ac:dyDescent="0.25">
      <c r="A32871" s="5">
        <f>32864</f>
      </c>
      <c r="B32871" s="5" t="s">
        <v>32879</v>
      </c>
      <c r="C32871" s="5">
        <v>0</v>
      </c>
      <c r="D32871" s="5">
        <v>0</v>
      </c>
      <c r="E32871" s="5">
        <v>0</v>
      </c>
      <c r="F32871" s="5">
        <v>0</v>
      </c>
      <c r="G32871" s="5">
        <v>0</v>
      </c>
      <c r="H32871" s="5">
        <v>0</v>
      </c>
      <c r="I32871" s="5">
        <v>0</v>
      </c>
      <c r="J32871" s="5">
        <v>0</v>
      </c>
      <c r="K32871" s="5">
        <v>0</v>
      </c>
    </row>
    <row r="32872" spans="1:11" x14ac:dyDescent="0.25">
      <c r="A32872" s="5">
        <f>32865</f>
      </c>
      <c r="B32872" s="5" t="s">
        <v>32880</v>
      </c>
      <c r="C32872" s="5">
        <v>0</v>
      </c>
      <c r="D32872" s="5">
        <v>0</v>
      </c>
      <c r="E32872" s="5">
        <v>0</v>
      </c>
      <c r="F32872" s="5">
        <v>0</v>
      </c>
      <c r="G32872" s="5">
        <v>0</v>
      </c>
      <c r="H32872" s="5">
        <v>0</v>
      </c>
      <c r="I32872" s="5">
        <v>0</v>
      </c>
      <c r="J32872" s="5">
        <v>0</v>
      </c>
      <c r="K32872" s="5">
        <v>0</v>
      </c>
    </row>
    <row r="32873" spans="1:11" x14ac:dyDescent="0.25">
      <c r="A32873" s="5">
        <f>32866</f>
      </c>
      <c r="B32873" s="5" t="s">
        <v>32881</v>
      </c>
      <c r="C32873" s="5">
        <v>0</v>
      </c>
      <c r="D32873" s="5">
        <v>0</v>
      </c>
      <c r="E32873" s="5">
        <v>0</v>
      </c>
      <c r="F32873" s="5">
        <v>0</v>
      </c>
      <c r="G32873" s="5">
        <v>0</v>
      </c>
      <c r="H32873" s="5">
        <v>0</v>
      </c>
      <c r="I32873" s="5">
        <v>0</v>
      </c>
      <c r="J32873" s="5">
        <v>0</v>
      </c>
      <c r="K32873" s="5">
        <v>0</v>
      </c>
    </row>
    <row r="32874" spans="1:11" x14ac:dyDescent="0.25">
      <c r="A32874" s="5">
        <f>32867</f>
      </c>
      <c r="B32874" s="5" t="s">
        <v>32882</v>
      </c>
      <c r="C32874" s="5">
        <v>0</v>
      </c>
      <c r="D32874" s="5">
        <v>0</v>
      </c>
      <c r="E32874" s="5">
        <v>0</v>
      </c>
      <c r="F32874" s="5">
        <v>0</v>
      </c>
      <c r="G32874" s="5">
        <v>0</v>
      </c>
      <c r="H32874" s="5">
        <v>0</v>
      </c>
      <c r="I32874" s="5">
        <v>0</v>
      </c>
      <c r="J32874" s="5">
        <v>0</v>
      </c>
      <c r="K32874" s="5">
        <v>0</v>
      </c>
    </row>
    <row r="32875" spans="1:11" x14ac:dyDescent="0.25">
      <c r="A32875" s="5">
        <f>32868</f>
      </c>
      <c r="B32875" s="5" t="s">
        <v>32883</v>
      </c>
      <c r="C32875" s="5">
        <v>0</v>
      </c>
      <c r="D32875" s="5">
        <v>0</v>
      </c>
      <c r="E32875" s="5">
        <v>0</v>
      </c>
      <c r="F32875" s="5">
        <v>0</v>
      </c>
      <c r="G32875" s="5">
        <v>0</v>
      </c>
      <c r="H32875" s="5">
        <v>0</v>
      </c>
      <c r="I32875" s="5">
        <v>0</v>
      </c>
      <c r="J32875" s="5">
        <v>0</v>
      </c>
      <c r="K32875" s="5">
        <v>0</v>
      </c>
    </row>
    <row r="32876" spans="1:11" x14ac:dyDescent="0.25">
      <c r="A32876" s="5">
        <f>32869</f>
      </c>
      <c r="B32876" s="5" t="s">
        <v>32884</v>
      </c>
      <c r="C32876" s="5">
        <v>0</v>
      </c>
      <c r="D32876" s="5">
        <v>0</v>
      </c>
      <c r="E32876" s="5">
        <v>0</v>
      </c>
      <c r="F32876" s="5">
        <v>0</v>
      </c>
      <c r="G32876" s="5">
        <v>0</v>
      </c>
      <c r="H32876" s="5">
        <v>0</v>
      </c>
      <c r="I32876" s="5">
        <v>0</v>
      </c>
      <c r="J32876" s="5">
        <v>0</v>
      </c>
      <c r="K32876" s="5">
        <v>0</v>
      </c>
    </row>
    <row r="32877" spans="1:11" x14ac:dyDescent="0.25">
      <c r="A32877" s="5">
        <f>32870</f>
      </c>
      <c r="B32877" s="5" t="s">
        <v>32885</v>
      </c>
      <c r="C32877" s="5">
        <v>0</v>
      </c>
      <c r="D32877" s="5">
        <v>0</v>
      </c>
      <c r="E32877" s="5">
        <v>0</v>
      </c>
      <c r="F32877" s="5">
        <v>0</v>
      </c>
      <c r="G32877" s="5">
        <v>0</v>
      </c>
      <c r="H32877" s="5">
        <v>0</v>
      </c>
      <c r="I32877" s="5">
        <v>0</v>
      </c>
      <c r="J32877" s="5">
        <v>0</v>
      </c>
      <c r="K32877" s="5">
        <v>0</v>
      </c>
    </row>
    <row r="32878" spans="1:11" x14ac:dyDescent="0.25">
      <c r="A32878" s="5">
        <f>32871</f>
      </c>
      <c r="B32878" s="5" t="s">
        <v>32886</v>
      </c>
      <c r="C32878" s="5">
        <v>0</v>
      </c>
      <c r="D32878" s="5">
        <v>0</v>
      </c>
      <c r="E32878" s="5">
        <v>0</v>
      </c>
      <c r="F32878" s="5">
        <v>0</v>
      </c>
      <c r="G32878" s="5">
        <v>0</v>
      </c>
      <c r="H32878" s="5">
        <v>0</v>
      </c>
      <c r="I32878" s="5">
        <v>0</v>
      </c>
      <c r="J32878" s="5">
        <v>0</v>
      </c>
      <c r="K32878" s="5">
        <v>0</v>
      </c>
    </row>
    <row r="32879" spans="1:11" x14ac:dyDescent="0.25">
      <c r="A32879" s="5">
        <f>32872</f>
      </c>
      <c r="B32879" s="5" t="s">
        <v>32887</v>
      </c>
      <c r="C32879" s="5">
        <v>0</v>
      </c>
      <c r="D32879" s="5">
        <v>0</v>
      </c>
      <c r="E32879" s="5">
        <v>0</v>
      </c>
      <c r="F32879" s="5">
        <v>0</v>
      </c>
      <c r="G32879" s="5">
        <v>0</v>
      </c>
      <c r="H32879" s="5">
        <v>0</v>
      </c>
      <c r="I32879" s="5">
        <v>0</v>
      </c>
      <c r="J32879" s="5">
        <v>0</v>
      </c>
      <c r="K32879" s="5">
        <v>0</v>
      </c>
    </row>
    <row r="32880" spans="1:11" x14ac:dyDescent="0.25">
      <c r="A32880" s="5">
        <f>32873</f>
      </c>
      <c r="B32880" s="5" t="s">
        <v>32888</v>
      </c>
      <c r="C32880" s="5">
        <v>0</v>
      </c>
      <c r="D32880" s="5">
        <v>0</v>
      </c>
      <c r="E32880" s="5">
        <v>0</v>
      </c>
      <c r="F32880" s="5">
        <v>0</v>
      </c>
      <c r="G32880" s="5">
        <v>0</v>
      </c>
      <c r="H32880" s="5">
        <v>0</v>
      </c>
      <c r="I32880" s="5">
        <v>0</v>
      </c>
      <c r="J32880" s="5">
        <v>0</v>
      </c>
      <c r="K32880" s="5">
        <v>0</v>
      </c>
    </row>
    <row r="32881" spans="1:11" x14ac:dyDescent="0.25">
      <c r="A32881" s="5">
        <f>32874</f>
      </c>
      <c r="B32881" s="5" t="s">
        <v>32889</v>
      </c>
      <c r="C32881" s="5">
        <v>0</v>
      </c>
      <c r="D32881" s="5">
        <v>0</v>
      </c>
      <c r="E32881" s="5">
        <v>0</v>
      </c>
      <c r="F32881" s="5">
        <v>0</v>
      </c>
      <c r="G32881" s="5">
        <v>0</v>
      </c>
      <c r="H32881" s="5">
        <v>0</v>
      </c>
      <c r="I32881" s="5">
        <v>0</v>
      </c>
      <c r="J32881" s="5">
        <v>0</v>
      </c>
      <c r="K32881" s="5">
        <v>0</v>
      </c>
    </row>
    <row r="32882" spans="1:11" x14ac:dyDescent="0.25">
      <c r="A32882" s="5">
        <f>32875</f>
      </c>
      <c r="B32882" s="5" t="s">
        <v>32890</v>
      </c>
      <c r="C32882" s="5">
        <v>0</v>
      </c>
      <c r="D32882" s="5">
        <v>0</v>
      </c>
      <c r="E32882" s="5">
        <v>0</v>
      </c>
      <c r="F32882" s="5">
        <v>0</v>
      </c>
      <c r="G32882" s="5">
        <v>0</v>
      </c>
      <c r="H32882" s="5">
        <v>0</v>
      </c>
      <c r="I32882" s="5">
        <v>0</v>
      </c>
      <c r="J32882" s="5">
        <v>0</v>
      </c>
      <c r="K32882" s="5">
        <v>0</v>
      </c>
    </row>
    <row r="32883" spans="1:11" x14ac:dyDescent="0.25">
      <c r="A32883" s="5">
        <f>32876</f>
      </c>
      <c r="B32883" s="5" t="s">
        <v>32891</v>
      </c>
      <c r="C32883" s="5">
        <v>0</v>
      </c>
      <c r="D32883" s="5">
        <v>0</v>
      </c>
      <c r="E32883" s="5">
        <v>0</v>
      </c>
      <c r="F32883" s="5">
        <v>0</v>
      </c>
      <c r="G32883" s="5">
        <v>0</v>
      </c>
      <c r="H32883" s="5">
        <v>0</v>
      </c>
      <c r="I32883" s="5">
        <v>0</v>
      </c>
      <c r="J32883" s="5">
        <v>0</v>
      </c>
      <c r="K32883" s="5">
        <v>0</v>
      </c>
    </row>
    <row r="32884" spans="1:11" x14ac:dyDescent="0.25">
      <c r="A32884" s="5">
        <f>32877</f>
      </c>
      <c r="B32884" s="5" t="s">
        <v>32892</v>
      </c>
      <c r="C32884" s="5">
        <v>0</v>
      </c>
      <c r="D32884" s="5">
        <v>0</v>
      </c>
      <c r="E32884" s="5">
        <v>0</v>
      </c>
      <c r="F32884" s="5">
        <v>0</v>
      </c>
      <c r="G32884" s="5">
        <v>0</v>
      </c>
      <c r="H32884" s="5">
        <v>0</v>
      </c>
      <c r="I32884" s="5">
        <v>0</v>
      </c>
      <c r="J32884" s="5">
        <v>0</v>
      </c>
      <c r="K32884" s="5">
        <v>0</v>
      </c>
    </row>
    <row r="32885" spans="1:11" x14ac:dyDescent="0.25">
      <c r="A32885" s="5">
        <f>32878</f>
      </c>
      <c r="B32885" s="5" t="s">
        <v>32893</v>
      </c>
      <c r="C32885" s="5">
        <v>0</v>
      </c>
      <c r="D32885" s="5">
        <v>0</v>
      </c>
      <c r="E32885" s="5">
        <v>0</v>
      </c>
      <c r="F32885" s="5">
        <v>0</v>
      </c>
      <c r="G32885" s="5">
        <v>0</v>
      </c>
      <c r="H32885" s="5">
        <v>0</v>
      </c>
      <c r="I32885" s="5">
        <v>0</v>
      </c>
      <c r="J32885" s="5">
        <v>0</v>
      </c>
      <c r="K32885" s="5">
        <v>0</v>
      </c>
    </row>
    <row r="32886" spans="1:11" x14ac:dyDescent="0.25">
      <c r="A32886" s="5">
        <f>32879</f>
      </c>
      <c r="B32886" s="5" t="s">
        <v>32894</v>
      </c>
      <c r="C32886" s="5">
        <v>0</v>
      </c>
      <c r="D32886" s="5">
        <v>0</v>
      </c>
      <c r="E32886" s="5">
        <v>0</v>
      </c>
      <c r="F32886" s="5">
        <v>0</v>
      </c>
      <c r="G32886" s="5">
        <v>0</v>
      </c>
      <c r="H32886" s="5">
        <v>0</v>
      </c>
      <c r="I32886" s="5">
        <v>0</v>
      </c>
      <c r="J32886" s="5">
        <v>0</v>
      </c>
      <c r="K32886" s="5">
        <v>0</v>
      </c>
    </row>
    <row r="32887" spans="1:11" x14ac:dyDescent="0.25">
      <c r="A32887" s="5">
        <f>32880</f>
      </c>
      <c r="B32887" s="5" t="s">
        <v>32895</v>
      </c>
      <c r="C32887" s="5">
        <v>0</v>
      </c>
      <c r="D32887" s="5">
        <v>0</v>
      </c>
      <c r="E32887" s="5">
        <v>0</v>
      </c>
      <c r="F32887" s="5">
        <v>0</v>
      </c>
      <c r="G32887" s="5">
        <v>0</v>
      </c>
      <c r="H32887" s="5">
        <v>0</v>
      </c>
      <c r="I32887" s="5">
        <v>0</v>
      </c>
      <c r="J32887" s="5">
        <v>0</v>
      </c>
      <c r="K32887" s="5">
        <v>0</v>
      </c>
    </row>
    <row r="32888" spans="1:11" x14ac:dyDescent="0.25">
      <c r="A32888" s="5">
        <f>32881</f>
      </c>
      <c r="B32888" s="5" t="s">
        <v>32896</v>
      </c>
      <c r="C32888" s="5">
        <v>0</v>
      </c>
      <c r="D32888" s="5">
        <v>0</v>
      </c>
      <c r="E32888" s="5">
        <v>0</v>
      </c>
      <c r="F32888" s="5">
        <v>0</v>
      </c>
      <c r="G32888" s="5">
        <v>0</v>
      </c>
      <c r="H32888" s="5">
        <v>0</v>
      </c>
      <c r="I32888" s="5">
        <v>0</v>
      </c>
      <c r="J32888" s="5">
        <v>0</v>
      </c>
      <c r="K32888" s="5">
        <v>0</v>
      </c>
    </row>
    <row r="32889" spans="1:11" x14ac:dyDescent="0.25">
      <c r="A32889" s="5">
        <f>32882</f>
      </c>
      <c r="B32889" s="5" t="s">
        <v>32897</v>
      </c>
      <c r="C32889" s="5">
        <v>0</v>
      </c>
      <c r="D32889" s="5">
        <v>0</v>
      </c>
      <c r="E32889" s="5">
        <v>0</v>
      </c>
      <c r="F32889" s="5">
        <v>0</v>
      </c>
      <c r="G32889" s="5">
        <v>0</v>
      </c>
      <c r="H32889" s="5">
        <v>0</v>
      </c>
      <c r="I32889" s="5">
        <v>0</v>
      </c>
      <c r="J32889" s="5">
        <v>0</v>
      </c>
      <c r="K32889" s="5">
        <v>0</v>
      </c>
    </row>
    <row r="32890" spans="1:11" x14ac:dyDescent="0.25">
      <c r="A32890" s="5">
        <f>32883</f>
      </c>
      <c r="B32890" s="5" t="s">
        <v>32898</v>
      </c>
      <c r="C32890" s="5">
        <v>0</v>
      </c>
      <c r="D32890" s="5">
        <v>0</v>
      </c>
      <c r="E32890" s="5">
        <v>0</v>
      </c>
      <c r="F32890" s="5">
        <v>0</v>
      </c>
      <c r="G32890" s="5">
        <v>0</v>
      </c>
      <c r="H32890" s="5">
        <v>0</v>
      </c>
      <c r="I32890" s="5">
        <v>0</v>
      </c>
      <c r="J32890" s="5">
        <v>0</v>
      </c>
      <c r="K32890" s="5">
        <v>0</v>
      </c>
    </row>
    <row r="32891" spans="1:11" x14ac:dyDescent="0.25">
      <c r="A32891" s="5">
        <f>32884</f>
      </c>
      <c r="B32891" s="5" t="s">
        <v>32899</v>
      </c>
      <c r="C32891" s="5">
        <v>0</v>
      </c>
      <c r="D32891" s="5">
        <v>0</v>
      </c>
      <c r="E32891" s="5">
        <v>0</v>
      </c>
      <c r="F32891" s="5">
        <v>0</v>
      </c>
      <c r="G32891" s="5">
        <v>0</v>
      </c>
      <c r="H32891" s="5">
        <v>0</v>
      </c>
      <c r="I32891" s="5">
        <v>0</v>
      </c>
      <c r="J32891" s="5">
        <v>0</v>
      </c>
      <c r="K32891" s="5">
        <v>0</v>
      </c>
    </row>
    <row r="32892" spans="1:11" x14ac:dyDescent="0.25">
      <c r="A32892" s="5">
        <f>32885</f>
      </c>
      <c r="B32892" s="5" t="s">
        <v>32900</v>
      </c>
      <c r="C32892" s="5">
        <v>0</v>
      </c>
      <c r="D32892" s="5">
        <v>0</v>
      </c>
      <c r="E32892" s="5">
        <v>0</v>
      </c>
      <c r="F32892" s="5">
        <v>0</v>
      </c>
      <c r="G32892" s="5">
        <v>0</v>
      </c>
      <c r="H32892" s="5">
        <v>0</v>
      </c>
      <c r="I32892" s="5">
        <v>0</v>
      </c>
      <c r="J32892" s="5">
        <v>0</v>
      </c>
      <c r="K32892" s="5">
        <v>0</v>
      </c>
    </row>
    <row r="32893" spans="1:11" x14ac:dyDescent="0.25">
      <c r="A32893" s="5">
        <f>32886</f>
      </c>
      <c r="B32893" s="5" t="s">
        <v>32901</v>
      </c>
      <c r="C32893" s="5">
        <v>0</v>
      </c>
      <c r="D32893" s="5">
        <v>0</v>
      </c>
      <c r="E32893" s="5">
        <v>0</v>
      </c>
      <c r="F32893" s="5">
        <v>0</v>
      </c>
      <c r="G32893" s="5">
        <v>0</v>
      </c>
      <c r="H32893" s="5">
        <v>0</v>
      </c>
      <c r="I32893" s="5">
        <v>0</v>
      </c>
      <c r="J32893" s="5">
        <v>0</v>
      </c>
      <c r="K32893" s="5">
        <v>0</v>
      </c>
    </row>
    <row r="32894" spans="1:11" x14ac:dyDescent="0.25">
      <c r="A32894" s="5">
        <f>32887</f>
      </c>
      <c r="B32894" s="5" t="s">
        <v>32902</v>
      </c>
      <c r="C32894" s="5">
        <v>0</v>
      </c>
      <c r="D32894" s="5">
        <v>0</v>
      </c>
      <c r="E32894" s="5">
        <v>0</v>
      </c>
      <c r="F32894" s="5">
        <v>0</v>
      </c>
      <c r="G32894" s="5">
        <v>0</v>
      </c>
      <c r="H32894" s="5">
        <v>0</v>
      </c>
      <c r="I32894" s="5">
        <v>0</v>
      </c>
      <c r="J32894" s="5">
        <v>0</v>
      </c>
      <c r="K32894" s="5">
        <v>0</v>
      </c>
    </row>
    <row r="32895" spans="1:11" x14ac:dyDescent="0.25">
      <c r="A32895" s="5">
        <f>32888</f>
      </c>
      <c r="B32895" s="5" t="s">
        <v>32903</v>
      </c>
      <c r="C32895" s="5">
        <v>0</v>
      </c>
      <c r="D32895" s="5">
        <v>0</v>
      </c>
      <c r="E32895" s="5">
        <v>0</v>
      </c>
      <c r="F32895" s="5">
        <v>0</v>
      </c>
      <c r="G32895" s="5">
        <v>0</v>
      </c>
      <c r="H32895" s="5">
        <v>0</v>
      </c>
      <c r="I32895" s="5">
        <v>0</v>
      </c>
      <c r="J32895" s="5">
        <v>0</v>
      </c>
      <c r="K32895" s="5">
        <v>0</v>
      </c>
    </row>
    <row r="32896" spans="1:11" x14ac:dyDescent="0.25">
      <c r="A32896" s="5">
        <f>32889</f>
      </c>
      <c r="B32896" s="5" t="s">
        <v>32904</v>
      </c>
      <c r="C32896" s="5">
        <v>0</v>
      </c>
      <c r="D32896" s="5">
        <v>0</v>
      </c>
      <c r="E32896" s="5">
        <v>0</v>
      </c>
      <c r="F32896" s="5">
        <v>0</v>
      </c>
      <c r="G32896" s="5">
        <v>0</v>
      </c>
      <c r="H32896" s="5">
        <v>0</v>
      </c>
      <c r="I32896" s="5">
        <v>0</v>
      </c>
      <c r="J32896" s="5">
        <v>0</v>
      </c>
      <c r="K32896" s="5">
        <v>0</v>
      </c>
    </row>
    <row r="32897" spans="1:11" x14ac:dyDescent="0.25">
      <c r="A32897" s="5">
        <f>32890</f>
      </c>
      <c r="B32897" s="5" t="s">
        <v>32905</v>
      </c>
      <c r="C32897" s="5">
        <v>0</v>
      </c>
      <c r="D32897" s="5">
        <v>0</v>
      </c>
      <c r="E32897" s="5">
        <v>0</v>
      </c>
      <c r="F32897" s="5">
        <v>0</v>
      </c>
      <c r="G32897" s="5">
        <v>0</v>
      </c>
      <c r="H32897" s="5">
        <v>0</v>
      </c>
      <c r="I32897" s="5">
        <v>0</v>
      </c>
      <c r="J32897" s="5">
        <v>0</v>
      </c>
      <c r="K32897" s="5">
        <v>0</v>
      </c>
    </row>
    <row r="32898" spans="1:11" x14ac:dyDescent="0.25">
      <c r="A32898" s="5">
        <f>32891</f>
      </c>
      <c r="B32898" s="5" t="s">
        <v>32906</v>
      </c>
      <c r="C32898" s="5">
        <v>0</v>
      </c>
      <c r="D32898" s="5">
        <v>0</v>
      </c>
      <c r="E32898" s="5">
        <v>0</v>
      </c>
      <c r="F32898" s="5">
        <v>0</v>
      </c>
      <c r="G32898" s="5">
        <v>0</v>
      </c>
      <c r="H32898" s="5">
        <v>0</v>
      </c>
      <c r="I32898" s="5">
        <v>0</v>
      </c>
      <c r="J32898" s="5">
        <v>0</v>
      </c>
      <c r="K32898" s="5">
        <v>0</v>
      </c>
    </row>
    <row r="32899" spans="1:11" x14ac:dyDescent="0.25">
      <c r="A32899" s="5">
        <f>32892</f>
      </c>
      <c r="B32899" s="5" t="s">
        <v>32907</v>
      </c>
      <c r="C32899" s="5">
        <v>0</v>
      </c>
      <c r="D32899" s="5">
        <v>0</v>
      </c>
      <c r="E32899" s="5">
        <v>0</v>
      </c>
      <c r="F32899" s="5">
        <v>0</v>
      </c>
      <c r="G32899" s="5">
        <v>0</v>
      </c>
      <c r="H32899" s="5">
        <v>0</v>
      </c>
      <c r="I32899" s="5">
        <v>0</v>
      </c>
      <c r="J32899" s="5">
        <v>0</v>
      </c>
      <c r="K32899" s="5">
        <v>0</v>
      </c>
    </row>
    <row r="32900" spans="1:11" x14ac:dyDescent="0.25">
      <c r="A32900" s="5">
        <f>32893</f>
      </c>
      <c r="B32900" s="5" t="s">
        <v>32908</v>
      </c>
      <c r="C32900" s="5">
        <v>0</v>
      </c>
      <c r="D32900" s="5">
        <v>0</v>
      </c>
      <c r="E32900" s="5">
        <v>0</v>
      </c>
      <c r="F32900" s="5">
        <v>0</v>
      </c>
      <c r="G32900" s="5">
        <v>0</v>
      </c>
      <c r="H32900" s="5">
        <v>0</v>
      </c>
      <c r="I32900" s="5">
        <v>0</v>
      </c>
      <c r="J32900" s="5">
        <v>0</v>
      </c>
      <c r="K32900" s="5">
        <v>0</v>
      </c>
    </row>
    <row r="32901" spans="1:11" x14ac:dyDescent="0.25">
      <c r="A32901" s="5">
        <f>32894</f>
      </c>
      <c r="B32901" s="5" t="s">
        <v>32909</v>
      </c>
      <c r="C32901" s="5">
        <v>0</v>
      </c>
      <c r="D32901" s="5">
        <v>0</v>
      </c>
      <c r="E32901" s="5">
        <v>0</v>
      </c>
      <c r="F32901" s="5">
        <v>0</v>
      </c>
      <c r="G32901" s="5">
        <v>0</v>
      </c>
      <c r="H32901" s="5">
        <v>0</v>
      </c>
      <c r="I32901" s="5">
        <v>0</v>
      </c>
      <c r="J32901" s="5">
        <v>0</v>
      </c>
      <c r="K32901" s="5">
        <v>0</v>
      </c>
    </row>
    <row r="32902" spans="1:11" x14ac:dyDescent="0.25">
      <c r="A32902" s="5">
        <f>32895</f>
      </c>
      <c r="B32902" s="5" t="s">
        <v>32910</v>
      </c>
      <c r="C32902" s="5">
        <v>0</v>
      </c>
      <c r="D32902" s="5">
        <v>0</v>
      </c>
      <c r="E32902" s="5">
        <v>0</v>
      </c>
      <c r="F32902" s="5">
        <v>0</v>
      </c>
      <c r="G32902" s="5">
        <v>0</v>
      </c>
      <c r="H32902" s="5">
        <v>0</v>
      </c>
      <c r="I32902" s="5">
        <v>0</v>
      </c>
      <c r="J32902" s="5">
        <v>0</v>
      </c>
      <c r="K32902" s="5">
        <v>0</v>
      </c>
    </row>
    <row r="32903" spans="1:11" x14ac:dyDescent="0.25">
      <c r="A32903" s="5">
        <f>32896</f>
      </c>
      <c r="B32903" s="5" t="s">
        <v>32911</v>
      </c>
      <c r="C32903" s="5">
        <v>0</v>
      </c>
      <c r="D32903" s="5">
        <v>0</v>
      </c>
      <c r="E32903" s="5">
        <v>0</v>
      </c>
      <c r="F32903" s="5">
        <v>0</v>
      </c>
      <c r="G32903" s="5">
        <v>0</v>
      </c>
      <c r="H32903" s="5">
        <v>0</v>
      </c>
      <c r="I32903" s="5">
        <v>0</v>
      </c>
      <c r="J32903" s="5">
        <v>0</v>
      </c>
      <c r="K32903" s="5">
        <v>0</v>
      </c>
    </row>
    <row r="32904" spans="1:11" x14ac:dyDescent="0.25">
      <c r="A32904" s="5">
        <f>32897</f>
      </c>
      <c r="B32904" s="5" t="s">
        <v>32912</v>
      </c>
      <c r="C32904" s="5">
        <v>0</v>
      </c>
      <c r="D32904" s="5">
        <v>0</v>
      </c>
      <c r="E32904" s="5">
        <v>0</v>
      </c>
      <c r="F32904" s="5">
        <v>0</v>
      </c>
      <c r="G32904" s="5">
        <v>0</v>
      </c>
      <c r="H32904" s="5">
        <v>0</v>
      </c>
      <c r="I32904" s="5">
        <v>0</v>
      </c>
      <c r="J32904" s="5">
        <v>0</v>
      </c>
      <c r="K32904" s="5">
        <v>0</v>
      </c>
    </row>
    <row r="32905" spans="1:11" x14ac:dyDescent="0.25">
      <c r="A32905" s="5">
        <f>32898</f>
      </c>
      <c r="B32905" s="5" t="s">
        <v>32913</v>
      </c>
      <c r="C32905" s="5">
        <v>0</v>
      </c>
      <c r="D32905" s="5">
        <v>0</v>
      </c>
      <c r="E32905" s="5">
        <v>0</v>
      </c>
      <c r="F32905" s="5">
        <v>0</v>
      </c>
      <c r="G32905" s="5">
        <v>0</v>
      </c>
      <c r="H32905" s="5">
        <v>0</v>
      </c>
      <c r="I32905" s="5">
        <v>0</v>
      </c>
      <c r="J32905" s="5">
        <v>0</v>
      </c>
      <c r="K32905" s="5">
        <v>0</v>
      </c>
    </row>
    <row r="32906" spans="1:11" x14ac:dyDescent="0.25">
      <c r="A32906" s="5">
        <f>32899</f>
      </c>
      <c r="B32906" s="5" t="s">
        <v>32914</v>
      </c>
      <c r="C32906" s="5">
        <v>0</v>
      </c>
      <c r="D32906" s="5">
        <v>0</v>
      </c>
      <c r="E32906" s="5">
        <v>0</v>
      </c>
      <c r="F32906" s="5">
        <v>0</v>
      </c>
      <c r="G32906" s="5">
        <v>0</v>
      </c>
      <c r="H32906" s="5">
        <v>0</v>
      </c>
      <c r="I32906" s="5">
        <v>0</v>
      </c>
      <c r="J32906" s="5">
        <v>0</v>
      </c>
      <c r="K32906" s="5">
        <v>0</v>
      </c>
    </row>
    <row r="32907" spans="1:11" x14ac:dyDescent="0.25">
      <c r="A32907" s="5">
        <f>32900</f>
      </c>
      <c r="B32907" s="5" t="s">
        <v>32915</v>
      </c>
      <c r="C32907" s="5">
        <v>0</v>
      </c>
      <c r="D32907" s="5">
        <v>0</v>
      </c>
      <c r="E32907" s="5">
        <v>0</v>
      </c>
      <c r="F32907" s="5">
        <v>0</v>
      </c>
      <c r="G32907" s="5">
        <v>0</v>
      </c>
      <c r="H32907" s="5">
        <v>0</v>
      </c>
      <c r="I32907" s="5">
        <v>0</v>
      </c>
      <c r="J32907" s="5">
        <v>0</v>
      </c>
      <c r="K32907" s="5">
        <v>0</v>
      </c>
    </row>
    <row r="32908" spans="1:11" x14ac:dyDescent="0.25">
      <c r="A32908" s="5">
        <f>32901</f>
      </c>
      <c r="B32908" s="5" t="s">
        <v>32916</v>
      </c>
      <c r="C32908" s="5">
        <v>0</v>
      </c>
      <c r="D32908" s="5">
        <v>0</v>
      </c>
      <c r="E32908" s="5">
        <v>0</v>
      </c>
      <c r="F32908" s="5">
        <v>0</v>
      </c>
      <c r="G32908" s="5">
        <v>0</v>
      </c>
      <c r="H32908" s="5">
        <v>0</v>
      </c>
      <c r="I32908" s="5">
        <v>0</v>
      </c>
      <c r="J32908" s="5">
        <v>0</v>
      </c>
      <c r="K32908" s="5">
        <v>0</v>
      </c>
    </row>
    <row r="32909" spans="1:11" x14ac:dyDescent="0.25">
      <c r="A32909" s="5">
        <f>32902</f>
      </c>
      <c r="B32909" s="5" t="s">
        <v>32917</v>
      </c>
      <c r="C32909" s="5">
        <v>0</v>
      </c>
      <c r="D32909" s="5">
        <v>0</v>
      </c>
      <c r="E32909" s="5">
        <v>0</v>
      </c>
      <c r="F32909" s="5">
        <v>0</v>
      </c>
      <c r="G32909" s="5">
        <v>0</v>
      </c>
      <c r="H32909" s="5">
        <v>0</v>
      </c>
      <c r="I32909" s="5">
        <v>0</v>
      </c>
      <c r="J32909" s="5">
        <v>0</v>
      </c>
      <c r="K32909" s="5">
        <v>0</v>
      </c>
    </row>
    <row r="32910" spans="1:11" x14ac:dyDescent="0.25">
      <c r="A32910" s="5">
        <f>32903</f>
      </c>
      <c r="B32910" s="5" t="s">
        <v>32918</v>
      </c>
      <c r="C32910" s="5">
        <v>0</v>
      </c>
      <c r="D32910" s="5">
        <v>0</v>
      </c>
      <c r="E32910" s="5">
        <v>0</v>
      </c>
      <c r="F32910" s="5">
        <v>0</v>
      </c>
      <c r="G32910" s="5">
        <v>0</v>
      </c>
      <c r="H32910" s="5">
        <v>0</v>
      </c>
      <c r="I32910" s="5">
        <v>0</v>
      </c>
      <c r="J32910" s="5">
        <v>0</v>
      </c>
      <c r="K32910" s="5">
        <v>0</v>
      </c>
    </row>
    <row r="32911" spans="1:11" x14ac:dyDescent="0.25">
      <c r="A32911" s="5">
        <f>32904</f>
      </c>
      <c r="B32911" s="5" t="s">
        <v>32919</v>
      </c>
      <c r="C32911" s="5">
        <v>0</v>
      </c>
      <c r="D32911" s="5">
        <v>0</v>
      </c>
      <c r="E32911" s="5">
        <v>0</v>
      </c>
      <c r="F32911" s="5">
        <v>0</v>
      </c>
      <c r="G32911" s="5">
        <v>0</v>
      </c>
      <c r="H32911" s="5">
        <v>0</v>
      </c>
      <c r="I32911" s="5">
        <v>0</v>
      </c>
      <c r="J32911" s="5">
        <v>0</v>
      </c>
      <c r="K32911" s="5">
        <v>0</v>
      </c>
    </row>
    <row r="32912" spans="1:11" x14ac:dyDescent="0.25">
      <c r="A32912" s="5">
        <f>32905</f>
      </c>
      <c r="B32912" s="5" t="s">
        <v>32920</v>
      </c>
      <c r="C32912" s="5">
        <v>0</v>
      </c>
      <c r="D32912" s="5">
        <v>0</v>
      </c>
      <c r="E32912" s="5">
        <v>0</v>
      </c>
      <c r="F32912" s="5">
        <v>0</v>
      </c>
      <c r="G32912" s="5">
        <v>0</v>
      </c>
      <c r="H32912" s="5">
        <v>0</v>
      </c>
      <c r="I32912" s="5">
        <v>0</v>
      </c>
      <c r="J32912" s="5">
        <v>0</v>
      </c>
      <c r="K32912" s="5">
        <v>0</v>
      </c>
    </row>
    <row r="32913" spans="1:11" x14ac:dyDescent="0.25">
      <c r="A32913" s="5">
        <f>32906</f>
      </c>
      <c r="B32913" s="5" t="s">
        <v>32921</v>
      </c>
      <c r="C32913" s="5">
        <v>0</v>
      </c>
      <c r="D32913" s="5">
        <v>0</v>
      </c>
      <c r="E32913" s="5">
        <v>0</v>
      </c>
      <c r="F32913" s="5">
        <v>0</v>
      </c>
      <c r="G32913" s="5">
        <v>0</v>
      </c>
      <c r="H32913" s="5">
        <v>0</v>
      </c>
      <c r="I32913" s="5">
        <v>0</v>
      </c>
      <c r="J32913" s="5">
        <v>0</v>
      </c>
      <c r="K32913" s="5">
        <v>0</v>
      </c>
    </row>
    <row r="32914" spans="1:11" x14ac:dyDescent="0.25">
      <c r="A32914" s="5">
        <f>32907</f>
      </c>
      <c r="B32914" s="5" t="s">
        <v>32922</v>
      </c>
      <c r="C32914" s="5">
        <v>0</v>
      </c>
      <c r="D32914" s="5">
        <v>0</v>
      </c>
      <c r="E32914" s="5">
        <v>0</v>
      </c>
      <c r="F32914" s="5">
        <v>0</v>
      </c>
      <c r="G32914" s="5">
        <v>0</v>
      </c>
      <c r="H32914" s="5">
        <v>0</v>
      </c>
      <c r="I32914" s="5">
        <v>0</v>
      </c>
      <c r="J32914" s="5">
        <v>0</v>
      </c>
      <c r="K32914" s="5">
        <v>0</v>
      </c>
    </row>
    <row r="32915" spans="1:11" x14ac:dyDescent="0.25">
      <c r="A32915" s="5">
        <f>32908</f>
      </c>
      <c r="B32915" s="5" t="s">
        <v>32923</v>
      </c>
      <c r="C32915" s="5">
        <v>0</v>
      </c>
      <c r="D32915" s="5">
        <v>0</v>
      </c>
      <c r="E32915" s="5">
        <v>0</v>
      </c>
      <c r="F32915" s="5">
        <v>0</v>
      </c>
      <c r="G32915" s="5">
        <v>0</v>
      </c>
      <c r="H32915" s="5">
        <v>0</v>
      </c>
      <c r="I32915" s="5">
        <v>0</v>
      </c>
      <c r="J32915" s="5">
        <v>0</v>
      </c>
      <c r="K32915" s="5">
        <v>0</v>
      </c>
    </row>
    <row r="32916" spans="1:11" x14ac:dyDescent="0.25">
      <c r="A32916" s="5">
        <f>32909</f>
      </c>
      <c r="B32916" s="5" t="s">
        <v>32924</v>
      </c>
      <c r="C32916" s="5">
        <v>0</v>
      </c>
      <c r="D32916" s="5">
        <v>0</v>
      </c>
      <c r="E32916" s="5">
        <v>0</v>
      </c>
      <c r="F32916" s="5">
        <v>0</v>
      </c>
      <c r="G32916" s="5">
        <v>0</v>
      </c>
      <c r="H32916" s="5">
        <v>0</v>
      </c>
      <c r="I32916" s="5">
        <v>0</v>
      </c>
      <c r="J32916" s="5">
        <v>0</v>
      </c>
      <c r="K32916" s="5">
        <v>0</v>
      </c>
    </row>
    <row r="32917" spans="1:11" x14ac:dyDescent="0.25">
      <c r="A32917" s="5">
        <f>32910</f>
      </c>
      <c r="B32917" s="5" t="s">
        <v>32925</v>
      </c>
      <c r="C32917" s="5">
        <v>0</v>
      </c>
      <c r="D32917" s="5">
        <v>0</v>
      </c>
      <c r="E32917" s="5">
        <v>0</v>
      </c>
      <c r="F32917" s="5">
        <v>0</v>
      </c>
      <c r="G32917" s="5">
        <v>0</v>
      </c>
      <c r="H32917" s="5">
        <v>0</v>
      </c>
      <c r="I32917" s="5">
        <v>0</v>
      </c>
      <c r="J32917" s="5">
        <v>0</v>
      </c>
      <c r="K32917" s="5">
        <v>0</v>
      </c>
    </row>
    <row r="32918" spans="1:11" x14ac:dyDescent="0.25">
      <c r="A32918" s="5">
        <f>32911</f>
      </c>
      <c r="B32918" s="5" t="s">
        <v>32926</v>
      </c>
      <c r="C32918" s="5">
        <v>0</v>
      </c>
      <c r="D32918" s="5">
        <v>0</v>
      </c>
      <c r="E32918" s="5">
        <v>0</v>
      </c>
      <c r="F32918" s="5">
        <v>0</v>
      </c>
      <c r="G32918" s="5">
        <v>0</v>
      </c>
      <c r="H32918" s="5">
        <v>0</v>
      </c>
      <c r="I32918" s="5">
        <v>0</v>
      </c>
      <c r="J32918" s="5">
        <v>0</v>
      </c>
      <c r="K32918" s="5">
        <v>0</v>
      </c>
    </row>
    <row r="32919" spans="1:11" x14ac:dyDescent="0.25">
      <c r="A32919" s="5">
        <f>32912</f>
      </c>
      <c r="B32919" s="5" t="s">
        <v>32927</v>
      </c>
      <c r="C32919" s="5">
        <v>0</v>
      </c>
      <c r="D32919" s="5">
        <v>0</v>
      </c>
      <c r="E32919" s="5">
        <v>0</v>
      </c>
      <c r="F32919" s="5">
        <v>0</v>
      </c>
      <c r="G32919" s="5">
        <v>0</v>
      </c>
      <c r="H32919" s="5">
        <v>0</v>
      </c>
      <c r="I32919" s="5">
        <v>0</v>
      </c>
      <c r="J32919" s="5">
        <v>0</v>
      </c>
      <c r="K32919" s="5">
        <v>0</v>
      </c>
    </row>
    <row r="32920" spans="1:11" x14ac:dyDescent="0.25">
      <c r="A32920" s="5">
        <f>32913</f>
      </c>
      <c r="B32920" s="5" t="s">
        <v>32928</v>
      </c>
      <c r="C32920" s="5">
        <v>0</v>
      </c>
      <c r="D32920" s="5">
        <v>0</v>
      </c>
      <c r="E32920" s="5">
        <v>0</v>
      </c>
      <c r="F32920" s="5">
        <v>0</v>
      </c>
      <c r="G32920" s="5">
        <v>0</v>
      </c>
      <c r="H32920" s="5">
        <v>0</v>
      </c>
      <c r="I32920" s="5">
        <v>0</v>
      </c>
      <c r="J32920" s="5">
        <v>0</v>
      </c>
      <c r="K32920" s="5">
        <v>0</v>
      </c>
    </row>
    <row r="32921" spans="1:11" x14ac:dyDescent="0.25">
      <c r="A32921" s="5">
        <f>32914</f>
      </c>
      <c r="B32921" s="5" t="s">
        <v>32929</v>
      </c>
      <c r="C32921" s="5">
        <v>0</v>
      </c>
      <c r="D32921" s="5">
        <v>0</v>
      </c>
      <c r="E32921" s="5">
        <v>0</v>
      </c>
      <c r="F32921" s="5">
        <v>0</v>
      </c>
      <c r="G32921" s="5">
        <v>0</v>
      </c>
      <c r="H32921" s="5">
        <v>0</v>
      </c>
      <c r="I32921" s="5">
        <v>0</v>
      </c>
      <c r="J32921" s="5">
        <v>0</v>
      </c>
      <c r="K32921" s="5">
        <v>0</v>
      </c>
    </row>
    <row r="32922" spans="1:11" x14ac:dyDescent="0.25">
      <c r="A32922" s="5">
        <f>32915</f>
      </c>
      <c r="B32922" s="5" t="s">
        <v>32930</v>
      </c>
      <c r="C32922" s="5">
        <v>0</v>
      </c>
      <c r="D32922" s="5">
        <v>0</v>
      </c>
      <c r="E32922" s="5">
        <v>0</v>
      </c>
      <c r="F32922" s="5">
        <v>0</v>
      </c>
      <c r="G32922" s="5">
        <v>0</v>
      </c>
      <c r="H32922" s="5">
        <v>0</v>
      </c>
      <c r="I32922" s="5">
        <v>0</v>
      </c>
      <c r="J32922" s="5">
        <v>0</v>
      </c>
      <c r="K32922" s="5">
        <v>0</v>
      </c>
    </row>
    <row r="32923" spans="1:11" x14ac:dyDescent="0.25">
      <c r="A32923" s="5">
        <f>32916</f>
      </c>
      <c r="B32923" s="5" t="s">
        <v>32931</v>
      </c>
      <c r="C32923" s="5">
        <v>0</v>
      </c>
      <c r="D32923" s="5">
        <v>0</v>
      </c>
      <c r="E32923" s="5">
        <v>0</v>
      </c>
      <c r="F32923" s="5">
        <v>0</v>
      </c>
      <c r="G32923" s="5">
        <v>0</v>
      </c>
      <c r="H32923" s="5">
        <v>0</v>
      </c>
      <c r="I32923" s="5">
        <v>0</v>
      </c>
      <c r="J32923" s="5">
        <v>0</v>
      </c>
      <c r="K32923" s="5">
        <v>0</v>
      </c>
    </row>
    <row r="32924" spans="1:11" x14ac:dyDescent="0.25">
      <c r="A32924" s="5">
        <f>32917</f>
      </c>
      <c r="B32924" s="5" t="s">
        <v>32932</v>
      </c>
      <c r="C32924" s="5">
        <v>0</v>
      </c>
      <c r="D32924" s="5">
        <v>0</v>
      </c>
      <c r="E32924" s="5">
        <v>0</v>
      </c>
      <c r="F32924" s="5">
        <v>0</v>
      </c>
      <c r="G32924" s="5">
        <v>0</v>
      </c>
      <c r="H32924" s="5">
        <v>0</v>
      </c>
      <c r="I32924" s="5">
        <v>0</v>
      </c>
      <c r="J32924" s="5">
        <v>0</v>
      </c>
      <c r="K32924" s="5">
        <v>0</v>
      </c>
    </row>
    <row r="32925" spans="1:11" x14ac:dyDescent="0.25">
      <c r="A32925" s="5">
        <f>32918</f>
      </c>
      <c r="B32925" s="5" t="s">
        <v>32933</v>
      </c>
      <c r="C32925" s="5">
        <v>0</v>
      </c>
      <c r="D32925" s="5">
        <v>0</v>
      </c>
      <c r="E32925" s="5">
        <v>0</v>
      </c>
      <c r="F32925" s="5">
        <v>0</v>
      </c>
      <c r="G32925" s="5">
        <v>0</v>
      </c>
      <c r="H32925" s="5">
        <v>0</v>
      </c>
      <c r="I32925" s="5">
        <v>0</v>
      </c>
      <c r="J32925" s="5">
        <v>0</v>
      </c>
      <c r="K32925" s="5">
        <v>0</v>
      </c>
    </row>
    <row r="32926" spans="1:11" x14ac:dyDescent="0.25">
      <c r="A32926" s="5">
        <f>32919</f>
      </c>
      <c r="B32926" s="5" t="s">
        <v>32934</v>
      </c>
      <c r="C32926" s="5">
        <v>0</v>
      </c>
      <c r="D32926" s="5">
        <v>0</v>
      </c>
      <c r="E32926" s="5">
        <v>0</v>
      </c>
      <c r="F32926" s="5">
        <v>0</v>
      </c>
      <c r="G32926" s="5">
        <v>0</v>
      </c>
      <c r="H32926" s="5">
        <v>0</v>
      </c>
      <c r="I32926" s="5">
        <v>0</v>
      </c>
      <c r="J32926" s="5">
        <v>0</v>
      </c>
      <c r="K32926" s="5">
        <v>0</v>
      </c>
    </row>
    <row r="32927" spans="1:11" x14ac:dyDescent="0.25">
      <c r="A32927" s="5">
        <f>32920</f>
      </c>
      <c r="B32927" s="5" t="s">
        <v>32935</v>
      </c>
      <c r="C32927" s="5">
        <v>0</v>
      </c>
      <c r="D32927" s="5">
        <v>0</v>
      </c>
      <c r="E32927" s="5">
        <v>0</v>
      </c>
      <c r="F32927" s="5">
        <v>0</v>
      </c>
      <c r="G32927" s="5">
        <v>0</v>
      </c>
      <c r="H32927" s="5">
        <v>0</v>
      </c>
      <c r="I32927" s="5">
        <v>0</v>
      </c>
      <c r="J32927" s="5">
        <v>0</v>
      </c>
      <c r="K32927" s="5">
        <v>0</v>
      </c>
    </row>
    <row r="32928" spans="1:11" x14ac:dyDescent="0.25">
      <c r="A32928" s="5">
        <f>32921</f>
      </c>
      <c r="B32928" s="5" t="s">
        <v>32936</v>
      </c>
      <c r="C32928" s="5">
        <v>0</v>
      </c>
      <c r="D32928" s="5">
        <v>0</v>
      </c>
      <c r="E32928" s="5">
        <v>0</v>
      </c>
      <c r="F32928" s="5">
        <v>0</v>
      </c>
      <c r="G32928" s="5">
        <v>0</v>
      </c>
      <c r="H32928" s="5">
        <v>0</v>
      </c>
      <c r="I32928" s="5">
        <v>0</v>
      </c>
      <c r="J32928" s="5">
        <v>0</v>
      </c>
      <c r="K32928" s="5">
        <v>0</v>
      </c>
    </row>
    <row r="32929" spans="1:11" x14ac:dyDescent="0.25">
      <c r="A32929" s="5">
        <f>32922</f>
      </c>
      <c r="B32929" s="5" t="s">
        <v>32937</v>
      </c>
      <c r="C32929" s="5">
        <v>0</v>
      </c>
      <c r="D32929" s="5">
        <v>0</v>
      </c>
      <c r="E32929" s="5">
        <v>0</v>
      </c>
      <c r="F32929" s="5">
        <v>0</v>
      </c>
      <c r="G32929" s="5">
        <v>0</v>
      </c>
      <c r="H32929" s="5">
        <v>0</v>
      </c>
      <c r="I32929" s="5">
        <v>0</v>
      </c>
      <c r="J32929" s="5">
        <v>0</v>
      </c>
      <c r="K32929" s="5">
        <v>0</v>
      </c>
    </row>
    <row r="32930" spans="1:11" x14ac:dyDescent="0.25">
      <c r="A32930" s="5">
        <f>32923</f>
      </c>
      <c r="B32930" s="5" t="s">
        <v>32938</v>
      </c>
      <c r="C32930" s="5">
        <v>0</v>
      </c>
      <c r="D32930" s="5">
        <v>0</v>
      </c>
      <c r="E32930" s="5">
        <v>0</v>
      </c>
      <c r="F32930" s="5">
        <v>0</v>
      </c>
      <c r="G32930" s="5">
        <v>0</v>
      </c>
      <c r="H32930" s="5">
        <v>0</v>
      </c>
      <c r="I32930" s="5">
        <v>0</v>
      </c>
      <c r="J32930" s="5">
        <v>0</v>
      </c>
      <c r="K32930" s="5">
        <v>0</v>
      </c>
    </row>
    <row r="32931" spans="1:11" x14ac:dyDescent="0.25">
      <c r="A32931" s="5">
        <f>32924</f>
      </c>
      <c r="B32931" s="5" t="s">
        <v>32939</v>
      </c>
      <c r="C32931" s="5">
        <v>0</v>
      </c>
      <c r="D32931" s="5">
        <v>0</v>
      </c>
      <c r="E32931" s="5">
        <v>0</v>
      </c>
      <c r="F32931" s="5">
        <v>0</v>
      </c>
      <c r="G32931" s="5">
        <v>0</v>
      </c>
      <c r="H32931" s="5">
        <v>0</v>
      </c>
      <c r="I32931" s="5">
        <v>0</v>
      </c>
      <c r="J32931" s="5">
        <v>0</v>
      </c>
      <c r="K32931" s="5">
        <v>0</v>
      </c>
    </row>
    <row r="32932" spans="1:11" x14ac:dyDescent="0.25">
      <c r="A32932" s="5">
        <f>32925</f>
      </c>
      <c r="B32932" s="5" t="s">
        <v>32940</v>
      </c>
      <c r="C32932" s="5">
        <v>0</v>
      </c>
      <c r="D32932" s="5">
        <v>0</v>
      </c>
      <c r="E32932" s="5">
        <v>0</v>
      </c>
      <c r="F32932" s="5">
        <v>0</v>
      </c>
      <c r="G32932" s="5">
        <v>0</v>
      </c>
      <c r="H32932" s="5">
        <v>0</v>
      </c>
      <c r="I32932" s="5">
        <v>0</v>
      </c>
      <c r="J32932" s="5">
        <v>0</v>
      </c>
      <c r="K32932" s="5">
        <v>0</v>
      </c>
    </row>
    <row r="32933" spans="1:11" x14ac:dyDescent="0.25">
      <c r="A32933" s="5">
        <f>32926</f>
      </c>
      <c r="B32933" s="5" t="s">
        <v>32941</v>
      </c>
      <c r="C32933" s="5">
        <v>0</v>
      </c>
      <c r="D32933" s="5">
        <v>0</v>
      </c>
      <c r="E32933" s="5">
        <v>0</v>
      </c>
      <c r="F32933" s="5">
        <v>0</v>
      </c>
      <c r="G32933" s="5">
        <v>0</v>
      </c>
      <c r="H32933" s="5">
        <v>0</v>
      </c>
      <c r="I32933" s="5">
        <v>0</v>
      </c>
      <c r="J32933" s="5">
        <v>0</v>
      </c>
      <c r="K32933" s="5">
        <v>0</v>
      </c>
    </row>
    <row r="32934" spans="1:11" x14ac:dyDescent="0.25">
      <c r="A32934" s="5">
        <f>32927</f>
      </c>
      <c r="B32934" s="5" t="s">
        <v>32942</v>
      </c>
      <c r="C32934" s="5">
        <v>0</v>
      </c>
      <c r="D32934" s="5">
        <v>0</v>
      </c>
      <c r="E32934" s="5">
        <v>0</v>
      </c>
      <c r="F32934" s="5">
        <v>0</v>
      </c>
      <c r="G32934" s="5">
        <v>0</v>
      </c>
      <c r="H32934" s="5">
        <v>0</v>
      </c>
      <c r="I32934" s="5">
        <v>0</v>
      </c>
      <c r="J32934" s="5">
        <v>0</v>
      </c>
      <c r="K32934" s="5">
        <v>0</v>
      </c>
    </row>
    <row r="32935" spans="1:11" x14ac:dyDescent="0.25">
      <c r="A32935" s="5">
        <f>32928</f>
      </c>
      <c r="B32935" s="5" t="s">
        <v>32943</v>
      </c>
      <c r="C32935" s="5">
        <v>0</v>
      </c>
      <c r="D32935" s="5">
        <v>0</v>
      </c>
      <c r="E32935" s="5">
        <v>0</v>
      </c>
      <c r="F32935" s="5">
        <v>0</v>
      </c>
      <c r="G32935" s="5">
        <v>0</v>
      </c>
      <c r="H32935" s="5">
        <v>0</v>
      </c>
      <c r="I32935" s="5">
        <v>0</v>
      </c>
      <c r="J32935" s="5">
        <v>0</v>
      </c>
      <c r="K32935" s="5">
        <v>0</v>
      </c>
    </row>
    <row r="32936" spans="1:11" x14ac:dyDescent="0.25">
      <c r="A32936" s="5">
        <f>32929</f>
      </c>
      <c r="B32936" s="5" t="s">
        <v>32944</v>
      </c>
      <c r="C32936" s="5">
        <v>0</v>
      </c>
      <c r="D32936" s="5">
        <v>0</v>
      </c>
      <c r="E32936" s="5">
        <v>0</v>
      </c>
      <c r="F32936" s="5">
        <v>0</v>
      </c>
      <c r="G32936" s="5">
        <v>0</v>
      </c>
      <c r="H32936" s="5">
        <v>0</v>
      </c>
      <c r="I32936" s="5">
        <v>0</v>
      </c>
      <c r="J32936" s="5">
        <v>0</v>
      </c>
      <c r="K32936" s="5">
        <v>0</v>
      </c>
    </row>
    <row r="32937" spans="1:11" x14ac:dyDescent="0.25">
      <c r="A32937" s="5">
        <f>32930</f>
      </c>
      <c r="B32937" s="5" t="s">
        <v>32945</v>
      </c>
      <c r="C32937" s="5">
        <v>0</v>
      </c>
      <c r="D32937" s="5">
        <v>0</v>
      </c>
      <c r="E32937" s="5">
        <v>0</v>
      </c>
      <c r="F32937" s="5">
        <v>0</v>
      </c>
      <c r="G32937" s="5">
        <v>0</v>
      </c>
      <c r="H32937" s="5">
        <v>0</v>
      </c>
      <c r="I32937" s="5">
        <v>0</v>
      </c>
      <c r="J32937" s="5">
        <v>0</v>
      </c>
      <c r="K32937" s="5">
        <v>0</v>
      </c>
    </row>
    <row r="32938" spans="1:11" x14ac:dyDescent="0.25">
      <c r="A32938" s="5">
        <f>32931</f>
      </c>
      <c r="B32938" s="5" t="s">
        <v>32946</v>
      </c>
      <c r="C32938" s="5">
        <v>0</v>
      </c>
      <c r="D32938" s="5">
        <v>0</v>
      </c>
      <c r="E32938" s="5">
        <v>0</v>
      </c>
      <c r="F32938" s="5">
        <v>0</v>
      </c>
      <c r="G32938" s="5">
        <v>0</v>
      </c>
      <c r="H32938" s="5">
        <v>0</v>
      </c>
      <c r="I32938" s="5">
        <v>0</v>
      </c>
      <c r="J32938" s="5">
        <v>0</v>
      </c>
      <c r="K32938" s="5">
        <v>0</v>
      </c>
    </row>
    <row r="32939" spans="1:11" x14ac:dyDescent="0.25">
      <c r="A32939" s="5">
        <f>32932</f>
      </c>
      <c r="B32939" s="5" t="s">
        <v>32947</v>
      </c>
      <c r="C32939" s="5">
        <v>0</v>
      </c>
      <c r="D32939" s="5">
        <v>0</v>
      </c>
      <c r="E32939" s="5">
        <v>0</v>
      </c>
      <c r="F32939" s="5">
        <v>0</v>
      </c>
      <c r="G32939" s="5">
        <v>0</v>
      </c>
      <c r="H32939" s="5">
        <v>0</v>
      </c>
      <c r="I32939" s="5">
        <v>0</v>
      </c>
      <c r="J32939" s="5">
        <v>0</v>
      </c>
      <c r="K32939" s="5">
        <v>0</v>
      </c>
    </row>
    <row r="32940" spans="1:11" x14ac:dyDescent="0.25">
      <c r="A32940" s="5">
        <f>32933</f>
      </c>
      <c r="B32940" s="5" t="s">
        <v>32948</v>
      </c>
      <c r="C32940" s="5">
        <v>0</v>
      </c>
      <c r="D32940" s="5">
        <v>0</v>
      </c>
      <c r="E32940" s="5">
        <v>0</v>
      </c>
      <c r="F32940" s="5">
        <v>0</v>
      </c>
      <c r="G32940" s="5">
        <v>0</v>
      </c>
      <c r="H32940" s="5">
        <v>0</v>
      </c>
      <c r="I32940" s="5">
        <v>0</v>
      </c>
      <c r="J32940" s="5">
        <v>0</v>
      </c>
      <c r="K32940" s="5">
        <v>0</v>
      </c>
    </row>
    <row r="32941" spans="1:11" x14ac:dyDescent="0.25">
      <c r="A32941" s="5">
        <f>32934</f>
      </c>
      <c r="B32941" s="5" t="s">
        <v>32949</v>
      </c>
      <c r="C32941" s="5">
        <v>0</v>
      </c>
      <c r="D32941" s="5">
        <v>0</v>
      </c>
      <c r="E32941" s="5">
        <v>0</v>
      </c>
      <c r="F32941" s="5">
        <v>0</v>
      </c>
      <c r="G32941" s="5">
        <v>0</v>
      </c>
      <c r="H32941" s="5">
        <v>0</v>
      </c>
      <c r="I32941" s="5">
        <v>0</v>
      </c>
      <c r="J32941" s="5">
        <v>0</v>
      </c>
      <c r="K32941" s="5">
        <v>0</v>
      </c>
    </row>
    <row r="32942" spans="1:11" x14ac:dyDescent="0.25">
      <c r="A32942" s="5">
        <f>32935</f>
      </c>
      <c r="B32942" s="5" t="s">
        <v>32950</v>
      </c>
      <c r="C32942" s="5">
        <v>0</v>
      </c>
      <c r="D32942" s="5">
        <v>0</v>
      </c>
      <c r="E32942" s="5">
        <v>0</v>
      </c>
      <c r="F32942" s="5">
        <v>0</v>
      </c>
      <c r="G32942" s="5">
        <v>0</v>
      </c>
      <c r="H32942" s="5">
        <v>0</v>
      </c>
      <c r="I32942" s="5">
        <v>0</v>
      </c>
      <c r="J32942" s="5">
        <v>0</v>
      </c>
      <c r="K32942" s="5">
        <v>0</v>
      </c>
    </row>
    <row r="32943" spans="1:11" x14ac:dyDescent="0.25">
      <c r="A32943" s="5">
        <f>32936</f>
      </c>
      <c r="B32943" s="5" t="s">
        <v>32951</v>
      </c>
      <c r="C32943" s="5">
        <v>0</v>
      </c>
      <c r="D32943" s="5">
        <v>0</v>
      </c>
      <c r="E32943" s="5">
        <v>0</v>
      </c>
      <c r="F32943" s="5">
        <v>0</v>
      </c>
      <c r="G32943" s="5">
        <v>0</v>
      </c>
      <c r="H32943" s="5">
        <v>0</v>
      </c>
      <c r="I32943" s="5">
        <v>0</v>
      </c>
      <c r="J32943" s="5">
        <v>0</v>
      </c>
      <c r="K32943" s="5">
        <v>0</v>
      </c>
    </row>
    <row r="32944" spans="1:11" x14ac:dyDescent="0.25">
      <c r="A32944" s="5">
        <f>32937</f>
      </c>
      <c r="B32944" s="5" t="s">
        <v>32952</v>
      </c>
      <c r="C32944" s="5">
        <v>0</v>
      </c>
      <c r="D32944" s="5">
        <v>0</v>
      </c>
      <c r="E32944" s="5">
        <v>0</v>
      </c>
      <c r="F32944" s="5">
        <v>0</v>
      </c>
      <c r="G32944" s="5">
        <v>0</v>
      </c>
      <c r="H32944" s="5">
        <v>0</v>
      </c>
      <c r="I32944" s="5">
        <v>0</v>
      </c>
      <c r="J32944" s="5">
        <v>0</v>
      </c>
      <c r="K32944" s="5">
        <v>0</v>
      </c>
    </row>
    <row r="32945" spans="1:11" x14ac:dyDescent="0.25">
      <c r="A32945" s="5">
        <f>32938</f>
      </c>
      <c r="B32945" s="5" t="s">
        <v>32953</v>
      </c>
      <c r="C32945" s="5">
        <v>0</v>
      </c>
      <c r="D32945" s="5">
        <v>0</v>
      </c>
      <c r="E32945" s="5">
        <v>0</v>
      </c>
      <c r="F32945" s="5">
        <v>0</v>
      </c>
      <c r="G32945" s="5">
        <v>0</v>
      </c>
      <c r="H32945" s="5">
        <v>0</v>
      </c>
      <c r="I32945" s="5">
        <v>0</v>
      </c>
      <c r="J32945" s="5">
        <v>0</v>
      </c>
      <c r="K32945" s="5">
        <v>0</v>
      </c>
    </row>
    <row r="32946" spans="1:11" x14ac:dyDescent="0.25">
      <c r="A32946" s="5">
        <f>32939</f>
      </c>
      <c r="B32946" s="5" t="s">
        <v>32954</v>
      </c>
      <c r="C32946" s="5">
        <v>0</v>
      </c>
      <c r="D32946" s="5">
        <v>0</v>
      </c>
      <c r="E32946" s="5">
        <v>0</v>
      </c>
      <c r="F32946" s="5">
        <v>0</v>
      </c>
      <c r="G32946" s="5">
        <v>0</v>
      </c>
      <c r="H32946" s="5">
        <v>0</v>
      </c>
      <c r="I32946" s="5">
        <v>0</v>
      </c>
      <c r="J32946" s="5">
        <v>0</v>
      </c>
      <c r="K32946" s="5">
        <v>0</v>
      </c>
    </row>
    <row r="32947" spans="1:11" x14ac:dyDescent="0.25">
      <c r="A32947" s="5">
        <f>32940</f>
      </c>
      <c r="B32947" s="5" t="s">
        <v>32955</v>
      </c>
      <c r="C32947" s="5">
        <v>0</v>
      </c>
      <c r="D32947" s="5">
        <v>0</v>
      </c>
      <c r="E32947" s="5">
        <v>0</v>
      </c>
      <c r="F32947" s="5">
        <v>0</v>
      </c>
      <c r="G32947" s="5">
        <v>0</v>
      </c>
      <c r="H32947" s="5">
        <v>0</v>
      </c>
      <c r="I32947" s="5">
        <v>0</v>
      </c>
      <c r="J32947" s="5">
        <v>0</v>
      </c>
      <c r="K32947" s="5">
        <v>0</v>
      </c>
    </row>
    <row r="32948" spans="1:11" x14ac:dyDescent="0.25">
      <c r="A32948" s="5">
        <f>32941</f>
      </c>
      <c r="B32948" s="5" t="s">
        <v>32956</v>
      </c>
      <c r="C32948" s="5">
        <v>0</v>
      </c>
      <c r="D32948" s="5">
        <v>0</v>
      </c>
      <c r="E32948" s="5">
        <v>0</v>
      </c>
      <c r="F32948" s="5">
        <v>0</v>
      </c>
      <c r="G32948" s="5">
        <v>0</v>
      </c>
      <c r="H32948" s="5">
        <v>0</v>
      </c>
      <c r="I32948" s="5">
        <v>0</v>
      </c>
      <c r="J32948" s="5">
        <v>0</v>
      </c>
      <c r="K32948" s="5">
        <v>0</v>
      </c>
    </row>
    <row r="32949" spans="1:11" x14ac:dyDescent="0.25">
      <c r="A32949" s="5">
        <f>32942</f>
      </c>
      <c r="B32949" s="5" t="s">
        <v>32957</v>
      </c>
      <c r="C32949" s="5">
        <v>0</v>
      </c>
      <c r="D32949" s="5">
        <v>0</v>
      </c>
      <c r="E32949" s="5">
        <v>0</v>
      </c>
      <c r="F32949" s="5">
        <v>0</v>
      </c>
      <c r="G32949" s="5">
        <v>0</v>
      </c>
      <c r="H32949" s="5">
        <v>0</v>
      </c>
      <c r="I32949" s="5">
        <v>0</v>
      </c>
      <c r="J32949" s="5">
        <v>0</v>
      </c>
      <c r="K32949" s="5">
        <v>0</v>
      </c>
    </row>
    <row r="32950" spans="1:11" x14ac:dyDescent="0.25">
      <c r="A32950" s="5">
        <f>32943</f>
      </c>
      <c r="B32950" s="5" t="s">
        <v>32958</v>
      </c>
      <c r="C32950" s="5">
        <v>0</v>
      </c>
      <c r="D32950" s="5">
        <v>0</v>
      </c>
      <c r="E32950" s="5">
        <v>0</v>
      </c>
      <c r="F32950" s="5">
        <v>0</v>
      </c>
      <c r="G32950" s="5">
        <v>0</v>
      </c>
      <c r="H32950" s="5">
        <v>0</v>
      </c>
      <c r="I32950" s="5">
        <v>0</v>
      </c>
      <c r="J32950" s="5">
        <v>0</v>
      </c>
      <c r="K32950" s="5">
        <v>0</v>
      </c>
    </row>
    <row r="32951" spans="1:11" x14ac:dyDescent="0.25">
      <c r="A32951" s="5">
        <f>32944</f>
      </c>
      <c r="B32951" s="5" t="s">
        <v>32959</v>
      </c>
      <c r="C32951" s="5">
        <v>0</v>
      </c>
      <c r="D32951" s="5">
        <v>0</v>
      </c>
      <c r="E32951" s="5">
        <v>0</v>
      </c>
      <c r="F32951" s="5">
        <v>0</v>
      </c>
      <c r="G32951" s="5">
        <v>0</v>
      </c>
      <c r="H32951" s="5">
        <v>0</v>
      </c>
      <c r="I32951" s="5">
        <v>0</v>
      </c>
      <c r="J32951" s="5">
        <v>0</v>
      </c>
      <c r="K32951" s="5">
        <v>0</v>
      </c>
    </row>
    <row r="32952" spans="1:11" x14ac:dyDescent="0.25">
      <c r="A32952" s="5">
        <f>32945</f>
      </c>
      <c r="B32952" s="5" t="s">
        <v>32960</v>
      </c>
      <c r="C32952" s="5">
        <v>0</v>
      </c>
      <c r="D32952" s="5">
        <v>0</v>
      </c>
      <c r="E32952" s="5">
        <v>0</v>
      </c>
      <c r="F32952" s="5">
        <v>0</v>
      </c>
      <c r="G32952" s="5">
        <v>0</v>
      </c>
      <c r="H32952" s="5">
        <v>0</v>
      </c>
      <c r="I32952" s="5">
        <v>0</v>
      </c>
      <c r="J32952" s="5">
        <v>0</v>
      </c>
      <c r="K32952" s="5">
        <v>0</v>
      </c>
    </row>
    <row r="32953" spans="1:11" x14ac:dyDescent="0.25">
      <c r="A32953" s="5">
        <f>32946</f>
      </c>
      <c r="B32953" s="5" t="s">
        <v>32961</v>
      </c>
      <c r="C32953" s="5">
        <v>0</v>
      </c>
      <c r="D32953" s="5">
        <v>0</v>
      </c>
      <c r="E32953" s="5">
        <v>0</v>
      </c>
      <c r="F32953" s="5">
        <v>0</v>
      </c>
      <c r="G32953" s="5">
        <v>0</v>
      </c>
      <c r="H32953" s="5">
        <v>0</v>
      </c>
      <c r="I32953" s="5">
        <v>0</v>
      </c>
      <c r="J32953" s="5">
        <v>0</v>
      </c>
      <c r="K32953" s="5">
        <v>0</v>
      </c>
    </row>
    <row r="32954" spans="1:11" x14ac:dyDescent="0.25">
      <c r="A32954" s="5">
        <f>32947</f>
      </c>
      <c r="B32954" s="5" t="s">
        <v>32962</v>
      </c>
      <c r="C32954" s="5">
        <v>0</v>
      </c>
      <c r="D32954" s="5">
        <v>0</v>
      </c>
      <c r="E32954" s="5">
        <v>0</v>
      </c>
      <c r="F32954" s="5">
        <v>0</v>
      </c>
      <c r="G32954" s="5">
        <v>0</v>
      </c>
      <c r="H32954" s="5">
        <v>0</v>
      </c>
      <c r="I32954" s="5">
        <v>0</v>
      </c>
      <c r="J32954" s="5">
        <v>0</v>
      </c>
      <c r="K32954" s="5">
        <v>0</v>
      </c>
    </row>
    <row r="32955" spans="1:11" x14ac:dyDescent="0.25">
      <c r="A32955" s="5">
        <f>32948</f>
      </c>
      <c r="B32955" s="5" t="s">
        <v>32963</v>
      </c>
      <c r="C32955" s="5">
        <v>0</v>
      </c>
      <c r="D32955" s="5">
        <v>0</v>
      </c>
      <c r="E32955" s="5">
        <v>0</v>
      </c>
      <c r="F32955" s="5">
        <v>0</v>
      </c>
      <c r="G32955" s="5">
        <v>0</v>
      </c>
      <c r="H32955" s="5">
        <v>0</v>
      </c>
      <c r="I32955" s="5">
        <v>0</v>
      </c>
      <c r="J32955" s="5">
        <v>0</v>
      </c>
      <c r="K32955" s="5">
        <v>0</v>
      </c>
    </row>
    <row r="32956" spans="1:11" x14ac:dyDescent="0.25">
      <c r="A32956" s="5">
        <f>32949</f>
      </c>
      <c r="B32956" s="5" t="s">
        <v>32964</v>
      </c>
      <c r="C32956" s="5">
        <v>0</v>
      </c>
      <c r="D32956" s="5">
        <v>0</v>
      </c>
      <c r="E32956" s="5">
        <v>0</v>
      </c>
      <c r="F32956" s="5">
        <v>0</v>
      </c>
      <c r="G32956" s="5">
        <v>0</v>
      </c>
      <c r="H32956" s="5">
        <v>0</v>
      </c>
      <c r="I32956" s="5">
        <v>0</v>
      </c>
      <c r="J32956" s="5">
        <v>0</v>
      </c>
      <c r="K32956" s="5">
        <v>0</v>
      </c>
    </row>
    <row r="32957" spans="1:11" x14ac:dyDescent="0.25">
      <c r="A32957" s="5">
        <f>32950</f>
      </c>
      <c r="B32957" s="5" t="s">
        <v>32965</v>
      </c>
      <c r="C32957" s="5">
        <v>0</v>
      </c>
      <c r="D32957" s="5">
        <v>0</v>
      </c>
      <c r="E32957" s="5">
        <v>0</v>
      </c>
      <c r="F32957" s="5">
        <v>0</v>
      </c>
      <c r="G32957" s="5">
        <v>0</v>
      </c>
      <c r="H32957" s="5">
        <v>0</v>
      </c>
      <c r="I32957" s="5">
        <v>0</v>
      </c>
      <c r="J32957" s="5">
        <v>0</v>
      </c>
      <c r="K32957" s="5">
        <v>0</v>
      </c>
    </row>
    <row r="32958" spans="1:11" x14ac:dyDescent="0.25">
      <c r="A32958" s="5">
        <f>32951</f>
      </c>
      <c r="B32958" s="5" t="s">
        <v>32966</v>
      </c>
      <c r="C32958" s="5">
        <v>0</v>
      </c>
      <c r="D32958" s="5">
        <v>0</v>
      </c>
      <c r="E32958" s="5">
        <v>0</v>
      </c>
      <c r="F32958" s="5">
        <v>0</v>
      </c>
      <c r="G32958" s="5">
        <v>0</v>
      </c>
      <c r="H32958" s="5">
        <v>0</v>
      </c>
      <c r="I32958" s="5">
        <v>0</v>
      </c>
      <c r="J32958" s="5">
        <v>0</v>
      </c>
      <c r="K32958" s="5">
        <v>0</v>
      </c>
    </row>
    <row r="32959" spans="1:11" x14ac:dyDescent="0.25">
      <c r="A32959" s="5">
        <f>32952</f>
      </c>
      <c r="B32959" s="5" t="s">
        <v>32967</v>
      </c>
      <c r="C32959" s="5">
        <v>0</v>
      </c>
      <c r="D32959" s="5">
        <v>0</v>
      </c>
      <c r="E32959" s="5">
        <v>0</v>
      </c>
      <c r="F32959" s="5">
        <v>0</v>
      </c>
      <c r="G32959" s="5">
        <v>0</v>
      </c>
      <c r="H32959" s="5">
        <v>0</v>
      </c>
      <c r="I32959" s="5">
        <v>0</v>
      </c>
      <c r="J32959" s="5">
        <v>0</v>
      </c>
      <c r="K32959" s="5">
        <v>0</v>
      </c>
    </row>
    <row r="32960" spans="1:11" x14ac:dyDescent="0.25">
      <c r="A32960" s="5">
        <f>32953</f>
      </c>
      <c r="B32960" s="5" t="s">
        <v>32968</v>
      </c>
      <c r="C32960" s="5">
        <v>0</v>
      </c>
      <c r="D32960" s="5">
        <v>0</v>
      </c>
      <c r="E32960" s="5">
        <v>0</v>
      </c>
      <c r="F32960" s="5">
        <v>0</v>
      </c>
      <c r="G32960" s="5">
        <v>0</v>
      </c>
      <c r="H32960" s="5">
        <v>0</v>
      </c>
      <c r="I32960" s="5">
        <v>0</v>
      </c>
      <c r="J32960" s="5">
        <v>0</v>
      </c>
      <c r="K32960" s="5">
        <v>0</v>
      </c>
    </row>
    <row r="32961" spans="1:11" x14ac:dyDescent="0.25">
      <c r="A32961" s="5">
        <f>32954</f>
      </c>
      <c r="B32961" s="5" t="s">
        <v>32969</v>
      </c>
      <c r="C32961" s="5">
        <v>0</v>
      </c>
      <c r="D32961" s="5">
        <v>0</v>
      </c>
      <c r="E32961" s="5">
        <v>0</v>
      </c>
      <c r="F32961" s="5">
        <v>0</v>
      </c>
      <c r="G32961" s="5">
        <v>0</v>
      </c>
      <c r="H32961" s="5">
        <v>0</v>
      </c>
      <c r="I32961" s="5">
        <v>0</v>
      </c>
      <c r="J32961" s="5">
        <v>0</v>
      </c>
      <c r="K32961" s="5">
        <v>0</v>
      </c>
    </row>
    <row r="32962" spans="1:11" x14ac:dyDescent="0.25">
      <c r="A32962" s="5">
        <f>32955</f>
      </c>
      <c r="B32962" s="5" t="s">
        <v>32970</v>
      </c>
      <c r="C32962" s="5">
        <v>0</v>
      </c>
      <c r="D32962" s="5">
        <v>0</v>
      </c>
      <c r="E32962" s="5">
        <v>0</v>
      </c>
      <c r="F32962" s="5">
        <v>0</v>
      </c>
      <c r="G32962" s="5">
        <v>0</v>
      </c>
      <c r="H32962" s="5">
        <v>0</v>
      </c>
      <c r="I32962" s="5">
        <v>0</v>
      </c>
      <c r="J32962" s="5">
        <v>0</v>
      </c>
      <c r="K32962" s="5">
        <v>0</v>
      </c>
    </row>
    <row r="32963" spans="1:11" x14ac:dyDescent="0.25">
      <c r="A32963" s="5">
        <f>32956</f>
      </c>
      <c r="B32963" s="5" t="s">
        <v>32971</v>
      </c>
      <c r="C32963" s="5">
        <v>0</v>
      </c>
      <c r="D32963" s="5">
        <v>0</v>
      </c>
      <c r="E32963" s="5">
        <v>0</v>
      </c>
      <c r="F32963" s="5">
        <v>0</v>
      </c>
      <c r="G32963" s="5">
        <v>0</v>
      </c>
      <c r="H32963" s="5">
        <v>0</v>
      </c>
      <c r="I32963" s="5">
        <v>0</v>
      </c>
      <c r="J32963" s="5">
        <v>0</v>
      </c>
      <c r="K32963" s="5">
        <v>0</v>
      </c>
    </row>
    <row r="32964" spans="1:11" x14ac:dyDescent="0.25">
      <c r="A32964" s="5">
        <f>32957</f>
      </c>
      <c r="B32964" s="5" t="s">
        <v>32972</v>
      </c>
      <c r="C32964" s="5">
        <v>0</v>
      </c>
      <c r="D32964" s="5">
        <v>0</v>
      </c>
      <c r="E32964" s="5">
        <v>0</v>
      </c>
      <c r="F32964" s="5">
        <v>0</v>
      </c>
      <c r="G32964" s="5">
        <v>0</v>
      </c>
      <c r="H32964" s="5">
        <v>0</v>
      </c>
      <c r="I32964" s="5">
        <v>0</v>
      </c>
      <c r="J32964" s="5">
        <v>0</v>
      </c>
      <c r="K32964" s="5">
        <v>0</v>
      </c>
    </row>
    <row r="32965" spans="1:11" x14ac:dyDescent="0.25">
      <c r="A32965" s="5">
        <f>32958</f>
      </c>
      <c r="B32965" s="5" t="s">
        <v>32973</v>
      </c>
      <c r="C32965" s="5">
        <v>0</v>
      </c>
      <c r="D32965" s="5">
        <v>0</v>
      </c>
      <c r="E32965" s="5">
        <v>0</v>
      </c>
      <c r="F32965" s="5">
        <v>0</v>
      </c>
      <c r="G32965" s="5">
        <v>0</v>
      </c>
      <c r="H32965" s="5">
        <v>0</v>
      </c>
      <c r="I32965" s="5">
        <v>0</v>
      </c>
      <c r="J32965" s="5">
        <v>0</v>
      </c>
      <c r="K32965" s="5">
        <v>0</v>
      </c>
    </row>
    <row r="32966" spans="1:11" x14ac:dyDescent="0.25">
      <c r="A32966" s="5">
        <f>32959</f>
      </c>
      <c r="B32966" s="5" t="s">
        <v>32974</v>
      </c>
      <c r="C32966" s="5">
        <v>0</v>
      </c>
      <c r="D32966" s="5">
        <v>0</v>
      </c>
      <c r="E32966" s="5">
        <v>0</v>
      </c>
      <c r="F32966" s="5">
        <v>0</v>
      </c>
      <c r="G32966" s="5">
        <v>0</v>
      </c>
      <c r="H32966" s="5">
        <v>0</v>
      </c>
      <c r="I32966" s="5">
        <v>0</v>
      </c>
      <c r="J32966" s="5">
        <v>0</v>
      </c>
      <c r="K32966" s="5">
        <v>0</v>
      </c>
    </row>
    <row r="32967" spans="1:11" x14ac:dyDescent="0.25">
      <c r="A32967" s="5">
        <f>32960</f>
      </c>
      <c r="B32967" s="5" t="s">
        <v>32975</v>
      </c>
      <c r="C32967" s="5">
        <v>0</v>
      </c>
      <c r="D32967" s="5">
        <v>0</v>
      </c>
      <c r="E32967" s="5">
        <v>0</v>
      </c>
      <c r="F32967" s="5">
        <v>0</v>
      </c>
      <c r="G32967" s="5">
        <v>0</v>
      </c>
      <c r="H32967" s="5">
        <v>0</v>
      </c>
      <c r="I32967" s="5">
        <v>0</v>
      </c>
      <c r="J32967" s="5">
        <v>0</v>
      </c>
      <c r="K32967" s="5">
        <v>0</v>
      </c>
    </row>
    <row r="32968" spans="1:11" x14ac:dyDescent="0.25">
      <c r="A32968" s="5">
        <f>32961</f>
      </c>
      <c r="B32968" s="5" t="s">
        <v>32976</v>
      </c>
      <c r="C32968" s="5">
        <v>0</v>
      </c>
      <c r="D32968" s="5">
        <v>0</v>
      </c>
      <c r="E32968" s="5">
        <v>0</v>
      </c>
      <c r="F32968" s="5">
        <v>0</v>
      </c>
      <c r="G32968" s="5">
        <v>0</v>
      </c>
      <c r="H32968" s="5">
        <v>0</v>
      </c>
      <c r="I32968" s="5">
        <v>0</v>
      </c>
      <c r="J32968" s="5">
        <v>0</v>
      </c>
      <c r="K32968" s="5">
        <v>0</v>
      </c>
    </row>
    <row r="32969" spans="1:11" x14ac:dyDescent="0.25">
      <c r="A32969" s="5">
        <f>32962</f>
      </c>
      <c r="B32969" s="5" t="s">
        <v>32977</v>
      </c>
      <c r="C32969" s="5">
        <v>0</v>
      </c>
      <c r="D32969" s="5">
        <v>0</v>
      </c>
      <c r="E32969" s="5">
        <v>0</v>
      </c>
      <c r="F32969" s="5">
        <v>0</v>
      </c>
      <c r="G32969" s="5">
        <v>0</v>
      </c>
      <c r="H32969" s="5">
        <v>0</v>
      </c>
      <c r="I32969" s="5">
        <v>0</v>
      </c>
      <c r="J32969" s="5">
        <v>0</v>
      </c>
      <c r="K32969" s="5">
        <v>0</v>
      </c>
    </row>
    <row r="32970" spans="1:11" x14ac:dyDescent="0.25">
      <c r="A32970" s="5">
        <f>32963</f>
      </c>
      <c r="B32970" s="5" t="s">
        <v>32978</v>
      </c>
      <c r="C32970" s="5">
        <v>0</v>
      </c>
      <c r="D32970" s="5">
        <v>0</v>
      </c>
      <c r="E32970" s="5">
        <v>0</v>
      </c>
      <c r="F32970" s="5">
        <v>0</v>
      </c>
      <c r="G32970" s="5">
        <v>0</v>
      </c>
      <c r="H32970" s="5">
        <v>0</v>
      </c>
      <c r="I32970" s="5">
        <v>0</v>
      </c>
      <c r="J32970" s="5">
        <v>0</v>
      </c>
      <c r="K32970" s="5">
        <v>0</v>
      </c>
    </row>
    <row r="32971" spans="1:11" x14ac:dyDescent="0.25">
      <c r="A32971" s="5">
        <f>32964</f>
      </c>
      <c r="B32971" s="5" t="s">
        <v>32979</v>
      </c>
      <c r="C32971" s="5">
        <v>0</v>
      </c>
      <c r="D32971" s="5">
        <v>0</v>
      </c>
      <c r="E32971" s="5">
        <v>0</v>
      </c>
      <c r="F32971" s="5">
        <v>0</v>
      </c>
      <c r="G32971" s="5">
        <v>0</v>
      </c>
      <c r="H32971" s="5">
        <v>0</v>
      </c>
      <c r="I32971" s="5">
        <v>0</v>
      </c>
      <c r="J32971" s="5">
        <v>0</v>
      </c>
      <c r="K32971" s="5">
        <v>0</v>
      </c>
    </row>
    <row r="32972" spans="1:11" x14ac:dyDescent="0.25">
      <c r="A32972" s="5">
        <f>32965</f>
      </c>
      <c r="B32972" s="5" t="s">
        <v>32980</v>
      </c>
      <c r="C32972" s="5">
        <v>0</v>
      </c>
      <c r="D32972" s="5">
        <v>0</v>
      </c>
      <c r="E32972" s="5">
        <v>0</v>
      </c>
      <c r="F32972" s="5">
        <v>0</v>
      </c>
      <c r="G32972" s="5">
        <v>0</v>
      </c>
      <c r="H32972" s="5">
        <v>0</v>
      </c>
      <c r="I32972" s="5">
        <v>0</v>
      </c>
      <c r="J32972" s="5">
        <v>0</v>
      </c>
      <c r="K32972" s="5">
        <v>0</v>
      </c>
    </row>
    <row r="32973" spans="1:11" x14ac:dyDescent="0.25">
      <c r="A32973" s="5">
        <f>32966</f>
      </c>
      <c r="B32973" s="5" t="s">
        <v>32981</v>
      </c>
      <c r="C32973" s="5">
        <v>0</v>
      </c>
      <c r="D32973" s="5">
        <v>0</v>
      </c>
      <c r="E32973" s="5">
        <v>0</v>
      </c>
      <c r="F32973" s="5">
        <v>0</v>
      </c>
      <c r="G32973" s="5">
        <v>0</v>
      </c>
      <c r="H32973" s="5">
        <v>0</v>
      </c>
      <c r="I32973" s="5">
        <v>0</v>
      </c>
      <c r="J32973" s="5">
        <v>0</v>
      </c>
      <c r="K32973" s="5">
        <v>0</v>
      </c>
    </row>
    <row r="32974" spans="1:11" x14ac:dyDescent="0.25">
      <c r="A32974" s="5">
        <f>32967</f>
      </c>
      <c r="B32974" s="5" t="s">
        <v>32982</v>
      </c>
      <c r="C32974" s="5">
        <v>0</v>
      </c>
      <c r="D32974" s="5">
        <v>0</v>
      </c>
      <c r="E32974" s="5">
        <v>0</v>
      </c>
      <c r="F32974" s="5">
        <v>0</v>
      </c>
      <c r="G32974" s="5">
        <v>0</v>
      </c>
      <c r="H32974" s="5">
        <v>0</v>
      </c>
      <c r="I32974" s="5">
        <v>0</v>
      </c>
      <c r="J32974" s="5">
        <v>0</v>
      </c>
      <c r="K32974" s="5">
        <v>0</v>
      </c>
    </row>
    <row r="32975" spans="1:11" x14ac:dyDescent="0.25">
      <c r="A32975" s="5">
        <f>32968</f>
      </c>
      <c r="B32975" s="5" t="s">
        <v>32983</v>
      </c>
      <c r="C32975" s="5">
        <v>0</v>
      </c>
      <c r="D32975" s="5">
        <v>0</v>
      </c>
      <c r="E32975" s="5">
        <v>0</v>
      </c>
      <c r="F32975" s="5">
        <v>0</v>
      </c>
      <c r="G32975" s="5">
        <v>0</v>
      </c>
      <c r="H32975" s="5">
        <v>0</v>
      </c>
      <c r="I32975" s="5">
        <v>0</v>
      </c>
      <c r="J32975" s="5">
        <v>0</v>
      </c>
      <c r="K32975" s="5">
        <v>0</v>
      </c>
    </row>
    <row r="32976" spans="1:11" x14ac:dyDescent="0.25">
      <c r="A32976" s="5">
        <f>32969</f>
      </c>
      <c r="B32976" s="5" t="s">
        <v>32984</v>
      </c>
      <c r="C32976" s="5">
        <v>0</v>
      </c>
      <c r="D32976" s="5">
        <v>0</v>
      </c>
      <c r="E32976" s="5">
        <v>0</v>
      </c>
      <c r="F32976" s="5">
        <v>0</v>
      </c>
      <c r="G32976" s="5">
        <v>0</v>
      </c>
      <c r="H32976" s="5">
        <v>0</v>
      </c>
      <c r="I32976" s="5">
        <v>0</v>
      </c>
      <c r="J32976" s="5">
        <v>0</v>
      </c>
      <c r="K32976" s="5">
        <v>0</v>
      </c>
    </row>
    <row r="32977" spans="1:11" x14ac:dyDescent="0.25">
      <c r="A32977" s="5">
        <f>32970</f>
      </c>
      <c r="B32977" s="5" t="s">
        <v>32985</v>
      </c>
      <c r="C32977" s="5">
        <v>0</v>
      </c>
      <c r="D32977" s="5">
        <v>0</v>
      </c>
      <c r="E32977" s="5">
        <v>0</v>
      </c>
      <c r="F32977" s="5">
        <v>0</v>
      </c>
      <c r="G32977" s="5">
        <v>0</v>
      </c>
      <c r="H32977" s="5">
        <v>0</v>
      </c>
      <c r="I32977" s="5">
        <v>0</v>
      </c>
      <c r="J32977" s="5">
        <v>0</v>
      </c>
      <c r="K32977" s="5">
        <v>0</v>
      </c>
    </row>
    <row r="32978" spans="1:11" x14ac:dyDescent="0.25">
      <c r="A32978" s="5">
        <f>32971</f>
      </c>
      <c r="B32978" s="5" t="s">
        <v>32986</v>
      </c>
      <c r="C32978" s="5">
        <v>0</v>
      </c>
      <c r="D32978" s="5">
        <v>0</v>
      </c>
      <c r="E32978" s="5">
        <v>0</v>
      </c>
      <c r="F32978" s="5">
        <v>0</v>
      </c>
      <c r="G32978" s="5">
        <v>0</v>
      </c>
      <c r="H32978" s="5">
        <v>0</v>
      </c>
      <c r="I32978" s="5">
        <v>0</v>
      </c>
      <c r="J32978" s="5">
        <v>0</v>
      </c>
      <c r="K32978" s="5">
        <v>0</v>
      </c>
    </row>
    <row r="32979" spans="1:11" x14ac:dyDescent="0.25">
      <c r="A32979" s="5">
        <f>32972</f>
      </c>
      <c r="B32979" s="5" t="s">
        <v>32987</v>
      </c>
      <c r="C32979" s="5">
        <v>0</v>
      </c>
      <c r="D32979" s="5">
        <v>0</v>
      </c>
      <c r="E32979" s="5">
        <v>0</v>
      </c>
      <c r="F32979" s="5">
        <v>0</v>
      </c>
      <c r="G32979" s="5">
        <v>0</v>
      </c>
      <c r="H32979" s="5">
        <v>0</v>
      </c>
      <c r="I32979" s="5">
        <v>0</v>
      </c>
      <c r="J32979" s="5">
        <v>0</v>
      </c>
      <c r="K32979" s="5">
        <v>0</v>
      </c>
    </row>
    <row r="32980" spans="1:11" x14ac:dyDescent="0.25">
      <c r="A32980" s="5">
        <f>32973</f>
      </c>
      <c r="B32980" s="5" t="s">
        <v>32988</v>
      </c>
      <c r="C32980" s="5">
        <v>0</v>
      </c>
      <c r="D32980" s="5">
        <v>0</v>
      </c>
      <c r="E32980" s="5">
        <v>0</v>
      </c>
      <c r="F32980" s="5">
        <v>0</v>
      </c>
      <c r="G32980" s="5">
        <v>0</v>
      </c>
      <c r="H32980" s="5">
        <v>0</v>
      </c>
      <c r="I32980" s="5">
        <v>0</v>
      </c>
      <c r="J32980" s="5">
        <v>0</v>
      </c>
      <c r="K32980" s="5">
        <v>0</v>
      </c>
    </row>
    <row r="32981" spans="1:11" x14ac:dyDescent="0.25">
      <c r="A32981" s="5">
        <f>32974</f>
      </c>
      <c r="B32981" s="5" t="s">
        <v>32989</v>
      </c>
      <c r="C32981" s="5">
        <v>0</v>
      </c>
      <c r="D32981" s="5">
        <v>0</v>
      </c>
      <c r="E32981" s="5">
        <v>0</v>
      </c>
      <c r="F32981" s="5">
        <v>0</v>
      </c>
      <c r="G32981" s="5">
        <v>0</v>
      </c>
      <c r="H32981" s="5">
        <v>0</v>
      </c>
      <c r="I32981" s="5">
        <v>0</v>
      </c>
      <c r="J32981" s="5">
        <v>0</v>
      </c>
      <c r="K32981" s="5">
        <v>0</v>
      </c>
    </row>
    <row r="32982" spans="1:11" x14ac:dyDescent="0.25">
      <c r="A32982" s="5">
        <f>32975</f>
      </c>
      <c r="B32982" s="5" t="s">
        <v>32990</v>
      </c>
      <c r="C32982" s="5">
        <v>0</v>
      </c>
      <c r="D32982" s="5">
        <v>0</v>
      </c>
      <c r="E32982" s="5">
        <v>0</v>
      </c>
      <c r="F32982" s="5">
        <v>0</v>
      </c>
      <c r="G32982" s="5">
        <v>0</v>
      </c>
      <c r="H32982" s="5">
        <v>0</v>
      </c>
      <c r="I32982" s="5">
        <v>0</v>
      </c>
      <c r="J32982" s="5">
        <v>0</v>
      </c>
      <c r="K32982" s="5">
        <v>0</v>
      </c>
    </row>
    <row r="32983" spans="1:11" x14ac:dyDescent="0.25">
      <c r="A32983" s="5">
        <f>32976</f>
      </c>
      <c r="B32983" s="5" t="s">
        <v>32991</v>
      </c>
      <c r="C32983" s="5">
        <v>0</v>
      </c>
      <c r="D32983" s="5">
        <v>0</v>
      </c>
      <c r="E32983" s="5">
        <v>0</v>
      </c>
      <c r="F32983" s="5">
        <v>0</v>
      </c>
      <c r="G32983" s="5">
        <v>0</v>
      </c>
      <c r="H32983" s="5">
        <v>0</v>
      </c>
      <c r="I32983" s="5">
        <v>0</v>
      </c>
      <c r="J32983" s="5">
        <v>0</v>
      </c>
      <c r="K32983" s="5">
        <v>0</v>
      </c>
    </row>
    <row r="32984" spans="1:11" x14ac:dyDescent="0.25">
      <c r="A32984" s="5">
        <f>32977</f>
      </c>
      <c r="B32984" s="5" t="s">
        <v>32992</v>
      </c>
      <c r="C32984" s="5">
        <v>0</v>
      </c>
      <c r="D32984" s="5">
        <v>0</v>
      </c>
      <c r="E32984" s="5">
        <v>0</v>
      </c>
      <c r="F32984" s="5">
        <v>0</v>
      </c>
      <c r="G32984" s="5">
        <v>0</v>
      </c>
      <c r="H32984" s="5">
        <v>0</v>
      </c>
      <c r="I32984" s="5">
        <v>0</v>
      </c>
      <c r="J32984" s="5">
        <v>0</v>
      </c>
      <c r="K32984" s="5">
        <v>0</v>
      </c>
    </row>
    <row r="32985" spans="1:11" x14ac:dyDescent="0.25">
      <c r="A32985" s="5">
        <f>32978</f>
      </c>
      <c r="B32985" s="5" t="s">
        <v>32993</v>
      </c>
      <c r="C32985" s="5">
        <v>0</v>
      </c>
      <c r="D32985" s="5">
        <v>0</v>
      </c>
      <c r="E32985" s="5">
        <v>0</v>
      </c>
      <c r="F32985" s="5">
        <v>0</v>
      </c>
      <c r="G32985" s="5">
        <v>0</v>
      </c>
      <c r="H32985" s="5">
        <v>0</v>
      </c>
      <c r="I32985" s="5">
        <v>0</v>
      </c>
      <c r="J32985" s="5">
        <v>0</v>
      </c>
      <c r="K32985" s="5">
        <v>0</v>
      </c>
    </row>
    <row r="32986" spans="1:11" x14ac:dyDescent="0.25">
      <c r="A32986" s="5">
        <f>32979</f>
      </c>
      <c r="B32986" s="5" t="s">
        <v>32994</v>
      </c>
      <c r="C32986" s="5">
        <v>0</v>
      </c>
      <c r="D32986" s="5">
        <v>0</v>
      </c>
      <c r="E32986" s="5">
        <v>0</v>
      </c>
      <c r="F32986" s="5">
        <v>0</v>
      </c>
      <c r="G32986" s="5">
        <v>0</v>
      </c>
      <c r="H32986" s="5">
        <v>0</v>
      </c>
      <c r="I32986" s="5">
        <v>0</v>
      </c>
      <c r="J32986" s="5">
        <v>0</v>
      </c>
      <c r="K32986" s="5">
        <v>0</v>
      </c>
    </row>
    <row r="32987" spans="1:11" x14ac:dyDescent="0.25">
      <c r="A32987" s="5">
        <f>32980</f>
      </c>
      <c r="B32987" s="5" t="s">
        <v>32995</v>
      </c>
      <c r="C32987" s="5">
        <v>0</v>
      </c>
      <c r="D32987" s="5">
        <v>0</v>
      </c>
      <c r="E32987" s="5">
        <v>0</v>
      </c>
      <c r="F32987" s="5">
        <v>0</v>
      </c>
      <c r="G32987" s="5">
        <v>0</v>
      </c>
      <c r="H32987" s="5">
        <v>0</v>
      </c>
      <c r="I32987" s="5">
        <v>0</v>
      </c>
      <c r="J32987" s="5">
        <v>0</v>
      </c>
      <c r="K32987" s="5">
        <v>0</v>
      </c>
    </row>
    <row r="32988" spans="1:11" x14ac:dyDescent="0.25">
      <c r="A32988" s="5">
        <f>32981</f>
      </c>
      <c r="B32988" s="5" t="s">
        <v>32996</v>
      </c>
      <c r="C32988" s="5">
        <v>0</v>
      </c>
      <c r="D32988" s="5">
        <v>0</v>
      </c>
      <c r="E32988" s="5">
        <v>0</v>
      </c>
      <c r="F32988" s="5">
        <v>0</v>
      </c>
      <c r="G32988" s="5">
        <v>0</v>
      </c>
      <c r="H32988" s="5">
        <v>0</v>
      </c>
      <c r="I32988" s="5">
        <v>0</v>
      </c>
      <c r="J32988" s="5">
        <v>0</v>
      </c>
      <c r="K32988" s="5">
        <v>0</v>
      </c>
    </row>
    <row r="32989" spans="1:11" x14ac:dyDescent="0.25">
      <c r="A32989" s="5">
        <f>32982</f>
      </c>
      <c r="B32989" s="5" t="s">
        <v>32997</v>
      </c>
      <c r="C32989" s="5">
        <v>0</v>
      </c>
      <c r="D32989" s="5">
        <v>0</v>
      </c>
      <c r="E32989" s="5">
        <v>0</v>
      </c>
      <c r="F32989" s="5">
        <v>0</v>
      </c>
      <c r="G32989" s="5">
        <v>0</v>
      </c>
      <c r="H32989" s="5">
        <v>0</v>
      </c>
      <c r="I32989" s="5">
        <v>0</v>
      </c>
      <c r="J32989" s="5">
        <v>0</v>
      </c>
      <c r="K32989" s="5">
        <v>0</v>
      </c>
    </row>
    <row r="32990" spans="1:11" x14ac:dyDescent="0.25">
      <c r="A32990" s="5">
        <f>32983</f>
      </c>
      <c r="B32990" s="5" t="s">
        <v>32998</v>
      </c>
      <c r="C32990" s="5">
        <v>0</v>
      </c>
      <c r="D32990" s="5">
        <v>0</v>
      </c>
      <c r="E32990" s="5">
        <v>0</v>
      </c>
      <c r="F32990" s="5">
        <v>0</v>
      </c>
      <c r="G32990" s="5">
        <v>0</v>
      </c>
      <c r="H32990" s="5">
        <v>0</v>
      </c>
      <c r="I32990" s="5">
        <v>0</v>
      </c>
      <c r="J32990" s="5">
        <v>0</v>
      </c>
      <c r="K32990" s="5">
        <v>0</v>
      </c>
    </row>
    <row r="32991" spans="1:11" x14ac:dyDescent="0.25">
      <c r="A32991" s="5">
        <f>32984</f>
      </c>
      <c r="B32991" s="5" t="s">
        <v>32999</v>
      </c>
      <c r="C32991" s="5">
        <v>0</v>
      </c>
      <c r="D32991" s="5">
        <v>0</v>
      </c>
      <c r="E32991" s="5">
        <v>0</v>
      </c>
      <c r="F32991" s="5">
        <v>0</v>
      </c>
      <c r="G32991" s="5">
        <v>0</v>
      </c>
      <c r="H32991" s="5">
        <v>0</v>
      </c>
      <c r="I32991" s="5">
        <v>0</v>
      </c>
      <c r="J32991" s="5">
        <v>0</v>
      </c>
      <c r="K32991" s="5">
        <v>0</v>
      </c>
    </row>
    <row r="32992" spans="1:11" x14ac:dyDescent="0.25">
      <c r="A32992" s="5">
        <f>32985</f>
      </c>
      <c r="B32992" s="5" t="s">
        <v>33000</v>
      </c>
      <c r="C32992" s="5">
        <v>0</v>
      </c>
      <c r="D32992" s="5">
        <v>0</v>
      </c>
      <c r="E32992" s="5">
        <v>0</v>
      </c>
      <c r="F32992" s="5">
        <v>0</v>
      </c>
      <c r="G32992" s="5">
        <v>0</v>
      </c>
      <c r="H32992" s="5">
        <v>0</v>
      </c>
      <c r="I32992" s="5">
        <v>0</v>
      </c>
      <c r="J32992" s="5">
        <v>0</v>
      </c>
      <c r="K32992" s="5">
        <v>0</v>
      </c>
    </row>
    <row r="32993" spans="1:11" x14ac:dyDescent="0.25">
      <c r="A32993" s="5">
        <f>32986</f>
      </c>
      <c r="B32993" s="5" t="s">
        <v>33001</v>
      </c>
      <c r="C32993" s="5">
        <v>0</v>
      </c>
      <c r="D32993" s="5">
        <v>0</v>
      </c>
      <c r="E32993" s="5">
        <v>0</v>
      </c>
      <c r="F32993" s="5">
        <v>0</v>
      </c>
      <c r="G32993" s="5">
        <v>0</v>
      </c>
      <c r="H32993" s="5">
        <v>0</v>
      </c>
      <c r="I32993" s="5">
        <v>0</v>
      </c>
      <c r="J32993" s="5">
        <v>0</v>
      </c>
      <c r="K32993" s="5">
        <v>0</v>
      </c>
    </row>
    <row r="32994" spans="1:11" x14ac:dyDescent="0.25">
      <c r="A32994" s="5">
        <f>32987</f>
      </c>
      <c r="B32994" s="5" t="s">
        <v>33002</v>
      </c>
      <c r="C32994" s="5">
        <v>0</v>
      </c>
      <c r="D32994" s="5">
        <v>0</v>
      </c>
      <c r="E32994" s="5">
        <v>0</v>
      </c>
      <c r="F32994" s="5">
        <v>0</v>
      </c>
      <c r="G32994" s="5">
        <v>0</v>
      </c>
      <c r="H32994" s="5">
        <v>0</v>
      </c>
      <c r="I32994" s="5">
        <v>0</v>
      </c>
      <c r="J32994" s="5">
        <v>0</v>
      </c>
      <c r="K32994" s="5">
        <v>0</v>
      </c>
    </row>
    <row r="32995" spans="1:11" x14ac:dyDescent="0.25">
      <c r="A32995" s="5">
        <f>32988</f>
      </c>
      <c r="B32995" s="5" t="s">
        <v>33003</v>
      </c>
      <c r="C32995" s="5">
        <v>0</v>
      </c>
      <c r="D32995" s="5">
        <v>0</v>
      </c>
      <c r="E32995" s="5">
        <v>0</v>
      </c>
      <c r="F32995" s="5">
        <v>0</v>
      </c>
      <c r="G32995" s="5">
        <v>0</v>
      </c>
      <c r="H32995" s="5">
        <v>0</v>
      </c>
      <c r="I32995" s="5">
        <v>0</v>
      </c>
      <c r="J32995" s="5">
        <v>0</v>
      </c>
      <c r="K32995" s="5">
        <v>0</v>
      </c>
    </row>
    <row r="32996" spans="1:11" x14ac:dyDescent="0.25">
      <c r="A32996" s="5">
        <f>32989</f>
      </c>
      <c r="B32996" s="5" t="s">
        <v>33004</v>
      </c>
      <c r="C32996" s="5">
        <v>0</v>
      </c>
      <c r="D32996" s="5">
        <v>0</v>
      </c>
      <c r="E32996" s="5">
        <v>0</v>
      </c>
      <c r="F32996" s="5">
        <v>0</v>
      </c>
      <c r="G32996" s="5">
        <v>0</v>
      </c>
      <c r="H32996" s="5">
        <v>0</v>
      </c>
      <c r="I32996" s="5">
        <v>0</v>
      </c>
      <c r="J32996" s="5">
        <v>0</v>
      </c>
      <c r="K32996" s="5">
        <v>0</v>
      </c>
    </row>
    <row r="32997" spans="1:11" x14ac:dyDescent="0.25">
      <c r="A32997" s="5">
        <f>32990</f>
      </c>
      <c r="B32997" s="5" t="s">
        <v>33005</v>
      </c>
      <c r="C32997" s="5">
        <v>0</v>
      </c>
      <c r="D32997" s="5">
        <v>0</v>
      </c>
      <c r="E32997" s="5">
        <v>0</v>
      </c>
      <c r="F32997" s="5">
        <v>0</v>
      </c>
      <c r="G32997" s="5">
        <v>0</v>
      </c>
      <c r="H32997" s="5">
        <v>0</v>
      </c>
      <c r="I32997" s="5">
        <v>0</v>
      </c>
      <c r="J32997" s="5">
        <v>0</v>
      </c>
      <c r="K32997" s="5">
        <v>0</v>
      </c>
    </row>
    <row r="32998" spans="1:11" x14ac:dyDescent="0.25">
      <c r="A32998" s="5">
        <f>32991</f>
      </c>
      <c r="B32998" s="5" t="s">
        <v>33006</v>
      </c>
      <c r="C32998" s="5">
        <v>0</v>
      </c>
      <c r="D32998" s="5">
        <v>0</v>
      </c>
      <c r="E32998" s="5">
        <v>0</v>
      </c>
      <c r="F32998" s="5">
        <v>0</v>
      </c>
      <c r="G32998" s="5">
        <v>0</v>
      </c>
      <c r="H32998" s="5">
        <v>0</v>
      </c>
      <c r="I32998" s="5">
        <v>0</v>
      </c>
      <c r="J32998" s="5">
        <v>0</v>
      </c>
      <c r="K32998" s="5">
        <v>0</v>
      </c>
    </row>
    <row r="32999" spans="1:11" x14ac:dyDescent="0.25">
      <c r="A32999" s="5">
        <f>32992</f>
      </c>
      <c r="B32999" s="5" t="s">
        <v>33007</v>
      </c>
      <c r="C32999" s="5">
        <v>0</v>
      </c>
      <c r="D32999" s="5">
        <v>0</v>
      </c>
      <c r="E32999" s="5">
        <v>0</v>
      </c>
      <c r="F32999" s="5">
        <v>0</v>
      </c>
      <c r="G32999" s="5">
        <v>0</v>
      </c>
      <c r="H32999" s="5">
        <v>0</v>
      </c>
      <c r="I32999" s="5">
        <v>0</v>
      </c>
      <c r="J32999" s="5">
        <v>0</v>
      </c>
      <c r="K32999" s="5">
        <v>0</v>
      </c>
    </row>
    <row r="33000" spans="1:11" x14ac:dyDescent="0.25">
      <c r="A33000" s="5">
        <f>32993</f>
      </c>
      <c r="B33000" s="5" t="s">
        <v>33008</v>
      </c>
      <c r="C33000" s="5">
        <v>0</v>
      </c>
      <c r="D33000" s="5">
        <v>0</v>
      </c>
      <c r="E33000" s="5">
        <v>0</v>
      </c>
      <c r="F33000" s="5">
        <v>0</v>
      </c>
      <c r="G33000" s="5">
        <v>0</v>
      </c>
      <c r="H33000" s="5">
        <v>0</v>
      </c>
      <c r="I33000" s="5">
        <v>0</v>
      </c>
      <c r="J33000" s="5">
        <v>0</v>
      </c>
      <c r="K33000" s="5">
        <v>0</v>
      </c>
    </row>
    <row r="33001" spans="1:11" x14ac:dyDescent="0.25">
      <c r="A33001" s="5">
        <f>32994</f>
      </c>
      <c r="B33001" s="5" t="s">
        <v>33009</v>
      </c>
      <c r="C33001" s="5">
        <v>0</v>
      </c>
      <c r="D33001" s="5">
        <v>0</v>
      </c>
      <c r="E33001" s="5">
        <v>0</v>
      </c>
      <c r="F33001" s="5">
        <v>0</v>
      </c>
      <c r="G33001" s="5">
        <v>0</v>
      </c>
      <c r="H33001" s="5">
        <v>0</v>
      </c>
      <c r="I33001" s="5">
        <v>0</v>
      </c>
      <c r="J33001" s="5">
        <v>0</v>
      </c>
      <c r="K33001" s="5">
        <v>0</v>
      </c>
    </row>
    <row r="33002" spans="1:11" x14ac:dyDescent="0.25">
      <c r="A33002" s="5">
        <f>32995</f>
      </c>
      <c r="B33002" s="5" t="s">
        <v>33010</v>
      </c>
      <c r="C33002" s="5">
        <v>0</v>
      </c>
      <c r="D33002" s="5">
        <v>0</v>
      </c>
      <c r="E33002" s="5">
        <v>0</v>
      </c>
      <c r="F33002" s="5">
        <v>0</v>
      </c>
      <c r="G33002" s="5">
        <v>0</v>
      </c>
      <c r="H33002" s="5">
        <v>0</v>
      </c>
      <c r="I33002" s="5">
        <v>0</v>
      </c>
      <c r="J33002" s="5">
        <v>0</v>
      </c>
      <c r="K33002" s="5">
        <v>0</v>
      </c>
    </row>
    <row r="33003" spans="1:11" x14ac:dyDescent="0.25">
      <c r="A33003" s="5">
        <f>32996</f>
      </c>
      <c r="B33003" s="5" t="s">
        <v>33011</v>
      </c>
      <c r="C33003" s="5">
        <v>0</v>
      </c>
      <c r="D33003" s="5">
        <v>0</v>
      </c>
      <c r="E33003" s="5">
        <v>0</v>
      </c>
      <c r="F33003" s="5">
        <v>0</v>
      </c>
      <c r="G33003" s="5">
        <v>0</v>
      </c>
      <c r="H33003" s="5">
        <v>0</v>
      </c>
      <c r="I33003" s="5">
        <v>0</v>
      </c>
      <c r="J33003" s="5">
        <v>0</v>
      </c>
      <c r="K33003" s="5">
        <v>0</v>
      </c>
    </row>
    <row r="33004" spans="1:11" x14ac:dyDescent="0.25">
      <c r="A33004" s="5">
        <f>32997</f>
      </c>
      <c r="B33004" s="5" t="s">
        <v>33012</v>
      </c>
      <c r="C33004" s="5">
        <v>0</v>
      </c>
      <c r="D33004" s="5">
        <v>0</v>
      </c>
      <c r="E33004" s="5">
        <v>0</v>
      </c>
      <c r="F33004" s="5">
        <v>0</v>
      </c>
      <c r="G33004" s="5">
        <v>0</v>
      </c>
      <c r="H33004" s="5">
        <v>0</v>
      </c>
      <c r="I33004" s="5">
        <v>0</v>
      </c>
      <c r="J33004" s="5">
        <v>0</v>
      </c>
      <c r="K33004" s="5">
        <v>0</v>
      </c>
    </row>
    <row r="33005" spans="1:11" x14ac:dyDescent="0.25">
      <c r="A33005" s="5">
        <f>32998</f>
      </c>
      <c r="B33005" s="5" t="s">
        <v>33013</v>
      </c>
      <c r="C33005" s="5">
        <v>0</v>
      </c>
      <c r="D33005" s="5">
        <v>0</v>
      </c>
      <c r="E33005" s="5">
        <v>0</v>
      </c>
      <c r="F33005" s="5">
        <v>0</v>
      </c>
      <c r="G33005" s="5">
        <v>0</v>
      </c>
      <c r="H33005" s="5">
        <v>0</v>
      </c>
      <c r="I33005" s="5">
        <v>0</v>
      </c>
      <c r="J33005" s="5">
        <v>0</v>
      </c>
      <c r="K33005" s="5">
        <v>0</v>
      </c>
    </row>
    <row r="33006" spans="1:11" x14ac:dyDescent="0.25">
      <c r="A33006" s="5">
        <f>32999</f>
      </c>
      <c r="B33006" s="5" t="s">
        <v>33014</v>
      </c>
      <c r="C33006" s="5">
        <v>0</v>
      </c>
      <c r="D33006" s="5">
        <v>0</v>
      </c>
      <c r="E33006" s="5">
        <v>0</v>
      </c>
      <c r="F33006" s="5">
        <v>0</v>
      </c>
      <c r="G33006" s="5">
        <v>0</v>
      </c>
      <c r="H33006" s="5">
        <v>0</v>
      </c>
      <c r="I33006" s="5">
        <v>0</v>
      </c>
      <c r="J33006" s="5">
        <v>0</v>
      </c>
      <c r="K33006" s="5">
        <v>0</v>
      </c>
    </row>
    <row r="33007" spans="1:11" x14ac:dyDescent="0.25">
      <c r="A33007" s="5">
        <f>33000</f>
      </c>
      <c r="B33007" s="5" t="s">
        <v>33015</v>
      </c>
      <c r="C33007" s="5">
        <v>0</v>
      </c>
      <c r="D33007" s="5">
        <v>0</v>
      </c>
      <c r="E33007" s="5">
        <v>0</v>
      </c>
      <c r="F33007" s="5">
        <v>0</v>
      </c>
      <c r="G33007" s="5">
        <v>0</v>
      </c>
      <c r="H33007" s="5">
        <v>0</v>
      </c>
      <c r="I33007" s="5">
        <v>0</v>
      </c>
      <c r="J33007" s="5">
        <v>0</v>
      </c>
      <c r="K33007" s="5">
        <v>0</v>
      </c>
    </row>
    <row r="33008" spans="1:11" x14ac:dyDescent="0.25">
      <c r="A33008" s="5">
        <f>33001</f>
      </c>
      <c r="B33008" s="5" t="s">
        <v>33016</v>
      </c>
      <c r="C33008" s="5">
        <v>0</v>
      </c>
      <c r="D33008" s="5">
        <v>0</v>
      </c>
      <c r="E33008" s="5">
        <v>0</v>
      </c>
      <c r="F33008" s="5">
        <v>0</v>
      </c>
      <c r="G33008" s="5">
        <v>0</v>
      </c>
      <c r="H33008" s="5">
        <v>0</v>
      </c>
      <c r="I33008" s="5">
        <v>0</v>
      </c>
      <c r="J33008" s="5">
        <v>0</v>
      </c>
      <c r="K33008" s="5">
        <v>0</v>
      </c>
    </row>
    <row r="33009" spans="1:11" x14ac:dyDescent="0.25">
      <c r="A33009" s="5">
        <f>33002</f>
      </c>
      <c r="B33009" s="5" t="s">
        <v>33017</v>
      </c>
      <c r="C33009" s="5">
        <v>0</v>
      </c>
      <c r="D33009" s="5">
        <v>0</v>
      </c>
      <c r="E33009" s="5">
        <v>0</v>
      </c>
      <c r="F33009" s="5">
        <v>0</v>
      </c>
      <c r="G33009" s="5">
        <v>0</v>
      </c>
      <c r="H33009" s="5">
        <v>0</v>
      </c>
      <c r="I33009" s="5">
        <v>0</v>
      </c>
      <c r="J33009" s="5">
        <v>0</v>
      </c>
      <c r="K33009" s="5">
        <v>0</v>
      </c>
    </row>
    <row r="33010" spans="1:11" x14ac:dyDescent="0.25">
      <c r="A33010" s="5">
        <f>33003</f>
      </c>
      <c r="B33010" s="5" t="s">
        <v>33018</v>
      </c>
      <c r="C33010" s="5">
        <v>0</v>
      </c>
      <c r="D33010" s="5">
        <v>0</v>
      </c>
      <c r="E33010" s="5">
        <v>0</v>
      </c>
      <c r="F33010" s="5">
        <v>0</v>
      </c>
      <c r="G33010" s="5">
        <v>0</v>
      </c>
      <c r="H33010" s="5">
        <v>0</v>
      </c>
      <c r="I33010" s="5">
        <v>0</v>
      </c>
      <c r="J33010" s="5">
        <v>0</v>
      </c>
      <c r="K33010" s="5">
        <v>0</v>
      </c>
    </row>
    <row r="33011" spans="1:11" x14ac:dyDescent="0.25">
      <c r="A33011" s="5">
        <f>33004</f>
      </c>
      <c r="B33011" s="5" t="s">
        <v>33019</v>
      </c>
      <c r="C33011" s="5">
        <v>0</v>
      </c>
      <c r="D33011" s="5">
        <v>0</v>
      </c>
      <c r="E33011" s="5">
        <v>0</v>
      </c>
      <c r="F33011" s="5">
        <v>0</v>
      </c>
      <c r="G33011" s="5">
        <v>0</v>
      </c>
      <c r="H33011" s="5">
        <v>0</v>
      </c>
      <c r="I33011" s="5">
        <v>0</v>
      </c>
      <c r="J33011" s="5">
        <v>0</v>
      </c>
      <c r="K33011" s="5">
        <v>0</v>
      </c>
    </row>
    <row r="33012" spans="1:11" x14ac:dyDescent="0.25">
      <c r="A33012" s="5">
        <f>33005</f>
      </c>
      <c r="B33012" s="5" t="s">
        <v>33020</v>
      </c>
      <c r="C33012" s="5">
        <v>0</v>
      </c>
      <c r="D33012" s="5">
        <v>0</v>
      </c>
      <c r="E33012" s="5">
        <v>0</v>
      </c>
      <c r="F33012" s="5">
        <v>0</v>
      </c>
      <c r="G33012" s="5">
        <v>0</v>
      </c>
      <c r="H33012" s="5">
        <v>0</v>
      </c>
      <c r="I33012" s="5">
        <v>0</v>
      </c>
      <c r="J33012" s="5">
        <v>0</v>
      </c>
      <c r="K33012" s="5">
        <v>0</v>
      </c>
    </row>
    <row r="33013" spans="1:11" x14ac:dyDescent="0.25">
      <c r="A33013" s="5">
        <f>33006</f>
      </c>
      <c r="B33013" s="5" t="s">
        <v>33021</v>
      </c>
      <c r="C33013" s="5">
        <v>0</v>
      </c>
      <c r="D33013" s="5">
        <v>0</v>
      </c>
      <c r="E33013" s="5">
        <v>0</v>
      </c>
      <c r="F33013" s="5">
        <v>0</v>
      </c>
      <c r="G33013" s="5">
        <v>0</v>
      </c>
      <c r="H33013" s="5">
        <v>0</v>
      </c>
      <c r="I33013" s="5">
        <v>0</v>
      </c>
      <c r="J33013" s="5">
        <v>0</v>
      </c>
      <c r="K33013" s="5">
        <v>0</v>
      </c>
    </row>
    <row r="33014" spans="1:11" x14ac:dyDescent="0.25">
      <c r="A33014" s="5">
        <f>33007</f>
      </c>
      <c r="B33014" s="5" t="s">
        <v>33022</v>
      </c>
      <c r="C33014" s="5">
        <v>0</v>
      </c>
      <c r="D33014" s="5">
        <v>0</v>
      </c>
      <c r="E33014" s="5">
        <v>0</v>
      </c>
      <c r="F33014" s="5">
        <v>0</v>
      </c>
      <c r="G33014" s="5">
        <v>0</v>
      </c>
      <c r="H33014" s="5">
        <v>0</v>
      </c>
      <c r="I33014" s="5">
        <v>0</v>
      </c>
      <c r="J33014" s="5">
        <v>0</v>
      </c>
      <c r="K33014" s="5">
        <v>0</v>
      </c>
    </row>
    <row r="33015" spans="1:11" x14ac:dyDescent="0.25">
      <c r="A33015" s="5">
        <f>33008</f>
      </c>
      <c r="B33015" s="5" t="s">
        <v>33023</v>
      </c>
      <c r="C33015" s="5">
        <v>0</v>
      </c>
      <c r="D33015" s="5">
        <v>0</v>
      </c>
      <c r="E33015" s="5">
        <v>0</v>
      </c>
      <c r="F33015" s="5">
        <v>0</v>
      </c>
      <c r="G33015" s="5">
        <v>0</v>
      </c>
      <c r="H33015" s="5">
        <v>0</v>
      </c>
      <c r="I33015" s="5">
        <v>0</v>
      </c>
      <c r="J33015" s="5">
        <v>0</v>
      </c>
      <c r="K33015" s="5">
        <v>0</v>
      </c>
    </row>
    <row r="33016" spans="1:11" x14ac:dyDescent="0.25">
      <c r="A33016" s="5">
        <f>33009</f>
      </c>
      <c r="B33016" s="5" t="s">
        <v>33024</v>
      </c>
      <c r="C33016" s="5">
        <v>0</v>
      </c>
      <c r="D33016" s="5">
        <v>0</v>
      </c>
      <c r="E33016" s="5">
        <v>0</v>
      </c>
      <c r="F33016" s="5">
        <v>0</v>
      </c>
      <c r="G33016" s="5">
        <v>0</v>
      </c>
      <c r="H33016" s="5">
        <v>0</v>
      </c>
      <c r="I33016" s="5">
        <v>0</v>
      </c>
      <c r="J33016" s="5">
        <v>0</v>
      </c>
      <c r="K33016" s="5">
        <v>0</v>
      </c>
    </row>
    <row r="33017" spans="1:11" x14ac:dyDescent="0.25">
      <c r="A33017" s="5">
        <f>33010</f>
      </c>
      <c r="B33017" s="5" t="s">
        <v>33025</v>
      </c>
      <c r="C33017" s="5">
        <v>0</v>
      </c>
      <c r="D33017" s="5">
        <v>0</v>
      </c>
      <c r="E33017" s="5">
        <v>0</v>
      </c>
      <c r="F33017" s="5">
        <v>0</v>
      </c>
      <c r="G33017" s="5">
        <v>0</v>
      </c>
      <c r="H33017" s="5">
        <v>0</v>
      </c>
      <c r="I33017" s="5">
        <v>0</v>
      </c>
      <c r="J33017" s="5">
        <v>0</v>
      </c>
      <c r="K33017" s="5">
        <v>0</v>
      </c>
    </row>
    <row r="33018" spans="1:11" x14ac:dyDescent="0.25">
      <c r="A33018" s="5">
        <f>33011</f>
      </c>
      <c r="B33018" s="5" t="s">
        <v>33026</v>
      </c>
      <c r="C33018" s="5">
        <v>0</v>
      </c>
      <c r="D33018" s="5">
        <v>0</v>
      </c>
      <c r="E33018" s="5">
        <v>0</v>
      </c>
      <c r="F33018" s="5">
        <v>0</v>
      </c>
      <c r="G33018" s="5">
        <v>0</v>
      </c>
      <c r="H33018" s="5">
        <v>0</v>
      </c>
      <c r="I33018" s="5">
        <v>0</v>
      </c>
      <c r="J33018" s="5">
        <v>0</v>
      </c>
      <c r="K33018" s="5">
        <v>0</v>
      </c>
    </row>
    <row r="33019" spans="1:11" x14ac:dyDescent="0.25">
      <c r="A33019" s="5">
        <f>33012</f>
      </c>
      <c r="B33019" s="5" t="s">
        <v>33027</v>
      </c>
      <c r="C33019" s="5">
        <v>0</v>
      </c>
      <c r="D33019" s="5">
        <v>0</v>
      </c>
      <c r="E33019" s="5">
        <v>0</v>
      </c>
      <c r="F33019" s="5">
        <v>0</v>
      </c>
      <c r="G33019" s="5">
        <v>0</v>
      </c>
      <c r="H33019" s="5">
        <v>0</v>
      </c>
      <c r="I33019" s="5">
        <v>0</v>
      </c>
      <c r="J33019" s="5">
        <v>0</v>
      </c>
      <c r="K33019" s="5">
        <v>0</v>
      </c>
    </row>
    <row r="33020" spans="1:11" x14ac:dyDescent="0.25">
      <c r="A33020" s="5">
        <f>33013</f>
      </c>
      <c r="B33020" s="5" t="s">
        <v>33028</v>
      </c>
      <c r="C33020" s="5">
        <v>0</v>
      </c>
      <c r="D33020" s="5">
        <v>0</v>
      </c>
      <c r="E33020" s="5">
        <v>0</v>
      </c>
      <c r="F33020" s="5">
        <v>0</v>
      </c>
      <c r="G33020" s="5">
        <v>0</v>
      </c>
      <c r="H33020" s="5">
        <v>0</v>
      </c>
      <c r="I33020" s="5">
        <v>0</v>
      </c>
      <c r="J33020" s="5">
        <v>0</v>
      </c>
      <c r="K33020" s="5">
        <v>0</v>
      </c>
    </row>
    <row r="33021" spans="1:11" x14ac:dyDescent="0.25">
      <c r="A33021" s="5">
        <f>33014</f>
      </c>
      <c r="B33021" s="5" t="s">
        <v>33029</v>
      </c>
      <c r="C33021" s="5">
        <v>0</v>
      </c>
      <c r="D33021" s="5">
        <v>0</v>
      </c>
      <c r="E33021" s="5">
        <v>0</v>
      </c>
      <c r="F33021" s="5">
        <v>0</v>
      </c>
      <c r="G33021" s="5">
        <v>0</v>
      </c>
      <c r="H33021" s="5">
        <v>0</v>
      </c>
      <c r="I33021" s="5">
        <v>0</v>
      </c>
      <c r="J33021" s="5">
        <v>0</v>
      </c>
      <c r="K33021" s="5">
        <v>0</v>
      </c>
    </row>
    <row r="33022" spans="1:11" x14ac:dyDescent="0.25">
      <c r="A33022" s="5">
        <f>33015</f>
      </c>
      <c r="B33022" s="5" t="s">
        <v>33030</v>
      </c>
      <c r="C33022" s="5">
        <v>0</v>
      </c>
      <c r="D33022" s="5">
        <v>0</v>
      </c>
      <c r="E33022" s="5">
        <v>0</v>
      </c>
      <c r="F33022" s="5">
        <v>0</v>
      </c>
      <c r="G33022" s="5">
        <v>0</v>
      </c>
      <c r="H33022" s="5">
        <v>0</v>
      </c>
      <c r="I33022" s="5">
        <v>0</v>
      </c>
      <c r="J33022" s="5">
        <v>0</v>
      </c>
      <c r="K33022" s="5">
        <v>0</v>
      </c>
    </row>
    <row r="33023" spans="1:11" x14ac:dyDescent="0.25">
      <c r="A33023" s="5">
        <f>33016</f>
      </c>
      <c r="B33023" s="5" t="s">
        <v>33031</v>
      </c>
      <c r="C33023" s="5">
        <v>0</v>
      </c>
      <c r="D33023" s="5">
        <v>0</v>
      </c>
      <c r="E33023" s="5">
        <v>0</v>
      </c>
      <c r="F33023" s="5">
        <v>0</v>
      </c>
      <c r="G33023" s="5">
        <v>0</v>
      </c>
      <c r="H33023" s="5">
        <v>0</v>
      </c>
      <c r="I33023" s="5">
        <v>0</v>
      </c>
      <c r="J33023" s="5">
        <v>0</v>
      </c>
      <c r="K33023" s="5">
        <v>0</v>
      </c>
    </row>
    <row r="33024" spans="1:11" x14ac:dyDescent="0.25">
      <c r="A33024" s="5">
        <f>33017</f>
      </c>
      <c r="B33024" s="5" t="s">
        <v>33032</v>
      </c>
      <c r="C33024" s="5">
        <v>0</v>
      </c>
      <c r="D33024" s="5">
        <v>0</v>
      </c>
      <c r="E33024" s="5">
        <v>0</v>
      </c>
      <c r="F33024" s="5">
        <v>0</v>
      </c>
      <c r="G33024" s="5">
        <v>0</v>
      </c>
      <c r="H33024" s="5">
        <v>0</v>
      </c>
      <c r="I33024" s="5">
        <v>0</v>
      </c>
      <c r="J33024" s="5">
        <v>0</v>
      </c>
      <c r="K33024" s="5">
        <v>0</v>
      </c>
    </row>
    <row r="33025" spans="1:11" x14ac:dyDescent="0.25">
      <c r="A33025" s="5">
        <f>33018</f>
      </c>
      <c r="B33025" s="5" t="s">
        <v>33033</v>
      </c>
      <c r="C33025" s="5">
        <v>0</v>
      </c>
      <c r="D33025" s="5">
        <v>0</v>
      </c>
      <c r="E33025" s="5">
        <v>0</v>
      </c>
      <c r="F33025" s="5">
        <v>0</v>
      </c>
      <c r="G33025" s="5">
        <v>0</v>
      </c>
      <c r="H33025" s="5">
        <v>0</v>
      </c>
      <c r="I33025" s="5">
        <v>0</v>
      </c>
      <c r="J33025" s="5">
        <v>0</v>
      </c>
      <c r="K33025" s="5">
        <v>0</v>
      </c>
    </row>
    <row r="33026" spans="1:11" x14ac:dyDescent="0.25">
      <c r="A33026" s="5">
        <f>33019</f>
      </c>
      <c r="B33026" s="5" t="s">
        <v>33034</v>
      </c>
      <c r="C33026" s="5">
        <v>0</v>
      </c>
      <c r="D33026" s="5">
        <v>0</v>
      </c>
      <c r="E33026" s="5">
        <v>0</v>
      </c>
      <c r="F33026" s="5">
        <v>0</v>
      </c>
      <c r="G33026" s="5">
        <v>0</v>
      </c>
      <c r="H33026" s="5">
        <v>0</v>
      </c>
      <c r="I33026" s="5">
        <v>0</v>
      </c>
      <c r="J33026" s="5">
        <v>0</v>
      </c>
      <c r="K33026" s="5">
        <v>0</v>
      </c>
    </row>
    <row r="33027" spans="1:11" x14ac:dyDescent="0.25">
      <c r="A33027" s="5">
        <f>33020</f>
      </c>
      <c r="B33027" s="5" t="s">
        <v>33035</v>
      </c>
      <c r="C33027" s="5">
        <v>0</v>
      </c>
      <c r="D33027" s="5">
        <v>0</v>
      </c>
      <c r="E33027" s="5">
        <v>0</v>
      </c>
      <c r="F33027" s="5">
        <v>0</v>
      </c>
      <c r="G33027" s="5">
        <v>0</v>
      </c>
      <c r="H33027" s="5">
        <v>0</v>
      </c>
      <c r="I33027" s="5">
        <v>0</v>
      </c>
      <c r="J33027" s="5">
        <v>0</v>
      </c>
      <c r="K33027" s="5">
        <v>0</v>
      </c>
    </row>
    <row r="33028" spans="1:11" x14ac:dyDescent="0.25">
      <c r="A33028" s="5">
        <f>33021</f>
      </c>
      <c r="B33028" s="5" t="s">
        <v>33036</v>
      </c>
      <c r="C33028" s="5">
        <v>0</v>
      </c>
      <c r="D33028" s="5">
        <v>0</v>
      </c>
      <c r="E33028" s="5">
        <v>0</v>
      </c>
      <c r="F33028" s="5">
        <v>0</v>
      </c>
      <c r="G33028" s="5">
        <v>0</v>
      </c>
      <c r="H33028" s="5">
        <v>0</v>
      </c>
      <c r="I33028" s="5">
        <v>0</v>
      </c>
      <c r="J33028" s="5">
        <v>0</v>
      </c>
      <c r="K33028" s="5">
        <v>0</v>
      </c>
    </row>
    <row r="33029" spans="1:11" x14ac:dyDescent="0.25">
      <c r="A33029" s="5">
        <f>33022</f>
      </c>
      <c r="B33029" s="5" t="s">
        <v>33037</v>
      </c>
      <c r="C33029" s="5">
        <v>0</v>
      </c>
      <c r="D33029" s="5">
        <v>0</v>
      </c>
      <c r="E33029" s="5">
        <v>0</v>
      </c>
      <c r="F33029" s="5">
        <v>0</v>
      </c>
      <c r="G33029" s="5">
        <v>0</v>
      </c>
      <c r="H33029" s="5">
        <v>0</v>
      </c>
      <c r="I33029" s="5">
        <v>0</v>
      </c>
      <c r="J33029" s="5">
        <v>0</v>
      </c>
      <c r="K33029" s="5">
        <v>0</v>
      </c>
    </row>
    <row r="33030" spans="1:11" x14ac:dyDescent="0.25">
      <c r="A33030" s="5">
        <f>33023</f>
      </c>
      <c r="B33030" s="5" t="s">
        <v>33038</v>
      </c>
      <c r="C33030" s="5">
        <v>0</v>
      </c>
      <c r="D33030" s="5">
        <v>0</v>
      </c>
      <c r="E33030" s="5">
        <v>0</v>
      </c>
      <c r="F33030" s="5">
        <v>0</v>
      </c>
      <c r="G33030" s="5">
        <v>0</v>
      </c>
      <c r="H33030" s="5">
        <v>0</v>
      </c>
      <c r="I33030" s="5">
        <v>0</v>
      </c>
      <c r="J33030" s="5">
        <v>0</v>
      </c>
      <c r="K33030" s="5">
        <v>0</v>
      </c>
    </row>
    <row r="33031" spans="1:11" x14ac:dyDescent="0.25">
      <c r="A33031" s="5">
        <f>33024</f>
      </c>
      <c r="B33031" s="5" t="s">
        <v>33039</v>
      </c>
      <c r="C33031" s="5">
        <v>0</v>
      </c>
      <c r="D33031" s="5">
        <v>0</v>
      </c>
      <c r="E33031" s="5">
        <v>0</v>
      </c>
      <c r="F33031" s="5">
        <v>0</v>
      </c>
      <c r="G33031" s="5">
        <v>0</v>
      </c>
      <c r="H33031" s="5">
        <v>0</v>
      </c>
      <c r="I33031" s="5">
        <v>0</v>
      </c>
      <c r="J33031" s="5">
        <v>0</v>
      </c>
      <c r="K33031" s="5">
        <v>0</v>
      </c>
    </row>
    <row r="33032" spans="1:11" x14ac:dyDescent="0.25">
      <c r="A33032" s="5">
        <f>33025</f>
      </c>
      <c r="B33032" s="5" t="s">
        <v>33040</v>
      </c>
      <c r="C33032" s="5">
        <v>0</v>
      </c>
      <c r="D33032" s="5">
        <v>0</v>
      </c>
      <c r="E33032" s="5">
        <v>0</v>
      </c>
      <c r="F33032" s="5">
        <v>0</v>
      </c>
      <c r="G33032" s="5">
        <v>0</v>
      </c>
      <c r="H33032" s="5">
        <v>0</v>
      </c>
      <c r="I33032" s="5">
        <v>0</v>
      </c>
      <c r="J33032" s="5">
        <v>0</v>
      </c>
      <c r="K33032" s="5">
        <v>0</v>
      </c>
    </row>
    <row r="33033" spans="1:11" x14ac:dyDescent="0.25">
      <c r="A33033" s="5">
        <f>33026</f>
      </c>
      <c r="B33033" s="5" t="s">
        <v>33041</v>
      </c>
      <c r="C33033" s="5">
        <v>0</v>
      </c>
      <c r="D33033" s="5">
        <v>0</v>
      </c>
      <c r="E33033" s="5">
        <v>0</v>
      </c>
      <c r="F33033" s="5">
        <v>0</v>
      </c>
      <c r="G33033" s="5">
        <v>0</v>
      </c>
      <c r="H33033" s="5">
        <v>0</v>
      </c>
      <c r="I33033" s="5">
        <v>0</v>
      </c>
      <c r="J33033" s="5">
        <v>0</v>
      </c>
      <c r="K33033" s="5">
        <v>0</v>
      </c>
    </row>
    <row r="33034" spans="1:11" x14ac:dyDescent="0.25">
      <c r="A33034" s="5">
        <f>33027</f>
      </c>
      <c r="B33034" s="5" t="s">
        <v>33042</v>
      </c>
      <c r="C33034" s="5">
        <v>0</v>
      </c>
      <c r="D33034" s="5">
        <v>0</v>
      </c>
      <c r="E33034" s="5">
        <v>0</v>
      </c>
      <c r="F33034" s="5">
        <v>0</v>
      </c>
      <c r="G33034" s="5">
        <v>0</v>
      </c>
      <c r="H33034" s="5">
        <v>0</v>
      </c>
      <c r="I33034" s="5">
        <v>0</v>
      </c>
      <c r="J33034" s="5">
        <v>0</v>
      </c>
      <c r="K33034" s="5">
        <v>0</v>
      </c>
    </row>
    <row r="33035" spans="1:11" x14ac:dyDescent="0.25">
      <c r="A33035" s="5">
        <f>33028</f>
      </c>
      <c r="B33035" s="5" t="s">
        <v>33043</v>
      </c>
      <c r="C33035" s="5">
        <v>0</v>
      </c>
      <c r="D33035" s="5">
        <v>0</v>
      </c>
      <c r="E33035" s="5">
        <v>0</v>
      </c>
      <c r="F33035" s="5">
        <v>0</v>
      </c>
      <c r="G33035" s="5">
        <v>0</v>
      </c>
      <c r="H33035" s="5">
        <v>0</v>
      </c>
      <c r="I33035" s="5">
        <v>0</v>
      </c>
      <c r="J33035" s="5">
        <v>0</v>
      </c>
      <c r="K33035" s="5">
        <v>0</v>
      </c>
    </row>
    <row r="33036" spans="1:11" x14ac:dyDescent="0.25">
      <c r="A33036" s="5">
        <f>33029</f>
      </c>
      <c r="B33036" s="5" t="s">
        <v>33044</v>
      </c>
      <c r="C33036" s="5">
        <v>0</v>
      </c>
      <c r="D33036" s="5">
        <v>0</v>
      </c>
      <c r="E33036" s="5">
        <v>0</v>
      </c>
      <c r="F33036" s="5">
        <v>0</v>
      </c>
      <c r="G33036" s="5">
        <v>0</v>
      </c>
      <c r="H33036" s="5">
        <v>0</v>
      </c>
      <c r="I33036" s="5">
        <v>0</v>
      </c>
      <c r="J33036" s="5">
        <v>0</v>
      </c>
      <c r="K33036" s="5">
        <v>0</v>
      </c>
    </row>
    <row r="33037" spans="1:11" x14ac:dyDescent="0.25">
      <c r="A33037" s="5">
        <f>33030</f>
      </c>
      <c r="B33037" s="5" t="s">
        <v>33045</v>
      </c>
      <c r="C33037" s="5">
        <v>0</v>
      </c>
      <c r="D33037" s="5">
        <v>0</v>
      </c>
      <c r="E33037" s="5">
        <v>0</v>
      </c>
      <c r="F33037" s="5">
        <v>0</v>
      </c>
      <c r="G33037" s="5">
        <v>0</v>
      </c>
      <c r="H33037" s="5">
        <v>0</v>
      </c>
      <c r="I33037" s="5">
        <v>0</v>
      </c>
      <c r="J33037" s="5">
        <v>0</v>
      </c>
      <c r="K33037" s="5">
        <v>0</v>
      </c>
    </row>
    <row r="33038" spans="1:11" x14ac:dyDescent="0.25">
      <c r="A33038" s="5">
        <f>33031</f>
      </c>
      <c r="B33038" s="5" t="s">
        <v>33046</v>
      </c>
      <c r="C33038" s="5">
        <v>0</v>
      </c>
      <c r="D33038" s="5">
        <v>0</v>
      </c>
      <c r="E33038" s="5">
        <v>0</v>
      </c>
      <c r="F33038" s="5">
        <v>0</v>
      </c>
      <c r="G33038" s="5">
        <v>0</v>
      </c>
      <c r="H33038" s="5">
        <v>0</v>
      </c>
      <c r="I33038" s="5">
        <v>0</v>
      </c>
      <c r="J33038" s="5">
        <v>0</v>
      </c>
      <c r="K33038" s="5">
        <v>0</v>
      </c>
    </row>
    <row r="33039" spans="1:11" x14ac:dyDescent="0.25">
      <c r="A33039" s="5">
        <f>33032</f>
      </c>
      <c r="B33039" s="5" t="s">
        <v>33047</v>
      </c>
      <c r="C33039" s="5">
        <v>0</v>
      </c>
      <c r="D33039" s="5">
        <v>0</v>
      </c>
      <c r="E33039" s="5">
        <v>0</v>
      </c>
      <c r="F33039" s="5">
        <v>0</v>
      </c>
      <c r="G33039" s="5">
        <v>0</v>
      </c>
      <c r="H33039" s="5">
        <v>0</v>
      </c>
      <c r="I33039" s="5">
        <v>0</v>
      </c>
      <c r="J33039" s="5">
        <v>0</v>
      </c>
      <c r="K33039" s="5">
        <v>0</v>
      </c>
    </row>
    <row r="33040" spans="1:11" x14ac:dyDescent="0.25">
      <c r="A33040" s="5">
        <f>33033</f>
      </c>
      <c r="B33040" s="5" t="s">
        <v>33048</v>
      </c>
      <c r="C33040" s="5">
        <v>0</v>
      </c>
      <c r="D33040" s="5">
        <v>0</v>
      </c>
      <c r="E33040" s="5">
        <v>0</v>
      </c>
      <c r="F33040" s="5">
        <v>0</v>
      </c>
      <c r="G33040" s="5">
        <v>0</v>
      </c>
      <c r="H33040" s="5">
        <v>0</v>
      </c>
      <c r="I33040" s="5">
        <v>0</v>
      </c>
      <c r="J33040" s="5">
        <v>0</v>
      </c>
      <c r="K33040" s="5">
        <v>0</v>
      </c>
    </row>
    <row r="33041" spans="1:11" x14ac:dyDescent="0.25">
      <c r="A33041" s="5">
        <f>33034</f>
      </c>
      <c r="B33041" s="5" t="s">
        <v>33049</v>
      </c>
      <c r="C33041" s="5">
        <v>0</v>
      </c>
      <c r="D33041" s="5">
        <v>0</v>
      </c>
      <c r="E33041" s="5">
        <v>0</v>
      </c>
      <c r="F33041" s="5">
        <v>0</v>
      </c>
      <c r="G33041" s="5">
        <v>0</v>
      </c>
      <c r="H33041" s="5">
        <v>0</v>
      </c>
      <c r="I33041" s="5">
        <v>0</v>
      </c>
      <c r="J33041" s="5">
        <v>0</v>
      </c>
      <c r="K33041" s="5">
        <v>0</v>
      </c>
    </row>
    <row r="33042" spans="1:11" x14ac:dyDescent="0.25">
      <c r="A33042" s="5">
        <f>33035</f>
      </c>
      <c r="B33042" s="5" t="s">
        <v>33050</v>
      </c>
      <c r="C33042" s="5">
        <v>0</v>
      </c>
      <c r="D33042" s="5">
        <v>0</v>
      </c>
      <c r="E33042" s="5">
        <v>0</v>
      </c>
      <c r="F33042" s="5">
        <v>0</v>
      </c>
      <c r="G33042" s="5">
        <v>0</v>
      </c>
      <c r="H33042" s="5">
        <v>0</v>
      </c>
      <c r="I33042" s="5">
        <v>0</v>
      </c>
      <c r="J33042" s="5">
        <v>0</v>
      </c>
      <c r="K33042" s="5">
        <v>0</v>
      </c>
    </row>
    <row r="33043" spans="1:11" x14ac:dyDescent="0.25">
      <c r="A33043" s="5">
        <f>33036</f>
      </c>
      <c r="B33043" s="5" t="s">
        <v>33051</v>
      </c>
      <c r="C33043" s="5">
        <v>0</v>
      </c>
      <c r="D33043" s="5">
        <v>0</v>
      </c>
      <c r="E33043" s="5">
        <v>0</v>
      </c>
      <c r="F33043" s="5">
        <v>0</v>
      </c>
      <c r="G33043" s="5">
        <v>0</v>
      </c>
      <c r="H33043" s="5">
        <v>0</v>
      </c>
      <c r="I33043" s="5">
        <v>0</v>
      </c>
      <c r="J33043" s="5">
        <v>0</v>
      </c>
      <c r="K33043" s="5">
        <v>0</v>
      </c>
    </row>
    <row r="33044" spans="1:11" x14ac:dyDescent="0.25">
      <c r="A33044" s="5">
        <f>33037</f>
      </c>
      <c r="B33044" s="5" t="s">
        <v>33052</v>
      </c>
      <c r="C33044" s="5">
        <v>0</v>
      </c>
      <c r="D33044" s="5">
        <v>0</v>
      </c>
      <c r="E33044" s="5">
        <v>0</v>
      </c>
      <c r="F33044" s="5">
        <v>0</v>
      </c>
      <c r="G33044" s="5">
        <v>0</v>
      </c>
      <c r="H33044" s="5">
        <v>0</v>
      </c>
      <c r="I33044" s="5">
        <v>0</v>
      </c>
      <c r="J33044" s="5">
        <v>0</v>
      </c>
      <c r="K33044" s="5">
        <v>0</v>
      </c>
    </row>
    <row r="33045" spans="1:11" x14ac:dyDescent="0.25">
      <c r="A33045" s="5">
        <f>33038</f>
      </c>
      <c r="B33045" s="5" t="s">
        <v>33053</v>
      </c>
      <c r="C33045" s="5">
        <v>0</v>
      </c>
      <c r="D33045" s="5">
        <v>0</v>
      </c>
      <c r="E33045" s="5">
        <v>0</v>
      </c>
      <c r="F33045" s="5">
        <v>0</v>
      </c>
      <c r="G33045" s="5">
        <v>0</v>
      </c>
      <c r="H33045" s="5">
        <v>0</v>
      </c>
      <c r="I33045" s="5">
        <v>0</v>
      </c>
      <c r="J33045" s="5">
        <v>0</v>
      </c>
      <c r="K33045" s="5">
        <v>0</v>
      </c>
    </row>
    <row r="33046" spans="1:11" x14ac:dyDescent="0.25">
      <c r="A33046" s="5">
        <f>33039</f>
      </c>
      <c r="B33046" s="5" t="s">
        <v>33054</v>
      </c>
      <c r="C33046" s="5">
        <v>0</v>
      </c>
      <c r="D33046" s="5">
        <v>0</v>
      </c>
      <c r="E33046" s="5">
        <v>0</v>
      </c>
      <c r="F33046" s="5">
        <v>0</v>
      </c>
      <c r="G33046" s="5">
        <v>0</v>
      </c>
      <c r="H33046" s="5">
        <v>0</v>
      </c>
      <c r="I33046" s="5">
        <v>0</v>
      </c>
      <c r="J33046" s="5">
        <v>0</v>
      </c>
      <c r="K33046" s="5">
        <v>0</v>
      </c>
    </row>
    <row r="33047" spans="1:11" x14ac:dyDescent="0.25">
      <c r="A33047" s="5">
        <f>33040</f>
      </c>
      <c r="B33047" s="5" t="s">
        <v>33055</v>
      </c>
      <c r="C33047" s="5">
        <v>0</v>
      </c>
      <c r="D33047" s="5">
        <v>0</v>
      </c>
      <c r="E33047" s="5">
        <v>0</v>
      </c>
      <c r="F33047" s="5">
        <v>0</v>
      </c>
      <c r="G33047" s="5">
        <v>0</v>
      </c>
      <c r="H33047" s="5">
        <v>0</v>
      </c>
      <c r="I33047" s="5">
        <v>0</v>
      </c>
      <c r="J33047" s="5">
        <v>0</v>
      </c>
      <c r="K33047" s="5">
        <v>0</v>
      </c>
    </row>
    <row r="33048" spans="1:11" x14ac:dyDescent="0.25">
      <c r="A33048" s="5">
        <f>33041</f>
      </c>
      <c r="B33048" s="5" t="s">
        <v>33056</v>
      </c>
      <c r="C33048" s="5">
        <v>0</v>
      </c>
      <c r="D33048" s="5">
        <v>0</v>
      </c>
      <c r="E33048" s="5">
        <v>0</v>
      </c>
      <c r="F33048" s="5">
        <v>0</v>
      </c>
      <c r="G33048" s="5">
        <v>0</v>
      </c>
      <c r="H33048" s="5">
        <v>0</v>
      </c>
      <c r="I33048" s="5">
        <v>0</v>
      </c>
      <c r="J33048" s="5">
        <v>0</v>
      </c>
      <c r="K33048" s="5">
        <v>0</v>
      </c>
    </row>
    <row r="33049" spans="1:11" x14ac:dyDescent="0.25">
      <c r="A33049" s="5">
        <f>33042</f>
      </c>
      <c r="B33049" s="5" t="s">
        <v>33057</v>
      </c>
      <c r="C33049" s="5">
        <v>0</v>
      </c>
      <c r="D33049" s="5">
        <v>0</v>
      </c>
      <c r="E33049" s="5">
        <v>0</v>
      </c>
      <c r="F33049" s="5">
        <v>0</v>
      </c>
      <c r="G33049" s="5">
        <v>0</v>
      </c>
      <c r="H33049" s="5">
        <v>0</v>
      </c>
      <c r="I33049" s="5">
        <v>0</v>
      </c>
      <c r="J33049" s="5">
        <v>0</v>
      </c>
      <c r="K33049" s="5">
        <v>0</v>
      </c>
    </row>
    <row r="33050" spans="1:11" x14ac:dyDescent="0.25">
      <c r="A33050" s="5">
        <f>33043</f>
      </c>
      <c r="B33050" s="5" t="s">
        <v>33058</v>
      </c>
      <c r="C33050" s="5">
        <v>0</v>
      </c>
      <c r="D33050" s="5">
        <v>0</v>
      </c>
      <c r="E33050" s="5">
        <v>0</v>
      </c>
      <c r="F33050" s="5">
        <v>0</v>
      </c>
      <c r="G33050" s="5">
        <v>0</v>
      </c>
      <c r="H33050" s="5">
        <v>0</v>
      </c>
      <c r="I33050" s="5">
        <v>0</v>
      </c>
      <c r="J33050" s="5">
        <v>0</v>
      </c>
      <c r="K33050" s="5">
        <v>0</v>
      </c>
    </row>
    <row r="33051" spans="1:11" x14ac:dyDescent="0.25">
      <c r="A33051" s="5">
        <f>33044</f>
      </c>
      <c r="B33051" s="5" t="s">
        <v>33059</v>
      </c>
      <c r="C33051" s="5">
        <v>0</v>
      </c>
      <c r="D33051" s="5">
        <v>0</v>
      </c>
      <c r="E33051" s="5">
        <v>0</v>
      </c>
      <c r="F33051" s="5">
        <v>0</v>
      </c>
      <c r="G33051" s="5">
        <v>0</v>
      </c>
      <c r="H33051" s="5">
        <v>0</v>
      </c>
      <c r="I33051" s="5">
        <v>0</v>
      </c>
      <c r="J33051" s="5">
        <v>0</v>
      </c>
      <c r="K33051" s="5">
        <v>0</v>
      </c>
    </row>
    <row r="33052" spans="1:11" x14ac:dyDescent="0.25">
      <c r="A33052" s="5">
        <f>33045</f>
      </c>
      <c r="B33052" s="5" t="s">
        <v>33060</v>
      </c>
      <c r="C33052" s="5">
        <v>0</v>
      </c>
      <c r="D33052" s="5">
        <v>0</v>
      </c>
      <c r="E33052" s="5">
        <v>0</v>
      </c>
      <c r="F33052" s="5">
        <v>0</v>
      </c>
      <c r="G33052" s="5">
        <v>0</v>
      </c>
      <c r="H33052" s="5">
        <v>0</v>
      </c>
      <c r="I33052" s="5">
        <v>0</v>
      </c>
      <c r="J33052" s="5">
        <v>0</v>
      </c>
      <c r="K33052" s="5">
        <v>0</v>
      </c>
    </row>
    <row r="33053" spans="1:11" x14ac:dyDescent="0.25">
      <c r="A33053" s="5">
        <f>33046</f>
      </c>
      <c r="B33053" s="5" t="s">
        <v>33061</v>
      </c>
      <c r="C33053" s="5">
        <v>0</v>
      </c>
      <c r="D33053" s="5">
        <v>0</v>
      </c>
      <c r="E33053" s="5">
        <v>0</v>
      </c>
      <c r="F33053" s="5">
        <v>0</v>
      </c>
      <c r="G33053" s="5">
        <v>0</v>
      </c>
      <c r="H33053" s="5">
        <v>0</v>
      </c>
      <c r="I33053" s="5">
        <v>0</v>
      </c>
      <c r="J33053" s="5">
        <v>0</v>
      </c>
      <c r="K33053" s="5">
        <v>0</v>
      </c>
    </row>
    <row r="33054" spans="1:11" x14ac:dyDescent="0.25">
      <c r="A33054" s="5">
        <f>33047</f>
      </c>
      <c r="B33054" s="5" t="s">
        <v>33062</v>
      </c>
      <c r="C33054" s="5">
        <v>0</v>
      </c>
      <c r="D33054" s="5">
        <v>0</v>
      </c>
      <c r="E33054" s="5">
        <v>0</v>
      </c>
      <c r="F33054" s="5">
        <v>0</v>
      </c>
      <c r="G33054" s="5">
        <v>0</v>
      </c>
      <c r="H33054" s="5">
        <v>0</v>
      </c>
      <c r="I33054" s="5">
        <v>0</v>
      </c>
      <c r="J33054" s="5">
        <v>0</v>
      </c>
      <c r="K33054" s="5">
        <v>0</v>
      </c>
    </row>
    <row r="33055" spans="1:11" x14ac:dyDescent="0.25">
      <c r="A33055" s="5">
        <f>33048</f>
      </c>
      <c r="B33055" s="5" t="s">
        <v>33063</v>
      </c>
      <c r="C33055" s="5">
        <v>0</v>
      </c>
      <c r="D33055" s="5">
        <v>0</v>
      </c>
      <c r="E33055" s="5">
        <v>0</v>
      </c>
      <c r="F33055" s="5">
        <v>0</v>
      </c>
      <c r="G33055" s="5">
        <v>0</v>
      </c>
      <c r="H33055" s="5">
        <v>0</v>
      </c>
      <c r="I33055" s="5">
        <v>0</v>
      </c>
      <c r="J33055" s="5">
        <v>0</v>
      </c>
      <c r="K33055" s="5">
        <v>0</v>
      </c>
    </row>
    <row r="33056" spans="1:11" x14ac:dyDescent="0.25">
      <c r="A33056" s="5">
        <f>33049</f>
      </c>
      <c r="B33056" s="5" t="s">
        <v>33064</v>
      </c>
      <c r="C33056" s="5">
        <v>0</v>
      </c>
      <c r="D33056" s="5">
        <v>0</v>
      </c>
      <c r="E33056" s="5">
        <v>0</v>
      </c>
      <c r="F33056" s="5">
        <v>0</v>
      </c>
      <c r="G33056" s="5">
        <v>0</v>
      </c>
      <c r="H33056" s="5">
        <v>0</v>
      </c>
      <c r="I33056" s="5">
        <v>0</v>
      </c>
      <c r="J33056" s="5">
        <v>0</v>
      </c>
      <c r="K33056" s="5">
        <v>0</v>
      </c>
    </row>
    <row r="33057" spans="1:11" x14ac:dyDescent="0.25">
      <c r="A33057" s="5">
        <f>33050</f>
      </c>
      <c r="B33057" s="5" t="s">
        <v>33065</v>
      </c>
      <c r="C33057" s="5">
        <v>0</v>
      </c>
      <c r="D33057" s="5">
        <v>0</v>
      </c>
      <c r="E33057" s="5">
        <v>0</v>
      </c>
      <c r="F33057" s="5">
        <v>0</v>
      </c>
      <c r="G33057" s="5">
        <v>0</v>
      </c>
      <c r="H33057" s="5">
        <v>0</v>
      </c>
      <c r="I33057" s="5">
        <v>0</v>
      </c>
      <c r="J33057" s="5">
        <v>0</v>
      </c>
      <c r="K33057" s="5">
        <v>0</v>
      </c>
    </row>
    <row r="33058" spans="1:11" x14ac:dyDescent="0.25">
      <c r="A33058" s="5">
        <f>33051</f>
      </c>
      <c r="B33058" s="5" t="s">
        <v>33066</v>
      </c>
      <c r="C33058" s="5">
        <v>0</v>
      </c>
      <c r="D33058" s="5">
        <v>0</v>
      </c>
      <c r="E33058" s="5">
        <v>0</v>
      </c>
      <c r="F33058" s="5">
        <v>0</v>
      </c>
      <c r="G33058" s="5">
        <v>0</v>
      </c>
      <c r="H33058" s="5">
        <v>0</v>
      </c>
      <c r="I33058" s="5">
        <v>0</v>
      </c>
      <c r="J33058" s="5">
        <v>0</v>
      </c>
      <c r="K33058" s="5">
        <v>0</v>
      </c>
    </row>
    <row r="33059" spans="1:11" x14ac:dyDescent="0.25">
      <c r="A33059" s="5">
        <f>33052</f>
      </c>
      <c r="B33059" s="5" t="s">
        <v>33067</v>
      </c>
      <c r="C33059" s="5">
        <v>0</v>
      </c>
      <c r="D33059" s="5">
        <v>0</v>
      </c>
      <c r="E33059" s="5">
        <v>0</v>
      </c>
      <c r="F33059" s="5">
        <v>0</v>
      </c>
      <c r="G33059" s="5">
        <v>0</v>
      </c>
      <c r="H33059" s="5">
        <v>0</v>
      </c>
      <c r="I33059" s="5">
        <v>0</v>
      </c>
      <c r="J33059" s="5">
        <v>0</v>
      </c>
      <c r="K33059" s="5">
        <v>0</v>
      </c>
    </row>
    <row r="33060" spans="1:11" x14ac:dyDescent="0.25">
      <c r="A33060" s="5">
        <f>33053</f>
      </c>
      <c r="B33060" s="5" t="s">
        <v>33068</v>
      </c>
      <c r="C33060" s="5">
        <v>0</v>
      </c>
      <c r="D33060" s="5">
        <v>0</v>
      </c>
      <c r="E33060" s="5">
        <v>0</v>
      </c>
      <c r="F33060" s="5">
        <v>0</v>
      </c>
      <c r="G33060" s="5">
        <v>0</v>
      </c>
      <c r="H33060" s="5">
        <v>0</v>
      </c>
      <c r="I33060" s="5">
        <v>0</v>
      </c>
      <c r="J33060" s="5">
        <v>0</v>
      </c>
      <c r="K33060" s="5">
        <v>0</v>
      </c>
    </row>
    <row r="33061" spans="1:11" x14ac:dyDescent="0.25">
      <c r="A33061" s="5">
        <f>33054</f>
      </c>
      <c r="B33061" s="5" t="s">
        <v>33069</v>
      </c>
      <c r="C33061" s="5">
        <v>0</v>
      </c>
      <c r="D33061" s="5">
        <v>0</v>
      </c>
      <c r="E33061" s="5">
        <v>0</v>
      </c>
      <c r="F33061" s="5">
        <v>0</v>
      </c>
      <c r="G33061" s="5">
        <v>0</v>
      </c>
      <c r="H33061" s="5">
        <v>0</v>
      </c>
      <c r="I33061" s="5">
        <v>0</v>
      </c>
      <c r="J33061" s="5">
        <v>0</v>
      </c>
      <c r="K33061" s="5">
        <v>0</v>
      </c>
    </row>
    <row r="33062" spans="1:11" x14ac:dyDescent="0.25">
      <c r="A33062" s="5">
        <f>33055</f>
      </c>
      <c r="B33062" s="5" t="s">
        <v>33070</v>
      </c>
      <c r="C33062" s="5">
        <v>0</v>
      </c>
      <c r="D33062" s="5">
        <v>0</v>
      </c>
      <c r="E33062" s="5">
        <v>0</v>
      </c>
      <c r="F33062" s="5">
        <v>0</v>
      </c>
      <c r="G33062" s="5">
        <v>0</v>
      </c>
      <c r="H33062" s="5">
        <v>0</v>
      </c>
      <c r="I33062" s="5">
        <v>0</v>
      </c>
      <c r="J33062" s="5">
        <v>0</v>
      </c>
      <c r="K33062" s="5">
        <v>0</v>
      </c>
    </row>
    <row r="33063" spans="1:11" x14ac:dyDescent="0.25">
      <c r="A33063" s="5">
        <f>33056</f>
      </c>
      <c r="B33063" s="5" t="s">
        <v>33071</v>
      </c>
      <c r="C33063" s="5">
        <v>0</v>
      </c>
      <c r="D33063" s="5">
        <v>0</v>
      </c>
      <c r="E33063" s="5">
        <v>0</v>
      </c>
      <c r="F33063" s="5">
        <v>0</v>
      </c>
      <c r="G33063" s="5">
        <v>0</v>
      </c>
      <c r="H33063" s="5">
        <v>0</v>
      </c>
      <c r="I33063" s="5">
        <v>0</v>
      </c>
      <c r="J33063" s="5">
        <v>0</v>
      </c>
      <c r="K33063" s="5">
        <v>0</v>
      </c>
    </row>
    <row r="33064" spans="1:11" x14ac:dyDescent="0.25">
      <c r="A33064" s="5">
        <f>33057</f>
      </c>
      <c r="B33064" s="5" t="s">
        <v>33072</v>
      </c>
      <c r="C33064" s="5">
        <v>0</v>
      </c>
      <c r="D33064" s="5">
        <v>0</v>
      </c>
      <c r="E33064" s="5">
        <v>0</v>
      </c>
      <c r="F33064" s="5">
        <v>0</v>
      </c>
      <c r="G33064" s="5">
        <v>0</v>
      </c>
      <c r="H33064" s="5">
        <v>0</v>
      </c>
      <c r="I33064" s="5">
        <v>0</v>
      </c>
      <c r="J33064" s="5">
        <v>0</v>
      </c>
      <c r="K33064" s="5">
        <v>0</v>
      </c>
    </row>
    <row r="33065" spans="1:11" x14ac:dyDescent="0.25">
      <c r="A33065" s="5">
        <f>33058</f>
      </c>
      <c r="B33065" s="5" t="s">
        <v>33073</v>
      </c>
      <c r="C33065" s="5">
        <v>0</v>
      </c>
      <c r="D33065" s="5">
        <v>0</v>
      </c>
      <c r="E33065" s="5">
        <v>0</v>
      </c>
      <c r="F33065" s="5">
        <v>0</v>
      </c>
      <c r="G33065" s="5">
        <v>0</v>
      </c>
      <c r="H33065" s="5">
        <v>0</v>
      </c>
      <c r="I33065" s="5">
        <v>0</v>
      </c>
      <c r="J33065" s="5">
        <v>0</v>
      </c>
      <c r="K33065" s="5">
        <v>0</v>
      </c>
    </row>
    <row r="33066" spans="1:11" x14ac:dyDescent="0.25">
      <c r="A33066" s="5">
        <f>33059</f>
      </c>
      <c r="B33066" s="5" t="s">
        <v>33074</v>
      </c>
      <c r="C33066" s="5">
        <v>0</v>
      </c>
      <c r="D33066" s="5">
        <v>0</v>
      </c>
      <c r="E33066" s="5">
        <v>0</v>
      </c>
      <c r="F33066" s="5">
        <v>0</v>
      </c>
      <c r="G33066" s="5">
        <v>0</v>
      </c>
      <c r="H33066" s="5">
        <v>0</v>
      </c>
      <c r="I33066" s="5">
        <v>0</v>
      </c>
      <c r="J33066" s="5">
        <v>0</v>
      </c>
      <c r="K33066" s="5">
        <v>0</v>
      </c>
    </row>
    <row r="33067" spans="1:11" x14ac:dyDescent="0.25">
      <c r="A33067" s="5">
        <f>33060</f>
      </c>
      <c r="B33067" s="5" t="s">
        <v>33075</v>
      </c>
      <c r="C33067" s="5">
        <v>0</v>
      </c>
      <c r="D33067" s="5">
        <v>0</v>
      </c>
      <c r="E33067" s="5">
        <v>0</v>
      </c>
      <c r="F33067" s="5">
        <v>0</v>
      </c>
      <c r="G33067" s="5">
        <v>0</v>
      </c>
      <c r="H33067" s="5">
        <v>0</v>
      </c>
      <c r="I33067" s="5">
        <v>0</v>
      </c>
      <c r="J33067" s="5">
        <v>0</v>
      </c>
      <c r="K33067" s="5">
        <v>0</v>
      </c>
    </row>
    <row r="33068" spans="1:11" x14ac:dyDescent="0.25">
      <c r="A33068" s="5">
        <f>33061</f>
      </c>
      <c r="B33068" s="5" t="s">
        <v>33076</v>
      </c>
      <c r="C33068" s="5">
        <v>0</v>
      </c>
      <c r="D33068" s="5">
        <v>0</v>
      </c>
      <c r="E33068" s="5">
        <v>0</v>
      </c>
      <c r="F33068" s="5">
        <v>0</v>
      </c>
      <c r="G33068" s="5">
        <v>0</v>
      </c>
      <c r="H33068" s="5">
        <v>0</v>
      </c>
      <c r="I33068" s="5">
        <v>0</v>
      </c>
      <c r="J33068" s="5">
        <v>0</v>
      </c>
      <c r="K33068" s="5">
        <v>0</v>
      </c>
    </row>
    <row r="33069" spans="1:11" x14ac:dyDescent="0.25">
      <c r="A33069" s="5">
        <f>33062</f>
      </c>
      <c r="B33069" s="5" t="s">
        <v>33077</v>
      </c>
      <c r="C33069" s="5">
        <v>0</v>
      </c>
      <c r="D33069" s="5">
        <v>0</v>
      </c>
      <c r="E33069" s="5">
        <v>0</v>
      </c>
      <c r="F33069" s="5">
        <v>0</v>
      </c>
      <c r="G33069" s="5">
        <v>0</v>
      </c>
      <c r="H33069" s="5">
        <v>0</v>
      </c>
      <c r="I33069" s="5">
        <v>0</v>
      </c>
      <c r="J33069" s="5">
        <v>0</v>
      </c>
      <c r="K33069" s="5">
        <v>0</v>
      </c>
    </row>
    <row r="33070" spans="1:11" x14ac:dyDescent="0.25">
      <c r="A33070" s="5">
        <f>33063</f>
      </c>
      <c r="B33070" s="5" t="s">
        <v>33078</v>
      </c>
      <c r="C33070" s="5">
        <v>0</v>
      </c>
      <c r="D33070" s="5">
        <v>0</v>
      </c>
      <c r="E33070" s="5">
        <v>0</v>
      </c>
      <c r="F33070" s="5">
        <v>0</v>
      </c>
      <c r="G33070" s="5">
        <v>0</v>
      </c>
      <c r="H33070" s="5">
        <v>0</v>
      </c>
      <c r="I33070" s="5">
        <v>0</v>
      </c>
      <c r="J33070" s="5">
        <v>0</v>
      </c>
      <c r="K33070" s="5">
        <v>0</v>
      </c>
    </row>
    <row r="33071" spans="1:11" x14ac:dyDescent="0.25">
      <c r="A33071" s="5">
        <f>33064</f>
      </c>
      <c r="B33071" s="5" t="s">
        <v>33079</v>
      </c>
      <c r="C33071" s="5">
        <v>0</v>
      </c>
      <c r="D33071" s="5">
        <v>0</v>
      </c>
      <c r="E33071" s="5">
        <v>0</v>
      </c>
      <c r="F33071" s="5">
        <v>0</v>
      </c>
      <c r="G33071" s="5">
        <v>0</v>
      </c>
      <c r="H33071" s="5">
        <v>0</v>
      </c>
      <c r="I33071" s="5">
        <v>0</v>
      </c>
      <c r="J33071" s="5">
        <v>0</v>
      </c>
      <c r="K33071" s="5">
        <v>0</v>
      </c>
    </row>
    <row r="33072" spans="1:11" x14ac:dyDescent="0.25">
      <c r="A33072" s="5">
        <f>33065</f>
      </c>
      <c r="B33072" s="5" t="s">
        <v>33080</v>
      </c>
      <c r="C33072" s="5">
        <v>0</v>
      </c>
      <c r="D33072" s="5">
        <v>0</v>
      </c>
      <c r="E33072" s="5">
        <v>0</v>
      </c>
      <c r="F33072" s="5">
        <v>0</v>
      </c>
      <c r="G33072" s="5">
        <v>0</v>
      </c>
      <c r="H33072" s="5">
        <v>0</v>
      </c>
      <c r="I33072" s="5">
        <v>0</v>
      </c>
      <c r="J33072" s="5">
        <v>0</v>
      </c>
      <c r="K33072" s="5">
        <v>0</v>
      </c>
    </row>
    <row r="33073" spans="1:11" x14ac:dyDescent="0.25">
      <c r="A33073" s="5">
        <f>33066</f>
      </c>
      <c r="B33073" s="5" t="s">
        <v>33081</v>
      </c>
      <c r="C33073" s="5">
        <v>0</v>
      </c>
      <c r="D33073" s="5">
        <v>0</v>
      </c>
      <c r="E33073" s="5">
        <v>0</v>
      </c>
      <c r="F33073" s="5">
        <v>0</v>
      </c>
      <c r="G33073" s="5">
        <v>0</v>
      </c>
      <c r="H33073" s="5">
        <v>0</v>
      </c>
      <c r="I33073" s="5">
        <v>0</v>
      </c>
      <c r="J33073" s="5">
        <v>0</v>
      </c>
      <c r="K33073" s="5">
        <v>0</v>
      </c>
    </row>
    <row r="33074" spans="1:11" x14ac:dyDescent="0.25">
      <c r="A33074" s="5">
        <f>33067</f>
      </c>
      <c r="B33074" s="5" t="s">
        <v>33082</v>
      </c>
      <c r="C33074" s="5">
        <v>0</v>
      </c>
      <c r="D33074" s="5">
        <v>0</v>
      </c>
      <c r="E33074" s="5">
        <v>0</v>
      </c>
      <c r="F33074" s="5">
        <v>0</v>
      </c>
      <c r="G33074" s="5">
        <v>0</v>
      </c>
      <c r="H33074" s="5">
        <v>0</v>
      </c>
      <c r="I33074" s="5">
        <v>0</v>
      </c>
      <c r="J33074" s="5">
        <v>0</v>
      </c>
      <c r="K33074" s="5">
        <v>0</v>
      </c>
    </row>
    <row r="33075" spans="1:11" x14ac:dyDescent="0.25">
      <c r="A33075" s="5">
        <f>33068</f>
      </c>
      <c r="B33075" s="5" t="s">
        <v>33083</v>
      </c>
      <c r="C33075" s="5">
        <v>0</v>
      </c>
      <c r="D33075" s="5">
        <v>0</v>
      </c>
      <c r="E33075" s="5">
        <v>0</v>
      </c>
      <c r="F33075" s="5">
        <v>0</v>
      </c>
      <c r="G33075" s="5">
        <v>0</v>
      </c>
      <c r="H33075" s="5">
        <v>0</v>
      </c>
      <c r="I33075" s="5">
        <v>0</v>
      </c>
      <c r="J33075" s="5">
        <v>0</v>
      </c>
      <c r="K33075" s="5">
        <v>0</v>
      </c>
    </row>
    <row r="33076" spans="1:11" x14ac:dyDescent="0.25">
      <c r="A33076" s="5">
        <f>33069</f>
      </c>
      <c r="B33076" s="5" t="s">
        <v>33084</v>
      </c>
      <c r="C33076" s="5">
        <v>0</v>
      </c>
      <c r="D33076" s="5">
        <v>0</v>
      </c>
      <c r="E33076" s="5">
        <v>0</v>
      </c>
      <c r="F33076" s="5">
        <v>0</v>
      </c>
      <c r="G33076" s="5">
        <v>0</v>
      </c>
      <c r="H33076" s="5">
        <v>0</v>
      </c>
      <c r="I33076" s="5">
        <v>0</v>
      </c>
      <c r="J33076" s="5">
        <v>0</v>
      </c>
      <c r="K33076" s="5">
        <v>0</v>
      </c>
    </row>
    <row r="33077" spans="1:11" x14ac:dyDescent="0.25">
      <c r="A33077" s="5">
        <f>33070</f>
      </c>
      <c r="B33077" s="5" t="s">
        <v>33085</v>
      </c>
      <c r="C33077" s="5">
        <v>0</v>
      </c>
      <c r="D33077" s="5">
        <v>0</v>
      </c>
      <c r="E33077" s="5">
        <v>0</v>
      </c>
      <c r="F33077" s="5">
        <v>0</v>
      </c>
      <c r="G33077" s="5">
        <v>0</v>
      </c>
      <c r="H33077" s="5">
        <v>0</v>
      </c>
      <c r="I33077" s="5">
        <v>0</v>
      </c>
      <c r="J33077" s="5">
        <v>0</v>
      </c>
      <c r="K33077" s="5">
        <v>0</v>
      </c>
    </row>
    <row r="33078" spans="1:11" x14ac:dyDescent="0.25">
      <c r="A33078" s="5">
        <f>33071</f>
      </c>
      <c r="B33078" s="5" t="s">
        <v>33086</v>
      </c>
      <c r="C33078" s="5">
        <v>0</v>
      </c>
      <c r="D33078" s="5">
        <v>0</v>
      </c>
      <c r="E33078" s="5">
        <v>0</v>
      </c>
      <c r="F33078" s="5">
        <v>0</v>
      </c>
      <c r="G33078" s="5">
        <v>0</v>
      </c>
      <c r="H33078" s="5">
        <v>0</v>
      </c>
      <c r="I33078" s="5">
        <v>0</v>
      </c>
      <c r="J33078" s="5">
        <v>0</v>
      </c>
      <c r="K33078" s="5">
        <v>0</v>
      </c>
    </row>
    <row r="33079" spans="1:11" x14ac:dyDescent="0.25">
      <c r="A33079" s="5">
        <f>33072</f>
      </c>
      <c r="B33079" s="5" t="s">
        <v>33087</v>
      </c>
      <c r="C33079" s="5">
        <v>0</v>
      </c>
      <c r="D33079" s="5">
        <v>0</v>
      </c>
      <c r="E33079" s="5">
        <v>0</v>
      </c>
      <c r="F33079" s="5">
        <v>0</v>
      </c>
      <c r="G33079" s="5">
        <v>0</v>
      </c>
      <c r="H33079" s="5">
        <v>0</v>
      </c>
      <c r="I33079" s="5">
        <v>0</v>
      </c>
      <c r="J33079" s="5">
        <v>0</v>
      </c>
      <c r="K33079" s="5">
        <v>0</v>
      </c>
    </row>
    <row r="33080" spans="1:11" x14ac:dyDescent="0.25">
      <c r="A33080" s="5">
        <f>33073</f>
      </c>
      <c r="B33080" s="5" t="s">
        <v>33088</v>
      </c>
      <c r="C33080" s="5">
        <v>0</v>
      </c>
      <c r="D33080" s="5">
        <v>0</v>
      </c>
      <c r="E33080" s="5">
        <v>0</v>
      </c>
      <c r="F33080" s="5">
        <v>0</v>
      </c>
      <c r="G33080" s="5">
        <v>0</v>
      </c>
      <c r="H33080" s="5">
        <v>0</v>
      </c>
      <c r="I33080" s="5">
        <v>0</v>
      </c>
      <c r="J33080" s="5">
        <v>0</v>
      </c>
      <c r="K33080" s="5">
        <v>0</v>
      </c>
    </row>
    <row r="33081" spans="1:11" x14ac:dyDescent="0.25">
      <c r="A33081" s="5">
        <f>33074</f>
      </c>
      <c r="B33081" s="5" t="s">
        <v>33089</v>
      </c>
      <c r="C33081" s="5">
        <v>0</v>
      </c>
      <c r="D33081" s="5">
        <v>0</v>
      </c>
      <c r="E33081" s="5">
        <v>0</v>
      </c>
      <c r="F33081" s="5">
        <v>0</v>
      </c>
      <c r="G33081" s="5">
        <v>0</v>
      </c>
      <c r="H33081" s="5">
        <v>0</v>
      </c>
      <c r="I33081" s="5">
        <v>0</v>
      </c>
      <c r="J33081" s="5">
        <v>0</v>
      </c>
      <c r="K33081" s="5">
        <v>0</v>
      </c>
    </row>
    <row r="33082" spans="1:11" x14ac:dyDescent="0.25">
      <c r="A33082" s="5">
        <f>33075</f>
      </c>
      <c r="B33082" s="5" t="s">
        <v>33090</v>
      </c>
      <c r="C33082" s="5">
        <v>0</v>
      </c>
      <c r="D33082" s="5">
        <v>0</v>
      </c>
      <c r="E33082" s="5">
        <v>0</v>
      </c>
      <c r="F33082" s="5">
        <v>0</v>
      </c>
      <c r="G33082" s="5">
        <v>0</v>
      </c>
      <c r="H33082" s="5">
        <v>0</v>
      </c>
      <c r="I33082" s="5">
        <v>0</v>
      </c>
      <c r="J33082" s="5">
        <v>0</v>
      </c>
      <c r="K33082" s="5">
        <v>0</v>
      </c>
    </row>
    <row r="33083" spans="1:11" x14ac:dyDescent="0.25">
      <c r="A33083" s="5">
        <f>33076</f>
      </c>
      <c r="B33083" s="5" t="s">
        <v>33091</v>
      </c>
      <c r="C33083" s="5">
        <v>0</v>
      </c>
      <c r="D33083" s="5">
        <v>0</v>
      </c>
      <c r="E33083" s="5">
        <v>0</v>
      </c>
      <c r="F33083" s="5">
        <v>0</v>
      </c>
      <c r="G33083" s="5">
        <v>0</v>
      </c>
      <c r="H33083" s="5">
        <v>0</v>
      </c>
      <c r="I33083" s="5">
        <v>0</v>
      </c>
      <c r="J33083" s="5">
        <v>0</v>
      </c>
      <c r="K33083" s="5">
        <v>0</v>
      </c>
    </row>
    <row r="33084" spans="1:11" x14ac:dyDescent="0.25">
      <c r="A33084" s="5">
        <f>33077</f>
      </c>
      <c r="B33084" s="5" t="s">
        <v>33092</v>
      </c>
      <c r="C33084" s="5">
        <v>0</v>
      </c>
      <c r="D33084" s="5">
        <v>0</v>
      </c>
      <c r="E33084" s="5">
        <v>0</v>
      </c>
      <c r="F33084" s="5">
        <v>0</v>
      </c>
      <c r="G33084" s="5">
        <v>0</v>
      </c>
      <c r="H33084" s="5">
        <v>0</v>
      </c>
      <c r="I33084" s="5">
        <v>0</v>
      </c>
      <c r="J33084" s="5">
        <v>0</v>
      </c>
      <c r="K33084" s="5">
        <v>0</v>
      </c>
    </row>
    <row r="33085" spans="1:11" x14ac:dyDescent="0.25">
      <c r="A33085" s="5">
        <f>33078</f>
      </c>
      <c r="B33085" s="5" t="s">
        <v>33093</v>
      </c>
      <c r="C33085" s="5">
        <v>0</v>
      </c>
      <c r="D33085" s="5">
        <v>0</v>
      </c>
      <c r="E33085" s="5">
        <v>0</v>
      </c>
      <c r="F33085" s="5">
        <v>0</v>
      </c>
      <c r="G33085" s="5">
        <v>0</v>
      </c>
      <c r="H33085" s="5">
        <v>0</v>
      </c>
      <c r="I33085" s="5">
        <v>0</v>
      </c>
      <c r="J33085" s="5">
        <v>0</v>
      </c>
      <c r="K33085" s="5">
        <v>0</v>
      </c>
    </row>
    <row r="33086" spans="1:11" x14ac:dyDescent="0.25">
      <c r="A33086" s="5">
        <f>33079</f>
      </c>
      <c r="B33086" s="5" t="s">
        <v>33094</v>
      </c>
      <c r="C33086" s="5">
        <v>0</v>
      </c>
      <c r="D33086" s="5">
        <v>0</v>
      </c>
      <c r="E33086" s="5">
        <v>0</v>
      </c>
      <c r="F33086" s="5">
        <v>0</v>
      </c>
      <c r="G33086" s="5">
        <v>0</v>
      </c>
      <c r="H33086" s="5">
        <v>0</v>
      </c>
      <c r="I33086" s="5">
        <v>0</v>
      </c>
      <c r="J33086" s="5">
        <v>0</v>
      </c>
      <c r="K33086" s="5">
        <v>0</v>
      </c>
    </row>
    <row r="33087" spans="1:11" x14ac:dyDescent="0.25">
      <c r="A33087" s="5">
        <f>33080</f>
      </c>
      <c r="B33087" s="5" t="s">
        <v>33095</v>
      </c>
      <c r="C33087" s="5">
        <v>0</v>
      </c>
      <c r="D33087" s="5">
        <v>0</v>
      </c>
      <c r="E33087" s="5">
        <v>0</v>
      </c>
      <c r="F33087" s="5">
        <v>0</v>
      </c>
      <c r="G33087" s="5">
        <v>0</v>
      </c>
      <c r="H33087" s="5">
        <v>0</v>
      </c>
      <c r="I33087" s="5">
        <v>0</v>
      </c>
      <c r="J33087" s="5">
        <v>0</v>
      </c>
      <c r="K33087" s="5">
        <v>0</v>
      </c>
    </row>
    <row r="33088" spans="1:11" x14ac:dyDescent="0.25">
      <c r="A33088" s="5">
        <f>33081</f>
      </c>
      <c r="B33088" s="5" t="s">
        <v>33096</v>
      </c>
      <c r="C33088" s="5">
        <v>0</v>
      </c>
      <c r="D33088" s="5">
        <v>0</v>
      </c>
      <c r="E33088" s="5">
        <v>0</v>
      </c>
      <c r="F33088" s="5">
        <v>0</v>
      </c>
      <c r="G33088" s="5">
        <v>0</v>
      </c>
      <c r="H33088" s="5">
        <v>0</v>
      </c>
      <c r="I33088" s="5">
        <v>0</v>
      </c>
      <c r="J33088" s="5">
        <v>0</v>
      </c>
      <c r="K33088" s="5">
        <v>0</v>
      </c>
    </row>
    <row r="33089" spans="1:11" x14ac:dyDescent="0.25">
      <c r="A33089" s="5">
        <f>33082</f>
      </c>
      <c r="B33089" s="5" t="s">
        <v>33097</v>
      </c>
      <c r="C33089" s="5">
        <v>0</v>
      </c>
      <c r="D33089" s="5">
        <v>0</v>
      </c>
      <c r="E33089" s="5">
        <v>0</v>
      </c>
      <c r="F33089" s="5">
        <v>0</v>
      </c>
      <c r="G33089" s="5">
        <v>0</v>
      </c>
      <c r="H33089" s="5">
        <v>0</v>
      </c>
      <c r="I33089" s="5">
        <v>0</v>
      </c>
      <c r="J33089" s="5">
        <v>0</v>
      </c>
      <c r="K33089" s="5">
        <v>0</v>
      </c>
    </row>
    <row r="33090" spans="1:11" x14ac:dyDescent="0.25">
      <c r="A33090" s="5">
        <f>33083</f>
      </c>
      <c r="B33090" s="5" t="s">
        <v>33098</v>
      </c>
      <c r="C33090" s="5">
        <v>0</v>
      </c>
      <c r="D33090" s="5">
        <v>0</v>
      </c>
      <c r="E33090" s="5">
        <v>0</v>
      </c>
      <c r="F33090" s="5">
        <v>0</v>
      </c>
      <c r="G33090" s="5">
        <v>0</v>
      </c>
      <c r="H33090" s="5">
        <v>0</v>
      </c>
      <c r="I33090" s="5">
        <v>0</v>
      </c>
      <c r="J33090" s="5">
        <v>0</v>
      </c>
      <c r="K33090" s="5">
        <v>0</v>
      </c>
    </row>
    <row r="33091" spans="1:11" x14ac:dyDescent="0.25">
      <c r="A33091" s="5">
        <f>33084</f>
      </c>
      <c r="B33091" s="5" t="s">
        <v>33099</v>
      </c>
      <c r="C33091" s="5">
        <v>0</v>
      </c>
      <c r="D33091" s="5">
        <v>0</v>
      </c>
      <c r="E33091" s="5">
        <v>0</v>
      </c>
      <c r="F33091" s="5">
        <v>0</v>
      </c>
      <c r="G33091" s="5">
        <v>0</v>
      </c>
      <c r="H33091" s="5">
        <v>0</v>
      </c>
      <c r="I33091" s="5">
        <v>0</v>
      </c>
      <c r="J33091" s="5">
        <v>0</v>
      </c>
      <c r="K33091" s="5">
        <v>0</v>
      </c>
    </row>
    <row r="33092" spans="1:11" x14ac:dyDescent="0.25">
      <c r="A33092" s="5">
        <f>33085</f>
      </c>
      <c r="B33092" s="5" t="s">
        <v>33100</v>
      </c>
      <c r="C33092" s="5">
        <v>0</v>
      </c>
      <c r="D33092" s="5">
        <v>0</v>
      </c>
      <c r="E33092" s="5">
        <v>0</v>
      </c>
      <c r="F33092" s="5">
        <v>0</v>
      </c>
      <c r="G33092" s="5">
        <v>0</v>
      </c>
      <c r="H33092" s="5">
        <v>0</v>
      </c>
      <c r="I33092" s="5">
        <v>0</v>
      </c>
      <c r="J33092" s="5">
        <v>0</v>
      </c>
      <c r="K33092" s="5">
        <v>0</v>
      </c>
    </row>
    <row r="33093" spans="1:11" x14ac:dyDescent="0.25">
      <c r="A33093" s="5">
        <f>33086</f>
      </c>
      <c r="B33093" s="5" t="s">
        <v>33101</v>
      </c>
      <c r="C33093" s="5">
        <v>0</v>
      </c>
      <c r="D33093" s="5">
        <v>0</v>
      </c>
      <c r="E33093" s="5">
        <v>0</v>
      </c>
      <c r="F33093" s="5">
        <v>0</v>
      </c>
      <c r="G33093" s="5">
        <v>0</v>
      </c>
      <c r="H33093" s="5">
        <v>0</v>
      </c>
      <c r="I33093" s="5">
        <v>0</v>
      </c>
      <c r="J33093" s="5">
        <v>0</v>
      </c>
      <c r="K33093" s="5">
        <v>0</v>
      </c>
    </row>
    <row r="33094" spans="1:11" x14ac:dyDescent="0.25">
      <c r="A33094" s="5">
        <f>33087</f>
      </c>
      <c r="B33094" s="5" t="s">
        <v>33102</v>
      </c>
      <c r="C33094" s="5">
        <v>0</v>
      </c>
      <c r="D33094" s="5">
        <v>0</v>
      </c>
      <c r="E33094" s="5">
        <v>0</v>
      </c>
      <c r="F33094" s="5">
        <v>0</v>
      </c>
      <c r="G33094" s="5">
        <v>0</v>
      </c>
      <c r="H33094" s="5">
        <v>0</v>
      </c>
      <c r="I33094" s="5">
        <v>0</v>
      </c>
      <c r="J33094" s="5">
        <v>0</v>
      </c>
      <c r="K33094" s="5">
        <v>0</v>
      </c>
    </row>
    <row r="33095" spans="1:11" x14ac:dyDescent="0.25">
      <c r="A33095" s="5">
        <f>33088</f>
      </c>
      <c r="B33095" s="5" t="s">
        <v>33103</v>
      </c>
      <c r="C33095" s="5">
        <v>0</v>
      </c>
      <c r="D33095" s="5">
        <v>0</v>
      </c>
      <c r="E33095" s="5">
        <v>0</v>
      </c>
      <c r="F33095" s="5">
        <v>0</v>
      </c>
      <c r="G33095" s="5">
        <v>0</v>
      </c>
      <c r="H33095" s="5">
        <v>0</v>
      </c>
      <c r="I33095" s="5">
        <v>0</v>
      </c>
      <c r="J33095" s="5">
        <v>0</v>
      </c>
      <c r="K33095" s="5">
        <v>0</v>
      </c>
    </row>
    <row r="33096" spans="1:11" x14ac:dyDescent="0.25">
      <c r="A33096" s="5">
        <f>33089</f>
      </c>
      <c r="B33096" s="5" t="s">
        <v>33104</v>
      </c>
      <c r="C33096" s="5">
        <v>0</v>
      </c>
      <c r="D33096" s="5">
        <v>0</v>
      </c>
      <c r="E33096" s="5">
        <v>0</v>
      </c>
      <c r="F33096" s="5">
        <v>0</v>
      </c>
      <c r="G33096" s="5">
        <v>0</v>
      </c>
      <c r="H33096" s="5">
        <v>0</v>
      </c>
      <c r="I33096" s="5">
        <v>0</v>
      </c>
      <c r="J33096" s="5">
        <v>0</v>
      </c>
      <c r="K33096" s="5">
        <v>0</v>
      </c>
    </row>
    <row r="33097" spans="1:11" x14ac:dyDescent="0.25">
      <c r="A33097" s="5">
        <f>33090</f>
      </c>
      <c r="B33097" s="5" t="s">
        <v>33105</v>
      </c>
      <c r="C33097" s="5">
        <v>0</v>
      </c>
      <c r="D33097" s="5">
        <v>0</v>
      </c>
      <c r="E33097" s="5">
        <v>0</v>
      </c>
      <c r="F33097" s="5">
        <v>0</v>
      </c>
      <c r="G33097" s="5">
        <v>0</v>
      </c>
      <c r="H33097" s="5">
        <v>0</v>
      </c>
      <c r="I33097" s="5">
        <v>0</v>
      </c>
      <c r="J33097" s="5">
        <v>0</v>
      </c>
      <c r="K33097" s="5">
        <v>0</v>
      </c>
    </row>
    <row r="33098" spans="1:11" x14ac:dyDescent="0.25">
      <c r="A33098" s="5">
        <f>33091</f>
      </c>
      <c r="B33098" s="5" t="s">
        <v>33106</v>
      </c>
      <c r="C33098" s="5">
        <v>0</v>
      </c>
      <c r="D33098" s="5">
        <v>0</v>
      </c>
      <c r="E33098" s="5">
        <v>0</v>
      </c>
      <c r="F33098" s="5">
        <v>0</v>
      </c>
      <c r="G33098" s="5">
        <v>0</v>
      </c>
      <c r="H33098" s="5">
        <v>0</v>
      </c>
      <c r="I33098" s="5">
        <v>0</v>
      </c>
      <c r="J33098" s="5">
        <v>0</v>
      </c>
      <c r="K33098" s="5">
        <v>0</v>
      </c>
    </row>
    <row r="33099" spans="1:11" x14ac:dyDescent="0.25">
      <c r="A33099" s="5">
        <f>33092</f>
      </c>
      <c r="B33099" s="5" t="s">
        <v>33107</v>
      </c>
      <c r="C33099" s="5">
        <v>0</v>
      </c>
      <c r="D33099" s="5">
        <v>0</v>
      </c>
      <c r="E33099" s="5">
        <v>0</v>
      </c>
      <c r="F33099" s="5">
        <v>0</v>
      </c>
      <c r="G33099" s="5">
        <v>0</v>
      </c>
      <c r="H33099" s="5">
        <v>0</v>
      </c>
      <c r="I33099" s="5">
        <v>0</v>
      </c>
      <c r="J33099" s="5">
        <v>0</v>
      </c>
      <c r="K33099" s="5">
        <v>0</v>
      </c>
    </row>
    <row r="33100" spans="1:11" x14ac:dyDescent="0.25">
      <c r="A33100" s="5">
        <f>33093</f>
      </c>
      <c r="B33100" s="5" t="s">
        <v>33108</v>
      </c>
      <c r="C33100" s="5">
        <v>0</v>
      </c>
      <c r="D33100" s="5">
        <v>0</v>
      </c>
      <c r="E33100" s="5">
        <v>0</v>
      </c>
      <c r="F33100" s="5">
        <v>0</v>
      </c>
      <c r="G33100" s="5">
        <v>0</v>
      </c>
      <c r="H33100" s="5">
        <v>0</v>
      </c>
      <c r="I33100" s="5">
        <v>0</v>
      </c>
      <c r="J33100" s="5">
        <v>0</v>
      </c>
      <c r="K33100" s="5">
        <v>0</v>
      </c>
    </row>
    <row r="33101" spans="1:11" x14ac:dyDescent="0.25">
      <c r="A33101" s="5">
        <f>33094</f>
      </c>
      <c r="B33101" s="5" t="s">
        <v>33109</v>
      </c>
      <c r="C33101" s="5">
        <v>0</v>
      </c>
      <c r="D33101" s="5">
        <v>0</v>
      </c>
      <c r="E33101" s="5">
        <v>0</v>
      </c>
      <c r="F33101" s="5">
        <v>0</v>
      </c>
      <c r="G33101" s="5">
        <v>0</v>
      </c>
      <c r="H33101" s="5">
        <v>0</v>
      </c>
      <c r="I33101" s="5">
        <v>0</v>
      </c>
      <c r="J33101" s="5">
        <v>0</v>
      </c>
      <c r="K33101" s="5">
        <v>0</v>
      </c>
    </row>
    <row r="33102" spans="1:11" x14ac:dyDescent="0.25">
      <c r="A33102" s="5">
        <f>33095</f>
      </c>
      <c r="B33102" s="5" t="s">
        <v>33110</v>
      </c>
      <c r="C33102" s="5">
        <v>0</v>
      </c>
      <c r="D33102" s="5">
        <v>0</v>
      </c>
      <c r="E33102" s="5">
        <v>0</v>
      </c>
      <c r="F33102" s="5">
        <v>0</v>
      </c>
      <c r="G33102" s="5">
        <v>0</v>
      </c>
      <c r="H33102" s="5">
        <v>0</v>
      </c>
      <c r="I33102" s="5">
        <v>0</v>
      </c>
      <c r="J33102" s="5">
        <v>0</v>
      </c>
      <c r="K33102" s="5">
        <v>0</v>
      </c>
    </row>
    <row r="33103" spans="1:11" x14ac:dyDescent="0.25">
      <c r="A33103" s="5">
        <f>33096</f>
      </c>
      <c r="B33103" s="5" t="s">
        <v>33111</v>
      </c>
      <c r="C33103" s="5">
        <v>0</v>
      </c>
      <c r="D33103" s="5">
        <v>0</v>
      </c>
      <c r="E33103" s="5">
        <v>0</v>
      </c>
      <c r="F33103" s="5">
        <v>0</v>
      </c>
      <c r="G33103" s="5">
        <v>0</v>
      </c>
      <c r="H33103" s="5">
        <v>0</v>
      </c>
      <c r="I33103" s="5">
        <v>0</v>
      </c>
      <c r="J33103" s="5">
        <v>0</v>
      </c>
      <c r="K33103" s="5">
        <v>0</v>
      </c>
    </row>
    <row r="33104" spans="1:11" x14ac:dyDescent="0.25">
      <c r="A33104" s="5">
        <f>33097</f>
      </c>
      <c r="B33104" s="5" t="s">
        <v>33112</v>
      </c>
      <c r="C33104" s="5">
        <v>0</v>
      </c>
      <c r="D33104" s="5">
        <v>0</v>
      </c>
      <c r="E33104" s="5">
        <v>0</v>
      </c>
      <c r="F33104" s="5">
        <v>0</v>
      </c>
      <c r="G33104" s="5">
        <v>0</v>
      </c>
      <c r="H33104" s="5">
        <v>0</v>
      </c>
      <c r="I33104" s="5">
        <v>0</v>
      </c>
      <c r="J33104" s="5">
        <v>0</v>
      </c>
      <c r="K33104" s="5">
        <v>0</v>
      </c>
    </row>
    <row r="33105" spans="1:11" x14ac:dyDescent="0.25">
      <c r="A33105" s="5">
        <f>33098</f>
      </c>
      <c r="B33105" s="5" t="s">
        <v>33113</v>
      </c>
      <c r="C33105" s="5">
        <v>0</v>
      </c>
      <c r="D33105" s="5">
        <v>0</v>
      </c>
      <c r="E33105" s="5">
        <v>0</v>
      </c>
      <c r="F33105" s="5">
        <v>0</v>
      </c>
      <c r="G33105" s="5">
        <v>0</v>
      </c>
      <c r="H33105" s="5">
        <v>0</v>
      </c>
      <c r="I33105" s="5">
        <v>0</v>
      </c>
      <c r="J33105" s="5">
        <v>0</v>
      </c>
      <c r="K33105" s="5">
        <v>0</v>
      </c>
    </row>
    <row r="33106" spans="1:11" x14ac:dyDescent="0.25">
      <c r="A33106" s="5">
        <f>33099</f>
      </c>
      <c r="B33106" s="5" t="s">
        <v>33114</v>
      </c>
      <c r="C33106" s="5">
        <v>0</v>
      </c>
      <c r="D33106" s="5">
        <v>0</v>
      </c>
      <c r="E33106" s="5">
        <v>0</v>
      </c>
      <c r="F33106" s="5">
        <v>0</v>
      </c>
      <c r="G33106" s="5">
        <v>0</v>
      </c>
      <c r="H33106" s="5">
        <v>0</v>
      </c>
      <c r="I33106" s="5">
        <v>0</v>
      </c>
      <c r="J33106" s="5">
        <v>0</v>
      </c>
      <c r="K33106" s="5">
        <v>0</v>
      </c>
    </row>
    <row r="33107" spans="1:11" x14ac:dyDescent="0.25">
      <c r="A33107" s="5">
        <f>33100</f>
      </c>
      <c r="B33107" s="5" t="s">
        <v>33115</v>
      </c>
      <c r="C33107" s="5">
        <v>0</v>
      </c>
      <c r="D33107" s="5">
        <v>0</v>
      </c>
      <c r="E33107" s="5">
        <v>0</v>
      </c>
      <c r="F33107" s="5">
        <v>0</v>
      </c>
      <c r="G33107" s="5">
        <v>0</v>
      </c>
      <c r="H33107" s="5">
        <v>0</v>
      </c>
      <c r="I33107" s="5">
        <v>0</v>
      </c>
      <c r="J33107" s="5">
        <v>0</v>
      </c>
      <c r="K33107" s="5">
        <v>0</v>
      </c>
    </row>
    <row r="33108" spans="1:11" x14ac:dyDescent="0.25">
      <c r="A33108" s="5">
        <f>33101</f>
      </c>
      <c r="B33108" s="5" t="s">
        <v>33116</v>
      </c>
      <c r="C33108" s="5">
        <v>0</v>
      </c>
      <c r="D33108" s="5">
        <v>0</v>
      </c>
      <c r="E33108" s="5">
        <v>0</v>
      </c>
      <c r="F33108" s="5">
        <v>0</v>
      </c>
      <c r="G33108" s="5">
        <v>0</v>
      </c>
      <c r="H33108" s="5">
        <v>0</v>
      </c>
      <c r="I33108" s="5">
        <v>0</v>
      </c>
      <c r="J33108" s="5">
        <v>0</v>
      </c>
      <c r="K33108" s="5">
        <v>0</v>
      </c>
    </row>
    <row r="33109" spans="1:11" x14ac:dyDescent="0.25">
      <c r="A33109" s="5">
        <f>33102</f>
      </c>
      <c r="B33109" s="5" t="s">
        <v>33117</v>
      </c>
      <c r="C33109" s="5">
        <v>0</v>
      </c>
      <c r="D33109" s="5">
        <v>0</v>
      </c>
      <c r="E33109" s="5">
        <v>0</v>
      </c>
      <c r="F33109" s="5">
        <v>0</v>
      </c>
      <c r="G33109" s="5">
        <v>0</v>
      </c>
      <c r="H33109" s="5">
        <v>0</v>
      </c>
      <c r="I33109" s="5">
        <v>0</v>
      </c>
      <c r="J33109" s="5">
        <v>0</v>
      </c>
      <c r="K33109" s="5">
        <v>0</v>
      </c>
    </row>
    <row r="33110" spans="1:11" x14ac:dyDescent="0.25">
      <c r="A33110" s="5">
        <f>33103</f>
      </c>
      <c r="B33110" s="5" t="s">
        <v>33118</v>
      </c>
      <c r="C33110" s="5">
        <v>0</v>
      </c>
      <c r="D33110" s="5">
        <v>0</v>
      </c>
      <c r="E33110" s="5">
        <v>0</v>
      </c>
      <c r="F33110" s="5">
        <v>0</v>
      </c>
      <c r="G33110" s="5">
        <v>0</v>
      </c>
      <c r="H33110" s="5">
        <v>0</v>
      </c>
      <c r="I33110" s="5">
        <v>0</v>
      </c>
      <c r="J33110" s="5">
        <v>0</v>
      </c>
      <c r="K33110" s="5">
        <v>0</v>
      </c>
    </row>
    <row r="33111" spans="1:11" x14ac:dyDescent="0.25">
      <c r="A33111" s="5">
        <f>33104</f>
      </c>
      <c r="B33111" s="5" t="s">
        <v>33119</v>
      </c>
      <c r="C33111" s="5">
        <v>0</v>
      </c>
      <c r="D33111" s="5">
        <v>0</v>
      </c>
      <c r="E33111" s="5">
        <v>0</v>
      </c>
      <c r="F33111" s="5">
        <v>0</v>
      </c>
      <c r="G33111" s="5">
        <v>0</v>
      </c>
      <c r="H33111" s="5">
        <v>0</v>
      </c>
      <c r="I33111" s="5">
        <v>0</v>
      </c>
      <c r="J33111" s="5">
        <v>0</v>
      </c>
      <c r="K33111" s="5">
        <v>0</v>
      </c>
    </row>
    <row r="33112" spans="1:11" x14ac:dyDescent="0.25">
      <c r="A33112" s="5">
        <f>33105</f>
      </c>
      <c r="B33112" s="5" t="s">
        <v>33120</v>
      </c>
      <c r="C33112" s="5">
        <v>0</v>
      </c>
      <c r="D33112" s="5">
        <v>0</v>
      </c>
      <c r="E33112" s="5">
        <v>0</v>
      </c>
      <c r="F33112" s="5">
        <v>0</v>
      </c>
      <c r="G33112" s="5">
        <v>0</v>
      </c>
      <c r="H33112" s="5">
        <v>0</v>
      </c>
      <c r="I33112" s="5">
        <v>0</v>
      </c>
      <c r="J33112" s="5">
        <v>0</v>
      </c>
      <c r="K33112" s="5">
        <v>0</v>
      </c>
    </row>
    <row r="33113" spans="1:11" x14ac:dyDescent="0.25">
      <c r="A33113" s="5">
        <f>33106</f>
      </c>
      <c r="B33113" s="5" t="s">
        <v>33121</v>
      </c>
      <c r="C33113" s="5">
        <v>0</v>
      </c>
      <c r="D33113" s="5">
        <v>0</v>
      </c>
      <c r="E33113" s="5">
        <v>0</v>
      </c>
      <c r="F33113" s="5">
        <v>0</v>
      </c>
      <c r="G33113" s="5">
        <v>0</v>
      </c>
      <c r="H33113" s="5">
        <v>0</v>
      </c>
      <c r="I33113" s="5">
        <v>0</v>
      </c>
      <c r="J33113" s="5">
        <v>0</v>
      </c>
      <c r="K33113" s="5">
        <v>0</v>
      </c>
    </row>
    <row r="33114" spans="1:11" x14ac:dyDescent="0.25">
      <c r="A33114" s="5">
        <f>33107</f>
      </c>
      <c r="B33114" s="5" t="s">
        <v>33122</v>
      </c>
      <c r="C33114" s="5">
        <v>0</v>
      </c>
      <c r="D33114" s="5">
        <v>0</v>
      </c>
      <c r="E33114" s="5">
        <v>0</v>
      </c>
      <c r="F33114" s="5">
        <v>0</v>
      </c>
      <c r="G33114" s="5">
        <v>0</v>
      </c>
      <c r="H33114" s="5">
        <v>0</v>
      </c>
      <c r="I33114" s="5">
        <v>0</v>
      </c>
      <c r="J33114" s="5">
        <v>0</v>
      </c>
      <c r="K33114" s="5">
        <v>0</v>
      </c>
    </row>
    <row r="33115" spans="1:11" x14ac:dyDescent="0.25">
      <c r="A33115" s="5">
        <f>33108</f>
      </c>
      <c r="B33115" s="5" t="s">
        <v>33123</v>
      </c>
      <c r="C33115" s="5">
        <v>0</v>
      </c>
      <c r="D33115" s="5">
        <v>0</v>
      </c>
      <c r="E33115" s="5">
        <v>0</v>
      </c>
      <c r="F33115" s="5">
        <v>0</v>
      </c>
      <c r="G33115" s="5">
        <v>0</v>
      </c>
      <c r="H33115" s="5">
        <v>0</v>
      </c>
      <c r="I33115" s="5">
        <v>0</v>
      </c>
      <c r="J33115" s="5">
        <v>0</v>
      </c>
      <c r="K33115" s="5">
        <v>0</v>
      </c>
    </row>
    <row r="33116" spans="1:11" x14ac:dyDescent="0.25">
      <c r="A33116" s="5">
        <f>33109</f>
      </c>
      <c r="B33116" s="5" t="s">
        <v>33124</v>
      </c>
      <c r="C33116" s="5">
        <v>0</v>
      </c>
      <c r="D33116" s="5">
        <v>0</v>
      </c>
      <c r="E33116" s="5">
        <v>0</v>
      </c>
      <c r="F33116" s="5">
        <v>0</v>
      </c>
      <c r="G33116" s="5">
        <v>0</v>
      </c>
      <c r="H33116" s="5">
        <v>0</v>
      </c>
      <c r="I33116" s="5">
        <v>0</v>
      </c>
      <c r="J33116" s="5">
        <v>0</v>
      </c>
      <c r="K33116" s="5">
        <v>0</v>
      </c>
    </row>
    <row r="33117" spans="1:11" x14ac:dyDescent="0.25">
      <c r="A33117" s="5">
        <f>33110</f>
      </c>
      <c r="B33117" s="5" t="s">
        <v>33125</v>
      </c>
      <c r="C33117" s="5">
        <v>0</v>
      </c>
      <c r="D33117" s="5">
        <v>0</v>
      </c>
      <c r="E33117" s="5">
        <v>0</v>
      </c>
      <c r="F33117" s="5">
        <v>0</v>
      </c>
      <c r="G33117" s="5">
        <v>0</v>
      </c>
      <c r="H33117" s="5">
        <v>0</v>
      </c>
      <c r="I33117" s="5">
        <v>0</v>
      </c>
      <c r="J33117" s="5">
        <v>0</v>
      </c>
      <c r="K33117" s="5">
        <v>0</v>
      </c>
    </row>
    <row r="33118" spans="1:11" x14ac:dyDescent="0.25">
      <c r="A33118" s="5">
        <f>33111</f>
      </c>
      <c r="B33118" s="5" t="s">
        <v>33126</v>
      </c>
      <c r="C33118" s="5">
        <v>0</v>
      </c>
      <c r="D33118" s="5">
        <v>0</v>
      </c>
      <c r="E33118" s="5">
        <v>0</v>
      </c>
      <c r="F33118" s="5">
        <v>0</v>
      </c>
      <c r="G33118" s="5">
        <v>0</v>
      </c>
      <c r="H33118" s="5">
        <v>0</v>
      </c>
      <c r="I33118" s="5">
        <v>0</v>
      </c>
      <c r="J33118" s="5">
        <v>0</v>
      </c>
      <c r="K33118" s="5">
        <v>0</v>
      </c>
    </row>
    <row r="33119" spans="1:11" x14ac:dyDescent="0.25">
      <c r="A33119" s="5">
        <f>33112</f>
      </c>
      <c r="B33119" s="5" t="s">
        <v>33127</v>
      </c>
      <c r="C33119" s="5">
        <v>0</v>
      </c>
      <c r="D33119" s="5">
        <v>0</v>
      </c>
      <c r="E33119" s="5">
        <v>0</v>
      </c>
      <c r="F33119" s="5">
        <v>0</v>
      </c>
      <c r="G33119" s="5">
        <v>0</v>
      </c>
      <c r="H33119" s="5">
        <v>0</v>
      </c>
      <c r="I33119" s="5">
        <v>0</v>
      </c>
      <c r="J33119" s="5">
        <v>0</v>
      </c>
      <c r="K33119" s="5">
        <v>0</v>
      </c>
    </row>
    <row r="33120" spans="1:11" x14ac:dyDescent="0.25">
      <c r="A33120" s="5">
        <f>33113</f>
      </c>
      <c r="B33120" s="5" t="s">
        <v>33128</v>
      </c>
      <c r="C33120" s="5">
        <v>0</v>
      </c>
      <c r="D33120" s="5">
        <v>0</v>
      </c>
      <c r="E33120" s="5">
        <v>0</v>
      </c>
      <c r="F33120" s="5">
        <v>0</v>
      </c>
      <c r="G33120" s="5">
        <v>0</v>
      </c>
      <c r="H33120" s="5">
        <v>0</v>
      </c>
      <c r="I33120" s="5">
        <v>0</v>
      </c>
      <c r="J33120" s="5">
        <v>0</v>
      </c>
      <c r="K33120" s="5">
        <v>0</v>
      </c>
    </row>
    <row r="33121" spans="1:11" x14ac:dyDescent="0.25">
      <c r="A33121" s="5">
        <f>33114</f>
      </c>
      <c r="B33121" s="5" t="s">
        <v>33129</v>
      </c>
      <c r="C33121" s="5">
        <v>0</v>
      </c>
      <c r="D33121" s="5">
        <v>0</v>
      </c>
      <c r="E33121" s="5">
        <v>0</v>
      </c>
      <c r="F33121" s="5">
        <v>0</v>
      </c>
      <c r="G33121" s="5">
        <v>0</v>
      </c>
      <c r="H33121" s="5">
        <v>0</v>
      </c>
      <c r="I33121" s="5">
        <v>0</v>
      </c>
      <c r="J33121" s="5">
        <v>0</v>
      </c>
      <c r="K33121" s="5">
        <v>0</v>
      </c>
    </row>
    <row r="33122" spans="1:11" x14ac:dyDescent="0.25">
      <c r="A33122" s="5">
        <f>33115</f>
      </c>
      <c r="B33122" s="5" t="s">
        <v>33130</v>
      </c>
      <c r="C33122" s="5">
        <v>0</v>
      </c>
      <c r="D33122" s="5">
        <v>0</v>
      </c>
      <c r="E33122" s="5">
        <v>0</v>
      </c>
      <c r="F33122" s="5">
        <v>0</v>
      </c>
      <c r="G33122" s="5">
        <v>0</v>
      </c>
      <c r="H33122" s="5">
        <v>0</v>
      </c>
      <c r="I33122" s="5">
        <v>0</v>
      </c>
      <c r="J33122" s="5">
        <v>0</v>
      </c>
      <c r="K33122" s="5">
        <v>0</v>
      </c>
    </row>
    <row r="33123" spans="1:11" x14ac:dyDescent="0.25">
      <c r="A33123" s="5">
        <f>33116</f>
      </c>
      <c r="B33123" s="5" t="s">
        <v>33131</v>
      </c>
      <c r="C33123" s="5">
        <v>0</v>
      </c>
      <c r="D33123" s="5">
        <v>0</v>
      </c>
      <c r="E33123" s="5">
        <v>0</v>
      </c>
      <c r="F33123" s="5">
        <v>0</v>
      </c>
      <c r="G33123" s="5">
        <v>0</v>
      </c>
      <c r="H33123" s="5">
        <v>0</v>
      </c>
      <c r="I33123" s="5">
        <v>0</v>
      </c>
      <c r="J33123" s="5">
        <v>0</v>
      </c>
      <c r="K33123" s="5">
        <v>0</v>
      </c>
    </row>
    <row r="33124" spans="1:11" x14ac:dyDescent="0.25">
      <c r="A33124" s="5">
        <f>33117</f>
      </c>
      <c r="B33124" s="5" t="s">
        <v>33132</v>
      </c>
      <c r="C33124" s="5">
        <v>0</v>
      </c>
      <c r="D33124" s="5">
        <v>0</v>
      </c>
      <c r="E33124" s="5">
        <v>0</v>
      </c>
      <c r="F33124" s="5">
        <v>0</v>
      </c>
      <c r="G33124" s="5">
        <v>0</v>
      </c>
      <c r="H33124" s="5">
        <v>0</v>
      </c>
      <c r="I33124" s="5">
        <v>0</v>
      </c>
      <c r="J33124" s="5">
        <v>0</v>
      </c>
      <c r="K33124" s="5">
        <v>0</v>
      </c>
    </row>
    <row r="33125" spans="1:11" x14ac:dyDescent="0.25">
      <c r="A33125" s="5">
        <f>33118</f>
      </c>
      <c r="B33125" s="5" t="s">
        <v>33133</v>
      </c>
      <c r="C33125" s="5">
        <v>0</v>
      </c>
      <c r="D33125" s="5">
        <v>0</v>
      </c>
      <c r="E33125" s="5">
        <v>0</v>
      </c>
      <c r="F33125" s="5">
        <v>0</v>
      </c>
      <c r="G33125" s="5">
        <v>0</v>
      </c>
      <c r="H33125" s="5">
        <v>0</v>
      </c>
      <c r="I33125" s="5">
        <v>0</v>
      </c>
      <c r="J33125" s="5">
        <v>0</v>
      </c>
      <c r="K33125" s="5">
        <v>0</v>
      </c>
    </row>
    <row r="33126" spans="1:11" x14ac:dyDescent="0.25">
      <c r="A33126" s="5">
        <f>33119</f>
      </c>
      <c r="B33126" s="5" t="s">
        <v>33134</v>
      </c>
      <c r="C33126" s="5">
        <v>0</v>
      </c>
      <c r="D33126" s="5">
        <v>0</v>
      </c>
      <c r="E33126" s="5">
        <v>0</v>
      </c>
      <c r="F33126" s="5">
        <v>0</v>
      </c>
      <c r="G33126" s="5">
        <v>0</v>
      </c>
      <c r="H33126" s="5">
        <v>0</v>
      </c>
      <c r="I33126" s="5">
        <v>0</v>
      </c>
      <c r="J33126" s="5">
        <v>0</v>
      </c>
      <c r="K33126" s="5">
        <v>0</v>
      </c>
    </row>
    <row r="33127" spans="1:11" x14ac:dyDescent="0.25">
      <c r="A33127" s="5">
        <f>33120</f>
      </c>
      <c r="B33127" s="5" t="s">
        <v>33135</v>
      </c>
      <c r="C33127" s="5">
        <v>0</v>
      </c>
      <c r="D33127" s="5">
        <v>0</v>
      </c>
      <c r="E33127" s="5">
        <v>0</v>
      </c>
      <c r="F33127" s="5">
        <v>0</v>
      </c>
      <c r="G33127" s="5">
        <v>0</v>
      </c>
      <c r="H33127" s="5">
        <v>0</v>
      </c>
      <c r="I33127" s="5">
        <v>0</v>
      </c>
      <c r="J33127" s="5">
        <v>0</v>
      </c>
      <c r="K33127" s="5">
        <v>0</v>
      </c>
    </row>
    <row r="33128" spans="1:11" x14ac:dyDescent="0.25">
      <c r="A33128" s="5">
        <f>33121</f>
      </c>
      <c r="B33128" s="5" t="s">
        <v>33136</v>
      </c>
      <c r="C33128" s="5">
        <v>0</v>
      </c>
      <c r="D33128" s="5">
        <v>0</v>
      </c>
      <c r="E33128" s="5">
        <v>0</v>
      </c>
      <c r="F33128" s="5">
        <v>0</v>
      </c>
      <c r="G33128" s="5">
        <v>0</v>
      </c>
      <c r="H33128" s="5">
        <v>0</v>
      </c>
      <c r="I33128" s="5">
        <v>0</v>
      </c>
      <c r="J33128" s="5">
        <v>0</v>
      </c>
      <c r="K33128" s="5">
        <v>0</v>
      </c>
    </row>
    <row r="33129" spans="1:11" x14ac:dyDescent="0.25">
      <c r="A33129" s="5">
        <f>33122</f>
      </c>
      <c r="B33129" s="5" t="s">
        <v>33137</v>
      </c>
      <c r="C33129" s="5">
        <v>0</v>
      </c>
      <c r="D33129" s="5">
        <v>0</v>
      </c>
      <c r="E33129" s="5">
        <v>0</v>
      </c>
      <c r="F33129" s="5">
        <v>0</v>
      </c>
      <c r="G33129" s="5">
        <v>0</v>
      </c>
      <c r="H33129" s="5">
        <v>0</v>
      </c>
      <c r="I33129" s="5">
        <v>0</v>
      </c>
      <c r="J33129" s="5">
        <v>0</v>
      </c>
      <c r="K33129" s="5">
        <v>0</v>
      </c>
    </row>
    <row r="33130" spans="1:11" x14ac:dyDescent="0.25">
      <c r="A33130" s="5">
        <f>33123</f>
      </c>
      <c r="B33130" s="5" t="s">
        <v>33138</v>
      </c>
      <c r="C33130" s="5">
        <v>0</v>
      </c>
      <c r="D33130" s="5">
        <v>0</v>
      </c>
      <c r="E33130" s="5">
        <v>0</v>
      </c>
      <c r="F33130" s="5">
        <v>0</v>
      </c>
      <c r="G33130" s="5">
        <v>0</v>
      </c>
      <c r="H33130" s="5">
        <v>0</v>
      </c>
      <c r="I33130" s="5">
        <v>0</v>
      </c>
      <c r="J33130" s="5">
        <v>0</v>
      </c>
      <c r="K33130" s="5">
        <v>0</v>
      </c>
    </row>
    <row r="33131" spans="1:11" x14ac:dyDescent="0.25">
      <c r="A33131" s="5">
        <f>33124</f>
      </c>
      <c r="B33131" s="5" t="s">
        <v>33139</v>
      </c>
      <c r="C33131" s="5">
        <v>0</v>
      </c>
      <c r="D33131" s="5">
        <v>0</v>
      </c>
      <c r="E33131" s="5">
        <v>0</v>
      </c>
      <c r="F33131" s="5">
        <v>0</v>
      </c>
      <c r="G33131" s="5">
        <v>0</v>
      </c>
      <c r="H33131" s="5">
        <v>0</v>
      </c>
      <c r="I33131" s="5">
        <v>0</v>
      </c>
      <c r="J33131" s="5">
        <v>0</v>
      </c>
      <c r="K33131" s="5">
        <v>0</v>
      </c>
    </row>
    <row r="33132" spans="1:11" x14ac:dyDescent="0.25">
      <c r="A33132" s="5">
        <f>33125</f>
      </c>
      <c r="B33132" s="5" t="s">
        <v>33140</v>
      </c>
      <c r="C33132" s="5">
        <v>0</v>
      </c>
      <c r="D33132" s="5">
        <v>0</v>
      </c>
      <c r="E33132" s="5">
        <v>0</v>
      </c>
      <c r="F33132" s="5">
        <v>0</v>
      </c>
      <c r="G33132" s="5">
        <v>0</v>
      </c>
      <c r="H33132" s="5">
        <v>0</v>
      </c>
      <c r="I33132" s="5">
        <v>0</v>
      </c>
      <c r="J33132" s="5">
        <v>0</v>
      </c>
      <c r="K33132" s="5">
        <v>0</v>
      </c>
    </row>
    <row r="33133" spans="1:11" x14ac:dyDescent="0.25">
      <c r="A33133" s="5">
        <f>33126</f>
      </c>
      <c r="B33133" s="5" t="s">
        <v>33141</v>
      </c>
      <c r="C33133" s="5">
        <v>0</v>
      </c>
      <c r="D33133" s="5">
        <v>0</v>
      </c>
      <c r="E33133" s="5">
        <v>0</v>
      </c>
      <c r="F33133" s="5">
        <v>0</v>
      </c>
      <c r="G33133" s="5">
        <v>0</v>
      </c>
      <c r="H33133" s="5">
        <v>0</v>
      </c>
      <c r="I33133" s="5">
        <v>0</v>
      </c>
      <c r="J33133" s="5">
        <v>0</v>
      </c>
      <c r="K33133" s="5">
        <v>0</v>
      </c>
    </row>
    <row r="33134" spans="1:11" x14ac:dyDescent="0.25">
      <c r="A33134" s="5">
        <f>33127</f>
      </c>
      <c r="B33134" s="5" t="s">
        <v>33142</v>
      </c>
      <c r="C33134" s="5">
        <v>0</v>
      </c>
      <c r="D33134" s="5">
        <v>0</v>
      </c>
      <c r="E33134" s="5">
        <v>0</v>
      </c>
      <c r="F33134" s="5">
        <v>0</v>
      </c>
      <c r="G33134" s="5">
        <v>0</v>
      </c>
      <c r="H33134" s="5">
        <v>0</v>
      </c>
      <c r="I33134" s="5">
        <v>0</v>
      </c>
      <c r="J33134" s="5">
        <v>0</v>
      </c>
      <c r="K33134" s="5">
        <v>0</v>
      </c>
    </row>
    <row r="33135" spans="1:11" x14ac:dyDescent="0.25">
      <c r="A33135" s="5">
        <f>33128</f>
      </c>
      <c r="B33135" s="5" t="s">
        <v>33143</v>
      </c>
      <c r="C33135" s="5">
        <v>0</v>
      </c>
      <c r="D33135" s="5">
        <v>0</v>
      </c>
      <c r="E33135" s="5">
        <v>0</v>
      </c>
      <c r="F33135" s="5">
        <v>0</v>
      </c>
      <c r="G33135" s="5">
        <v>0</v>
      </c>
      <c r="H33135" s="5">
        <v>0</v>
      </c>
      <c r="I33135" s="5">
        <v>0</v>
      </c>
      <c r="J33135" s="5">
        <v>0</v>
      </c>
      <c r="K33135" s="5">
        <v>0</v>
      </c>
    </row>
    <row r="33136" spans="1:11" x14ac:dyDescent="0.25">
      <c r="A33136" s="5">
        <f>33129</f>
      </c>
      <c r="B33136" s="5" t="s">
        <v>33144</v>
      </c>
      <c r="C33136" s="5">
        <v>0</v>
      </c>
      <c r="D33136" s="5">
        <v>0</v>
      </c>
      <c r="E33136" s="5">
        <v>0</v>
      </c>
      <c r="F33136" s="5">
        <v>0</v>
      </c>
      <c r="G33136" s="5">
        <v>0</v>
      </c>
      <c r="H33136" s="5">
        <v>0</v>
      </c>
      <c r="I33136" s="5">
        <v>0</v>
      </c>
      <c r="J33136" s="5">
        <v>0</v>
      </c>
      <c r="K33136" s="5">
        <v>0</v>
      </c>
    </row>
    <row r="33137" spans="1:11" x14ac:dyDescent="0.25">
      <c r="A33137" s="5">
        <f>33130</f>
      </c>
      <c r="B33137" s="5" t="s">
        <v>33145</v>
      </c>
      <c r="C33137" s="5">
        <v>0</v>
      </c>
      <c r="D33137" s="5">
        <v>0</v>
      </c>
      <c r="E33137" s="5">
        <v>0</v>
      </c>
      <c r="F33137" s="5">
        <v>0</v>
      </c>
      <c r="G33137" s="5">
        <v>0</v>
      </c>
      <c r="H33137" s="5">
        <v>0</v>
      </c>
      <c r="I33137" s="5">
        <v>0</v>
      </c>
      <c r="J33137" s="5">
        <v>0</v>
      </c>
      <c r="K33137" s="5">
        <v>0</v>
      </c>
    </row>
    <row r="33138" spans="1:11" x14ac:dyDescent="0.25">
      <c r="A33138" s="5">
        <f>33131</f>
      </c>
      <c r="B33138" s="5" t="s">
        <v>33146</v>
      </c>
      <c r="C33138" s="5">
        <v>0</v>
      </c>
      <c r="D33138" s="5">
        <v>0</v>
      </c>
      <c r="E33138" s="5">
        <v>0</v>
      </c>
      <c r="F33138" s="5">
        <v>0</v>
      </c>
      <c r="G33138" s="5">
        <v>0</v>
      </c>
      <c r="H33138" s="5">
        <v>0</v>
      </c>
      <c r="I33138" s="5">
        <v>0</v>
      </c>
      <c r="J33138" s="5">
        <v>0</v>
      </c>
      <c r="K33138" s="5">
        <v>0</v>
      </c>
    </row>
    <row r="33139" spans="1:11" x14ac:dyDescent="0.25">
      <c r="A33139" s="5">
        <f>33132</f>
      </c>
      <c r="B33139" s="5" t="s">
        <v>33147</v>
      </c>
      <c r="C33139" s="5">
        <v>0</v>
      </c>
      <c r="D33139" s="5">
        <v>0</v>
      </c>
      <c r="E33139" s="5">
        <v>0</v>
      </c>
      <c r="F33139" s="5">
        <v>0</v>
      </c>
      <c r="G33139" s="5">
        <v>0</v>
      </c>
      <c r="H33139" s="5">
        <v>0</v>
      </c>
      <c r="I33139" s="5">
        <v>0</v>
      </c>
      <c r="J33139" s="5">
        <v>0</v>
      </c>
      <c r="K33139" s="5">
        <v>0</v>
      </c>
    </row>
    <row r="33140" spans="1:11" x14ac:dyDescent="0.25">
      <c r="A33140" s="5">
        <f>33133</f>
      </c>
      <c r="B33140" s="5" t="s">
        <v>33148</v>
      </c>
      <c r="C33140" s="5">
        <v>0</v>
      </c>
      <c r="D33140" s="5">
        <v>0</v>
      </c>
      <c r="E33140" s="5">
        <v>0</v>
      </c>
      <c r="F33140" s="5">
        <v>0</v>
      </c>
      <c r="G33140" s="5">
        <v>0</v>
      </c>
      <c r="H33140" s="5">
        <v>0</v>
      </c>
      <c r="I33140" s="5">
        <v>0</v>
      </c>
      <c r="J33140" s="5">
        <v>0</v>
      </c>
      <c r="K33140" s="5">
        <v>0</v>
      </c>
    </row>
    <row r="33141" spans="1:11" x14ac:dyDescent="0.25">
      <c r="A33141" s="5">
        <f>33134</f>
      </c>
      <c r="B33141" s="5" t="s">
        <v>33149</v>
      </c>
      <c r="C33141" s="5">
        <v>0</v>
      </c>
      <c r="D33141" s="5">
        <v>0</v>
      </c>
      <c r="E33141" s="5">
        <v>0</v>
      </c>
      <c r="F33141" s="5">
        <v>0</v>
      </c>
      <c r="G33141" s="5">
        <v>0</v>
      </c>
      <c r="H33141" s="5">
        <v>0</v>
      </c>
      <c r="I33141" s="5">
        <v>0</v>
      </c>
      <c r="J33141" s="5">
        <v>0</v>
      </c>
      <c r="K33141" s="5">
        <v>0</v>
      </c>
    </row>
    <row r="33142" spans="1:11" x14ac:dyDescent="0.25">
      <c r="A33142" s="5">
        <f>33135</f>
      </c>
      <c r="B33142" s="5" t="s">
        <v>33150</v>
      </c>
      <c r="C33142" s="5">
        <v>0</v>
      </c>
      <c r="D33142" s="5">
        <v>0</v>
      </c>
      <c r="E33142" s="5">
        <v>0</v>
      </c>
      <c r="F33142" s="5">
        <v>0</v>
      </c>
      <c r="G33142" s="5">
        <v>0</v>
      </c>
      <c r="H33142" s="5">
        <v>0</v>
      </c>
      <c r="I33142" s="5">
        <v>0</v>
      </c>
      <c r="J33142" s="5">
        <v>0</v>
      </c>
      <c r="K33142" s="5">
        <v>0</v>
      </c>
    </row>
    <row r="33143" spans="1:11" x14ac:dyDescent="0.25">
      <c r="A33143" s="5">
        <f>33136</f>
      </c>
      <c r="B33143" s="5" t="s">
        <v>33151</v>
      </c>
      <c r="C33143" s="5">
        <v>0</v>
      </c>
      <c r="D33143" s="5">
        <v>0</v>
      </c>
      <c r="E33143" s="5">
        <v>0</v>
      </c>
      <c r="F33143" s="5">
        <v>0</v>
      </c>
      <c r="G33143" s="5">
        <v>0</v>
      </c>
      <c r="H33143" s="5">
        <v>0</v>
      </c>
      <c r="I33143" s="5">
        <v>0</v>
      </c>
      <c r="J33143" s="5">
        <v>0</v>
      </c>
      <c r="K33143" s="5">
        <v>0</v>
      </c>
    </row>
    <row r="33144" spans="1:11" x14ac:dyDescent="0.25">
      <c r="A33144" s="5">
        <f>33137</f>
      </c>
      <c r="B33144" s="5" t="s">
        <v>33152</v>
      </c>
      <c r="C33144" s="5">
        <v>0</v>
      </c>
      <c r="D33144" s="5">
        <v>0</v>
      </c>
      <c r="E33144" s="5">
        <v>0</v>
      </c>
      <c r="F33144" s="5">
        <v>0</v>
      </c>
      <c r="G33144" s="5">
        <v>0</v>
      </c>
      <c r="H33144" s="5">
        <v>0</v>
      </c>
      <c r="I33144" s="5">
        <v>0</v>
      </c>
      <c r="J33144" s="5">
        <v>0</v>
      </c>
      <c r="K33144" s="5">
        <v>0</v>
      </c>
    </row>
    <row r="33145" spans="1:11" x14ac:dyDescent="0.25">
      <c r="A33145" s="5">
        <f>33138</f>
      </c>
      <c r="B33145" s="5" t="s">
        <v>33153</v>
      </c>
      <c r="C33145" s="5">
        <v>0</v>
      </c>
      <c r="D33145" s="5">
        <v>0</v>
      </c>
      <c r="E33145" s="5">
        <v>0</v>
      </c>
      <c r="F33145" s="5">
        <v>0</v>
      </c>
      <c r="G33145" s="5">
        <v>0</v>
      </c>
      <c r="H33145" s="5">
        <v>0</v>
      </c>
      <c r="I33145" s="5">
        <v>0</v>
      </c>
      <c r="J33145" s="5">
        <v>0</v>
      </c>
      <c r="K33145" s="5">
        <v>0</v>
      </c>
    </row>
    <row r="33146" spans="1:11" x14ac:dyDescent="0.25">
      <c r="A33146" s="5">
        <f>33139</f>
      </c>
      <c r="B33146" s="5" t="s">
        <v>33154</v>
      </c>
      <c r="C33146" s="5">
        <v>0</v>
      </c>
      <c r="D33146" s="5">
        <v>0</v>
      </c>
      <c r="E33146" s="5">
        <v>0</v>
      </c>
      <c r="F33146" s="5">
        <v>0</v>
      </c>
      <c r="G33146" s="5">
        <v>0</v>
      </c>
      <c r="H33146" s="5">
        <v>0</v>
      </c>
      <c r="I33146" s="5">
        <v>0</v>
      </c>
      <c r="J33146" s="5">
        <v>0</v>
      </c>
      <c r="K33146" s="5">
        <v>0</v>
      </c>
    </row>
    <row r="33147" spans="1:11" x14ac:dyDescent="0.25">
      <c r="A33147" s="5">
        <f>33140</f>
      </c>
      <c r="B33147" s="5" t="s">
        <v>33155</v>
      </c>
      <c r="C33147" s="5">
        <v>0</v>
      </c>
      <c r="D33147" s="5">
        <v>0</v>
      </c>
      <c r="E33147" s="5">
        <v>0</v>
      </c>
      <c r="F33147" s="5">
        <v>0</v>
      </c>
      <c r="G33147" s="5">
        <v>0</v>
      </c>
      <c r="H33147" s="5">
        <v>0</v>
      </c>
      <c r="I33147" s="5">
        <v>0</v>
      </c>
      <c r="J33147" s="5">
        <v>0</v>
      </c>
      <c r="K33147" s="5">
        <v>0</v>
      </c>
    </row>
    <row r="33148" spans="1:11" x14ac:dyDescent="0.25">
      <c r="A33148" s="5">
        <f>33141</f>
      </c>
      <c r="B33148" s="5" t="s">
        <v>33156</v>
      </c>
      <c r="C33148" s="5">
        <v>0</v>
      </c>
      <c r="D33148" s="5">
        <v>0</v>
      </c>
      <c r="E33148" s="5">
        <v>0</v>
      </c>
      <c r="F33148" s="5">
        <v>0</v>
      </c>
      <c r="G33148" s="5">
        <v>0</v>
      </c>
      <c r="H33148" s="5">
        <v>0</v>
      </c>
      <c r="I33148" s="5">
        <v>0</v>
      </c>
      <c r="J33148" s="5">
        <v>0</v>
      </c>
      <c r="K33148" s="5">
        <v>0</v>
      </c>
    </row>
    <row r="33149" spans="1:11" x14ac:dyDescent="0.25">
      <c r="A33149" s="5">
        <f>33142</f>
      </c>
      <c r="B33149" s="5" t="s">
        <v>33157</v>
      </c>
      <c r="C33149" s="5">
        <v>0</v>
      </c>
      <c r="D33149" s="5">
        <v>0</v>
      </c>
      <c r="E33149" s="5">
        <v>0</v>
      </c>
      <c r="F33149" s="5">
        <v>0</v>
      </c>
      <c r="G33149" s="5">
        <v>0</v>
      </c>
      <c r="H33149" s="5">
        <v>0</v>
      </c>
      <c r="I33149" s="5">
        <v>0</v>
      </c>
      <c r="J33149" s="5">
        <v>0</v>
      </c>
      <c r="K33149" s="5">
        <v>0</v>
      </c>
    </row>
    <row r="33150" spans="1:11" x14ac:dyDescent="0.25">
      <c r="A33150" s="5">
        <f>33143</f>
      </c>
      <c r="B33150" s="5" t="s">
        <v>33158</v>
      </c>
      <c r="C33150" s="5">
        <v>0</v>
      </c>
      <c r="D33150" s="5">
        <v>0</v>
      </c>
      <c r="E33150" s="5">
        <v>0</v>
      </c>
      <c r="F33150" s="5">
        <v>0</v>
      </c>
      <c r="G33150" s="5">
        <v>0</v>
      </c>
      <c r="H33150" s="5">
        <v>0</v>
      </c>
      <c r="I33150" s="5">
        <v>0</v>
      </c>
      <c r="J33150" s="5">
        <v>0</v>
      </c>
      <c r="K33150" s="5">
        <v>0</v>
      </c>
    </row>
    <row r="33151" spans="1:11" x14ac:dyDescent="0.25">
      <c r="A33151" s="5">
        <f>33144</f>
      </c>
      <c r="B33151" s="5" t="s">
        <v>33159</v>
      </c>
      <c r="C33151" s="5">
        <v>0</v>
      </c>
      <c r="D33151" s="5">
        <v>0</v>
      </c>
      <c r="E33151" s="5">
        <v>0</v>
      </c>
      <c r="F33151" s="5">
        <v>0</v>
      </c>
      <c r="G33151" s="5">
        <v>0</v>
      </c>
      <c r="H33151" s="5">
        <v>0</v>
      </c>
      <c r="I33151" s="5">
        <v>0</v>
      </c>
      <c r="J33151" s="5">
        <v>0</v>
      </c>
      <c r="K33151" s="5">
        <v>0</v>
      </c>
    </row>
    <row r="33152" spans="1:11" x14ac:dyDescent="0.25">
      <c r="A33152" s="5">
        <f>33145</f>
      </c>
      <c r="B33152" s="5" t="s">
        <v>33160</v>
      </c>
      <c r="C33152" s="5">
        <v>0</v>
      </c>
      <c r="D33152" s="5">
        <v>0</v>
      </c>
      <c r="E33152" s="5">
        <v>0</v>
      </c>
      <c r="F33152" s="5">
        <v>0</v>
      </c>
      <c r="G33152" s="5">
        <v>0</v>
      </c>
      <c r="H33152" s="5">
        <v>0</v>
      </c>
      <c r="I33152" s="5">
        <v>0</v>
      </c>
      <c r="J33152" s="5">
        <v>0</v>
      </c>
      <c r="K33152" s="5">
        <v>0</v>
      </c>
    </row>
    <row r="33153" spans="1:11" x14ac:dyDescent="0.25">
      <c r="A33153" s="5">
        <f>33146</f>
      </c>
      <c r="B33153" s="5" t="s">
        <v>33161</v>
      </c>
      <c r="C33153" s="5">
        <v>0</v>
      </c>
      <c r="D33153" s="5">
        <v>0</v>
      </c>
      <c r="E33153" s="5">
        <v>0</v>
      </c>
      <c r="F33153" s="5">
        <v>0</v>
      </c>
      <c r="G33153" s="5">
        <v>0</v>
      </c>
      <c r="H33153" s="5">
        <v>0</v>
      </c>
      <c r="I33153" s="5">
        <v>0</v>
      </c>
      <c r="J33153" s="5">
        <v>0</v>
      </c>
      <c r="K33153" s="5">
        <v>0</v>
      </c>
    </row>
    <row r="33154" spans="1:11" x14ac:dyDescent="0.25">
      <c r="A33154" s="5">
        <f>33147</f>
      </c>
      <c r="B33154" s="5" t="s">
        <v>33162</v>
      </c>
      <c r="C33154" s="5">
        <v>0</v>
      </c>
      <c r="D33154" s="5">
        <v>0</v>
      </c>
      <c r="E33154" s="5">
        <v>0</v>
      </c>
      <c r="F33154" s="5">
        <v>0</v>
      </c>
      <c r="G33154" s="5">
        <v>0</v>
      </c>
      <c r="H33154" s="5">
        <v>0</v>
      </c>
      <c r="I33154" s="5">
        <v>0</v>
      </c>
      <c r="J33154" s="5">
        <v>0</v>
      </c>
      <c r="K33154" s="5">
        <v>0</v>
      </c>
    </row>
    <row r="33155" spans="1:11" x14ac:dyDescent="0.25">
      <c r="A33155" s="5">
        <f>33148</f>
      </c>
      <c r="B33155" s="5" t="s">
        <v>33163</v>
      </c>
      <c r="C33155" s="5">
        <v>0</v>
      </c>
      <c r="D33155" s="5">
        <v>0</v>
      </c>
      <c r="E33155" s="5">
        <v>0</v>
      </c>
      <c r="F33155" s="5">
        <v>0</v>
      </c>
      <c r="G33155" s="5">
        <v>0</v>
      </c>
      <c r="H33155" s="5">
        <v>0</v>
      </c>
      <c r="I33155" s="5">
        <v>0</v>
      </c>
      <c r="J33155" s="5">
        <v>0</v>
      </c>
      <c r="K33155" s="5">
        <v>0</v>
      </c>
    </row>
    <row r="33156" spans="1:11" x14ac:dyDescent="0.25">
      <c r="A33156" s="5">
        <f>33149</f>
      </c>
      <c r="B33156" s="5" t="s">
        <v>33164</v>
      </c>
      <c r="C33156" s="5">
        <v>0</v>
      </c>
      <c r="D33156" s="5">
        <v>0</v>
      </c>
      <c r="E33156" s="5">
        <v>0</v>
      </c>
      <c r="F33156" s="5">
        <v>0</v>
      </c>
      <c r="G33156" s="5">
        <v>0</v>
      </c>
      <c r="H33156" s="5">
        <v>0</v>
      </c>
      <c r="I33156" s="5">
        <v>0</v>
      </c>
      <c r="J33156" s="5">
        <v>0</v>
      </c>
      <c r="K33156" s="5">
        <v>0</v>
      </c>
    </row>
    <row r="33157" spans="1:11" x14ac:dyDescent="0.25">
      <c r="A33157" s="5">
        <f>33150</f>
      </c>
      <c r="B33157" s="5" t="s">
        <v>33165</v>
      </c>
      <c r="C33157" s="5">
        <v>0</v>
      </c>
      <c r="D33157" s="5">
        <v>0</v>
      </c>
      <c r="E33157" s="5">
        <v>0</v>
      </c>
      <c r="F33157" s="5">
        <v>0</v>
      </c>
      <c r="G33157" s="5">
        <v>0</v>
      </c>
      <c r="H33157" s="5">
        <v>0</v>
      </c>
      <c r="I33157" s="5">
        <v>0</v>
      </c>
      <c r="J33157" s="5">
        <v>0</v>
      </c>
      <c r="K33157" s="5">
        <v>0</v>
      </c>
    </row>
    <row r="33158" spans="1:11" x14ac:dyDescent="0.25">
      <c r="A33158" s="5">
        <f>33151</f>
      </c>
      <c r="B33158" s="5" t="s">
        <v>33166</v>
      </c>
      <c r="C33158" s="5">
        <v>0</v>
      </c>
      <c r="D33158" s="5">
        <v>0</v>
      </c>
      <c r="E33158" s="5">
        <v>0</v>
      </c>
      <c r="F33158" s="5">
        <v>0</v>
      </c>
      <c r="G33158" s="5">
        <v>0</v>
      </c>
      <c r="H33158" s="5">
        <v>0</v>
      </c>
      <c r="I33158" s="5">
        <v>0</v>
      </c>
      <c r="J33158" s="5">
        <v>0</v>
      </c>
      <c r="K33158" s="5">
        <v>0</v>
      </c>
    </row>
    <row r="33159" spans="1:11" x14ac:dyDescent="0.25">
      <c r="A33159" s="5">
        <f>33152</f>
      </c>
      <c r="B33159" s="5" t="s">
        <v>33167</v>
      </c>
      <c r="C33159" s="5">
        <v>0</v>
      </c>
      <c r="D33159" s="5">
        <v>0</v>
      </c>
      <c r="E33159" s="5">
        <v>0</v>
      </c>
      <c r="F33159" s="5">
        <v>0</v>
      </c>
      <c r="G33159" s="5">
        <v>0</v>
      </c>
      <c r="H33159" s="5">
        <v>0</v>
      </c>
      <c r="I33159" s="5">
        <v>0</v>
      </c>
      <c r="J33159" s="5">
        <v>0</v>
      </c>
      <c r="K33159" s="5">
        <v>0</v>
      </c>
    </row>
    <row r="33160" spans="1:11" x14ac:dyDescent="0.25">
      <c r="A33160" s="5">
        <f>33153</f>
      </c>
      <c r="B33160" s="5" t="s">
        <v>33168</v>
      </c>
      <c r="C33160" s="5">
        <v>0</v>
      </c>
      <c r="D33160" s="5">
        <v>0</v>
      </c>
      <c r="E33160" s="5">
        <v>0</v>
      </c>
      <c r="F33160" s="5">
        <v>0</v>
      </c>
      <c r="G33160" s="5">
        <v>0</v>
      </c>
      <c r="H33160" s="5">
        <v>0</v>
      </c>
      <c r="I33160" s="5">
        <v>0</v>
      </c>
      <c r="J33160" s="5">
        <v>0</v>
      </c>
      <c r="K33160" s="5">
        <v>0</v>
      </c>
    </row>
    <row r="33161" spans="1:11" x14ac:dyDescent="0.25">
      <c r="A33161" s="5">
        <f>33154</f>
      </c>
      <c r="B33161" s="5" t="s">
        <v>33169</v>
      </c>
      <c r="C33161" s="5">
        <v>0</v>
      </c>
      <c r="D33161" s="5">
        <v>0</v>
      </c>
      <c r="E33161" s="5">
        <v>0</v>
      </c>
      <c r="F33161" s="5">
        <v>0</v>
      </c>
      <c r="G33161" s="5">
        <v>0</v>
      </c>
      <c r="H33161" s="5">
        <v>0</v>
      </c>
      <c r="I33161" s="5">
        <v>0</v>
      </c>
      <c r="J33161" s="5">
        <v>0</v>
      </c>
      <c r="K33161" s="5">
        <v>0</v>
      </c>
    </row>
    <row r="33162" spans="1:11" x14ac:dyDescent="0.25">
      <c r="A33162" s="5">
        <f>33155</f>
      </c>
      <c r="B33162" s="5" t="s">
        <v>33170</v>
      </c>
      <c r="C33162" s="5">
        <v>0</v>
      </c>
      <c r="D33162" s="5">
        <v>0</v>
      </c>
      <c r="E33162" s="5">
        <v>0</v>
      </c>
      <c r="F33162" s="5">
        <v>0</v>
      </c>
      <c r="G33162" s="5">
        <v>0</v>
      </c>
      <c r="H33162" s="5">
        <v>0</v>
      </c>
      <c r="I33162" s="5">
        <v>0</v>
      </c>
      <c r="J33162" s="5">
        <v>0</v>
      </c>
      <c r="K33162" s="5">
        <v>0</v>
      </c>
    </row>
    <row r="33163" spans="1:11" x14ac:dyDescent="0.25">
      <c r="A33163" s="5">
        <f>33156</f>
      </c>
      <c r="B33163" s="5" t="s">
        <v>33171</v>
      </c>
      <c r="C33163" s="5">
        <v>0</v>
      </c>
      <c r="D33163" s="5">
        <v>0</v>
      </c>
      <c r="E33163" s="5">
        <v>0</v>
      </c>
      <c r="F33163" s="5">
        <v>0</v>
      </c>
      <c r="G33163" s="5">
        <v>0</v>
      </c>
      <c r="H33163" s="5">
        <v>0</v>
      </c>
      <c r="I33163" s="5">
        <v>0</v>
      </c>
      <c r="J33163" s="5">
        <v>0</v>
      </c>
      <c r="K33163" s="5">
        <v>0</v>
      </c>
    </row>
    <row r="33164" spans="1:11" x14ac:dyDescent="0.25">
      <c r="A33164" s="5">
        <f>33157</f>
      </c>
      <c r="B33164" s="5" t="s">
        <v>33172</v>
      </c>
      <c r="C33164" s="5">
        <v>0</v>
      </c>
      <c r="D33164" s="5">
        <v>0</v>
      </c>
      <c r="E33164" s="5">
        <v>0</v>
      </c>
      <c r="F33164" s="5">
        <v>0</v>
      </c>
      <c r="G33164" s="5">
        <v>0</v>
      </c>
      <c r="H33164" s="5">
        <v>0</v>
      </c>
      <c r="I33164" s="5">
        <v>0</v>
      </c>
      <c r="J33164" s="5">
        <v>0</v>
      </c>
      <c r="K33164" s="5">
        <v>0</v>
      </c>
    </row>
    <row r="33165" spans="1:11" x14ac:dyDescent="0.25">
      <c r="A33165" s="5">
        <f>33158</f>
      </c>
      <c r="B33165" s="5" t="s">
        <v>33173</v>
      </c>
      <c r="C33165" s="5">
        <v>0</v>
      </c>
      <c r="D33165" s="5">
        <v>0</v>
      </c>
      <c r="E33165" s="5">
        <v>0</v>
      </c>
      <c r="F33165" s="5">
        <v>0</v>
      </c>
      <c r="G33165" s="5">
        <v>0</v>
      </c>
      <c r="H33165" s="5">
        <v>0</v>
      </c>
      <c r="I33165" s="5">
        <v>0</v>
      </c>
      <c r="J33165" s="5">
        <v>0</v>
      </c>
      <c r="K33165" s="5">
        <v>0</v>
      </c>
    </row>
    <row r="33166" spans="1:11" x14ac:dyDescent="0.25">
      <c r="A33166" s="5">
        <f>33159</f>
      </c>
      <c r="B33166" s="5" t="s">
        <v>33174</v>
      </c>
      <c r="C33166" s="5">
        <v>0</v>
      </c>
      <c r="D33166" s="5">
        <v>0</v>
      </c>
      <c r="E33166" s="5">
        <v>0</v>
      </c>
      <c r="F33166" s="5">
        <v>0</v>
      </c>
      <c r="G33166" s="5">
        <v>0</v>
      </c>
      <c r="H33166" s="5">
        <v>0</v>
      </c>
      <c r="I33166" s="5">
        <v>0</v>
      </c>
      <c r="J33166" s="5">
        <v>0</v>
      </c>
      <c r="K33166" s="5">
        <v>0</v>
      </c>
    </row>
    <row r="33167" spans="1:11" x14ac:dyDescent="0.25">
      <c r="A33167" s="5">
        <f>33160</f>
      </c>
      <c r="B33167" s="5" t="s">
        <v>33175</v>
      </c>
      <c r="C33167" s="5">
        <v>0</v>
      </c>
      <c r="D33167" s="5">
        <v>0</v>
      </c>
      <c r="E33167" s="5">
        <v>0</v>
      </c>
      <c r="F33167" s="5">
        <v>0</v>
      </c>
      <c r="G33167" s="5">
        <v>0</v>
      </c>
      <c r="H33167" s="5">
        <v>0</v>
      </c>
      <c r="I33167" s="5">
        <v>0</v>
      </c>
      <c r="J33167" s="5">
        <v>0</v>
      </c>
      <c r="K33167" s="5">
        <v>0</v>
      </c>
    </row>
    <row r="33168" spans="1:11" x14ac:dyDescent="0.25">
      <c r="A33168" s="5">
        <f>33161</f>
      </c>
      <c r="B33168" s="5" t="s">
        <v>33176</v>
      </c>
      <c r="C33168" s="5">
        <v>0</v>
      </c>
      <c r="D33168" s="5">
        <v>0</v>
      </c>
      <c r="E33168" s="5">
        <v>0</v>
      </c>
      <c r="F33168" s="5">
        <v>0</v>
      </c>
      <c r="G33168" s="5">
        <v>0</v>
      </c>
      <c r="H33168" s="5">
        <v>0</v>
      </c>
      <c r="I33168" s="5">
        <v>0</v>
      </c>
      <c r="J33168" s="5">
        <v>0</v>
      </c>
      <c r="K33168" s="5">
        <v>0</v>
      </c>
    </row>
    <row r="33169" spans="1:11" x14ac:dyDescent="0.25">
      <c r="A33169" s="5">
        <f>33162</f>
      </c>
      <c r="B33169" s="5" t="s">
        <v>33177</v>
      </c>
      <c r="C33169" s="5">
        <v>0</v>
      </c>
      <c r="D33169" s="5">
        <v>0</v>
      </c>
      <c r="E33169" s="5">
        <v>0</v>
      </c>
      <c r="F33169" s="5">
        <v>0</v>
      </c>
      <c r="G33169" s="5">
        <v>0</v>
      </c>
      <c r="H33169" s="5">
        <v>0</v>
      </c>
      <c r="I33169" s="5">
        <v>0</v>
      </c>
      <c r="J33169" s="5">
        <v>0</v>
      </c>
      <c r="K33169" s="5">
        <v>0</v>
      </c>
    </row>
    <row r="33170" spans="1:11" x14ac:dyDescent="0.25">
      <c r="A33170" s="5">
        <f>33163</f>
      </c>
      <c r="B33170" s="5" t="s">
        <v>33178</v>
      </c>
      <c r="C33170" s="5">
        <v>0</v>
      </c>
      <c r="D33170" s="5">
        <v>0</v>
      </c>
      <c r="E33170" s="5">
        <v>0</v>
      </c>
      <c r="F33170" s="5">
        <v>0</v>
      </c>
      <c r="G33170" s="5">
        <v>0</v>
      </c>
      <c r="H33170" s="5">
        <v>0</v>
      </c>
      <c r="I33170" s="5">
        <v>0</v>
      </c>
      <c r="J33170" s="5">
        <v>0</v>
      </c>
      <c r="K33170" s="5">
        <v>0</v>
      </c>
    </row>
    <row r="33171" spans="1:11" x14ac:dyDescent="0.25">
      <c r="A33171" s="5">
        <f>33164</f>
      </c>
      <c r="B33171" s="5" t="s">
        <v>33179</v>
      </c>
      <c r="C33171" s="5">
        <v>0</v>
      </c>
      <c r="D33171" s="5">
        <v>0</v>
      </c>
      <c r="E33171" s="5">
        <v>0</v>
      </c>
      <c r="F33171" s="5">
        <v>0</v>
      </c>
      <c r="G33171" s="5">
        <v>0</v>
      </c>
      <c r="H33171" s="5">
        <v>0</v>
      </c>
      <c r="I33171" s="5">
        <v>0</v>
      </c>
      <c r="J33171" s="5">
        <v>0</v>
      </c>
      <c r="K33171" s="5">
        <v>0</v>
      </c>
    </row>
    <row r="33172" spans="1:11" x14ac:dyDescent="0.25">
      <c r="A33172" s="5">
        <f>33165</f>
      </c>
      <c r="B33172" s="5" t="s">
        <v>33180</v>
      </c>
      <c r="C33172" s="5">
        <v>0</v>
      </c>
      <c r="D33172" s="5">
        <v>0</v>
      </c>
      <c r="E33172" s="5">
        <v>0</v>
      </c>
      <c r="F33172" s="5">
        <v>0</v>
      </c>
      <c r="G33172" s="5">
        <v>0</v>
      </c>
      <c r="H33172" s="5">
        <v>0</v>
      </c>
      <c r="I33172" s="5">
        <v>0</v>
      </c>
      <c r="J33172" s="5">
        <v>0</v>
      </c>
      <c r="K33172" s="5">
        <v>0</v>
      </c>
    </row>
    <row r="33173" spans="1:11" x14ac:dyDescent="0.25">
      <c r="A33173" s="5">
        <f>33166</f>
      </c>
      <c r="B33173" s="5" t="s">
        <v>33181</v>
      </c>
      <c r="C33173" s="5">
        <v>0</v>
      </c>
      <c r="D33173" s="5">
        <v>0</v>
      </c>
      <c r="E33173" s="5">
        <v>0</v>
      </c>
      <c r="F33173" s="5">
        <v>0</v>
      </c>
      <c r="G33173" s="5">
        <v>0</v>
      </c>
      <c r="H33173" s="5">
        <v>0</v>
      </c>
      <c r="I33173" s="5">
        <v>0</v>
      </c>
      <c r="J33173" s="5">
        <v>0</v>
      </c>
      <c r="K33173" s="5">
        <v>0</v>
      </c>
    </row>
    <row r="33174" spans="1:11" x14ac:dyDescent="0.25">
      <c r="A33174" s="5">
        <f>33167</f>
      </c>
      <c r="B33174" s="5" t="s">
        <v>33182</v>
      </c>
      <c r="C33174" s="5">
        <v>0</v>
      </c>
      <c r="D33174" s="5">
        <v>0</v>
      </c>
      <c r="E33174" s="5">
        <v>0</v>
      </c>
      <c r="F33174" s="5">
        <v>0</v>
      </c>
      <c r="G33174" s="5">
        <v>0</v>
      </c>
      <c r="H33174" s="5">
        <v>0</v>
      </c>
      <c r="I33174" s="5">
        <v>0</v>
      </c>
      <c r="J33174" s="5">
        <v>0</v>
      </c>
      <c r="K33174" s="5">
        <v>0</v>
      </c>
    </row>
    <row r="33175" spans="1:11" x14ac:dyDescent="0.25">
      <c r="A33175" s="5">
        <f>33168</f>
      </c>
      <c r="B33175" s="5" t="s">
        <v>33183</v>
      </c>
      <c r="C33175" s="5">
        <v>0</v>
      </c>
      <c r="D33175" s="5">
        <v>0</v>
      </c>
      <c r="E33175" s="5">
        <v>0</v>
      </c>
      <c r="F33175" s="5">
        <v>0</v>
      </c>
      <c r="G33175" s="5">
        <v>0</v>
      </c>
      <c r="H33175" s="5">
        <v>0</v>
      </c>
      <c r="I33175" s="5">
        <v>0</v>
      </c>
      <c r="J33175" s="5">
        <v>0</v>
      </c>
      <c r="K33175" s="5">
        <v>0</v>
      </c>
    </row>
    <row r="33176" spans="1:11" x14ac:dyDescent="0.25">
      <c r="A33176" s="5">
        <f>33169</f>
      </c>
      <c r="B33176" s="5" t="s">
        <v>33184</v>
      </c>
      <c r="C33176" s="5">
        <v>0</v>
      </c>
      <c r="D33176" s="5">
        <v>0</v>
      </c>
      <c r="E33176" s="5">
        <v>0</v>
      </c>
      <c r="F33176" s="5">
        <v>0</v>
      </c>
      <c r="G33176" s="5">
        <v>0</v>
      </c>
      <c r="H33176" s="5">
        <v>0</v>
      </c>
      <c r="I33176" s="5">
        <v>0</v>
      </c>
      <c r="J33176" s="5">
        <v>0</v>
      </c>
      <c r="K33176" s="5">
        <v>0</v>
      </c>
    </row>
    <row r="33177" spans="1:11" x14ac:dyDescent="0.25">
      <c r="A33177" s="5">
        <f>33170</f>
      </c>
      <c r="B33177" s="5" t="s">
        <v>33185</v>
      </c>
      <c r="C33177" s="5">
        <v>0</v>
      </c>
      <c r="D33177" s="5">
        <v>0</v>
      </c>
      <c r="E33177" s="5">
        <v>0</v>
      </c>
      <c r="F33177" s="5">
        <v>0</v>
      </c>
      <c r="G33177" s="5">
        <v>0</v>
      </c>
      <c r="H33177" s="5">
        <v>0</v>
      </c>
      <c r="I33177" s="5">
        <v>0</v>
      </c>
      <c r="J33177" s="5">
        <v>0</v>
      </c>
      <c r="K33177" s="5">
        <v>0</v>
      </c>
    </row>
    <row r="33178" spans="1:11" x14ac:dyDescent="0.25">
      <c r="A33178" s="5">
        <f>33171</f>
      </c>
      <c r="B33178" s="5" t="s">
        <v>33186</v>
      </c>
      <c r="C33178" s="5">
        <v>0</v>
      </c>
      <c r="D33178" s="5">
        <v>0</v>
      </c>
      <c r="E33178" s="5">
        <v>0</v>
      </c>
      <c r="F33178" s="5">
        <v>0</v>
      </c>
      <c r="G33178" s="5">
        <v>0</v>
      </c>
      <c r="H33178" s="5">
        <v>0</v>
      </c>
      <c r="I33178" s="5">
        <v>0</v>
      </c>
      <c r="J33178" s="5">
        <v>0</v>
      </c>
      <c r="K33178" s="5">
        <v>0</v>
      </c>
    </row>
    <row r="33179" spans="1:11" x14ac:dyDescent="0.25">
      <c r="A33179" s="5">
        <f>33172</f>
      </c>
      <c r="B33179" s="5" t="s">
        <v>33187</v>
      </c>
      <c r="C33179" s="5">
        <v>0</v>
      </c>
      <c r="D33179" s="5">
        <v>0</v>
      </c>
      <c r="E33179" s="5">
        <v>0</v>
      </c>
      <c r="F33179" s="5">
        <v>0</v>
      </c>
      <c r="G33179" s="5">
        <v>0</v>
      </c>
      <c r="H33179" s="5">
        <v>0</v>
      </c>
      <c r="I33179" s="5">
        <v>0</v>
      </c>
      <c r="J33179" s="5">
        <v>0</v>
      </c>
      <c r="K33179" s="5">
        <v>0</v>
      </c>
    </row>
    <row r="33180" spans="1:11" x14ac:dyDescent="0.25">
      <c r="A33180" s="5">
        <f>33173</f>
      </c>
      <c r="B33180" s="5" t="s">
        <v>33188</v>
      </c>
      <c r="C33180" s="5">
        <v>0</v>
      </c>
      <c r="D33180" s="5">
        <v>0</v>
      </c>
      <c r="E33180" s="5">
        <v>0</v>
      </c>
      <c r="F33180" s="5">
        <v>0</v>
      </c>
      <c r="G33180" s="5">
        <v>0</v>
      </c>
      <c r="H33180" s="5">
        <v>0</v>
      </c>
      <c r="I33180" s="5">
        <v>0</v>
      </c>
      <c r="J33180" s="5">
        <v>0</v>
      </c>
      <c r="K33180" s="5">
        <v>0</v>
      </c>
    </row>
    <row r="33181" spans="1:11" x14ac:dyDescent="0.25">
      <c r="A33181" s="5">
        <f>33174</f>
      </c>
      <c r="B33181" s="5" t="s">
        <v>33189</v>
      </c>
      <c r="C33181" s="5">
        <v>0</v>
      </c>
      <c r="D33181" s="5">
        <v>0</v>
      </c>
      <c r="E33181" s="5">
        <v>0</v>
      </c>
      <c r="F33181" s="5">
        <v>0</v>
      </c>
      <c r="G33181" s="5">
        <v>0</v>
      </c>
      <c r="H33181" s="5">
        <v>0</v>
      </c>
      <c r="I33181" s="5">
        <v>0</v>
      </c>
      <c r="J33181" s="5">
        <v>0</v>
      </c>
      <c r="K33181" s="5">
        <v>0</v>
      </c>
    </row>
    <row r="33182" spans="1:11" x14ac:dyDescent="0.25">
      <c r="A33182" s="5">
        <f>33175</f>
      </c>
      <c r="B33182" s="5" t="s">
        <v>33190</v>
      </c>
      <c r="C33182" s="5">
        <v>0</v>
      </c>
      <c r="D33182" s="5">
        <v>0</v>
      </c>
      <c r="E33182" s="5">
        <v>0</v>
      </c>
      <c r="F33182" s="5">
        <v>0</v>
      </c>
      <c r="G33182" s="5">
        <v>0</v>
      </c>
      <c r="H33182" s="5">
        <v>0</v>
      </c>
      <c r="I33182" s="5">
        <v>0</v>
      </c>
      <c r="J33182" s="5">
        <v>0</v>
      </c>
      <c r="K33182" s="5">
        <v>0</v>
      </c>
    </row>
    <row r="33183" spans="1:11" x14ac:dyDescent="0.25">
      <c r="A33183" s="5">
        <f>33176</f>
      </c>
      <c r="B33183" s="5" t="s">
        <v>33191</v>
      </c>
      <c r="C33183" s="5">
        <v>0</v>
      </c>
      <c r="D33183" s="5">
        <v>0</v>
      </c>
      <c r="E33183" s="5">
        <v>0</v>
      </c>
      <c r="F33183" s="5">
        <v>0</v>
      </c>
      <c r="G33183" s="5">
        <v>0</v>
      </c>
      <c r="H33183" s="5">
        <v>0</v>
      </c>
      <c r="I33183" s="5">
        <v>0</v>
      </c>
      <c r="J33183" s="5">
        <v>0</v>
      </c>
      <c r="K33183" s="5">
        <v>0</v>
      </c>
    </row>
    <row r="33184" spans="1:11" x14ac:dyDescent="0.25">
      <c r="A33184" s="5">
        <f>33177</f>
      </c>
      <c r="B33184" s="5" t="s">
        <v>33192</v>
      </c>
      <c r="C33184" s="5">
        <v>0</v>
      </c>
      <c r="D33184" s="5">
        <v>0</v>
      </c>
      <c r="E33184" s="5">
        <v>0</v>
      </c>
      <c r="F33184" s="5">
        <v>0</v>
      </c>
      <c r="G33184" s="5">
        <v>0</v>
      </c>
      <c r="H33184" s="5">
        <v>0</v>
      </c>
      <c r="I33184" s="5">
        <v>0</v>
      </c>
      <c r="J33184" s="5">
        <v>0</v>
      </c>
      <c r="K33184" s="5">
        <v>0</v>
      </c>
    </row>
    <row r="33185" spans="1:11" x14ac:dyDescent="0.25">
      <c r="A33185" s="5">
        <f>33178</f>
      </c>
      <c r="B33185" s="5" t="s">
        <v>33193</v>
      </c>
      <c r="C33185" s="5">
        <v>0</v>
      </c>
      <c r="D33185" s="5">
        <v>0</v>
      </c>
      <c r="E33185" s="5">
        <v>0</v>
      </c>
      <c r="F33185" s="5">
        <v>0</v>
      </c>
      <c r="G33185" s="5">
        <v>0</v>
      </c>
      <c r="H33185" s="5">
        <v>0</v>
      </c>
      <c r="I33185" s="5">
        <v>0</v>
      </c>
      <c r="J33185" s="5">
        <v>0</v>
      </c>
      <c r="K33185" s="5">
        <v>0</v>
      </c>
    </row>
    <row r="33186" spans="1:11" x14ac:dyDescent="0.25">
      <c r="A33186" s="5">
        <f>33179</f>
      </c>
      <c r="B33186" s="5" t="s">
        <v>33194</v>
      </c>
      <c r="C33186" s="5">
        <v>0</v>
      </c>
      <c r="D33186" s="5">
        <v>0</v>
      </c>
      <c r="E33186" s="5">
        <v>0</v>
      </c>
      <c r="F33186" s="5">
        <v>0</v>
      </c>
      <c r="G33186" s="5">
        <v>0</v>
      </c>
      <c r="H33186" s="5">
        <v>0</v>
      </c>
      <c r="I33186" s="5">
        <v>0</v>
      </c>
      <c r="J33186" s="5">
        <v>0</v>
      </c>
      <c r="K33186" s="5">
        <v>0</v>
      </c>
    </row>
    <row r="33187" spans="1:11" x14ac:dyDescent="0.25">
      <c r="A33187" s="5">
        <f>33180</f>
      </c>
      <c r="B33187" s="5" t="s">
        <v>33195</v>
      </c>
      <c r="C33187" s="5">
        <v>0</v>
      </c>
      <c r="D33187" s="5">
        <v>0</v>
      </c>
      <c r="E33187" s="5">
        <v>0</v>
      </c>
      <c r="F33187" s="5">
        <v>0</v>
      </c>
      <c r="G33187" s="5">
        <v>0</v>
      </c>
      <c r="H33187" s="5">
        <v>0</v>
      </c>
      <c r="I33187" s="5">
        <v>0</v>
      </c>
      <c r="J33187" s="5">
        <v>0</v>
      </c>
      <c r="K33187" s="5">
        <v>0</v>
      </c>
    </row>
    <row r="33188" spans="1:11" x14ac:dyDescent="0.25">
      <c r="A33188" s="5">
        <f>33181</f>
      </c>
      <c r="B33188" s="5" t="s">
        <v>33196</v>
      </c>
      <c r="C33188" s="5">
        <v>0</v>
      </c>
      <c r="D33188" s="5">
        <v>0</v>
      </c>
      <c r="E33188" s="5">
        <v>0</v>
      </c>
      <c r="F33188" s="5">
        <v>0</v>
      </c>
      <c r="G33188" s="5">
        <v>0</v>
      </c>
      <c r="H33188" s="5">
        <v>0</v>
      </c>
      <c r="I33188" s="5">
        <v>0</v>
      </c>
      <c r="J33188" s="5">
        <v>0</v>
      </c>
      <c r="K33188" s="5">
        <v>0</v>
      </c>
    </row>
    <row r="33189" spans="1:11" x14ac:dyDescent="0.25">
      <c r="A33189" s="5">
        <f>33182</f>
      </c>
      <c r="B33189" s="5" t="s">
        <v>33197</v>
      </c>
      <c r="C33189" s="5">
        <v>0</v>
      </c>
      <c r="D33189" s="5">
        <v>0</v>
      </c>
      <c r="E33189" s="5">
        <v>0</v>
      </c>
      <c r="F33189" s="5">
        <v>0</v>
      </c>
      <c r="G33189" s="5">
        <v>0</v>
      </c>
      <c r="H33189" s="5">
        <v>0</v>
      </c>
      <c r="I33189" s="5">
        <v>0</v>
      </c>
      <c r="J33189" s="5">
        <v>0</v>
      </c>
      <c r="K33189" s="5">
        <v>0</v>
      </c>
    </row>
    <row r="33190" spans="1:11" x14ac:dyDescent="0.25">
      <c r="A33190" s="5">
        <f>33183</f>
      </c>
      <c r="B33190" s="5" t="s">
        <v>33198</v>
      </c>
      <c r="C33190" s="5">
        <v>0</v>
      </c>
      <c r="D33190" s="5">
        <v>0</v>
      </c>
      <c r="E33190" s="5">
        <v>0</v>
      </c>
      <c r="F33190" s="5">
        <v>0</v>
      </c>
      <c r="G33190" s="5">
        <v>0</v>
      </c>
      <c r="H33190" s="5">
        <v>0</v>
      </c>
      <c r="I33190" s="5">
        <v>0</v>
      </c>
      <c r="J33190" s="5">
        <v>0</v>
      </c>
      <c r="K33190" s="5">
        <v>0</v>
      </c>
    </row>
    <row r="33191" spans="1:11" x14ac:dyDescent="0.25">
      <c r="A33191" s="5">
        <f>33184</f>
      </c>
      <c r="B33191" s="5" t="s">
        <v>33199</v>
      </c>
      <c r="C33191" s="5">
        <v>0</v>
      </c>
      <c r="D33191" s="5">
        <v>0</v>
      </c>
      <c r="E33191" s="5">
        <v>0</v>
      </c>
      <c r="F33191" s="5">
        <v>0</v>
      </c>
      <c r="G33191" s="5">
        <v>0</v>
      </c>
      <c r="H33191" s="5">
        <v>0</v>
      </c>
      <c r="I33191" s="5">
        <v>0</v>
      </c>
      <c r="J33191" s="5">
        <v>0</v>
      </c>
      <c r="K33191" s="5">
        <v>0</v>
      </c>
    </row>
    <row r="33192" spans="1:11" x14ac:dyDescent="0.25">
      <c r="A33192" s="5">
        <f>33185</f>
      </c>
      <c r="B33192" s="5" t="s">
        <v>33200</v>
      </c>
      <c r="C33192" s="5">
        <v>0</v>
      </c>
      <c r="D33192" s="5">
        <v>0</v>
      </c>
      <c r="E33192" s="5">
        <v>0</v>
      </c>
      <c r="F33192" s="5">
        <v>0</v>
      </c>
      <c r="G33192" s="5">
        <v>0</v>
      </c>
      <c r="H33192" s="5">
        <v>0</v>
      </c>
      <c r="I33192" s="5">
        <v>0</v>
      </c>
      <c r="J33192" s="5">
        <v>0</v>
      </c>
      <c r="K33192" s="5">
        <v>0</v>
      </c>
    </row>
    <row r="33193" spans="1:11" x14ac:dyDescent="0.25">
      <c r="A33193" s="5">
        <f>33186</f>
      </c>
      <c r="B33193" s="5" t="s">
        <v>33201</v>
      </c>
      <c r="C33193" s="5">
        <v>0</v>
      </c>
      <c r="D33193" s="5">
        <v>0</v>
      </c>
      <c r="E33193" s="5">
        <v>0</v>
      </c>
      <c r="F33193" s="5">
        <v>0</v>
      </c>
      <c r="G33193" s="5">
        <v>0</v>
      </c>
      <c r="H33193" s="5">
        <v>0</v>
      </c>
      <c r="I33193" s="5">
        <v>0</v>
      </c>
      <c r="J33193" s="5">
        <v>0</v>
      </c>
      <c r="K33193" s="5">
        <v>0</v>
      </c>
    </row>
    <row r="33194" spans="1:11" x14ac:dyDescent="0.25">
      <c r="A33194" s="5">
        <f>33187</f>
      </c>
      <c r="B33194" s="5" t="s">
        <v>33202</v>
      </c>
      <c r="C33194" s="5">
        <v>0</v>
      </c>
      <c r="D33194" s="5">
        <v>0</v>
      </c>
      <c r="E33194" s="5">
        <v>0</v>
      </c>
      <c r="F33194" s="5">
        <v>0</v>
      </c>
      <c r="G33194" s="5">
        <v>0</v>
      </c>
      <c r="H33194" s="5">
        <v>0</v>
      </c>
      <c r="I33194" s="5">
        <v>0</v>
      </c>
      <c r="J33194" s="5">
        <v>0</v>
      </c>
      <c r="K33194" s="5">
        <v>0</v>
      </c>
    </row>
    <row r="33195" spans="1:11" x14ac:dyDescent="0.25">
      <c r="A33195" s="5">
        <f>33188</f>
      </c>
      <c r="B33195" s="5" t="s">
        <v>33203</v>
      </c>
      <c r="C33195" s="5">
        <v>0</v>
      </c>
      <c r="D33195" s="5">
        <v>0</v>
      </c>
      <c r="E33195" s="5">
        <v>0</v>
      </c>
      <c r="F33195" s="5">
        <v>0</v>
      </c>
      <c r="G33195" s="5">
        <v>0</v>
      </c>
      <c r="H33195" s="5">
        <v>0</v>
      </c>
      <c r="I33195" s="5">
        <v>0</v>
      </c>
      <c r="J33195" s="5">
        <v>0</v>
      </c>
      <c r="K33195" s="5">
        <v>0</v>
      </c>
    </row>
    <row r="33196" spans="1:11" x14ac:dyDescent="0.25">
      <c r="A33196" s="5">
        <f>33189</f>
      </c>
      <c r="B33196" s="5" t="s">
        <v>33204</v>
      </c>
      <c r="C33196" s="5">
        <v>0</v>
      </c>
      <c r="D33196" s="5">
        <v>0</v>
      </c>
      <c r="E33196" s="5">
        <v>0</v>
      </c>
      <c r="F33196" s="5">
        <v>0</v>
      </c>
      <c r="G33196" s="5">
        <v>0</v>
      </c>
      <c r="H33196" s="5">
        <v>0</v>
      </c>
      <c r="I33196" s="5">
        <v>0</v>
      </c>
      <c r="J33196" s="5">
        <v>0</v>
      </c>
      <c r="K33196" s="5">
        <v>0</v>
      </c>
    </row>
    <row r="33197" spans="1:11" x14ac:dyDescent="0.25">
      <c r="A33197" s="5">
        <f>33190</f>
      </c>
      <c r="B33197" s="5" t="s">
        <v>33205</v>
      </c>
      <c r="C33197" s="5">
        <v>0</v>
      </c>
      <c r="D33197" s="5">
        <v>0</v>
      </c>
      <c r="E33197" s="5">
        <v>0</v>
      </c>
      <c r="F33197" s="5">
        <v>0</v>
      </c>
      <c r="G33197" s="5">
        <v>0</v>
      </c>
      <c r="H33197" s="5">
        <v>0</v>
      </c>
      <c r="I33197" s="5">
        <v>0</v>
      </c>
      <c r="J33197" s="5">
        <v>0</v>
      </c>
      <c r="K33197" s="5">
        <v>0</v>
      </c>
    </row>
    <row r="33198" spans="1:11" x14ac:dyDescent="0.25">
      <c r="A33198" s="5">
        <f>33191</f>
      </c>
      <c r="B33198" s="5" t="s">
        <v>33206</v>
      </c>
      <c r="C33198" s="5">
        <v>0</v>
      </c>
      <c r="D33198" s="5">
        <v>0</v>
      </c>
      <c r="E33198" s="5">
        <v>0</v>
      </c>
      <c r="F33198" s="5">
        <v>0</v>
      </c>
      <c r="G33198" s="5">
        <v>0</v>
      </c>
      <c r="H33198" s="5">
        <v>0</v>
      </c>
      <c r="I33198" s="5">
        <v>0</v>
      </c>
      <c r="J33198" s="5">
        <v>0</v>
      </c>
      <c r="K33198" s="5">
        <v>0</v>
      </c>
    </row>
    <row r="33199" spans="1:11" x14ac:dyDescent="0.25">
      <c r="A33199" s="5">
        <f>33192</f>
      </c>
      <c r="B33199" s="5" t="s">
        <v>33207</v>
      </c>
      <c r="C33199" s="5">
        <v>0</v>
      </c>
      <c r="D33199" s="5">
        <v>0</v>
      </c>
      <c r="E33199" s="5">
        <v>0</v>
      </c>
      <c r="F33199" s="5">
        <v>0</v>
      </c>
      <c r="G33199" s="5">
        <v>0</v>
      </c>
      <c r="H33199" s="5">
        <v>0</v>
      </c>
      <c r="I33199" s="5">
        <v>0</v>
      </c>
      <c r="J33199" s="5">
        <v>0</v>
      </c>
      <c r="K33199" s="5">
        <v>0</v>
      </c>
    </row>
    <row r="33200" spans="1:11" x14ac:dyDescent="0.25">
      <c r="A33200" s="5">
        <f>33193</f>
      </c>
      <c r="B33200" s="5" t="s">
        <v>33208</v>
      </c>
      <c r="C33200" s="5">
        <v>0</v>
      </c>
      <c r="D33200" s="5">
        <v>0</v>
      </c>
      <c r="E33200" s="5">
        <v>0</v>
      </c>
      <c r="F33200" s="5">
        <v>0</v>
      </c>
      <c r="G33200" s="5">
        <v>0</v>
      </c>
      <c r="H33200" s="5">
        <v>0</v>
      </c>
      <c r="I33200" s="5">
        <v>0</v>
      </c>
      <c r="J33200" s="5">
        <v>0</v>
      </c>
      <c r="K33200" s="5">
        <v>0</v>
      </c>
    </row>
    <row r="33201" spans="1:11" x14ac:dyDescent="0.25">
      <c r="A33201" s="5">
        <f>33194</f>
      </c>
      <c r="B33201" s="5" t="s">
        <v>33209</v>
      </c>
      <c r="C33201" s="5">
        <v>0</v>
      </c>
      <c r="D33201" s="5">
        <v>0</v>
      </c>
      <c r="E33201" s="5">
        <v>0</v>
      </c>
      <c r="F33201" s="5">
        <v>0</v>
      </c>
      <c r="G33201" s="5">
        <v>0</v>
      </c>
      <c r="H33201" s="5">
        <v>0</v>
      </c>
      <c r="I33201" s="5">
        <v>0</v>
      </c>
      <c r="J33201" s="5">
        <v>0</v>
      </c>
      <c r="K33201" s="5">
        <v>0</v>
      </c>
    </row>
    <row r="33202" spans="1:11" x14ac:dyDescent="0.25">
      <c r="A33202" s="5">
        <f>33195</f>
      </c>
      <c r="B33202" s="5" t="s">
        <v>33210</v>
      </c>
      <c r="C33202" s="5">
        <v>0</v>
      </c>
      <c r="D33202" s="5">
        <v>0</v>
      </c>
      <c r="E33202" s="5">
        <v>0</v>
      </c>
      <c r="F33202" s="5">
        <v>0</v>
      </c>
      <c r="G33202" s="5">
        <v>0</v>
      </c>
      <c r="H33202" s="5">
        <v>0</v>
      </c>
      <c r="I33202" s="5">
        <v>0</v>
      </c>
      <c r="J33202" s="5">
        <v>0</v>
      </c>
      <c r="K33202" s="5">
        <v>0</v>
      </c>
    </row>
    <row r="33203" spans="1:11" x14ac:dyDescent="0.25">
      <c r="A33203" s="5">
        <f>33196</f>
      </c>
      <c r="B33203" s="5" t="s">
        <v>33211</v>
      </c>
      <c r="C33203" s="5">
        <v>0</v>
      </c>
      <c r="D33203" s="5">
        <v>0</v>
      </c>
      <c r="E33203" s="5">
        <v>0</v>
      </c>
      <c r="F33203" s="5">
        <v>0</v>
      </c>
      <c r="G33203" s="5">
        <v>0</v>
      </c>
      <c r="H33203" s="5">
        <v>0</v>
      </c>
      <c r="I33203" s="5">
        <v>0</v>
      </c>
      <c r="J33203" s="5">
        <v>0</v>
      </c>
      <c r="K33203" s="5">
        <v>0</v>
      </c>
    </row>
    <row r="33204" spans="1:11" x14ac:dyDescent="0.25">
      <c r="A33204" s="5">
        <f>33197</f>
      </c>
      <c r="B33204" s="5" t="s">
        <v>33212</v>
      </c>
      <c r="C33204" s="5">
        <v>0</v>
      </c>
      <c r="D33204" s="5">
        <v>0</v>
      </c>
      <c r="E33204" s="5">
        <v>0</v>
      </c>
      <c r="F33204" s="5">
        <v>0</v>
      </c>
      <c r="G33204" s="5">
        <v>0</v>
      </c>
      <c r="H33204" s="5">
        <v>0</v>
      </c>
      <c r="I33204" s="5">
        <v>0</v>
      </c>
      <c r="J33204" s="5">
        <v>0</v>
      </c>
      <c r="K33204" s="5">
        <v>0</v>
      </c>
    </row>
    <row r="33205" spans="1:11" x14ac:dyDescent="0.25">
      <c r="A33205" s="5">
        <f>33198</f>
      </c>
      <c r="B33205" s="5" t="s">
        <v>33213</v>
      </c>
      <c r="C33205" s="5">
        <v>0</v>
      </c>
      <c r="D33205" s="5">
        <v>0</v>
      </c>
      <c r="E33205" s="5">
        <v>0</v>
      </c>
      <c r="F33205" s="5">
        <v>0</v>
      </c>
      <c r="G33205" s="5">
        <v>0</v>
      </c>
      <c r="H33205" s="5">
        <v>0</v>
      </c>
      <c r="I33205" s="5">
        <v>0</v>
      </c>
      <c r="J33205" s="5">
        <v>0</v>
      </c>
      <c r="K33205" s="5">
        <v>0</v>
      </c>
    </row>
    <row r="33206" spans="1:11" x14ac:dyDescent="0.25">
      <c r="A33206" s="5">
        <f>33199</f>
      </c>
      <c r="B33206" s="5" t="s">
        <v>33214</v>
      </c>
      <c r="C33206" s="5">
        <v>0</v>
      </c>
      <c r="D33206" s="5">
        <v>0</v>
      </c>
      <c r="E33206" s="5">
        <v>0</v>
      </c>
      <c r="F33206" s="5">
        <v>0</v>
      </c>
      <c r="G33206" s="5">
        <v>0</v>
      </c>
      <c r="H33206" s="5">
        <v>0</v>
      </c>
      <c r="I33206" s="5">
        <v>0</v>
      </c>
      <c r="J33206" s="5">
        <v>0</v>
      </c>
      <c r="K33206" s="5">
        <v>0</v>
      </c>
    </row>
    <row r="33207" spans="1:11" x14ac:dyDescent="0.25">
      <c r="A33207" s="5">
        <f>33200</f>
      </c>
      <c r="B33207" s="5" t="s">
        <v>33215</v>
      </c>
      <c r="C33207" s="5">
        <v>0</v>
      </c>
      <c r="D33207" s="5">
        <v>0</v>
      </c>
      <c r="E33207" s="5">
        <v>0</v>
      </c>
      <c r="F33207" s="5">
        <v>0</v>
      </c>
      <c r="G33207" s="5">
        <v>0</v>
      </c>
      <c r="H33207" s="5">
        <v>0</v>
      </c>
      <c r="I33207" s="5">
        <v>0</v>
      </c>
      <c r="J33207" s="5">
        <v>0</v>
      </c>
      <c r="K33207" s="5">
        <v>0</v>
      </c>
    </row>
    <row r="33208" spans="1:11" x14ac:dyDescent="0.25">
      <c r="A33208" s="5">
        <f>33201</f>
      </c>
      <c r="B33208" s="5" t="s">
        <v>33216</v>
      </c>
      <c r="C33208" s="5">
        <v>0</v>
      </c>
      <c r="D33208" s="5">
        <v>0</v>
      </c>
      <c r="E33208" s="5">
        <v>0</v>
      </c>
      <c r="F33208" s="5">
        <v>0</v>
      </c>
      <c r="G33208" s="5">
        <v>0</v>
      </c>
      <c r="H33208" s="5">
        <v>0</v>
      </c>
      <c r="I33208" s="5">
        <v>0</v>
      </c>
      <c r="J33208" s="5">
        <v>0</v>
      </c>
      <c r="K33208" s="5">
        <v>0</v>
      </c>
    </row>
    <row r="33209" spans="1:11" x14ac:dyDescent="0.25">
      <c r="A33209" s="5">
        <f>33202</f>
      </c>
      <c r="B33209" s="5" t="s">
        <v>33217</v>
      </c>
      <c r="C33209" s="5">
        <v>0</v>
      </c>
      <c r="D33209" s="5">
        <v>0</v>
      </c>
      <c r="E33209" s="5">
        <v>0</v>
      </c>
      <c r="F33209" s="5">
        <v>0</v>
      </c>
      <c r="G33209" s="5">
        <v>0</v>
      </c>
      <c r="H33209" s="5">
        <v>0</v>
      </c>
      <c r="I33209" s="5">
        <v>0</v>
      </c>
      <c r="J33209" s="5">
        <v>0</v>
      </c>
      <c r="K33209" s="5">
        <v>0</v>
      </c>
    </row>
    <row r="33210" spans="1:11" x14ac:dyDescent="0.25">
      <c r="A33210" s="5">
        <f>33203</f>
      </c>
      <c r="B33210" s="5" t="s">
        <v>33218</v>
      </c>
      <c r="C33210" s="5">
        <v>0</v>
      </c>
      <c r="D33210" s="5">
        <v>0</v>
      </c>
      <c r="E33210" s="5">
        <v>0</v>
      </c>
      <c r="F33210" s="5">
        <v>0</v>
      </c>
      <c r="G33210" s="5">
        <v>0</v>
      </c>
      <c r="H33210" s="5">
        <v>0</v>
      </c>
      <c r="I33210" s="5">
        <v>0</v>
      </c>
      <c r="J33210" s="5">
        <v>0</v>
      </c>
      <c r="K33210" s="5">
        <v>0</v>
      </c>
    </row>
    <row r="33211" spans="1:11" x14ac:dyDescent="0.25">
      <c r="A33211" s="5">
        <f>33204</f>
      </c>
      <c r="B33211" s="5" t="s">
        <v>33219</v>
      </c>
      <c r="C33211" s="5">
        <v>0</v>
      </c>
      <c r="D33211" s="5">
        <v>0</v>
      </c>
      <c r="E33211" s="5">
        <v>0</v>
      </c>
      <c r="F33211" s="5">
        <v>0</v>
      </c>
      <c r="G33211" s="5">
        <v>0</v>
      </c>
      <c r="H33211" s="5">
        <v>0</v>
      </c>
      <c r="I33211" s="5">
        <v>0</v>
      </c>
      <c r="J33211" s="5">
        <v>0</v>
      </c>
      <c r="K33211" s="5">
        <v>0</v>
      </c>
    </row>
    <row r="33212" spans="1:11" x14ac:dyDescent="0.25">
      <c r="A33212" s="5">
        <f>33205</f>
      </c>
      <c r="B33212" s="5" t="s">
        <v>33220</v>
      </c>
      <c r="C33212" s="5">
        <v>0</v>
      </c>
      <c r="D33212" s="5">
        <v>0</v>
      </c>
      <c r="E33212" s="5">
        <v>0</v>
      </c>
      <c r="F33212" s="5">
        <v>0</v>
      </c>
      <c r="G33212" s="5">
        <v>0</v>
      </c>
      <c r="H33212" s="5">
        <v>0</v>
      </c>
      <c r="I33212" s="5">
        <v>0</v>
      </c>
      <c r="J33212" s="5">
        <v>0</v>
      </c>
      <c r="K33212" s="5">
        <v>0</v>
      </c>
    </row>
    <row r="33213" spans="1:11" x14ac:dyDescent="0.25">
      <c r="A33213" s="5">
        <f>33206</f>
      </c>
      <c r="B33213" s="5" t="s">
        <v>33221</v>
      </c>
      <c r="C33213" s="5">
        <v>0</v>
      </c>
      <c r="D33213" s="5">
        <v>0</v>
      </c>
      <c r="E33213" s="5">
        <v>0</v>
      </c>
      <c r="F33213" s="5">
        <v>0</v>
      </c>
      <c r="G33213" s="5">
        <v>0</v>
      </c>
      <c r="H33213" s="5">
        <v>0</v>
      </c>
      <c r="I33213" s="5">
        <v>0</v>
      </c>
      <c r="J33213" s="5">
        <v>0</v>
      </c>
      <c r="K33213" s="5">
        <v>0</v>
      </c>
    </row>
    <row r="33214" spans="1:11" x14ac:dyDescent="0.25">
      <c r="A33214" s="5">
        <f>33207</f>
      </c>
      <c r="B33214" s="5" t="s">
        <v>33222</v>
      </c>
      <c r="C33214" s="5">
        <v>0</v>
      </c>
      <c r="D33214" s="5">
        <v>0</v>
      </c>
      <c r="E33214" s="5">
        <v>0</v>
      </c>
      <c r="F33214" s="5">
        <v>0</v>
      </c>
      <c r="G33214" s="5">
        <v>0</v>
      </c>
      <c r="H33214" s="5">
        <v>0</v>
      </c>
      <c r="I33214" s="5">
        <v>0</v>
      </c>
      <c r="J33214" s="5">
        <v>0</v>
      </c>
      <c r="K33214" s="5">
        <v>0</v>
      </c>
    </row>
    <row r="33215" spans="1:11" x14ac:dyDescent="0.25">
      <c r="A33215" s="5">
        <f>33208</f>
      </c>
      <c r="B33215" s="5" t="s">
        <v>33223</v>
      </c>
      <c r="C33215" s="5">
        <v>0</v>
      </c>
      <c r="D33215" s="5">
        <v>0</v>
      </c>
      <c r="E33215" s="5">
        <v>0</v>
      </c>
      <c r="F33215" s="5">
        <v>0</v>
      </c>
      <c r="G33215" s="5">
        <v>0</v>
      </c>
      <c r="H33215" s="5">
        <v>0</v>
      </c>
      <c r="I33215" s="5">
        <v>0</v>
      </c>
      <c r="J33215" s="5">
        <v>0</v>
      </c>
      <c r="K33215" s="5">
        <v>0</v>
      </c>
    </row>
    <row r="33216" spans="1:11" x14ac:dyDescent="0.25">
      <c r="A33216" s="5">
        <f>33209</f>
      </c>
      <c r="B33216" s="5" t="s">
        <v>33224</v>
      </c>
      <c r="C33216" s="5">
        <v>0</v>
      </c>
      <c r="D33216" s="5">
        <v>0</v>
      </c>
      <c r="E33216" s="5">
        <v>0</v>
      </c>
      <c r="F33216" s="5">
        <v>0</v>
      </c>
      <c r="G33216" s="5">
        <v>0</v>
      </c>
      <c r="H33216" s="5">
        <v>0</v>
      </c>
      <c r="I33216" s="5">
        <v>0</v>
      </c>
      <c r="J33216" s="5">
        <v>0</v>
      </c>
      <c r="K33216" s="5">
        <v>0</v>
      </c>
    </row>
    <row r="33217" spans="1:11" x14ac:dyDescent="0.25">
      <c r="A33217" s="5">
        <f>33210</f>
      </c>
      <c r="B33217" s="5" t="s">
        <v>33225</v>
      </c>
      <c r="C33217" s="5">
        <v>0</v>
      </c>
      <c r="D33217" s="5">
        <v>0</v>
      </c>
      <c r="E33217" s="5">
        <v>0</v>
      </c>
      <c r="F33217" s="5">
        <v>0</v>
      </c>
      <c r="G33217" s="5">
        <v>0</v>
      </c>
      <c r="H33217" s="5">
        <v>0</v>
      </c>
      <c r="I33217" s="5">
        <v>0</v>
      </c>
      <c r="J33217" s="5">
        <v>0</v>
      </c>
      <c r="K33217" s="5">
        <v>0</v>
      </c>
    </row>
    <row r="33218" spans="1:11" x14ac:dyDescent="0.25">
      <c r="A33218" s="5">
        <f>33211</f>
      </c>
      <c r="B33218" s="5" t="s">
        <v>33226</v>
      </c>
      <c r="C33218" s="5">
        <v>0</v>
      </c>
      <c r="D33218" s="5">
        <v>0</v>
      </c>
      <c r="E33218" s="5">
        <v>0</v>
      </c>
      <c r="F33218" s="5">
        <v>0</v>
      </c>
      <c r="G33218" s="5">
        <v>0</v>
      </c>
      <c r="H33218" s="5">
        <v>0</v>
      </c>
      <c r="I33218" s="5">
        <v>0</v>
      </c>
      <c r="J33218" s="5">
        <v>0</v>
      </c>
      <c r="K33218" s="5">
        <v>0</v>
      </c>
    </row>
    <row r="33219" spans="1:11" x14ac:dyDescent="0.25">
      <c r="A33219" s="5">
        <f>33212</f>
      </c>
      <c r="B33219" s="5" t="s">
        <v>33227</v>
      </c>
      <c r="C33219" s="5">
        <v>0</v>
      </c>
      <c r="D33219" s="5">
        <v>0</v>
      </c>
      <c r="E33219" s="5">
        <v>0</v>
      </c>
      <c r="F33219" s="5">
        <v>0</v>
      </c>
      <c r="G33219" s="5">
        <v>0</v>
      </c>
      <c r="H33219" s="5">
        <v>0</v>
      </c>
      <c r="I33219" s="5">
        <v>0</v>
      </c>
      <c r="J33219" s="5">
        <v>0</v>
      </c>
      <c r="K33219" s="5">
        <v>0</v>
      </c>
    </row>
    <row r="33220" spans="1:11" x14ac:dyDescent="0.25">
      <c r="A33220" s="5">
        <f>33213</f>
      </c>
      <c r="B33220" s="5" t="s">
        <v>33228</v>
      </c>
      <c r="C33220" s="5">
        <v>0</v>
      </c>
      <c r="D33220" s="5">
        <v>0</v>
      </c>
      <c r="E33220" s="5">
        <v>0</v>
      </c>
      <c r="F33220" s="5">
        <v>0</v>
      </c>
      <c r="G33220" s="5">
        <v>0</v>
      </c>
      <c r="H33220" s="5">
        <v>0</v>
      </c>
      <c r="I33220" s="5">
        <v>0</v>
      </c>
      <c r="J33220" s="5">
        <v>0</v>
      </c>
      <c r="K33220" s="5">
        <v>0</v>
      </c>
    </row>
    <row r="33221" spans="1:11" x14ac:dyDescent="0.25">
      <c r="A33221" s="5">
        <f>33214</f>
      </c>
      <c r="B33221" s="5" t="s">
        <v>33229</v>
      </c>
      <c r="C33221" s="5">
        <v>0</v>
      </c>
      <c r="D33221" s="5">
        <v>0</v>
      </c>
      <c r="E33221" s="5">
        <v>0</v>
      </c>
      <c r="F33221" s="5">
        <v>0</v>
      </c>
      <c r="G33221" s="5">
        <v>0</v>
      </c>
      <c r="H33221" s="5">
        <v>0</v>
      </c>
      <c r="I33221" s="5">
        <v>0</v>
      </c>
      <c r="J33221" s="5">
        <v>0</v>
      </c>
      <c r="K33221" s="5">
        <v>0</v>
      </c>
    </row>
    <row r="33222" spans="1:11" x14ac:dyDescent="0.25">
      <c r="A33222" s="5">
        <f>33215</f>
      </c>
      <c r="B33222" s="5" t="s">
        <v>33230</v>
      </c>
      <c r="C33222" s="5">
        <v>0</v>
      </c>
      <c r="D33222" s="5">
        <v>0</v>
      </c>
      <c r="E33222" s="5">
        <v>0</v>
      </c>
      <c r="F33222" s="5">
        <v>0</v>
      </c>
      <c r="G33222" s="5">
        <v>0</v>
      </c>
      <c r="H33222" s="5">
        <v>0</v>
      </c>
      <c r="I33222" s="5">
        <v>0</v>
      </c>
      <c r="J33222" s="5">
        <v>0</v>
      </c>
      <c r="K33222" s="5">
        <v>0</v>
      </c>
    </row>
    <row r="33223" spans="1:11" x14ac:dyDescent="0.25">
      <c r="A33223" s="5">
        <f>33216</f>
      </c>
      <c r="B33223" s="5" t="s">
        <v>33231</v>
      </c>
      <c r="C33223" s="5">
        <v>0</v>
      </c>
      <c r="D33223" s="5">
        <v>0</v>
      </c>
      <c r="E33223" s="5">
        <v>0</v>
      </c>
      <c r="F33223" s="5">
        <v>0</v>
      </c>
      <c r="G33223" s="5">
        <v>0</v>
      </c>
      <c r="H33223" s="5">
        <v>0</v>
      </c>
      <c r="I33223" s="5">
        <v>0</v>
      </c>
      <c r="J33223" s="5">
        <v>0</v>
      </c>
      <c r="K33223" s="5">
        <v>0</v>
      </c>
    </row>
    <row r="33224" spans="1:11" x14ac:dyDescent="0.25">
      <c r="A33224" s="5">
        <f>33217</f>
      </c>
      <c r="B33224" s="5" t="s">
        <v>33232</v>
      </c>
      <c r="C33224" s="5">
        <v>0</v>
      </c>
      <c r="D33224" s="5">
        <v>0</v>
      </c>
      <c r="E33224" s="5">
        <v>0</v>
      </c>
      <c r="F33224" s="5">
        <v>0</v>
      </c>
      <c r="G33224" s="5">
        <v>0</v>
      </c>
      <c r="H33224" s="5">
        <v>0</v>
      </c>
      <c r="I33224" s="5">
        <v>0</v>
      </c>
      <c r="J33224" s="5">
        <v>0</v>
      </c>
      <c r="K33224" s="5">
        <v>0</v>
      </c>
    </row>
    <row r="33225" spans="1:11" x14ac:dyDescent="0.25">
      <c r="A33225" s="5">
        <f>33218</f>
      </c>
      <c r="B33225" s="5" t="s">
        <v>33233</v>
      </c>
      <c r="C33225" s="5">
        <v>0</v>
      </c>
      <c r="D33225" s="5">
        <v>0</v>
      </c>
      <c r="E33225" s="5">
        <v>0</v>
      </c>
      <c r="F33225" s="5">
        <v>0</v>
      </c>
      <c r="G33225" s="5">
        <v>0</v>
      </c>
      <c r="H33225" s="5">
        <v>0</v>
      </c>
      <c r="I33225" s="5">
        <v>0</v>
      </c>
      <c r="J33225" s="5">
        <v>0</v>
      </c>
      <c r="K33225" s="5">
        <v>0</v>
      </c>
    </row>
    <row r="33226" spans="1:11" x14ac:dyDescent="0.25">
      <c r="A33226" s="5">
        <f>33219</f>
      </c>
      <c r="B33226" s="5" t="s">
        <v>33234</v>
      </c>
      <c r="C33226" s="5">
        <v>0</v>
      </c>
      <c r="D33226" s="5">
        <v>0</v>
      </c>
      <c r="E33226" s="5">
        <v>0</v>
      </c>
      <c r="F33226" s="5">
        <v>0</v>
      </c>
      <c r="G33226" s="5">
        <v>0</v>
      </c>
      <c r="H33226" s="5">
        <v>0</v>
      </c>
      <c r="I33226" s="5">
        <v>0</v>
      </c>
      <c r="J33226" s="5">
        <v>0</v>
      </c>
      <c r="K33226" s="5">
        <v>0</v>
      </c>
    </row>
    <row r="33227" spans="1:11" x14ac:dyDescent="0.25">
      <c r="A33227" s="5">
        <f>33220</f>
      </c>
      <c r="B33227" s="5" t="s">
        <v>33235</v>
      </c>
      <c r="C33227" s="5">
        <v>0</v>
      </c>
      <c r="D33227" s="5">
        <v>0</v>
      </c>
      <c r="E33227" s="5">
        <v>0</v>
      </c>
      <c r="F33227" s="5">
        <v>0</v>
      </c>
      <c r="G33227" s="5">
        <v>0</v>
      </c>
      <c r="H33227" s="5">
        <v>0</v>
      </c>
      <c r="I33227" s="5">
        <v>0</v>
      </c>
      <c r="J33227" s="5">
        <v>0</v>
      </c>
      <c r="K33227" s="5">
        <v>0</v>
      </c>
    </row>
    <row r="33228" spans="1:11" x14ac:dyDescent="0.25">
      <c r="A33228" s="5">
        <f>33221</f>
      </c>
      <c r="B33228" s="5" t="s">
        <v>33236</v>
      </c>
      <c r="C33228" s="5">
        <v>0</v>
      </c>
      <c r="D33228" s="5">
        <v>0</v>
      </c>
      <c r="E33228" s="5">
        <v>0</v>
      </c>
      <c r="F33228" s="5">
        <v>0</v>
      </c>
      <c r="G33228" s="5">
        <v>0</v>
      </c>
      <c r="H33228" s="5">
        <v>0</v>
      </c>
      <c r="I33228" s="5">
        <v>0</v>
      </c>
      <c r="J33228" s="5">
        <v>0</v>
      </c>
      <c r="K33228" s="5">
        <v>0</v>
      </c>
    </row>
    <row r="33229" spans="1:11" x14ac:dyDescent="0.25">
      <c r="A33229" s="5">
        <f>33222</f>
      </c>
      <c r="B33229" s="5" t="s">
        <v>33237</v>
      </c>
      <c r="C33229" s="5">
        <v>0</v>
      </c>
      <c r="D33229" s="5">
        <v>0</v>
      </c>
      <c r="E33229" s="5">
        <v>0</v>
      </c>
      <c r="F33229" s="5">
        <v>0</v>
      </c>
      <c r="G33229" s="5">
        <v>0</v>
      </c>
      <c r="H33229" s="5">
        <v>0</v>
      </c>
      <c r="I33229" s="5">
        <v>0</v>
      </c>
      <c r="J33229" s="5">
        <v>0</v>
      </c>
      <c r="K33229" s="5">
        <v>0</v>
      </c>
    </row>
    <row r="33230" spans="1:11" x14ac:dyDescent="0.25">
      <c r="A33230" s="5">
        <f>33223</f>
      </c>
      <c r="B33230" s="5" t="s">
        <v>33238</v>
      </c>
      <c r="C33230" s="5">
        <v>0</v>
      </c>
      <c r="D33230" s="5">
        <v>0</v>
      </c>
      <c r="E33230" s="5">
        <v>0</v>
      </c>
      <c r="F33230" s="5">
        <v>0</v>
      </c>
      <c r="G33230" s="5">
        <v>0</v>
      </c>
      <c r="H33230" s="5">
        <v>0</v>
      </c>
      <c r="I33230" s="5">
        <v>0</v>
      </c>
      <c r="J33230" s="5">
        <v>0</v>
      </c>
      <c r="K33230" s="5">
        <v>0</v>
      </c>
    </row>
    <row r="33231" spans="1:11" x14ac:dyDescent="0.25">
      <c r="A33231" s="5">
        <f>33224</f>
      </c>
      <c r="B33231" s="5" t="s">
        <v>33239</v>
      </c>
      <c r="C33231" s="5">
        <v>0</v>
      </c>
      <c r="D33231" s="5">
        <v>0</v>
      </c>
      <c r="E33231" s="5">
        <v>0</v>
      </c>
      <c r="F33231" s="5">
        <v>0</v>
      </c>
      <c r="G33231" s="5">
        <v>0</v>
      </c>
      <c r="H33231" s="5">
        <v>0</v>
      </c>
      <c r="I33231" s="5">
        <v>0</v>
      </c>
      <c r="J33231" s="5">
        <v>0</v>
      </c>
      <c r="K33231" s="5">
        <v>0</v>
      </c>
    </row>
    <row r="33232" spans="1:11" x14ac:dyDescent="0.25">
      <c r="A33232" s="5">
        <f>33225</f>
      </c>
      <c r="B33232" s="5" t="s">
        <v>33240</v>
      </c>
      <c r="C33232" s="5">
        <v>0</v>
      </c>
      <c r="D33232" s="5">
        <v>0</v>
      </c>
      <c r="E33232" s="5">
        <v>0</v>
      </c>
      <c r="F33232" s="5">
        <v>0</v>
      </c>
      <c r="G33232" s="5">
        <v>0</v>
      </c>
      <c r="H33232" s="5">
        <v>0</v>
      </c>
      <c r="I33232" s="5">
        <v>0</v>
      </c>
      <c r="J33232" s="5">
        <v>0</v>
      </c>
      <c r="K33232" s="5">
        <v>0</v>
      </c>
    </row>
    <row r="33233" spans="1:11" x14ac:dyDescent="0.25">
      <c r="A33233" s="5">
        <f>33226</f>
      </c>
      <c r="B33233" s="5" t="s">
        <v>33241</v>
      </c>
      <c r="C33233" s="5">
        <v>0</v>
      </c>
      <c r="D33233" s="5">
        <v>0</v>
      </c>
      <c r="E33233" s="5">
        <v>0</v>
      </c>
      <c r="F33233" s="5">
        <v>0</v>
      </c>
      <c r="G33233" s="5">
        <v>0</v>
      </c>
      <c r="H33233" s="5">
        <v>0</v>
      </c>
      <c r="I33233" s="5">
        <v>0</v>
      </c>
      <c r="J33233" s="5">
        <v>0</v>
      </c>
      <c r="K33233" s="5">
        <v>0</v>
      </c>
    </row>
    <row r="33234" spans="1:11" x14ac:dyDescent="0.25">
      <c r="A33234" s="5">
        <f>33227</f>
      </c>
      <c r="B33234" s="5" t="s">
        <v>33242</v>
      </c>
      <c r="C33234" s="5">
        <v>0</v>
      </c>
      <c r="D33234" s="5">
        <v>0</v>
      </c>
      <c r="E33234" s="5">
        <v>0</v>
      </c>
      <c r="F33234" s="5">
        <v>0</v>
      </c>
      <c r="G33234" s="5">
        <v>0</v>
      </c>
      <c r="H33234" s="5">
        <v>0</v>
      </c>
      <c r="I33234" s="5">
        <v>0</v>
      </c>
      <c r="J33234" s="5">
        <v>0</v>
      </c>
      <c r="K33234" s="5">
        <v>0</v>
      </c>
    </row>
    <row r="33235" spans="1:11" x14ac:dyDescent="0.25">
      <c r="A33235" s="5">
        <f>33228</f>
      </c>
      <c r="B33235" s="5" t="s">
        <v>33243</v>
      </c>
      <c r="C33235" s="5">
        <v>0</v>
      </c>
      <c r="D33235" s="5">
        <v>0</v>
      </c>
      <c r="E33235" s="5">
        <v>0</v>
      </c>
      <c r="F33235" s="5">
        <v>0</v>
      </c>
      <c r="G33235" s="5">
        <v>0</v>
      </c>
      <c r="H33235" s="5">
        <v>0</v>
      </c>
      <c r="I33235" s="5">
        <v>0</v>
      </c>
      <c r="J33235" s="5">
        <v>0</v>
      </c>
      <c r="K33235" s="5">
        <v>0</v>
      </c>
    </row>
    <row r="33236" spans="1:11" x14ac:dyDescent="0.25">
      <c r="A33236" s="5">
        <f>33229</f>
      </c>
      <c r="B33236" s="5" t="s">
        <v>33244</v>
      </c>
      <c r="C33236" s="5">
        <v>0</v>
      </c>
      <c r="D33236" s="5">
        <v>0</v>
      </c>
      <c r="E33236" s="5">
        <v>0</v>
      </c>
      <c r="F33236" s="5">
        <v>0</v>
      </c>
      <c r="G33236" s="5">
        <v>0</v>
      </c>
      <c r="H33236" s="5">
        <v>0</v>
      </c>
      <c r="I33236" s="5">
        <v>0</v>
      </c>
      <c r="J33236" s="5">
        <v>0</v>
      </c>
      <c r="K33236" s="5">
        <v>0</v>
      </c>
    </row>
    <row r="33237" spans="1:11" x14ac:dyDescent="0.25">
      <c r="A33237" s="5">
        <f>33230</f>
      </c>
      <c r="B33237" s="5" t="s">
        <v>33245</v>
      </c>
      <c r="C33237" s="5">
        <v>0</v>
      </c>
      <c r="D33237" s="5">
        <v>0</v>
      </c>
      <c r="E33237" s="5">
        <v>0</v>
      </c>
      <c r="F33237" s="5">
        <v>0</v>
      </c>
      <c r="G33237" s="5">
        <v>0</v>
      </c>
      <c r="H33237" s="5">
        <v>0</v>
      </c>
      <c r="I33237" s="5">
        <v>0</v>
      </c>
      <c r="J33237" s="5">
        <v>0</v>
      </c>
      <c r="K33237" s="5">
        <v>0</v>
      </c>
    </row>
    <row r="33238" spans="1:11" x14ac:dyDescent="0.25">
      <c r="A33238" s="5">
        <f>33231</f>
      </c>
      <c r="B33238" s="5" t="s">
        <v>33246</v>
      </c>
      <c r="C33238" s="5">
        <v>0</v>
      </c>
      <c r="D33238" s="5">
        <v>0</v>
      </c>
      <c r="E33238" s="5">
        <v>0</v>
      </c>
      <c r="F33238" s="5">
        <v>0</v>
      </c>
      <c r="G33238" s="5">
        <v>0</v>
      </c>
      <c r="H33238" s="5">
        <v>0</v>
      </c>
      <c r="I33238" s="5">
        <v>0</v>
      </c>
      <c r="J33238" s="5">
        <v>0</v>
      </c>
      <c r="K33238" s="5">
        <v>0</v>
      </c>
    </row>
    <row r="33239" spans="1:11" x14ac:dyDescent="0.25">
      <c r="A33239" s="5">
        <f>33232</f>
      </c>
      <c r="B33239" s="5" t="s">
        <v>33247</v>
      </c>
      <c r="C33239" s="5">
        <v>0</v>
      </c>
      <c r="D33239" s="5">
        <v>0</v>
      </c>
      <c r="E33239" s="5">
        <v>0</v>
      </c>
      <c r="F33239" s="5">
        <v>0</v>
      </c>
      <c r="G33239" s="5">
        <v>0</v>
      </c>
      <c r="H33239" s="5">
        <v>0</v>
      </c>
      <c r="I33239" s="5">
        <v>0</v>
      </c>
      <c r="J33239" s="5">
        <v>0</v>
      </c>
      <c r="K33239" s="5">
        <v>0</v>
      </c>
    </row>
    <row r="33240" spans="1:11" x14ac:dyDescent="0.25">
      <c r="A33240" s="5">
        <f>33233</f>
      </c>
      <c r="B33240" s="5" t="s">
        <v>33248</v>
      </c>
      <c r="C33240" s="5">
        <v>0</v>
      </c>
      <c r="D33240" s="5">
        <v>0</v>
      </c>
      <c r="E33240" s="5">
        <v>0</v>
      </c>
      <c r="F33240" s="5">
        <v>0</v>
      </c>
      <c r="G33240" s="5">
        <v>0</v>
      </c>
      <c r="H33240" s="5">
        <v>0</v>
      </c>
      <c r="I33240" s="5">
        <v>0</v>
      </c>
      <c r="J33240" s="5">
        <v>0</v>
      </c>
      <c r="K33240" s="5">
        <v>0</v>
      </c>
    </row>
    <row r="33241" spans="1:11" x14ac:dyDescent="0.25">
      <c r="A33241" s="5">
        <f>33234</f>
      </c>
      <c r="B33241" s="5" t="s">
        <v>33249</v>
      </c>
      <c r="C33241" s="5">
        <v>0</v>
      </c>
      <c r="D33241" s="5">
        <v>0</v>
      </c>
      <c r="E33241" s="5">
        <v>0</v>
      </c>
      <c r="F33241" s="5">
        <v>0</v>
      </c>
      <c r="G33241" s="5">
        <v>0</v>
      </c>
      <c r="H33241" s="5">
        <v>0</v>
      </c>
      <c r="I33241" s="5">
        <v>0</v>
      </c>
      <c r="J33241" s="5">
        <v>0</v>
      </c>
      <c r="K33241" s="5">
        <v>0</v>
      </c>
    </row>
    <row r="33242" spans="1:11" x14ac:dyDescent="0.25">
      <c r="A33242" s="5">
        <f>33235</f>
      </c>
      <c r="B33242" s="5" t="s">
        <v>33250</v>
      </c>
      <c r="C33242" s="5">
        <v>0</v>
      </c>
      <c r="D33242" s="5">
        <v>0</v>
      </c>
      <c r="E33242" s="5">
        <v>0</v>
      </c>
      <c r="F33242" s="5">
        <v>0</v>
      </c>
      <c r="G33242" s="5">
        <v>0</v>
      </c>
      <c r="H33242" s="5">
        <v>0</v>
      </c>
      <c r="I33242" s="5">
        <v>0</v>
      </c>
      <c r="J33242" s="5">
        <v>0</v>
      </c>
      <c r="K33242" s="5">
        <v>0</v>
      </c>
    </row>
    <row r="33243" spans="1:11" x14ac:dyDescent="0.25">
      <c r="A33243" s="5">
        <f>33236</f>
      </c>
      <c r="B33243" s="5" t="s">
        <v>33251</v>
      </c>
      <c r="C33243" s="5">
        <v>0</v>
      </c>
      <c r="D33243" s="5">
        <v>0</v>
      </c>
      <c r="E33243" s="5">
        <v>0</v>
      </c>
      <c r="F33243" s="5">
        <v>0</v>
      </c>
      <c r="G33243" s="5">
        <v>0</v>
      </c>
      <c r="H33243" s="5">
        <v>0</v>
      </c>
      <c r="I33243" s="5">
        <v>0</v>
      </c>
      <c r="J33243" s="5">
        <v>0</v>
      </c>
      <c r="K33243" s="5">
        <v>0</v>
      </c>
    </row>
    <row r="33244" spans="1:11" x14ac:dyDescent="0.25">
      <c r="A33244" s="5">
        <f>33237</f>
      </c>
      <c r="B33244" s="5" t="s">
        <v>33252</v>
      </c>
      <c r="C33244" s="5">
        <v>0</v>
      </c>
      <c r="D33244" s="5">
        <v>0</v>
      </c>
      <c r="E33244" s="5">
        <v>0</v>
      </c>
      <c r="F33244" s="5">
        <v>0</v>
      </c>
      <c r="G33244" s="5">
        <v>0</v>
      </c>
      <c r="H33244" s="5">
        <v>0</v>
      </c>
      <c r="I33244" s="5">
        <v>0</v>
      </c>
      <c r="J33244" s="5">
        <v>0</v>
      </c>
      <c r="K33244" s="5">
        <v>0</v>
      </c>
    </row>
    <row r="33245" spans="1:11" x14ac:dyDescent="0.25">
      <c r="A33245" s="5">
        <f>33238</f>
      </c>
      <c r="B33245" s="5" t="s">
        <v>33253</v>
      </c>
      <c r="C33245" s="5">
        <v>0</v>
      </c>
      <c r="D33245" s="5">
        <v>0</v>
      </c>
      <c r="E33245" s="5">
        <v>0</v>
      </c>
      <c r="F33245" s="5">
        <v>0</v>
      </c>
      <c r="G33245" s="5">
        <v>0</v>
      </c>
      <c r="H33245" s="5">
        <v>0</v>
      </c>
      <c r="I33245" s="5">
        <v>0</v>
      </c>
      <c r="J33245" s="5">
        <v>0</v>
      </c>
      <c r="K33245" s="5">
        <v>0</v>
      </c>
    </row>
    <row r="33246" spans="1:11" x14ac:dyDescent="0.25">
      <c r="A33246" s="5">
        <f>33239</f>
      </c>
      <c r="B33246" s="5" t="s">
        <v>33254</v>
      </c>
      <c r="C33246" s="5">
        <v>0</v>
      </c>
      <c r="D33246" s="5">
        <v>0</v>
      </c>
      <c r="E33246" s="5">
        <v>0</v>
      </c>
      <c r="F33246" s="5">
        <v>0</v>
      </c>
      <c r="G33246" s="5">
        <v>0</v>
      </c>
      <c r="H33246" s="5">
        <v>0</v>
      </c>
      <c r="I33246" s="5">
        <v>0</v>
      </c>
      <c r="J33246" s="5">
        <v>0</v>
      </c>
      <c r="K33246" s="5">
        <v>0</v>
      </c>
    </row>
    <row r="33247" spans="1:11" x14ac:dyDescent="0.25">
      <c r="A33247" s="5">
        <f>33240</f>
      </c>
      <c r="B33247" s="5" t="s">
        <v>33255</v>
      </c>
      <c r="C33247" s="5">
        <v>0</v>
      </c>
      <c r="D33247" s="5">
        <v>0</v>
      </c>
      <c r="E33247" s="5">
        <v>0</v>
      </c>
      <c r="F33247" s="5">
        <v>0</v>
      </c>
      <c r="G33247" s="5">
        <v>0</v>
      </c>
      <c r="H33247" s="5">
        <v>0</v>
      </c>
      <c r="I33247" s="5">
        <v>0</v>
      </c>
      <c r="J33247" s="5">
        <v>0</v>
      </c>
      <c r="K33247" s="5">
        <v>0</v>
      </c>
    </row>
    <row r="33248" spans="1:11" x14ac:dyDescent="0.25">
      <c r="A33248" s="5">
        <f>33241</f>
      </c>
      <c r="B33248" s="5" t="s">
        <v>33256</v>
      </c>
      <c r="C33248" s="5">
        <v>0</v>
      </c>
      <c r="D33248" s="5">
        <v>0</v>
      </c>
      <c r="E33248" s="5">
        <v>0</v>
      </c>
      <c r="F33248" s="5">
        <v>0</v>
      </c>
      <c r="G33248" s="5">
        <v>0</v>
      </c>
      <c r="H33248" s="5">
        <v>0</v>
      </c>
      <c r="I33248" s="5">
        <v>0</v>
      </c>
      <c r="J33248" s="5">
        <v>0</v>
      </c>
      <c r="K33248" s="5">
        <v>0</v>
      </c>
    </row>
    <row r="33249" spans="1:11" x14ac:dyDescent="0.25">
      <c r="A33249" s="5">
        <f>33242</f>
      </c>
      <c r="B33249" s="5" t="s">
        <v>33257</v>
      </c>
      <c r="C33249" s="5">
        <v>0</v>
      </c>
      <c r="D33249" s="5">
        <v>0</v>
      </c>
      <c r="E33249" s="5">
        <v>0</v>
      </c>
      <c r="F33249" s="5">
        <v>0</v>
      </c>
      <c r="G33249" s="5">
        <v>0</v>
      </c>
      <c r="H33249" s="5">
        <v>0</v>
      </c>
      <c r="I33249" s="5">
        <v>0</v>
      </c>
      <c r="J33249" s="5">
        <v>0</v>
      </c>
      <c r="K33249" s="5">
        <v>0</v>
      </c>
    </row>
    <row r="33250" spans="1:11" x14ac:dyDescent="0.25">
      <c r="A33250" s="5">
        <f>33243</f>
      </c>
      <c r="B33250" s="5" t="s">
        <v>33258</v>
      </c>
      <c r="C33250" s="5">
        <v>0</v>
      </c>
      <c r="D33250" s="5">
        <v>0</v>
      </c>
      <c r="E33250" s="5">
        <v>0</v>
      </c>
      <c r="F33250" s="5">
        <v>0</v>
      </c>
      <c r="G33250" s="5">
        <v>0</v>
      </c>
      <c r="H33250" s="5">
        <v>0</v>
      </c>
      <c r="I33250" s="5">
        <v>0</v>
      </c>
      <c r="J33250" s="5">
        <v>0</v>
      </c>
      <c r="K33250" s="5">
        <v>0</v>
      </c>
    </row>
    <row r="33251" spans="1:11" x14ac:dyDescent="0.25">
      <c r="A33251" s="5">
        <f>33244</f>
      </c>
      <c r="B33251" s="5" t="s">
        <v>33259</v>
      </c>
      <c r="C33251" s="5">
        <v>0</v>
      </c>
      <c r="D33251" s="5">
        <v>0</v>
      </c>
      <c r="E33251" s="5">
        <v>0</v>
      </c>
      <c r="F33251" s="5">
        <v>0</v>
      </c>
      <c r="G33251" s="5">
        <v>0</v>
      </c>
      <c r="H33251" s="5">
        <v>0</v>
      </c>
      <c r="I33251" s="5">
        <v>0</v>
      </c>
      <c r="J33251" s="5">
        <v>0</v>
      </c>
      <c r="K33251" s="5">
        <v>0</v>
      </c>
    </row>
    <row r="33252" spans="1:11" x14ac:dyDescent="0.25">
      <c r="A33252" s="5">
        <f>33245</f>
      </c>
      <c r="B33252" s="5" t="s">
        <v>33260</v>
      </c>
      <c r="C33252" s="5">
        <v>0</v>
      </c>
      <c r="D33252" s="5">
        <v>0</v>
      </c>
      <c r="E33252" s="5">
        <v>0</v>
      </c>
      <c r="F33252" s="5">
        <v>0</v>
      </c>
      <c r="G33252" s="5">
        <v>0</v>
      </c>
      <c r="H33252" s="5">
        <v>0</v>
      </c>
      <c r="I33252" s="5">
        <v>0</v>
      </c>
      <c r="J33252" s="5">
        <v>0</v>
      </c>
      <c r="K33252" s="5">
        <v>0</v>
      </c>
    </row>
    <row r="33253" spans="1:11" x14ac:dyDescent="0.25">
      <c r="A33253" s="5">
        <f>33246</f>
      </c>
      <c r="B33253" s="5" t="s">
        <v>33261</v>
      </c>
      <c r="C33253" s="5">
        <v>0</v>
      </c>
      <c r="D33253" s="5">
        <v>0</v>
      </c>
      <c r="E33253" s="5">
        <v>0</v>
      </c>
      <c r="F33253" s="5">
        <v>0</v>
      </c>
      <c r="G33253" s="5">
        <v>0</v>
      </c>
      <c r="H33253" s="5">
        <v>0</v>
      </c>
      <c r="I33253" s="5">
        <v>0</v>
      </c>
      <c r="J33253" s="5">
        <v>0</v>
      </c>
      <c r="K33253" s="5">
        <v>0</v>
      </c>
    </row>
    <row r="33254" spans="1:11" x14ac:dyDescent="0.25">
      <c r="A33254" s="5">
        <f>33247</f>
      </c>
      <c r="B33254" s="5" t="s">
        <v>33262</v>
      </c>
      <c r="C33254" s="5">
        <v>0</v>
      </c>
      <c r="D33254" s="5">
        <v>0</v>
      </c>
      <c r="E33254" s="5">
        <v>0</v>
      </c>
      <c r="F33254" s="5">
        <v>0</v>
      </c>
      <c r="G33254" s="5">
        <v>0</v>
      </c>
      <c r="H33254" s="5">
        <v>0</v>
      </c>
      <c r="I33254" s="5">
        <v>0</v>
      </c>
      <c r="J33254" s="5">
        <v>0</v>
      </c>
      <c r="K33254" s="5">
        <v>0</v>
      </c>
    </row>
    <row r="33255" spans="1:11" x14ac:dyDescent="0.25">
      <c r="A33255" s="5">
        <f>33248</f>
      </c>
      <c r="B33255" s="5" t="s">
        <v>33263</v>
      </c>
      <c r="C33255" s="5">
        <v>0</v>
      </c>
      <c r="D33255" s="5">
        <v>0</v>
      </c>
      <c r="E33255" s="5">
        <v>0</v>
      </c>
      <c r="F33255" s="5">
        <v>0</v>
      </c>
      <c r="G33255" s="5">
        <v>0</v>
      </c>
      <c r="H33255" s="5">
        <v>0</v>
      </c>
      <c r="I33255" s="5">
        <v>0</v>
      </c>
      <c r="J33255" s="5">
        <v>0</v>
      </c>
      <c r="K33255" s="5">
        <v>0</v>
      </c>
    </row>
    <row r="33256" spans="1:11" x14ac:dyDescent="0.25">
      <c r="A33256" s="5">
        <f>33249</f>
      </c>
      <c r="B33256" s="5" t="s">
        <v>33264</v>
      </c>
      <c r="C33256" s="5">
        <v>0</v>
      </c>
      <c r="D33256" s="5">
        <v>0</v>
      </c>
      <c r="E33256" s="5">
        <v>0</v>
      </c>
      <c r="F33256" s="5">
        <v>0</v>
      </c>
      <c r="G33256" s="5">
        <v>0</v>
      </c>
      <c r="H33256" s="5">
        <v>0</v>
      </c>
      <c r="I33256" s="5">
        <v>0</v>
      </c>
      <c r="J33256" s="5">
        <v>0</v>
      </c>
      <c r="K33256" s="5">
        <v>0</v>
      </c>
    </row>
    <row r="33257" spans="1:11" x14ac:dyDescent="0.25">
      <c r="A33257" s="5">
        <f>33250</f>
      </c>
      <c r="B33257" s="5" t="s">
        <v>33265</v>
      </c>
      <c r="C33257" s="5">
        <v>0</v>
      </c>
      <c r="D33257" s="5">
        <v>0</v>
      </c>
      <c r="E33257" s="5">
        <v>0</v>
      </c>
      <c r="F33257" s="5">
        <v>0</v>
      </c>
      <c r="G33257" s="5">
        <v>0</v>
      </c>
      <c r="H33257" s="5">
        <v>0</v>
      </c>
      <c r="I33257" s="5">
        <v>0</v>
      </c>
      <c r="J33257" s="5">
        <v>0</v>
      </c>
      <c r="K33257" s="5">
        <v>0</v>
      </c>
    </row>
    <row r="33258" spans="1:11" x14ac:dyDescent="0.25">
      <c r="A33258" s="5">
        <f>33251</f>
      </c>
      <c r="B33258" s="5" t="s">
        <v>33266</v>
      </c>
      <c r="C33258" s="5">
        <v>0</v>
      </c>
      <c r="D33258" s="5">
        <v>0</v>
      </c>
      <c r="E33258" s="5">
        <v>0</v>
      </c>
      <c r="F33258" s="5">
        <v>0</v>
      </c>
      <c r="G33258" s="5">
        <v>0</v>
      </c>
      <c r="H33258" s="5">
        <v>0</v>
      </c>
      <c r="I33258" s="5">
        <v>0</v>
      </c>
      <c r="J33258" s="5">
        <v>0</v>
      </c>
      <c r="K33258" s="5">
        <v>0</v>
      </c>
    </row>
    <row r="33259" spans="1:11" x14ac:dyDescent="0.25">
      <c r="A33259" s="5">
        <f>33252</f>
      </c>
      <c r="B33259" s="5" t="s">
        <v>33267</v>
      </c>
      <c r="C33259" s="5">
        <v>0</v>
      </c>
      <c r="D33259" s="5">
        <v>0</v>
      </c>
      <c r="E33259" s="5">
        <v>0</v>
      </c>
      <c r="F33259" s="5">
        <v>0</v>
      </c>
      <c r="G33259" s="5">
        <v>0</v>
      </c>
      <c r="H33259" s="5">
        <v>0</v>
      </c>
      <c r="I33259" s="5">
        <v>0</v>
      </c>
      <c r="J33259" s="5">
        <v>0</v>
      </c>
      <c r="K33259" s="5">
        <v>0</v>
      </c>
    </row>
    <row r="33260" spans="1:11" x14ac:dyDescent="0.25">
      <c r="A33260" s="5">
        <f>33253</f>
      </c>
      <c r="B33260" s="5" t="s">
        <v>33268</v>
      </c>
      <c r="C33260" s="5">
        <v>0</v>
      </c>
      <c r="D33260" s="5">
        <v>0</v>
      </c>
      <c r="E33260" s="5">
        <v>0</v>
      </c>
      <c r="F33260" s="5">
        <v>0</v>
      </c>
      <c r="G33260" s="5">
        <v>0</v>
      </c>
      <c r="H33260" s="5">
        <v>0</v>
      </c>
      <c r="I33260" s="5">
        <v>0</v>
      </c>
      <c r="J33260" s="5">
        <v>0</v>
      </c>
      <c r="K33260" s="5">
        <v>0</v>
      </c>
    </row>
    <row r="33261" spans="1:11" x14ac:dyDescent="0.25">
      <c r="A33261" s="5">
        <f>33254</f>
      </c>
      <c r="B33261" s="5" t="s">
        <v>33269</v>
      </c>
      <c r="C33261" s="5">
        <v>0</v>
      </c>
      <c r="D33261" s="5">
        <v>0</v>
      </c>
      <c r="E33261" s="5">
        <v>0</v>
      </c>
      <c r="F33261" s="5">
        <v>0</v>
      </c>
      <c r="G33261" s="5">
        <v>0</v>
      </c>
      <c r="H33261" s="5">
        <v>0</v>
      </c>
      <c r="I33261" s="5">
        <v>0</v>
      </c>
      <c r="J33261" s="5">
        <v>0</v>
      </c>
      <c r="K33261" s="5">
        <v>0</v>
      </c>
    </row>
    <row r="33262" spans="1:11" x14ac:dyDescent="0.25">
      <c r="A33262" s="5">
        <f>33255</f>
      </c>
      <c r="B33262" s="5" t="s">
        <v>33270</v>
      </c>
      <c r="C33262" s="5">
        <v>0</v>
      </c>
      <c r="D33262" s="5">
        <v>0</v>
      </c>
      <c r="E33262" s="5">
        <v>0</v>
      </c>
      <c r="F33262" s="5">
        <v>0</v>
      </c>
      <c r="G33262" s="5">
        <v>0</v>
      </c>
      <c r="H33262" s="5">
        <v>0</v>
      </c>
      <c r="I33262" s="5">
        <v>0</v>
      </c>
      <c r="J33262" s="5">
        <v>0</v>
      </c>
      <c r="K33262" s="5">
        <v>0</v>
      </c>
    </row>
    <row r="33263" spans="1:11" x14ac:dyDescent="0.25">
      <c r="A33263" s="5">
        <f>33256</f>
      </c>
      <c r="B33263" s="5" t="s">
        <v>33271</v>
      </c>
      <c r="C33263" s="5">
        <v>0</v>
      </c>
      <c r="D33263" s="5">
        <v>0</v>
      </c>
      <c r="E33263" s="5">
        <v>0</v>
      </c>
      <c r="F33263" s="5">
        <v>0</v>
      </c>
      <c r="G33263" s="5">
        <v>0</v>
      </c>
      <c r="H33263" s="5">
        <v>0</v>
      </c>
      <c r="I33263" s="5">
        <v>0</v>
      </c>
      <c r="J33263" s="5">
        <v>0</v>
      </c>
      <c r="K33263" s="5">
        <v>0</v>
      </c>
    </row>
    <row r="33264" spans="1:11" x14ac:dyDescent="0.25">
      <c r="A33264" s="5">
        <f>33257</f>
      </c>
      <c r="B33264" s="5" t="s">
        <v>33272</v>
      </c>
      <c r="C33264" s="5">
        <v>0</v>
      </c>
      <c r="D33264" s="5">
        <v>0</v>
      </c>
      <c r="E33264" s="5">
        <v>0</v>
      </c>
      <c r="F33264" s="5">
        <v>0</v>
      </c>
      <c r="G33264" s="5">
        <v>0</v>
      </c>
      <c r="H33264" s="5">
        <v>0</v>
      </c>
      <c r="I33264" s="5">
        <v>0</v>
      </c>
      <c r="J33264" s="5">
        <v>0</v>
      </c>
      <c r="K33264" s="5">
        <v>0</v>
      </c>
    </row>
    <row r="33265" spans="1:11" x14ac:dyDescent="0.25">
      <c r="A33265" s="5">
        <f>33258</f>
      </c>
      <c r="B33265" s="5" t="s">
        <v>33273</v>
      </c>
      <c r="C33265" s="5">
        <v>0</v>
      </c>
      <c r="D33265" s="5">
        <v>0</v>
      </c>
      <c r="E33265" s="5">
        <v>0</v>
      </c>
      <c r="F33265" s="5">
        <v>0</v>
      </c>
      <c r="G33265" s="5">
        <v>0</v>
      </c>
      <c r="H33265" s="5">
        <v>0</v>
      </c>
      <c r="I33265" s="5">
        <v>0</v>
      </c>
      <c r="J33265" s="5">
        <v>0</v>
      </c>
      <c r="K33265" s="5">
        <v>0</v>
      </c>
    </row>
    <row r="33266" spans="1:11" x14ac:dyDescent="0.25">
      <c r="A33266" s="5">
        <f>33259</f>
      </c>
      <c r="B33266" s="5" t="s">
        <v>33274</v>
      </c>
      <c r="C33266" s="5">
        <v>0</v>
      </c>
      <c r="D33266" s="5">
        <v>0</v>
      </c>
      <c r="E33266" s="5">
        <v>0</v>
      </c>
      <c r="F33266" s="5">
        <v>0</v>
      </c>
      <c r="G33266" s="5">
        <v>0</v>
      </c>
      <c r="H33266" s="5">
        <v>0</v>
      </c>
      <c r="I33266" s="5">
        <v>0</v>
      </c>
      <c r="J33266" s="5">
        <v>0</v>
      </c>
      <c r="K33266" s="5">
        <v>0</v>
      </c>
    </row>
    <row r="33267" spans="1:11" x14ac:dyDescent="0.25">
      <c r="A33267" s="5">
        <f>33260</f>
      </c>
      <c r="B33267" s="5" t="s">
        <v>33275</v>
      </c>
      <c r="C33267" s="5">
        <v>0</v>
      </c>
      <c r="D33267" s="5">
        <v>0</v>
      </c>
      <c r="E33267" s="5">
        <v>0</v>
      </c>
      <c r="F33267" s="5">
        <v>0</v>
      </c>
      <c r="G33267" s="5">
        <v>0</v>
      </c>
      <c r="H33267" s="5">
        <v>0</v>
      </c>
      <c r="I33267" s="5">
        <v>0</v>
      </c>
      <c r="J33267" s="5">
        <v>0</v>
      </c>
      <c r="K33267" s="5">
        <v>0</v>
      </c>
    </row>
    <row r="33268" spans="1:11" x14ac:dyDescent="0.25">
      <c r="A33268" s="5">
        <f>33261</f>
      </c>
      <c r="B33268" s="5" t="s">
        <v>33276</v>
      </c>
      <c r="C33268" s="5">
        <v>0</v>
      </c>
      <c r="D33268" s="5">
        <v>0</v>
      </c>
      <c r="E33268" s="5">
        <v>0</v>
      </c>
      <c r="F33268" s="5">
        <v>0</v>
      </c>
      <c r="G33268" s="5">
        <v>0</v>
      </c>
      <c r="H33268" s="5">
        <v>0</v>
      </c>
      <c r="I33268" s="5">
        <v>0</v>
      </c>
      <c r="J33268" s="5">
        <v>0</v>
      </c>
      <c r="K33268" s="5">
        <v>0</v>
      </c>
    </row>
    <row r="33269" spans="1:11" x14ac:dyDescent="0.25">
      <c r="A33269" s="5">
        <f>33262</f>
      </c>
      <c r="B33269" s="5" t="s">
        <v>33277</v>
      </c>
      <c r="C33269" s="5">
        <v>0</v>
      </c>
      <c r="D33269" s="5">
        <v>0</v>
      </c>
      <c r="E33269" s="5">
        <v>0</v>
      </c>
      <c r="F33269" s="5">
        <v>0</v>
      </c>
      <c r="G33269" s="5">
        <v>0</v>
      </c>
      <c r="H33269" s="5">
        <v>0</v>
      </c>
      <c r="I33269" s="5">
        <v>0</v>
      </c>
      <c r="J33269" s="5">
        <v>0</v>
      </c>
      <c r="K33269" s="5">
        <v>0</v>
      </c>
    </row>
    <row r="33270" spans="1:11" x14ac:dyDescent="0.25">
      <c r="A33270" s="5">
        <f>33263</f>
      </c>
      <c r="B33270" s="5" t="s">
        <v>33278</v>
      </c>
      <c r="C33270" s="5">
        <v>0</v>
      </c>
      <c r="D33270" s="5">
        <v>0</v>
      </c>
      <c r="E33270" s="5">
        <v>0</v>
      </c>
      <c r="F33270" s="5">
        <v>0</v>
      </c>
      <c r="G33270" s="5">
        <v>0</v>
      </c>
      <c r="H33270" s="5">
        <v>0</v>
      </c>
      <c r="I33270" s="5">
        <v>0</v>
      </c>
      <c r="J33270" s="5">
        <v>0</v>
      </c>
      <c r="K33270" s="5">
        <v>0</v>
      </c>
    </row>
    <row r="33271" spans="1:11" x14ac:dyDescent="0.25">
      <c r="A33271" s="5">
        <f>33264</f>
      </c>
      <c r="B33271" s="5" t="s">
        <v>33279</v>
      </c>
      <c r="C33271" s="5">
        <v>0</v>
      </c>
      <c r="D33271" s="5">
        <v>0</v>
      </c>
      <c r="E33271" s="5">
        <v>0</v>
      </c>
      <c r="F33271" s="5">
        <v>0</v>
      </c>
      <c r="G33271" s="5">
        <v>0</v>
      </c>
      <c r="H33271" s="5">
        <v>0</v>
      </c>
      <c r="I33271" s="5">
        <v>0</v>
      </c>
      <c r="J33271" s="5">
        <v>0</v>
      </c>
      <c r="K33271" s="5">
        <v>0</v>
      </c>
    </row>
    <row r="33272" spans="1:11" x14ac:dyDescent="0.25">
      <c r="A33272" s="5">
        <f>33265</f>
      </c>
      <c r="B33272" s="5" t="s">
        <v>33280</v>
      </c>
      <c r="C33272" s="5">
        <v>0</v>
      </c>
      <c r="D33272" s="5">
        <v>0</v>
      </c>
      <c r="E33272" s="5">
        <v>0</v>
      </c>
      <c r="F33272" s="5">
        <v>0</v>
      </c>
      <c r="G33272" s="5">
        <v>0</v>
      </c>
      <c r="H33272" s="5">
        <v>0</v>
      </c>
      <c r="I33272" s="5">
        <v>0</v>
      </c>
      <c r="J33272" s="5">
        <v>0</v>
      </c>
      <c r="K33272" s="5">
        <v>0</v>
      </c>
    </row>
    <row r="33273" spans="1:11" x14ac:dyDescent="0.25">
      <c r="A33273" s="5">
        <f>33266</f>
      </c>
      <c r="B33273" s="5" t="s">
        <v>33281</v>
      </c>
      <c r="C33273" s="5">
        <v>0</v>
      </c>
      <c r="D33273" s="5">
        <v>0</v>
      </c>
      <c r="E33273" s="5">
        <v>0</v>
      </c>
      <c r="F33273" s="5">
        <v>0</v>
      </c>
      <c r="G33273" s="5">
        <v>0</v>
      </c>
      <c r="H33273" s="5">
        <v>0</v>
      </c>
      <c r="I33273" s="5">
        <v>0</v>
      </c>
      <c r="J33273" s="5">
        <v>0</v>
      </c>
      <c r="K33273" s="5">
        <v>0</v>
      </c>
    </row>
    <row r="33274" spans="1:11" x14ac:dyDescent="0.25">
      <c r="A33274" s="5">
        <f>33267</f>
      </c>
      <c r="B33274" s="5" t="s">
        <v>33282</v>
      </c>
      <c r="C33274" s="5">
        <v>0</v>
      </c>
      <c r="D33274" s="5">
        <v>0</v>
      </c>
      <c r="E33274" s="5">
        <v>0</v>
      </c>
      <c r="F33274" s="5">
        <v>0</v>
      </c>
      <c r="G33274" s="5">
        <v>0</v>
      </c>
      <c r="H33274" s="5">
        <v>0</v>
      </c>
      <c r="I33274" s="5">
        <v>0</v>
      </c>
      <c r="J33274" s="5">
        <v>0</v>
      </c>
      <c r="K33274" s="5">
        <v>0</v>
      </c>
    </row>
    <row r="33275" spans="1:11" x14ac:dyDescent="0.25">
      <c r="A33275" s="5">
        <f>33268</f>
      </c>
      <c r="B33275" s="5" t="s">
        <v>33283</v>
      </c>
      <c r="C33275" s="5">
        <v>0</v>
      </c>
      <c r="D33275" s="5">
        <v>0</v>
      </c>
      <c r="E33275" s="5">
        <v>0</v>
      </c>
      <c r="F33275" s="5">
        <v>0</v>
      </c>
      <c r="G33275" s="5">
        <v>0</v>
      </c>
      <c r="H33275" s="5">
        <v>0</v>
      </c>
      <c r="I33275" s="5">
        <v>0</v>
      </c>
      <c r="J33275" s="5">
        <v>0</v>
      </c>
      <c r="K33275" s="5">
        <v>0</v>
      </c>
    </row>
    <row r="33276" spans="1:11" x14ac:dyDescent="0.25">
      <c r="A33276" s="5">
        <f>33269</f>
      </c>
      <c r="B33276" s="5" t="s">
        <v>33284</v>
      </c>
      <c r="C33276" s="5">
        <v>0</v>
      </c>
      <c r="D33276" s="5">
        <v>0</v>
      </c>
      <c r="E33276" s="5">
        <v>0</v>
      </c>
      <c r="F33276" s="5">
        <v>0</v>
      </c>
      <c r="G33276" s="5">
        <v>0</v>
      </c>
      <c r="H33276" s="5">
        <v>0</v>
      </c>
      <c r="I33276" s="5">
        <v>0</v>
      </c>
      <c r="J33276" s="5">
        <v>0</v>
      </c>
      <c r="K33276" s="5">
        <v>0</v>
      </c>
    </row>
    <row r="33277" spans="1:11" x14ac:dyDescent="0.25">
      <c r="A33277" s="5">
        <f>33270</f>
      </c>
      <c r="B33277" s="5" t="s">
        <v>33285</v>
      </c>
      <c r="C33277" s="5">
        <v>0</v>
      </c>
      <c r="D33277" s="5">
        <v>0</v>
      </c>
      <c r="E33277" s="5">
        <v>0</v>
      </c>
      <c r="F33277" s="5">
        <v>0</v>
      </c>
      <c r="G33277" s="5">
        <v>0</v>
      </c>
      <c r="H33277" s="5">
        <v>0</v>
      </c>
      <c r="I33277" s="5">
        <v>0</v>
      </c>
      <c r="J33277" s="5">
        <v>0</v>
      </c>
      <c r="K33277" s="5">
        <v>0</v>
      </c>
    </row>
    <row r="33278" spans="1:11" x14ac:dyDescent="0.25">
      <c r="A33278" s="5">
        <f>33271</f>
      </c>
      <c r="B33278" s="5" t="s">
        <v>33286</v>
      </c>
      <c r="C33278" s="5">
        <v>0</v>
      </c>
      <c r="D33278" s="5">
        <v>0</v>
      </c>
      <c r="E33278" s="5">
        <v>0</v>
      </c>
      <c r="F33278" s="5">
        <v>0</v>
      </c>
      <c r="G33278" s="5">
        <v>0</v>
      </c>
      <c r="H33278" s="5">
        <v>0</v>
      </c>
      <c r="I33278" s="5">
        <v>0</v>
      </c>
      <c r="J33278" s="5">
        <v>0</v>
      </c>
      <c r="K33278" s="5">
        <v>0</v>
      </c>
    </row>
    <row r="33279" spans="1:11" x14ac:dyDescent="0.25">
      <c r="A33279" s="5">
        <f>33272</f>
      </c>
      <c r="B33279" s="5" t="s">
        <v>33287</v>
      </c>
      <c r="C33279" s="5">
        <v>0</v>
      </c>
      <c r="D33279" s="5">
        <v>0</v>
      </c>
      <c r="E33279" s="5">
        <v>0</v>
      </c>
      <c r="F33279" s="5">
        <v>0</v>
      </c>
      <c r="G33279" s="5">
        <v>0</v>
      </c>
      <c r="H33279" s="5">
        <v>0</v>
      </c>
      <c r="I33279" s="5">
        <v>0</v>
      </c>
      <c r="J33279" s="5">
        <v>0</v>
      </c>
      <c r="K33279" s="5">
        <v>0</v>
      </c>
    </row>
    <row r="33280" spans="1:11" x14ac:dyDescent="0.25">
      <c r="A33280" s="5">
        <f>33273</f>
      </c>
      <c r="B33280" s="5" t="s">
        <v>33288</v>
      </c>
      <c r="C33280" s="5">
        <v>0</v>
      </c>
      <c r="D33280" s="5">
        <v>0</v>
      </c>
      <c r="E33280" s="5">
        <v>0</v>
      </c>
      <c r="F33280" s="5">
        <v>0</v>
      </c>
      <c r="G33280" s="5">
        <v>0</v>
      </c>
      <c r="H33280" s="5">
        <v>0</v>
      </c>
      <c r="I33280" s="5">
        <v>0</v>
      </c>
      <c r="J33280" s="5">
        <v>0</v>
      </c>
      <c r="K33280" s="5">
        <v>0</v>
      </c>
    </row>
    <row r="33281" spans="1:11" x14ac:dyDescent="0.25">
      <c r="A33281" s="5">
        <f>33274</f>
      </c>
      <c r="B33281" s="5" t="s">
        <v>33289</v>
      </c>
      <c r="C33281" s="5">
        <v>0</v>
      </c>
      <c r="D33281" s="5">
        <v>0</v>
      </c>
      <c r="E33281" s="5">
        <v>0</v>
      </c>
      <c r="F33281" s="5">
        <v>0</v>
      </c>
      <c r="G33281" s="5">
        <v>0</v>
      </c>
      <c r="H33281" s="5">
        <v>0</v>
      </c>
      <c r="I33281" s="5">
        <v>0</v>
      </c>
      <c r="J33281" s="5">
        <v>0</v>
      </c>
      <c r="K33281" s="5">
        <v>0</v>
      </c>
    </row>
    <row r="33282" spans="1:11" x14ac:dyDescent="0.25">
      <c r="A33282" s="5">
        <f>33275</f>
      </c>
      <c r="B33282" s="5" t="s">
        <v>33290</v>
      </c>
      <c r="C33282" s="5">
        <v>0</v>
      </c>
      <c r="D33282" s="5">
        <v>0</v>
      </c>
      <c r="E33282" s="5">
        <v>0</v>
      </c>
      <c r="F33282" s="5">
        <v>0</v>
      </c>
      <c r="G33282" s="5">
        <v>0</v>
      </c>
      <c r="H33282" s="5">
        <v>0</v>
      </c>
      <c r="I33282" s="5">
        <v>0</v>
      </c>
      <c r="J33282" s="5">
        <v>0</v>
      </c>
      <c r="K33282" s="5">
        <v>0</v>
      </c>
    </row>
    <row r="33283" spans="1:11" x14ac:dyDescent="0.25">
      <c r="A33283" s="5">
        <f>33276</f>
      </c>
      <c r="B33283" s="5" t="s">
        <v>33291</v>
      </c>
      <c r="C33283" s="5">
        <v>0</v>
      </c>
      <c r="D33283" s="5">
        <v>0</v>
      </c>
      <c r="E33283" s="5">
        <v>0</v>
      </c>
      <c r="F33283" s="5">
        <v>0</v>
      </c>
      <c r="G33283" s="5">
        <v>0</v>
      </c>
      <c r="H33283" s="5">
        <v>0</v>
      </c>
      <c r="I33283" s="5">
        <v>0</v>
      </c>
      <c r="J33283" s="5">
        <v>0</v>
      </c>
      <c r="K33283" s="5">
        <v>0</v>
      </c>
    </row>
    <row r="33284" spans="1:11" x14ac:dyDescent="0.25">
      <c r="A33284" s="5">
        <f>33277</f>
      </c>
      <c r="B33284" s="5" t="s">
        <v>33292</v>
      </c>
      <c r="C33284" s="5">
        <v>0</v>
      </c>
      <c r="D33284" s="5">
        <v>0</v>
      </c>
      <c r="E33284" s="5">
        <v>0</v>
      </c>
      <c r="F33284" s="5">
        <v>0</v>
      </c>
      <c r="G33284" s="5">
        <v>0</v>
      </c>
      <c r="H33284" s="5">
        <v>0</v>
      </c>
      <c r="I33284" s="5">
        <v>0</v>
      </c>
      <c r="J33284" s="5">
        <v>0</v>
      </c>
      <c r="K33284" s="5">
        <v>0</v>
      </c>
    </row>
    <row r="33285" spans="1:11" x14ac:dyDescent="0.25">
      <c r="A33285" s="5">
        <f>33278</f>
      </c>
      <c r="B33285" s="5" t="s">
        <v>33293</v>
      </c>
      <c r="C33285" s="5">
        <v>0</v>
      </c>
      <c r="D33285" s="5">
        <v>0</v>
      </c>
      <c r="E33285" s="5">
        <v>0</v>
      </c>
      <c r="F33285" s="5">
        <v>0</v>
      </c>
      <c r="G33285" s="5">
        <v>0</v>
      </c>
      <c r="H33285" s="5">
        <v>0</v>
      </c>
      <c r="I33285" s="5">
        <v>0</v>
      </c>
      <c r="J33285" s="5">
        <v>0</v>
      </c>
      <c r="K33285" s="5">
        <v>0</v>
      </c>
    </row>
    <row r="33286" spans="1:11" x14ac:dyDescent="0.25">
      <c r="A33286" s="5">
        <f>33279</f>
      </c>
      <c r="B33286" s="5" t="s">
        <v>33294</v>
      </c>
      <c r="C33286" s="5">
        <v>0</v>
      </c>
      <c r="D33286" s="5">
        <v>0</v>
      </c>
      <c r="E33286" s="5">
        <v>0</v>
      </c>
      <c r="F33286" s="5">
        <v>0</v>
      </c>
      <c r="G33286" s="5">
        <v>0</v>
      </c>
      <c r="H33286" s="5">
        <v>0</v>
      </c>
      <c r="I33286" s="5">
        <v>0</v>
      </c>
      <c r="J33286" s="5">
        <v>0</v>
      </c>
      <c r="K33286" s="5">
        <v>0</v>
      </c>
    </row>
    <row r="33287" spans="1:11" x14ac:dyDescent="0.25">
      <c r="A33287" s="5">
        <f>33280</f>
      </c>
      <c r="B33287" s="5" t="s">
        <v>33295</v>
      </c>
      <c r="C33287" s="5">
        <v>0</v>
      </c>
      <c r="D33287" s="5">
        <v>0</v>
      </c>
      <c r="E33287" s="5">
        <v>0</v>
      </c>
      <c r="F33287" s="5">
        <v>0</v>
      </c>
      <c r="G33287" s="5">
        <v>0</v>
      </c>
      <c r="H33287" s="5">
        <v>0</v>
      </c>
      <c r="I33287" s="5">
        <v>0</v>
      </c>
      <c r="J33287" s="5">
        <v>0</v>
      </c>
      <c r="K33287" s="5">
        <v>0</v>
      </c>
    </row>
    <row r="33288" spans="1:11" x14ac:dyDescent="0.25">
      <c r="A33288" s="5">
        <f>33281</f>
      </c>
      <c r="B33288" s="5" t="s">
        <v>33296</v>
      </c>
      <c r="C33288" s="5">
        <v>0</v>
      </c>
      <c r="D33288" s="5">
        <v>0</v>
      </c>
      <c r="E33288" s="5">
        <v>0</v>
      </c>
      <c r="F33288" s="5">
        <v>0</v>
      </c>
      <c r="G33288" s="5">
        <v>0</v>
      </c>
      <c r="H33288" s="5">
        <v>0</v>
      </c>
      <c r="I33288" s="5">
        <v>0</v>
      </c>
      <c r="J33288" s="5">
        <v>0</v>
      </c>
      <c r="K33288" s="5">
        <v>0</v>
      </c>
    </row>
    <row r="33289" spans="1:11" x14ac:dyDescent="0.25">
      <c r="A33289" s="5">
        <f>33282</f>
      </c>
      <c r="B33289" s="5" t="s">
        <v>33297</v>
      </c>
      <c r="C33289" s="5">
        <v>0</v>
      </c>
      <c r="D33289" s="5">
        <v>0</v>
      </c>
      <c r="E33289" s="5">
        <v>0</v>
      </c>
      <c r="F33289" s="5">
        <v>0</v>
      </c>
      <c r="G33289" s="5">
        <v>0</v>
      </c>
      <c r="H33289" s="5">
        <v>0</v>
      </c>
      <c r="I33289" s="5">
        <v>0</v>
      </c>
      <c r="J33289" s="5">
        <v>0</v>
      </c>
      <c r="K33289" s="5">
        <v>0</v>
      </c>
    </row>
    <row r="33290" spans="1:11" x14ac:dyDescent="0.25">
      <c r="A33290" s="5">
        <f>33283</f>
      </c>
      <c r="B33290" s="5" t="s">
        <v>33298</v>
      </c>
      <c r="C33290" s="5">
        <v>0</v>
      </c>
      <c r="D33290" s="5">
        <v>0</v>
      </c>
      <c r="E33290" s="5">
        <v>0</v>
      </c>
      <c r="F33290" s="5">
        <v>0</v>
      </c>
      <c r="G33290" s="5">
        <v>0</v>
      </c>
      <c r="H33290" s="5">
        <v>0</v>
      </c>
      <c r="I33290" s="5">
        <v>0</v>
      </c>
      <c r="J33290" s="5">
        <v>0</v>
      </c>
      <c r="K33290" s="5">
        <v>0</v>
      </c>
    </row>
    <row r="33291" spans="1:11" x14ac:dyDescent="0.25">
      <c r="A33291" s="5">
        <f>33284</f>
      </c>
      <c r="B33291" s="5" t="s">
        <v>33299</v>
      </c>
      <c r="C33291" s="5">
        <v>0</v>
      </c>
      <c r="D33291" s="5">
        <v>0</v>
      </c>
      <c r="E33291" s="5">
        <v>0</v>
      </c>
      <c r="F33291" s="5">
        <v>0</v>
      </c>
      <c r="G33291" s="5">
        <v>0</v>
      </c>
      <c r="H33291" s="5">
        <v>0</v>
      </c>
      <c r="I33291" s="5">
        <v>0</v>
      </c>
      <c r="J33291" s="5">
        <v>0</v>
      </c>
      <c r="K33291" s="5">
        <v>0</v>
      </c>
    </row>
    <row r="33292" spans="1:11" x14ac:dyDescent="0.25">
      <c r="A33292" s="5">
        <f>33285</f>
      </c>
      <c r="B33292" s="5" t="s">
        <v>33300</v>
      </c>
      <c r="C33292" s="5">
        <v>0</v>
      </c>
      <c r="D33292" s="5">
        <v>0</v>
      </c>
      <c r="E33292" s="5">
        <v>0</v>
      </c>
      <c r="F33292" s="5">
        <v>0</v>
      </c>
      <c r="G33292" s="5">
        <v>0</v>
      </c>
      <c r="H33292" s="5">
        <v>0</v>
      </c>
      <c r="I33292" s="5">
        <v>0</v>
      </c>
      <c r="J33292" s="5">
        <v>0</v>
      </c>
      <c r="K33292" s="5">
        <v>0</v>
      </c>
    </row>
    <row r="33293" spans="1:11" x14ac:dyDescent="0.25">
      <c r="A33293" s="5">
        <f>33286</f>
      </c>
      <c r="B33293" s="5" t="s">
        <v>33301</v>
      </c>
      <c r="C33293" s="5">
        <v>0</v>
      </c>
      <c r="D33293" s="5">
        <v>0</v>
      </c>
      <c r="E33293" s="5">
        <v>0</v>
      </c>
      <c r="F33293" s="5">
        <v>0</v>
      </c>
      <c r="G33293" s="5">
        <v>0</v>
      </c>
      <c r="H33293" s="5">
        <v>0</v>
      </c>
      <c r="I33293" s="5">
        <v>0</v>
      </c>
      <c r="J33293" s="5">
        <v>0</v>
      </c>
      <c r="K33293" s="5">
        <v>0</v>
      </c>
    </row>
    <row r="33294" spans="1:11" x14ac:dyDescent="0.25">
      <c r="A33294" s="5">
        <f>33287</f>
      </c>
      <c r="B33294" s="5" t="s">
        <v>33302</v>
      </c>
      <c r="C33294" s="5">
        <v>0</v>
      </c>
      <c r="D33294" s="5">
        <v>0</v>
      </c>
      <c r="E33294" s="5">
        <v>0</v>
      </c>
      <c r="F33294" s="5">
        <v>0</v>
      </c>
      <c r="G33294" s="5">
        <v>0</v>
      </c>
      <c r="H33294" s="5">
        <v>0</v>
      </c>
      <c r="I33294" s="5">
        <v>0</v>
      </c>
      <c r="J33294" s="5">
        <v>0</v>
      </c>
      <c r="K33294" s="5">
        <v>0</v>
      </c>
    </row>
    <row r="33295" spans="1:11" x14ac:dyDescent="0.25">
      <c r="A33295" s="5">
        <f>33288</f>
      </c>
      <c r="B33295" s="5" t="s">
        <v>33303</v>
      </c>
      <c r="C33295" s="5">
        <v>0</v>
      </c>
      <c r="D33295" s="5">
        <v>0</v>
      </c>
      <c r="E33295" s="5">
        <v>0</v>
      </c>
      <c r="F33295" s="5">
        <v>0</v>
      </c>
      <c r="G33295" s="5">
        <v>0</v>
      </c>
      <c r="H33295" s="5">
        <v>0</v>
      </c>
      <c r="I33295" s="5">
        <v>0</v>
      </c>
      <c r="J33295" s="5">
        <v>0</v>
      </c>
      <c r="K33295" s="5">
        <v>0</v>
      </c>
    </row>
    <row r="33296" spans="1:11" x14ac:dyDescent="0.25">
      <c r="A33296" s="5">
        <f>33289</f>
      </c>
      <c r="B33296" s="5" t="s">
        <v>33304</v>
      </c>
      <c r="C33296" s="5">
        <v>0</v>
      </c>
      <c r="D33296" s="5">
        <v>0</v>
      </c>
      <c r="E33296" s="5">
        <v>0</v>
      </c>
      <c r="F33296" s="5">
        <v>0</v>
      </c>
      <c r="G33296" s="5">
        <v>0</v>
      </c>
      <c r="H33296" s="5">
        <v>0</v>
      </c>
      <c r="I33296" s="5">
        <v>0</v>
      </c>
      <c r="J33296" s="5">
        <v>0</v>
      </c>
      <c r="K33296" s="5">
        <v>0</v>
      </c>
    </row>
    <row r="33297" spans="1:11" x14ac:dyDescent="0.25">
      <c r="A33297" s="5">
        <f>33290</f>
      </c>
      <c r="B33297" s="5" t="s">
        <v>33305</v>
      </c>
      <c r="C33297" s="5">
        <v>0</v>
      </c>
      <c r="D33297" s="5">
        <v>0</v>
      </c>
      <c r="E33297" s="5">
        <v>0</v>
      </c>
      <c r="F33297" s="5">
        <v>0</v>
      </c>
      <c r="G33297" s="5">
        <v>0</v>
      </c>
      <c r="H33297" s="5">
        <v>0</v>
      </c>
      <c r="I33297" s="5">
        <v>0</v>
      </c>
      <c r="J33297" s="5">
        <v>0</v>
      </c>
      <c r="K33297" s="5">
        <v>0</v>
      </c>
    </row>
    <row r="33298" spans="1:11" x14ac:dyDescent="0.25">
      <c r="A33298" s="5">
        <f>33291</f>
      </c>
      <c r="B33298" s="5" t="s">
        <v>33306</v>
      </c>
      <c r="C33298" s="5">
        <v>0</v>
      </c>
      <c r="D33298" s="5">
        <v>0</v>
      </c>
      <c r="E33298" s="5">
        <v>0</v>
      </c>
      <c r="F33298" s="5">
        <v>0</v>
      </c>
      <c r="G33298" s="5">
        <v>0</v>
      </c>
      <c r="H33298" s="5">
        <v>0</v>
      </c>
      <c r="I33298" s="5">
        <v>0</v>
      </c>
      <c r="J33298" s="5">
        <v>0</v>
      </c>
      <c r="K33298" s="5">
        <v>0</v>
      </c>
    </row>
    <row r="33299" spans="1:11" x14ac:dyDescent="0.25">
      <c r="A33299" s="5">
        <f>33292</f>
      </c>
      <c r="B33299" s="5" t="s">
        <v>33307</v>
      </c>
      <c r="C33299" s="5">
        <v>0</v>
      </c>
      <c r="D33299" s="5">
        <v>0</v>
      </c>
      <c r="E33299" s="5">
        <v>0</v>
      </c>
      <c r="F33299" s="5">
        <v>0</v>
      </c>
      <c r="G33299" s="5">
        <v>0</v>
      </c>
      <c r="H33299" s="5">
        <v>0</v>
      </c>
      <c r="I33299" s="5">
        <v>0</v>
      </c>
      <c r="J33299" s="5">
        <v>0</v>
      </c>
      <c r="K33299" s="5">
        <v>0</v>
      </c>
    </row>
    <row r="33300" spans="1:11" x14ac:dyDescent="0.25">
      <c r="A33300" s="5">
        <f>33293</f>
      </c>
      <c r="B33300" s="5" t="s">
        <v>33308</v>
      </c>
      <c r="C33300" s="5">
        <v>0</v>
      </c>
      <c r="D33300" s="5">
        <v>0</v>
      </c>
      <c r="E33300" s="5">
        <v>0</v>
      </c>
      <c r="F33300" s="5">
        <v>0</v>
      </c>
      <c r="G33300" s="5">
        <v>0</v>
      </c>
      <c r="H33300" s="5">
        <v>0</v>
      </c>
      <c r="I33300" s="5">
        <v>0</v>
      </c>
      <c r="J33300" s="5">
        <v>0</v>
      </c>
      <c r="K33300" s="5">
        <v>0</v>
      </c>
    </row>
    <row r="33301" spans="1:11" x14ac:dyDescent="0.25">
      <c r="A33301" s="5">
        <f>33294</f>
      </c>
      <c r="B33301" s="5" t="s">
        <v>33309</v>
      </c>
      <c r="C33301" s="5">
        <v>0</v>
      </c>
      <c r="D33301" s="5">
        <v>0</v>
      </c>
      <c r="E33301" s="5">
        <v>0</v>
      </c>
      <c r="F33301" s="5">
        <v>0</v>
      </c>
      <c r="G33301" s="5">
        <v>0</v>
      </c>
      <c r="H33301" s="5">
        <v>0</v>
      </c>
      <c r="I33301" s="5">
        <v>0</v>
      </c>
      <c r="J33301" s="5">
        <v>0</v>
      </c>
      <c r="K33301" s="5">
        <v>0</v>
      </c>
    </row>
    <row r="33302" spans="1:11" x14ac:dyDescent="0.25">
      <c r="A33302" s="5">
        <f>33295</f>
      </c>
      <c r="B33302" s="5" t="s">
        <v>33310</v>
      </c>
      <c r="C33302" s="5">
        <v>0</v>
      </c>
      <c r="D33302" s="5">
        <v>0</v>
      </c>
      <c r="E33302" s="5">
        <v>0</v>
      </c>
      <c r="F33302" s="5">
        <v>0</v>
      </c>
      <c r="G33302" s="5">
        <v>0</v>
      </c>
      <c r="H33302" s="5">
        <v>0</v>
      </c>
      <c r="I33302" s="5">
        <v>0</v>
      </c>
      <c r="J33302" s="5">
        <v>0</v>
      </c>
      <c r="K33302" s="5">
        <v>0</v>
      </c>
    </row>
    <row r="33303" spans="1:11" x14ac:dyDescent="0.25">
      <c r="A33303" s="5">
        <f>33296</f>
      </c>
      <c r="B33303" s="5" t="s">
        <v>33311</v>
      </c>
      <c r="C33303" s="5">
        <v>0</v>
      </c>
      <c r="D33303" s="5">
        <v>0</v>
      </c>
      <c r="E33303" s="5">
        <v>0</v>
      </c>
      <c r="F33303" s="5">
        <v>0</v>
      </c>
      <c r="G33303" s="5">
        <v>0</v>
      </c>
      <c r="H33303" s="5">
        <v>0</v>
      </c>
      <c r="I33303" s="5">
        <v>0</v>
      </c>
      <c r="J33303" s="5">
        <v>0</v>
      </c>
      <c r="K33303" s="5">
        <v>0</v>
      </c>
    </row>
    <row r="33304" spans="1:11" x14ac:dyDescent="0.25">
      <c r="A33304" s="5">
        <f>33297</f>
      </c>
      <c r="B33304" s="5" t="s">
        <v>33312</v>
      </c>
      <c r="C33304" s="5">
        <v>0</v>
      </c>
      <c r="D33304" s="5">
        <v>0</v>
      </c>
      <c r="E33304" s="5">
        <v>0</v>
      </c>
      <c r="F33304" s="5">
        <v>0</v>
      </c>
      <c r="G33304" s="5">
        <v>0</v>
      </c>
      <c r="H33304" s="5">
        <v>0</v>
      </c>
      <c r="I33304" s="5">
        <v>0</v>
      </c>
      <c r="J33304" s="5">
        <v>0</v>
      </c>
      <c r="K33304" s="5">
        <v>0</v>
      </c>
    </row>
    <row r="33305" spans="1:11" x14ac:dyDescent="0.25">
      <c r="A33305" s="5">
        <f>33298</f>
      </c>
      <c r="B33305" s="5" t="s">
        <v>33313</v>
      </c>
      <c r="C33305" s="5">
        <v>0</v>
      </c>
      <c r="D33305" s="5">
        <v>0</v>
      </c>
      <c r="E33305" s="5">
        <v>0</v>
      </c>
      <c r="F33305" s="5">
        <v>0</v>
      </c>
      <c r="G33305" s="5">
        <v>0</v>
      </c>
      <c r="H33305" s="5">
        <v>0</v>
      </c>
      <c r="I33305" s="5">
        <v>0</v>
      </c>
      <c r="J33305" s="5">
        <v>0</v>
      </c>
      <c r="K33305" s="5">
        <v>0</v>
      </c>
    </row>
    <row r="33306" spans="1:11" x14ac:dyDescent="0.25">
      <c r="A33306" s="5">
        <f>33299</f>
      </c>
      <c r="B33306" s="5" t="s">
        <v>33314</v>
      </c>
      <c r="C33306" s="5">
        <v>0</v>
      </c>
      <c r="D33306" s="5">
        <v>0</v>
      </c>
      <c r="E33306" s="5">
        <v>0</v>
      </c>
      <c r="F33306" s="5">
        <v>0</v>
      </c>
      <c r="G33306" s="5">
        <v>0</v>
      </c>
      <c r="H33306" s="5">
        <v>0</v>
      </c>
      <c r="I33306" s="5">
        <v>0</v>
      </c>
      <c r="J33306" s="5">
        <v>0</v>
      </c>
      <c r="K33306" s="5">
        <v>0</v>
      </c>
    </row>
    <row r="33307" spans="1:11" x14ac:dyDescent="0.25">
      <c r="A33307" s="5">
        <f>33300</f>
      </c>
      <c r="B33307" s="5" t="s">
        <v>33315</v>
      </c>
      <c r="C33307" s="5">
        <v>0</v>
      </c>
      <c r="D33307" s="5">
        <v>0</v>
      </c>
      <c r="E33307" s="5">
        <v>0</v>
      </c>
      <c r="F33307" s="5">
        <v>0</v>
      </c>
      <c r="G33307" s="5">
        <v>0</v>
      </c>
      <c r="H33307" s="5">
        <v>0</v>
      </c>
      <c r="I33307" s="5">
        <v>0</v>
      </c>
      <c r="J33307" s="5">
        <v>0</v>
      </c>
      <c r="K33307" s="5">
        <v>0</v>
      </c>
    </row>
    <row r="33308" spans="1:11" x14ac:dyDescent="0.25">
      <c r="A33308" s="5">
        <f>33301</f>
      </c>
      <c r="B33308" s="5" t="s">
        <v>33316</v>
      </c>
      <c r="C33308" s="5">
        <v>0</v>
      </c>
      <c r="D33308" s="5">
        <v>0</v>
      </c>
      <c r="E33308" s="5">
        <v>0</v>
      </c>
      <c r="F33308" s="5">
        <v>0</v>
      </c>
      <c r="G33308" s="5">
        <v>0</v>
      </c>
      <c r="H33308" s="5">
        <v>0</v>
      </c>
      <c r="I33308" s="5">
        <v>0</v>
      </c>
      <c r="J33308" s="5">
        <v>0</v>
      </c>
      <c r="K33308" s="5">
        <v>0</v>
      </c>
    </row>
    <row r="33309" spans="1:11" x14ac:dyDescent="0.25">
      <c r="A33309" s="5">
        <f>33302</f>
      </c>
      <c r="B33309" s="5" t="s">
        <v>33317</v>
      </c>
      <c r="C33309" s="5">
        <v>0</v>
      </c>
      <c r="D33309" s="5">
        <v>0</v>
      </c>
      <c r="E33309" s="5">
        <v>0</v>
      </c>
      <c r="F33309" s="5">
        <v>0</v>
      </c>
      <c r="G33309" s="5">
        <v>0</v>
      </c>
      <c r="H33309" s="5">
        <v>0</v>
      </c>
      <c r="I33309" s="5">
        <v>0</v>
      </c>
      <c r="J33309" s="5">
        <v>0</v>
      </c>
      <c r="K33309" s="5">
        <v>0</v>
      </c>
    </row>
    <row r="33310" spans="1:11" x14ac:dyDescent="0.25">
      <c r="A33310" s="5">
        <f>33303</f>
      </c>
      <c r="B33310" s="5" t="s">
        <v>33318</v>
      </c>
      <c r="C33310" s="5">
        <v>0</v>
      </c>
      <c r="D33310" s="5">
        <v>0</v>
      </c>
      <c r="E33310" s="5">
        <v>0</v>
      </c>
      <c r="F33310" s="5">
        <v>0</v>
      </c>
      <c r="G33310" s="5">
        <v>0</v>
      </c>
      <c r="H33310" s="5">
        <v>0</v>
      </c>
      <c r="I33310" s="5">
        <v>0</v>
      </c>
      <c r="J33310" s="5">
        <v>0</v>
      </c>
      <c r="K33310" s="5">
        <v>0</v>
      </c>
    </row>
    <row r="33311" spans="1:11" x14ac:dyDescent="0.25">
      <c r="A33311" s="5">
        <f>33304</f>
      </c>
      <c r="B33311" s="5" t="s">
        <v>33319</v>
      </c>
      <c r="C33311" s="5">
        <v>0</v>
      </c>
      <c r="D33311" s="5">
        <v>0</v>
      </c>
      <c r="E33311" s="5">
        <v>0</v>
      </c>
      <c r="F33311" s="5">
        <v>0</v>
      </c>
      <c r="G33311" s="5">
        <v>0</v>
      </c>
      <c r="H33311" s="5">
        <v>0</v>
      </c>
      <c r="I33311" s="5">
        <v>0</v>
      </c>
      <c r="J33311" s="5">
        <v>0</v>
      </c>
      <c r="K33311" s="5">
        <v>0</v>
      </c>
    </row>
    <row r="33312" spans="1:11" x14ac:dyDescent="0.25">
      <c r="A33312" s="5">
        <f>33305</f>
      </c>
      <c r="B33312" s="5" t="s">
        <v>33320</v>
      </c>
      <c r="C33312" s="5">
        <v>0</v>
      </c>
      <c r="D33312" s="5">
        <v>0</v>
      </c>
      <c r="E33312" s="5">
        <v>0</v>
      </c>
      <c r="F33312" s="5">
        <v>0</v>
      </c>
      <c r="G33312" s="5">
        <v>0</v>
      </c>
      <c r="H33312" s="5">
        <v>0</v>
      </c>
      <c r="I33312" s="5">
        <v>0</v>
      </c>
      <c r="J33312" s="5">
        <v>0</v>
      </c>
      <c r="K33312" s="5">
        <v>0</v>
      </c>
    </row>
    <row r="33313" spans="1:11" x14ac:dyDescent="0.25">
      <c r="A33313" s="5">
        <f>33306</f>
      </c>
      <c r="B33313" s="5" t="s">
        <v>33321</v>
      </c>
      <c r="C33313" s="5">
        <v>0</v>
      </c>
      <c r="D33313" s="5">
        <v>0</v>
      </c>
      <c r="E33313" s="5">
        <v>0</v>
      </c>
      <c r="F33313" s="5">
        <v>0</v>
      </c>
      <c r="G33313" s="5">
        <v>0</v>
      </c>
      <c r="H33313" s="5">
        <v>0</v>
      </c>
      <c r="I33313" s="5">
        <v>0</v>
      </c>
      <c r="J33313" s="5">
        <v>0</v>
      </c>
      <c r="K33313" s="5">
        <v>0</v>
      </c>
    </row>
    <row r="33314" spans="1:11" x14ac:dyDescent="0.25">
      <c r="A33314" s="5">
        <f>33307</f>
      </c>
      <c r="B33314" s="5" t="s">
        <v>33322</v>
      </c>
      <c r="C33314" s="5">
        <v>0</v>
      </c>
      <c r="D33314" s="5">
        <v>0</v>
      </c>
      <c r="E33314" s="5">
        <v>0</v>
      </c>
      <c r="F33314" s="5">
        <v>0</v>
      </c>
      <c r="G33314" s="5">
        <v>0</v>
      </c>
      <c r="H33314" s="5">
        <v>0</v>
      </c>
      <c r="I33314" s="5">
        <v>0</v>
      </c>
      <c r="J33314" s="5">
        <v>0</v>
      </c>
      <c r="K33314" s="5">
        <v>0</v>
      </c>
    </row>
    <row r="33315" spans="1:11" x14ac:dyDescent="0.25">
      <c r="A33315" s="5">
        <f>33308</f>
      </c>
      <c r="B33315" s="5" t="s">
        <v>33323</v>
      </c>
      <c r="C33315" s="5">
        <v>0</v>
      </c>
      <c r="D33315" s="5">
        <v>0</v>
      </c>
      <c r="E33315" s="5">
        <v>0</v>
      </c>
      <c r="F33315" s="5">
        <v>0</v>
      </c>
      <c r="G33315" s="5">
        <v>0</v>
      </c>
      <c r="H33315" s="5">
        <v>0</v>
      </c>
      <c r="I33315" s="5">
        <v>0</v>
      </c>
      <c r="J33315" s="5">
        <v>0</v>
      </c>
      <c r="K33315" s="5">
        <v>0</v>
      </c>
    </row>
    <row r="33316" spans="1:11" x14ac:dyDescent="0.25">
      <c r="A33316" s="5">
        <f>33309</f>
      </c>
      <c r="B33316" s="5" t="s">
        <v>33324</v>
      </c>
      <c r="C33316" s="5">
        <v>0</v>
      </c>
      <c r="D33316" s="5">
        <v>0</v>
      </c>
      <c r="E33316" s="5">
        <v>0</v>
      </c>
      <c r="F33316" s="5">
        <v>0</v>
      </c>
      <c r="G33316" s="5">
        <v>0</v>
      </c>
      <c r="H33316" s="5">
        <v>0</v>
      </c>
      <c r="I33316" s="5">
        <v>0</v>
      </c>
      <c r="J33316" s="5">
        <v>0</v>
      </c>
      <c r="K33316" s="5">
        <v>0</v>
      </c>
    </row>
    <row r="33317" spans="1:11" x14ac:dyDescent="0.25">
      <c r="A33317" s="5">
        <f>33310</f>
      </c>
      <c r="B33317" s="5" t="s">
        <v>33325</v>
      </c>
      <c r="C33317" s="5">
        <v>0</v>
      </c>
      <c r="D33317" s="5">
        <v>0</v>
      </c>
      <c r="E33317" s="5">
        <v>0</v>
      </c>
      <c r="F33317" s="5">
        <v>0</v>
      </c>
      <c r="G33317" s="5">
        <v>0</v>
      </c>
      <c r="H33317" s="5">
        <v>0</v>
      </c>
      <c r="I33317" s="5">
        <v>0</v>
      </c>
      <c r="J33317" s="5">
        <v>0</v>
      </c>
      <c r="K33317" s="5">
        <v>0</v>
      </c>
    </row>
    <row r="33318" spans="1:11" x14ac:dyDescent="0.25">
      <c r="A33318" s="5">
        <f>33311</f>
      </c>
      <c r="B33318" s="5" t="s">
        <v>33326</v>
      </c>
      <c r="C33318" s="5">
        <v>0</v>
      </c>
      <c r="D33318" s="5">
        <v>0</v>
      </c>
      <c r="E33318" s="5">
        <v>0</v>
      </c>
      <c r="F33318" s="5">
        <v>0</v>
      </c>
      <c r="G33318" s="5">
        <v>0</v>
      </c>
      <c r="H33318" s="5">
        <v>0</v>
      </c>
      <c r="I33318" s="5">
        <v>0</v>
      </c>
      <c r="J33318" s="5">
        <v>0</v>
      </c>
      <c r="K33318" s="5">
        <v>0</v>
      </c>
    </row>
    <row r="33319" spans="1:11" x14ac:dyDescent="0.25">
      <c r="A33319" s="5">
        <f>33312</f>
      </c>
      <c r="B33319" s="5" t="s">
        <v>33327</v>
      </c>
      <c r="C33319" s="5">
        <v>0</v>
      </c>
      <c r="D33319" s="5">
        <v>0</v>
      </c>
      <c r="E33319" s="5">
        <v>0</v>
      </c>
      <c r="F33319" s="5">
        <v>0</v>
      </c>
      <c r="G33319" s="5">
        <v>0</v>
      </c>
      <c r="H33319" s="5">
        <v>0</v>
      </c>
      <c r="I33319" s="5">
        <v>0</v>
      </c>
      <c r="J33319" s="5">
        <v>0</v>
      </c>
      <c r="K33319" s="5">
        <v>0</v>
      </c>
    </row>
    <row r="33320" spans="1:11" x14ac:dyDescent="0.25">
      <c r="A33320" s="5">
        <f>33313</f>
      </c>
      <c r="B33320" s="5" t="s">
        <v>33328</v>
      </c>
      <c r="C33320" s="5">
        <v>0</v>
      </c>
      <c r="D33320" s="5">
        <v>0</v>
      </c>
      <c r="E33320" s="5">
        <v>0</v>
      </c>
      <c r="F33320" s="5">
        <v>0</v>
      </c>
      <c r="G33320" s="5">
        <v>0</v>
      </c>
      <c r="H33320" s="5">
        <v>0</v>
      </c>
      <c r="I33320" s="5">
        <v>0</v>
      </c>
      <c r="J33320" s="5">
        <v>0</v>
      </c>
      <c r="K33320" s="5">
        <v>0</v>
      </c>
    </row>
    <row r="33321" spans="1:11" x14ac:dyDescent="0.25">
      <c r="A33321" s="5">
        <f>33314</f>
      </c>
      <c r="B33321" s="5" t="s">
        <v>33329</v>
      </c>
      <c r="C33321" s="5">
        <v>0</v>
      </c>
      <c r="D33321" s="5">
        <v>0</v>
      </c>
      <c r="E33321" s="5">
        <v>0</v>
      </c>
      <c r="F33321" s="5">
        <v>0</v>
      </c>
      <c r="G33321" s="5">
        <v>0</v>
      </c>
      <c r="H33321" s="5">
        <v>0</v>
      </c>
      <c r="I33321" s="5">
        <v>0</v>
      </c>
      <c r="J33321" s="5">
        <v>0</v>
      </c>
      <c r="K33321" s="5">
        <v>0</v>
      </c>
    </row>
    <row r="33322" spans="1:11" x14ac:dyDescent="0.25">
      <c r="A33322" s="5">
        <f>33315</f>
      </c>
      <c r="B33322" s="5" t="s">
        <v>33330</v>
      </c>
      <c r="C33322" s="5">
        <v>0</v>
      </c>
      <c r="D33322" s="5">
        <v>0</v>
      </c>
      <c r="E33322" s="5">
        <v>0</v>
      </c>
      <c r="F33322" s="5">
        <v>0</v>
      </c>
      <c r="G33322" s="5">
        <v>0</v>
      </c>
      <c r="H33322" s="5">
        <v>0</v>
      </c>
      <c r="I33322" s="5">
        <v>0</v>
      </c>
      <c r="J33322" s="5">
        <v>0</v>
      </c>
      <c r="K33322" s="5">
        <v>0</v>
      </c>
    </row>
    <row r="33323" spans="1:11" x14ac:dyDescent="0.25">
      <c r="A33323" s="5">
        <f>33316</f>
      </c>
      <c r="B33323" s="5" t="s">
        <v>33331</v>
      </c>
      <c r="C33323" s="5">
        <v>0</v>
      </c>
      <c r="D33323" s="5">
        <v>0</v>
      </c>
      <c r="E33323" s="5">
        <v>0</v>
      </c>
      <c r="F33323" s="5">
        <v>0</v>
      </c>
      <c r="G33323" s="5">
        <v>0</v>
      </c>
      <c r="H33323" s="5">
        <v>0</v>
      </c>
      <c r="I33323" s="5">
        <v>0</v>
      </c>
      <c r="J33323" s="5">
        <v>0</v>
      </c>
      <c r="K33323" s="5">
        <v>0</v>
      </c>
    </row>
    <row r="33324" spans="1:11" x14ac:dyDescent="0.25">
      <c r="A33324" s="5">
        <f>33317</f>
      </c>
      <c r="B33324" s="5" t="s">
        <v>33332</v>
      </c>
      <c r="C33324" s="5">
        <v>0</v>
      </c>
      <c r="D33324" s="5">
        <v>0</v>
      </c>
      <c r="E33324" s="5">
        <v>0</v>
      </c>
      <c r="F33324" s="5">
        <v>0</v>
      </c>
      <c r="G33324" s="5">
        <v>0</v>
      </c>
      <c r="H33324" s="5">
        <v>0</v>
      </c>
      <c r="I33324" s="5">
        <v>0</v>
      </c>
      <c r="J33324" s="5">
        <v>0</v>
      </c>
      <c r="K33324" s="5">
        <v>0</v>
      </c>
    </row>
    <row r="33325" spans="1:11" x14ac:dyDescent="0.25">
      <c r="A33325" s="5">
        <f>33318</f>
      </c>
      <c r="B33325" s="5" t="s">
        <v>33333</v>
      </c>
      <c r="C33325" s="5">
        <v>0</v>
      </c>
      <c r="D33325" s="5">
        <v>0</v>
      </c>
      <c r="E33325" s="5">
        <v>0</v>
      </c>
      <c r="F33325" s="5">
        <v>0</v>
      </c>
      <c r="G33325" s="5">
        <v>0</v>
      </c>
      <c r="H33325" s="5">
        <v>0</v>
      </c>
      <c r="I33325" s="5">
        <v>0</v>
      </c>
      <c r="J33325" s="5">
        <v>0</v>
      </c>
      <c r="K33325" s="5">
        <v>0</v>
      </c>
    </row>
    <row r="33326" spans="1:11" x14ac:dyDescent="0.25">
      <c r="A33326" s="5">
        <f>33319</f>
      </c>
      <c r="B33326" s="5" t="s">
        <v>33334</v>
      </c>
      <c r="C33326" s="5">
        <v>0</v>
      </c>
      <c r="D33326" s="5">
        <v>0</v>
      </c>
      <c r="E33326" s="5">
        <v>0</v>
      </c>
      <c r="F33326" s="5">
        <v>0</v>
      </c>
      <c r="G33326" s="5">
        <v>0</v>
      </c>
      <c r="H33326" s="5">
        <v>0</v>
      </c>
      <c r="I33326" s="5">
        <v>0</v>
      </c>
      <c r="J33326" s="5">
        <v>0</v>
      </c>
      <c r="K33326" s="5">
        <v>0</v>
      </c>
    </row>
    <row r="33327" spans="1:11" x14ac:dyDescent="0.25">
      <c r="A33327" s="5">
        <f>33320</f>
      </c>
      <c r="B33327" s="5" t="s">
        <v>33335</v>
      </c>
      <c r="C33327" s="5">
        <v>0</v>
      </c>
      <c r="D33327" s="5">
        <v>0</v>
      </c>
      <c r="E33327" s="5">
        <v>0</v>
      </c>
      <c r="F33327" s="5">
        <v>0</v>
      </c>
      <c r="G33327" s="5">
        <v>0</v>
      </c>
      <c r="H33327" s="5">
        <v>0</v>
      </c>
      <c r="I33327" s="5">
        <v>0</v>
      </c>
      <c r="J33327" s="5">
        <v>0</v>
      </c>
      <c r="K33327" s="5">
        <v>0</v>
      </c>
    </row>
    <row r="33328" spans="1:11" x14ac:dyDescent="0.25">
      <c r="A33328" s="5">
        <f>33321</f>
      </c>
      <c r="B33328" s="5" t="s">
        <v>33336</v>
      </c>
      <c r="C33328" s="5">
        <v>0</v>
      </c>
      <c r="D33328" s="5">
        <v>0</v>
      </c>
      <c r="E33328" s="5">
        <v>0</v>
      </c>
      <c r="F33328" s="5">
        <v>0</v>
      </c>
      <c r="G33328" s="5">
        <v>0</v>
      </c>
      <c r="H33328" s="5">
        <v>0</v>
      </c>
      <c r="I33328" s="5">
        <v>0</v>
      </c>
      <c r="J33328" s="5">
        <v>0</v>
      </c>
      <c r="K33328" s="5">
        <v>0</v>
      </c>
    </row>
    <row r="33329" spans="1:11" x14ac:dyDescent="0.25">
      <c r="A33329" s="5">
        <f>33322</f>
      </c>
      <c r="B33329" s="5" t="s">
        <v>33337</v>
      </c>
      <c r="C33329" s="5">
        <v>0</v>
      </c>
      <c r="D33329" s="5">
        <v>0</v>
      </c>
      <c r="E33329" s="5">
        <v>0</v>
      </c>
      <c r="F33329" s="5">
        <v>0</v>
      </c>
      <c r="G33329" s="5">
        <v>0</v>
      </c>
      <c r="H33329" s="5">
        <v>0</v>
      </c>
      <c r="I33329" s="5">
        <v>0</v>
      </c>
      <c r="J33329" s="5">
        <v>0</v>
      </c>
      <c r="K33329" s="5">
        <v>0</v>
      </c>
    </row>
    <row r="33330" spans="1:11" x14ac:dyDescent="0.25">
      <c r="A33330" s="5">
        <f>33323</f>
      </c>
      <c r="B33330" s="5" t="s">
        <v>33338</v>
      </c>
      <c r="C33330" s="5">
        <v>0</v>
      </c>
      <c r="D33330" s="5">
        <v>0</v>
      </c>
      <c r="E33330" s="5">
        <v>0</v>
      </c>
      <c r="F33330" s="5">
        <v>0</v>
      </c>
      <c r="G33330" s="5">
        <v>0</v>
      </c>
      <c r="H33330" s="5">
        <v>0</v>
      </c>
      <c r="I33330" s="5">
        <v>0</v>
      </c>
      <c r="J33330" s="5">
        <v>0</v>
      </c>
      <c r="K33330" s="5">
        <v>0</v>
      </c>
    </row>
    <row r="33331" spans="1:11" x14ac:dyDescent="0.25">
      <c r="A33331" s="5">
        <f>33324</f>
      </c>
      <c r="B33331" s="5" t="s">
        <v>33339</v>
      </c>
      <c r="C33331" s="5">
        <v>0</v>
      </c>
      <c r="D33331" s="5">
        <v>0</v>
      </c>
      <c r="E33331" s="5">
        <v>0</v>
      </c>
      <c r="F33331" s="5">
        <v>0</v>
      </c>
      <c r="G33331" s="5">
        <v>0</v>
      </c>
      <c r="H33331" s="5">
        <v>0</v>
      </c>
      <c r="I33331" s="5">
        <v>0</v>
      </c>
      <c r="J33331" s="5">
        <v>0</v>
      </c>
      <c r="K33331" s="5">
        <v>0</v>
      </c>
    </row>
    <row r="33332" spans="1:11" x14ac:dyDescent="0.25">
      <c r="A33332" s="5">
        <f>33325</f>
      </c>
      <c r="B33332" s="5" t="s">
        <v>33340</v>
      </c>
      <c r="C33332" s="5">
        <v>0</v>
      </c>
      <c r="D33332" s="5">
        <v>0</v>
      </c>
      <c r="E33332" s="5">
        <v>0</v>
      </c>
      <c r="F33332" s="5">
        <v>0</v>
      </c>
      <c r="G33332" s="5">
        <v>0</v>
      </c>
      <c r="H33332" s="5">
        <v>0</v>
      </c>
      <c r="I33332" s="5">
        <v>0</v>
      </c>
      <c r="J33332" s="5">
        <v>0</v>
      </c>
      <c r="K33332" s="5">
        <v>0</v>
      </c>
    </row>
    <row r="33333" spans="1:11" x14ac:dyDescent="0.25">
      <c r="A33333" s="5">
        <f>33326</f>
      </c>
      <c r="B33333" s="5" t="s">
        <v>33341</v>
      </c>
      <c r="C33333" s="5">
        <v>0</v>
      </c>
      <c r="D33333" s="5">
        <v>0</v>
      </c>
      <c r="E33333" s="5">
        <v>0</v>
      </c>
      <c r="F33333" s="5">
        <v>0</v>
      </c>
      <c r="G33333" s="5">
        <v>0</v>
      </c>
      <c r="H33333" s="5">
        <v>0</v>
      </c>
      <c r="I33333" s="5">
        <v>0</v>
      </c>
      <c r="J33333" s="5">
        <v>0</v>
      </c>
      <c r="K33333" s="5">
        <v>0</v>
      </c>
    </row>
    <row r="33334" spans="1:11" x14ac:dyDescent="0.25">
      <c r="A33334" s="5">
        <f>33327</f>
      </c>
      <c r="B33334" s="5" t="s">
        <v>33342</v>
      </c>
      <c r="C33334" s="5">
        <v>0</v>
      </c>
      <c r="D33334" s="5">
        <v>0</v>
      </c>
      <c r="E33334" s="5">
        <v>0</v>
      </c>
      <c r="F33334" s="5">
        <v>0</v>
      </c>
      <c r="G33334" s="5">
        <v>0</v>
      </c>
      <c r="H33334" s="5">
        <v>0</v>
      </c>
      <c r="I33334" s="5">
        <v>0</v>
      </c>
      <c r="J33334" s="5">
        <v>0</v>
      </c>
      <c r="K33334" s="5">
        <v>0</v>
      </c>
    </row>
    <row r="33335" spans="1:11" x14ac:dyDescent="0.25">
      <c r="A33335" s="5">
        <f>33328</f>
      </c>
      <c r="B33335" s="5" t="s">
        <v>33343</v>
      </c>
      <c r="C33335" s="5">
        <v>0</v>
      </c>
      <c r="D33335" s="5">
        <v>0</v>
      </c>
      <c r="E33335" s="5">
        <v>0</v>
      </c>
      <c r="F33335" s="5">
        <v>0</v>
      </c>
      <c r="G33335" s="5">
        <v>0</v>
      </c>
      <c r="H33335" s="5">
        <v>0</v>
      </c>
      <c r="I33335" s="5">
        <v>0</v>
      </c>
      <c r="J33335" s="5">
        <v>0</v>
      </c>
      <c r="K33335" s="5">
        <v>0</v>
      </c>
    </row>
    <row r="33336" spans="1:11" x14ac:dyDescent="0.25">
      <c r="A33336" s="5">
        <f>33329</f>
      </c>
      <c r="B33336" s="5" t="s">
        <v>33344</v>
      </c>
      <c r="C33336" s="5">
        <v>0</v>
      </c>
      <c r="D33336" s="5">
        <v>0</v>
      </c>
      <c r="E33336" s="5">
        <v>0</v>
      </c>
      <c r="F33336" s="5">
        <v>0</v>
      </c>
      <c r="G33336" s="5">
        <v>0</v>
      </c>
      <c r="H33336" s="5">
        <v>0</v>
      </c>
      <c r="I33336" s="5">
        <v>0</v>
      </c>
      <c r="J33336" s="5">
        <v>0</v>
      </c>
      <c r="K33336" s="5">
        <v>0</v>
      </c>
    </row>
    <row r="33337" spans="1:11" x14ac:dyDescent="0.25">
      <c r="A33337" s="5">
        <f>33330</f>
      </c>
      <c r="B33337" s="5" t="s">
        <v>33345</v>
      </c>
      <c r="C33337" s="5">
        <v>0</v>
      </c>
      <c r="D33337" s="5">
        <v>0</v>
      </c>
      <c r="E33337" s="5">
        <v>0</v>
      </c>
      <c r="F33337" s="5">
        <v>0</v>
      </c>
      <c r="G33337" s="5">
        <v>0</v>
      </c>
      <c r="H33337" s="5">
        <v>0</v>
      </c>
      <c r="I33337" s="5">
        <v>0</v>
      </c>
      <c r="J33337" s="5">
        <v>0</v>
      </c>
      <c r="K33337" s="5">
        <v>0</v>
      </c>
    </row>
    <row r="33338" spans="1:11" x14ac:dyDescent="0.25">
      <c r="A33338" s="5">
        <f>33331</f>
      </c>
      <c r="B33338" s="5" t="s">
        <v>33346</v>
      </c>
      <c r="C33338" s="5">
        <v>0</v>
      </c>
      <c r="D33338" s="5">
        <v>0</v>
      </c>
      <c r="E33338" s="5">
        <v>0</v>
      </c>
      <c r="F33338" s="5">
        <v>0</v>
      </c>
      <c r="G33338" s="5">
        <v>0</v>
      </c>
      <c r="H33338" s="5">
        <v>0</v>
      </c>
      <c r="I33338" s="5">
        <v>0</v>
      </c>
      <c r="J33338" s="5">
        <v>0</v>
      </c>
      <c r="K33338" s="5">
        <v>0</v>
      </c>
    </row>
    <row r="33339" spans="1:11" x14ac:dyDescent="0.25">
      <c r="A33339" s="5">
        <f>33332</f>
      </c>
      <c r="B33339" s="5" t="s">
        <v>33347</v>
      </c>
      <c r="C33339" s="5">
        <v>0</v>
      </c>
      <c r="D33339" s="5">
        <v>0</v>
      </c>
      <c r="E33339" s="5">
        <v>0</v>
      </c>
      <c r="F33339" s="5">
        <v>0</v>
      </c>
      <c r="G33339" s="5">
        <v>0</v>
      </c>
      <c r="H33339" s="5">
        <v>0</v>
      </c>
      <c r="I33339" s="5">
        <v>0</v>
      </c>
      <c r="J33339" s="5">
        <v>0</v>
      </c>
      <c r="K33339" s="5">
        <v>0</v>
      </c>
    </row>
    <row r="33340" spans="1:11" x14ac:dyDescent="0.25">
      <c r="A33340" s="5">
        <f>33333</f>
      </c>
      <c r="B33340" s="5" t="s">
        <v>33348</v>
      </c>
      <c r="C33340" s="5">
        <v>0</v>
      </c>
      <c r="D33340" s="5">
        <v>0</v>
      </c>
      <c r="E33340" s="5">
        <v>0</v>
      </c>
      <c r="F33340" s="5">
        <v>0</v>
      </c>
      <c r="G33340" s="5">
        <v>0</v>
      </c>
      <c r="H33340" s="5">
        <v>0</v>
      </c>
      <c r="I33340" s="5">
        <v>0</v>
      </c>
      <c r="J33340" s="5">
        <v>0</v>
      </c>
      <c r="K33340" s="5">
        <v>0</v>
      </c>
    </row>
    <row r="33341" spans="1:11" x14ac:dyDescent="0.25">
      <c r="A33341" s="5">
        <f>33334</f>
      </c>
      <c r="B33341" s="5" t="s">
        <v>33349</v>
      </c>
      <c r="C33341" s="5">
        <v>0</v>
      </c>
      <c r="D33341" s="5">
        <v>0</v>
      </c>
      <c r="E33341" s="5">
        <v>0</v>
      </c>
      <c r="F33341" s="5">
        <v>0</v>
      </c>
      <c r="G33341" s="5">
        <v>0</v>
      </c>
      <c r="H33341" s="5">
        <v>0</v>
      </c>
      <c r="I33341" s="5">
        <v>0</v>
      </c>
      <c r="J33341" s="5">
        <v>0</v>
      </c>
      <c r="K33341" s="5">
        <v>0</v>
      </c>
    </row>
    <row r="33342" spans="1:11" x14ac:dyDescent="0.25">
      <c r="A33342" s="5">
        <f>33335</f>
      </c>
      <c r="B33342" s="5" t="s">
        <v>33350</v>
      </c>
      <c r="C33342" s="5">
        <v>0</v>
      </c>
      <c r="D33342" s="5">
        <v>0</v>
      </c>
      <c r="E33342" s="5">
        <v>0</v>
      </c>
      <c r="F33342" s="5">
        <v>0</v>
      </c>
      <c r="G33342" s="5">
        <v>0</v>
      </c>
      <c r="H33342" s="5">
        <v>0</v>
      </c>
      <c r="I33342" s="5">
        <v>0</v>
      </c>
      <c r="J33342" s="5">
        <v>0</v>
      </c>
      <c r="K33342" s="5">
        <v>0</v>
      </c>
    </row>
    <row r="33343" spans="1:11" x14ac:dyDescent="0.25">
      <c r="A33343" s="5">
        <f>33336</f>
      </c>
      <c r="B33343" s="5" t="s">
        <v>33351</v>
      </c>
      <c r="C33343" s="5">
        <v>0</v>
      </c>
      <c r="D33343" s="5">
        <v>0</v>
      </c>
      <c r="E33343" s="5">
        <v>0</v>
      </c>
      <c r="F33343" s="5">
        <v>0</v>
      </c>
      <c r="G33343" s="5">
        <v>0</v>
      </c>
      <c r="H33343" s="5">
        <v>0</v>
      </c>
      <c r="I33343" s="5">
        <v>0</v>
      </c>
      <c r="J33343" s="5">
        <v>0</v>
      </c>
      <c r="K33343" s="5">
        <v>0</v>
      </c>
    </row>
    <row r="33344" spans="1:11" x14ac:dyDescent="0.25">
      <c r="A33344" s="5">
        <f>33337</f>
      </c>
      <c r="B33344" s="5" t="s">
        <v>33352</v>
      </c>
      <c r="C33344" s="5">
        <v>0</v>
      </c>
      <c r="D33344" s="5">
        <v>0</v>
      </c>
      <c r="E33344" s="5">
        <v>0</v>
      </c>
      <c r="F33344" s="5">
        <v>0</v>
      </c>
      <c r="G33344" s="5">
        <v>0</v>
      </c>
      <c r="H33344" s="5">
        <v>0</v>
      </c>
      <c r="I33344" s="5">
        <v>0</v>
      </c>
      <c r="J33344" s="5">
        <v>0</v>
      </c>
      <c r="K33344" s="5">
        <v>0</v>
      </c>
    </row>
    <row r="33345" spans="1:11" x14ac:dyDescent="0.25">
      <c r="A33345" s="5">
        <f>33338</f>
      </c>
      <c r="B33345" s="5" t="s">
        <v>33353</v>
      </c>
      <c r="C33345" s="5">
        <v>0</v>
      </c>
      <c r="D33345" s="5">
        <v>0</v>
      </c>
      <c r="E33345" s="5">
        <v>0</v>
      </c>
      <c r="F33345" s="5">
        <v>0</v>
      </c>
      <c r="G33345" s="5">
        <v>0</v>
      </c>
      <c r="H33345" s="5">
        <v>0</v>
      </c>
      <c r="I33345" s="5">
        <v>0</v>
      </c>
      <c r="J33345" s="5">
        <v>0</v>
      </c>
      <c r="K33345" s="5">
        <v>0</v>
      </c>
    </row>
    <row r="33346" spans="1:11" x14ac:dyDescent="0.25">
      <c r="A33346" s="5">
        <f>33339</f>
      </c>
      <c r="B33346" s="5" t="s">
        <v>33354</v>
      </c>
      <c r="C33346" s="5">
        <v>0</v>
      </c>
      <c r="D33346" s="5">
        <v>0</v>
      </c>
      <c r="E33346" s="5">
        <v>0</v>
      </c>
      <c r="F33346" s="5">
        <v>0</v>
      </c>
      <c r="G33346" s="5">
        <v>0</v>
      </c>
      <c r="H33346" s="5">
        <v>0</v>
      </c>
      <c r="I33346" s="5">
        <v>0</v>
      </c>
      <c r="J33346" s="5">
        <v>0</v>
      </c>
      <c r="K33346" s="5">
        <v>0</v>
      </c>
    </row>
    <row r="33347" spans="1:11" x14ac:dyDescent="0.25">
      <c r="A33347" s="5">
        <f>33340</f>
      </c>
      <c r="B33347" s="5" t="s">
        <v>33355</v>
      </c>
      <c r="C33347" s="5">
        <v>0</v>
      </c>
      <c r="D33347" s="5">
        <v>0</v>
      </c>
      <c r="E33347" s="5">
        <v>0</v>
      </c>
      <c r="F33347" s="5">
        <v>0</v>
      </c>
      <c r="G33347" s="5">
        <v>0</v>
      </c>
      <c r="H33347" s="5">
        <v>0</v>
      </c>
      <c r="I33347" s="5">
        <v>0</v>
      </c>
      <c r="J33347" s="5">
        <v>0</v>
      </c>
      <c r="K33347" s="5">
        <v>0</v>
      </c>
    </row>
    <row r="33348" spans="1:11" x14ac:dyDescent="0.25">
      <c r="A33348" s="5">
        <f>33341</f>
      </c>
      <c r="B33348" s="5" t="s">
        <v>33356</v>
      </c>
      <c r="C33348" s="5">
        <v>0</v>
      </c>
      <c r="D33348" s="5">
        <v>0</v>
      </c>
      <c r="E33348" s="5">
        <v>0</v>
      </c>
      <c r="F33348" s="5">
        <v>0</v>
      </c>
      <c r="G33348" s="5">
        <v>0</v>
      </c>
      <c r="H33348" s="5">
        <v>0</v>
      </c>
      <c r="I33348" s="5">
        <v>0</v>
      </c>
      <c r="J33348" s="5">
        <v>0</v>
      </c>
      <c r="K33348" s="5">
        <v>0</v>
      </c>
    </row>
    <row r="33349" spans="1:11" x14ac:dyDescent="0.25">
      <c r="A33349" s="5">
        <f>33342</f>
      </c>
      <c r="B33349" s="5" t="s">
        <v>33357</v>
      </c>
      <c r="C33349" s="5">
        <v>0</v>
      </c>
      <c r="D33349" s="5">
        <v>0</v>
      </c>
      <c r="E33349" s="5">
        <v>0</v>
      </c>
      <c r="F33349" s="5">
        <v>0</v>
      </c>
      <c r="G33349" s="5">
        <v>0</v>
      </c>
      <c r="H33349" s="5">
        <v>0</v>
      </c>
      <c r="I33349" s="5">
        <v>0</v>
      </c>
      <c r="J33349" s="5">
        <v>0</v>
      </c>
      <c r="K33349" s="5">
        <v>0</v>
      </c>
    </row>
    <row r="33350" spans="1:11" x14ac:dyDescent="0.25">
      <c r="A33350" s="5">
        <f>33343</f>
      </c>
      <c r="B33350" s="5" t="s">
        <v>33358</v>
      </c>
      <c r="C33350" s="5">
        <v>0</v>
      </c>
      <c r="D33350" s="5">
        <v>0</v>
      </c>
      <c r="E33350" s="5">
        <v>0</v>
      </c>
      <c r="F33350" s="5">
        <v>0</v>
      </c>
      <c r="G33350" s="5">
        <v>0</v>
      </c>
      <c r="H33350" s="5">
        <v>0</v>
      </c>
      <c r="I33350" s="5">
        <v>0</v>
      </c>
      <c r="J33350" s="5">
        <v>0</v>
      </c>
      <c r="K33350" s="5">
        <v>0</v>
      </c>
    </row>
    <row r="33351" spans="1:11" x14ac:dyDescent="0.25">
      <c r="A33351" s="5">
        <f>33344</f>
      </c>
      <c r="B33351" s="5" t="s">
        <v>33359</v>
      </c>
      <c r="C33351" s="5">
        <v>0</v>
      </c>
      <c r="D33351" s="5">
        <v>0</v>
      </c>
      <c r="E33351" s="5">
        <v>0</v>
      </c>
      <c r="F33351" s="5">
        <v>0</v>
      </c>
      <c r="G33351" s="5">
        <v>0</v>
      </c>
      <c r="H33351" s="5">
        <v>0</v>
      </c>
      <c r="I33351" s="5">
        <v>0</v>
      </c>
      <c r="J33351" s="5">
        <v>0</v>
      </c>
      <c r="K33351" s="5">
        <v>0</v>
      </c>
    </row>
    <row r="33352" spans="1:11" x14ac:dyDescent="0.25">
      <c r="A33352" s="5">
        <f>33345</f>
      </c>
      <c r="B33352" s="5" t="s">
        <v>33360</v>
      </c>
      <c r="C33352" s="5">
        <v>0</v>
      </c>
      <c r="D33352" s="5">
        <v>0</v>
      </c>
      <c r="E33352" s="5">
        <v>0</v>
      </c>
      <c r="F33352" s="5">
        <v>0</v>
      </c>
      <c r="G33352" s="5">
        <v>0</v>
      </c>
      <c r="H33352" s="5">
        <v>0</v>
      </c>
      <c r="I33352" s="5">
        <v>0</v>
      </c>
      <c r="J33352" s="5">
        <v>0</v>
      </c>
      <c r="K33352" s="5">
        <v>0</v>
      </c>
    </row>
    <row r="33353" spans="1:11" x14ac:dyDescent="0.25">
      <c r="A33353" s="5">
        <f>33346</f>
      </c>
      <c r="B33353" s="5" t="s">
        <v>33361</v>
      </c>
      <c r="C33353" s="5">
        <v>0</v>
      </c>
      <c r="D33353" s="5">
        <v>0</v>
      </c>
      <c r="E33353" s="5">
        <v>0</v>
      </c>
      <c r="F33353" s="5">
        <v>0</v>
      </c>
      <c r="G33353" s="5">
        <v>0</v>
      </c>
      <c r="H33353" s="5">
        <v>0</v>
      </c>
      <c r="I33353" s="5">
        <v>0</v>
      </c>
      <c r="J33353" s="5">
        <v>0</v>
      </c>
      <c r="K33353" s="5">
        <v>0</v>
      </c>
    </row>
    <row r="33354" spans="1:11" x14ac:dyDescent="0.25">
      <c r="A33354" s="5">
        <f>33347</f>
      </c>
      <c r="B33354" s="5" t="s">
        <v>33362</v>
      </c>
      <c r="C33354" s="5">
        <v>0</v>
      </c>
      <c r="D33354" s="5">
        <v>0</v>
      </c>
      <c r="E33354" s="5">
        <v>0</v>
      </c>
      <c r="F33354" s="5">
        <v>0</v>
      </c>
      <c r="G33354" s="5">
        <v>0</v>
      </c>
      <c r="H33354" s="5">
        <v>0</v>
      </c>
      <c r="I33354" s="5">
        <v>0</v>
      </c>
      <c r="J33354" s="5">
        <v>0</v>
      </c>
      <c r="K33354" s="5">
        <v>0</v>
      </c>
    </row>
    <row r="33355" spans="1:11" x14ac:dyDescent="0.25">
      <c r="A33355" s="5">
        <f>33348</f>
      </c>
      <c r="B33355" s="5" t="s">
        <v>33363</v>
      </c>
      <c r="C33355" s="5">
        <v>0</v>
      </c>
      <c r="D33355" s="5">
        <v>0</v>
      </c>
      <c r="E33355" s="5">
        <v>0</v>
      </c>
      <c r="F33355" s="5">
        <v>0</v>
      </c>
      <c r="G33355" s="5">
        <v>0</v>
      </c>
      <c r="H33355" s="5">
        <v>0</v>
      </c>
      <c r="I33355" s="5">
        <v>0</v>
      </c>
      <c r="J33355" s="5">
        <v>0</v>
      </c>
      <c r="K33355" s="5">
        <v>0</v>
      </c>
    </row>
    <row r="33356" spans="1:11" x14ac:dyDescent="0.25">
      <c r="A33356" s="5">
        <f>33349</f>
      </c>
      <c r="B33356" s="5" t="s">
        <v>33364</v>
      </c>
      <c r="C33356" s="5">
        <v>0</v>
      </c>
      <c r="D33356" s="5">
        <v>0</v>
      </c>
      <c r="E33356" s="5">
        <v>0</v>
      </c>
      <c r="F33356" s="5">
        <v>0</v>
      </c>
      <c r="G33356" s="5">
        <v>0</v>
      </c>
      <c r="H33356" s="5">
        <v>0</v>
      </c>
      <c r="I33356" s="5">
        <v>0</v>
      </c>
      <c r="J33356" s="5">
        <v>0</v>
      </c>
      <c r="K33356" s="5">
        <v>0</v>
      </c>
    </row>
    <row r="33357" spans="1:11" x14ac:dyDescent="0.25">
      <c r="A33357" s="5">
        <f>33350</f>
      </c>
      <c r="B33357" s="5" t="s">
        <v>33365</v>
      </c>
      <c r="C33357" s="5">
        <v>0</v>
      </c>
      <c r="D33357" s="5">
        <v>0</v>
      </c>
      <c r="E33357" s="5">
        <v>0</v>
      </c>
      <c r="F33357" s="5">
        <v>0</v>
      </c>
      <c r="G33357" s="5">
        <v>0</v>
      </c>
      <c r="H33357" s="5">
        <v>0</v>
      </c>
      <c r="I33357" s="5">
        <v>0</v>
      </c>
      <c r="J33357" s="5">
        <v>0</v>
      </c>
      <c r="K33357" s="5">
        <v>0</v>
      </c>
    </row>
    <row r="33358" spans="1:11" x14ac:dyDescent="0.25">
      <c r="A33358" s="5">
        <f>33351</f>
      </c>
      <c r="B33358" s="5" t="s">
        <v>33366</v>
      </c>
      <c r="C33358" s="5">
        <v>0</v>
      </c>
      <c r="D33358" s="5">
        <v>0</v>
      </c>
      <c r="E33358" s="5">
        <v>0</v>
      </c>
      <c r="F33358" s="5">
        <v>0</v>
      </c>
      <c r="G33358" s="5">
        <v>0</v>
      </c>
      <c r="H33358" s="5">
        <v>0</v>
      </c>
      <c r="I33358" s="5">
        <v>0</v>
      </c>
      <c r="J33358" s="5">
        <v>0</v>
      </c>
      <c r="K33358" s="5">
        <v>0</v>
      </c>
    </row>
    <row r="33359" spans="1:11" x14ac:dyDescent="0.25">
      <c r="A33359" s="5">
        <f>33352</f>
      </c>
      <c r="B33359" s="5" t="s">
        <v>33367</v>
      </c>
      <c r="C33359" s="5">
        <v>0</v>
      </c>
      <c r="D33359" s="5">
        <v>0</v>
      </c>
      <c r="E33359" s="5">
        <v>0</v>
      </c>
      <c r="F33359" s="5">
        <v>0</v>
      </c>
      <c r="G33359" s="5">
        <v>0</v>
      </c>
      <c r="H33359" s="5">
        <v>0</v>
      </c>
      <c r="I33359" s="5">
        <v>0</v>
      </c>
      <c r="J33359" s="5">
        <v>0</v>
      </c>
      <c r="K33359" s="5">
        <v>0</v>
      </c>
    </row>
    <row r="33360" spans="1:11" x14ac:dyDescent="0.25">
      <c r="A33360" s="5">
        <f>33353</f>
      </c>
      <c r="B33360" s="5" t="s">
        <v>33368</v>
      </c>
      <c r="C33360" s="5">
        <v>0</v>
      </c>
      <c r="D33360" s="5">
        <v>0</v>
      </c>
      <c r="E33360" s="5">
        <v>0</v>
      </c>
      <c r="F33360" s="5">
        <v>0</v>
      </c>
      <c r="G33360" s="5">
        <v>0</v>
      </c>
      <c r="H33360" s="5">
        <v>0</v>
      </c>
      <c r="I33360" s="5">
        <v>0</v>
      </c>
      <c r="J33360" s="5">
        <v>0</v>
      </c>
      <c r="K33360" s="5">
        <v>0</v>
      </c>
    </row>
    <row r="33361" spans="1:11" x14ac:dyDescent="0.25">
      <c r="A33361" s="5">
        <f>33354</f>
      </c>
      <c r="B33361" s="5" t="s">
        <v>33369</v>
      </c>
      <c r="C33361" s="5">
        <v>0</v>
      </c>
      <c r="D33361" s="5">
        <v>0</v>
      </c>
      <c r="E33361" s="5">
        <v>0</v>
      </c>
      <c r="F33361" s="5">
        <v>0</v>
      </c>
      <c r="G33361" s="5">
        <v>0</v>
      </c>
      <c r="H33361" s="5">
        <v>0</v>
      </c>
      <c r="I33361" s="5">
        <v>0</v>
      </c>
      <c r="J33361" s="5">
        <v>0</v>
      </c>
      <c r="K33361" s="5">
        <v>0</v>
      </c>
    </row>
    <row r="33362" spans="1:11" x14ac:dyDescent="0.25">
      <c r="A33362" s="5">
        <f>33355</f>
      </c>
      <c r="B33362" s="5" t="s">
        <v>33370</v>
      </c>
      <c r="C33362" s="5">
        <v>0</v>
      </c>
      <c r="D33362" s="5">
        <v>0</v>
      </c>
      <c r="E33362" s="5">
        <v>0</v>
      </c>
      <c r="F33362" s="5">
        <v>0</v>
      </c>
      <c r="G33362" s="5">
        <v>0</v>
      </c>
      <c r="H33362" s="5">
        <v>0</v>
      </c>
      <c r="I33362" s="5">
        <v>0</v>
      </c>
      <c r="J33362" s="5">
        <v>0</v>
      </c>
      <c r="K33362" s="5">
        <v>0</v>
      </c>
    </row>
    <row r="33363" spans="1:11" x14ac:dyDescent="0.25">
      <c r="A33363" s="5">
        <f>33356</f>
      </c>
      <c r="B33363" s="5" t="s">
        <v>33371</v>
      </c>
      <c r="C33363" s="5">
        <v>0</v>
      </c>
      <c r="D33363" s="5">
        <v>0</v>
      </c>
      <c r="E33363" s="5">
        <v>0</v>
      </c>
      <c r="F33363" s="5">
        <v>0</v>
      </c>
      <c r="G33363" s="5">
        <v>0</v>
      </c>
      <c r="H33363" s="5">
        <v>0</v>
      </c>
      <c r="I33363" s="5">
        <v>0</v>
      </c>
      <c r="J33363" s="5">
        <v>0</v>
      </c>
      <c r="K33363" s="5">
        <v>0</v>
      </c>
    </row>
    <row r="33364" spans="1:11" x14ac:dyDescent="0.25">
      <c r="A33364" s="5">
        <f>33357</f>
      </c>
      <c r="B33364" s="5" t="s">
        <v>33372</v>
      </c>
      <c r="C33364" s="5">
        <v>0</v>
      </c>
      <c r="D33364" s="5">
        <v>0</v>
      </c>
      <c r="E33364" s="5">
        <v>0</v>
      </c>
      <c r="F33364" s="5">
        <v>0</v>
      </c>
      <c r="G33364" s="5">
        <v>0</v>
      </c>
      <c r="H33364" s="5">
        <v>0</v>
      </c>
      <c r="I33364" s="5">
        <v>0</v>
      </c>
      <c r="J33364" s="5">
        <v>0</v>
      </c>
      <c r="K33364" s="5">
        <v>0</v>
      </c>
    </row>
    <row r="33365" spans="1:11" x14ac:dyDescent="0.25">
      <c r="A33365" s="5">
        <f>33358</f>
      </c>
      <c r="B33365" s="5" t="s">
        <v>33373</v>
      </c>
      <c r="C33365" s="5">
        <v>0</v>
      </c>
      <c r="D33365" s="5">
        <v>0</v>
      </c>
      <c r="E33365" s="5">
        <v>0</v>
      </c>
      <c r="F33365" s="5">
        <v>0</v>
      </c>
      <c r="G33365" s="5">
        <v>0</v>
      </c>
      <c r="H33365" s="5">
        <v>0</v>
      </c>
      <c r="I33365" s="5">
        <v>0</v>
      </c>
      <c r="J33365" s="5">
        <v>0</v>
      </c>
      <c r="K33365" s="5">
        <v>0</v>
      </c>
    </row>
    <row r="33366" spans="1:11" x14ac:dyDescent="0.25">
      <c r="A33366" s="5">
        <f>33359</f>
      </c>
      <c r="B33366" s="5" t="s">
        <v>33374</v>
      </c>
      <c r="C33366" s="5">
        <v>0</v>
      </c>
      <c r="D33366" s="5">
        <v>0</v>
      </c>
      <c r="E33366" s="5">
        <v>0</v>
      </c>
      <c r="F33366" s="5">
        <v>0</v>
      </c>
      <c r="G33366" s="5">
        <v>0</v>
      </c>
      <c r="H33366" s="5">
        <v>0</v>
      </c>
      <c r="I33366" s="5">
        <v>0</v>
      </c>
      <c r="J33366" s="5">
        <v>0</v>
      </c>
      <c r="K33366" s="5">
        <v>0</v>
      </c>
    </row>
    <row r="33367" spans="1:11" x14ac:dyDescent="0.25">
      <c r="A33367" s="5">
        <f>33360</f>
      </c>
      <c r="B33367" s="5" t="s">
        <v>33375</v>
      </c>
      <c r="C33367" s="5">
        <v>0</v>
      </c>
      <c r="D33367" s="5">
        <v>0</v>
      </c>
      <c r="E33367" s="5">
        <v>0</v>
      </c>
      <c r="F33367" s="5">
        <v>0</v>
      </c>
      <c r="G33367" s="5">
        <v>0</v>
      </c>
      <c r="H33367" s="5">
        <v>0</v>
      </c>
      <c r="I33367" s="5">
        <v>0</v>
      </c>
      <c r="J33367" s="5">
        <v>0</v>
      </c>
      <c r="K33367" s="5">
        <v>0</v>
      </c>
    </row>
    <row r="33368" spans="1:11" x14ac:dyDescent="0.25">
      <c r="A33368" s="5">
        <f>33361</f>
      </c>
      <c r="B33368" s="5" t="s">
        <v>33376</v>
      </c>
      <c r="C33368" s="5">
        <v>0</v>
      </c>
      <c r="D33368" s="5">
        <v>0</v>
      </c>
      <c r="E33368" s="5">
        <v>0</v>
      </c>
      <c r="F33368" s="5">
        <v>0</v>
      </c>
      <c r="G33368" s="5">
        <v>0</v>
      </c>
      <c r="H33368" s="5">
        <v>0</v>
      </c>
      <c r="I33368" s="5">
        <v>0</v>
      </c>
      <c r="J33368" s="5">
        <v>0</v>
      </c>
      <c r="K33368" s="5">
        <v>0</v>
      </c>
    </row>
    <row r="33369" spans="1:11" x14ac:dyDescent="0.25">
      <c r="A33369" s="5">
        <f>33362</f>
      </c>
      <c r="B33369" s="5" t="s">
        <v>33377</v>
      </c>
      <c r="C33369" s="5">
        <v>0</v>
      </c>
      <c r="D33369" s="5">
        <v>0</v>
      </c>
      <c r="E33369" s="5">
        <v>0</v>
      </c>
      <c r="F33369" s="5">
        <v>0</v>
      </c>
      <c r="G33369" s="5">
        <v>0</v>
      </c>
      <c r="H33369" s="5">
        <v>0</v>
      </c>
      <c r="I33369" s="5">
        <v>0</v>
      </c>
      <c r="J33369" s="5">
        <v>0</v>
      </c>
      <c r="K33369" s="5">
        <v>0</v>
      </c>
    </row>
    <row r="33370" spans="1:11" x14ac:dyDescent="0.25">
      <c r="A33370" s="5">
        <f>33363</f>
      </c>
      <c r="B33370" s="5" t="s">
        <v>33378</v>
      </c>
      <c r="C33370" s="5">
        <v>0</v>
      </c>
      <c r="D33370" s="5">
        <v>0</v>
      </c>
      <c r="E33370" s="5">
        <v>0</v>
      </c>
      <c r="F33370" s="5">
        <v>0</v>
      </c>
      <c r="G33370" s="5">
        <v>0</v>
      </c>
      <c r="H33370" s="5">
        <v>0</v>
      </c>
      <c r="I33370" s="5">
        <v>0</v>
      </c>
      <c r="J33370" s="5">
        <v>0</v>
      </c>
      <c r="K33370" s="5">
        <v>0</v>
      </c>
    </row>
    <row r="33371" spans="1:11" x14ac:dyDescent="0.25">
      <c r="A33371" s="5">
        <f>33364</f>
      </c>
      <c r="B33371" s="5" t="s">
        <v>33379</v>
      </c>
      <c r="C33371" s="5">
        <v>0</v>
      </c>
      <c r="D33371" s="5">
        <v>0</v>
      </c>
      <c r="E33371" s="5">
        <v>0</v>
      </c>
      <c r="F33371" s="5">
        <v>0</v>
      </c>
      <c r="G33371" s="5">
        <v>0</v>
      </c>
      <c r="H33371" s="5">
        <v>0</v>
      </c>
      <c r="I33371" s="5">
        <v>0</v>
      </c>
      <c r="J33371" s="5">
        <v>0</v>
      </c>
      <c r="K33371" s="5">
        <v>0</v>
      </c>
    </row>
    <row r="33372" spans="1:11" x14ac:dyDescent="0.25">
      <c r="A33372" s="5">
        <f>33365</f>
      </c>
      <c r="B33372" s="5" t="s">
        <v>33380</v>
      </c>
      <c r="C33372" s="5">
        <v>0</v>
      </c>
      <c r="D33372" s="5">
        <v>0</v>
      </c>
      <c r="E33372" s="5">
        <v>0</v>
      </c>
      <c r="F33372" s="5">
        <v>0</v>
      </c>
      <c r="G33372" s="5">
        <v>0</v>
      </c>
      <c r="H33372" s="5">
        <v>0</v>
      </c>
      <c r="I33372" s="5">
        <v>0</v>
      </c>
      <c r="J33372" s="5">
        <v>0</v>
      </c>
      <c r="K33372" s="5">
        <v>0</v>
      </c>
    </row>
    <row r="33373" spans="1:11" x14ac:dyDescent="0.25">
      <c r="A33373" s="5">
        <f>33366</f>
      </c>
      <c r="B33373" s="5" t="s">
        <v>33381</v>
      </c>
      <c r="C33373" s="5">
        <v>0</v>
      </c>
      <c r="D33373" s="5">
        <v>0</v>
      </c>
      <c r="E33373" s="5">
        <v>0</v>
      </c>
      <c r="F33373" s="5">
        <v>0</v>
      </c>
      <c r="G33373" s="5">
        <v>0</v>
      </c>
      <c r="H33373" s="5">
        <v>0</v>
      </c>
      <c r="I33373" s="5">
        <v>0</v>
      </c>
      <c r="J33373" s="5">
        <v>0</v>
      </c>
      <c r="K33373" s="5">
        <v>0</v>
      </c>
    </row>
    <row r="33374" spans="1:11" x14ac:dyDescent="0.25">
      <c r="A33374" s="5">
        <f>33367</f>
      </c>
      <c r="B33374" s="5" t="s">
        <v>33382</v>
      </c>
      <c r="C33374" s="5">
        <v>0</v>
      </c>
      <c r="D33374" s="5">
        <v>0</v>
      </c>
      <c r="E33374" s="5">
        <v>0</v>
      </c>
      <c r="F33374" s="5">
        <v>0</v>
      </c>
      <c r="G33374" s="5">
        <v>0</v>
      </c>
      <c r="H33374" s="5">
        <v>0</v>
      </c>
      <c r="I33374" s="5">
        <v>0</v>
      </c>
      <c r="J33374" s="5">
        <v>0</v>
      </c>
      <c r="K33374" s="5">
        <v>0</v>
      </c>
    </row>
    <row r="33375" spans="1:11" x14ac:dyDescent="0.25">
      <c r="A33375" s="5">
        <f>33368</f>
      </c>
      <c r="B33375" s="5" t="s">
        <v>33383</v>
      </c>
      <c r="C33375" s="5">
        <v>0</v>
      </c>
      <c r="D33375" s="5">
        <v>0</v>
      </c>
      <c r="E33375" s="5">
        <v>0</v>
      </c>
      <c r="F33375" s="5">
        <v>0</v>
      </c>
      <c r="G33375" s="5">
        <v>0</v>
      </c>
      <c r="H33375" s="5">
        <v>0</v>
      </c>
      <c r="I33375" s="5">
        <v>0</v>
      </c>
      <c r="J33375" s="5">
        <v>0</v>
      </c>
      <c r="K33375" s="5">
        <v>0</v>
      </c>
    </row>
    <row r="33376" spans="1:11" x14ac:dyDescent="0.25">
      <c r="A33376" s="5">
        <f>33369</f>
      </c>
      <c r="B33376" s="5" t="s">
        <v>33384</v>
      </c>
      <c r="C33376" s="5">
        <v>0</v>
      </c>
      <c r="D33376" s="5">
        <v>0</v>
      </c>
      <c r="E33376" s="5">
        <v>0</v>
      </c>
      <c r="F33376" s="5">
        <v>0</v>
      </c>
      <c r="G33376" s="5">
        <v>0</v>
      </c>
      <c r="H33376" s="5">
        <v>0</v>
      </c>
      <c r="I33376" s="5">
        <v>0</v>
      </c>
      <c r="J33376" s="5">
        <v>0</v>
      </c>
      <c r="K33376" s="5">
        <v>0</v>
      </c>
    </row>
    <row r="33377" spans="1:11" x14ac:dyDescent="0.25">
      <c r="A33377" s="5">
        <f>33370</f>
      </c>
      <c r="B33377" s="5" t="s">
        <v>33385</v>
      </c>
      <c r="C33377" s="5">
        <v>0</v>
      </c>
      <c r="D33377" s="5">
        <v>0</v>
      </c>
      <c r="E33377" s="5">
        <v>0</v>
      </c>
      <c r="F33377" s="5">
        <v>0</v>
      </c>
      <c r="G33377" s="5">
        <v>0</v>
      </c>
      <c r="H33377" s="5">
        <v>0</v>
      </c>
      <c r="I33377" s="5">
        <v>0</v>
      </c>
      <c r="J33377" s="5">
        <v>0</v>
      </c>
      <c r="K33377" s="5">
        <v>0</v>
      </c>
    </row>
    <row r="33378" spans="1:11" x14ac:dyDescent="0.25">
      <c r="A33378" s="5">
        <f>33371</f>
      </c>
      <c r="B33378" s="5" t="s">
        <v>33386</v>
      </c>
      <c r="C33378" s="5">
        <v>0</v>
      </c>
      <c r="D33378" s="5">
        <v>0</v>
      </c>
      <c r="E33378" s="5">
        <v>0</v>
      </c>
      <c r="F33378" s="5">
        <v>0</v>
      </c>
      <c r="G33378" s="5">
        <v>0</v>
      </c>
      <c r="H33378" s="5">
        <v>0</v>
      </c>
      <c r="I33378" s="5">
        <v>0</v>
      </c>
      <c r="J33378" s="5">
        <v>0</v>
      </c>
      <c r="K33378" s="5">
        <v>0</v>
      </c>
    </row>
    <row r="33379" spans="1:11" x14ac:dyDescent="0.25">
      <c r="A33379" s="5">
        <f>33372</f>
      </c>
      <c r="B33379" s="5" t="s">
        <v>33387</v>
      </c>
      <c r="C33379" s="5">
        <v>0</v>
      </c>
      <c r="D33379" s="5">
        <v>0</v>
      </c>
      <c r="E33379" s="5">
        <v>0</v>
      </c>
      <c r="F33379" s="5">
        <v>0</v>
      </c>
      <c r="G33379" s="5">
        <v>0</v>
      </c>
      <c r="H33379" s="5">
        <v>0</v>
      </c>
      <c r="I33379" s="5">
        <v>0</v>
      </c>
      <c r="J33379" s="5">
        <v>0</v>
      </c>
      <c r="K33379" s="5">
        <v>0</v>
      </c>
    </row>
    <row r="33380" spans="1:11" x14ac:dyDescent="0.25">
      <c r="A33380" s="5">
        <f>33373</f>
      </c>
      <c r="B33380" s="5" t="s">
        <v>33388</v>
      </c>
      <c r="C33380" s="5">
        <v>0</v>
      </c>
      <c r="D33380" s="5">
        <v>0</v>
      </c>
      <c r="E33380" s="5">
        <v>0</v>
      </c>
      <c r="F33380" s="5">
        <v>0</v>
      </c>
      <c r="G33380" s="5">
        <v>0</v>
      </c>
      <c r="H33380" s="5">
        <v>0</v>
      </c>
      <c r="I33380" s="5">
        <v>0</v>
      </c>
      <c r="J33380" s="5">
        <v>0</v>
      </c>
      <c r="K33380" s="5">
        <v>0</v>
      </c>
    </row>
    <row r="33381" spans="1:11" x14ac:dyDescent="0.25">
      <c r="A33381" s="5">
        <f>33374</f>
      </c>
      <c r="B33381" s="5" t="s">
        <v>33389</v>
      </c>
      <c r="C33381" s="5">
        <v>0</v>
      </c>
      <c r="D33381" s="5">
        <v>0</v>
      </c>
      <c r="E33381" s="5">
        <v>0</v>
      </c>
      <c r="F33381" s="5">
        <v>0</v>
      </c>
      <c r="G33381" s="5">
        <v>0</v>
      </c>
      <c r="H33381" s="5">
        <v>0</v>
      </c>
      <c r="I33381" s="5">
        <v>0</v>
      </c>
      <c r="J33381" s="5">
        <v>0</v>
      </c>
      <c r="K33381" s="5">
        <v>0</v>
      </c>
    </row>
    <row r="33382" spans="1:11" x14ac:dyDescent="0.25">
      <c r="A33382" s="5">
        <f>33375</f>
      </c>
      <c r="B33382" s="5" t="s">
        <v>33390</v>
      </c>
      <c r="C33382" s="5">
        <v>0</v>
      </c>
      <c r="D33382" s="5">
        <v>0</v>
      </c>
      <c r="E33382" s="5">
        <v>0</v>
      </c>
      <c r="F33382" s="5">
        <v>0</v>
      </c>
      <c r="G33382" s="5">
        <v>0</v>
      </c>
      <c r="H33382" s="5">
        <v>0</v>
      </c>
      <c r="I33382" s="5">
        <v>0</v>
      </c>
      <c r="J33382" s="5">
        <v>0</v>
      </c>
      <c r="K33382" s="5">
        <v>0</v>
      </c>
    </row>
    <row r="33383" spans="1:11" x14ac:dyDescent="0.25">
      <c r="A33383" s="5">
        <f>33376</f>
      </c>
      <c r="B33383" s="5" t="s">
        <v>33391</v>
      </c>
      <c r="C33383" s="5">
        <v>0</v>
      </c>
      <c r="D33383" s="5">
        <v>0</v>
      </c>
      <c r="E33383" s="5">
        <v>0</v>
      </c>
      <c r="F33383" s="5">
        <v>0</v>
      </c>
      <c r="G33383" s="5">
        <v>0</v>
      </c>
      <c r="H33383" s="5">
        <v>0</v>
      </c>
      <c r="I33383" s="5">
        <v>0</v>
      </c>
      <c r="J33383" s="5">
        <v>0</v>
      </c>
      <c r="K33383" s="5">
        <v>0</v>
      </c>
    </row>
    <row r="33384" spans="1:11" x14ac:dyDescent="0.25">
      <c r="A33384" s="5">
        <f>33377</f>
      </c>
      <c r="B33384" s="5" t="s">
        <v>33392</v>
      </c>
      <c r="C33384" s="5">
        <v>0</v>
      </c>
      <c r="D33384" s="5">
        <v>0</v>
      </c>
      <c r="E33384" s="5">
        <v>0</v>
      </c>
      <c r="F33384" s="5">
        <v>0</v>
      </c>
      <c r="G33384" s="5">
        <v>0</v>
      </c>
      <c r="H33384" s="5">
        <v>0</v>
      </c>
      <c r="I33384" s="5">
        <v>0</v>
      </c>
      <c r="J33384" s="5">
        <v>0</v>
      </c>
      <c r="K33384" s="5">
        <v>0</v>
      </c>
    </row>
    <row r="33385" spans="1:11" x14ac:dyDescent="0.25">
      <c r="A33385" s="5">
        <f>33378</f>
      </c>
      <c r="B33385" s="5" t="s">
        <v>33393</v>
      </c>
      <c r="C33385" s="5">
        <v>0</v>
      </c>
      <c r="D33385" s="5">
        <v>0</v>
      </c>
      <c r="E33385" s="5">
        <v>0</v>
      </c>
      <c r="F33385" s="5">
        <v>0</v>
      </c>
      <c r="G33385" s="5">
        <v>0</v>
      </c>
      <c r="H33385" s="5">
        <v>0</v>
      </c>
      <c r="I33385" s="5">
        <v>0</v>
      </c>
      <c r="J33385" s="5">
        <v>0</v>
      </c>
      <c r="K33385" s="5">
        <v>0</v>
      </c>
    </row>
    <row r="33386" spans="1:11" x14ac:dyDescent="0.25">
      <c r="A33386" s="5">
        <f>33379</f>
      </c>
      <c r="B33386" s="5" t="s">
        <v>33394</v>
      </c>
      <c r="C33386" s="5">
        <v>0</v>
      </c>
      <c r="D33386" s="5">
        <v>0</v>
      </c>
      <c r="E33386" s="5">
        <v>0</v>
      </c>
      <c r="F33386" s="5">
        <v>0</v>
      </c>
      <c r="G33386" s="5">
        <v>0</v>
      </c>
      <c r="H33386" s="5">
        <v>0</v>
      </c>
      <c r="I33386" s="5">
        <v>0</v>
      </c>
      <c r="J33386" s="5">
        <v>0</v>
      </c>
      <c r="K33386" s="5">
        <v>0</v>
      </c>
    </row>
    <row r="33387" spans="1:11" x14ac:dyDescent="0.25">
      <c r="A33387" s="5">
        <f>33380</f>
      </c>
      <c r="B33387" s="5" t="s">
        <v>33395</v>
      </c>
      <c r="C33387" s="5">
        <v>0</v>
      </c>
      <c r="D33387" s="5">
        <v>0</v>
      </c>
      <c r="E33387" s="5">
        <v>0</v>
      </c>
      <c r="F33387" s="5">
        <v>0</v>
      </c>
      <c r="G33387" s="5">
        <v>0</v>
      </c>
      <c r="H33387" s="5">
        <v>0</v>
      </c>
      <c r="I33387" s="5">
        <v>0</v>
      </c>
      <c r="J33387" s="5">
        <v>0</v>
      </c>
      <c r="K33387" s="5">
        <v>0</v>
      </c>
    </row>
    <row r="33388" spans="1:11" x14ac:dyDescent="0.25">
      <c r="A33388" s="5">
        <f>33381</f>
      </c>
      <c r="B33388" s="5" t="s">
        <v>33396</v>
      </c>
      <c r="C33388" s="5">
        <v>0</v>
      </c>
      <c r="D33388" s="5">
        <v>0</v>
      </c>
      <c r="E33388" s="5">
        <v>0</v>
      </c>
      <c r="F33388" s="5">
        <v>0</v>
      </c>
      <c r="G33388" s="5">
        <v>0</v>
      </c>
      <c r="H33388" s="5">
        <v>0</v>
      </c>
      <c r="I33388" s="5">
        <v>0</v>
      </c>
      <c r="J33388" s="5">
        <v>0</v>
      </c>
      <c r="K33388" s="5">
        <v>0</v>
      </c>
    </row>
    <row r="33389" spans="1:11" x14ac:dyDescent="0.25">
      <c r="A33389" s="5">
        <f>33382</f>
      </c>
      <c r="B33389" s="5" t="s">
        <v>33397</v>
      </c>
      <c r="C33389" s="5">
        <v>0</v>
      </c>
      <c r="D33389" s="5">
        <v>0</v>
      </c>
      <c r="E33389" s="5">
        <v>0</v>
      </c>
      <c r="F33389" s="5">
        <v>0</v>
      </c>
      <c r="G33389" s="5">
        <v>0</v>
      </c>
      <c r="H33389" s="5">
        <v>0</v>
      </c>
      <c r="I33389" s="5">
        <v>0</v>
      </c>
      <c r="J33389" s="5">
        <v>0</v>
      </c>
      <c r="K33389" s="5">
        <v>0</v>
      </c>
    </row>
    <row r="33390" spans="1:11" x14ac:dyDescent="0.25">
      <c r="A33390" s="5">
        <f>33383</f>
      </c>
      <c r="B33390" s="5" t="s">
        <v>33398</v>
      </c>
      <c r="C33390" s="5">
        <v>0</v>
      </c>
      <c r="D33390" s="5">
        <v>0</v>
      </c>
      <c r="E33390" s="5">
        <v>0</v>
      </c>
      <c r="F33390" s="5">
        <v>0</v>
      </c>
      <c r="G33390" s="5">
        <v>0</v>
      </c>
      <c r="H33390" s="5">
        <v>0</v>
      </c>
      <c r="I33390" s="5">
        <v>0</v>
      </c>
      <c r="J33390" s="5">
        <v>0</v>
      </c>
      <c r="K33390" s="5">
        <v>0</v>
      </c>
    </row>
    <row r="33391" spans="1:11" x14ac:dyDescent="0.25">
      <c r="A33391" s="5">
        <f>33384</f>
      </c>
      <c r="B33391" s="5" t="s">
        <v>33399</v>
      </c>
      <c r="C33391" s="5">
        <v>0</v>
      </c>
      <c r="D33391" s="5">
        <v>0</v>
      </c>
      <c r="E33391" s="5">
        <v>0</v>
      </c>
      <c r="F33391" s="5">
        <v>0</v>
      </c>
      <c r="G33391" s="5">
        <v>0</v>
      </c>
      <c r="H33391" s="5">
        <v>0</v>
      </c>
      <c r="I33391" s="5">
        <v>0</v>
      </c>
      <c r="J33391" s="5">
        <v>0</v>
      </c>
      <c r="K33391" s="5">
        <v>0</v>
      </c>
    </row>
    <row r="33392" spans="1:11" x14ac:dyDescent="0.25">
      <c r="A33392" s="5">
        <f>33385</f>
      </c>
      <c r="B33392" s="5" t="s">
        <v>33400</v>
      </c>
      <c r="C33392" s="5">
        <v>0</v>
      </c>
      <c r="D33392" s="5">
        <v>0</v>
      </c>
      <c r="E33392" s="5">
        <v>0</v>
      </c>
      <c r="F33392" s="5">
        <v>0</v>
      </c>
      <c r="G33392" s="5">
        <v>0</v>
      </c>
      <c r="H33392" s="5">
        <v>0</v>
      </c>
      <c r="I33392" s="5">
        <v>0</v>
      </c>
      <c r="J33392" s="5">
        <v>0</v>
      </c>
      <c r="K33392" s="5">
        <v>0</v>
      </c>
    </row>
    <row r="33393" spans="1:11" x14ac:dyDescent="0.25">
      <c r="A33393" s="5">
        <f>33386</f>
      </c>
      <c r="B33393" s="5" t="s">
        <v>33401</v>
      </c>
      <c r="C33393" s="5">
        <v>0</v>
      </c>
      <c r="D33393" s="5">
        <v>0</v>
      </c>
      <c r="E33393" s="5">
        <v>0</v>
      </c>
      <c r="F33393" s="5">
        <v>0</v>
      </c>
      <c r="G33393" s="5">
        <v>0</v>
      </c>
      <c r="H33393" s="5">
        <v>0</v>
      </c>
      <c r="I33393" s="5">
        <v>0</v>
      </c>
      <c r="J33393" s="5">
        <v>0</v>
      </c>
      <c r="K33393" s="5">
        <v>0</v>
      </c>
    </row>
    <row r="33394" spans="1:11" x14ac:dyDescent="0.25">
      <c r="A33394" s="5">
        <f>33387</f>
      </c>
      <c r="B33394" s="5" t="s">
        <v>33402</v>
      </c>
      <c r="C33394" s="5">
        <v>0</v>
      </c>
      <c r="D33394" s="5">
        <v>0</v>
      </c>
      <c r="E33394" s="5">
        <v>0</v>
      </c>
      <c r="F33394" s="5">
        <v>0</v>
      </c>
      <c r="G33394" s="5">
        <v>0</v>
      </c>
      <c r="H33394" s="5">
        <v>0</v>
      </c>
      <c r="I33394" s="5">
        <v>0</v>
      </c>
      <c r="J33394" s="5">
        <v>0</v>
      </c>
      <c r="K33394" s="5">
        <v>0</v>
      </c>
    </row>
    <row r="33395" spans="1:11" x14ac:dyDescent="0.25">
      <c r="A33395" s="5">
        <f>33388</f>
      </c>
      <c r="B33395" s="5" t="s">
        <v>33403</v>
      </c>
      <c r="C33395" s="5">
        <v>0</v>
      </c>
      <c r="D33395" s="5">
        <v>0</v>
      </c>
      <c r="E33395" s="5">
        <v>0</v>
      </c>
      <c r="F33395" s="5">
        <v>0</v>
      </c>
      <c r="G33395" s="5">
        <v>0</v>
      </c>
      <c r="H33395" s="5">
        <v>0</v>
      </c>
      <c r="I33395" s="5">
        <v>0</v>
      </c>
      <c r="J33395" s="5">
        <v>0</v>
      </c>
      <c r="K33395" s="5">
        <v>0</v>
      </c>
    </row>
    <row r="33396" spans="1:11" x14ac:dyDescent="0.25">
      <c r="A33396" s="5">
        <f>33389</f>
      </c>
      <c r="B33396" s="5" t="s">
        <v>33404</v>
      </c>
      <c r="C33396" s="5">
        <v>0</v>
      </c>
      <c r="D33396" s="5">
        <v>0</v>
      </c>
      <c r="E33396" s="5">
        <v>0</v>
      </c>
      <c r="F33396" s="5">
        <v>0</v>
      </c>
      <c r="G33396" s="5">
        <v>0</v>
      </c>
      <c r="H33396" s="5">
        <v>0</v>
      </c>
      <c r="I33396" s="5">
        <v>0</v>
      </c>
      <c r="J33396" s="5">
        <v>0</v>
      </c>
      <c r="K33396" s="5">
        <v>0</v>
      </c>
    </row>
    <row r="33397" spans="1:11" x14ac:dyDescent="0.25">
      <c r="A33397" s="5">
        <f>33390</f>
      </c>
      <c r="B33397" s="5" t="s">
        <v>33405</v>
      </c>
      <c r="C33397" s="5">
        <v>0</v>
      </c>
      <c r="D33397" s="5">
        <v>0</v>
      </c>
      <c r="E33397" s="5">
        <v>0</v>
      </c>
      <c r="F33397" s="5">
        <v>0</v>
      </c>
      <c r="G33397" s="5">
        <v>0</v>
      </c>
      <c r="H33397" s="5">
        <v>0</v>
      </c>
      <c r="I33397" s="5">
        <v>0</v>
      </c>
      <c r="J33397" s="5">
        <v>0</v>
      </c>
      <c r="K33397" s="5">
        <v>0</v>
      </c>
    </row>
    <row r="33398" spans="1:11" x14ac:dyDescent="0.25">
      <c r="A33398" s="5">
        <f>33391</f>
      </c>
      <c r="B33398" s="5" t="s">
        <v>33406</v>
      </c>
      <c r="C33398" s="5">
        <v>0</v>
      </c>
      <c r="D33398" s="5">
        <v>0</v>
      </c>
      <c r="E33398" s="5">
        <v>0</v>
      </c>
      <c r="F33398" s="5">
        <v>0</v>
      </c>
      <c r="G33398" s="5">
        <v>0</v>
      </c>
      <c r="H33398" s="5">
        <v>0</v>
      </c>
      <c r="I33398" s="5">
        <v>0</v>
      </c>
      <c r="J33398" s="5">
        <v>0</v>
      </c>
      <c r="K33398" s="5">
        <v>0</v>
      </c>
    </row>
    <row r="33399" spans="1:11" x14ac:dyDescent="0.25">
      <c r="A33399" s="5">
        <f>33392</f>
      </c>
      <c r="B33399" s="5" t="s">
        <v>33407</v>
      </c>
      <c r="C33399" s="5">
        <v>0</v>
      </c>
      <c r="D33399" s="5">
        <v>0</v>
      </c>
      <c r="E33399" s="5">
        <v>0</v>
      </c>
      <c r="F33399" s="5">
        <v>0</v>
      </c>
      <c r="G33399" s="5">
        <v>0</v>
      </c>
      <c r="H33399" s="5">
        <v>0</v>
      </c>
      <c r="I33399" s="5">
        <v>0</v>
      </c>
      <c r="J33399" s="5">
        <v>0</v>
      </c>
      <c r="K33399" s="5">
        <v>0</v>
      </c>
    </row>
    <row r="33400" spans="1:11" x14ac:dyDescent="0.25">
      <c r="A33400" s="5">
        <f>33393</f>
      </c>
      <c r="B33400" s="5" t="s">
        <v>33408</v>
      </c>
      <c r="C33400" s="5">
        <v>0</v>
      </c>
      <c r="D33400" s="5">
        <v>0</v>
      </c>
      <c r="E33400" s="5">
        <v>0</v>
      </c>
      <c r="F33400" s="5">
        <v>0</v>
      </c>
      <c r="G33400" s="5">
        <v>0</v>
      </c>
      <c r="H33400" s="5">
        <v>0</v>
      </c>
      <c r="I33400" s="5">
        <v>0</v>
      </c>
      <c r="J33400" s="5">
        <v>0</v>
      </c>
      <c r="K33400" s="5">
        <v>0</v>
      </c>
    </row>
    <row r="33401" spans="1:11" x14ac:dyDescent="0.25">
      <c r="A33401" s="5">
        <f>33394</f>
      </c>
      <c r="B33401" s="5" t="s">
        <v>33409</v>
      </c>
      <c r="C33401" s="5">
        <v>0</v>
      </c>
      <c r="D33401" s="5">
        <v>0</v>
      </c>
      <c r="E33401" s="5">
        <v>0</v>
      </c>
      <c r="F33401" s="5">
        <v>0</v>
      </c>
      <c r="G33401" s="5">
        <v>0</v>
      </c>
      <c r="H33401" s="5">
        <v>0</v>
      </c>
      <c r="I33401" s="5">
        <v>0</v>
      </c>
      <c r="J33401" s="5">
        <v>0</v>
      </c>
      <c r="K33401" s="5">
        <v>0</v>
      </c>
    </row>
    <row r="33402" spans="1:11" x14ac:dyDescent="0.25">
      <c r="A33402" s="5">
        <f>33395</f>
      </c>
      <c r="B33402" s="5" t="s">
        <v>33410</v>
      </c>
      <c r="C33402" s="5">
        <v>0</v>
      </c>
      <c r="D33402" s="5">
        <v>0</v>
      </c>
      <c r="E33402" s="5">
        <v>0</v>
      </c>
      <c r="F33402" s="5">
        <v>0</v>
      </c>
      <c r="G33402" s="5">
        <v>0</v>
      </c>
      <c r="H33402" s="5">
        <v>0</v>
      </c>
      <c r="I33402" s="5">
        <v>0</v>
      </c>
      <c r="J33402" s="5">
        <v>0</v>
      </c>
      <c r="K33402" s="5">
        <v>0</v>
      </c>
    </row>
    <row r="33403" spans="1:11" x14ac:dyDescent="0.25">
      <c r="A33403" s="5">
        <f>33396</f>
      </c>
      <c r="B33403" s="5" t="s">
        <v>33411</v>
      </c>
      <c r="C33403" s="5">
        <v>0</v>
      </c>
      <c r="D33403" s="5">
        <v>0</v>
      </c>
      <c r="E33403" s="5">
        <v>0</v>
      </c>
      <c r="F33403" s="5">
        <v>0</v>
      </c>
      <c r="G33403" s="5">
        <v>0</v>
      </c>
      <c r="H33403" s="5">
        <v>0</v>
      </c>
      <c r="I33403" s="5">
        <v>0</v>
      </c>
      <c r="J33403" s="5">
        <v>0</v>
      </c>
      <c r="K33403" s="5">
        <v>0</v>
      </c>
    </row>
    <row r="33404" spans="1:11" x14ac:dyDescent="0.25">
      <c r="A33404" s="5">
        <f>33397</f>
      </c>
      <c r="B33404" s="5" t="s">
        <v>33412</v>
      </c>
      <c r="C33404" s="5">
        <v>0</v>
      </c>
      <c r="D33404" s="5">
        <v>0</v>
      </c>
      <c r="E33404" s="5">
        <v>0</v>
      </c>
      <c r="F33404" s="5">
        <v>0</v>
      </c>
      <c r="G33404" s="5">
        <v>0</v>
      </c>
      <c r="H33404" s="5">
        <v>0</v>
      </c>
      <c r="I33404" s="5">
        <v>0</v>
      </c>
      <c r="J33404" s="5">
        <v>0</v>
      </c>
      <c r="K33404" s="5">
        <v>0</v>
      </c>
    </row>
    <row r="33405" spans="1:11" x14ac:dyDescent="0.25">
      <c r="A33405" s="5">
        <f>33398</f>
      </c>
      <c r="B33405" s="5" t="s">
        <v>33413</v>
      </c>
      <c r="C33405" s="5">
        <v>0</v>
      </c>
      <c r="D33405" s="5">
        <v>0</v>
      </c>
      <c r="E33405" s="5">
        <v>0</v>
      </c>
      <c r="F33405" s="5">
        <v>0</v>
      </c>
      <c r="G33405" s="5">
        <v>0</v>
      </c>
      <c r="H33405" s="5">
        <v>0</v>
      </c>
      <c r="I33405" s="5">
        <v>0</v>
      </c>
      <c r="J33405" s="5">
        <v>0</v>
      </c>
      <c r="K33405" s="5">
        <v>0</v>
      </c>
    </row>
    <row r="33406" spans="1:11" x14ac:dyDescent="0.25">
      <c r="A33406" s="5">
        <f>33399</f>
      </c>
      <c r="B33406" s="5" t="s">
        <v>33414</v>
      </c>
      <c r="C33406" s="5">
        <v>0</v>
      </c>
      <c r="D33406" s="5">
        <v>0</v>
      </c>
      <c r="E33406" s="5">
        <v>0</v>
      </c>
      <c r="F33406" s="5">
        <v>0</v>
      </c>
      <c r="G33406" s="5">
        <v>0</v>
      </c>
      <c r="H33406" s="5">
        <v>0</v>
      </c>
      <c r="I33406" s="5">
        <v>0</v>
      </c>
      <c r="J33406" s="5">
        <v>0</v>
      </c>
      <c r="K33406" s="5">
        <v>0</v>
      </c>
    </row>
    <row r="33407" spans="1:11" x14ac:dyDescent="0.25">
      <c r="A33407" s="5">
        <f>33400</f>
      </c>
      <c r="B33407" s="5" t="s">
        <v>33415</v>
      </c>
      <c r="C33407" s="5">
        <v>0</v>
      </c>
      <c r="D33407" s="5">
        <v>0</v>
      </c>
      <c r="E33407" s="5">
        <v>0</v>
      </c>
      <c r="F33407" s="5">
        <v>0</v>
      </c>
      <c r="G33407" s="5">
        <v>0</v>
      </c>
      <c r="H33407" s="5">
        <v>0</v>
      </c>
      <c r="I33407" s="5">
        <v>0</v>
      </c>
      <c r="J33407" s="5">
        <v>0</v>
      </c>
      <c r="K33407" s="5">
        <v>0</v>
      </c>
    </row>
    <row r="33408" spans="1:11" x14ac:dyDescent="0.25">
      <c r="A33408" s="5">
        <f>33401</f>
      </c>
      <c r="B33408" s="5" t="s">
        <v>33416</v>
      </c>
      <c r="C33408" s="5">
        <v>0</v>
      </c>
      <c r="D33408" s="5">
        <v>0</v>
      </c>
      <c r="E33408" s="5">
        <v>0</v>
      </c>
      <c r="F33408" s="5">
        <v>0</v>
      </c>
      <c r="G33408" s="5">
        <v>0</v>
      </c>
      <c r="H33408" s="5">
        <v>0</v>
      </c>
      <c r="I33408" s="5">
        <v>0</v>
      </c>
      <c r="J33408" s="5">
        <v>0</v>
      </c>
      <c r="K33408" s="5">
        <v>0</v>
      </c>
    </row>
    <row r="33409" spans="1:11" x14ac:dyDescent="0.25">
      <c r="A33409" s="5">
        <f>33402</f>
      </c>
      <c r="B33409" s="5" t="s">
        <v>33417</v>
      </c>
      <c r="C33409" s="5">
        <v>0</v>
      </c>
      <c r="D33409" s="5">
        <v>0</v>
      </c>
      <c r="E33409" s="5">
        <v>0</v>
      </c>
      <c r="F33409" s="5">
        <v>0</v>
      </c>
      <c r="G33409" s="5">
        <v>0</v>
      </c>
      <c r="H33409" s="5">
        <v>0</v>
      </c>
      <c r="I33409" s="5">
        <v>0</v>
      </c>
      <c r="J33409" s="5">
        <v>0</v>
      </c>
      <c r="K33409" s="5">
        <v>0</v>
      </c>
    </row>
    <row r="33410" spans="1:11" x14ac:dyDescent="0.25">
      <c r="A33410" s="5">
        <f>33403</f>
      </c>
      <c r="B33410" s="5" t="s">
        <v>33418</v>
      </c>
      <c r="C33410" s="5">
        <v>0</v>
      </c>
      <c r="D33410" s="5">
        <v>0</v>
      </c>
      <c r="E33410" s="5">
        <v>0</v>
      </c>
      <c r="F33410" s="5">
        <v>0</v>
      </c>
      <c r="G33410" s="5">
        <v>0</v>
      </c>
      <c r="H33410" s="5">
        <v>0</v>
      </c>
      <c r="I33410" s="5">
        <v>0</v>
      </c>
      <c r="J33410" s="5">
        <v>0</v>
      </c>
      <c r="K33410" s="5">
        <v>0</v>
      </c>
    </row>
    <row r="33411" spans="1:11" x14ac:dyDescent="0.25">
      <c r="A33411" s="5">
        <f>33404</f>
      </c>
      <c r="B33411" s="5" t="s">
        <v>33419</v>
      </c>
      <c r="C33411" s="5">
        <v>0</v>
      </c>
      <c r="D33411" s="5">
        <v>0</v>
      </c>
      <c r="E33411" s="5">
        <v>0</v>
      </c>
      <c r="F33411" s="5">
        <v>0</v>
      </c>
      <c r="G33411" s="5">
        <v>0</v>
      </c>
      <c r="H33411" s="5">
        <v>0</v>
      </c>
      <c r="I33411" s="5">
        <v>0</v>
      </c>
      <c r="J33411" s="5">
        <v>0</v>
      </c>
      <c r="K33411" s="5">
        <v>0</v>
      </c>
    </row>
    <row r="33412" spans="1:11" x14ac:dyDescent="0.25">
      <c r="A33412" s="5">
        <f>33405</f>
      </c>
      <c r="B33412" s="5" t="s">
        <v>33420</v>
      </c>
      <c r="C33412" s="5">
        <v>0</v>
      </c>
      <c r="D33412" s="5">
        <v>0</v>
      </c>
      <c r="E33412" s="5">
        <v>0</v>
      </c>
      <c r="F33412" s="5">
        <v>0</v>
      </c>
      <c r="G33412" s="5">
        <v>0</v>
      </c>
      <c r="H33412" s="5">
        <v>0</v>
      </c>
      <c r="I33412" s="5">
        <v>0</v>
      </c>
      <c r="J33412" s="5">
        <v>0</v>
      </c>
      <c r="K33412" s="5">
        <v>0</v>
      </c>
    </row>
    <row r="33413" spans="1:11" x14ac:dyDescent="0.25">
      <c r="A33413" s="5">
        <f>33406</f>
      </c>
      <c r="B33413" s="5" t="s">
        <v>33421</v>
      </c>
      <c r="C33413" s="5">
        <v>0</v>
      </c>
      <c r="D33413" s="5">
        <v>0</v>
      </c>
      <c r="E33413" s="5">
        <v>0</v>
      </c>
      <c r="F33413" s="5">
        <v>0</v>
      </c>
      <c r="G33413" s="5">
        <v>0</v>
      </c>
      <c r="H33413" s="5">
        <v>0</v>
      </c>
      <c r="I33413" s="5">
        <v>0</v>
      </c>
      <c r="J33413" s="5">
        <v>0</v>
      </c>
      <c r="K33413" s="5">
        <v>0</v>
      </c>
    </row>
    <row r="33414" spans="1:11" x14ac:dyDescent="0.25">
      <c r="A33414" s="5">
        <f>33407</f>
      </c>
      <c r="B33414" s="5" t="s">
        <v>33422</v>
      </c>
      <c r="C33414" s="5">
        <v>0</v>
      </c>
      <c r="D33414" s="5">
        <v>0</v>
      </c>
      <c r="E33414" s="5">
        <v>0</v>
      </c>
      <c r="F33414" s="5">
        <v>0</v>
      </c>
      <c r="G33414" s="5">
        <v>0</v>
      </c>
      <c r="H33414" s="5">
        <v>0</v>
      </c>
      <c r="I33414" s="5">
        <v>0</v>
      </c>
      <c r="J33414" s="5">
        <v>0</v>
      </c>
      <c r="K33414" s="5">
        <v>0</v>
      </c>
    </row>
    <row r="33415" spans="1:11" x14ac:dyDescent="0.25">
      <c r="A33415" s="5">
        <f>33408</f>
      </c>
      <c r="B33415" s="5" t="s">
        <v>33423</v>
      </c>
      <c r="C33415" s="5">
        <v>0</v>
      </c>
      <c r="D33415" s="5">
        <v>0</v>
      </c>
      <c r="E33415" s="5">
        <v>0</v>
      </c>
      <c r="F33415" s="5">
        <v>0</v>
      </c>
      <c r="G33415" s="5">
        <v>0</v>
      </c>
      <c r="H33415" s="5">
        <v>0</v>
      </c>
      <c r="I33415" s="5">
        <v>0</v>
      </c>
      <c r="J33415" s="5">
        <v>0</v>
      </c>
      <c r="K33415" s="5">
        <v>0</v>
      </c>
    </row>
    <row r="33416" spans="1:11" x14ac:dyDescent="0.25">
      <c r="A33416" s="5">
        <f>33409</f>
      </c>
      <c r="B33416" s="5" t="s">
        <v>33424</v>
      </c>
      <c r="C33416" s="5">
        <v>0</v>
      </c>
      <c r="D33416" s="5">
        <v>0</v>
      </c>
      <c r="E33416" s="5">
        <v>0</v>
      </c>
      <c r="F33416" s="5">
        <v>0</v>
      </c>
      <c r="G33416" s="5">
        <v>0</v>
      </c>
      <c r="H33416" s="5">
        <v>0</v>
      </c>
      <c r="I33416" s="5">
        <v>0</v>
      </c>
      <c r="J33416" s="5">
        <v>0</v>
      </c>
      <c r="K33416" s="5">
        <v>0</v>
      </c>
    </row>
    <row r="33417" spans="1:11" x14ac:dyDescent="0.25">
      <c r="A33417" s="5">
        <f>33410</f>
      </c>
      <c r="B33417" s="5" t="s">
        <v>33425</v>
      </c>
      <c r="C33417" s="5">
        <v>0</v>
      </c>
      <c r="D33417" s="5">
        <v>0</v>
      </c>
      <c r="E33417" s="5">
        <v>0</v>
      </c>
      <c r="F33417" s="5">
        <v>0</v>
      </c>
      <c r="G33417" s="5">
        <v>0</v>
      </c>
      <c r="H33417" s="5">
        <v>0</v>
      </c>
      <c r="I33417" s="5">
        <v>0</v>
      </c>
      <c r="J33417" s="5">
        <v>0</v>
      </c>
      <c r="K33417" s="5">
        <v>0</v>
      </c>
    </row>
    <row r="33418" spans="1:11" x14ac:dyDescent="0.25">
      <c r="A33418" s="5">
        <f>33411</f>
      </c>
      <c r="B33418" s="5" t="s">
        <v>33426</v>
      </c>
      <c r="C33418" s="5">
        <v>0</v>
      </c>
      <c r="D33418" s="5">
        <v>0</v>
      </c>
      <c r="E33418" s="5">
        <v>0</v>
      </c>
      <c r="F33418" s="5">
        <v>0</v>
      </c>
      <c r="G33418" s="5">
        <v>0</v>
      </c>
      <c r="H33418" s="5">
        <v>0</v>
      </c>
      <c r="I33418" s="5">
        <v>0</v>
      </c>
      <c r="J33418" s="5">
        <v>0</v>
      </c>
      <c r="K33418" s="5">
        <v>0</v>
      </c>
    </row>
    <row r="33419" spans="1:11" x14ac:dyDescent="0.25">
      <c r="A33419" s="5">
        <f>33412</f>
      </c>
      <c r="B33419" s="5" t="s">
        <v>33427</v>
      </c>
      <c r="C33419" s="5">
        <v>0</v>
      </c>
      <c r="D33419" s="5">
        <v>0</v>
      </c>
      <c r="E33419" s="5">
        <v>0</v>
      </c>
      <c r="F33419" s="5">
        <v>0</v>
      </c>
      <c r="G33419" s="5">
        <v>0</v>
      </c>
      <c r="H33419" s="5">
        <v>0</v>
      </c>
      <c r="I33419" s="5">
        <v>0</v>
      </c>
      <c r="J33419" s="5">
        <v>0</v>
      </c>
      <c r="K33419" s="5">
        <v>0</v>
      </c>
    </row>
    <row r="33420" spans="1:11" x14ac:dyDescent="0.25">
      <c r="A33420" s="5">
        <f>33413</f>
      </c>
      <c r="B33420" s="5" t="s">
        <v>33428</v>
      </c>
      <c r="C33420" s="5">
        <v>0</v>
      </c>
      <c r="D33420" s="5">
        <v>0</v>
      </c>
      <c r="E33420" s="5">
        <v>0</v>
      </c>
      <c r="F33420" s="5">
        <v>0</v>
      </c>
      <c r="G33420" s="5">
        <v>0</v>
      </c>
      <c r="H33420" s="5">
        <v>0</v>
      </c>
      <c r="I33420" s="5">
        <v>0</v>
      </c>
      <c r="J33420" s="5">
        <v>0</v>
      </c>
      <c r="K33420" s="5">
        <v>0</v>
      </c>
    </row>
    <row r="33421" spans="1:11" x14ac:dyDescent="0.25">
      <c r="A33421" s="5">
        <f>33414</f>
      </c>
      <c r="B33421" s="5" t="s">
        <v>33429</v>
      </c>
      <c r="C33421" s="5">
        <v>0</v>
      </c>
      <c r="D33421" s="5">
        <v>0</v>
      </c>
      <c r="E33421" s="5">
        <v>0</v>
      </c>
      <c r="F33421" s="5">
        <v>0</v>
      </c>
      <c r="G33421" s="5">
        <v>0</v>
      </c>
      <c r="H33421" s="5">
        <v>0</v>
      </c>
      <c r="I33421" s="5">
        <v>0</v>
      </c>
      <c r="J33421" s="5">
        <v>0</v>
      </c>
      <c r="K33421" s="5">
        <v>0</v>
      </c>
    </row>
    <row r="33422" spans="1:11" x14ac:dyDescent="0.25">
      <c r="A33422" s="5">
        <f>33415</f>
      </c>
      <c r="B33422" s="5" t="s">
        <v>33430</v>
      </c>
      <c r="C33422" s="5">
        <v>0</v>
      </c>
      <c r="D33422" s="5">
        <v>0</v>
      </c>
      <c r="E33422" s="5">
        <v>0</v>
      </c>
      <c r="F33422" s="5">
        <v>0</v>
      </c>
      <c r="G33422" s="5">
        <v>0</v>
      </c>
      <c r="H33422" s="5">
        <v>0</v>
      </c>
      <c r="I33422" s="5">
        <v>0</v>
      </c>
      <c r="J33422" s="5">
        <v>0</v>
      </c>
      <c r="K33422" s="5">
        <v>0</v>
      </c>
    </row>
    <row r="33423" spans="1:11" x14ac:dyDescent="0.25">
      <c r="A33423" s="5">
        <f>33416</f>
      </c>
      <c r="B33423" s="5" t="s">
        <v>33431</v>
      </c>
      <c r="C33423" s="5">
        <v>0</v>
      </c>
      <c r="D33423" s="5">
        <v>0</v>
      </c>
      <c r="E33423" s="5">
        <v>0</v>
      </c>
      <c r="F33423" s="5">
        <v>0</v>
      </c>
      <c r="G33423" s="5">
        <v>0</v>
      </c>
      <c r="H33423" s="5">
        <v>0</v>
      </c>
      <c r="I33423" s="5">
        <v>0</v>
      </c>
      <c r="J33423" s="5">
        <v>0</v>
      </c>
      <c r="K33423" s="5">
        <v>0</v>
      </c>
    </row>
    <row r="33424" spans="1:11" x14ac:dyDescent="0.25">
      <c r="A33424" s="5">
        <f>33417</f>
      </c>
      <c r="B33424" s="5" t="s">
        <v>33432</v>
      </c>
      <c r="C33424" s="5">
        <v>0</v>
      </c>
      <c r="D33424" s="5">
        <v>0</v>
      </c>
      <c r="E33424" s="5">
        <v>0</v>
      </c>
      <c r="F33424" s="5">
        <v>0</v>
      </c>
      <c r="G33424" s="5">
        <v>0</v>
      </c>
      <c r="H33424" s="5">
        <v>0</v>
      </c>
      <c r="I33424" s="5">
        <v>0</v>
      </c>
      <c r="J33424" s="5">
        <v>0</v>
      </c>
      <c r="K33424" s="5">
        <v>0</v>
      </c>
    </row>
    <row r="33425" spans="1:11" x14ac:dyDescent="0.25">
      <c r="A33425" s="5">
        <f>33418</f>
      </c>
      <c r="B33425" s="5" t="s">
        <v>33433</v>
      </c>
      <c r="C33425" s="5">
        <v>0</v>
      </c>
      <c r="D33425" s="5">
        <v>0</v>
      </c>
      <c r="E33425" s="5">
        <v>0</v>
      </c>
      <c r="F33425" s="5">
        <v>0</v>
      </c>
      <c r="G33425" s="5">
        <v>0</v>
      </c>
      <c r="H33425" s="5">
        <v>0</v>
      </c>
      <c r="I33425" s="5">
        <v>0</v>
      </c>
      <c r="J33425" s="5">
        <v>0</v>
      </c>
      <c r="K33425" s="5">
        <v>0</v>
      </c>
    </row>
    <row r="33426" spans="1:11" x14ac:dyDescent="0.25">
      <c r="A33426" s="5">
        <f>33419</f>
      </c>
      <c r="B33426" s="5" t="s">
        <v>33434</v>
      </c>
      <c r="C33426" s="5">
        <v>0</v>
      </c>
      <c r="D33426" s="5">
        <v>0</v>
      </c>
      <c r="E33426" s="5">
        <v>0</v>
      </c>
      <c r="F33426" s="5">
        <v>0</v>
      </c>
      <c r="G33426" s="5">
        <v>0</v>
      </c>
      <c r="H33426" s="5">
        <v>0</v>
      </c>
      <c r="I33426" s="5">
        <v>0</v>
      </c>
      <c r="J33426" s="5">
        <v>0</v>
      </c>
      <c r="K33426" s="5">
        <v>0</v>
      </c>
    </row>
    <row r="33427" spans="1:11" x14ac:dyDescent="0.25">
      <c r="A33427" s="5">
        <f>33420</f>
      </c>
      <c r="B33427" s="5" t="s">
        <v>33435</v>
      </c>
      <c r="C33427" s="5">
        <v>0</v>
      </c>
      <c r="D33427" s="5">
        <v>0</v>
      </c>
      <c r="E33427" s="5">
        <v>0</v>
      </c>
      <c r="F33427" s="5">
        <v>0</v>
      </c>
      <c r="G33427" s="5">
        <v>0</v>
      </c>
      <c r="H33427" s="5">
        <v>0</v>
      </c>
      <c r="I33427" s="5">
        <v>0</v>
      </c>
      <c r="J33427" s="5">
        <v>0</v>
      </c>
      <c r="K33427" s="5">
        <v>0</v>
      </c>
    </row>
    <row r="33428" spans="1:11" x14ac:dyDescent="0.25">
      <c r="A33428" s="5">
        <f>33421</f>
      </c>
      <c r="B33428" s="5" t="s">
        <v>33436</v>
      </c>
      <c r="C33428" s="5">
        <v>0</v>
      </c>
      <c r="D33428" s="5">
        <v>0</v>
      </c>
      <c r="E33428" s="5">
        <v>0</v>
      </c>
      <c r="F33428" s="5">
        <v>0</v>
      </c>
      <c r="G33428" s="5">
        <v>0</v>
      </c>
      <c r="H33428" s="5">
        <v>0</v>
      </c>
      <c r="I33428" s="5">
        <v>0</v>
      </c>
      <c r="J33428" s="5">
        <v>0</v>
      </c>
      <c r="K33428" s="5">
        <v>0</v>
      </c>
    </row>
    <row r="33429" spans="1:11" x14ac:dyDescent="0.25">
      <c r="A33429" s="5">
        <f>33422</f>
      </c>
      <c r="B33429" s="5" t="s">
        <v>33437</v>
      </c>
      <c r="C33429" s="5">
        <v>0</v>
      </c>
      <c r="D33429" s="5">
        <v>0</v>
      </c>
      <c r="E33429" s="5">
        <v>0</v>
      </c>
      <c r="F33429" s="5">
        <v>0</v>
      </c>
      <c r="G33429" s="5">
        <v>0</v>
      </c>
      <c r="H33429" s="5">
        <v>0</v>
      </c>
      <c r="I33429" s="5">
        <v>0</v>
      </c>
      <c r="J33429" s="5">
        <v>0</v>
      </c>
      <c r="K33429" s="5">
        <v>0</v>
      </c>
    </row>
    <row r="33430" spans="1:11" x14ac:dyDescent="0.25">
      <c r="A33430" s="5">
        <f>33423</f>
      </c>
      <c r="B33430" s="5" t="s">
        <v>33438</v>
      </c>
      <c r="C33430" s="5">
        <v>0</v>
      </c>
      <c r="D33430" s="5">
        <v>0</v>
      </c>
      <c r="E33430" s="5">
        <v>0</v>
      </c>
      <c r="F33430" s="5">
        <v>0</v>
      </c>
      <c r="G33430" s="5">
        <v>0</v>
      </c>
      <c r="H33430" s="5">
        <v>0</v>
      </c>
      <c r="I33430" s="5">
        <v>0</v>
      </c>
      <c r="J33430" s="5">
        <v>0</v>
      </c>
      <c r="K33430" s="5">
        <v>0</v>
      </c>
    </row>
    <row r="33431" spans="1:11" x14ac:dyDescent="0.25">
      <c r="A33431" s="5">
        <f>33424</f>
      </c>
      <c r="B33431" s="5" t="s">
        <v>33439</v>
      </c>
      <c r="C33431" s="5">
        <v>0</v>
      </c>
      <c r="D33431" s="5">
        <v>0</v>
      </c>
      <c r="E33431" s="5">
        <v>0</v>
      </c>
      <c r="F33431" s="5">
        <v>0</v>
      </c>
      <c r="G33431" s="5">
        <v>0</v>
      </c>
      <c r="H33431" s="5">
        <v>0</v>
      </c>
      <c r="I33431" s="5">
        <v>0</v>
      </c>
      <c r="J33431" s="5">
        <v>0</v>
      </c>
      <c r="K33431" s="5">
        <v>0</v>
      </c>
    </row>
    <row r="33432" spans="1:11" x14ac:dyDescent="0.25">
      <c r="A33432" s="5">
        <f>33425</f>
      </c>
      <c r="B33432" s="5" t="s">
        <v>33440</v>
      </c>
      <c r="C33432" s="5">
        <v>0</v>
      </c>
      <c r="D33432" s="5">
        <v>0</v>
      </c>
      <c r="E33432" s="5">
        <v>0</v>
      </c>
      <c r="F33432" s="5">
        <v>0</v>
      </c>
      <c r="G33432" s="5">
        <v>0</v>
      </c>
      <c r="H33432" s="5">
        <v>0</v>
      </c>
      <c r="I33432" s="5">
        <v>0</v>
      </c>
      <c r="J33432" s="5">
        <v>0</v>
      </c>
      <c r="K33432" s="5">
        <v>0</v>
      </c>
    </row>
    <row r="33433" spans="1:11" x14ac:dyDescent="0.25">
      <c r="A33433" s="5">
        <f>33426</f>
      </c>
      <c r="B33433" s="5" t="s">
        <v>33441</v>
      </c>
      <c r="C33433" s="5">
        <v>0</v>
      </c>
      <c r="D33433" s="5">
        <v>0</v>
      </c>
      <c r="E33433" s="5">
        <v>0</v>
      </c>
      <c r="F33433" s="5">
        <v>0</v>
      </c>
      <c r="G33433" s="5">
        <v>0</v>
      </c>
      <c r="H33433" s="5">
        <v>0</v>
      </c>
      <c r="I33433" s="5">
        <v>0</v>
      </c>
      <c r="J33433" s="5">
        <v>0</v>
      </c>
      <c r="K33433" s="5">
        <v>0</v>
      </c>
    </row>
    <row r="33434" spans="1:11" x14ac:dyDescent="0.25">
      <c r="A33434" s="5">
        <f>33427</f>
      </c>
      <c r="B33434" s="5" t="s">
        <v>33442</v>
      </c>
      <c r="C33434" s="5">
        <v>0</v>
      </c>
      <c r="D33434" s="5">
        <v>0</v>
      </c>
      <c r="E33434" s="5">
        <v>0</v>
      </c>
      <c r="F33434" s="5">
        <v>0</v>
      </c>
      <c r="G33434" s="5">
        <v>0</v>
      </c>
      <c r="H33434" s="5">
        <v>0</v>
      </c>
      <c r="I33434" s="5">
        <v>0</v>
      </c>
      <c r="J33434" s="5">
        <v>0</v>
      </c>
      <c r="K33434" s="5">
        <v>0</v>
      </c>
    </row>
    <row r="33435" spans="1:11" x14ac:dyDescent="0.25">
      <c r="A33435" s="5">
        <f>33428</f>
      </c>
      <c r="B33435" s="5" t="s">
        <v>33443</v>
      </c>
      <c r="C33435" s="5">
        <v>0</v>
      </c>
      <c r="D33435" s="5">
        <v>0</v>
      </c>
      <c r="E33435" s="5">
        <v>0</v>
      </c>
      <c r="F33435" s="5">
        <v>0</v>
      </c>
      <c r="G33435" s="5">
        <v>0</v>
      </c>
      <c r="H33435" s="5">
        <v>0</v>
      </c>
      <c r="I33435" s="5">
        <v>0</v>
      </c>
      <c r="J33435" s="5">
        <v>0</v>
      </c>
      <c r="K33435" s="5">
        <v>0</v>
      </c>
    </row>
    <row r="33436" spans="1:11" x14ac:dyDescent="0.25">
      <c r="A33436" s="5">
        <f>33429</f>
      </c>
      <c r="B33436" s="5" t="s">
        <v>33444</v>
      </c>
      <c r="C33436" s="5">
        <v>0</v>
      </c>
      <c r="D33436" s="5">
        <v>0</v>
      </c>
      <c r="E33436" s="5">
        <v>0</v>
      </c>
      <c r="F33436" s="5">
        <v>0</v>
      </c>
      <c r="G33436" s="5">
        <v>0</v>
      </c>
      <c r="H33436" s="5">
        <v>0</v>
      </c>
      <c r="I33436" s="5">
        <v>0</v>
      </c>
      <c r="J33436" s="5">
        <v>0</v>
      </c>
      <c r="K33436" s="5">
        <v>0</v>
      </c>
    </row>
    <row r="33437" spans="1:11" x14ac:dyDescent="0.25">
      <c r="A33437" s="5">
        <f>33430</f>
      </c>
      <c r="B33437" s="5" t="s">
        <v>33445</v>
      </c>
      <c r="C33437" s="5">
        <v>0</v>
      </c>
      <c r="D33437" s="5">
        <v>0</v>
      </c>
      <c r="E33437" s="5">
        <v>0</v>
      </c>
      <c r="F33437" s="5">
        <v>0</v>
      </c>
      <c r="G33437" s="5">
        <v>0</v>
      </c>
      <c r="H33437" s="5">
        <v>0</v>
      </c>
      <c r="I33437" s="5">
        <v>0</v>
      </c>
      <c r="J33437" s="5">
        <v>0</v>
      </c>
      <c r="K33437" s="5">
        <v>0</v>
      </c>
    </row>
    <row r="33438" spans="1:11" x14ac:dyDescent="0.25">
      <c r="A33438" s="5">
        <f>33431</f>
      </c>
      <c r="B33438" s="5" t="s">
        <v>33446</v>
      </c>
      <c r="C33438" s="5">
        <v>0</v>
      </c>
      <c r="D33438" s="5">
        <v>0</v>
      </c>
      <c r="E33438" s="5">
        <v>0</v>
      </c>
      <c r="F33438" s="5">
        <v>0</v>
      </c>
      <c r="G33438" s="5">
        <v>0</v>
      </c>
      <c r="H33438" s="5">
        <v>0</v>
      </c>
      <c r="I33438" s="5">
        <v>0</v>
      </c>
      <c r="J33438" s="5">
        <v>0</v>
      </c>
      <c r="K33438" s="5">
        <v>0</v>
      </c>
    </row>
    <row r="33439" spans="1:11" x14ac:dyDescent="0.25">
      <c r="A33439" s="5">
        <f>33432</f>
      </c>
      <c r="B33439" s="5" t="s">
        <v>33447</v>
      </c>
      <c r="C33439" s="5">
        <v>0</v>
      </c>
      <c r="D33439" s="5">
        <v>0</v>
      </c>
      <c r="E33439" s="5">
        <v>0</v>
      </c>
      <c r="F33439" s="5">
        <v>0</v>
      </c>
      <c r="G33439" s="5">
        <v>0</v>
      </c>
      <c r="H33439" s="5">
        <v>0</v>
      </c>
      <c r="I33439" s="5">
        <v>0</v>
      </c>
      <c r="J33439" s="5">
        <v>0</v>
      </c>
      <c r="K33439" s="5">
        <v>0</v>
      </c>
    </row>
    <row r="33440" spans="1:11" x14ac:dyDescent="0.25">
      <c r="A33440" s="5">
        <f>33433</f>
      </c>
      <c r="B33440" s="5" t="s">
        <v>33448</v>
      </c>
      <c r="C33440" s="5">
        <v>0</v>
      </c>
      <c r="D33440" s="5">
        <v>0</v>
      </c>
      <c r="E33440" s="5">
        <v>0</v>
      </c>
      <c r="F33440" s="5">
        <v>0</v>
      </c>
      <c r="G33440" s="5">
        <v>0</v>
      </c>
      <c r="H33440" s="5">
        <v>0</v>
      </c>
      <c r="I33440" s="5">
        <v>0</v>
      </c>
      <c r="J33440" s="5">
        <v>0</v>
      </c>
      <c r="K33440" s="5">
        <v>0</v>
      </c>
    </row>
    <row r="33441" spans="1:11" x14ac:dyDescent="0.25">
      <c r="A33441" s="5">
        <f>33434</f>
      </c>
      <c r="B33441" s="5" t="s">
        <v>33449</v>
      </c>
      <c r="C33441" s="5">
        <v>0</v>
      </c>
      <c r="D33441" s="5">
        <v>0</v>
      </c>
      <c r="E33441" s="5">
        <v>0</v>
      </c>
      <c r="F33441" s="5">
        <v>0</v>
      </c>
      <c r="G33441" s="5">
        <v>0</v>
      </c>
      <c r="H33441" s="5">
        <v>0</v>
      </c>
      <c r="I33441" s="5">
        <v>0</v>
      </c>
      <c r="J33441" s="5">
        <v>0</v>
      </c>
      <c r="K33441" s="5">
        <v>0</v>
      </c>
    </row>
    <row r="33442" spans="1:11" x14ac:dyDescent="0.25">
      <c r="A33442" s="5">
        <f>33435</f>
      </c>
      <c r="B33442" s="5" t="s">
        <v>33450</v>
      </c>
      <c r="C33442" s="5">
        <v>0</v>
      </c>
      <c r="D33442" s="5">
        <v>0</v>
      </c>
      <c r="E33442" s="5">
        <v>0</v>
      </c>
      <c r="F33442" s="5">
        <v>0</v>
      </c>
      <c r="G33442" s="5">
        <v>0</v>
      </c>
      <c r="H33442" s="5">
        <v>0</v>
      </c>
      <c r="I33442" s="5">
        <v>0</v>
      </c>
      <c r="J33442" s="5">
        <v>0</v>
      </c>
      <c r="K33442" s="5">
        <v>0</v>
      </c>
    </row>
    <row r="33443" spans="1:11" x14ac:dyDescent="0.25">
      <c r="A33443" s="5">
        <f>33436</f>
      </c>
      <c r="B33443" s="5" t="s">
        <v>33451</v>
      </c>
      <c r="C33443" s="5">
        <v>0</v>
      </c>
      <c r="D33443" s="5">
        <v>0</v>
      </c>
      <c r="E33443" s="5">
        <v>0</v>
      </c>
      <c r="F33443" s="5">
        <v>0</v>
      </c>
      <c r="G33443" s="5">
        <v>0</v>
      </c>
      <c r="H33443" s="5">
        <v>0</v>
      </c>
      <c r="I33443" s="5">
        <v>0</v>
      </c>
      <c r="J33443" s="5">
        <v>0</v>
      </c>
      <c r="K33443" s="5">
        <v>0</v>
      </c>
    </row>
    <row r="33444" spans="1:11" x14ac:dyDescent="0.25">
      <c r="A33444" s="5">
        <f>33437</f>
      </c>
      <c r="B33444" s="5" t="s">
        <v>33452</v>
      </c>
      <c r="C33444" s="5">
        <v>0</v>
      </c>
      <c r="D33444" s="5">
        <v>0</v>
      </c>
      <c r="E33444" s="5">
        <v>0</v>
      </c>
      <c r="F33444" s="5">
        <v>0</v>
      </c>
      <c r="G33444" s="5">
        <v>0</v>
      </c>
      <c r="H33444" s="5">
        <v>0</v>
      </c>
      <c r="I33444" s="5">
        <v>0</v>
      </c>
      <c r="J33444" s="5">
        <v>0</v>
      </c>
      <c r="K33444" s="5">
        <v>0</v>
      </c>
    </row>
    <row r="33445" spans="1:11" x14ac:dyDescent="0.25">
      <c r="A33445" s="5">
        <f>33438</f>
      </c>
      <c r="B33445" s="5" t="s">
        <v>33453</v>
      </c>
      <c r="C33445" s="5">
        <v>0</v>
      </c>
      <c r="D33445" s="5">
        <v>0</v>
      </c>
      <c r="E33445" s="5">
        <v>0</v>
      </c>
      <c r="F33445" s="5">
        <v>0</v>
      </c>
      <c r="G33445" s="5">
        <v>0</v>
      </c>
      <c r="H33445" s="5">
        <v>0</v>
      </c>
      <c r="I33445" s="5">
        <v>0</v>
      </c>
      <c r="J33445" s="5">
        <v>0</v>
      </c>
      <c r="K33445" s="5">
        <v>0</v>
      </c>
    </row>
    <row r="33446" spans="1:11" x14ac:dyDescent="0.25">
      <c r="A33446" s="5">
        <f>33439</f>
      </c>
      <c r="B33446" s="5" t="s">
        <v>33454</v>
      </c>
      <c r="C33446" s="5">
        <v>0</v>
      </c>
      <c r="D33446" s="5">
        <v>0</v>
      </c>
      <c r="E33446" s="5">
        <v>0</v>
      </c>
      <c r="F33446" s="5">
        <v>0</v>
      </c>
      <c r="G33446" s="5">
        <v>0</v>
      </c>
      <c r="H33446" s="5">
        <v>0</v>
      </c>
      <c r="I33446" s="5">
        <v>0</v>
      </c>
      <c r="J33446" s="5">
        <v>0</v>
      </c>
      <c r="K33446" s="5">
        <v>0</v>
      </c>
    </row>
    <row r="33447" spans="1:11" x14ac:dyDescent="0.25">
      <c r="A33447" s="5">
        <f>33440</f>
      </c>
      <c r="B33447" s="5" t="s">
        <v>33455</v>
      </c>
      <c r="C33447" s="5">
        <v>0</v>
      </c>
      <c r="D33447" s="5">
        <v>0</v>
      </c>
      <c r="E33447" s="5">
        <v>0</v>
      </c>
      <c r="F33447" s="5">
        <v>0</v>
      </c>
      <c r="G33447" s="5">
        <v>0</v>
      </c>
      <c r="H33447" s="5">
        <v>0</v>
      </c>
      <c r="I33447" s="5">
        <v>0</v>
      </c>
      <c r="J33447" s="5">
        <v>0</v>
      </c>
      <c r="K33447" s="5">
        <v>0</v>
      </c>
    </row>
    <row r="33448" spans="1:11" x14ac:dyDescent="0.25">
      <c r="A33448" s="5">
        <f>33441</f>
      </c>
      <c r="B33448" s="5" t="s">
        <v>33456</v>
      </c>
      <c r="C33448" s="5">
        <v>0</v>
      </c>
      <c r="D33448" s="5">
        <v>0</v>
      </c>
      <c r="E33448" s="5">
        <v>0</v>
      </c>
      <c r="F33448" s="5">
        <v>0</v>
      </c>
      <c r="G33448" s="5">
        <v>0</v>
      </c>
      <c r="H33448" s="5">
        <v>0</v>
      </c>
      <c r="I33448" s="5">
        <v>0</v>
      </c>
      <c r="J33448" s="5">
        <v>0</v>
      </c>
      <c r="K33448" s="5">
        <v>0</v>
      </c>
    </row>
    <row r="33449" spans="1:11" x14ac:dyDescent="0.25">
      <c r="A33449" s="5">
        <f>33442</f>
      </c>
      <c r="B33449" s="5" t="s">
        <v>33457</v>
      </c>
      <c r="C33449" s="5">
        <v>0</v>
      </c>
      <c r="D33449" s="5">
        <v>0</v>
      </c>
      <c r="E33449" s="5">
        <v>0</v>
      </c>
      <c r="F33449" s="5">
        <v>0</v>
      </c>
      <c r="G33449" s="5">
        <v>0</v>
      </c>
      <c r="H33449" s="5">
        <v>0</v>
      </c>
      <c r="I33449" s="5">
        <v>0</v>
      </c>
      <c r="J33449" s="5">
        <v>0</v>
      </c>
      <c r="K33449" s="5">
        <v>0</v>
      </c>
    </row>
    <row r="33450" spans="1:11" x14ac:dyDescent="0.25">
      <c r="A33450" s="5">
        <f>33443</f>
      </c>
      <c r="B33450" s="5" t="s">
        <v>33458</v>
      </c>
      <c r="C33450" s="5">
        <v>0</v>
      </c>
      <c r="D33450" s="5">
        <v>0</v>
      </c>
      <c r="E33450" s="5">
        <v>0</v>
      </c>
      <c r="F33450" s="5">
        <v>0</v>
      </c>
      <c r="G33450" s="5">
        <v>0</v>
      </c>
      <c r="H33450" s="5">
        <v>0</v>
      </c>
      <c r="I33450" s="5">
        <v>0</v>
      </c>
      <c r="J33450" s="5">
        <v>0</v>
      </c>
      <c r="K33450" s="5">
        <v>0</v>
      </c>
    </row>
    <row r="33451" spans="1:11" x14ac:dyDescent="0.25">
      <c r="A33451" s="5">
        <f>33444</f>
      </c>
      <c r="B33451" s="5" t="s">
        <v>33459</v>
      </c>
      <c r="C33451" s="5">
        <v>0</v>
      </c>
      <c r="D33451" s="5">
        <v>0</v>
      </c>
      <c r="E33451" s="5">
        <v>0</v>
      </c>
      <c r="F33451" s="5">
        <v>0</v>
      </c>
      <c r="G33451" s="5">
        <v>0</v>
      </c>
      <c r="H33451" s="5">
        <v>0</v>
      </c>
      <c r="I33451" s="5">
        <v>0</v>
      </c>
      <c r="J33451" s="5">
        <v>0</v>
      </c>
      <c r="K33451" s="5">
        <v>0</v>
      </c>
    </row>
    <row r="33452" spans="1:11" x14ac:dyDescent="0.25">
      <c r="A33452" s="5">
        <f>33445</f>
      </c>
      <c r="B33452" s="5" t="s">
        <v>33460</v>
      </c>
      <c r="C33452" s="5">
        <v>0</v>
      </c>
      <c r="D33452" s="5">
        <v>0</v>
      </c>
      <c r="E33452" s="5">
        <v>0</v>
      </c>
      <c r="F33452" s="5">
        <v>0</v>
      </c>
      <c r="G33452" s="5">
        <v>0</v>
      </c>
      <c r="H33452" s="5">
        <v>0</v>
      </c>
      <c r="I33452" s="5">
        <v>0</v>
      </c>
      <c r="J33452" s="5">
        <v>0</v>
      </c>
      <c r="K33452" s="5">
        <v>0</v>
      </c>
    </row>
    <row r="33453" spans="1:11" x14ac:dyDescent="0.25">
      <c r="A33453" s="5">
        <f>33446</f>
      </c>
      <c r="B33453" s="5" t="s">
        <v>33461</v>
      </c>
      <c r="C33453" s="5">
        <v>0</v>
      </c>
      <c r="D33453" s="5">
        <v>0</v>
      </c>
      <c r="E33453" s="5">
        <v>0</v>
      </c>
      <c r="F33453" s="5">
        <v>0</v>
      </c>
      <c r="G33453" s="5">
        <v>0</v>
      </c>
      <c r="H33453" s="5">
        <v>0</v>
      </c>
      <c r="I33453" s="5">
        <v>0</v>
      </c>
      <c r="J33453" s="5">
        <v>0</v>
      </c>
      <c r="K33453" s="5">
        <v>0</v>
      </c>
    </row>
    <row r="33454" spans="1:11" x14ac:dyDescent="0.25">
      <c r="A33454" s="5">
        <f>33447</f>
      </c>
      <c r="B33454" s="5" t="s">
        <v>33462</v>
      </c>
      <c r="C33454" s="5">
        <v>0</v>
      </c>
      <c r="D33454" s="5">
        <v>0</v>
      </c>
      <c r="E33454" s="5">
        <v>0</v>
      </c>
      <c r="F33454" s="5">
        <v>0</v>
      </c>
      <c r="G33454" s="5">
        <v>0</v>
      </c>
      <c r="H33454" s="5">
        <v>0</v>
      </c>
      <c r="I33454" s="5">
        <v>0</v>
      </c>
      <c r="J33454" s="5">
        <v>0</v>
      </c>
      <c r="K33454" s="5">
        <v>0</v>
      </c>
    </row>
    <row r="33455" spans="1:11" x14ac:dyDescent="0.25">
      <c r="A33455" s="5">
        <f>33448</f>
      </c>
      <c r="B33455" s="5" t="s">
        <v>33463</v>
      </c>
      <c r="C33455" s="5">
        <v>0</v>
      </c>
      <c r="D33455" s="5">
        <v>0</v>
      </c>
      <c r="E33455" s="5">
        <v>0</v>
      </c>
      <c r="F33455" s="5">
        <v>0</v>
      </c>
      <c r="G33455" s="5">
        <v>0</v>
      </c>
      <c r="H33455" s="5">
        <v>0</v>
      </c>
      <c r="I33455" s="5">
        <v>0</v>
      </c>
      <c r="J33455" s="5">
        <v>0</v>
      </c>
      <c r="K33455" s="5">
        <v>0</v>
      </c>
    </row>
    <row r="33456" spans="1:11" x14ac:dyDescent="0.25">
      <c r="A33456" s="5">
        <f>33449</f>
      </c>
      <c r="B33456" s="5" t="s">
        <v>33464</v>
      </c>
      <c r="C33456" s="5">
        <v>0</v>
      </c>
      <c r="D33456" s="5">
        <v>0</v>
      </c>
      <c r="E33456" s="5">
        <v>0</v>
      </c>
      <c r="F33456" s="5">
        <v>0</v>
      </c>
      <c r="G33456" s="5">
        <v>0</v>
      </c>
      <c r="H33456" s="5">
        <v>0</v>
      </c>
      <c r="I33456" s="5">
        <v>0</v>
      </c>
      <c r="J33456" s="5">
        <v>0</v>
      </c>
      <c r="K33456" s="5">
        <v>0</v>
      </c>
    </row>
    <row r="33457" spans="1:11" x14ac:dyDescent="0.25">
      <c r="A33457" s="5">
        <f>33450</f>
      </c>
      <c r="B33457" s="5" t="s">
        <v>33465</v>
      </c>
      <c r="C33457" s="5">
        <v>0</v>
      </c>
      <c r="D33457" s="5">
        <v>0</v>
      </c>
      <c r="E33457" s="5">
        <v>0</v>
      </c>
      <c r="F33457" s="5">
        <v>0</v>
      </c>
      <c r="G33457" s="5">
        <v>0</v>
      </c>
      <c r="H33457" s="5">
        <v>0</v>
      </c>
      <c r="I33457" s="5">
        <v>0</v>
      </c>
      <c r="J33457" s="5">
        <v>0</v>
      </c>
      <c r="K33457" s="5">
        <v>0</v>
      </c>
    </row>
    <row r="33458" spans="1:11" x14ac:dyDescent="0.25">
      <c r="A33458" s="5">
        <f>33451</f>
      </c>
      <c r="B33458" s="5" t="s">
        <v>33466</v>
      </c>
      <c r="C33458" s="5">
        <v>0</v>
      </c>
      <c r="D33458" s="5">
        <v>0</v>
      </c>
      <c r="E33458" s="5">
        <v>0</v>
      </c>
      <c r="F33458" s="5">
        <v>0</v>
      </c>
      <c r="G33458" s="5">
        <v>0</v>
      </c>
      <c r="H33458" s="5">
        <v>0</v>
      </c>
      <c r="I33458" s="5">
        <v>0</v>
      </c>
      <c r="J33458" s="5">
        <v>0</v>
      </c>
      <c r="K33458" s="5">
        <v>0</v>
      </c>
    </row>
    <row r="33459" spans="1:11" x14ac:dyDescent="0.25">
      <c r="A33459" s="5">
        <f>33452</f>
      </c>
      <c r="B33459" s="5" t="s">
        <v>33467</v>
      </c>
      <c r="C33459" s="5">
        <v>0</v>
      </c>
      <c r="D33459" s="5">
        <v>0</v>
      </c>
      <c r="E33459" s="5">
        <v>0</v>
      </c>
      <c r="F33459" s="5">
        <v>0</v>
      </c>
      <c r="G33459" s="5">
        <v>0</v>
      </c>
      <c r="H33459" s="5">
        <v>0</v>
      </c>
      <c r="I33459" s="5">
        <v>0</v>
      </c>
      <c r="J33459" s="5">
        <v>0</v>
      </c>
      <c r="K33459" s="5">
        <v>0</v>
      </c>
    </row>
    <row r="33460" spans="1:11" x14ac:dyDescent="0.25">
      <c r="A33460" s="5">
        <f>33453</f>
      </c>
      <c r="B33460" s="5" t="s">
        <v>33468</v>
      </c>
      <c r="C33460" s="5">
        <v>0</v>
      </c>
      <c r="D33460" s="5">
        <v>0</v>
      </c>
      <c r="E33460" s="5">
        <v>0</v>
      </c>
      <c r="F33460" s="5">
        <v>0</v>
      </c>
      <c r="G33460" s="5">
        <v>0</v>
      </c>
      <c r="H33460" s="5">
        <v>0</v>
      </c>
      <c r="I33460" s="5">
        <v>0</v>
      </c>
      <c r="J33460" s="5">
        <v>0</v>
      </c>
      <c r="K33460" s="5">
        <v>0</v>
      </c>
    </row>
    <row r="33461" spans="1:11" x14ac:dyDescent="0.25">
      <c r="A33461" s="5">
        <f>33454</f>
      </c>
      <c r="B33461" s="5" t="s">
        <v>33469</v>
      </c>
      <c r="C33461" s="5">
        <v>0</v>
      </c>
      <c r="D33461" s="5">
        <v>0</v>
      </c>
      <c r="E33461" s="5">
        <v>0</v>
      </c>
      <c r="F33461" s="5">
        <v>0</v>
      </c>
      <c r="G33461" s="5">
        <v>0</v>
      </c>
      <c r="H33461" s="5">
        <v>0</v>
      </c>
      <c r="I33461" s="5">
        <v>0</v>
      </c>
      <c r="J33461" s="5">
        <v>0</v>
      </c>
      <c r="K33461" s="5">
        <v>0</v>
      </c>
    </row>
    <row r="33462" spans="1:11" x14ac:dyDescent="0.25">
      <c r="A33462" s="5">
        <f>33455</f>
      </c>
      <c r="B33462" s="5" t="s">
        <v>33470</v>
      </c>
      <c r="C33462" s="5">
        <v>0</v>
      </c>
      <c r="D33462" s="5">
        <v>0</v>
      </c>
      <c r="E33462" s="5">
        <v>0</v>
      </c>
      <c r="F33462" s="5">
        <v>0</v>
      </c>
      <c r="G33462" s="5">
        <v>0</v>
      </c>
      <c r="H33462" s="5">
        <v>0</v>
      </c>
      <c r="I33462" s="5">
        <v>0</v>
      </c>
      <c r="J33462" s="5">
        <v>0</v>
      </c>
      <c r="K33462" s="5">
        <v>0</v>
      </c>
    </row>
    <row r="33463" spans="1:11" x14ac:dyDescent="0.25">
      <c r="A33463" s="5">
        <f>33456</f>
      </c>
      <c r="B33463" s="5" t="s">
        <v>33471</v>
      </c>
      <c r="C33463" s="5">
        <v>0</v>
      </c>
      <c r="D33463" s="5">
        <v>0</v>
      </c>
      <c r="E33463" s="5">
        <v>0</v>
      </c>
      <c r="F33463" s="5">
        <v>0</v>
      </c>
      <c r="G33463" s="5">
        <v>0</v>
      </c>
      <c r="H33463" s="5">
        <v>0</v>
      </c>
      <c r="I33463" s="5">
        <v>0</v>
      </c>
      <c r="J33463" s="5">
        <v>0</v>
      </c>
      <c r="K33463" s="5">
        <v>0</v>
      </c>
    </row>
    <row r="33464" spans="1:11" x14ac:dyDescent="0.25">
      <c r="A33464" s="5">
        <f>33457</f>
      </c>
      <c r="B33464" s="5" t="s">
        <v>33472</v>
      </c>
      <c r="C33464" s="5">
        <v>0</v>
      </c>
      <c r="D33464" s="5">
        <v>0</v>
      </c>
      <c r="E33464" s="5">
        <v>0</v>
      </c>
      <c r="F33464" s="5">
        <v>0</v>
      </c>
      <c r="G33464" s="5">
        <v>0</v>
      </c>
      <c r="H33464" s="5">
        <v>0</v>
      </c>
      <c r="I33464" s="5">
        <v>0</v>
      </c>
      <c r="J33464" s="5">
        <v>0</v>
      </c>
      <c r="K33464" s="5">
        <v>0</v>
      </c>
    </row>
    <row r="33465" spans="1:11" x14ac:dyDescent="0.25">
      <c r="A33465" s="5">
        <f>33458</f>
      </c>
      <c r="B33465" s="5" t="s">
        <v>33473</v>
      </c>
      <c r="C33465" s="5">
        <v>0</v>
      </c>
      <c r="D33465" s="5">
        <v>0</v>
      </c>
      <c r="E33465" s="5">
        <v>0</v>
      </c>
      <c r="F33465" s="5">
        <v>0</v>
      </c>
      <c r="G33465" s="5">
        <v>0</v>
      </c>
      <c r="H33465" s="5">
        <v>0</v>
      </c>
      <c r="I33465" s="5">
        <v>0</v>
      </c>
      <c r="J33465" s="5">
        <v>0</v>
      </c>
      <c r="K33465" s="5">
        <v>0</v>
      </c>
    </row>
    <row r="33466" spans="1:11" x14ac:dyDescent="0.25">
      <c r="A33466" s="5">
        <f>33459</f>
      </c>
      <c r="B33466" s="5" t="s">
        <v>33474</v>
      </c>
      <c r="C33466" s="5">
        <v>0</v>
      </c>
      <c r="D33466" s="5">
        <v>0</v>
      </c>
      <c r="E33466" s="5">
        <v>0</v>
      </c>
      <c r="F33466" s="5">
        <v>0</v>
      </c>
      <c r="G33466" s="5">
        <v>0</v>
      </c>
      <c r="H33466" s="5">
        <v>0</v>
      </c>
      <c r="I33466" s="5">
        <v>0</v>
      </c>
      <c r="J33466" s="5">
        <v>0</v>
      </c>
      <c r="K33466" s="5">
        <v>0</v>
      </c>
    </row>
    <row r="33467" spans="1:11" x14ac:dyDescent="0.25">
      <c r="A33467" s="5">
        <f>33460</f>
      </c>
      <c r="B33467" s="5" t="s">
        <v>33475</v>
      </c>
      <c r="C33467" s="5">
        <v>0</v>
      </c>
      <c r="D33467" s="5">
        <v>0</v>
      </c>
      <c r="E33467" s="5">
        <v>0</v>
      </c>
      <c r="F33467" s="5">
        <v>0</v>
      </c>
      <c r="G33467" s="5">
        <v>0</v>
      </c>
      <c r="H33467" s="5">
        <v>0</v>
      </c>
      <c r="I33467" s="5">
        <v>0</v>
      </c>
      <c r="J33467" s="5">
        <v>0</v>
      </c>
      <c r="K33467" s="5">
        <v>0</v>
      </c>
    </row>
    <row r="33468" spans="1:11" x14ac:dyDescent="0.25">
      <c r="A33468" s="5">
        <f>33461</f>
      </c>
      <c r="B33468" s="5" t="s">
        <v>33476</v>
      </c>
      <c r="C33468" s="5">
        <v>0</v>
      </c>
      <c r="D33468" s="5">
        <v>0</v>
      </c>
      <c r="E33468" s="5">
        <v>0</v>
      </c>
      <c r="F33468" s="5">
        <v>0</v>
      </c>
      <c r="G33468" s="5">
        <v>0</v>
      </c>
      <c r="H33468" s="5">
        <v>0</v>
      </c>
      <c r="I33468" s="5">
        <v>0</v>
      </c>
      <c r="J33468" s="5">
        <v>0</v>
      </c>
      <c r="K33468" s="5">
        <v>0</v>
      </c>
    </row>
    <row r="33469" spans="1:11" x14ac:dyDescent="0.25">
      <c r="A33469" s="5">
        <f>33462</f>
      </c>
      <c r="B33469" s="5" t="s">
        <v>33477</v>
      </c>
      <c r="C33469" s="5">
        <v>0</v>
      </c>
      <c r="D33469" s="5">
        <v>0</v>
      </c>
      <c r="E33469" s="5">
        <v>0</v>
      </c>
      <c r="F33469" s="5">
        <v>0</v>
      </c>
      <c r="G33469" s="5">
        <v>0</v>
      </c>
      <c r="H33469" s="5">
        <v>0</v>
      </c>
      <c r="I33469" s="5">
        <v>0</v>
      </c>
      <c r="J33469" s="5">
        <v>0</v>
      </c>
      <c r="K33469" s="5">
        <v>0</v>
      </c>
    </row>
    <row r="33470" spans="1:11" x14ac:dyDescent="0.25">
      <c r="A33470" s="5">
        <f>33463</f>
      </c>
      <c r="B33470" s="5" t="s">
        <v>33478</v>
      </c>
      <c r="C33470" s="5">
        <v>0</v>
      </c>
      <c r="D33470" s="5">
        <v>0</v>
      </c>
      <c r="E33470" s="5">
        <v>0</v>
      </c>
      <c r="F33470" s="5">
        <v>0</v>
      </c>
      <c r="G33470" s="5">
        <v>0</v>
      </c>
      <c r="H33470" s="5">
        <v>0</v>
      </c>
      <c r="I33470" s="5">
        <v>0</v>
      </c>
      <c r="J33470" s="5">
        <v>0</v>
      </c>
      <c r="K33470" s="5">
        <v>0</v>
      </c>
    </row>
    <row r="33471" spans="1:11" x14ac:dyDescent="0.25">
      <c r="A33471" s="5">
        <f>33464</f>
      </c>
      <c r="B33471" s="5" t="s">
        <v>33479</v>
      </c>
      <c r="C33471" s="5">
        <v>0</v>
      </c>
      <c r="D33471" s="5">
        <v>0</v>
      </c>
      <c r="E33471" s="5">
        <v>0</v>
      </c>
      <c r="F33471" s="5">
        <v>0</v>
      </c>
      <c r="G33471" s="5">
        <v>0</v>
      </c>
      <c r="H33471" s="5">
        <v>0</v>
      </c>
      <c r="I33471" s="5">
        <v>0</v>
      </c>
      <c r="J33471" s="5">
        <v>0</v>
      </c>
      <c r="K33471" s="5">
        <v>0</v>
      </c>
    </row>
    <row r="33472" spans="1:11" x14ac:dyDescent="0.25">
      <c r="A33472" s="5">
        <f>33465</f>
      </c>
      <c r="B33472" s="5" t="s">
        <v>33480</v>
      </c>
      <c r="C33472" s="5">
        <v>0</v>
      </c>
      <c r="D33472" s="5">
        <v>0</v>
      </c>
      <c r="E33472" s="5">
        <v>0</v>
      </c>
      <c r="F33472" s="5">
        <v>0</v>
      </c>
      <c r="G33472" s="5">
        <v>0</v>
      </c>
      <c r="H33472" s="5">
        <v>0</v>
      </c>
      <c r="I33472" s="5">
        <v>0</v>
      </c>
      <c r="J33472" s="5">
        <v>0</v>
      </c>
      <c r="K33472" s="5">
        <v>0</v>
      </c>
    </row>
    <row r="33473" spans="1:11" x14ac:dyDescent="0.25">
      <c r="A33473" s="5">
        <f>33466</f>
      </c>
      <c r="B33473" s="5" t="s">
        <v>33481</v>
      </c>
      <c r="C33473" s="5">
        <v>0</v>
      </c>
      <c r="D33473" s="5">
        <v>0</v>
      </c>
      <c r="E33473" s="5">
        <v>0</v>
      </c>
      <c r="F33473" s="5">
        <v>0</v>
      </c>
      <c r="G33473" s="5">
        <v>0</v>
      </c>
      <c r="H33473" s="5">
        <v>0</v>
      </c>
      <c r="I33473" s="5">
        <v>0</v>
      </c>
      <c r="J33473" s="5">
        <v>0</v>
      </c>
      <c r="K33473" s="5">
        <v>0</v>
      </c>
    </row>
    <row r="33474" spans="1:11" x14ac:dyDescent="0.25">
      <c r="A33474" s="5">
        <f>33467</f>
      </c>
      <c r="B33474" s="5" t="s">
        <v>33482</v>
      </c>
      <c r="C33474" s="5">
        <v>0</v>
      </c>
      <c r="D33474" s="5">
        <v>0</v>
      </c>
      <c r="E33474" s="5">
        <v>0</v>
      </c>
      <c r="F33474" s="5">
        <v>0</v>
      </c>
      <c r="G33474" s="5">
        <v>0</v>
      </c>
      <c r="H33474" s="5">
        <v>0</v>
      </c>
      <c r="I33474" s="5">
        <v>0</v>
      </c>
      <c r="J33474" s="5">
        <v>0</v>
      </c>
      <c r="K33474" s="5">
        <v>0</v>
      </c>
    </row>
    <row r="33475" spans="1:11" x14ac:dyDescent="0.25">
      <c r="A33475" s="5">
        <f>33468</f>
      </c>
      <c r="B33475" s="5" t="s">
        <v>33483</v>
      </c>
      <c r="C33475" s="5">
        <v>0</v>
      </c>
      <c r="D33475" s="5">
        <v>0</v>
      </c>
      <c r="E33475" s="5">
        <v>0</v>
      </c>
      <c r="F33475" s="5">
        <v>0</v>
      </c>
      <c r="G33475" s="5">
        <v>0</v>
      </c>
      <c r="H33475" s="5">
        <v>0</v>
      </c>
      <c r="I33475" s="5">
        <v>0</v>
      </c>
      <c r="J33475" s="5">
        <v>0</v>
      </c>
      <c r="K33475" s="5">
        <v>0</v>
      </c>
    </row>
    <row r="33476" spans="1:11" x14ac:dyDescent="0.25">
      <c r="A33476" s="5">
        <f>33469</f>
      </c>
      <c r="B33476" s="5" t="s">
        <v>33484</v>
      </c>
      <c r="C33476" s="5">
        <v>0</v>
      </c>
      <c r="D33476" s="5">
        <v>0</v>
      </c>
      <c r="E33476" s="5">
        <v>0</v>
      </c>
      <c r="F33476" s="5">
        <v>0</v>
      </c>
      <c r="G33476" s="5">
        <v>0</v>
      </c>
      <c r="H33476" s="5">
        <v>0</v>
      </c>
      <c r="I33476" s="5">
        <v>0</v>
      </c>
      <c r="J33476" s="5">
        <v>0</v>
      </c>
      <c r="K33476" s="5">
        <v>0</v>
      </c>
    </row>
    <row r="33477" spans="1:11" x14ac:dyDescent="0.25">
      <c r="A33477" s="5">
        <f>33470</f>
      </c>
      <c r="B33477" s="5" t="s">
        <v>33485</v>
      </c>
      <c r="C33477" s="5">
        <v>0</v>
      </c>
      <c r="D33477" s="5">
        <v>0</v>
      </c>
      <c r="E33477" s="5">
        <v>0</v>
      </c>
      <c r="F33477" s="5">
        <v>0</v>
      </c>
      <c r="G33477" s="5">
        <v>0</v>
      </c>
      <c r="H33477" s="5">
        <v>0</v>
      </c>
      <c r="I33477" s="5">
        <v>0</v>
      </c>
      <c r="J33477" s="5">
        <v>0</v>
      </c>
      <c r="K33477" s="5">
        <v>0</v>
      </c>
    </row>
    <row r="33478" spans="1:11" x14ac:dyDescent="0.25">
      <c r="A33478" s="5">
        <f>33471</f>
      </c>
      <c r="B33478" s="5" t="s">
        <v>33486</v>
      </c>
      <c r="C33478" s="5">
        <v>0</v>
      </c>
      <c r="D33478" s="5">
        <v>0</v>
      </c>
      <c r="E33478" s="5">
        <v>0</v>
      </c>
      <c r="F33478" s="5">
        <v>0</v>
      </c>
      <c r="G33478" s="5">
        <v>0</v>
      </c>
      <c r="H33478" s="5">
        <v>0</v>
      </c>
      <c r="I33478" s="5">
        <v>0</v>
      </c>
      <c r="J33478" s="5">
        <v>0</v>
      </c>
      <c r="K33478" s="5">
        <v>0</v>
      </c>
    </row>
    <row r="33479" spans="1:11" x14ac:dyDescent="0.25">
      <c r="A33479" s="5">
        <f>33472</f>
      </c>
      <c r="B33479" s="5" t="s">
        <v>33487</v>
      </c>
      <c r="C33479" s="5">
        <v>0</v>
      </c>
      <c r="D33479" s="5">
        <v>0</v>
      </c>
      <c r="E33479" s="5">
        <v>0</v>
      </c>
      <c r="F33479" s="5">
        <v>0</v>
      </c>
      <c r="G33479" s="5">
        <v>0</v>
      </c>
      <c r="H33479" s="5">
        <v>0</v>
      </c>
      <c r="I33479" s="5">
        <v>0</v>
      </c>
      <c r="J33479" s="5">
        <v>0</v>
      </c>
      <c r="K33479" s="5">
        <v>0</v>
      </c>
    </row>
    <row r="33480" spans="1:11" x14ac:dyDescent="0.25">
      <c r="A33480" s="5">
        <f>33473</f>
      </c>
      <c r="B33480" s="5" t="s">
        <v>33488</v>
      </c>
      <c r="C33480" s="5">
        <v>0</v>
      </c>
      <c r="D33480" s="5">
        <v>0</v>
      </c>
      <c r="E33480" s="5">
        <v>0</v>
      </c>
      <c r="F33480" s="5">
        <v>0</v>
      </c>
      <c r="G33480" s="5">
        <v>0</v>
      </c>
      <c r="H33480" s="5">
        <v>0</v>
      </c>
      <c r="I33480" s="5">
        <v>0</v>
      </c>
      <c r="J33480" s="5">
        <v>0</v>
      </c>
      <c r="K33480" s="5">
        <v>0</v>
      </c>
    </row>
    <row r="33481" spans="1:11" x14ac:dyDescent="0.25">
      <c r="A33481" s="5">
        <f>33474</f>
      </c>
      <c r="B33481" s="5" t="s">
        <v>33489</v>
      </c>
      <c r="C33481" s="5">
        <v>0</v>
      </c>
      <c r="D33481" s="5">
        <v>0</v>
      </c>
      <c r="E33481" s="5">
        <v>0</v>
      </c>
      <c r="F33481" s="5">
        <v>0</v>
      </c>
      <c r="G33481" s="5">
        <v>0</v>
      </c>
      <c r="H33481" s="5">
        <v>0</v>
      </c>
      <c r="I33481" s="5">
        <v>0</v>
      </c>
      <c r="J33481" s="5">
        <v>0</v>
      </c>
      <c r="K33481" s="5">
        <v>0</v>
      </c>
    </row>
    <row r="33482" spans="1:11" x14ac:dyDescent="0.25">
      <c r="A33482" s="5">
        <f>33475</f>
      </c>
      <c r="B33482" s="5" t="s">
        <v>33490</v>
      </c>
      <c r="C33482" s="5">
        <v>0</v>
      </c>
      <c r="D33482" s="5">
        <v>0</v>
      </c>
      <c r="E33482" s="5">
        <v>0</v>
      </c>
      <c r="F33482" s="5">
        <v>0</v>
      </c>
      <c r="G33482" s="5">
        <v>0</v>
      </c>
      <c r="H33482" s="5">
        <v>0</v>
      </c>
      <c r="I33482" s="5">
        <v>0</v>
      </c>
      <c r="J33482" s="5">
        <v>0</v>
      </c>
      <c r="K33482" s="5">
        <v>0</v>
      </c>
    </row>
    <row r="33483" spans="1:11" x14ac:dyDescent="0.25">
      <c r="A33483" s="5">
        <f>33476</f>
      </c>
      <c r="B33483" s="5" t="s">
        <v>33491</v>
      </c>
      <c r="C33483" s="5">
        <v>0</v>
      </c>
      <c r="D33483" s="5">
        <v>0</v>
      </c>
      <c r="E33483" s="5">
        <v>0</v>
      </c>
      <c r="F33483" s="5">
        <v>0</v>
      </c>
      <c r="G33483" s="5">
        <v>0</v>
      </c>
      <c r="H33483" s="5">
        <v>0</v>
      </c>
      <c r="I33483" s="5">
        <v>0</v>
      </c>
      <c r="J33483" s="5">
        <v>0</v>
      </c>
      <c r="K33483" s="5">
        <v>0</v>
      </c>
    </row>
    <row r="33484" spans="1:11" x14ac:dyDescent="0.25">
      <c r="A33484" s="5">
        <f>33477</f>
      </c>
      <c r="B33484" s="5" t="s">
        <v>33492</v>
      </c>
      <c r="C33484" s="5">
        <v>0</v>
      </c>
      <c r="D33484" s="5">
        <v>0</v>
      </c>
      <c r="E33484" s="5">
        <v>0</v>
      </c>
      <c r="F33484" s="5">
        <v>0</v>
      </c>
      <c r="G33484" s="5">
        <v>0</v>
      </c>
      <c r="H33484" s="5">
        <v>0</v>
      </c>
      <c r="I33484" s="5">
        <v>0</v>
      </c>
      <c r="J33484" s="5">
        <v>0</v>
      </c>
      <c r="K33484" s="5">
        <v>0</v>
      </c>
    </row>
    <row r="33485" spans="1:11" x14ac:dyDescent="0.25">
      <c r="A33485" s="5">
        <f>33478</f>
      </c>
      <c r="B33485" s="5" t="s">
        <v>33493</v>
      </c>
      <c r="C33485" s="5">
        <v>0</v>
      </c>
      <c r="D33485" s="5">
        <v>0</v>
      </c>
      <c r="E33485" s="5">
        <v>0</v>
      </c>
      <c r="F33485" s="5">
        <v>0</v>
      </c>
      <c r="G33485" s="5">
        <v>0</v>
      </c>
      <c r="H33485" s="5">
        <v>0</v>
      </c>
      <c r="I33485" s="5">
        <v>0</v>
      </c>
      <c r="J33485" s="5">
        <v>0</v>
      </c>
      <c r="K33485" s="5">
        <v>0</v>
      </c>
    </row>
    <row r="33486" spans="1:11" x14ac:dyDescent="0.25">
      <c r="A33486" s="5">
        <f>33479</f>
      </c>
      <c r="B33486" s="5" t="s">
        <v>33494</v>
      </c>
      <c r="C33486" s="5">
        <v>0</v>
      </c>
      <c r="D33486" s="5">
        <v>0</v>
      </c>
      <c r="E33486" s="5">
        <v>0</v>
      </c>
      <c r="F33486" s="5">
        <v>0</v>
      </c>
      <c r="G33486" s="5">
        <v>0</v>
      </c>
      <c r="H33486" s="5">
        <v>0</v>
      </c>
      <c r="I33486" s="5">
        <v>0</v>
      </c>
      <c r="J33486" s="5">
        <v>0</v>
      </c>
      <c r="K33486" s="5">
        <v>0</v>
      </c>
    </row>
    <row r="33487" spans="1:11" x14ac:dyDescent="0.25">
      <c r="A33487" s="5">
        <f>33480</f>
      </c>
      <c r="B33487" s="5" t="s">
        <v>33495</v>
      </c>
      <c r="C33487" s="5">
        <v>0</v>
      </c>
      <c r="D33487" s="5">
        <v>0</v>
      </c>
      <c r="E33487" s="5">
        <v>0</v>
      </c>
      <c r="F33487" s="5">
        <v>0</v>
      </c>
      <c r="G33487" s="5">
        <v>0</v>
      </c>
      <c r="H33487" s="5">
        <v>0</v>
      </c>
      <c r="I33487" s="5">
        <v>0</v>
      </c>
      <c r="J33487" s="5">
        <v>0</v>
      </c>
      <c r="K33487" s="5">
        <v>0</v>
      </c>
    </row>
    <row r="33488" spans="1:11" x14ac:dyDescent="0.25">
      <c r="A33488" s="5">
        <f>33481</f>
      </c>
      <c r="B33488" s="5" t="s">
        <v>33496</v>
      </c>
      <c r="C33488" s="5">
        <v>0</v>
      </c>
      <c r="D33488" s="5">
        <v>0</v>
      </c>
      <c r="E33488" s="5">
        <v>0</v>
      </c>
      <c r="F33488" s="5">
        <v>0</v>
      </c>
      <c r="G33488" s="5">
        <v>0</v>
      </c>
      <c r="H33488" s="5">
        <v>0</v>
      </c>
      <c r="I33488" s="5">
        <v>0</v>
      </c>
      <c r="J33488" s="5">
        <v>0</v>
      </c>
      <c r="K33488" s="5">
        <v>0</v>
      </c>
    </row>
    <row r="33489" spans="1:11" x14ac:dyDescent="0.25">
      <c r="A33489" s="5">
        <f>33482</f>
      </c>
      <c r="B33489" s="5" t="s">
        <v>33497</v>
      </c>
      <c r="C33489" s="5">
        <v>0</v>
      </c>
      <c r="D33489" s="5">
        <v>0</v>
      </c>
      <c r="E33489" s="5">
        <v>0</v>
      </c>
      <c r="F33489" s="5">
        <v>0</v>
      </c>
      <c r="G33489" s="5">
        <v>0</v>
      </c>
      <c r="H33489" s="5">
        <v>0</v>
      </c>
      <c r="I33489" s="5">
        <v>0</v>
      </c>
      <c r="J33489" s="5">
        <v>0</v>
      </c>
      <c r="K33489" s="5">
        <v>0</v>
      </c>
    </row>
    <row r="33490" spans="1:11" x14ac:dyDescent="0.25">
      <c r="A33490" s="5">
        <f>33483</f>
      </c>
      <c r="B33490" s="5" t="s">
        <v>33498</v>
      </c>
      <c r="C33490" s="5">
        <v>0</v>
      </c>
      <c r="D33490" s="5">
        <v>0</v>
      </c>
      <c r="E33490" s="5">
        <v>0</v>
      </c>
      <c r="F33490" s="5">
        <v>0</v>
      </c>
      <c r="G33490" s="5">
        <v>0</v>
      </c>
      <c r="H33490" s="5">
        <v>0</v>
      </c>
      <c r="I33490" s="5">
        <v>0</v>
      </c>
      <c r="J33490" s="5">
        <v>0</v>
      </c>
      <c r="K33490" s="5">
        <v>0</v>
      </c>
    </row>
    <row r="33491" spans="1:11" x14ac:dyDescent="0.25">
      <c r="A33491" s="5">
        <f>33484</f>
      </c>
      <c r="B33491" s="5" t="s">
        <v>33499</v>
      </c>
      <c r="C33491" s="5">
        <v>0</v>
      </c>
      <c r="D33491" s="5">
        <v>0</v>
      </c>
      <c r="E33491" s="5">
        <v>0</v>
      </c>
      <c r="F33491" s="5">
        <v>0</v>
      </c>
      <c r="G33491" s="5">
        <v>0</v>
      </c>
      <c r="H33491" s="5">
        <v>0</v>
      </c>
      <c r="I33491" s="5">
        <v>0</v>
      </c>
      <c r="J33491" s="5">
        <v>0</v>
      </c>
      <c r="K33491" s="5">
        <v>0</v>
      </c>
    </row>
    <row r="33492" spans="1:11" x14ac:dyDescent="0.25">
      <c r="A33492" s="5">
        <f>33485</f>
      </c>
      <c r="B33492" s="5" t="s">
        <v>33500</v>
      </c>
      <c r="C33492" s="5">
        <v>0</v>
      </c>
      <c r="D33492" s="5">
        <v>0</v>
      </c>
      <c r="E33492" s="5">
        <v>0</v>
      </c>
      <c r="F33492" s="5">
        <v>0</v>
      </c>
      <c r="G33492" s="5">
        <v>0</v>
      </c>
      <c r="H33492" s="5">
        <v>0</v>
      </c>
      <c r="I33492" s="5">
        <v>0</v>
      </c>
      <c r="J33492" s="5">
        <v>0</v>
      </c>
      <c r="K33492" s="5">
        <v>0</v>
      </c>
    </row>
    <row r="33493" spans="1:11" x14ac:dyDescent="0.25">
      <c r="A33493" s="5">
        <f>33486</f>
      </c>
      <c r="B33493" s="5" t="s">
        <v>33501</v>
      </c>
      <c r="C33493" s="5">
        <v>0</v>
      </c>
      <c r="D33493" s="5">
        <v>0</v>
      </c>
      <c r="E33493" s="5">
        <v>0</v>
      </c>
      <c r="F33493" s="5">
        <v>0</v>
      </c>
      <c r="G33493" s="5">
        <v>0</v>
      </c>
      <c r="H33493" s="5">
        <v>0</v>
      </c>
      <c r="I33493" s="5">
        <v>0</v>
      </c>
      <c r="J33493" s="5">
        <v>0</v>
      </c>
      <c r="K33493" s="5">
        <v>0</v>
      </c>
    </row>
    <row r="33494" spans="1:11" x14ac:dyDescent="0.25">
      <c r="A33494" s="5">
        <f>33487</f>
      </c>
      <c r="B33494" s="5" t="s">
        <v>33502</v>
      </c>
      <c r="C33494" s="5">
        <v>0</v>
      </c>
      <c r="D33494" s="5">
        <v>0</v>
      </c>
      <c r="E33494" s="5">
        <v>0</v>
      </c>
      <c r="F33494" s="5">
        <v>0</v>
      </c>
      <c r="G33494" s="5">
        <v>0</v>
      </c>
      <c r="H33494" s="5">
        <v>0</v>
      </c>
      <c r="I33494" s="5">
        <v>0</v>
      </c>
      <c r="J33494" s="5">
        <v>0</v>
      </c>
      <c r="K33494" s="5">
        <v>0</v>
      </c>
    </row>
    <row r="33495" spans="1:11" x14ac:dyDescent="0.25">
      <c r="A33495" s="5">
        <f>33488</f>
      </c>
      <c r="B33495" s="5" t="s">
        <v>33503</v>
      </c>
      <c r="C33495" s="5">
        <v>0</v>
      </c>
      <c r="D33495" s="5">
        <v>0</v>
      </c>
      <c r="E33495" s="5">
        <v>0</v>
      </c>
      <c r="F33495" s="5">
        <v>0</v>
      </c>
      <c r="G33495" s="5">
        <v>0</v>
      </c>
      <c r="H33495" s="5">
        <v>0</v>
      </c>
      <c r="I33495" s="5">
        <v>0</v>
      </c>
      <c r="J33495" s="5">
        <v>0</v>
      </c>
      <c r="K33495" s="5">
        <v>0</v>
      </c>
    </row>
    <row r="33496" spans="1:11" x14ac:dyDescent="0.25">
      <c r="A33496" s="5">
        <f>33489</f>
      </c>
      <c r="B33496" s="5" t="s">
        <v>33504</v>
      </c>
      <c r="C33496" s="5">
        <v>0</v>
      </c>
      <c r="D33496" s="5">
        <v>0</v>
      </c>
      <c r="E33496" s="5">
        <v>0</v>
      </c>
      <c r="F33496" s="5">
        <v>0</v>
      </c>
      <c r="G33496" s="5">
        <v>0</v>
      </c>
      <c r="H33496" s="5">
        <v>0</v>
      </c>
      <c r="I33496" s="5">
        <v>0</v>
      </c>
      <c r="J33496" s="5">
        <v>0</v>
      </c>
      <c r="K33496" s="5">
        <v>0</v>
      </c>
    </row>
    <row r="33497" spans="1:11" x14ac:dyDescent="0.25">
      <c r="A33497" s="5">
        <f>33490</f>
      </c>
      <c r="B33497" s="5" t="s">
        <v>33505</v>
      </c>
      <c r="C33497" s="5">
        <v>0</v>
      </c>
      <c r="D33497" s="5">
        <v>0</v>
      </c>
      <c r="E33497" s="5">
        <v>0</v>
      </c>
      <c r="F33497" s="5">
        <v>0</v>
      </c>
      <c r="G33497" s="5">
        <v>0</v>
      </c>
      <c r="H33497" s="5">
        <v>0</v>
      </c>
      <c r="I33497" s="5">
        <v>0</v>
      </c>
      <c r="J33497" s="5">
        <v>0</v>
      </c>
      <c r="K33497" s="5">
        <v>0</v>
      </c>
    </row>
    <row r="33498" spans="1:11" x14ac:dyDescent="0.25">
      <c r="A33498" s="5">
        <f>33491</f>
      </c>
      <c r="B33498" s="5" t="s">
        <v>33506</v>
      </c>
      <c r="C33498" s="5">
        <v>0</v>
      </c>
      <c r="D33498" s="5">
        <v>0</v>
      </c>
      <c r="E33498" s="5">
        <v>0</v>
      </c>
      <c r="F33498" s="5">
        <v>0</v>
      </c>
      <c r="G33498" s="5">
        <v>0</v>
      </c>
      <c r="H33498" s="5">
        <v>0</v>
      </c>
      <c r="I33498" s="5">
        <v>0</v>
      </c>
      <c r="J33498" s="5">
        <v>0</v>
      </c>
      <c r="K33498" s="5">
        <v>0</v>
      </c>
    </row>
    <row r="33499" spans="1:11" x14ac:dyDescent="0.25">
      <c r="A33499" s="5">
        <f>33492</f>
      </c>
      <c r="B33499" s="5" t="s">
        <v>33507</v>
      </c>
      <c r="C33499" s="5">
        <v>0</v>
      </c>
      <c r="D33499" s="5">
        <v>0</v>
      </c>
      <c r="E33499" s="5">
        <v>0</v>
      </c>
      <c r="F33499" s="5">
        <v>0</v>
      </c>
      <c r="G33499" s="5">
        <v>0</v>
      </c>
      <c r="H33499" s="5">
        <v>0</v>
      </c>
      <c r="I33499" s="5">
        <v>0</v>
      </c>
      <c r="J33499" s="5">
        <v>0</v>
      </c>
      <c r="K33499" s="5">
        <v>0</v>
      </c>
    </row>
    <row r="33500" spans="1:11" x14ac:dyDescent="0.25">
      <c r="A33500" s="5">
        <f>33493</f>
      </c>
      <c r="B33500" s="5" t="s">
        <v>33508</v>
      </c>
      <c r="C33500" s="5">
        <v>0</v>
      </c>
      <c r="D33500" s="5">
        <v>0</v>
      </c>
      <c r="E33500" s="5">
        <v>0</v>
      </c>
      <c r="F33500" s="5">
        <v>0</v>
      </c>
      <c r="G33500" s="5">
        <v>0</v>
      </c>
      <c r="H33500" s="5">
        <v>0</v>
      </c>
      <c r="I33500" s="5">
        <v>0</v>
      </c>
      <c r="J33500" s="5">
        <v>0</v>
      </c>
      <c r="K33500" s="5">
        <v>0</v>
      </c>
    </row>
    <row r="33501" spans="1:11" x14ac:dyDescent="0.25">
      <c r="A33501" s="5">
        <f>33494</f>
      </c>
      <c r="B33501" s="5" t="s">
        <v>33509</v>
      </c>
      <c r="C33501" s="5">
        <v>0</v>
      </c>
      <c r="D33501" s="5">
        <v>0</v>
      </c>
      <c r="E33501" s="5">
        <v>0</v>
      </c>
      <c r="F33501" s="5">
        <v>0</v>
      </c>
      <c r="G33501" s="5">
        <v>0</v>
      </c>
      <c r="H33501" s="5">
        <v>0</v>
      </c>
      <c r="I33501" s="5">
        <v>0</v>
      </c>
      <c r="J33501" s="5">
        <v>0</v>
      </c>
      <c r="K33501" s="5">
        <v>0</v>
      </c>
    </row>
    <row r="33502" spans="1:11" x14ac:dyDescent="0.25">
      <c r="A33502" s="5">
        <f>33495</f>
      </c>
      <c r="B33502" s="5" t="s">
        <v>33510</v>
      </c>
      <c r="C33502" s="5">
        <v>0</v>
      </c>
      <c r="D33502" s="5">
        <v>0</v>
      </c>
      <c r="E33502" s="5">
        <v>0</v>
      </c>
      <c r="F33502" s="5">
        <v>0</v>
      </c>
      <c r="G33502" s="5">
        <v>0</v>
      </c>
      <c r="H33502" s="5">
        <v>0</v>
      </c>
      <c r="I33502" s="5">
        <v>0</v>
      </c>
      <c r="J33502" s="5">
        <v>0</v>
      </c>
      <c r="K33502" s="5">
        <v>0</v>
      </c>
    </row>
    <row r="33503" spans="1:11" x14ac:dyDescent="0.25">
      <c r="A33503" s="5">
        <f>33496</f>
      </c>
      <c r="B33503" s="5" t="s">
        <v>33511</v>
      </c>
      <c r="C33503" s="5">
        <v>0</v>
      </c>
      <c r="D33503" s="5">
        <v>0</v>
      </c>
      <c r="E33503" s="5">
        <v>0</v>
      </c>
      <c r="F33503" s="5">
        <v>0</v>
      </c>
      <c r="G33503" s="5">
        <v>0</v>
      </c>
      <c r="H33503" s="5">
        <v>0</v>
      </c>
      <c r="I33503" s="5">
        <v>0</v>
      </c>
      <c r="J33503" s="5">
        <v>0</v>
      </c>
      <c r="K33503" s="5">
        <v>0</v>
      </c>
    </row>
    <row r="33504" spans="1:11" x14ac:dyDescent="0.25">
      <c r="A33504" s="5">
        <f>33497</f>
      </c>
      <c r="B33504" s="5" t="s">
        <v>33512</v>
      </c>
      <c r="C33504" s="5">
        <v>0</v>
      </c>
      <c r="D33504" s="5">
        <v>0</v>
      </c>
      <c r="E33504" s="5">
        <v>0</v>
      </c>
      <c r="F33504" s="5">
        <v>0</v>
      </c>
      <c r="G33504" s="5">
        <v>0</v>
      </c>
      <c r="H33504" s="5">
        <v>0</v>
      </c>
      <c r="I33504" s="5">
        <v>0</v>
      </c>
      <c r="J33504" s="5">
        <v>0</v>
      </c>
      <c r="K33504" s="5">
        <v>0</v>
      </c>
    </row>
    <row r="33505" spans="1:11" x14ac:dyDescent="0.25">
      <c r="A33505" s="5">
        <f>33498</f>
      </c>
      <c r="B33505" s="5" t="s">
        <v>33513</v>
      </c>
      <c r="C33505" s="5">
        <v>0</v>
      </c>
      <c r="D33505" s="5">
        <v>0</v>
      </c>
      <c r="E33505" s="5">
        <v>0</v>
      </c>
      <c r="F33505" s="5">
        <v>0</v>
      </c>
      <c r="G33505" s="5">
        <v>0</v>
      </c>
      <c r="H33505" s="5">
        <v>0</v>
      </c>
      <c r="I33505" s="5">
        <v>0</v>
      </c>
      <c r="J33505" s="5">
        <v>0</v>
      </c>
      <c r="K33505" s="5">
        <v>0</v>
      </c>
    </row>
    <row r="33506" spans="1:11" x14ac:dyDescent="0.25">
      <c r="A33506" s="5">
        <f>33499</f>
      </c>
      <c r="B33506" s="5" t="s">
        <v>33514</v>
      </c>
      <c r="C33506" s="5">
        <v>0</v>
      </c>
      <c r="D33506" s="5">
        <v>0</v>
      </c>
      <c r="E33506" s="5">
        <v>0</v>
      </c>
      <c r="F33506" s="5">
        <v>0</v>
      </c>
      <c r="G33506" s="5">
        <v>0</v>
      </c>
      <c r="H33506" s="5">
        <v>0</v>
      </c>
      <c r="I33506" s="5">
        <v>0</v>
      </c>
      <c r="J33506" s="5">
        <v>0</v>
      </c>
      <c r="K33506" s="5">
        <v>0</v>
      </c>
    </row>
    <row r="33507" spans="1:11" x14ac:dyDescent="0.25">
      <c r="A33507" s="5">
        <f>33500</f>
      </c>
      <c r="B33507" s="5" t="s">
        <v>33515</v>
      </c>
      <c r="C33507" s="5">
        <v>0</v>
      </c>
      <c r="D33507" s="5">
        <v>0</v>
      </c>
      <c r="E33507" s="5">
        <v>0</v>
      </c>
      <c r="F33507" s="5">
        <v>0</v>
      </c>
      <c r="G33507" s="5">
        <v>0</v>
      </c>
      <c r="H33507" s="5">
        <v>0</v>
      </c>
      <c r="I33507" s="5">
        <v>0</v>
      </c>
      <c r="J33507" s="5">
        <v>0</v>
      </c>
      <c r="K33507" s="5">
        <v>0</v>
      </c>
    </row>
    <row r="33508" spans="1:11" x14ac:dyDescent="0.25">
      <c r="A33508" s="5">
        <f>33501</f>
      </c>
      <c r="B33508" s="5" t="s">
        <v>33516</v>
      </c>
      <c r="C33508" s="5">
        <v>0</v>
      </c>
      <c r="D33508" s="5">
        <v>0</v>
      </c>
      <c r="E33508" s="5">
        <v>0</v>
      </c>
      <c r="F33508" s="5">
        <v>0</v>
      </c>
      <c r="G33508" s="5">
        <v>0</v>
      </c>
      <c r="H33508" s="5">
        <v>0</v>
      </c>
      <c r="I33508" s="5">
        <v>0</v>
      </c>
      <c r="J33508" s="5">
        <v>0</v>
      </c>
      <c r="K33508" s="5">
        <v>0</v>
      </c>
    </row>
    <row r="33509" spans="1:11" x14ac:dyDescent="0.25">
      <c r="A33509" s="5">
        <f>33502</f>
      </c>
      <c r="B33509" s="5" t="s">
        <v>33517</v>
      </c>
      <c r="C33509" s="5">
        <v>0</v>
      </c>
      <c r="D33509" s="5">
        <v>0</v>
      </c>
      <c r="E33509" s="5">
        <v>0</v>
      </c>
      <c r="F33509" s="5">
        <v>0</v>
      </c>
      <c r="G33509" s="5">
        <v>0</v>
      </c>
      <c r="H33509" s="5">
        <v>0</v>
      </c>
      <c r="I33509" s="5">
        <v>0</v>
      </c>
      <c r="J33509" s="5">
        <v>0</v>
      </c>
      <c r="K33509" s="5">
        <v>0</v>
      </c>
    </row>
    <row r="33510" spans="1:11" x14ac:dyDescent="0.25">
      <c r="A33510" s="5">
        <f>33503</f>
      </c>
      <c r="B33510" s="5" t="s">
        <v>33518</v>
      </c>
      <c r="C33510" s="5">
        <v>0</v>
      </c>
      <c r="D33510" s="5">
        <v>0</v>
      </c>
      <c r="E33510" s="5">
        <v>0</v>
      </c>
      <c r="F33510" s="5">
        <v>0</v>
      </c>
      <c r="G33510" s="5">
        <v>0</v>
      </c>
      <c r="H33510" s="5">
        <v>0</v>
      </c>
      <c r="I33510" s="5">
        <v>0</v>
      </c>
      <c r="J33510" s="5">
        <v>0</v>
      </c>
      <c r="K33510" s="5">
        <v>0</v>
      </c>
    </row>
    <row r="33511" spans="1:11" x14ac:dyDescent="0.25">
      <c r="A33511" s="5">
        <f>33504</f>
      </c>
      <c r="B33511" s="5" t="s">
        <v>33519</v>
      </c>
      <c r="C33511" s="5">
        <v>0</v>
      </c>
      <c r="D33511" s="5">
        <v>0</v>
      </c>
      <c r="E33511" s="5">
        <v>0</v>
      </c>
      <c r="F33511" s="5">
        <v>0</v>
      </c>
      <c r="G33511" s="5">
        <v>0</v>
      </c>
      <c r="H33511" s="5">
        <v>0</v>
      </c>
      <c r="I33511" s="5">
        <v>0</v>
      </c>
      <c r="J33511" s="5">
        <v>0</v>
      </c>
      <c r="K33511" s="5">
        <v>0</v>
      </c>
    </row>
    <row r="33512" spans="1:11" x14ac:dyDescent="0.25">
      <c r="A33512" s="5">
        <f>33505</f>
      </c>
      <c r="B33512" s="5" t="s">
        <v>33520</v>
      </c>
      <c r="C33512" s="5">
        <v>0</v>
      </c>
      <c r="D33512" s="5">
        <v>0</v>
      </c>
      <c r="E33512" s="5">
        <v>0</v>
      </c>
      <c r="F33512" s="5">
        <v>0</v>
      </c>
      <c r="G33512" s="5">
        <v>0</v>
      </c>
      <c r="H33512" s="5">
        <v>0</v>
      </c>
      <c r="I33512" s="5">
        <v>0</v>
      </c>
      <c r="J33512" s="5">
        <v>0</v>
      </c>
      <c r="K33512" s="5">
        <v>0</v>
      </c>
    </row>
    <row r="33513" spans="1:11" x14ac:dyDescent="0.25">
      <c r="A33513" s="5">
        <f>33506</f>
      </c>
      <c r="B33513" s="5" t="s">
        <v>33521</v>
      </c>
      <c r="C33513" s="5">
        <v>0</v>
      </c>
      <c r="D33513" s="5">
        <v>0</v>
      </c>
      <c r="E33513" s="5">
        <v>0</v>
      </c>
      <c r="F33513" s="5">
        <v>0</v>
      </c>
      <c r="G33513" s="5">
        <v>0</v>
      </c>
      <c r="H33513" s="5">
        <v>0</v>
      </c>
      <c r="I33513" s="5">
        <v>0</v>
      </c>
      <c r="J33513" s="5">
        <v>0</v>
      </c>
      <c r="K33513" s="5">
        <v>0</v>
      </c>
    </row>
    <row r="33514" spans="1:11" x14ac:dyDescent="0.25">
      <c r="A33514" s="5">
        <f>33507</f>
      </c>
      <c r="B33514" s="5" t="s">
        <v>33522</v>
      </c>
      <c r="C33514" s="5">
        <v>0</v>
      </c>
      <c r="D33514" s="5">
        <v>0</v>
      </c>
      <c r="E33514" s="5">
        <v>0</v>
      </c>
      <c r="F33514" s="5">
        <v>0</v>
      </c>
      <c r="G33514" s="5">
        <v>0</v>
      </c>
      <c r="H33514" s="5">
        <v>0</v>
      </c>
      <c r="I33514" s="5">
        <v>0</v>
      </c>
      <c r="J33514" s="5">
        <v>0</v>
      </c>
      <c r="K33514" s="5">
        <v>0</v>
      </c>
    </row>
    <row r="33515" spans="1:11" x14ac:dyDescent="0.25">
      <c r="A33515" s="5">
        <f>33508</f>
      </c>
      <c r="B33515" s="5" t="s">
        <v>33523</v>
      </c>
      <c r="C33515" s="5">
        <v>0</v>
      </c>
      <c r="D33515" s="5">
        <v>0</v>
      </c>
      <c r="E33515" s="5">
        <v>0</v>
      </c>
      <c r="F33515" s="5">
        <v>0</v>
      </c>
      <c r="G33515" s="5">
        <v>0</v>
      </c>
      <c r="H33515" s="5">
        <v>0</v>
      </c>
      <c r="I33515" s="5">
        <v>0</v>
      </c>
      <c r="J33515" s="5">
        <v>0</v>
      </c>
      <c r="K33515" s="5">
        <v>0</v>
      </c>
    </row>
    <row r="33516" spans="1:11" x14ac:dyDescent="0.25">
      <c r="A33516" s="5">
        <f>33509</f>
      </c>
      <c r="B33516" s="5" t="s">
        <v>33524</v>
      </c>
      <c r="C33516" s="5">
        <v>0</v>
      </c>
      <c r="D33516" s="5">
        <v>0</v>
      </c>
      <c r="E33516" s="5">
        <v>0</v>
      </c>
      <c r="F33516" s="5">
        <v>0</v>
      </c>
      <c r="G33516" s="5">
        <v>0</v>
      </c>
      <c r="H33516" s="5">
        <v>0</v>
      </c>
      <c r="I33516" s="5">
        <v>0</v>
      </c>
      <c r="J33516" s="5">
        <v>0</v>
      </c>
      <c r="K33516" s="5">
        <v>0</v>
      </c>
    </row>
    <row r="33517" spans="1:11" x14ac:dyDescent="0.25">
      <c r="A33517" s="5">
        <f>33510</f>
      </c>
      <c r="B33517" s="5" t="s">
        <v>33525</v>
      </c>
      <c r="C33517" s="5">
        <v>0</v>
      </c>
      <c r="D33517" s="5">
        <v>0</v>
      </c>
      <c r="E33517" s="5">
        <v>0</v>
      </c>
      <c r="F33517" s="5">
        <v>0</v>
      </c>
      <c r="G33517" s="5">
        <v>0</v>
      </c>
      <c r="H33517" s="5">
        <v>0</v>
      </c>
      <c r="I33517" s="5">
        <v>0</v>
      </c>
      <c r="J33517" s="5">
        <v>0</v>
      </c>
      <c r="K33517" s="5">
        <v>0</v>
      </c>
    </row>
    <row r="33518" spans="1:11" x14ac:dyDescent="0.25">
      <c r="A33518" s="5">
        <f>33511</f>
      </c>
      <c r="B33518" s="5" t="s">
        <v>33526</v>
      </c>
      <c r="C33518" s="5">
        <v>0</v>
      </c>
      <c r="D33518" s="5">
        <v>0</v>
      </c>
      <c r="E33518" s="5">
        <v>0</v>
      </c>
      <c r="F33518" s="5">
        <v>0</v>
      </c>
      <c r="G33518" s="5">
        <v>0</v>
      </c>
      <c r="H33518" s="5">
        <v>0</v>
      </c>
      <c r="I33518" s="5">
        <v>0</v>
      </c>
      <c r="J33518" s="5">
        <v>0</v>
      </c>
      <c r="K33518" s="5">
        <v>0</v>
      </c>
    </row>
    <row r="33519" spans="1:11" x14ac:dyDescent="0.25">
      <c r="A33519" s="5">
        <f>33512</f>
      </c>
      <c r="B33519" s="5" t="s">
        <v>33527</v>
      </c>
      <c r="C33519" s="5">
        <v>0</v>
      </c>
      <c r="D33519" s="5">
        <v>0</v>
      </c>
      <c r="E33519" s="5">
        <v>0</v>
      </c>
      <c r="F33519" s="5">
        <v>0</v>
      </c>
      <c r="G33519" s="5">
        <v>0</v>
      </c>
      <c r="H33519" s="5">
        <v>0</v>
      </c>
      <c r="I33519" s="5">
        <v>0</v>
      </c>
      <c r="J33519" s="5">
        <v>0</v>
      </c>
      <c r="K33519" s="5">
        <v>0</v>
      </c>
    </row>
    <row r="33520" spans="1:11" x14ac:dyDescent="0.25">
      <c r="A33520" s="5">
        <f>33513</f>
      </c>
      <c r="B33520" s="5" t="s">
        <v>33528</v>
      </c>
      <c r="C33520" s="5">
        <v>0</v>
      </c>
      <c r="D33520" s="5">
        <v>0</v>
      </c>
      <c r="E33520" s="5">
        <v>0</v>
      </c>
      <c r="F33520" s="5">
        <v>0</v>
      </c>
      <c r="G33520" s="5">
        <v>0</v>
      </c>
      <c r="H33520" s="5">
        <v>0</v>
      </c>
      <c r="I33520" s="5">
        <v>0</v>
      </c>
      <c r="J33520" s="5">
        <v>0</v>
      </c>
      <c r="K33520" s="5">
        <v>0</v>
      </c>
    </row>
    <row r="33521" spans="1:11" x14ac:dyDescent="0.25">
      <c r="A33521" s="5">
        <f>33514</f>
      </c>
      <c r="B33521" s="5" t="s">
        <v>33529</v>
      </c>
      <c r="C33521" s="5">
        <v>0</v>
      </c>
      <c r="D33521" s="5">
        <v>0</v>
      </c>
      <c r="E33521" s="5">
        <v>0</v>
      </c>
      <c r="F33521" s="5">
        <v>0</v>
      </c>
      <c r="G33521" s="5">
        <v>0</v>
      </c>
      <c r="H33521" s="5">
        <v>0</v>
      </c>
      <c r="I33521" s="5">
        <v>0</v>
      </c>
      <c r="J33521" s="5">
        <v>0</v>
      </c>
      <c r="K33521" s="5">
        <v>0</v>
      </c>
    </row>
    <row r="33522" spans="1:11" x14ac:dyDescent="0.25">
      <c r="A33522" s="5">
        <f>33515</f>
      </c>
      <c r="B33522" s="5" t="s">
        <v>33530</v>
      </c>
      <c r="C33522" s="5">
        <v>0</v>
      </c>
      <c r="D33522" s="5">
        <v>0</v>
      </c>
      <c r="E33522" s="5">
        <v>0</v>
      </c>
      <c r="F33522" s="5">
        <v>0</v>
      </c>
      <c r="G33522" s="5">
        <v>0</v>
      </c>
      <c r="H33522" s="5">
        <v>0</v>
      </c>
      <c r="I33522" s="5">
        <v>0</v>
      </c>
      <c r="J33522" s="5">
        <v>0</v>
      </c>
      <c r="K33522" s="5">
        <v>0</v>
      </c>
    </row>
    <row r="33523" spans="1:11" x14ac:dyDescent="0.25">
      <c r="A33523" s="5">
        <f>33516</f>
      </c>
      <c r="B33523" s="5" t="s">
        <v>33531</v>
      </c>
      <c r="C33523" s="5">
        <v>0</v>
      </c>
      <c r="D33523" s="5">
        <v>0</v>
      </c>
      <c r="E33523" s="5">
        <v>0</v>
      </c>
      <c r="F33523" s="5">
        <v>0</v>
      </c>
      <c r="G33523" s="5">
        <v>0</v>
      </c>
      <c r="H33523" s="5">
        <v>0</v>
      </c>
      <c r="I33523" s="5">
        <v>0</v>
      </c>
      <c r="J33523" s="5">
        <v>0</v>
      </c>
      <c r="K33523" s="5">
        <v>0</v>
      </c>
    </row>
    <row r="33524" spans="1:11" x14ac:dyDescent="0.25">
      <c r="A33524" s="5">
        <f>33517</f>
      </c>
      <c r="B33524" s="5" t="s">
        <v>33532</v>
      </c>
      <c r="C33524" s="5">
        <v>0</v>
      </c>
      <c r="D33524" s="5">
        <v>0</v>
      </c>
      <c r="E33524" s="5">
        <v>0</v>
      </c>
      <c r="F33524" s="5">
        <v>0</v>
      </c>
      <c r="G33524" s="5">
        <v>0</v>
      </c>
      <c r="H33524" s="5">
        <v>0</v>
      </c>
      <c r="I33524" s="5">
        <v>0</v>
      </c>
      <c r="J33524" s="5">
        <v>0</v>
      </c>
      <c r="K33524" s="5">
        <v>0</v>
      </c>
    </row>
    <row r="33525" spans="1:11" x14ac:dyDescent="0.25">
      <c r="A33525" s="5">
        <f>33518</f>
      </c>
      <c r="B33525" s="5" t="s">
        <v>33533</v>
      </c>
      <c r="C33525" s="5">
        <v>0</v>
      </c>
      <c r="D33525" s="5">
        <v>0</v>
      </c>
      <c r="E33525" s="5">
        <v>0</v>
      </c>
      <c r="F33525" s="5">
        <v>0</v>
      </c>
      <c r="G33525" s="5">
        <v>0</v>
      </c>
      <c r="H33525" s="5">
        <v>0</v>
      </c>
      <c r="I33525" s="5">
        <v>0</v>
      </c>
      <c r="J33525" s="5">
        <v>0</v>
      </c>
      <c r="K33525" s="5">
        <v>0</v>
      </c>
    </row>
    <row r="33526" spans="1:11" x14ac:dyDescent="0.25">
      <c r="A33526" s="5">
        <f>33519</f>
      </c>
      <c r="B33526" s="5" t="s">
        <v>33534</v>
      </c>
      <c r="C33526" s="5">
        <v>0</v>
      </c>
      <c r="D33526" s="5">
        <v>0</v>
      </c>
      <c r="E33526" s="5">
        <v>0</v>
      </c>
      <c r="F33526" s="5">
        <v>0</v>
      </c>
      <c r="G33526" s="5">
        <v>0</v>
      </c>
      <c r="H33526" s="5">
        <v>0</v>
      </c>
      <c r="I33526" s="5">
        <v>0</v>
      </c>
      <c r="J33526" s="5">
        <v>0</v>
      </c>
      <c r="K33526" s="5">
        <v>0</v>
      </c>
    </row>
    <row r="33527" spans="1:11" x14ac:dyDescent="0.25">
      <c r="A33527" s="5">
        <f>33520</f>
      </c>
      <c r="B33527" s="5" t="s">
        <v>33535</v>
      </c>
      <c r="C33527" s="5">
        <v>0</v>
      </c>
      <c r="D33527" s="5">
        <v>0</v>
      </c>
      <c r="E33527" s="5">
        <v>0</v>
      </c>
      <c r="F33527" s="5">
        <v>0</v>
      </c>
      <c r="G33527" s="5">
        <v>0</v>
      </c>
      <c r="H33527" s="5">
        <v>0</v>
      </c>
      <c r="I33527" s="5">
        <v>0</v>
      </c>
      <c r="J33527" s="5">
        <v>0</v>
      </c>
      <c r="K33527" s="5">
        <v>0</v>
      </c>
    </row>
    <row r="33528" spans="1:11" x14ac:dyDescent="0.25">
      <c r="A33528" s="5">
        <f>33521</f>
      </c>
      <c r="B33528" s="5" t="s">
        <v>33536</v>
      </c>
      <c r="C33528" s="5">
        <v>0</v>
      </c>
      <c r="D33528" s="5">
        <v>0</v>
      </c>
      <c r="E33528" s="5">
        <v>0</v>
      </c>
      <c r="F33528" s="5">
        <v>0</v>
      </c>
      <c r="G33528" s="5">
        <v>0</v>
      </c>
      <c r="H33528" s="5">
        <v>0</v>
      </c>
      <c r="I33528" s="5">
        <v>0</v>
      </c>
      <c r="J33528" s="5">
        <v>0</v>
      </c>
      <c r="K33528" s="5">
        <v>0</v>
      </c>
    </row>
    <row r="33529" spans="1:11" x14ac:dyDescent="0.25">
      <c r="A33529" s="5">
        <f>33522</f>
      </c>
      <c r="B33529" s="5" t="s">
        <v>33537</v>
      </c>
      <c r="C33529" s="5">
        <v>0</v>
      </c>
      <c r="D33529" s="5">
        <v>0</v>
      </c>
      <c r="E33529" s="5">
        <v>0</v>
      </c>
      <c r="F33529" s="5">
        <v>0</v>
      </c>
      <c r="G33529" s="5">
        <v>0</v>
      </c>
      <c r="H33529" s="5">
        <v>0</v>
      </c>
      <c r="I33529" s="5">
        <v>0</v>
      </c>
      <c r="J33529" s="5">
        <v>0</v>
      </c>
      <c r="K33529" s="5">
        <v>0</v>
      </c>
    </row>
    <row r="33530" spans="1:11" x14ac:dyDescent="0.25">
      <c r="A33530" s="5">
        <f>33523</f>
      </c>
      <c r="B33530" s="5" t="s">
        <v>33538</v>
      </c>
      <c r="C33530" s="5">
        <v>0</v>
      </c>
      <c r="D33530" s="5">
        <v>0</v>
      </c>
      <c r="E33530" s="5">
        <v>0</v>
      </c>
      <c r="F33530" s="5">
        <v>0</v>
      </c>
      <c r="G33530" s="5">
        <v>0</v>
      </c>
      <c r="H33530" s="5">
        <v>0</v>
      </c>
      <c r="I33530" s="5">
        <v>0</v>
      </c>
      <c r="J33530" s="5">
        <v>0</v>
      </c>
      <c r="K33530" s="5">
        <v>0</v>
      </c>
    </row>
    <row r="33531" spans="1:11" x14ac:dyDescent="0.25">
      <c r="A33531" s="5">
        <f>33524</f>
      </c>
      <c r="B33531" s="5" t="s">
        <v>33539</v>
      </c>
      <c r="C33531" s="5">
        <v>0</v>
      </c>
      <c r="D33531" s="5">
        <v>0</v>
      </c>
      <c r="E33531" s="5">
        <v>0</v>
      </c>
      <c r="F33531" s="5">
        <v>0</v>
      </c>
      <c r="G33531" s="5">
        <v>0</v>
      </c>
      <c r="H33531" s="5">
        <v>0</v>
      </c>
      <c r="I33531" s="5">
        <v>0</v>
      </c>
      <c r="J33531" s="5">
        <v>0</v>
      </c>
      <c r="K33531" s="5">
        <v>0</v>
      </c>
    </row>
    <row r="33532" spans="1:11" x14ac:dyDescent="0.25">
      <c r="A33532" s="5">
        <f>33525</f>
      </c>
      <c r="B33532" s="5" t="s">
        <v>33540</v>
      </c>
      <c r="C33532" s="5">
        <v>0</v>
      </c>
      <c r="D33532" s="5">
        <v>0</v>
      </c>
      <c r="E33532" s="5">
        <v>0</v>
      </c>
      <c r="F33532" s="5">
        <v>0</v>
      </c>
      <c r="G33532" s="5">
        <v>0</v>
      </c>
      <c r="H33532" s="5">
        <v>0</v>
      </c>
      <c r="I33532" s="5">
        <v>0</v>
      </c>
      <c r="J33532" s="5">
        <v>0</v>
      </c>
      <c r="K33532" s="5">
        <v>0</v>
      </c>
    </row>
    <row r="33533" spans="1:11" x14ac:dyDescent="0.25">
      <c r="A33533" s="5">
        <f>33526</f>
      </c>
      <c r="B33533" s="5" t="s">
        <v>33541</v>
      </c>
      <c r="C33533" s="5">
        <v>0</v>
      </c>
      <c r="D33533" s="5">
        <v>0</v>
      </c>
      <c r="E33533" s="5">
        <v>0</v>
      </c>
      <c r="F33533" s="5">
        <v>0</v>
      </c>
      <c r="G33533" s="5">
        <v>0</v>
      </c>
      <c r="H33533" s="5">
        <v>0</v>
      </c>
      <c r="I33533" s="5">
        <v>0</v>
      </c>
      <c r="J33533" s="5">
        <v>0</v>
      </c>
      <c r="K33533" s="5">
        <v>0</v>
      </c>
    </row>
    <row r="33534" spans="1:11" x14ac:dyDescent="0.25">
      <c r="A33534" s="5">
        <f>33527</f>
      </c>
      <c r="B33534" s="5" t="s">
        <v>33542</v>
      </c>
      <c r="C33534" s="5">
        <v>0</v>
      </c>
      <c r="D33534" s="5">
        <v>0</v>
      </c>
      <c r="E33534" s="5">
        <v>0</v>
      </c>
      <c r="F33534" s="5">
        <v>0</v>
      </c>
      <c r="G33534" s="5">
        <v>0</v>
      </c>
      <c r="H33534" s="5">
        <v>0</v>
      </c>
      <c r="I33534" s="5">
        <v>0</v>
      </c>
      <c r="J33534" s="5">
        <v>0</v>
      </c>
      <c r="K33534" s="5">
        <v>0</v>
      </c>
    </row>
    <row r="33535" spans="1:11" x14ac:dyDescent="0.25">
      <c r="A33535" s="5">
        <f>33528</f>
      </c>
      <c r="B33535" s="5" t="s">
        <v>33543</v>
      </c>
      <c r="C33535" s="5">
        <v>0</v>
      </c>
      <c r="D33535" s="5">
        <v>0</v>
      </c>
      <c r="E33535" s="5">
        <v>0</v>
      </c>
      <c r="F33535" s="5">
        <v>0</v>
      </c>
      <c r="G33535" s="5">
        <v>0</v>
      </c>
      <c r="H33535" s="5">
        <v>0</v>
      </c>
      <c r="I33535" s="5">
        <v>0</v>
      </c>
      <c r="J33535" s="5">
        <v>0</v>
      </c>
      <c r="K33535" s="5">
        <v>0</v>
      </c>
    </row>
    <row r="33536" spans="1:11" x14ac:dyDescent="0.25">
      <c r="A33536" s="5">
        <f>33529</f>
      </c>
      <c r="B33536" s="5" t="s">
        <v>33544</v>
      </c>
      <c r="C33536" s="5">
        <v>0</v>
      </c>
      <c r="D33536" s="5">
        <v>0</v>
      </c>
      <c r="E33536" s="5">
        <v>0</v>
      </c>
      <c r="F33536" s="5">
        <v>0</v>
      </c>
      <c r="G33536" s="5">
        <v>0</v>
      </c>
      <c r="H33536" s="5">
        <v>0</v>
      </c>
      <c r="I33536" s="5">
        <v>0</v>
      </c>
      <c r="J33536" s="5">
        <v>0</v>
      </c>
      <c r="K33536" s="5">
        <v>0</v>
      </c>
    </row>
    <row r="33537" spans="1:11" x14ac:dyDescent="0.25">
      <c r="A33537" s="5">
        <f>33530</f>
      </c>
      <c r="B33537" s="5" t="s">
        <v>33545</v>
      </c>
      <c r="C33537" s="5">
        <v>0</v>
      </c>
      <c r="D33537" s="5">
        <v>0</v>
      </c>
      <c r="E33537" s="5">
        <v>0</v>
      </c>
      <c r="F33537" s="5">
        <v>0</v>
      </c>
      <c r="G33537" s="5">
        <v>0</v>
      </c>
      <c r="H33537" s="5">
        <v>0</v>
      </c>
      <c r="I33537" s="5">
        <v>0</v>
      </c>
      <c r="J33537" s="5">
        <v>0</v>
      </c>
      <c r="K33537" s="5">
        <v>0</v>
      </c>
    </row>
    <row r="33538" spans="1:11" x14ac:dyDescent="0.25">
      <c r="A33538" s="5">
        <f>33531</f>
      </c>
      <c r="B33538" s="5" t="s">
        <v>33546</v>
      </c>
      <c r="C33538" s="5">
        <v>0</v>
      </c>
      <c r="D33538" s="5">
        <v>0</v>
      </c>
      <c r="E33538" s="5">
        <v>0</v>
      </c>
      <c r="F33538" s="5">
        <v>0</v>
      </c>
      <c r="G33538" s="5">
        <v>0</v>
      </c>
      <c r="H33538" s="5">
        <v>0</v>
      </c>
      <c r="I33538" s="5">
        <v>0</v>
      </c>
      <c r="J33538" s="5">
        <v>0</v>
      </c>
      <c r="K33538" s="5">
        <v>0</v>
      </c>
    </row>
    <row r="33539" spans="1:11" x14ac:dyDescent="0.25">
      <c r="A33539" s="5">
        <f>33532</f>
      </c>
      <c r="B33539" s="5" t="s">
        <v>33547</v>
      </c>
      <c r="C33539" s="5">
        <v>0</v>
      </c>
      <c r="D33539" s="5">
        <v>0</v>
      </c>
      <c r="E33539" s="5">
        <v>0</v>
      </c>
      <c r="F33539" s="5">
        <v>0</v>
      </c>
      <c r="G33539" s="5">
        <v>0</v>
      </c>
      <c r="H33539" s="5">
        <v>0</v>
      </c>
      <c r="I33539" s="5">
        <v>0</v>
      </c>
      <c r="J33539" s="5">
        <v>0</v>
      </c>
      <c r="K33539" s="5">
        <v>0</v>
      </c>
    </row>
    <row r="33540" spans="1:11" x14ac:dyDescent="0.25">
      <c r="A33540" s="5">
        <f>33533</f>
      </c>
      <c r="B33540" s="5" t="s">
        <v>33548</v>
      </c>
      <c r="C33540" s="5">
        <v>0</v>
      </c>
      <c r="D33540" s="5">
        <v>0</v>
      </c>
      <c r="E33540" s="5">
        <v>0</v>
      </c>
      <c r="F33540" s="5">
        <v>0</v>
      </c>
      <c r="G33540" s="5">
        <v>0</v>
      </c>
      <c r="H33540" s="5">
        <v>0</v>
      </c>
      <c r="I33540" s="5">
        <v>0</v>
      </c>
      <c r="J33540" s="5">
        <v>0</v>
      </c>
      <c r="K33540" s="5">
        <v>0</v>
      </c>
    </row>
    <row r="33541" spans="1:11" x14ac:dyDescent="0.25">
      <c r="A33541" s="5">
        <f>33534</f>
      </c>
      <c r="B33541" s="5" t="s">
        <v>33549</v>
      </c>
      <c r="C33541" s="5">
        <v>0</v>
      </c>
      <c r="D33541" s="5">
        <v>0</v>
      </c>
      <c r="E33541" s="5">
        <v>0</v>
      </c>
      <c r="F33541" s="5">
        <v>0</v>
      </c>
      <c r="G33541" s="5">
        <v>0</v>
      </c>
      <c r="H33541" s="5">
        <v>0</v>
      </c>
      <c r="I33541" s="5">
        <v>0</v>
      </c>
      <c r="J33541" s="5">
        <v>0</v>
      </c>
      <c r="K33541" s="5">
        <v>0</v>
      </c>
    </row>
    <row r="33542" spans="1:11" x14ac:dyDescent="0.25">
      <c r="A33542" s="5">
        <f>33535</f>
      </c>
      <c r="B33542" s="5" t="s">
        <v>33550</v>
      </c>
      <c r="C33542" s="5">
        <v>0</v>
      </c>
      <c r="D33542" s="5">
        <v>0</v>
      </c>
      <c r="E33542" s="5">
        <v>0</v>
      </c>
      <c r="F33542" s="5">
        <v>0</v>
      </c>
      <c r="G33542" s="5">
        <v>0</v>
      </c>
      <c r="H33542" s="5">
        <v>0</v>
      </c>
      <c r="I33542" s="5">
        <v>0</v>
      </c>
      <c r="J33542" s="5">
        <v>0</v>
      </c>
      <c r="K33542" s="5">
        <v>0</v>
      </c>
    </row>
    <row r="33543" spans="1:11" x14ac:dyDescent="0.25">
      <c r="A33543" s="5">
        <f>33536</f>
      </c>
      <c r="B33543" s="5" t="s">
        <v>33551</v>
      </c>
      <c r="C33543" s="5">
        <v>0</v>
      </c>
      <c r="D33543" s="5">
        <v>0</v>
      </c>
      <c r="E33543" s="5">
        <v>0</v>
      </c>
      <c r="F33543" s="5">
        <v>0</v>
      </c>
      <c r="G33543" s="5">
        <v>0</v>
      </c>
      <c r="H33543" s="5">
        <v>0</v>
      </c>
      <c r="I33543" s="5">
        <v>0</v>
      </c>
      <c r="J33543" s="5">
        <v>0</v>
      </c>
      <c r="K33543" s="5">
        <v>0</v>
      </c>
    </row>
    <row r="33544" spans="1:11" x14ac:dyDescent="0.25">
      <c r="A33544" s="5">
        <f>33537</f>
      </c>
      <c r="B33544" s="5" t="s">
        <v>33552</v>
      </c>
      <c r="C33544" s="5">
        <v>0</v>
      </c>
      <c r="D33544" s="5">
        <v>0</v>
      </c>
      <c r="E33544" s="5">
        <v>0</v>
      </c>
      <c r="F33544" s="5">
        <v>0</v>
      </c>
      <c r="G33544" s="5">
        <v>0</v>
      </c>
      <c r="H33544" s="5">
        <v>0</v>
      </c>
      <c r="I33544" s="5">
        <v>0</v>
      </c>
      <c r="J33544" s="5">
        <v>0</v>
      </c>
      <c r="K33544" s="5">
        <v>0</v>
      </c>
    </row>
    <row r="33545" spans="1:11" x14ac:dyDescent="0.25">
      <c r="A33545" s="5">
        <f>33538</f>
      </c>
      <c r="B33545" s="5" t="s">
        <v>33553</v>
      </c>
      <c r="C33545" s="5">
        <v>0</v>
      </c>
      <c r="D33545" s="5">
        <v>0</v>
      </c>
      <c r="E33545" s="5">
        <v>0</v>
      </c>
      <c r="F33545" s="5">
        <v>0</v>
      </c>
      <c r="G33545" s="5">
        <v>0</v>
      </c>
      <c r="H33545" s="5">
        <v>0</v>
      </c>
      <c r="I33545" s="5">
        <v>0</v>
      </c>
      <c r="J33545" s="5">
        <v>0</v>
      </c>
      <c r="K33545" s="5">
        <v>0</v>
      </c>
    </row>
    <row r="33546" spans="1:11" x14ac:dyDescent="0.25">
      <c r="A33546" s="5">
        <f>33539</f>
      </c>
      <c r="B33546" s="5" t="s">
        <v>33554</v>
      </c>
      <c r="C33546" s="5">
        <v>0</v>
      </c>
      <c r="D33546" s="5">
        <v>0</v>
      </c>
      <c r="E33546" s="5">
        <v>0</v>
      </c>
      <c r="F33546" s="5">
        <v>0</v>
      </c>
      <c r="G33546" s="5">
        <v>0</v>
      </c>
      <c r="H33546" s="5">
        <v>0</v>
      </c>
      <c r="I33546" s="5">
        <v>0</v>
      </c>
      <c r="J33546" s="5">
        <v>0</v>
      </c>
      <c r="K33546" s="5">
        <v>0</v>
      </c>
    </row>
    <row r="33547" spans="1:11" x14ac:dyDescent="0.25">
      <c r="A33547" s="5">
        <f>33540</f>
      </c>
      <c r="B33547" s="5" t="s">
        <v>33555</v>
      </c>
      <c r="C33547" s="5">
        <v>0</v>
      </c>
      <c r="D33547" s="5">
        <v>0</v>
      </c>
      <c r="E33547" s="5">
        <v>0</v>
      </c>
      <c r="F33547" s="5">
        <v>0</v>
      </c>
      <c r="G33547" s="5">
        <v>0</v>
      </c>
      <c r="H33547" s="5">
        <v>0</v>
      </c>
      <c r="I33547" s="5">
        <v>0</v>
      </c>
      <c r="J33547" s="5">
        <v>0</v>
      </c>
      <c r="K33547" s="5">
        <v>0</v>
      </c>
    </row>
    <row r="33548" spans="1:11" x14ac:dyDescent="0.25">
      <c r="A33548" s="5">
        <f>33541</f>
      </c>
      <c r="B33548" s="5" t="s">
        <v>33556</v>
      </c>
      <c r="C33548" s="5">
        <v>0</v>
      </c>
      <c r="D33548" s="5">
        <v>0</v>
      </c>
      <c r="E33548" s="5">
        <v>0</v>
      </c>
      <c r="F33548" s="5">
        <v>0</v>
      </c>
      <c r="G33548" s="5">
        <v>0</v>
      </c>
      <c r="H33548" s="5">
        <v>0</v>
      </c>
      <c r="I33548" s="5">
        <v>0</v>
      </c>
      <c r="J33548" s="5">
        <v>0</v>
      </c>
      <c r="K33548" s="5">
        <v>0</v>
      </c>
    </row>
    <row r="33549" spans="1:11" x14ac:dyDescent="0.25">
      <c r="A33549" s="5">
        <f>33542</f>
      </c>
      <c r="B33549" s="5" t="s">
        <v>33557</v>
      </c>
      <c r="C33549" s="5">
        <v>0</v>
      </c>
      <c r="D33549" s="5">
        <v>0</v>
      </c>
      <c r="E33549" s="5">
        <v>0</v>
      </c>
      <c r="F33549" s="5">
        <v>0</v>
      </c>
      <c r="G33549" s="5">
        <v>0</v>
      </c>
      <c r="H33549" s="5">
        <v>0</v>
      </c>
      <c r="I33549" s="5">
        <v>0</v>
      </c>
      <c r="J33549" s="5">
        <v>0</v>
      </c>
      <c r="K33549" s="5">
        <v>0</v>
      </c>
    </row>
    <row r="33550" spans="1:11" x14ac:dyDescent="0.25">
      <c r="A33550" s="5">
        <f>33543</f>
      </c>
      <c r="B33550" s="5" t="s">
        <v>33558</v>
      </c>
      <c r="C33550" s="5">
        <v>0</v>
      </c>
      <c r="D33550" s="5">
        <v>0</v>
      </c>
      <c r="E33550" s="5">
        <v>0</v>
      </c>
      <c r="F33550" s="5">
        <v>0</v>
      </c>
      <c r="G33550" s="5">
        <v>0</v>
      </c>
      <c r="H33550" s="5">
        <v>0</v>
      </c>
      <c r="I33550" s="5">
        <v>0</v>
      </c>
      <c r="J33550" s="5">
        <v>0</v>
      </c>
      <c r="K33550" s="5">
        <v>0</v>
      </c>
    </row>
    <row r="33551" spans="1:11" x14ac:dyDescent="0.25">
      <c r="A33551" s="5">
        <f>33544</f>
      </c>
      <c r="B33551" s="5" t="s">
        <v>33559</v>
      </c>
      <c r="C33551" s="5">
        <v>0</v>
      </c>
      <c r="D33551" s="5">
        <v>0</v>
      </c>
      <c r="E33551" s="5">
        <v>0</v>
      </c>
      <c r="F33551" s="5">
        <v>0</v>
      </c>
      <c r="G33551" s="5">
        <v>0</v>
      </c>
      <c r="H33551" s="5">
        <v>0</v>
      </c>
      <c r="I33551" s="5">
        <v>0</v>
      </c>
      <c r="J33551" s="5">
        <v>0</v>
      </c>
      <c r="K33551" s="5">
        <v>0</v>
      </c>
    </row>
    <row r="33552" spans="1:11" x14ac:dyDescent="0.25">
      <c r="A33552" s="5">
        <f>33545</f>
      </c>
      <c r="B33552" s="5" t="s">
        <v>33560</v>
      </c>
      <c r="C33552" s="5">
        <v>0</v>
      </c>
      <c r="D33552" s="5">
        <v>0</v>
      </c>
      <c r="E33552" s="5">
        <v>0</v>
      </c>
      <c r="F33552" s="5">
        <v>0</v>
      </c>
      <c r="G33552" s="5">
        <v>0</v>
      </c>
      <c r="H33552" s="5">
        <v>0</v>
      </c>
      <c r="I33552" s="5">
        <v>0</v>
      </c>
      <c r="J33552" s="5">
        <v>0</v>
      </c>
      <c r="K33552" s="5">
        <v>0</v>
      </c>
    </row>
    <row r="33553" spans="1:11" x14ac:dyDescent="0.25">
      <c r="A33553" s="5">
        <f>33546</f>
      </c>
      <c r="B33553" s="5" t="s">
        <v>33561</v>
      </c>
      <c r="C33553" s="5">
        <v>0</v>
      </c>
      <c r="D33553" s="5">
        <v>0</v>
      </c>
      <c r="E33553" s="5">
        <v>0</v>
      </c>
      <c r="F33553" s="5">
        <v>0</v>
      </c>
      <c r="G33553" s="5">
        <v>0</v>
      </c>
      <c r="H33553" s="5">
        <v>0</v>
      </c>
      <c r="I33553" s="5">
        <v>0</v>
      </c>
      <c r="J33553" s="5">
        <v>0</v>
      </c>
      <c r="K33553" s="5">
        <v>0</v>
      </c>
    </row>
    <row r="33554" spans="1:11" x14ac:dyDescent="0.25">
      <c r="A33554" s="5">
        <f>33547</f>
      </c>
      <c r="B33554" s="5" t="s">
        <v>33562</v>
      </c>
      <c r="C33554" s="5">
        <v>0</v>
      </c>
      <c r="D33554" s="5">
        <v>0</v>
      </c>
      <c r="E33554" s="5">
        <v>0</v>
      </c>
      <c r="F33554" s="5">
        <v>0</v>
      </c>
      <c r="G33554" s="5">
        <v>0</v>
      </c>
      <c r="H33554" s="5">
        <v>0</v>
      </c>
      <c r="I33554" s="5">
        <v>0</v>
      </c>
      <c r="J33554" s="5">
        <v>0</v>
      </c>
      <c r="K33554" s="5">
        <v>0</v>
      </c>
    </row>
    <row r="33555" spans="1:11" x14ac:dyDescent="0.25">
      <c r="A33555" s="5">
        <f>33548</f>
      </c>
      <c r="B33555" s="5" t="s">
        <v>33563</v>
      </c>
      <c r="C33555" s="5">
        <v>0</v>
      </c>
      <c r="D33555" s="5">
        <v>0</v>
      </c>
      <c r="E33555" s="5">
        <v>0</v>
      </c>
      <c r="F33555" s="5">
        <v>0</v>
      </c>
      <c r="G33555" s="5">
        <v>0</v>
      </c>
      <c r="H33555" s="5">
        <v>0</v>
      </c>
      <c r="I33555" s="5">
        <v>0</v>
      </c>
      <c r="J33555" s="5">
        <v>0</v>
      </c>
      <c r="K33555" s="5">
        <v>0</v>
      </c>
    </row>
    <row r="33556" spans="1:11" x14ac:dyDescent="0.25">
      <c r="A33556" s="5">
        <f>33549</f>
      </c>
      <c r="B33556" s="5" t="s">
        <v>33564</v>
      </c>
      <c r="C33556" s="5">
        <v>0</v>
      </c>
      <c r="D33556" s="5">
        <v>0</v>
      </c>
      <c r="E33556" s="5">
        <v>0</v>
      </c>
      <c r="F33556" s="5">
        <v>0</v>
      </c>
      <c r="G33556" s="5">
        <v>0</v>
      </c>
      <c r="H33556" s="5">
        <v>0</v>
      </c>
      <c r="I33556" s="5">
        <v>0</v>
      </c>
      <c r="J33556" s="5">
        <v>0</v>
      </c>
      <c r="K33556" s="5">
        <v>0</v>
      </c>
    </row>
    <row r="33557" spans="1:11" x14ac:dyDescent="0.25">
      <c r="A33557" s="5">
        <f>33550</f>
      </c>
      <c r="B33557" s="5" t="s">
        <v>33565</v>
      </c>
      <c r="C33557" s="5">
        <v>0</v>
      </c>
      <c r="D33557" s="5">
        <v>0</v>
      </c>
      <c r="E33557" s="5">
        <v>0</v>
      </c>
      <c r="F33557" s="5">
        <v>0</v>
      </c>
      <c r="G33557" s="5">
        <v>0</v>
      </c>
      <c r="H33557" s="5">
        <v>0</v>
      </c>
      <c r="I33557" s="5">
        <v>0</v>
      </c>
      <c r="J33557" s="5">
        <v>0</v>
      </c>
      <c r="K33557" s="5">
        <v>0</v>
      </c>
    </row>
    <row r="33558" spans="1:11" x14ac:dyDescent="0.25">
      <c r="A33558" s="5">
        <f>33551</f>
      </c>
      <c r="B33558" s="5" t="s">
        <v>33566</v>
      </c>
      <c r="C33558" s="5">
        <v>0</v>
      </c>
      <c r="D33558" s="5">
        <v>0</v>
      </c>
      <c r="E33558" s="5">
        <v>0</v>
      </c>
      <c r="F33558" s="5">
        <v>0</v>
      </c>
      <c r="G33558" s="5">
        <v>0</v>
      </c>
      <c r="H33558" s="5">
        <v>0</v>
      </c>
      <c r="I33558" s="5">
        <v>0</v>
      </c>
      <c r="J33558" s="5">
        <v>0</v>
      </c>
      <c r="K33558" s="5">
        <v>0</v>
      </c>
    </row>
    <row r="33559" spans="1:11" x14ac:dyDescent="0.25">
      <c r="A33559" s="5">
        <f>33552</f>
      </c>
      <c r="B33559" s="5" t="s">
        <v>33567</v>
      </c>
      <c r="C33559" s="5">
        <v>0</v>
      </c>
      <c r="D33559" s="5">
        <v>0</v>
      </c>
      <c r="E33559" s="5">
        <v>0</v>
      </c>
      <c r="F33559" s="5">
        <v>0</v>
      </c>
      <c r="G33559" s="5">
        <v>0</v>
      </c>
      <c r="H33559" s="5">
        <v>0</v>
      </c>
      <c r="I33559" s="5">
        <v>0</v>
      </c>
      <c r="J33559" s="5">
        <v>0</v>
      </c>
      <c r="K33559" s="5">
        <v>0</v>
      </c>
    </row>
    <row r="33560" spans="1:11" x14ac:dyDescent="0.25">
      <c r="A33560" s="5">
        <f>33553</f>
      </c>
      <c r="B33560" s="5" t="s">
        <v>33568</v>
      </c>
      <c r="C33560" s="5">
        <v>0</v>
      </c>
      <c r="D33560" s="5">
        <v>0</v>
      </c>
      <c r="E33560" s="5">
        <v>0</v>
      </c>
      <c r="F33560" s="5">
        <v>0</v>
      </c>
      <c r="G33560" s="5">
        <v>0</v>
      </c>
      <c r="H33560" s="5">
        <v>0</v>
      </c>
      <c r="I33560" s="5">
        <v>0</v>
      </c>
      <c r="J33560" s="5">
        <v>0</v>
      </c>
      <c r="K33560" s="5">
        <v>0</v>
      </c>
    </row>
    <row r="33561" spans="1:11" x14ac:dyDescent="0.25">
      <c r="A33561" s="5">
        <f>33554</f>
      </c>
      <c r="B33561" s="5" t="s">
        <v>33569</v>
      </c>
      <c r="C33561" s="5">
        <v>0</v>
      </c>
      <c r="D33561" s="5">
        <v>0</v>
      </c>
      <c r="E33561" s="5">
        <v>0</v>
      </c>
      <c r="F33561" s="5">
        <v>0</v>
      </c>
      <c r="G33561" s="5">
        <v>0</v>
      </c>
      <c r="H33561" s="5">
        <v>0</v>
      </c>
      <c r="I33561" s="5">
        <v>0</v>
      </c>
      <c r="J33561" s="5">
        <v>0</v>
      </c>
      <c r="K33561" s="5">
        <v>0</v>
      </c>
    </row>
    <row r="33562" spans="1:11" x14ac:dyDescent="0.25">
      <c r="A33562" s="5">
        <f>33555</f>
      </c>
      <c r="B33562" s="5" t="s">
        <v>33570</v>
      </c>
      <c r="C33562" s="5">
        <v>0</v>
      </c>
      <c r="D33562" s="5">
        <v>0</v>
      </c>
      <c r="E33562" s="5">
        <v>0</v>
      </c>
      <c r="F33562" s="5">
        <v>0</v>
      </c>
      <c r="G33562" s="5">
        <v>0</v>
      </c>
      <c r="H33562" s="5">
        <v>0</v>
      </c>
      <c r="I33562" s="5">
        <v>0</v>
      </c>
      <c r="J33562" s="5">
        <v>0</v>
      </c>
      <c r="K33562" s="5">
        <v>0</v>
      </c>
    </row>
    <row r="33563" spans="1:11" x14ac:dyDescent="0.25">
      <c r="A33563" s="5">
        <f>33556</f>
      </c>
      <c r="B33563" s="5" t="s">
        <v>33571</v>
      </c>
      <c r="C33563" s="5">
        <v>0</v>
      </c>
      <c r="D33563" s="5">
        <v>0</v>
      </c>
      <c r="E33563" s="5">
        <v>0</v>
      </c>
      <c r="F33563" s="5">
        <v>0</v>
      </c>
      <c r="G33563" s="5">
        <v>0</v>
      </c>
      <c r="H33563" s="5">
        <v>0</v>
      </c>
      <c r="I33563" s="5">
        <v>0</v>
      </c>
      <c r="J33563" s="5">
        <v>0</v>
      </c>
      <c r="K33563" s="5">
        <v>0</v>
      </c>
    </row>
    <row r="33564" spans="1:11" x14ac:dyDescent="0.25">
      <c r="A33564" s="5">
        <f>33557</f>
      </c>
      <c r="B33564" s="5" t="s">
        <v>33572</v>
      </c>
      <c r="C33564" s="5">
        <v>0</v>
      </c>
      <c r="D33564" s="5">
        <v>0</v>
      </c>
      <c r="E33564" s="5">
        <v>0</v>
      </c>
      <c r="F33564" s="5">
        <v>0</v>
      </c>
      <c r="G33564" s="5">
        <v>0</v>
      </c>
      <c r="H33564" s="5">
        <v>0</v>
      </c>
      <c r="I33564" s="5">
        <v>0</v>
      </c>
      <c r="J33564" s="5">
        <v>0</v>
      </c>
      <c r="K33564" s="5">
        <v>0</v>
      </c>
    </row>
    <row r="33565" spans="1:11" x14ac:dyDescent="0.25">
      <c r="A33565" s="5">
        <f>33558</f>
      </c>
      <c r="B33565" s="5" t="s">
        <v>33573</v>
      </c>
      <c r="C33565" s="5">
        <v>0</v>
      </c>
      <c r="D33565" s="5">
        <v>0</v>
      </c>
      <c r="E33565" s="5">
        <v>0</v>
      </c>
      <c r="F33565" s="5">
        <v>0</v>
      </c>
      <c r="G33565" s="5">
        <v>0</v>
      </c>
      <c r="H33565" s="5">
        <v>0</v>
      </c>
      <c r="I33565" s="5">
        <v>0</v>
      </c>
      <c r="J33565" s="5">
        <v>0</v>
      </c>
      <c r="K33565" s="5">
        <v>0</v>
      </c>
    </row>
    <row r="33566" spans="1:11" x14ac:dyDescent="0.25">
      <c r="A33566" s="5">
        <f>33559</f>
      </c>
      <c r="B33566" s="5" t="s">
        <v>33574</v>
      </c>
      <c r="C33566" s="5">
        <v>0</v>
      </c>
      <c r="D33566" s="5">
        <v>0</v>
      </c>
      <c r="E33566" s="5">
        <v>0</v>
      </c>
      <c r="F33566" s="5">
        <v>0</v>
      </c>
      <c r="G33566" s="5">
        <v>0</v>
      </c>
      <c r="H33566" s="5">
        <v>0</v>
      </c>
      <c r="I33566" s="5">
        <v>0</v>
      </c>
      <c r="J33566" s="5">
        <v>0</v>
      </c>
      <c r="K33566" s="5">
        <v>0</v>
      </c>
    </row>
    <row r="33567" spans="1:11" x14ac:dyDescent="0.25">
      <c r="A33567" s="5">
        <f>33560</f>
      </c>
      <c r="B33567" s="5" t="s">
        <v>33575</v>
      </c>
      <c r="C33567" s="5">
        <v>0</v>
      </c>
      <c r="D33567" s="5">
        <v>0</v>
      </c>
      <c r="E33567" s="5">
        <v>0</v>
      </c>
      <c r="F33567" s="5">
        <v>0</v>
      </c>
      <c r="G33567" s="5">
        <v>0</v>
      </c>
      <c r="H33567" s="5">
        <v>0</v>
      </c>
      <c r="I33567" s="5">
        <v>0</v>
      </c>
      <c r="J33567" s="5">
        <v>0</v>
      </c>
      <c r="K33567" s="5">
        <v>0</v>
      </c>
    </row>
    <row r="33568" spans="1:11" x14ac:dyDescent="0.25">
      <c r="A33568" s="5">
        <f>33561</f>
      </c>
      <c r="B33568" s="5" t="s">
        <v>33576</v>
      </c>
      <c r="C33568" s="5">
        <v>0</v>
      </c>
      <c r="D33568" s="5">
        <v>0</v>
      </c>
      <c r="E33568" s="5">
        <v>0</v>
      </c>
      <c r="F33568" s="5">
        <v>0</v>
      </c>
      <c r="G33568" s="5">
        <v>0</v>
      </c>
      <c r="H33568" s="5">
        <v>0</v>
      </c>
      <c r="I33568" s="5">
        <v>0</v>
      </c>
      <c r="J33568" s="5">
        <v>0</v>
      </c>
      <c r="K33568" s="5">
        <v>0</v>
      </c>
    </row>
    <row r="33569" spans="1:11" x14ac:dyDescent="0.25">
      <c r="A33569" s="5">
        <f>33562</f>
      </c>
      <c r="B33569" s="5" t="s">
        <v>33577</v>
      </c>
      <c r="C33569" s="5">
        <v>0</v>
      </c>
      <c r="D33569" s="5">
        <v>0</v>
      </c>
      <c r="E33569" s="5">
        <v>0</v>
      </c>
      <c r="F33569" s="5">
        <v>0</v>
      </c>
      <c r="G33569" s="5">
        <v>0</v>
      </c>
      <c r="H33569" s="5">
        <v>0</v>
      </c>
      <c r="I33569" s="5">
        <v>0</v>
      </c>
      <c r="J33569" s="5">
        <v>0</v>
      </c>
      <c r="K33569" s="5">
        <v>0</v>
      </c>
    </row>
    <row r="33570" spans="1:11" x14ac:dyDescent="0.25">
      <c r="A33570" s="5">
        <f>33563</f>
      </c>
      <c r="B33570" s="5" t="s">
        <v>33578</v>
      </c>
      <c r="C33570" s="5">
        <v>0</v>
      </c>
      <c r="D33570" s="5">
        <v>0</v>
      </c>
      <c r="E33570" s="5">
        <v>0</v>
      </c>
      <c r="F33570" s="5">
        <v>0</v>
      </c>
      <c r="G33570" s="5">
        <v>0</v>
      </c>
      <c r="H33570" s="5">
        <v>0</v>
      </c>
      <c r="I33570" s="5">
        <v>0</v>
      </c>
      <c r="J33570" s="5">
        <v>0</v>
      </c>
      <c r="K33570" s="5">
        <v>0</v>
      </c>
    </row>
    <row r="33571" spans="1:11" x14ac:dyDescent="0.25">
      <c r="A33571" s="5">
        <f>33564</f>
      </c>
      <c r="B33571" s="5" t="s">
        <v>33579</v>
      </c>
      <c r="C33571" s="5">
        <v>0</v>
      </c>
      <c r="D33571" s="5">
        <v>0</v>
      </c>
      <c r="E33571" s="5">
        <v>0</v>
      </c>
      <c r="F33571" s="5">
        <v>0</v>
      </c>
      <c r="G33571" s="5">
        <v>0</v>
      </c>
      <c r="H33571" s="5">
        <v>0</v>
      </c>
      <c r="I33571" s="5">
        <v>0</v>
      </c>
      <c r="J33571" s="5">
        <v>0</v>
      </c>
      <c r="K33571" s="5">
        <v>0</v>
      </c>
    </row>
    <row r="33572" spans="1:11" x14ac:dyDescent="0.25">
      <c r="A33572" s="5">
        <f>33565</f>
      </c>
      <c r="B33572" s="5" t="s">
        <v>33580</v>
      </c>
      <c r="C33572" s="5">
        <v>0</v>
      </c>
      <c r="D33572" s="5">
        <v>0</v>
      </c>
      <c r="E33572" s="5">
        <v>0</v>
      </c>
      <c r="F33572" s="5">
        <v>0</v>
      </c>
      <c r="G33572" s="5">
        <v>0</v>
      </c>
      <c r="H33572" s="5">
        <v>0</v>
      </c>
      <c r="I33572" s="5">
        <v>0</v>
      </c>
      <c r="J33572" s="5">
        <v>0</v>
      </c>
      <c r="K33572" s="5">
        <v>0</v>
      </c>
    </row>
    <row r="33573" spans="1:11" x14ac:dyDescent="0.25">
      <c r="A33573" s="5">
        <f>33566</f>
      </c>
      <c r="B33573" s="5" t="s">
        <v>33581</v>
      </c>
      <c r="C33573" s="5">
        <v>0</v>
      </c>
      <c r="D33573" s="5">
        <v>0</v>
      </c>
      <c r="E33573" s="5">
        <v>0</v>
      </c>
      <c r="F33573" s="5">
        <v>0</v>
      </c>
      <c r="G33573" s="5">
        <v>0</v>
      </c>
      <c r="H33573" s="5">
        <v>0</v>
      </c>
      <c r="I33573" s="5">
        <v>0</v>
      </c>
      <c r="J33573" s="5">
        <v>0</v>
      </c>
      <c r="K33573" s="5">
        <v>0</v>
      </c>
    </row>
    <row r="33574" spans="1:11" x14ac:dyDescent="0.25">
      <c r="A33574" s="5">
        <f>33567</f>
      </c>
      <c r="B33574" s="5" t="s">
        <v>33582</v>
      </c>
      <c r="C33574" s="5">
        <v>0</v>
      </c>
      <c r="D33574" s="5">
        <v>0</v>
      </c>
      <c r="E33574" s="5">
        <v>0</v>
      </c>
      <c r="F33574" s="5">
        <v>0</v>
      </c>
      <c r="G33574" s="5">
        <v>0</v>
      </c>
      <c r="H33574" s="5">
        <v>0</v>
      </c>
      <c r="I33574" s="5">
        <v>0</v>
      </c>
      <c r="J33574" s="5">
        <v>0</v>
      </c>
      <c r="K33574" s="5">
        <v>0</v>
      </c>
    </row>
    <row r="33575" spans="1:11" x14ac:dyDescent="0.25">
      <c r="A33575" s="5">
        <f>33568</f>
      </c>
      <c r="B33575" s="5" t="s">
        <v>33583</v>
      </c>
      <c r="C33575" s="5">
        <v>0</v>
      </c>
      <c r="D33575" s="5">
        <v>0</v>
      </c>
      <c r="E33575" s="5">
        <v>0</v>
      </c>
      <c r="F33575" s="5">
        <v>0</v>
      </c>
      <c r="G33575" s="5">
        <v>0</v>
      </c>
      <c r="H33575" s="5">
        <v>0</v>
      </c>
      <c r="I33575" s="5">
        <v>0</v>
      </c>
      <c r="J33575" s="5">
        <v>0</v>
      </c>
      <c r="K33575" s="5">
        <v>0</v>
      </c>
    </row>
    <row r="33576" spans="1:11" x14ac:dyDescent="0.25">
      <c r="A33576" s="5">
        <f>33569</f>
      </c>
      <c r="B33576" s="5" t="s">
        <v>33584</v>
      </c>
      <c r="C33576" s="5">
        <v>0</v>
      </c>
      <c r="D33576" s="5">
        <v>0</v>
      </c>
      <c r="E33576" s="5">
        <v>0</v>
      </c>
      <c r="F33576" s="5">
        <v>0</v>
      </c>
      <c r="G33576" s="5">
        <v>0</v>
      </c>
      <c r="H33576" s="5">
        <v>0</v>
      </c>
      <c r="I33576" s="5">
        <v>0</v>
      </c>
      <c r="J33576" s="5">
        <v>0</v>
      </c>
      <c r="K33576" s="5">
        <v>0</v>
      </c>
    </row>
    <row r="33577" spans="1:11" x14ac:dyDescent="0.25">
      <c r="A33577" s="5">
        <f>33570</f>
      </c>
      <c r="B33577" s="5" t="s">
        <v>33585</v>
      </c>
      <c r="C33577" s="5">
        <v>0</v>
      </c>
      <c r="D33577" s="5">
        <v>0</v>
      </c>
      <c r="E33577" s="5">
        <v>0</v>
      </c>
      <c r="F33577" s="5">
        <v>0</v>
      </c>
      <c r="G33577" s="5">
        <v>0</v>
      </c>
      <c r="H33577" s="5">
        <v>0</v>
      </c>
      <c r="I33577" s="5">
        <v>0</v>
      </c>
      <c r="J33577" s="5">
        <v>0</v>
      </c>
      <c r="K33577" s="5">
        <v>0</v>
      </c>
    </row>
    <row r="33578" spans="1:11" x14ac:dyDescent="0.25">
      <c r="A33578" s="5">
        <f>33571</f>
      </c>
      <c r="B33578" s="5" t="s">
        <v>33586</v>
      </c>
      <c r="C33578" s="5">
        <v>0</v>
      </c>
      <c r="D33578" s="5">
        <v>0</v>
      </c>
      <c r="E33578" s="5">
        <v>0</v>
      </c>
      <c r="F33578" s="5">
        <v>0</v>
      </c>
      <c r="G33578" s="5">
        <v>0</v>
      </c>
      <c r="H33578" s="5">
        <v>0</v>
      </c>
      <c r="I33578" s="5">
        <v>0</v>
      </c>
      <c r="J33578" s="5">
        <v>0</v>
      </c>
      <c r="K33578" s="5">
        <v>0</v>
      </c>
    </row>
    <row r="33579" spans="1:11" x14ac:dyDescent="0.25">
      <c r="A33579" s="5">
        <f>33572</f>
      </c>
      <c r="B33579" s="5" t="s">
        <v>33587</v>
      </c>
      <c r="C33579" s="5">
        <v>0</v>
      </c>
      <c r="D33579" s="5">
        <v>0</v>
      </c>
      <c r="E33579" s="5">
        <v>0</v>
      </c>
      <c r="F33579" s="5">
        <v>0</v>
      </c>
      <c r="G33579" s="5">
        <v>0</v>
      </c>
      <c r="H33579" s="5">
        <v>0</v>
      </c>
      <c r="I33579" s="5">
        <v>0</v>
      </c>
      <c r="J33579" s="5">
        <v>0</v>
      </c>
      <c r="K33579" s="5">
        <v>0</v>
      </c>
    </row>
    <row r="33580" spans="1:11" x14ac:dyDescent="0.25">
      <c r="A33580" s="5">
        <f>33573</f>
      </c>
      <c r="B33580" s="5" t="s">
        <v>33588</v>
      </c>
      <c r="C33580" s="5">
        <v>0</v>
      </c>
      <c r="D33580" s="5">
        <v>0</v>
      </c>
      <c r="E33580" s="5">
        <v>0</v>
      </c>
      <c r="F33580" s="5">
        <v>0</v>
      </c>
      <c r="G33580" s="5">
        <v>0</v>
      </c>
      <c r="H33580" s="5">
        <v>0</v>
      </c>
      <c r="I33580" s="5">
        <v>0</v>
      </c>
      <c r="J33580" s="5">
        <v>0</v>
      </c>
      <c r="K33580" s="5">
        <v>0</v>
      </c>
    </row>
    <row r="33581" spans="1:11" x14ac:dyDescent="0.25">
      <c r="A33581" s="5">
        <f>33574</f>
      </c>
      <c r="B33581" s="5" t="s">
        <v>33589</v>
      </c>
      <c r="C33581" s="5">
        <v>0</v>
      </c>
      <c r="D33581" s="5">
        <v>0</v>
      </c>
      <c r="E33581" s="5">
        <v>0</v>
      </c>
      <c r="F33581" s="5">
        <v>0</v>
      </c>
      <c r="G33581" s="5">
        <v>0</v>
      </c>
      <c r="H33581" s="5">
        <v>0</v>
      </c>
      <c r="I33581" s="5">
        <v>0</v>
      </c>
      <c r="J33581" s="5">
        <v>0</v>
      </c>
      <c r="K33581" s="5">
        <v>0</v>
      </c>
    </row>
    <row r="33582" spans="1:11" x14ac:dyDescent="0.25">
      <c r="A33582" s="5">
        <f>33575</f>
      </c>
      <c r="B33582" s="5" t="s">
        <v>33590</v>
      </c>
      <c r="C33582" s="5">
        <v>0</v>
      </c>
      <c r="D33582" s="5">
        <v>0</v>
      </c>
      <c r="E33582" s="5">
        <v>0</v>
      </c>
      <c r="F33582" s="5">
        <v>0</v>
      </c>
      <c r="G33582" s="5">
        <v>0</v>
      </c>
      <c r="H33582" s="5">
        <v>0</v>
      </c>
      <c r="I33582" s="5">
        <v>0</v>
      </c>
      <c r="J33582" s="5">
        <v>0</v>
      </c>
      <c r="K33582" s="5">
        <v>0</v>
      </c>
    </row>
    <row r="33583" spans="1:11" x14ac:dyDescent="0.25">
      <c r="A33583" s="5">
        <f>33576</f>
      </c>
      <c r="B33583" s="5" t="s">
        <v>33591</v>
      </c>
      <c r="C33583" s="5">
        <v>0</v>
      </c>
      <c r="D33583" s="5">
        <v>0</v>
      </c>
      <c r="E33583" s="5">
        <v>0</v>
      </c>
      <c r="F33583" s="5">
        <v>0</v>
      </c>
      <c r="G33583" s="5">
        <v>0</v>
      </c>
      <c r="H33583" s="5">
        <v>0</v>
      </c>
      <c r="I33583" s="5">
        <v>0</v>
      </c>
      <c r="J33583" s="5">
        <v>0</v>
      </c>
      <c r="K33583" s="5">
        <v>0</v>
      </c>
    </row>
    <row r="33584" spans="1:11" x14ac:dyDescent="0.25">
      <c r="A33584" s="5">
        <f>33577</f>
      </c>
      <c r="B33584" s="5" t="s">
        <v>33592</v>
      </c>
      <c r="C33584" s="5">
        <v>0</v>
      </c>
      <c r="D33584" s="5">
        <v>0</v>
      </c>
      <c r="E33584" s="5">
        <v>0</v>
      </c>
      <c r="F33584" s="5">
        <v>0</v>
      </c>
      <c r="G33584" s="5">
        <v>0</v>
      </c>
      <c r="H33584" s="5">
        <v>0</v>
      </c>
      <c r="I33584" s="5">
        <v>0</v>
      </c>
      <c r="J33584" s="5">
        <v>0</v>
      </c>
      <c r="K33584" s="5">
        <v>0</v>
      </c>
    </row>
    <row r="33585" spans="1:11" x14ac:dyDescent="0.25">
      <c r="A33585" s="5">
        <f>33578</f>
      </c>
      <c r="B33585" s="5" t="s">
        <v>33593</v>
      </c>
      <c r="C33585" s="5">
        <v>0</v>
      </c>
      <c r="D33585" s="5">
        <v>0</v>
      </c>
      <c r="E33585" s="5">
        <v>0</v>
      </c>
      <c r="F33585" s="5">
        <v>0</v>
      </c>
      <c r="G33585" s="5">
        <v>0</v>
      </c>
      <c r="H33585" s="5">
        <v>0</v>
      </c>
      <c r="I33585" s="5">
        <v>0</v>
      </c>
      <c r="J33585" s="5">
        <v>0</v>
      </c>
      <c r="K33585" s="5">
        <v>0</v>
      </c>
    </row>
    <row r="33586" spans="1:11" x14ac:dyDescent="0.25">
      <c r="A33586" s="5">
        <f>33579</f>
      </c>
      <c r="B33586" s="5" t="s">
        <v>33594</v>
      </c>
      <c r="C33586" s="5">
        <v>0</v>
      </c>
      <c r="D33586" s="5">
        <v>0</v>
      </c>
      <c r="E33586" s="5">
        <v>0</v>
      </c>
      <c r="F33586" s="5">
        <v>0</v>
      </c>
      <c r="G33586" s="5">
        <v>0</v>
      </c>
      <c r="H33586" s="5">
        <v>0</v>
      </c>
      <c r="I33586" s="5">
        <v>0</v>
      </c>
      <c r="J33586" s="5">
        <v>0</v>
      </c>
      <c r="K33586" s="5">
        <v>0</v>
      </c>
    </row>
    <row r="33587" spans="1:11" x14ac:dyDescent="0.25">
      <c r="A33587" s="5">
        <f>33580</f>
      </c>
      <c r="B33587" s="5" t="s">
        <v>33595</v>
      </c>
      <c r="C33587" s="5">
        <v>0</v>
      </c>
      <c r="D33587" s="5">
        <v>0</v>
      </c>
      <c r="E33587" s="5">
        <v>0</v>
      </c>
      <c r="F33587" s="5">
        <v>0</v>
      </c>
      <c r="G33587" s="5">
        <v>0</v>
      </c>
      <c r="H33587" s="5">
        <v>0</v>
      </c>
      <c r="I33587" s="5">
        <v>0</v>
      </c>
      <c r="J33587" s="5">
        <v>0</v>
      </c>
      <c r="K33587" s="5">
        <v>0</v>
      </c>
    </row>
    <row r="33588" spans="1:11" x14ac:dyDescent="0.25">
      <c r="A33588" s="5">
        <f>33581</f>
      </c>
      <c r="B33588" s="5" t="s">
        <v>33596</v>
      </c>
      <c r="C33588" s="5">
        <v>0</v>
      </c>
      <c r="D33588" s="5">
        <v>0</v>
      </c>
      <c r="E33588" s="5">
        <v>0</v>
      </c>
      <c r="F33588" s="5">
        <v>0</v>
      </c>
      <c r="G33588" s="5">
        <v>0</v>
      </c>
      <c r="H33588" s="5">
        <v>0</v>
      </c>
      <c r="I33588" s="5">
        <v>0</v>
      </c>
      <c r="J33588" s="5">
        <v>0</v>
      </c>
      <c r="K33588" s="5">
        <v>0</v>
      </c>
    </row>
    <row r="33589" spans="1:11" x14ac:dyDescent="0.25">
      <c r="A33589" s="5">
        <f>33582</f>
      </c>
      <c r="B33589" s="5" t="s">
        <v>33597</v>
      </c>
      <c r="C33589" s="5">
        <v>0</v>
      </c>
      <c r="D33589" s="5">
        <v>0</v>
      </c>
      <c r="E33589" s="5">
        <v>0</v>
      </c>
      <c r="F33589" s="5">
        <v>0</v>
      </c>
      <c r="G33589" s="5">
        <v>0</v>
      </c>
      <c r="H33589" s="5">
        <v>0</v>
      </c>
      <c r="I33589" s="5">
        <v>0</v>
      </c>
      <c r="J33589" s="5">
        <v>0</v>
      </c>
      <c r="K33589" s="5">
        <v>0</v>
      </c>
    </row>
    <row r="33590" spans="1:11" x14ac:dyDescent="0.25">
      <c r="A33590" s="5">
        <f>33583</f>
      </c>
      <c r="B33590" s="5" t="s">
        <v>33598</v>
      </c>
      <c r="C33590" s="5">
        <v>0</v>
      </c>
      <c r="D33590" s="5">
        <v>0</v>
      </c>
      <c r="E33590" s="5">
        <v>0</v>
      </c>
      <c r="F33590" s="5">
        <v>0</v>
      </c>
      <c r="G33590" s="5">
        <v>0</v>
      </c>
      <c r="H33590" s="5">
        <v>0</v>
      </c>
      <c r="I33590" s="5">
        <v>0</v>
      </c>
      <c r="J33590" s="5">
        <v>0</v>
      </c>
      <c r="K33590" s="5">
        <v>0</v>
      </c>
    </row>
    <row r="33591" spans="1:11" x14ac:dyDescent="0.25">
      <c r="A33591" s="5">
        <f>33584</f>
      </c>
      <c r="B33591" s="5" t="s">
        <v>33599</v>
      </c>
      <c r="C33591" s="5">
        <v>0</v>
      </c>
      <c r="D33591" s="5">
        <v>0</v>
      </c>
      <c r="E33591" s="5">
        <v>0</v>
      </c>
      <c r="F33591" s="5">
        <v>0</v>
      </c>
      <c r="G33591" s="5">
        <v>0</v>
      </c>
      <c r="H33591" s="5">
        <v>0</v>
      </c>
      <c r="I33591" s="5">
        <v>0</v>
      </c>
      <c r="J33591" s="5">
        <v>0</v>
      </c>
      <c r="K33591" s="5">
        <v>0</v>
      </c>
    </row>
    <row r="33592" spans="1:11" x14ac:dyDescent="0.25">
      <c r="A33592" s="5">
        <f>33585</f>
      </c>
      <c r="B33592" s="5" t="s">
        <v>33600</v>
      </c>
      <c r="C33592" s="5">
        <v>0</v>
      </c>
      <c r="D33592" s="5">
        <v>0</v>
      </c>
      <c r="E33592" s="5">
        <v>0</v>
      </c>
      <c r="F33592" s="5">
        <v>0</v>
      </c>
      <c r="G33592" s="5">
        <v>0</v>
      </c>
      <c r="H33592" s="5">
        <v>0</v>
      </c>
      <c r="I33592" s="5">
        <v>0</v>
      </c>
      <c r="J33592" s="5">
        <v>0</v>
      </c>
      <c r="K33592" s="5">
        <v>0</v>
      </c>
    </row>
    <row r="33593" spans="1:11" x14ac:dyDescent="0.25">
      <c r="A33593" s="5">
        <f>33586</f>
      </c>
      <c r="B33593" s="5" t="s">
        <v>33601</v>
      </c>
      <c r="C33593" s="5">
        <v>0</v>
      </c>
      <c r="D33593" s="5">
        <v>0</v>
      </c>
      <c r="E33593" s="5">
        <v>0</v>
      </c>
      <c r="F33593" s="5">
        <v>0</v>
      </c>
      <c r="G33593" s="5">
        <v>0</v>
      </c>
      <c r="H33593" s="5">
        <v>0</v>
      </c>
      <c r="I33593" s="5">
        <v>0</v>
      </c>
      <c r="J33593" s="5">
        <v>0</v>
      </c>
      <c r="K33593" s="5">
        <v>0</v>
      </c>
    </row>
    <row r="33594" spans="1:11" x14ac:dyDescent="0.25">
      <c r="A33594" s="5">
        <f>33587</f>
      </c>
      <c r="B33594" s="5" t="s">
        <v>33602</v>
      </c>
      <c r="C33594" s="5">
        <v>0</v>
      </c>
      <c r="D33594" s="5">
        <v>0</v>
      </c>
      <c r="E33594" s="5">
        <v>0</v>
      </c>
      <c r="F33594" s="5">
        <v>0</v>
      </c>
      <c r="G33594" s="5">
        <v>0</v>
      </c>
      <c r="H33594" s="5">
        <v>0</v>
      </c>
      <c r="I33594" s="5">
        <v>0</v>
      </c>
      <c r="J33594" s="5">
        <v>0</v>
      </c>
      <c r="K33594" s="5">
        <v>0</v>
      </c>
    </row>
    <row r="33595" spans="1:11" x14ac:dyDescent="0.25">
      <c r="A33595" s="5">
        <f>33588</f>
      </c>
      <c r="B33595" s="5" t="s">
        <v>33603</v>
      </c>
      <c r="C33595" s="5">
        <v>0</v>
      </c>
      <c r="D33595" s="5">
        <v>0</v>
      </c>
      <c r="E33595" s="5">
        <v>0</v>
      </c>
      <c r="F33595" s="5">
        <v>0</v>
      </c>
      <c r="G33595" s="5">
        <v>0</v>
      </c>
      <c r="H33595" s="5">
        <v>0</v>
      </c>
      <c r="I33595" s="5">
        <v>0</v>
      </c>
      <c r="J33595" s="5">
        <v>0</v>
      </c>
      <c r="K33595" s="5">
        <v>0</v>
      </c>
    </row>
    <row r="33596" spans="1:11" x14ac:dyDescent="0.25">
      <c r="A33596" s="5">
        <f>33589</f>
      </c>
      <c r="B33596" s="5" t="s">
        <v>33604</v>
      </c>
      <c r="C33596" s="5">
        <v>0</v>
      </c>
      <c r="D33596" s="5">
        <v>0</v>
      </c>
      <c r="E33596" s="5">
        <v>0</v>
      </c>
      <c r="F33596" s="5">
        <v>0</v>
      </c>
      <c r="G33596" s="5">
        <v>0</v>
      </c>
      <c r="H33596" s="5">
        <v>0</v>
      </c>
      <c r="I33596" s="5">
        <v>0</v>
      </c>
      <c r="J33596" s="5">
        <v>0</v>
      </c>
      <c r="K33596" s="5">
        <v>0</v>
      </c>
    </row>
    <row r="33597" spans="1:11" x14ac:dyDescent="0.25">
      <c r="A33597" s="5">
        <f>33590</f>
      </c>
      <c r="B33597" s="5" t="s">
        <v>33605</v>
      </c>
      <c r="C33597" s="5">
        <v>0</v>
      </c>
      <c r="D33597" s="5">
        <v>0</v>
      </c>
      <c r="E33597" s="5">
        <v>0</v>
      </c>
      <c r="F33597" s="5">
        <v>0</v>
      </c>
      <c r="G33597" s="5">
        <v>0</v>
      </c>
      <c r="H33597" s="5">
        <v>0</v>
      </c>
      <c r="I33597" s="5">
        <v>0</v>
      </c>
      <c r="J33597" s="5">
        <v>0</v>
      </c>
      <c r="K33597" s="5">
        <v>0</v>
      </c>
    </row>
    <row r="33598" spans="1:11" x14ac:dyDescent="0.25">
      <c r="A33598" s="5">
        <f>33591</f>
      </c>
      <c r="B33598" s="5" t="s">
        <v>33606</v>
      </c>
      <c r="C33598" s="5">
        <v>0</v>
      </c>
      <c r="D33598" s="5">
        <v>0</v>
      </c>
      <c r="E33598" s="5">
        <v>0</v>
      </c>
      <c r="F33598" s="5">
        <v>0</v>
      </c>
      <c r="G33598" s="5">
        <v>0</v>
      </c>
      <c r="H33598" s="5">
        <v>0</v>
      </c>
      <c r="I33598" s="5">
        <v>0</v>
      </c>
      <c r="J33598" s="5">
        <v>0</v>
      </c>
      <c r="K33598" s="5">
        <v>0</v>
      </c>
    </row>
    <row r="33599" spans="1:11" x14ac:dyDescent="0.25">
      <c r="A33599" s="5">
        <f>33592</f>
      </c>
      <c r="B33599" s="5" t="s">
        <v>33607</v>
      </c>
      <c r="C33599" s="5">
        <v>0</v>
      </c>
      <c r="D33599" s="5">
        <v>0</v>
      </c>
      <c r="E33599" s="5">
        <v>0</v>
      </c>
      <c r="F33599" s="5">
        <v>0</v>
      </c>
      <c r="G33599" s="5">
        <v>0</v>
      </c>
      <c r="H33599" s="5">
        <v>0</v>
      </c>
      <c r="I33599" s="5">
        <v>0</v>
      </c>
      <c r="J33599" s="5">
        <v>0</v>
      </c>
      <c r="K33599" s="5">
        <v>0</v>
      </c>
    </row>
    <row r="33600" spans="1:11" x14ac:dyDescent="0.25">
      <c r="A33600" s="5">
        <f>33593</f>
      </c>
      <c r="B33600" s="5" t="s">
        <v>33608</v>
      </c>
      <c r="C33600" s="5">
        <v>0</v>
      </c>
      <c r="D33600" s="5">
        <v>0</v>
      </c>
      <c r="E33600" s="5">
        <v>0</v>
      </c>
      <c r="F33600" s="5">
        <v>0</v>
      </c>
      <c r="G33600" s="5">
        <v>0</v>
      </c>
      <c r="H33600" s="5">
        <v>0</v>
      </c>
      <c r="I33600" s="5">
        <v>0</v>
      </c>
      <c r="J33600" s="5">
        <v>0</v>
      </c>
      <c r="K33600" s="5">
        <v>0</v>
      </c>
    </row>
    <row r="33601" spans="1:11" x14ac:dyDescent="0.25">
      <c r="A33601" s="5">
        <f>33594</f>
      </c>
      <c r="B33601" s="5" t="s">
        <v>33609</v>
      </c>
      <c r="C33601" s="5">
        <v>0</v>
      </c>
      <c r="D33601" s="5">
        <v>0</v>
      </c>
      <c r="E33601" s="5">
        <v>0</v>
      </c>
      <c r="F33601" s="5">
        <v>0</v>
      </c>
      <c r="G33601" s="5">
        <v>0</v>
      </c>
      <c r="H33601" s="5">
        <v>0</v>
      </c>
      <c r="I33601" s="5">
        <v>0</v>
      </c>
      <c r="J33601" s="5">
        <v>0</v>
      </c>
      <c r="K33601" s="5">
        <v>0</v>
      </c>
    </row>
    <row r="33602" spans="1:11" x14ac:dyDescent="0.25">
      <c r="A33602" s="5">
        <f>33595</f>
      </c>
      <c r="B33602" s="5" t="s">
        <v>33610</v>
      </c>
      <c r="C33602" s="5">
        <v>0</v>
      </c>
      <c r="D33602" s="5">
        <v>0</v>
      </c>
      <c r="E33602" s="5">
        <v>0</v>
      </c>
      <c r="F33602" s="5">
        <v>0</v>
      </c>
      <c r="G33602" s="5">
        <v>0</v>
      </c>
      <c r="H33602" s="5">
        <v>0</v>
      </c>
      <c r="I33602" s="5">
        <v>0</v>
      </c>
      <c r="J33602" s="5">
        <v>0</v>
      </c>
      <c r="K33602" s="5">
        <v>0</v>
      </c>
    </row>
    <row r="33603" spans="1:11" x14ac:dyDescent="0.25">
      <c r="A33603" s="5">
        <f>33596</f>
      </c>
      <c r="B33603" s="5" t="s">
        <v>33611</v>
      </c>
      <c r="C33603" s="5">
        <v>0</v>
      </c>
      <c r="D33603" s="5">
        <v>0</v>
      </c>
      <c r="E33603" s="5">
        <v>0</v>
      </c>
      <c r="F33603" s="5">
        <v>0</v>
      </c>
      <c r="G33603" s="5">
        <v>0</v>
      </c>
      <c r="H33603" s="5">
        <v>0</v>
      </c>
      <c r="I33603" s="5">
        <v>0</v>
      </c>
      <c r="J33603" s="5">
        <v>0</v>
      </c>
      <c r="K33603" s="5">
        <v>0</v>
      </c>
    </row>
    <row r="33604" spans="1:11" x14ac:dyDescent="0.25">
      <c r="A33604" s="5">
        <f>33597</f>
      </c>
      <c r="B33604" s="5" t="s">
        <v>33612</v>
      </c>
      <c r="C33604" s="5">
        <v>0</v>
      </c>
      <c r="D33604" s="5">
        <v>0</v>
      </c>
      <c r="E33604" s="5">
        <v>0</v>
      </c>
      <c r="F33604" s="5">
        <v>0</v>
      </c>
      <c r="G33604" s="5">
        <v>0</v>
      </c>
      <c r="H33604" s="5">
        <v>0</v>
      </c>
      <c r="I33604" s="5">
        <v>0</v>
      </c>
      <c r="J33604" s="5">
        <v>0</v>
      </c>
      <c r="K33604" s="5">
        <v>0</v>
      </c>
    </row>
    <row r="33605" spans="1:11" x14ac:dyDescent="0.25">
      <c r="A33605" s="5">
        <f>33598</f>
      </c>
      <c r="B33605" s="5" t="s">
        <v>33613</v>
      </c>
      <c r="C33605" s="5">
        <v>0</v>
      </c>
      <c r="D33605" s="5">
        <v>0</v>
      </c>
      <c r="E33605" s="5">
        <v>0</v>
      </c>
      <c r="F33605" s="5">
        <v>0</v>
      </c>
      <c r="G33605" s="5">
        <v>0</v>
      </c>
      <c r="H33605" s="5">
        <v>0</v>
      </c>
      <c r="I33605" s="5">
        <v>0</v>
      </c>
      <c r="J33605" s="5">
        <v>0</v>
      </c>
      <c r="K33605" s="5">
        <v>0</v>
      </c>
    </row>
    <row r="33606" spans="1:11" x14ac:dyDescent="0.25">
      <c r="A33606" s="5">
        <f>33599</f>
      </c>
      <c r="B33606" s="5" t="s">
        <v>33614</v>
      </c>
      <c r="C33606" s="5">
        <v>0</v>
      </c>
      <c r="D33606" s="5">
        <v>0</v>
      </c>
      <c r="E33606" s="5">
        <v>0</v>
      </c>
      <c r="F33606" s="5">
        <v>0</v>
      </c>
      <c r="G33606" s="5">
        <v>0</v>
      </c>
      <c r="H33606" s="5">
        <v>0</v>
      </c>
      <c r="I33606" s="5">
        <v>0</v>
      </c>
      <c r="J33606" s="5">
        <v>0</v>
      </c>
      <c r="K33606" s="5">
        <v>0</v>
      </c>
    </row>
    <row r="33607" spans="1:11" x14ac:dyDescent="0.25">
      <c r="A33607" s="5">
        <f>33600</f>
      </c>
      <c r="B33607" s="5" t="s">
        <v>33615</v>
      </c>
      <c r="C33607" s="5">
        <v>0</v>
      </c>
      <c r="D33607" s="5">
        <v>0</v>
      </c>
      <c r="E33607" s="5">
        <v>0</v>
      </c>
      <c r="F33607" s="5">
        <v>0</v>
      </c>
      <c r="G33607" s="5">
        <v>0</v>
      </c>
      <c r="H33607" s="5">
        <v>0</v>
      </c>
      <c r="I33607" s="5">
        <v>0</v>
      </c>
      <c r="J33607" s="5">
        <v>0</v>
      </c>
      <c r="K33607" s="5">
        <v>0</v>
      </c>
    </row>
    <row r="33608" spans="1:11" x14ac:dyDescent="0.25">
      <c r="A33608" s="5">
        <f>33601</f>
      </c>
      <c r="B33608" s="5" t="s">
        <v>33616</v>
      </c>
      <c r="C33608" s="5">
        <v>0</v>
      </c>
      <c r="D33608" s="5">
        <v>0</v>
      </c>
      <c r="E33608" s="5">
        <v>0</v>
      </c>
      <c r="F33608" s="5">
        <v>0</v>
      </c>
      <c r="G33608" s="5">
        <v>0</v>
      </c>
      <c r="H33608" s="5">
        <v>0</v>
      </c>
      <c r="I33608" s="5">
        <v>0</v>
      </c>
      <c r="J33608" s="5">
        <v>0</v>
      </c>
      <c r="K33608" s="5">
        <v>0</v>
      </c>
    </row>
    <row r="33609" spans="1:11" x14ac:dyDescent="0.25">
      <c r="A33609" s="5">
        <f>33602</f>
      </c>
      <c r="B33609" s="5" t="s">
        <v>33617</v>
      </c>
      <c r="C33609" s="5">
        <v>0</v>
      </c>
      <c r="D33609" s="5">
        <v>0</v>
      </c>
      <c r="E33609" s="5">
        <v>0</v>
      </c>
      <c r="F33609" s="5">
        <v>0</v>
      </c>
      <c r="G33609" s="5">
        <v>0</v>
      </c>
      <c r="H33609" s="5">
        <v>0</v>
      </c>
      <c r="I33609" s="5">
        <v>0</v>
      </c>
      <c r="J33609" s="5">
        <v>0</v>
      </c>
      <c r="K33609" s="5">
        <v>0</v>
      </c>
    </row>
    <row r="33610" spans="1:11" x14ac:dyDescent="0.25">
      <c r="A33610" s="5">
        <f>33603</f>
      </c>
      <c r="B33610" s="5" t="s">
        <v>33618</v>
      </c>
      <c r="C33610" s="5">
        <v>0</v>
      </c>
      <c r="D33610" s="5">
        <v>0</v>
      </c>
      <c r="E33610" s="5">
        <v>0</v>
      </c>
      <c r="F33610" s="5">
        <v>0</v>
      </c>
      <c r="G33610" s="5">
        <v>0</v>
      </c>
      <c r="H33610" s="5">
        <v>0</v>
      </c>
      <c r="I33610" s="5">
        <v>0</v>
      </c>
      <c r="J33610" s="5">
        <v>0</v>
      </c>
      <c r="K33610" s="5">
        <v>0</v>
      </c>
    </row>
    <row r="33611" spans="1:11" x14ac:dyDescent="0.25">
      <c r="A33611" s="5">
        <f>33604</f>
      </c>
      <c r="B33611" s="5" t="s">
        <v>33619</v>
      </c>
      <c r="C33611" s="5">
        <v>0</v>
      </c>
      <c r="D33611" s="5">
        <v>0</v>
      </c>
      <c r="E33611" s="5">
        <v>0</v>
      </c>
      <c r="F33611" s="5">
        <v>0</v>
      </c>
      <c r="G33611" s="5">
        <v>0</v>
      </c>
      <c r="H33611" s="5">
        <v>0</v>
      </c>
      <c r="I33611" s="5">
        <v>0</v>
      </c>
      <c r="J33611" s="5">
        <v>0</v>
      </c>
      <c r="K33611" s="5">
        <v>0</v>
      </c>
    </row>
    <row r="33612" spans="1:11" x14ac:dyDescent="0.25">
      <c r="A33612" s="5">
        <f>33605</f>
      </c>
      <c r="B33612" s="5" t="s">
        <v>33620</v>
      </c>
      <c r="C33612" s="5">
        <v>0</v>
      </c>
      <c r="D33612" s="5">
        <v>0</v>
      </c>
      <c r="E33612" s="5">
        <v>0</v>
      </c>
      <c r="F33612" s="5">
        <v>0</v>
      </c>
      <c r="G33612" s="5">
        <v>0</v>
      </c>
      <c r="H33612" s="5">
        <v>0</v>
      </c>
      <c r="I33612" s="5">
        <v>0</v>
      </c>
      <c r="J33612" s="5">
        <v>0</v>
      </c>
      <c r="K33612" s="5">
        <v>0</v>
      </c>
    </row>
    <row r="33613" spans="1:11" x14ac:dyDescent="0.25">
      <c r="A33613" s="5">
        <f>33606</f>
      </c>
      <c r="B33613" s="5" t="s">
        <v>33621</v>
      </c>
      <c r="C33613" s="5">
        <v>0</v>
      </c>
      <c r="D33613" s="5">
        <v>0</v>
      </c>
      <c r="E33613" s="5">
        <v>0</v>
      </c>
      <c r="F33613" s="5">
        <v>0</v>
      </c>
      <c r="G33613" s="5">
        <v>0</v>
      </c>
      <c r="H33613" s="5">
        <v>0</v>
      </c>
      <c r="I33613" s="5">
        <v>0</v>
      </c>
      <c r="J33613" s="5">
        <v>0</v>
      </c>
      <c r="K33613" s="5">
        <v>0</v>
      </c>
    </row>
    <row r="33614" spans="1:11" x14ac:dyDescent="0.25">
      <c r="A33614" s="5">
        <f>33607</f>
      </c>
      <c r="B33614" s="5" t="s">
        <v>33622</v>
      </c>
      <c r="C33614" s="5">
        <v>0</v>
      </c>
      <c r="D33614" s="5">
        <v>0</v>
      </c>
      <c r="E33614" s="5">
        <v>0</v>
      </c>
      <c r="F33614" s="5">
        <v>0</v>
      </c>
      <c r="G33614" s="5">
        <v>0</v>
      </c>
      <c r="H33614" s="5">
        <v>0</v>
      </c>
      <c r="I33614" s="5">
        <v>0</v>
      </c>
      <c r="J33614" s="5">
        <v>0</v>
      </c>
      <c r="K33614" s="5">
        <v>0</v>
      </c>
    </row>
    <row r="33615" spans="1:11" x14ac:dyDescent="0.25">
      <c r="A33615" s="5">
        <f>33608</f>
      </c>
      <c r="B33615" s="5" t="s">
        <v>33623</v>
      </c>
      <c r="C33615" s="5">
        <v>0</v>
      </c>
      <c r="D33615" s="5">
        <v>0</v>
      </c>
      <c r="E33615" s="5">
        <v>0</v>
      </c>
      <c r="F33615" s="5">
        <v>0</v>
      </c>
      <c r="G33615" s="5">
        <v>0</v>
      </c>
      <c r="H33615" s="5">
        <v>0</v>
      </c>
      <c r="I33615" s="5">
        <v>0</v>
      </c>
      <c r="J33615" s="5">
        <v>0</v>
      </c>
      <c r="K33615" s="5">
        <v>0</v>
      </c>
    </row>
    <row r="33616" spans="1:11" x14ac:dyDescent="0.25">
      <c r="A33616" s="5">
        <f>33609</f>
      </c>
      <c r="B33616" s="5" t="s">
        <v>33624</v>
      </c>
      <c r="C33616" s="5">
        <v>0</v>
      </c>
      <c r="D33616" s="5">
        <v>0</v>
      </c>
      <c r="E33616" s="5">
        <v>0</v>
      </c>
      <c r="F33616" s="5">
        <v>0</v>
      </c>
      <c r="G33616" s="5">
        <v>0</v>
      </c>
      <c r="H33616" s="5">
        <v>0</v>
      </c>
      <c r="I33616" s="5">
        <v>0</v>
      </c>
      <c r="J33616" s="5">
        <v>0</v>
      </c>
      <c r="K33616" s="5">
        <v>0</v>
      </c>
    </row>
    <row r="33617" spans="1:11" x14ac:dyDescent="0.25">
      <c r="A33617" s="5">
        <f>33610</f>
      </c>
      <c r="B33617" s="5" t="s">
        <v>33625</v>
      </c>
      <c r="C33617" s="5">
        <v>0</v>
      </c>
      <c r="D33617" s="5">
        <v>0</v>
      </c>
      <c r="E33617" s="5">
        <v>0</v>
      </c>
      <c r="F33617" s="5">
        <v>0</v>
      </c>
      <c r="G33617" s="5">
        <v>0</v>
      </c>
      <c r="H33617" s="5">
        <v>0</v>
      </c>
      <c r="I33617" s="5">
        <v>0</v>
      </c>
      <c r="J33617" s="5">
        <v>0</v>
      </c>
      <c r="K33617" s="5">
        <v>0</v>
      </c>
    </row>
    <row r="33618" spans="1:11" x14ac:dyDescent="0.25">
      <c r="A33618" s="5">
        <f>33611</f>
      </c>
      <c r="B33618" s="5" t="s">
        <v>33626</v>
      </c>
      <c r="C33618" s="5">
        <v>0</v>
      </c>
      <c r="D33618" s="5">
        <v>0</v>
      </c>
      <c r="E33618" s="5">
        <v>0</v>
      </c>
      <c r="F33618" s="5">
        <v>0</v>
      </c>
      <c r="G33618" s="5">
        <v>0</v>
      </c>
      <c r="H33618" s="5">
        <v>0</v>
      </c>
      <c r="I33618" s="5">
        <v>0</v>
      </c>
      <c r="J33618" s="5">
        <v>0</v>
      </c>
      <c r="K33618" s="5">
        <v>0</v>
      </c>
    </row>
    <row r="33619" spans="1:11" x14ac:dyDescent="0.25">
      <c r="A33619" s="5">
        <f>33612</f>
      </c>
      <c r="B33619" s="5" t="s">
        <v>33627</v>
      </c>
      <c r="C33619" s="5">
        <v>0</v>
      </c>
      <c r="D33619" s="5">
        <v>0</v>
      </c>
      <c r="E33619" s="5">
        <v>0</v>
      </c>
      <c r="F33619" s="5">
        <v>0</v>
      </c>
      <c r="G33619" s="5">
        <v>0</v>
      </c>
      <c r="H33619" s="5">
        <v>0</v>
      </c>
      <c r="I33619" s="5">
        <v>0</v>
      </c>
      <c r="J33619" s="5">
        <v>0</v>
      </c>
      <c r="K33619" s="5">
        <v>0</v>
      </c>
    </row>
    <row r="33620" spans="1:11" x14ac:dyDescent="0.25">
      <c r="A33620" s="5">
        <f>33613</f>
      </c>
      <c r="B33620" s="5" t="s">
        <v>33628</v>
      </c>
      <c r="C33620" s="5">
        <v>0</v>
      </c>
      <c r="D33620" s="5">
        <v>0</v>
      </c>
      <c r="E33620" s="5">
        <v>0</v>
      </c>
      <c r="F33620" s="5">
        <v>0</v>
      </c>
      <c r="G33620" s="5">
        <v>0</v>
      </c>
      <c r="H33620" s="5">
        <v>0</v>
      </c>
      <c r="I33620" s="5">
        <v>0</v>
      </c>
      <c r="J33620" s="5">
        <v>0</v>
      </c>
      <c r="K33620" s="5">
        <v>0</v>
      </c>
    </row>
    <row r="33621" spans="1:11" x14ac:dyDescent="0.25">
      <c r="A33621" s="5">
        <f>33614</f>
      </c>
      <c r="B33621" s="5" t="s">
        <v>33629</v>
      </c>
      <c r="C33621" s="5">
        <v>0</v>
      </c>
      <c r="D33621" s="5">
        <v>0</v>
      </c>
      <c r="E33621" s="5">
        <v>0</v>
      </c>
      <c r="F33621" s="5">
        <v>0</v>
      </c>
      <c r="G33621" s="5">
        <v>0</v>
      </c>
      <c r="H33621" s="5">
        <v>0</v>
      </c>
      <c r="I33621" s="5">
        <v>0</v>
      </c>
      <c r="J33621" s="5">
        <v>0</v>
      </c>
      <c r="K33621" s="5">
        <v>0</v>
      </c>
    </row>
    <row r="33622" spans="1:11" x14ac:dyDescent="0.25">
      <c r="A33622" s="5">
        <f>33615</f>
      </c>
      <c r="B33622" s="5" t="s">
        <v>33630</v>
      </c>
      <c r="C33622" s="5">
        <v>0</v>
      </c>
      <c r="D33622" s="5">
        <v>0</v>
      </c>
      <c r="E33622" s="5">
        <v>0</v>
      </c>
      <c r="F33622" s="5">
        <v>0</v>
      </c>
      <c r="G33622" s="5">
        <v>0</v>
      </c>
      <c r="H33622" s="5">
        <v>0</v>
      </c>
      <c r="I33622" s="5">
        <v>0</v>
      </c>
      <c r="J33622" s="5">
        <v>0</v>
      </c>
      <c r="K33622" s="5">
        <v>0</v>
      </c>
    </row>
    <row r="33623" spans="1:11" x14ac:dyDescent="0.25">
      <c r="A33623" s="5">
        <f>33616</f>
      </c>
      <c r="B33623" s="5" t="s">
        <v>33631</v>
      </c>
      <c r="C33623" s="5">
        <v>0</v>
      </c>
      <c r="D33623" s="5">
        <v>0</v>
      </c>
      <c r="E33623" s="5">
        <v>0</v>
      </c>
      <c r="F33623" s="5">
        <v>0</v>
      </c>
      <c r="G33623" s="5">
        <v>0</v>
      </c>
      <c r="H33623" s="5">
        <v>0</v>
      </c>
      <c r="I33623" s="5">
        <v>0</v>
      </c>
      <c r="J33623" s="5">
        <v>0</v>
      </c>
      <c r="K33623" s="5">
        <v>0</v>
      </c>
    </row>
    <row r="33624" spans="1:11" x14ac:dyDescent="0.25">
      <c r="A33624" s="5">
        <f>33617</f>
      </c>
      <c r="B33624" s="5" t="s">
        <v>33632</v>
      </c>
      <c r="C33624" s="5">
        <v>0</v>
      </c>
      <c r="D33624" s="5">
        <v>0</v>
      </c>
      <c r="E33624" s="5">
        <v>0</v>
      </c>
      <c r="F33624" s="5">
        <v>0</v>
      </c>
      <c r="G33624" s="5">
        <v>0</v>
      </c>
      <c r="H33624" s="5">
        <v>0</v>
      </c>
      <c r="I33624" s="5">
        <v>0</v>
      </c>
      <c r="J33624" s="5">
        <v>0</v>
      </c>
      <c r="K33624" s="5">
        <v>0</v>
      </c>
    </row>
    <row r="33625" spans="1:11" x14ac:dyDescent="0.25">
      <c r="A33625" s="5">
        <f>33618</f>
      </c>
      <c r="B33625" s="5" t="s">
        <v>33633</v>
      </c>
      <c r="C33625" s="5">
        <v>0</v>
      </c>
      <c r="D33625" s="5">
        <v>0</v>
      </c>
      <c r="E33625" s="5">
        <v>0</v>
      </c>
      <c r="F33625" s="5">
        <v>0</v>
      </c>
      <c r="G33625" s="5">
        <v>0</v>
      </c>
      <c r="H33625" s="5">
        <v>0</v>
      </c>
      <c r="I33625" s="5">
        <v>0</v>
      </c>
      <c r="J33625" s="5">
        <v>0</v>
      </c>
      <c r="K33625" s="5">
        <v>0</v>
      </c>
    </row>
    <row r="33626" spans="1:11" x14ac:dyDescent="0.25">
      <c r="A33626" s="5">
        <f>33619</f>
      </c>
      <c r="B33626" s="5" t="s">
        <v>33634</v>
      </c>
      <c r="C33626" s="5">
        <v>0</v>
      </c>
      <c r="D33626" s="5">
        <v>0</v>
      </c>
      <c r="E33626" s="5">
        <v>0</v>
      </c>
      <c r="F33626" s="5">
        <v>0</v>
      </c>
      <c r="G33626" s="5">
        <v>0</v>
      </c>
      <c r="H33626" s="5">
        <v>0</v>
      </c>
      <c r="I33626" s="5">
        <v>0</v>
      </c>
      <c r="J33626" s="5">
        <v>0</v>
      </c>
      <c r="K33626" s="5">
        <v>0</v>
      </c>
    </row>
    <row r="33627" spans="1:11" x14ac:dyDescent="0.25">
      <c r="A33627" s="5">
        <f>33620</f>
      </c>
      <c r="B33627" s="5" t="s">
        <v>33635</v>
      </c>
      <c r="C33627" s="5">
        <v>0</v>
      </c>
      <c r="D33627" s="5">
        <v>0</v>
      </c>
      <c r="E33627" s="5">
        <v>0</v>
      </c>
      <c r="F33627" s="5">
        <v>0</v>
      </c>
      <c r="G33627" s="5">
        <v>0</v>
      </c>
      <c r="H33627" s="5">
        <v>0</v>
      </c>
      <c r="I33627" s="5">
        <v>0</v>
      </c>
      <c r="J33627" s="5">
        <v>0</v>
      </c>
      <c r="K33627" s="5">
        <v>0</v>
      </c>
    </row>
    <row r="33628" spans="1:11" x14ac:dyDescent="0.25">
      <c r="A33628" s="5">
        <f>33621</f>
      </c>
      <c r="B33628" s="5" t="s">
        <v>33636</v>
      </c>
      <c r="C33628" s="5">
        <v>0</v>
      </c>
      <c r="D33628" s="5">
        <v>0</v>
      </c>
      <c r="E33628" s="5">
        <v>0</v>
      </c>
      <c r="F33628" s="5">
        <v>0</v>
      </c>
      <c r="G33628" s="5">
        <v>0</v>
      </c>
      <c r="H33628" s="5">
        <v>0</v>
      </c>
      <c r="I33628" s="5">
        <v>0</v>
      </c>
      <c r="J33628" s="5">
        <v>0</v>
      </c>
      <c r="K33628" s="5">
        <v>0</v>
      </c>
    </row>
    <row r="33629" spans="1:11" x14ac:dyDescent="0.25">
      <c r="A33629" s="5">
        <f>33622</f>
      </c>
      <c r="B33629" s="5" t="s">
        <v>33637</v>
      </c>
      <c r="C33629" s="5">
        <v>0</v>
      </c>
      <c r="D33629" s="5">
        <v>0</v>
      </c>
      <c r="E33629" s="5">
        <v>0</v>
      </c>
      <c r="F33629" s="5">
        <v>0</v>
      </c>
      <c r="G33629" s="5">
        <v>0</v>
      </c>
      <c r="H33629" s="5">
        <v>0</v>
      </c>
      <c r="I33629" s="5">
        <v>0</v>
      </c>
      <c r="J33629" s="5">
        <v>0</v>
      </c>
      <c r="K33629" s="5">
        <v>0</v>
      </c>
    </row>
    <row r="33630" spans="1:11" x14ac:dyDescent="0.25">
      <c r="A33630" s="5">
        <f>33623</f>
      </c>
      <c r="B33630" s="5" t="s">
        <v>33638</v>
      </c>
      <c r="C33630" s="5">
        <v>0</v>
      </c>
      <c r="D33630" s="5">
        <v>0</v>
      </c>
      <c r="E33630" s="5">
        <v>0</v>
      </c>
      <c r="F33630" s="5">
        <v>0</v>
      </c>
      <c r="G33630" s="5">
        <v>0</v>
      </c>
      <c r="H33630" s="5">
        <v>0</v>
      </c>
      <c r="I33630" s="5">
        <v>0</v>
      </c>
      <c r="J33630" s="5">
        <v>0</v>
      </c>
      <c r="K33630" s="5">
        <v>0</v>
      </c>
    </row>
    <row r="33631" spans="1:11" x14ac:dyDescent="0.25">
      <c r="A33631" s="5">
        <f>33624</f>
      </c>
      <c r="B33631" s="5" t="s">
        <v>33639</v>
      </c>
      <c r="C33631" s="5">
        <v>0</v>
      </c>
      <c r="D33631" s="5">
        <v>0</v>
      </c>
      <c r="E33631" s="5">
        <v>0</v>
      </c>
      <c r="F33631" s="5">
        <v>0</v>
      </c>
      <c r="G33631" s="5">
        <v>0</v>
      </c>
      <c r="H33631" s="5">
        <v>0</v>
      </c>
      <c r="I33631" s="5">
        <v>0</v>
      </c>
      <c r="J33631" s="5">
        <v>0</v>
      </c>
      <c r="K33631" s="5">
        <v>0</v>
      </c>
    </row>
    <row r="33632" spans="1:11" x14ac:dyDescent="0.25">
      <c r="A33632" s="5">
        <f>33625</f>
      </c>
      <c r="B33632" s="5" t="s">
        <v>33640</v>
      </c>
      <c r="C33632" s="5">
        <v>0</v>
      </c>
      <c r="D33632" s="5">
        <v>0</v>
      </c>
      <c r="E33632" s="5">
        <v>0</v>
      </c>
      <c r="F33632" s="5">
        <v>0</v>
      </c>
      <c r="G33632" s="5">
        <v>0</v>
      </c>
      <c r="H33632" s="5">
        <v>0</v>
      </c>
      <c r="I33632" s="5">
        <v>0</v>
      </c>
      <c r="J33632" s="5">
        <v>0</v>
      </c>
      <c r="K33632" s="5">
        <v>0</v>
      </c>
    </row>
    <row r="33633" spans="1:11" x14ac:dyDescent="0.25">
      <c r="A33633" s="5">
        <f>33626</f>
      </c>
      <c r="B33633" s="5" t="s">
        <v>33641</v>
      </c>
      <c r="C33633" s="5">
        <v>0</v>
      </c>
      <c r="D33633" s="5">
        <v>0</v>
      </c>
      <c r="E33633" s="5">
        <v>0</v>
      </c>
      <c r="F33633" s="5">
        <v>0</v>
      </c>
      <c r="G33633" s="5">
        <v>0</v>
      </c>
      <c r="H33633" s="5">
        <v>0</v>
      </c>
      <c r="I33633" s="5">
        <v>0</v>
      </c>
      <c r="J33633" s="5">
        <v>0</v>
      </c>
      <c r="K33633" s="5">
        <v>0</v>
      </c>
    </row>
    <row r="33634" spans="1:11" x14ac:dyDescent="0.25">
      <c r="A33634" s="5">
        <f>33627</f>
      </c>
      <c r="B33634" s="5" t="s">
        <v>33642</v>
      </c>
      <c r="C33634" s="5">
        <v>0</v>
      </c>
      <c r="D33634" s="5">
        <v>0</v>
      </c>
      <c r="E33634" s="5">
        <v>0</v>
      </c>
      <c r="F33634" s="5">
        <v>0</v>
      </c>
      <c r="G33634" s="5">
        <v>0</v>
      </c>
      <c r="H33634" s="5">
        <v>0</v>
      </c>
      <c r="I33634" s="5">
        <v>0</v>
      </c>
      <c r="J33634" s="5">
        <v>0</v>
      </c>
      <c r="K33634" s="5">
        <v>0</v>
      </c>
    </row>
    <row r="33635" spans="1:11" x14ac:dyDescent="0.25">
      <c r="A33635" s="5">
        <f>33628</f>
      </c>
      <c r="B33635" s="5" t="s">
        <v>33643</v>
      </c>
      <c r="C33635" s="5">
        <v>0</v>
      </c>
      <c r="D33635" s="5">
        <v>0</v>
      </c>
      <c r="E33635" s="5">
        <v>0</v>
      </c>
      <c r="F33635" s="5">
        <v>0</v>
      </c>
      <c r="G33635" s="5">
        <v>0</v>
      </c>
      <c r="H33635" s="5">
        <v>0</v>
      </c>
      <c r="I33635" s="5">
        <v>0</v>
      </c>
      <c r="J33635" s="5">
        <v>0</v>
      </c>
      <c r="K33635" s="5">
        <v>0</v>
      </c>
    </row>
    <row r="33636" spans="1:11" x14ac:dyDescent="0.25">
      <c r="A33636" s="5">
        <f>33629</f>
      </c>
      <c r="B33636" s="5" t="s">
        <v>33644</v>
      </c>
      <c r="C33636" s="5">
        <v>0</v>
      </c>
      <c r="D33636" s="5">
        <v>0</v>
      </c>
      <c r="E33636" s="5">
        <v>0</v>
      </c>
      <c r="F33636" s="5">
        <v>0</v>
      </c>
      <c r="G33636" s="5">
        <v>0</v>
      </c>
      <c r="H33636" s="5">
        <v>0</v>
      </c>
      <c r="I33636" s="5">
        <v>0</v>
      </c>
      <c r="J33636" s="5">
        <v>0</v>
      </c>
      <c r="K33636" s="5">
        <v>0</v>
      </c>
    </row>
    <row r="33637" spans="1:11" x14ac:dyDescent="0.25">
      <c r="A33637" s="5">
        <f>33630</f>
      </c>
      <c r="B33637" s="5" t="s">
        <v>33645</v>
      </c>
      <c r="C33637" s="5">
        <v>0</v>
      </c>
      <c r="D33637" s="5">
        <v>0</v>
      </c>
      <c r="E33637" s="5">
        <v>0</v>
      </c>
      <c r="F33637" s="5">
        <v>0</v>
      </c>
      <c r="G33637" s="5">
        <v>0</v>
      </c>
      <c r="H33637" s="5">
        <v>0</v>
      </c>
      <c r="I33637" s="5">
        <v>0</v>
      </c>
      <c r="J33637" s="5">
        <v>0</v>
      </c>
      <c r="K33637" s="5">
        <v>0</v>
      </c>
    </row>
    <row r="33638" spans="1:11" x14ac:dyDescent="0.25">
      <c r="A33638" s="5">
        <f>33631</f>
      </c>
      <c r="B33638" s="5" t="s">
        <v>33646</v>
      </c>
      <c r="C33638" s="5">
        <v>0</v>
      </c>
      <c r="D33638" s="5">
        <v>0</v>
      </c>
      <c r="E33638" s="5">
        <v>0</v>
      </c>
      <c r="F33638" s="5">
        <v>0</v>
      </c>
      <c r="G33638" s="5">
        <v>0</v>
      </c>
      <c r="H33638" s="5">
        <v>0</v>
      </c>
      <c r="I33638" s="5">
        <v>0</v>
      </c>
      <c r="J33638" s="5">
        <v>0</v>
      </c>
      <c r="K33638" s="5">
        <v>0</v>
      </c>
    </row>
    <row r="33639" spans="1:11" x14ac:dyDescent="0.25">
      <c r="A33639" s="5">
        <f>33632</f>
      </c>
      <c r="B33639" s="5" t="s">
        <v>33647</v>
      </c>
      <c r="C33639" s="5">
        <v>0</v>
      </c>
      <c r="D33639" s="5">
        <v>0</v>
      </c>
      <c r="E33639" s="5">
        <v>0</v>
      </c>
      <c r="F33639" s="5">
        <v>0</v>
      </c>
      <c r="G33639" s="5">
        <v>0</v>
      </c>
      <c r="H33639" s="5">
        <v>0</v>
      </c>
      <c r="I33639" s="5">
        <v>0</v>
      </c>
      <c r="J33639" s="5">
        <v>0</v>
      </c>
      <c r="K33639" s="5">
        <v>0</v>
      </c>
    </row>
    <row r="33640" spans="1:11" x14ac:dyDescent="0.25">
      <c r="A33640" s="5">
        <f>33633</f>
      </c>
      <c r="B33640" s="5" t="s">
        <v>33648</v>
      </c>
      <c r="C33640" s="5">
        <v>0</v>
      </c>
      <c r="D33640" s="5">
        <v>0</v>
      </c>
      <c r="E33640" s="5">
        <v>0</v>
      </c>
      <c r="F33640" s="5">
        <v>0</v>
      </c>
      <c r="G33640" s="5">
        <v>0</v>
      </c>
      <c r="H33640" s="5">
        <v>0</v>
      </c>
      <c r="I33640" s="5">
        <v>0</v>
      </c>
      <c r="J33640" s="5">
        <v>0</v>
      </c>
      <c r="K33640" s="5">
        <v>0</v>
      </c>
    </row>
    <row r="33641" spans="1:11" x14ac:dyDescent="0.25">
      <c r="A33641" s="5">
        <f>33634</f>
      </c>
      <c r="B33641" s="5" t="s">
        <v>33649</v>
      </c>
      <c r="C33641" s="5">
        <v>0</v>
      </c>
      <c r="D33641" s="5">
        <v>0</v>
      </c>
      <c r="E33641" s="5">
        <v>0</v>
      </c>
      <c r="F33641" s="5">
        <v>0</v>
      </c>
      <c r="G33641" s="5">
        <v>0</v>
      </c>
      <c r="H33641" s="5">
        <v>0</v>
      </c>
      <c r="I33641" s="5">
        <v>0</v>
      </c>
      <c r="J33641" s="5">
        <v>0</v>
      </c>
      <c r="K33641" s="5">
        <v>0</v>
      </c>
    </row>
    <row r="33642" spans="1:11" x14ac:dyDescent="0.25">
      <c r="A33642" s="5">
        <f>33635</f>
      </c>
      <c r="B33642" s="5" t="s">
        <v>33650</v>
      </c>
      <c r="C33642" s="5">
        <v>0</v>
      </c>
      <c r="D33642" s="5">
        <v>0</v>
      </c>
      <c r="E33642" s="5">
        <v>0</v>
      </c>
      <c r="F33642" s="5">
        <v>0</v>
      </c>
      <c r="G33642" s="5">
        <v>0</v>
      </c>
      <c r="H33642" s="5">
        <v>0</v>
      </c>
      <c r="I33642" s="5">
        <v>0</v>
      </c>
      <c r="J33642" s="5">
        <v>0</v>
      </c>
      <c r="K33642" s="5">
        <v>0</v>
      </c>
    </row>
    <row r="33643" spans="1:11" x14ac:dyDescent="0.25">
      <c r="A33643" s="5">
        <f>33636</f>
      </c>
      <c r="B33643" s="5" t="s">
        <v>33651</v>
      </c>
      <c r="C33643" s="5">
        <v>0</v>
      </c>
      <c r="D33643" s="5">
        <v>0</v>
      </c>
      <c r="E33643" s="5">
        <v>0</v>
      </c>
      <c r="F33643" s="5">
        <v>0</v>
      </c>
      <c r="G33643" s="5">
        <v>0</v>
      </c>
      <c r="H33643" s="5">
        <v>0</v>
      </c>
      <c r="I33643" s="5">
        <v>0</v>
      </c>
      <c r="J33643" s="5">
        <v>0</v>
      </c>
      <c r="K33643" s="5">
        <v>0</v>
      </c>
    </row>
    <row r="33644" spans="1:11" x14ac:dyDescent="0.25">
      <c r="A33644" s="5">
        <f>33637</f>
      </c>
      <c r="B33644" s="5" t="s">
        <v>33652</v>
      </c>
      <c r="C33644" s="5">
        <v>0</v>
      </c>
      <c r="D33644" s="5">
        <v>0</v>
      </c>
      <c r="E33644" s="5">
        <v>0</v>
      </c>
      <c r="F33644" s="5">
        <v>0</v>
      </c>
      <c r="G33644" s="5">
        <v>0</v>
      </c>
      <c r="H33644" s="5">
        <v>0</v>
      </c>
      <c r="I33644" s="5">
        <v>0</v>
      </c>
      <c r="J33644" s="5">
        <v>0</v>
      </c>
      <c r="K33644" s="5">
        <v>0</v>
      </c>
    </row>
    <row r="33645" spans="1:11" x14ac:dyDescent="0.25">
      <c r="A33645" s="5">
        <f>33638</f>
      </c>
      <c r="B33645" s="5" t="s">
        <v>33653</v>
      </c>
      <c r="C33645" s="5">
        <v>0</v>
      </c>
      <c r="D33645" s="5">
        <v>0</v>
      </c>
      <c r="E33645" s="5">
        <v>0</v>
      </c>
      <c r="F33645" s="5">
        <v>0</v>
      </c>
      <c r="G33645" s="5">
        <v>0</v>
      </c>
      <c r="H33645" s="5">
        <v>0</v>
      </c>
      <c r="I33645" s="5">
        <v>0</v>
      </c>
      <c r="J33645" s="5">
        <v>0</v>
      </c>
      <c r="K33645" s="5">
        <v>0</v>
      </c>
    </row>
    <row r="33646" spans="1:11" x14ac:dyDescent="0.25">
      <c r="A33646" s="5">
        <f>33639</f>
      </c>
      <c r="B33646" s="5" t="s">
        <v>33654</v>
      </c>
      <c r="C33646" s="5">
        <v>0</v>
      </c>
      <c r="D33646" s="5">
        <v>0</v>
      </c>
      <c r="E33646" s="5">
        <v>0</v>
      </c>
      <c r="F33646" s="5">
        <v>0</v>
      </c>
      <c r="G33646" s="5">
        <v>0</v>
      </c>
      <c r="H33646" s="5">
        <v>0</v>
      </c>
      <c r="I33646" s="5">
        <v>0</v>
      </c>
      <c r="J33646" s="5">
        <v>0</v>
      </c>
      <c r="K33646" s="5">
        <v>0</v>
      </c>
    </row>
    <row r="33647" spans="1:11" x14ac:dyDescent="0.25">
      <c r="A33647" s="5">
        <f>33640</f>
      </c>
      <c r="B33647" s="5" t="s">
        <v>33655</v>
      </c>
      <c r="C33647" s="5">
        <v>0</v>
      </c>
      <c r="D33647" s="5">
        <v>0</v>
      </c>
      <c r="E33647" s="5">
        <v>0</v>
      </c>
      <c r="F33647" s="5">
        <v>0</v>
      </c>
      <c r="G33647" s="5">
        <v>0</v>
      </c>
      <c r="H33647" s="5">
        <v>0</v>
      </c>
      <c r="I33647" s="5">
        <v>0</v>
      </c>
      <c r="J33647" s="5">
        <v>0</v>
      </c>
      <c r="K33647" s="5">
        <v>0</v>
      </c>
    </row>
    <row r="33648" spans="1:11" x14ac:dyDescent="0.25">
      <c r="A33648" s="5">
        <f>33641</f>
      </c>
      <c r="B33648" s="5" t="s">
        <v>33656</v>
      </c>
      <c r="C33648" s="5">
        <v>0</v>
      </c>
      <c r="D33648" s="5">
        <v>0</v>
      </c>
      <c r="E33648" s="5">
        <v>0</v>
      </c>
      <c r="F33648" s="5">
        <v>0</v>
      </c>
      <c r="G33648" s="5">
        <v>0</v>
      </c>
      <c r="H33648" s="5">
        <v>0</v>
      </c>
      <c r="I33648" s="5">
        <v>0</v>
      </c>
      <c r="J33648" s="5">
        <v>0</v>
      </c>
      <c r="K33648" s="5">
        <v>0</v>
      </c>
    </row>
    <row r="33649" spans="1:11" x14ac:dyDescent="0.25">
      <c r="A33649" s="5">
        <f>33642</f>
      </c>
      <c r="B33649" s="5" t="s">
        <v>33657</v>
      </c>
      <c r="C33649" s="5">
        <v>0</v>
      </c>
      <c r="D33649" s="5">
        <v>0</v>
      </c>
      <c r="E33649" s="5">
        <v>0</v>
      </c>
      <c r="F33649" s="5">
        <v>0</v>
      </c>
      <c r="G33649" s="5">
        <v>0</v>
      </c>
      <c r="H33649" s="5">
        <v>0</v>
      </c>
      <c r="I33649" s="5">
        <v>0</v>
      </c>
      <c r="J33649" s="5">
        <v>0</v>
      </c>
      <c r="K33649" s="5">
        <v>0</v>
      </c>
    </row>
    <row r="33650" spans="1:11" x14ac:dyDescent="0.25">
      <c r="A33650" s="5">
        <f>33643</f>
      </c>
      <c r="B33650" s="5" t="s">
        <v>33658</v>
      </c>
      <c r="C33650" s="5">
        <v>0</v>
      </c>
      <c r="D33650" s="5">
        <v>0</v>
      </c>
      <c r="E33650" s="5">
        <v>0</v>
      </c>
      <c r="F33650" s="5">
        <v>0</v>
      </c>
      <c r="G33650" s="5">
        <v>0</v>
      </c>
      <c r="H33650" s="5">
        <v>0</v>
      </c>
      <c r="I33650" s="5">
        <v>0</v>
      </c>
      <c r="J33650" s="5">
        <v>0</v>
      </c>
      <c r="K33650" s="5">
        <v>0</v>
      </c>
    </row>
    <row r="33651" spans="1:11" x14ac:dyDescent="0.25">
      <c r="A33651" s="5">
        <f>33644</f>
      </c>
      <c r="B33651" s="5" t="s">
        <v>33659</v>
      </c>
      <c r="C33651" s="5">
        <v>0</v>
      </c>
      <c r="D33651" s="5">
        <v>0</v>
      </c>
      <c r="E33651" s="5">
        <v>0</v>
      </c>
      <c r="F33651" s="5">
        <v>0</v>
      </c>
      <c r="G33651" s="5">
        <v>0</v>
      </c>
      <c r="H33651" s="5">
        <v>0</v>
      </c>
      <c r="I33651" s="5">
        <v>0</v>
      </c>
      <c r="J33651" s="5">
        <v>0</v>
      </c>
      <c r="K33651" s="5">
        <v>0</v>
      </c>
    </row>
    <row r="33652" spans="1:11" x14ac:dyDescent="0.25">
      <c r="A33652" s="5">
        <f>33645</f>
      </c>
      <c r="B33652" s="5" t="s">
        <v>33660</v>
      </c>
      <c r="C33652" s="5">
        <v>0</v>
      </c>
      <c r="D33652" s="5">
        <v>0</v>
      </c>
      <c r="E33652" s="5">
        <v>0</v>
      </c>
      <c r="F33652" s="5">
        <v>0</v>
      </c>
      <c r="G33652" s="5">
        <v>0</v>
      </c>
      <c r="H33652" s="5">
        <v>0</v>
      </c>
      <c r="I33652" s="5">
        <v>0</v>
      </c>
      <c r="J33652" s="5">
        <v>0</v>
      </c>
      <c r="K33652" s="5">
        <v>0</v>
      </c>
    </row>
    <row r="33653" spans="1:11" x14ac:dyDescent="0.25">
      <c r="A33653" s="5">
        <f>33646</f>
      </c>
      <c r="B33653" s="5" t="s">
        <v>33661</v>
      </c>
      <c r="C33653" s="5">
        <v>0</v>
      </c>
      <c r="D33653" s="5">
        <v>0</v>
      </c>
      <c r="E33653" s="5">
        <v>0</v>
      </c>
      <c r="F33653" s="5">
        <v>0</v>
      </c>
      <c r="G33653" s="5">
        <v>0</v>
      </c>
      <c r="H33653" s="5">
        <v>0</v>
      </c>
      <c r="I33653" s="5">
        <v>0</v>
      </c>
      <c r="J33653" s="5">
        <v>0</v>
      </c>
      <c r="K33653" s="5">
        <v>0</v>
      </c>
    </row>
    <row r="33654" spans="1:11" x14ac:dyDescent="0.25">
      <c r="A33654" s="5">
        <f>33647</f>
      </c>
      <c r="B33654" s="5" t="s">
        <v>33662</v>
      </c>
      <c r="C33654" s="5">
        <v>0</v>
      </c>
      <c r="D33654" s="5">
        <v>0</v>
      </c>
      <c r="E33654" s="5">
        <v>0</v>
      </c>
      <c r="F33654" s="5">
        <v>0</v>
      </c>
      <c r="G33654" s="5">
        <v>0</v>
      </c>
      <c r="H33654" s="5">
        <v>0</v>
      </c>
      <c r="I33654" s="5">
        <v>0</v>
      </c>
      <c r="J33654" s="5">
        <v>0</v>
      </c>
      <c r="K33654" s="5">
        <v>0</v>
      </c>
    </row>
    <row r="33655" spans="1:11" x14ac:dyDescent="0.25">
      <c r="A33655" s="5">
        <f>33648</f>
      </c>
      <c r="B33655" s="5" t="s">
        <v>33663</v>
      </c>
      <c r="C33655" s="5">
        <v>0</v>
      </c>
      <c r="D33655" s="5">
        <v>0</v>
      </c>
      <c r="E33655" s="5">
        <v>0</v>
      </c>
      <c r="F33655" s="5">
        <v>0</v>
      </c>
      <c r="G33655" s="5">
        <v>0</v>
      </c>
      <c r="H33655" s="5">
        <v>0</v>
      </c>
      <c r="I33655" s="5">
        <v>0</v>
      </c>
      <c r="J33655" s="5">
        <v>0</v>
      </c>
      <c r="K33655" s="5">
        <v>0</v>
      </c>
    </row>
    <row r="33656" spans="1:11" x14ac:dyDescent="0.25">
      <c r="A33656" s="5">
        <f>33649</f>
      </c>
      <c r="B33656" s="5" t="s">
        <v>33664</v>
      </c>
      <c r="C33656" s="5">
        <v>0</v>
      </c>
      <c r="D33656" s="5">
        <v>0</v>
      </c>
      <c r="E33656" s="5">
        <v>0</v>
      </c>
      <c r="F33656" s="5">
        <v>0</v>
      </c>
      <c r="G33656" s="5">
        <v>0</v>
      </c>
      <c r="H33656" s="5">
        <v>0</v>
      </c>
      <c r="I33656" s="5">
        <v>0</v>
      </c>
      <c r="J33656" s="5">
        <v>0</v>
      </c>
      <c r="K33656" s="5">
        <v>0</v>
      </c>
    </row>
    <row r="33657" spans="1:11" x14ac:dyDescent="0.25">
      <c r="A33657" s="5">
        <f>33650</f>
      </c>
      <c r="B33657" s="5" t="s">
        <v>33665</v>
      </c>
      <c r="C33657" s="5">
        <v>0</v>
      </c>
      <c r="D33657" s="5">
        <v>0</v>
      </c>
      <c r="E33657" s="5">
        <v>0</v>
      </c>
      <c r="F33657" s="5">
        <v>0</v>
      </c>
      <c r="G33657" s="5">
        <v>0</v>
      </c>
      <c r="H33657" s="5">
        <v>0</v>
      </c>
      <c r="I33657" s="5">
        <v>0</v>
      </c>
      <c r="J33657" s="5">
        <v>0</v>
      </c>
      <c r="K33657" s="5">
        <v>0</v>
      </c>
    </row>
    <row r="33658" spans="1:11" x14ac:dyDescent="0.25">
      <c r="A33658" s="5">
        <f>33651</f>
      </c>
      <c r="B33658" s="5" t="s">
        <v>33666</v>
      </c>
      <c r="C33658" s="5">
        <v>0</v>
      </c>
      <c r="D33658" s="5">
        <v>0</v>
      </c>
      <c r="E33658" s="5">
        <v>0</v>
      </c>
      <c r="F33658" s="5">
        <v>0</v>
      </c>
      <c r="G33658" s="5">
        <v>0</v>
      </c>
      <c r="H33658" s="5">
        <v>0</v>
      </c>
      <c r="I33658" s="5">
        <v>0</v>
      </c>
      <c r="J33658" s="5">
        <v>0</v>
      </c>
      <c r="K33658" s="5">
        <v>0</v>
      </c>
    </row>
    <row r="33659" spans="1:11" x14ac:dyDescent="0.25">
      <c r="A33659" s="5">
        <f>33652</f>
      </c>
      <c r="B33659" s="5" t="s">
        <v>33667</v>
      </c>
      <c r="C33659" s="5">
        <v>0</v>
      </c>
      <c r="D33659" s="5">
        <v>0</v>
      </c>
      <c r="E33659" s="5">
        <v>0</v>
      </c>
      <c r="F33659" s="5">
        <v>0</v>
      </c>
      <c r="G33659" s="5">
        <v>0</v>
      </c>
      <c r="H33659" s="5">
        <v>0</v>
      </c>
      <c r="I33659" s="5">
        <v>0</v>
      </c>
      <c r="J33659" s="5">
        <v>0</v>
      </c>
      <c r="K33659" s="5">
        <v>0</v>
      </c>
    </row>
    <row r="33660" spans="1:11" x14ac:dyDescent="0.25">
      <c r="A33660" s="5">
        <f>33653</f>
      </c>
      <c r="B33660" s="5" t="s">
        <v>33668</v>
      </c>
      <c r="C33660" s="5">
        <v>0</v>
      </c>
      <c r="D33660" s="5">
        <v>0</v>
      </c>
      <c r="E33660" s="5">
        <v>0</v>
      </c>
      <c r="F33660" s="5">
        <v>0</v>
      </c>
      <c r="G33660" s="5">
        <v>0</v>
      </c>
      <c r="H33660" s="5">
        <v>0</v>
      </c>
      <c r="I33660" s="5">
        <v>0</v>
      </c>
      <c r="J33660" s="5">
        <v>0</v>
      </c>
      <c r="K33660" s="5">
        <v>0</v>
      </c>
    </row>
    <row r="33661" spans="1:11" x14ac:dyDescent="0.25">
      <c r="A33661" s="5">
        <f>33654</f>
      </c>
      <c r="B33661" s="5" t="s">
        <v>33669</v>
      </c>
      <c r="C33661" s="5">
        <v>0</v>
      </c>
      <c r="D33661" s="5">
        <v>0</v>
      </c>
      <c r="E33661" s="5">
        <v>0</v>
      </c>
      <c r="F33661" s="5">
        <v>0</v>
      </c>
      <c r="G33661" s="5">
        <v>0</v>
      </c>
      <c r="H33661" s="5">
        <v>0</v>
      </c>
      <c r="I33661" s="5">
        <v>0</v>
      </c>
      <c r="J33661" s="5">
        <v>0</v>
      </c>
      <c r="K33661" s="5">
        <v>0</v>
      </c>
    </row>
    <row r="33662" spans="1:11" x14ac:dyDescent="0.25">
      <c r="A33662" s="5">
        <f>33655</f>
      </c>
      <c r="B33662" s="5" t="s">
        <v>33670</v>
      </c>
      <c r="C33662" s="5">
        <v>0</v>
      </c>
      <c r="D33662" s="5">
        <v>0</v>
      </c>
      <c r="E33662" s="5">
        <v>0</v>
      </c>
      <c r="F33662" s="5">
        <v>0</v>
      </c>
      <c r="G33662" s="5">
        <v>0</v>
      </c>
      <c r="H33662" s="5">
        <v>0</v>
      </c>
      <c r="I33662" s="5">
        <v>0</v>
      </c>
      <c r="J33662" s="5">
        <v>0</v>
      </c>
      <c r="K33662" s="5">
        <v>0</v>
      </c>
    </row>
    <row r="33663" spans="1:11" x14ac:dyDescent="0.25">
      <c r="A33663" s="5">
        <f>33656</f>
      </c>
      <c r="B33663" s="5" t="s">
        <v>33671</v>
      </c>
      <c r="C33663" s="5">
        <v>0</v>
      </c>
      <c r="D33663" s="5">
        <v>0</v>
      </c>
      <c r="E33663" s="5">
        <v>0</v>
      </c>
      <c r="F33663" s="5">
        <v>0</v>
      </c>
      <c r="G33663" s="5">
        <v>0</v>
      </c>
      <c r="H33663" s="5">
        <v>0</v>
      </c>
      <c r="I33663" s="5">
        <v>0</v>
      </c>
      <c r="J33663" s="5">
        <v>0</v>
      </c>
      <c r="K33663" s="5">
        <v>0</v>
      </c>
    </row>
    <row r="33664" spans="1:11" x14ac:dyDescent="0.25">
      <c r="A33664" s="5">
        <f>33657</f>
      </c>
      <c r="B33664" s="5" t="s">
        <v>33672</v>
      </c>
      <c r="C33664" s="5">
        <v>0</v>
      </c>
      <c r="D33664" s="5">
        <v>0</v>
      </c>
      <c r="E33664" s="5">
        <v>0</v>
      </c>
      <c r="F33664" s="5">
        <v>0</v>
      </c>
      <c r="G33664" s="5">
        <v>0</v>
      </c>
      <c r="H33664" s="5">
        <v>0</v>
      </c>
      <c r="I33664" s="5">
        <v>0</v>
      </c>
      <c r="J33664" s="5">
        <v>0</v>
      </c>
      <c r="K33664" s="5">
        <v>0</v>
      </c>
    </row>
    <row r="33665" spans="1:11" x14ac:dyDescent="0.25">
      <c r="A33665" s="5">
        <f>33658</f>
      </c>
      <c r="B33665" s="5" t="s">
        <v>33673</v>
      </c>
      <c r="C33665" s="5">
        <v>0</v>
      </c>
      <c r="D33665" s="5">
        <v>0</v>
      </c>
      <c r="E33665" s="5">
        <v>0</v>
      </c>
      <c r="F33665" s="5">
        <v>0</v>
      </c>
      <c r="G33665" s="5">
        <v>0</v>
      </c>
      <c r="H33665" s="5">
        <v>0</v>
      </c>
      <c r="I33665" s="5">
        <v>0</v>
      </c>
      <c r="J33665" s="5">
        <v>0</v>
      </c>
      <c r="K33665" s="5">
        <v>0</v>
      </c>
    </row>
    <row r="33666" spans="1:11" x14ac:dyDescent="0.25">
      <c r="A33666" s="5">
        <f>33659</f>
      </c>
      <c r="B33666" s="5" t="s">
        <v>33674</v>
      </c>
      <c r="C33666" s="5">
        <v>0</v>
      </c>
      <c r="D33666" s="5">
        <v>0</v>
      </c>
      <c r="E33666" s="5">
        <v>0</v>
      </c>
      <c r="F33666" s="5">
        <v>0</v>
      </c>
      <c r="G33666" s="5">
        <v>0</v>
      </c>
      <c r="H33666" s="5">
        <v>0</v>
      </c>
      <c r="I33666" s="5">
        <v>0</v>
      </c>
      <c r="J33666" s="5">
        <v>0</v>
      </c>
      <c r="K33666" s="5">
        <v>0</v>
      </c>
    </row>
    <row r="33667" spans="1:11" x14ac:dyDescent="0.25">
      <c r="A33667" s="5">
        <f>33660</f>
      </c>
      <c r="B33667" s="5" t="s">
        <v>33675</v>
      </c>
      <c r="C33667" s="5">
        <v>0</v>
      </c>
      <c r="D33667" s="5">
        <v>0</v>
      </c>
      <c r="E33667" s="5">
        <v>0</v>
      </c>
      <c r="F33667" s="5">
        <v>0</v>
      </c>
      <c r="G33667" s="5">
        <v>0</v>
      </c>
      <c r="H33667" s="5">
        <v>0</v>
      </c>
      <c r="I33667" s="5">
        <v>0</v>
      </c>
      <c r="J33667" s="5">
        <v>0</v>
      </c>
      <c r="K33667" s="5">
        <v>0</v>
      </c>
    </row>
    <row r="33668" spans="1:11" x14ac:dyDescent="0.25">
      <c r="A33668" s="5">
        <f>33661</f>
      </c>
      <c r="B33668" s="5" t="s">
        <v>33676</v>
      </c>
      <c r="C33668" s="5">
        <v>0</v>
      </c>
      <c r="D33668" s="5">
        <v>0</v>
      </c>
      <c r="E33668" s="5">
        <v>0</v>
      </c>
      <c r="F33668" s="5">
        <v>0</v>
      </c>
      <c r="G33668" s="5">
        <v>0</v>
      </c>
      <c r="H33668" s="5">
        <v>0</v>
      </c>
      <c r="I33668" s="5">
        <v>0</v>
      </c>
      <c r="J33668" s="5">
        <v>0</v>
      </c>
      <c r="K33668" s="5">
        <v>0</v>
      </c>
    </row>
    <row r="33669" spans="1:11" x14ac:dyDescent="0.25">
      <c r="A33669" s="5">
        <f>33662</f>
      </c>
      <c r="B33669" s="5" t="s">
        <v>33677</v>
      </c>
      <c r="C33669" s="5">
        <v>0</v>
      </c>
      <c r="D33669" s="5">
        <v>0</v>
      </c>
      <c r="E33669" s="5">
        <v>0</v>
      </c>
      <c r="F33669" s="5">
        <v>0</v>
      </c>
      <c r="G33669" s="5">
        <v>0</v>
      </c>
      <c r="H33669" s="5">
        <v>0</v>
      </c>
      <c r="I33669" s="5">
        <v>0</v>
      </c>
      <c r="J33669" s="5">
        <v>0</v>
      </c>
      <c r="K33669" s="5">
        <v>0</v>
      </c>
    </row>
    <row r="33670" spans="1:11" x14ac:dyDescent="0.25">
      <c r="A33670" s="5">
        <f>33663</f>
      </c>
      <c r="B33670" s="5" t="s">
        <v>33678</v>
      </c>
      <c r="C33670" s="5">
        <v>0</v>
      </c>
      <c r="D33670" s="5">
        <v>0</v>
      </c>
      <c r="E33670" s="5">
        <v>0</v>
      </c>
      <c r="F33670" s="5">
        <v>0</v>
      </c>
      <c r="G33670" s="5">
        <v>0</v>
      </c>
      <c r="H33670" s="5">
        <v>0</v>
      </c>
      <c r="I33670" s="5">
        <v>0</v>
      </c>
      <c r="J33670" s="5">
        <v>0</v>
      </c>
      <c r="K33670" s="5">
        <v>0</v>
      </c>
    </row>
    <row r="33671" spans="1:11" x14ac:dyDescent="0.25">
      <c r="A33671" s="5">
        <f>33664</f>
      </c>
      <c r="B33671" s="5" t="s">
        <v>33679</v>
      </c>
      <c r="C33671" s="5">
        <v>0</v>
      </c>
      <c r="D33671" s="5">
        <v>0</v>
      </c>
      <c r="E33671" s="5">
        <v>0</v>
      </c>
      <c r="F33671" s="5">
        <v>0</v>
      </c>
      <c r="G33671" s="5">
        <v>0</v>
      </c>
      <c r="H33671" s="5">
        <v>0</v>
      </c>
      <c r="I33671" s="5">
        <v>0</v>
      </c>
      <c r="J33671" s="5">
        <v>0</v>
      </c>
      <c r="K33671" s="5">
        <v>0</v>
      </c>
    </row>
    <row r="33672" spans="1:11" x14ac:dyDescent="0.25">
      <c r="A33672" s="5">
        <f>33665</f>
      </c>
      <c r="B33672" s="5" t="s">
        <v>33680</v>
      </c>
      <c r="C33672" s="5">
        <v>0</v>
      </c>
      <c r="D33672" s="5">
        <v>0</v>
      </c>
      <c r="E33672" s="5">
        <v>0</v>
      </c>
      <c r="F33672" s="5">
        <v>0</v>
      </c>
      <c r="G33672" s="5">
        <v>0</v>
      </c>
      <c r="H33672" s="5">
        <v>0</v>
      </c>
      <c r="I33672" s="5">
        <v>0</v>
      </c>
      <c r="J33672" s="5">
        <v>0</v>
      </c>
      <c r="K33672" s="5">
        <v>0</v>
      </c>
    </row>
    <row r="33673" spans="1:11" x14ac:dyDescent="0.25">
      <c r="A33673" s="5">
        <f>33666</f>
      </c>
      <c r="B33673" s="5" t="s">
        <v>33681</v>
      </c>
      <c r="C33673" s="5">
        <v>0</v>
      </c>
      <c r="D33673" s="5">
        <v>0</v>
      </c>
      <c r="E33673" s="5">
        <v>0</v>
      </c>
      <c r="F33673" s="5">
        <v>0</v>
      </c>
      <c r="G33673" s="5">
        <v>0</v>
      </c>
      <c r="H33673" s="5">
        <v>0</v>
      </c>
      <c r="I33673" s="5">
        <v>0</v>
      </c>
      <c r="J33673" s="5">
        <v>0</v>
      </c>
      <c r="K33673" s="5">
        <v>0</v>
      </c>
    </row>
    <row r="33674" spans="1:11" x14ac:dyDescent="0.25">
      <c r="A33674" s="5">
        <f>33667</f>
      </c>
      <c r="B33674" s="5" t="s">
        <v>33682</v>
      </c>
      <c r="C33674" s="5">
        <v>0</v>
      </c>
      <c r="D33674" s="5">
        <v>0</v>
      </c>
      <c r="E33674" s="5">
        <v>0</v>
      </c>
      <c r="F33674" s="5">
        <v>0</v>
      </c>
      <c r="G33674" s="5">
        <v>0</v>
      </c>
      <c r="H33674" s="5">
        <v>0</v>
      </c>
      <c r="I33674" s="5">
        <v>0</v>
      </c>
      <c r="J33674" s="5">
        <v>0</v>
      </c>
      <c r="K33674" s="5">
        <v>0</v>
      </c>
    </row>
    <row r="33675" spans="1:11" x14ac:dyDescent="0.25">
      <c r="A33675" s="5">
        <f>33668</f>
      </c>
      <c r="B33675" s="5" t="s">
        <v>33683</v>
      </c>
      <c r="C33675" s="5">
        <v>0</v>
      </c>
      <c r="D33675" s="5">
        <v>0</v>
      </c>
      <c r="E33675" s="5">
        <v>0</v>
      </c>
      <c r="F33675" s="5">
        <v>0</v>
      </c>
      <c r="G33675" s="5">
        <v>0</v>
      </c>
      <c r="H33675" s="5">
        <v>0</v>
      </c>
      <c r="I33675" s="5">
        <v>0</v>
      </c>
      <c r="J33675" s="5">
        <v>0</v>
      </c>
      <c r="K33675" s="5">
        <v>0</v>
      </c>
    </row>
    <row r="33676" spans="1:11" x14ac:dyDescent="0.25">
      <c r="A33676" s="5">
        <f>33669</f>
      </c>
      <c r="B33676" s="5" t="s">
        <v>33684</v>
      </c>
      <c r="C33676" s="5">
        <v>0</v>
      </c>
      <c r="D33676" s="5">
        <v>0</v>
      </c>
      <c r="E33676" s="5">
        <v>0</v>
      </c>
      <c r="F33676" s="5">
        <v>0</v>
      </c>
      <c r="G33676" s="5">
        <v>0</v>
      </c>
      <c r="H33676" s="5">
        <v>0</v>
      </c>
      <c r="I33676" s="5">
        <v>0</v>
      </c>
      <c r="J33676" s="5">
        <v>0</v>
      </c>
      <c r="K33676" s="5">
        <v>0</v>
      </c>
    </row>
    <row r="33677" spans="1:11" x14ac:dyDescent="0.25">
      <c r="A33677" s="5">
        <f>33670</f>
      </c>
      <c r="B33677" s="5" t="s">
        <v>33685</v>
      </c>
      <c r="C33677" s="5">
        <v>0</v>
      </c>
      <c r="D33677" s="5">
        <v>0</v>
      </c>
      <c r="E33677" s="5">
        <v>0</v>
      </c>
      <c r="F33677" s="5">
        <v>0</v>
      </c>
      <c r="G33677" s="5">
        <v>0</v>
      </c>
      <c r="H33677" s="5">
        <v>0</v>
      </c>
      <c r="I33677" s="5">
        <v>0</v>
      </c>
      <c r="J33677" s="5">
        <v>0</v>
      </c>
      <c r="K33677" s="5">
        <v>0</v>
      </c>
    </row>
    <row r="33678" spans="1:11" x14ac:dyDescent="0.25">
      <c r="A33678" s="5">
        <f>33671</f>
      </c>
      <c r="B33678" s="5" t="s">
        <v>33686</v>
      </c>
      <c r="C33678" s="5">
        <v>0</v>
      </c>
      <c r="D33678" s="5">
        <v>0</v>
      </c>
      <c r="E33678" s="5">
        <v>0</v>
      </c>
      <c r="F33678" s="5">
        <v>0</v>
      </c>
      <c r="G33678" s="5">
        <v>0</v>
      </c>
      <c r="H33678" s="5">
        <v>0</v>
      </c>
      <c r="I33678" s="5">
        <v>0</v>
      </c>
      <c r="J33678" s="5">
        <v>0</v>
      </c>
      <c r="K33678" s="5">
        <v>0</v>
      </c>
    </row>
    <row r="33679" spans="1:11" x14ac:dyDescent="0.25">
      <c r="A33679" s="5">
        <f>33672</f>
      </c>
      <c r="B33679" s="5" t="s">
        <v>33687</v>
      </c>
      <c r="C33679" s="5">
        <v>0</v>
      </c>
      <c r="D33679" s="5">
        <v>0</v>
      </c>
      <c r="E33679" s="5">
        <v>0</v>
      </c>
      <c r="F33679" s="5">
        <v>0</v>
      </c>
      <c r="G33679" s="5">
        <v>0</v>
      </c>
      <c r="H33679" s="5">
        <v>0</v>
      </c>
      <c r="I33679" s="5">
        <v>0</v>
      </c>
      <c r="J33679" s="5">
        <v>0</v>
      </c>
      <c r="K33679" s="5">
        <v>0</v>
      </c>
    </row>
    <row r="33680" spans="1:11" x14ac:dyDescent="0.25">
      <c r="A33680" s="5">
        <f>33673</f>
      </c>
      <c r="B33680" s="5" t="s">
        <v>33688</v>
      </c>
      <c r="C33680" s="5">
        <v>0</v>
      </c>
      <c r="D33680" s="5">
        <v>0</v>
      </c>
      <c r="E33680" s="5">
        <v>0</v>
      </c>
      <c r="F33680" s="5">
        <v>0</v>
      </c>
      <c r="G33680" s="5">
        <v>0</v>
      </c>
      <c r="H33680" s="5">
        <v>0</v>
      </c>
      <c r="I33680" s="5">
        <v>0</v>
      </c>
      <c r="J33680" s="5">
        <v>0</v>
      </c>
      <c r="K33680" s="5">
        <v>0</v>
      </c>
    </row>
    <row r="33681" spans="1:11" x14ac:dyDescent="0.25">
      <c r="A33681" s="5">
        <f>33674</f>
      </c>
      <c r="B33681" s="5" t="s">
        <v>33689</v>
      </c>
      <c r="C33681" s="5">
        <v>0</v>
      </c>
      <c r="D33681" s="5">
        <v>0</v>
      </c>
      <c r="E33681" s="5">
        <v>0</v>
      </c>
      <c r="F33681" s="5">
        <v>0</v>
      </c>
      <c r="G33681" s="5">
        <v>0</v>
      </c>
      <c r="H33681" s="5">
        <v>0</v>
      </c>
      <c r="I33681" s="5">
        <v>0</v>
      </c>
      <c r="J33681" s="5">
        <v>0</v>
      </c>
      <c r="K33681" s="5">
        <v>0</v>
      </c>
    </row>
    <row r="33682" spans="1:11" x14ac:dyDescent="0.25">
      <c r="A33682" s="5">
        <f>33675</f>
      </c>
      <c r="B33682" s="5" t="s">
        <v>33690</v>
      </c>
      <c r="C33682" s="5">
        <v>0</v>
      </c>
      <c r="D33682" s="5">
        <v>0</v>
      </c>
      <c r="E33682" s="5">
        <v>0</v>
      </c>
      <c r="F33682" s="5">
        <v>0</v>
      </c>
      <c r="G33682" s="5">
        <v>0</v>
      </c>
      <c r="H33682" s="5">
        <v>0</v>
      </c>
      <c r="I33682" s="5">
        <v>0</v>
      </c>
      <c r="J33682" s="5">
        <v>0</v>
      </c>
      <c r="K33682" s="5">
        <v>0</v>
      </c>
    </row>
    <row r="33683" spans="1:11" x14ac:dyDescent="0.25">
      <c r="A33683" s="5">
        <f>33676</f>
      </c>
      <c r="B33683" s="5" t="s">
        <v>33691</v>
      </c>
      <c r="C33683" s="5">
        <v>0</v>
      </c>
      <c r="D33683" s="5">
        <v>0</v>
      </c>
      <c r="E33683" s="5">
        <v>0</v>
      </c>
      <c r="F33683" s="5">
        <v>0</v>
      </c>
      <c r="G33683" s="5">
        <v>0</v>
      </c>
      <c r="H33683" s="5">
        <v>0</v>
      </c>
      <c r="I33683" s="5">
        <v>0</v>
      </c>
      <c r="J33683" s="5">
        <v>0</v>
      </c>
      <c r="K33683" s="5">
        <v>0</v>
      </c>
    </row>
    <row r="33684" spans="1:11" x14ac:dyDescent="0.25">
      <c r="A33684" s="5">
        <f>33677</f>
      </c>
      <c r="B33684" s="5" t="s">
        <v>33692</v>
      </c>
      <c r="C33684" s="5">
        <v>0</v>
      </c>
      <c r="D33684" s="5">
        <v>0</v>
      </c>
      <c r="E33684" s="5">
        <v>0</v>
      </c>
      <c r="F33684" s="5">
        <v>0</v>
      </c>
      <c r="G33684" s="5">
        <v>0</v>
      </c>
      <c r="H33684" s="5">
        <v>0</v>
      </c>
      <c r="I33684" s="5">
        <v>0</v>
      </c>
      <c r="J33684" s="5">
        <v>0</v>
      </c>
      <c r="K33684" s="5">
        <v>0</v>
      </c>
    </row>
    <row r="33685" spans="1:11" x14ac:dyDescent="0.25">
      <c r="A33685" s="5">
        <f>33678</f>
      </c>
      <c r="B33685" s="5" t="s">
        <v>33693</v>
      </c>
      <c r="C33685" s="5">
        <v>0</v>
      </c>
      <c r="D33685" s="5">
        <v>0</v>
      </c>
      <c r="E33685" s="5">
        <v>0</v>
      </c>
      <c r="F33685" s="5">
        <v>0</v>
      </c>
      <c r="G33685" s="5">
        <v>0</v>
      </c>
      <c r="H33685" s="5">
        <v>0</v>
      </c>
      <c r="I33685" s="5">
        <v>0</v>
      </c>
      <c r="J33685" s="5">
        <v>0</v>
      </c>
      <c r="K33685" s="5">
        <v>0</v>
      </c>
    </row>
    <row r="33686" spans="1:11" x14ac:dyDescent="0.25">
      <c r="A33686" s="5">
        <f>33679</f>
      </c>
      <c r="B33686" s="5" t="s">
        <v>33694</v>
      </c>
      <c r="C33686" s="5">
        <v>0</v>
      </c>
      <c r="D33686" s="5">
        <v>0</v>
      </c>
      <c r="E33686" s="5">
        <v>0</v>
      </c>
      <c r="F33686" s="5">
        <v>0</v>
      </c>
      <c r="G33686" s="5">
        <v>0</v>
      </c>
      <c r="H33686" s="5">
        <v>0</v>
      </c>
      <c r="I33686" s="5">
        <v>0</v>
      </c>
      <c r="J33686" s="5">
        <v>0</v>
      </c>
      <c r="K33686" s="5">
        <v>0</v>
      </c>
    </row>
    <row r="33687" spans="1:11" x14ac:dyDescent="0.25">
      <c r="A33687" s="5">
        <f>33680</f>
      </c>
      <c r="B33687" s="5" t="s">
        <v>33695</v>
      </c>
      <c r="C33687" s="5">
        <v>0</v>
      </c>
      <c r="D33687" s="5">
        <v>0</v>
      </c>
      <c r="E33687" s="5">
        <v>0</v>
      </c>
      <c r="F33687" s="5">
        <v>0</v>
      </c>
      <c r="G33687" s="5">
        <v>0</v>
      </c>
      <c r="H33687" s="5">
        <v>0</v>
      </c>
      <c r="I33687" s="5">
        <v>0</v>
      </c>
      <c r="J33687" s="5">
        <v>0</v>
      </c>
      <c r="K33687" s="5">
        <v>0</v>
      </c>
    </row>
    <row r="33688" spans="1:11" x14ac:dyDescent="0.25">
      <c r="A33688" s="5">
        <f>33681</f>
      </c>
      <c r="B33688" s="5" t="s">
        <v>33696</v>
      </c>
      <c r="C33688" s="5">
        <v>0</v>
      </c>
      <c r="D33688" s="5">
        <v>0</v>
      </c>
      <c r="E33688" s="5">
        <v>0</v>
      </c>
      <c r="F33688" s="5">
        <v>0</v>
      </c>
      <c r="G33688" s="5">
        <v>0</v>
      </c>
      <c r="H33688" s="5">
        <v>0</v>
      </c>
      <c r="I33688" s="5">
        <v>0</v>
      </c>
      <c r="J33688" s="5">
        <v>0</v>
      </c>
      <c r="K33688" s="5">
        <v>0</v>
      </c>
    </row>
    <row r="33689" spans="1:11" x14ac:dyDescent="0.25">
      <c r="A33689" s="5">
        <f>33682</f>
      </c>
      <c r="B33689" s="5" t="s">
        <v>33697</v>
      </c>
      <c r="C33689" s="5">
        <v>0</v>
      </c>
      <c r="D33689" s="5">
        <v>0</v>
      </c>
      <c r="E33689" s="5">
        <v>0</v>
      </c>
      <c r="F33689" s="5">
        <v>0</v>
      </c>
      <c r="G33689" s="5">
        <v>0</v>
      </c>
      <c r="H33689" s="5">
        <v>0</v>
      </c>
      <c r="I33689" s="5">
        <v>0</v>
      </c>
      <c r="J33689" s="5">
        <v>0</v>
      </c>
      <c r="K33689" s="5">
        <v>0</v>
      </c>
    </row>
    <row r="33690" spans="1:11" x14ac:dyDescent="0.25">
      <c r="A33690" s="5">
        <f>33683</f>
      </c>
      <c r="B33690" s="5" t="s">
        <v>33698</v>
      </c>
      <c r="C33690" s="5">
        <v>0</v>
      </c>
      <c r="D33690" s="5">
        <v>0</v>
      </c>
      <c r="E33690" s="5">
        <v>0</v>
      </c>
      <c r="F33690" s="5">
        <v>0</v>
      </c>
      <c r="G33690" s="5">
        <v>0</v>
      </c>
      <c r="H33690" s="5">
        <v>0</v>
      </c>
      <c r="I33690" s="5">
        <v>0</v>
      </c>
      <c r="J33690" s="5">
        <v>0</v>
      </c>
      <c r="K33690" s="5">
        <v>0</v>
      </c>
    </row>
    <row r="33691" spans="1:11" x14ac:dyDescent="0.25">
      <c r="A33691" s="5">
        <f>33684</f>
      </c>
      <c r="B33691" s="5" t="s">
        <v>33699</v>
      </c>
      <c r="C33691" s="5">
        <v>0</v>
      </c>
      <c r="D33691" s="5">
        <v>0</v>
      </c>
      <c r="E33691" s="5">
        <v>0</v>
      </c>
      <c r="F33691" s="5">
        <v>0</v>
      </c>
      <c r="G33691" s="5">
        <v>0</v>
      </c>
      <c r="H33691" s="5">
        <v>0</v>
      </c>
      <c r="I33691" s="5">
        <v>0</v>
      </c>
      <c r="J33691" s="5">
        <v>0</v>
      </c>
      <c r="K33691" s="5">
        <v>0</v>
      </c>
    </row>
    <row r="33692" spans="1:11" x14ac:dyDescent="0.25">
      <c r="A33692" s="5">
        <f>33685</f>
      </c>
      <c r="B33692" s="5" t="s">
        <v>33700</v>
      </c>
      <c r="C33692" s="5">
        <v>0</v>
      </c>
      <c r="D33692" s="5">
        <v>0</v>
      </c>
      <c r="E33692" s="5">
        <v>0</v>
      </c>
      <c r="F33692" s="5">
        <v>0</v>
      </c>
      <c r="G33692" s="5">
        <v>0</v>
      </c>
      <c r="H33692" s="5">
        <v>0</v>
      </c>
      <c r="I33692" s="5">
        <v>0</v>
      </c>
      <c r="J33692" s="5">
        <v>0</v>
      </c>
      <c r="K33692" s="5">
        <v>0</v>
      </c>
    </row>
    <row r="33693" spans="1:11" x14ac:dyDescent="0.25">
      <c r="A33693" s="5">
        <f>33686</f>
      </c>
      <c r="B33693" s="5" t="s">
        <v>33701</v>
      </c>
      <c r="C33693" s="5">
        <v>0</v>
      </c>
      <c r="D33693" s="5">
        <v>0</v>
      </c>
      <c r="E33693" s="5">
        <v>0</v>
      </c>
      <c r="F33693" s="5">
        <v>0</v>
      </c>
      <c r="G33693" s="5">
        <v>0</v>
      </c>
      <c r="H33693" s="5">
        <v>0</v>
      </c>
      <c r="I33693" s="5">
        <v>0</v>
      </c>
      <c r="J33693" s="5">
        <v>0</v>
      </c>
      <c r="K33693" s="5">
        <v>0</v>
      </c>
    </row>
    <row r="33694" spans="1:11" x14ac:dyDescent="0.25">
      <c r="A33694" s="5">
        <f>33687</f>
      </c>
      <c r="B33694" s="5" t="s">
        <v>33702</v>
      </c>
      <c r="C33694" s="5">
        <v>0</v>
      </c>
      <c r="D33694" s="5">
        <v>0</v>
      </c>
      <c r="E33694" s="5">
        <v>0</v>
      </c>
      <c r="F33694" s="5">
        <v>0</v>
      </c>
      <c r="G33694" s="5">
        <v>0</v>
      </c>
      <c r="H33694" s="5">
        <v>0</v>
      </c>
      <c r="I33694" s="5">
        <v>0</v>
      </c>
      <c r="J33694" s="5">
        <v>0</v>
      </c>
      <c r="K33694" s="5">
        <v>0</v>
      </c>
    </row>
    <row r="33695" spans="1:11" x14ac:dyDescent="0.25">
      <c r="A33695" s="5">
        <f>33688</f>
      </c>
      <c r="B33695" s="5" t="s">
        <v>33703</v>
      </c>
      <c r="C33695" s="5">
        <v>0</v>
      </c>
      <c r="D33695" s="5">
        <v>0</v>
      </c>
      <c r="E33695" s="5">
        <v>0</v>
      </c>
      <c r="F33695" s="5">
        <v>0</v>
      </c>
      <c r="G33695" s="5">
        <v>0</v>
      </c>
      <c r="H33695" s="5">
        <v>0</v>
      </c>
      <c r="I33695" s="5">
        <v>0</v>
      </c>
      <c r="J33695" s="5">
        <v>0</v>
      </c>
      <c r="K33695" s="5">
        <v>0</v>
      </c>
    </row>
    <row r="33696" spans="1:11" x14ac:dyDescent="0.25">
      <c r="A33696" s="5">
        <f>33689</f>
      </c>
      <c r="B33696" s="5" t="s">
        <v>33704</v>
      </c>
      <c r="C33696" s="5">
        <v>0</v>
      </c>
      <c r="D33696" s="5">
        <v>0</v>
      </c>
      <c r="E33696" s="5">
        <v>0</v>
      </c>
      <c r="F33696" s="5">
        <v>0</v>
      </c>
      <c r="G33696" s="5">
        <v>0</v>
      </c>
      <c r="H33696" s="5">
        <v>0</v>
      </c>
      <c r="I33696" s="5">
        <v>0</v>
      </c>
      <c r="J33696" s="5">
        <v>0</v>
      </c>
      <c r="K33696" s="5">
        <v>0</v>
      </c>
    </row>
    <row r="33697" spans="1:11" x14ac:dyDescent="0.25">
      <c r="A33697" s="5">
        <f>33690</f>
      </c>
      <c r="B33697" s="5" t="s">
        <v>33705</v>
      </c>
      <c r="C33697" s="5">
        <v>0</v>
      </c>
      <c r="D33697" s="5">
        <v>0</v>
      </c>
      <c r="E33697" s="5">
        <v>0</v>
      </c>
      <c r="F33697" s="5">
        <v>0</v>
      </c>
      <c r="G33697" s="5">
        <v>0</v>
      </c>
      <c r="H33697" s="5">
        <v>0</v>
      </c>
      <c r="I33697" s="5">
        <v>0</v>
      </c>
      <c r="J33697" s="5">
        <v>0</v>
      </c>
      <c r="K33697" s="5">
        <v>0</v>
      </c>
    </row>
    <row r="33698" spans="1:11" x14ac:dyDescent="0.25">
      <c r="A33698" s="5">
        <f>33691</f>
      </c>
      <c r="B33698" s="5" t="s">
        <v>33706</v>
      </c>
      <c r="C33698" s="5">
        <v>0</v>
      </c>
      <c r="D33698" s="5">
        <v>0</v>
      </c>
      <c r="E33698" s="5">
        <v>0</v>
      </c>
      <c r="F33698" s="5">
        <v>0</v>
      </c>
      <c r="G33698" s="5">
        <v>0</v>
      </c>
      <c r="H33698" s="5">
        <v>0</v>
      </c>
      <c r="I33698" s="5">
        <v>0</v>
      </c>
      <c r="J33698" s="5">
        <v>0</v>
      </c>
      <c r="K33698" s="5">
        <v>0</v>
      </c>
    </row>
    <row r="33699" spans="1:11" x14ac:dyDescent="0.25">
      <c r="A33699" s="5">
        <f>33692</f>
      </c>
      <c r="B33699" s="5" t="s">
        <v>33707</v>
      </c>
      <c r="C33699" s="5">
        <v>0</v>
      </c>
      <c r="D33699" s="5">
        <v>0</v>
      </c>
      <c r="E33699" s="5">
        <v>0</v>
      </c>
      <c r="F33699" s="5">
        <v>0</v>
      </c>
      <c r="G33699" s="5">
        <v>0</v>
      </c>
      <c r="H33699" s="5">
        <v>0</v>
      </c>
      <c r="I33699" s="5">
        <v>0</v>
      </c>
      <c r="J33699" s="5">
        <v>0</v>
      </c>
      <c r="K33699" s="5">
        <v>0</v>
      </c>
    </row>
    <row r="33700" spans="1:11" x14ac:dyDescent="0.25">
      <c r="A33700" s="5">
        <f>33693</f>
      </c>
      <c r="B33700" s="5" t="s">
        <v>33708</v>
      </c>
      <c r="C33700" s="5">
        <v>0</v>
      </c>
      <c r="D33700" s="5">
        <v>0</v>
      </c>
      <c r="E33700" s="5">
        <v>0</v>
      </c>
      <c r="F33700" s="5">
        <v>0</v>
      </c>
      <c r="G33700" s="5">
        <v>0</v>
      </c>
      <c r="H33700" s="5">
        <v>0</v>
      </c>
      <c r="I33700" s="5">
        <v>0</v>
      </c>
      <c r="J33700" s="5">
        <v>0</v>
      </c>
      <c r="K33700" s="5">
        <v>0</v>
      </c>
    </row>
    <row r="33701" spans="1:11" x14ac:dyDescent="0.25">
      <c r="A33701" s="5">
        <f>33694</f>
      </c>
      <c r="B33701" s="5" t="s">
        <v>33709</v>
      </c>
      <c r="C33701" s="5">
        <v>0</v>
      </c>
      <c r="D33701" s="5">
        <v>0</v>
      </c>
      <c r="E33701" s="5">
        <v>0</v>
      </c>
      <c r="F33701" s="5">
        <v>0</v>
      </c>
      <c r="G33701" s="5">
        <v>0</v>
      </c>
      <c r="H33701" s="5">
        <v>0</v>
      </c>
      <c r="I33701" s="5">
        <v>0</v>
      </c>
      <c r="J33701" s="5">
        <v>0</v>
      </c>
      <c r="K33701" s="5">
        <v>0</v>
      </c>
    </row>
    <row r="33702" spans="1:11" x14ac:dyDescent="0.25">
      <c r="A33702" s="5">
        <f>33695</f>
      </c>
      <c r="B33702" s="5" t="s">
        <v>33710</v>
      </c>
      <c r="C33702" s="5">
        <v>0</v>
      </c>
      <c r="D33702" s="5">
        <v>0</v>
      </c>
      <c r="E33702" s="5">
        <v>0</v>
      </c>
      <c r="F33702" s="5">
        <v>0</v>
      </c>
      <c r="G33702" s="5">
        <v>0</v>
      </c>
      <c r="H33702" s="5">
        <v>0</v>
      </c>
      <c r="I33702" s="5">
        <v>0</v>
      </c>
      <c r="J33702" s="5">
        <v>0</v>
      </c>
      <c r="K33702" s="5">
        <v>0</v>
      </c>
    </row>
    <row r="33703" spans="1:11" x14ac:dyDescent="0.25">
      <c r="A33703" s="5">
        <f>33696</f>
      </c>
      <c r="B33703" s="5" t="s">
        <v>33711</v>
      </c>
      <c r="C33703" s="5">
        <v>0</v>
      </c>
      <c r="D33703" s="5">
        <v>0</v>
      </c>
      <c r="E33703" s="5">
        <v>0</v>
      </c>
      <c r="F33703" s="5">
        <v>0</v>
      </c>
      <c r="G33703" s="5">
        <v>0</v>
      </c>
      <c r="H33703" s="5">
        <v>0</v>
      </c>
      <c r="I33703" s="5">
        <v>0</v>
      </c>
      <c r="J33703" s="5">
        <v>0</v>
      </c>
      <c r="K33703" s="5">
        <v>0</v>
      </c>
    </row>
    <row r="33704" spans="1:11" x14ac:dyDescent="0.25">
      <c r="A33704" s="5">
        <f>33697</f>
      </c>
      <c r="B33704" s="5" t="s">
        <v>33712</v>
      </c>
      <c r="C33704" s="5">
        <v>0</v>
      </c>
      <c r="D33704" s="5">
        <v>0</v>
      </c>
      <c r="E33704" s="5">
        <v>0</v>
      </c>
      <c r="F33704" s="5">
        <v>0</v>
      </c>
      <c r="G33704" s="5">
        <v>0</v>
      </c>
      <c r="H33704" s="5">
        <v>0</v>
      </c>
      <c r="I33704" s="5">
        <v>0</v>
      </c>
      <c r="J33704" s="5">
        <v>0</v>
      </c>
      <c r="K33704" s="5">
        <v>0</v>
      </c>
    </row>
    <row r="33705" spans="1:11" x14ac:dyDescent="0.25">
      <c r="A33705" s="5">
        <f>33698</f>
      </c>
      <c r="B33705" s="5" t="s">
        <v>33713</v>
      </c>
      <c r="C33705" s="5">
        <v>0</v>
      </c>
      <c r="D33705" s="5">
        <v>0</v>
      </c>
      <c r="E33705" s="5">
        <v>0</v>
      </c>
      <c r="F33705" s="5">
        <v>0</v>
      </c>
      <c r="G33705" s="5">
        <v>0</v>
      </c>
      <c r="H33705" s="5">
        <v>0</v>
      </c>
      <c r="I33705" s="5">
        <v>0</v>
      </c>
      <c r="J33705" s="5">
        <v>0</v>
      </c>
      <c r="K33705" s="5">
        <v>0</v>
      </c>
    </row>
    <row r="33706" spans="1:11" x14ac:dyDescent="0.25">
      <c r="A33706" s="5">
        <f>33699</f>
      </c>
      <c r="B33706" s="5" t="s">
        <v>33714</v>
      </c>
      <c r="C33706" s="5">
        <v>0</v>
      </c>
      <c r="D33706" s="5">
        <v>0</v>
      </c>
      <c r="E33706" s="5">
        <v>0</v>
      </c>
      <c r="F33706" s="5">
        <v>0</v>
      </c>
      <c r="G33706" s="5">
        <v>0</v>
      </c>
      <c r="H33706" s="5">
        <v>0</v>
      </c>
      <c r="I33706" s="5">
        <v>0</v>
      </c>
      <c r="J33706" s="5">
        <v>0</v>
      </c>
      <c r="K33706" s="5">
        <v>0</v>
      </c>
    </row>
    <row r="33707" spans="1:11" x14ac:dyDescent="0.25">
      <c r="A33707" s="5">
        <f>33700</f>
      </c>
      <c r="B33707" s="5" t="s">
        <v>33715</v>
      </c>
      <c r="C33707" s="5">
        <v>0</v>
      </c>
      <c r="D33707" s="5">
        <v>0</v>
      </c>
      <c r="E33707" s="5">
        <v>0</v>
      </c>
      <c r="F33707" s="5">
        <v>0</v>
      </c>
      <c r="G33707" s="5">
        <v>0</v>
      </c>
      <c r="H33707" s="5">
        <v>0</v>
      </c>
      <c r="I33707" s="5">
        <v>0</v>
      </c>
      <c r="J33707" s="5">
        <v>0</v>
      </c>
      <c r="K33707" s="5">
        <v>0</v>
      </c>
    </row>
    <row r="33708" spans="1:11" x14ac:dyDescent="0.25">
      <c r="A33708" s="5">
        <f>33701</f>
      </c>
      <c r="B33708" s="5" t="s">
        <v>33716</v>
      </c>
      <c r="C33708" s="5">
        <v>0</v>
      </c>
      <c r="D33708" s="5">
        <v>0</v>
      </c>
      <c r="E33708" s="5">
        <v>0</v>
      </c>
      <c r="F33708" s="5">
        <v>0</v>
      </c>
      <c r="G33708" s="5">
        <v>0</v>
      </c>
      <c r="H33708" s="5">
        <v>0</v>
      </c>
      <c r="I33708" s="5">
        <v>0</v>
      </c>
      <c r="J33708" s="5">
        <v>0</v>
      </c>
      <c r="K33708" s="5">
        <v>0</v>
      </c>
    </row>
    <row r="33709" spans="1:11" x14ac:dyDescent="0.25">
      <c r="A33709" s="5">
        <f>33702</f>
      </c>
      <c r="B33709" s="5" t="s">
        <v>33717</v>
      </c>
      <c r="C33709" s="5">
        <v>0</v>
      </c>
      <c r="D33709" s="5">
        <v>0</v>
      </c>
      <c r="E33709" s="5">
        <v>0</v>
      </c>
      <c r="F33709" s="5">
        <v>0</v>
      </c>
      <c r="G33709" s="5">
        <v>0</v>
      </c>
      <c r="H33709" s="5">
        <v>0</v>
      </c>
      <c r="I33709" s="5">
        <v>0</v>
      </c>
      <c r="J33709" s="5">
        <v>0</v>
      </c>
      <c r="K33709" s="5">
        <v>0</v>
      </c>
    </row>
    <row r="33710" spans="1:11" x14ac:dyDescent="0.25">
      <c r="A33710" s="5">
        <f>33703</f>
      </c>
      <c r="B33710" s="5" t="s">
        <v>33718</v>
      </c>
      <c r="C33710" s="5">
        <v>0</v>
      </c>
      <c r="D33710" s="5">
        <v>0</v>
      </c>
      <c r="E33710" s="5">
        <v>0</v>
      </c>
      <c r="F33710" s="5">
        <v>0</v>
      </c>
      <c r="G33710" s="5">
        <v>0</v>
      </c>
      <c r="H33710" s="5">
        <v>0</v>
      </c>
      <c r="I33710" s="5">
        <v>0</v>
      </c>
      <c r="J33710" s="5">
        <v>0</v>
      </c>
      <c r="K33710" s="5">
        <v>0</v>
      </c>
    </row>
    <row r="33711" spans="1:11" x14ac:dyDescent="0.25">
      <c r="A33711" s="5">
        <f>33704</f>
      </c>
      <c r="B33711" s="5" t="s">
        <v>33719</v>
      </c>
      <c r="C33711" s="5">
        <v>0</v>
      </c>
      <c r="D33711" s="5">
        <v>0</v>
      </c>
      <c r="E33711" s="5">
        <v>0</v>
      </c>
      <c r="F33711" s="5">
        <v>0</v>
      </c>
      <c r="G33711" s="5">
        <v>0</v>
      </c>
      <c r="H33711" s="5">
        <v>0</v>
      </c>
      <c r="I33711" s="5">
        <v>0</v>
      </c>
      <c r="J33711" s="5">
        <v>0</v>
      </c>
      <c r="K33711" s="5">
        <v>0</v>
      </c>
    </row>
    <row r="33712" spans="1:11" x14ac:dyDescent="0.25">
      <c r="A33712" s="5">
        <f>33705</f>
      </c>
      <c r="B33712" s="5" t="s">
        <v>33720</v>
      </c>
      <c r="C33712" s="5">
        <v>0</v>
      </c>
      <c r="D33712" s="5">
        <v>0</v>
      </c>
      <c r="E33712" s="5">
        <v>0</v>
      </c>
      <c r="F33712" s="5">
        <v>0</v>
      </c>
      <c r="G33712" s="5">
        <v>0</v>
      </c>
      <c r="H33712" s="5">
        <v>0</v>
      </c>
      <c r="I33712" s="5">
        <v>0</v>
      </c>
      <c r="J33712" s="5">
        <v>0</v>
      </c>
      <c r="K33712" s="5">
        <v>0</v>
      </c>
    </row>
    <row r="33713" spans="1:11" x14ac:dyDescent="0.25">
      <c r="A33713" s="5">
        <f>33706</f>
      </c>
      <c r="B33713" s="5" t="s">
        <v>33721</v>
      </c>
      <c r="C33713" s="5">
        <v>0</v>
      </c>
      <c r="D33713" s="5">
        <v>0</v>
      </c>
      <c r="E33713" s="5">
        <v>0</v>
      </c>
      <c r="F33713" s="5">
        <v>0</v>
      </c>
      <c r="G33713" s="5">
        <v>0</v>
      </c>
      <c r="H33713" s="5">
        <v>0</v>
      </c>
      <c r="I33713" s="5">
        <v>0</v>
      </c>
      <c r="J33713" s="5">
        <v>0</v>
      </c>
      <c r="K33713" s="5">
        <v>0</v>
      </c>
    </row>
    <row r="33714" spans="1:11" x14ac:dyDescent="0.25">
      <c r="A33714" s="5">
        <f>33707</f>
      </c>
      <c r="B33714" s="5" t="s">
        <v>33722</v>
      </c>
      <c r="C33714" s="5">
        <v>0</v>
      </c>
      <c r="D33714" s="5">
        <v>0</v>
      </c>
      <c r="E33714" s="5">
        <v>0</v>
      </c>
      <c r="F33714" s="5">
        <v>0</v>
      </c>
      <c r="G33714" s="5">
        <v>0</v>
      </c>
      <c r="H33714" s="5">
        <v>0</v>
      </c>
      <c r="I33714" s="5">
        <v>0</v>
      </c>
      <c r="J33714" s="5">
        <v>0</v>
      </c>
      <c r="K33714" s="5">
        <v>0</v>
      </c>
    </row>
    <row r="33715" spans="1:11" x14ac:dyDescent="0.25">
      <c r="A33715" s="5">
        <f>33708</f>
      </c>
      <c r="B33715" s="5" t="s">
        <v>33723</v>
      </c>
      <c r="C33715" s="5">
        <v>0</v>
      </c>
      <c r="D33715" s="5">
        <v>0</v>
      </c>
      <c r="E33715" s="5">
        <v>0</v>
      </c>
      <c r="F33715" s="5">
        <v>0</v>
      </c>
      <c r="G33715" s="5">
        <v>0</v>
      </c>
      <c r="H33715" s="5">
        <v>0</v>
      </c>
      <c r="I33715" s="5">
        <v>0</v>
      </c>
      <c r="J33715" s="5">
        <v>0</v>
      </c>
      <c r="K33715" s="5">
        <v>0</v>
      </c>
    </row>
    <row r="33716" spans="1:11" x14ac:dyDescent="0.25">
      <c r="A33716" s="5">
        <f>33709</f>
      </c>
      <c r="B33716" s="5" t="s">
        <v>33724</v>
      </c>
      <c r="C33716" s="5">
        <v>0</v>
      </c>
      <c r="D33716" s="5">
        <v>0</v>
      </c>
      <c r="E33716" s="5">
        <v>0</v>
      </c>
      <c r="F33716" s="5">
        <v>0</v>
      </c>
      <c r="G33716" s="5">
        <v>0</v>
      </c>
      <c r="H33716" s="5">
        <v>0</v>
      </c>
      <c r="I33716" s="5">
        <v>0</v>
      </c>
      <c r="J33716" s="5">
        <v>0</v>
      </c>
      <c r="K33716" s="5">
        <v>0</v>
      </c>
    </row>
    <row r="33717" spans="1:11" x14ac:dyDescent="0.25">
      <c r="A33717" s="5">
        <f>33710</f>
      </c>
      <c r="B33717" s="5" t="s">
        <v>33725</v>
      </c>
      <c r="C33717" s="5">
        <v>0</v>
      </c>
      <c r="D33717" s="5">
        <v>0</v>
      </c>
      <c r="E33717" s="5">
        <v>0</v>
      </c>
      <c r="F33717" s="5">
        <v>0</v>
      </c>
      <c r="G33717" s="5">
        <v>0</v>
      </c>
      <c r="H33717" s="5">
        <v>0</v>
      </c>
      <c r="I33717" s="5">
        <v>0</v>
      </c>
      <c r="J33717" s="5">
        <v>0</v>
      </c>
      <c r="K33717" s="5">
        <v>0</v>
      </c>
    </row>
    <row r="33718" spans="1:11" x14ac:dyDescent="0.25">
      <c r="A33718" s="5">
        <f>33711</f>
      </c>
      <c r="B33718" s="5" t="s">
        <v>33726</v>
      </c>
      <c r="C33718" s="5">
        <v>0</v>
      </c>
      <c r="D33718" s="5">
        <v>0</v>
      </c>
      <c r="E33718" s="5">
        <v>0</v>
      </c>
      <c r="F33718" s="5">
        <v>0</v>
      </c>
      <c r="G33718" s="5">
        <v>0</v>
      </c>
      <c r="H33718" s="5">
        <v>0</v>
      </c>
      <c r="I33718" s="5">
        <v>0</v>
      </c>
      <c r="J33718" s="5">
        <v>0</v>
      </c>
      <c r="K33718" s="5">
        <v>0</v>
      </c>
    </row>
    <row r="33719" spans="1:11" x14ac:dyDescent="0.25">
      <c r="A33719" s="5">
        <f>33712</f>
      </c>
      <c r="B33719" s="5" t="s">
        <v>33727</v>
      </c>
      <c r="C33719" s="5">
        <v>0</v>
      </c>
      <c r="D33719" s="5">
        <v>0</v>
      </c>
      <c r="E33719" s="5">
        <v>0</v>
      </c>
      <c r="F33719" s="5">
        <v>0</v>
      </c>
      <c r="G33719" s="5">
        <v>0</v>
      </c>
      <c r="H33719" s="5">
        <v>0</v>
      </c>
      <c r="I33719" s="5">
        <v>0</v>
      </c>
      <c r="J33719" s="5">
        <v>0</v>
      </c>
      <c r="K33719" s="5">
        <v>0</v>
      </c>
    </row>
    <row r="33720" spans="1:11" x14ac:dyDescent="0.25">
      <c r="A33720" s="5">
        <f>33713</f>
      </c>
      <c r="B33720" s="5" t="s">
        <v>33728</v>
      </c>
      <c r="C33720" s="5">
        <v>0</v>
      </c>
      <c r="D33720" s="5">
        <v>0</v>
      </c>
      <c r="E33720" s="5">
        <v>0</v>
      </c>
      <c r="F33720" s="5">
        <v>0</v>
      </c>
      <c r="G33720" s="5">
        <v>0</v>
      </c>
      <c r="H33720" s="5">
        <v>0</v>
      </c>
      <c r="I33720" s="5">
        <v>0</v>
      </c>
      <c r="J33720" s="5">
        <v>0</v>
      </c>
      <c r="K33720" s="5">
        <v>0</v>
      </c>
    </row>
    <row r="33721" spans="1:11" x14ac:dyDescent="0.25">
      <c r="A33721" s="5">
        <f>33714</f>
      </c>
      <c r="B33721" s="5" t="s">
        <v>33729</v>
      </c>
      <c r="C33721" s="5">
        <v>0</v>
      </c>
      <c r="D33721" s="5">
        <v>0</v>
      </c>
      <c r="E33721" s="5">
        <v>0</v>
      </c>
      <c r="F33721" s="5">
        <v>0</v>
      </c>
      <c r="G33721" s="5">
        <v>0</v>
      </c>
      <c r="H33721" s="5">
        <v>0</v>
      </c>
      <c r="I33721" s="5">
        <v>0</v>
      </c>
      <c r="J33721" s="5">
        <v>0</v>
      </c>
      <c r="K33721" s="5">
        <v>0</v>
      </c>
    </row>
    <row r="33722" spans="1:11" x14ac:dyDescent="0.25">
      <c r="A33722" s="5">
        <f>33715</f>
      </c>
      <c r="B33722" s="5" t="s">
        <v>33730</v>
      </c>
      <c r="C33722" s="5">
        <v>0</v>
      </c>
      <c r="D33722" s="5">
        <v>0</v>
      </c>
      <c r="E33722" s="5">
        <v>0</v>
      </c>
      <c r="F33722" s="5">
        <v>0</v>
      </c>
      <c r="G33722" s="5">
        <v>0</v>
      </c>
      <c r="H33722" s="5">
        <v>0</v>
      </c>
      <c r="I33722" s="5">
        <v>0</v>
      </c>
      <c r="J33722" s="5">
        <v>0</v>
      </c>
      <c r="K33722" s="5">
        <v>0</v>
      </c>
    </row>
    <row r="33723" spans="1:11" x14ac:dyDescent="0.25">
      <c r="A33723" s="5">
        <f>33716</f>
      </c>
      <c r="B33723" s="5" t="s">
        <v>33731</v>
      </c>
      <c r="C33723" s="5">
        <v>0</v>
      </c>
      <c r="D33723" s="5">
        <v>0</v>
      </c>
      <c r="E33723" s="5">
        <v>0</v>
      </c>
      <c r="F33723" s="5">
        <v>0</v>
      </c>
      <c r="G33723" s="5">
        <v>0</v>
      </c>
      <c r="H33723" s="5">
        <v>0</v>
      </c>
      <c r="I33723" s="5">
        <v>0</v>
      </c>
      <c r="J33723" s="5">
        <v>0</v>
      </c>
      <c r="K33723" s="5">
        <v>0</v>
      </c>
    </row>
    <row r="33724" spans="1:11" x14ac:dyDescent="0.25">
      <c r="A33724" s="5">
        <f>33717</f>
      </c>
      <c r="B33724" s="5" t="s">
        <v>33732</v>
      </c>
      <c r="C33724" s="5">
        <v>0</v>
      </c>
      <c r="D33724" s="5">
        <v>0</v>
      </c>
      <c r="E33724" s="5">
        <v>0</v>
      </c>
      <c r="F33724" s="5">
        <v>0</v>
      </c>
      <c r="G33724" s="5">
        <v>0</v>
      </c>
      <c r="H33724" s="5">
        <v>0</v>
      </c>
      <c r="I33724" s="5">
        <v>0</v>
      </c>
      <c r="J33724" s="5">
        <v>0</v>
      </c>
      <c r="K33724" s="5">
        <v>0</v>
      </c>
    </row>
    <row r="33725" spans="1:11" x14ac:dyDescent="0.25">
      <c r="A33725" s="5">
        <f>33718</f>
      </c>
      <c r="B33725" s="5" t="s">
        <v>33733</v>
      </c>
      <c r="C33725" s="5">
        <v>0</v>
      </c>
      <c r="D33725" s="5">
        <v>0</v>
      </c>
      <c r="E33725" s="5">
        <v>0</v>
      </c>
      <c r="F33725" s="5">
        <v>0</v>
      </c>
      <c r="G33725" s="5">
        <v>0</v>
      </c>
      <c r="H33725" s="5">
        <v>0</v>
      </c>
      <c r="I33725" s="5">
        <v>0</v>
      </c>
      <c r="J33725" s="5">
        <v>0</v>
      </c>
      <c r="K33725" s="5">
        <v>0</v>
      </c>
    </row>
    <row r="33726" spans="1:11" x14ac:dyDescent="0.25">
      <c r="A33726" s="5">
        <f>33719</f>
      </c>
      <c r="B33726" s="5" t="s">
        <v>33734</v>
      </c>
      <c r="C33726" s="5">
        <v>0</v>
      </c>
      <c r="D33726" s="5">
        <v>0</v>
      </c>
      <c r="E33726" s="5">
        <v>0</v>
      </c>
      <c r="F33726" s="5">
        <v>0</v>
      </c>
      <c r="G33726" s="5">
        <v>0</v>
      </c>
      <c r="H33726" s="5">
        <v>0</v>
      </c>
      <c r="I33726" s="5">
        <v>0</v>
      </c>
      <c r="J33726" s="5">
        <v>0</v>
      </c>
      <c r="K33726" s="5">
        <v>0</v>
      </c>
    </row>
    <row r="33727" spans="1:11" x14ac:dyDescent="0.25">
      <c r="A33727" s="5">
        <f>33720</f>
      </c>
      <c r="B33727" s="5" t="s">
        <v>33735</v>
      </c>
      <c r="C33727" s="5">
        <v>0</v>
      </c>
      <c r="D33727" s="5">
        <v>0</v>
      </c>
      <c r="E33727" s="5">
        <v>0</v>
      </c>
      <c r="F33727" s="5">
        <v>0</v>
      </c>
      <c r="G33727" s="5">
        <v>0</v>
      </c>
      <c r="H33727" s="5">
        <v>0</v>
      </c>
      <c r="I33727" s="5">
        <v>0</v>
      </c>
      <c r="J33727" s="5">
        <v>0</v>
      </c>
      <c r="K33727" s="5">
        <v>0</v>
      </c>
    </row>
    <row r="33728" spans="1:11" x14ac:dyDescent="0.25">
      <c r="A33728" s="5">
        <f>33721</f>
      </c>
      <c r="B33728" s="5" t="s">
        <v>33736</v>
      </c>
      <c r="C33728" s="5">
        <v>0</v>
      </c>
      <c r="D33728" s="5">
        <v>0</v>
      </c>
      <c r="E33728" s="5">
        <v>0</v>
      </c>
      <c r="F33728" s="5">
        <v>0</v>
      </c>
      <c r="G33728" s="5">
        <v>0</v>
      </c>
      <c r="H33728" s="5">
        <v>0</v>
      </c>
      <c r="I33728" s="5">
        <v>0</v>
      </c>
      <c r="J33728" s="5">
        <v>0</v>
      </c>
      <c r="K33728" s="5">
        <v>0</v>
      </c>
    </row>
    <row r="33729" spans="1:11" x14ac:dyDescent="0.25">
      <c r="A33729" s="5">
        <f>33722</f>
      </c>
      <c r="B33729" s="5" t="s">
        <v>33737</v>
      </c>
      <c r="C33729" s="5">
        <v>0</v>
      </c>
      <c r="D33729" s="5">
        <v>0</v>
      </c>
      <c r="E33729" s="5">
        <v>0</v>
      </c>
      <c r="F33729" s="5">
        <v>0</v>
      </c>
      <c r="G33729" s="5">
        <v>0</v>
      </c>
      <c r="H33729" s="5">
        <v>0</v>
      </c>
      <c r="I33729" s="5">
        <v>0</v>
      </c>
      <c r="J33729" s="5">
        <v>0</v>
      </c>
      <c r="K33729" s="5">
        <v>0</v>
      </c>
    </row>
    <row r="33730" spans="1:11" x14ac:dyDescent="0.25">
      <c r="A33730" s="5">
        <f>33723</f>
      </c>
      <c r="B33730" s="5" t="s">
        <v>33738</v>
      </c>
      <c r="C33730" s="5">
        <v>0</v>
      </c>
      <c r="D33730" s="5">
        <v>0</v>
      </c>
      <c r="E33730" s="5">
        <v>0</v>
      </c>
      <c r="F33730" s="5">
        <v>0</v>
      </c>
      <c r="G33730" s="5">
        <v>0</v>
      </c>
      <c r="H33730" s="5">
        <v>0</v>
      </c>
      <c r="I33730" s="5">
        <v>0</v>
      </c>
      <c r="J33730" s="5">
        <v>0</v>
      </c>
      <c r="K33730" s="5">
        <v>0</v>
      </c>
    </row>
    <row r="33731" spans="1:11" x14ac:dyDescent="0.25">
      <c r="A33731" s="5">
        <f>33724</f>
      </c>
      <c r="B33731" s="5" t="s">
        <v>33739</v>
      </c>
      <c r="C33731" s="5">
        <v>0</v>
      </c>
      <c r="D33731" s="5">
        <v>0</v>
      </c>
      <c r="E33731" s="5">
        <v>0</v>
      </c>
      <c r="F33731" s="5">
        <v>0</v>
      </c>
      <c r="G33731" s="5">
        <v>0</v>
      </c>
      <c r="H33731" s="5">
        <v>0</v>
      </c>
      <c r="I33731" s="5">
        <v>0</v>
      </c>
      <c r="J33731" s="5">
        <v>0</v>
      </c>
      <c r="K33731" s="5">
        <v>0</v>
      </c>
    </row>
    <row r="33732" spans="1:11" x14ac:dyDescent="0.25">
      <c r="A33732" s="5">
        <f>33725</f>
      </c>
      <c r="B33732" s="5" t="s">
        <v>33740</v>
      </c>
      <c r="C33732" s="5">
        <v>0</v>
      </c>
      <c r="D33732" s="5">
        <v>0</v>
      </c>
      <c r="E33732" s="5">
        <v>0</v>
      </c>
      <c r="F33732" s="5">
        <v>0</v>
      </c>
      <c r="G33732" s="5">
        <v>0</v>
      </c>
      <c r="H33732" s="5">
        <v>0</v>
      </c>
      <c r="I33732" s="5">
        <v>0</v>
      </c>
      <c r="J33732" s="5">
        <v>0</v>
      </c>
      <c r="K33732" s="5">
        <v>0</v>
      </c>
    </row>
    <row r="33733" spans="1:11" x14ac:dyDescent="0.25">
      <c r="A33733" s="5">
        <f>33726</f>
      </c>
      <c r="B33733" s="5" t="s">
        <v>33741</v>
      </c>
      <c r="C33733" s="5">
        <v>0</v>
      </c>
      <c r="D33733" s="5">
        <v>0</v>
      </c>
      <c r="E33733" s="5">
        <v>0</v>
      </c>
      <c r="F33733" s="5">
        <v>0</v>
      </c>
      <c r="G33733" s="5">
        <v>0</v>
      </c>
      <c r="H33733" s="5">
        <v>0</v>
      </c>
      <c r="I33733" s="5">
        <v>0</v>
      </c>
      <c r="J33733" s="5">
        <v>0</v>
      </c>
      <c r="K33733" s="5">
        <v>0</v>
      </c>
    </row>
    <row r="33734" spans="1:11" x14ac:dyDescent="0.25">
      <c r="A33734" s="5">
        <f>33727</f>
      </c>
      <c r="B33734" s="5" t="s">
        <v>33742</v>
      </c>
      <c r="C33734" s="5">
        <v>0</v>
      </c>
      <c r="D33734" s="5">
        <v>0</v>
      </c>
      <c r="E33734" s="5">
        <v>0</v>
      </c>
      <c r="F33734" s="5">
        <v>0</v>
      </c>
      <c r="G33734" s="5">
        <v>0</v>
      </c>
      <c r="H33734" s="5">
        <v>0</v>
      </c>
      <c r="I33734" s="5">
        <v>0</v>
      </c>
      <c r="J33734" s="5">
        <v>0</v>
      </c>
      <c r="K33734" s="5">
        <v>0</v>
      </c>
    </row>
    <row r="33735" spans="1:11" x14ac:dyDescent="0.25">
      <c r="A33735" s="5">
        <f>33728</f>
      </c>
      <c r="B33735" s="5" t="s">
        <v>33743</v>
      </c>
      <c r="C33735" s="5">
        <v>0</v>
      </c>
      <c r="D33735" s="5">
        <v>0</v>
      </c>
      <c r="E33735" s="5">
        <v>0</v>
      </c>
      <c r="F33735" s="5">
        <v>0</v>
      </c>
      <c r="G33735" s="5">
        <v>0</v>
      </c>
      <c r="H33735" s="5">
        <v>0</v>
      </c>
      <c r="I33735" s="5">
        <v>0</v>
      </c>
      <c r="J33735" s="5">
        <v>0</v>
      </c>
      <c r="K33735" s="5">
        <v>0</v>
      </c>
    </row>
    <row r="33736" spans="1:11" x14ac:dyDescent="0.25">
      <c r="A33736" s="5">
        <f>33729</f>
      </c>
      <c r="B33736" s="5" t="s">
        <v>33744</v>
      </c>
      <c r="C33736" s="5">
        <v>0</v>
      </c>
      <c r="D33736" s="5">
        <v>0</v>
      </c>
      <c r="E33736" s="5">
        <v>0</v>
      </c>
      <c r="F33736" s="5">
        <v>0</v>
      </c>
      <c r="G33736" s="5">
        <v>0</v>
      </c>
      <c r="H33736" s="5">
        <v>0</v>
      </c>
      <c r="I33736" s="5">
        <v>0</v>
      </c>
      <c r="J33736" s="5">
        <v>0</v>
      </c>
      <c r="K33736" s="5">
        <v>0</v>
      </c>
    </row>
    <row r="33737" spans="1:11" x14ac:dyDescent="0.25">
      <c r="A33737" s="5">
        <f>33730</f>
      </c>
      <c r="B33737" s="5" t="s">
        <v>33745</v>
      </c>
      <c r="C33737" s="5">
        <v>0</v>
      </c>
      <c r="D33737" s="5">
        <v>0</v>
      </c>
      <c r="E33737" s="5">
        <v>0</v>
      </c>
      <c r="F33737" s="5">
        <v>0</v>
      </c>
      <c r="G33737" s="5">
        <v>0</v>
      </c>
      <c r="H33737" s="5">
        <v>0</v>
      </c>
      <c r="I33737" s="5">
        <v>0</v>
      </c>
      <c r="J33737" s="5">
        <v>0</v>
      </c>
      <c r="K33737" s="5">
        <v>0</v>
      </c>
    </row>
    <row r="33738" spans="1:11" x14ac:dyDescent="0.25">
      <c r="A33738" s="5">
        <f>33731</f>
      </c>
      <c r="B33738" s="5" t="s">
        <v>33746</v>
      </c>
      <c r="C33738" s="5">
        <v>0</v>
      </c>
      <c r="D33738" s="5">
        <v>0</v>
      </c>
      <c r="E33738" s="5">
        <v>0</v>
      </c>
      <c r="F33738" s="5">
        <v>0</v>
      </c>
      <c r="G33738" s="5">
        <v>0</v>
      </c>
      <c r="H33738" s="5">
        <v>0</v>
      </c>
      <c r="I33738" s="5">
        <v>0</v>
      </c>
      <c r="J33738" s="5">
        <v>0</v>
      </c>
      <c r="K33738" s="5">
        <v>0</v>
      </c>
    </row>
    <row r="33739" spans="1:11" x14ac:dyDescent="0.25">
      <c r="A33739" s="5">
        <f>33732</f>
      </c>
      <c r="B33739" s="5" t="s">
        <v>33747</v>
      </c>
      <c r="C33739" s="5">
        <v>0</v>
      </c>
      <c r="D33739" s="5">
        <v>0</v>
      </c>
      <c r="E33739" s="5">
        <v>0</v>
      </c>
      <c r="F33739" s="5">
        <v>0</v>
      </c>
      <c r="G33739" s="5">
        <v>0</v>
      </c>
      <c r="H33739" s="5">
        <v>0</v>
      </c>
      <c r="I33739" s="5">
        <v>0</v>
      </c>
      <c r="J33739" s="5">
        <v>0</v>
      </c>
      <c r="K33739" s="5">
        <v>0</v>
      </c>
    </row>
    <row r="33740" spans="1:11" x14ac:dyDescent="0.25">
      <c r="A33740" s="5">
        <f>33733</f>
      </c>
      <c r="B33740" s="5" t="s">
        <v>33748</v>
      </c>
      <c r="C33740" s="5">
        <v>0</v>
      </c>
      <c r="D33740" s="5">
        <v>0</v>
      </c>
      <c r="E33740" s="5">
        <v>0</v>
      </c>
      <c r="F33740" s="5">
        <v>0</v>
      </c>
      <c r="G33740" s="5">
        <v>0</v>
      </c>
      <c r="H33740" s="5">
        <v>0</v>
      </c>
      <c r="I33740" s="5">
        <v>0</v>
      </c>
      <c r="J33740" s="5">
        <v>0</v>
      </c>
      <c r="K33740" s="5">
        <v>0</v>
      </c>
    </row>
    <row r="33741" spans="1:11" x14ac:dyDescent="0.25">
      <c r="A33741" s="5">
        <f>33734</f>
      </c>
      <c r="B33741" s="5" t="s">
        <v>33749</v>
      </c>
      <c r="C33741" s="5">
        <v>0</v>
      </c>
      <c r="D33741" s="5">
        <v>0</v>
      </c>
      <c r="E33741" s="5">
        <v>0</v>
      </c>
      <c r="F33741" s="5">
        <v>0</v>
      </c>
      <c r="G33741" s="5">
        <v>0</v>
      </c>
      <c r="H33741" s="5">
        <v>0</v>
      </c>
      <c r="I33741" s="5">
        <v>0</v>
      </c>
      <c r="J33741" s="5">
        <v>0</v>
      </c>
      <c r="K33741" s="5">
        <v>0</v>
      </c>
    </row>
    <row r="33742" spans="1:11" x14ac:dyDescent="0.25">
      <c r="A33742" s="5">
        <f>33735</f>
      </c>
      <c r="B33742" s="5" t="s">
        <v>33750</v>
      </c>
      <c r="C33742" s="5">
        <v>0</v>
      </c>
      <c r="D33742" s="5">
        <v>0</v>
      </c>
      <c r="E33742" s="5">
        <v>0</v>
      </c>
      <c r="F33742" s="5">
        <v>0</v>
      </c>
      <c r="G33742" s="5">
        <v>0</v>
      </c>
      <c r="H33742" s="5">
        <v>0</v>
      </c>
      <c r="I33742" s="5">
        <v>0</v>
      </c>
      <c r="J33742" s="5">
        <v>0</v>
      </c>
      <c r="K33742" s="5">
        <v>0</v>
      </c>
    </row>
    <row r="33743" spans="1:11" x14ac:dyDescent="0.25">
      <c r="A33743" s="5">
        <f>33736</f>
      </c>
      <c r="B33743" s="5" t="s">
        <v>33751</v>
      </c>
      <c r="C33743" s="5">
        <v>0</v>
      </c>
      <c r="D33743" s="5">
        <v>0</v>
      </c>
      <c r="E33743" s="5">
        <v>0</v>
      </c>
      <c r="F33743" s="5">
        <v>0</v>
      </c>
      <c r="G33743" s="5">
        <v>0</v>
      </c>
      <c r="H33743" s="5">
        <v>0</v>
      </c>
      <c r="I33743" s="5">
        <v>0</v>
      </c>
      <c r="J33743" s="5">
        <v>0</v>
      </c>
      <c r="K33743" s="5">
        <v>0</v>
      </c>
    </row>
    <row r="33744" spans="1:11" x14ac:dyDescent="0.25">
      <c r="A33744" s="5">
        <f>33737</f>
      </c>
      <c r="B33744" s="5" t="s">
        <v>33752</v>
      </c>
      <c r="C33744" s="5">
        <v>0</v>
      </c>
      <c r="D33744" s="5">
        <v>0</v>
      </c>
      <c r="E33744" s="5">
        <v>0</v>
      </c>
      <c r="F33744" s="5">
        <v>0</v>
      </c>
      <c r="G33744" s="5">
        <v>0</v>
      </c>
      <c r="H33744" s="5">
        <v>0</v>
      </c>
      <c r="I33744" s="5">
        <v>0</v>
      </c>
      <c r="J33744" s="5">
        <v>0</v>
      </c>
      <c r="K33744" s="5">
        <v>0</v>
      </c>
    </row>
    <row r="33745" spans="1:11" x14ac:dyDescent="0.25">
      <c r="A33745" s="5">
        <f>33738</f>
      </c>
      <c r="B33745" s="5" t="s">
        <v>33753</v>
      </c>
      <c r="C33745" s="5">
        <v>0</v>
      </c>
      <c r="D33745" s="5">
        <v>0</v>
      </c>
      <c r="E33745" s="5">
        <v>0</v>
      </c>
      <c r="F33745" s="5">
        <v>0</v>
      </c>
      <c r="G33745" s="5">
        <v>0</v>
      </c>
      <c r="H33745" s="5">
        <v>0</v>
      </c>
      <c r="I33745" s="5">
        <v>0</v>
      </c>
      <c r="J33745" s="5">
        <v>0</v>
      </c>
      <c r="K33745" s="5">
        <v>0</v>
      </c>
    </row>
    <row r="33746" spans="1:11" x14ac:dyDescent="0.25">
      <c r="A33746" s="5">
        <f>33739</f>
      </c>
      <c r="B33746" s="5" t="s">
        <v>33754</v>
      </c>
      <c r="C33746" s="5">
        <v>0</v>
      </c>
      <c r="D33746" s="5">
        <v>0</v>
      </c>
      <c r="E33746" s="5">
        <v>0</v>
      </c>
      <c r="F33746" s="5">
        <v>0</v>
      </c>
      <c r="G33746" s="5">
        <v>0</v>
      </c>
      <c r="H33746" s="5">
        <v>0</v>
      </c>
      <c r="I33746" s="5">
        <v>0</v>
      </c>
      <c r="J33746" s="5">
        <v>0</v>
      </c>
      <c r="K33746" s="5">
        <v>0</v>
      </c>
    </row>
    <row r="33747" spans="1:11" x14ac:dyDescent="0.25">
      <c r="A33747" s="5">
        <f>33740</f>
      </c>
      <c r="B33747" s="5" t="s">
        <v>33755</v>
      </c>
      <c r="C33747" s="5">
        <v>0</v>
      </c>
      <c r="D33747" s="5">
        <v>0</v>
      </c>
      <c r="E33747" s="5">
        <v>0</v>
      </c>
      <c r="F33747" s="5">
        <v>0</v>
      </c>
      <c r="G33747" s="5">
        <v>0</v>
      </c>
      <c r="H33747" s="5">
        <v>0</v>
      </c>
      <c r="I33747" s="5">
        <v>0</v>
      </c>
      <c r="J33747" s="5">
        <v>0</v>
      </c>
      <c r="K33747" s="5">
        <v>0</v>
      </c>
    </row>
    <row r="33748" spans="1:11" x14ac:dyDescent="0.25">
      <c r="A33748" s="5">
        <f>33741</f>
      </c>
      <c r="B33748" s="5" t="s">
        <v>33756</v>
      </c>
      <c r="C33748" s="5">
        <v>0</v>
      </c>
      <c r="D33748" s="5">
        <v>0</v>
      </c>
      <c r="E33748" s="5">
        <v>0</v>
      </c>
      <c r="F33748" s="5">
        <v>0</v>
      </c>
      <c r="G33748" s="5">
        <v>0</v>
      </c>
      <c r="H33748" s="5">
        <v>0</v>
      </c>
      <c r="I33748" s="5">
        <v>0</v>
      </c>
      <c r="J33748" s="5">
        <v>0</v>
      </c>
      <c r="K33748" s="5">
        <v>0</v>
      </c>
    </row>
    <row r="33749" spans="1:11" x14ac:dyDescent="0.25">
      <c r="A33749" s="5">
        <f>33742</f>
      </c>
      <c r="B33749" s="5" t="s">
        <v>33757</v>
      </c>
      <c r="C33749" s="5">
        <v>0</v>
      </c>
      <c r="D33749" s="5">
        <v>0</v>
      </c>
      <c r="E33749" s="5">
        <v>0</v>
      </c>
      <c r="F33749" s="5">
        <v>0</v>
      </c>
      <c r="G33749" s="5">
        <v>0</v>
      </c>
      <c r="H33749" s="5">
        <v>0</v>
      </c>
      <c r="I33749" s="5">
        <v>0</v>
      </c>
      <c r="J33749" s="5">
        <v>0</v>
      </c>
      <c r="K33749" s="5">
        <v>0</v>
      </c>
    </row>
    <row r="33750" spans="1:11" x14ac:dyDescent="0.25">
      <c r="A33750" s="5">
        <f>33743</f>
      </c>
      <c r="B33750" s="5" t="s">
        <v>33758</v>
      </c>
      <c r="C33750" s="5">
        <v>0</v>
      </c>
      <c r="D33750" s="5">
        <v>0</v>
      </c>
      <c r="E33750" s="5">
        <v>0</v>
      </c>
      <c r="F33750" s="5">
        <v>0</v>
      </c>
      <c r="G33750" s="5">
        <v>0</v>
      </c>
      <c r="H33750" s="5">
        <v>0</v>
      </c>
      <c r="I33750" s="5">
        <v>0</v>
      </c>
      <c r="J33750" s="5">
        <v>0</v>
      </c>
      <c r="K33750" s="5">
        <v>0</v>
      </c>
    </row>
    <row r="33751" spans="1:11" x14ac:dyDescent="0.25">
      <c r="A33751" s="5">
        <f>33744</f>
      </c>
      <c r="B33751" s="5" t="s">
        <v>33759</v>
      </c>
      <c r="C33751" s="5">
        <v>0</v>
      </c>
      <c r="D33751" s="5">
        <v>0</v>
      </c>
      <c r="E33751" s="5">
        <v>0</v>
      </c>
      <c r="F33751" s="5">
        <v>0</v>
      </c>
      <c r="G33751" s="5">
        <v>0</v>
      </c>
      <c r="H33751" s="5">
        <v>0</v>
      </c>
      <c r="I33751" s="5">
        <v>0</v>
      </c>
      <c r="J33751" s="5">
        <v>0</v>
      </c>
      <c r="K33751" s="5">
        <v>0</v>
      </c>
    </row>
    <row r="33752" spans="1:11" x14ac:dyDescent="0.25">
      <c r="A33752" s="5">
        <f>33745</f>
      </c>
      <c r="B33752" s="5" t="s">
        <v>33760</v>
      </c>
      <c r="C33752" s="5">
        <v>0</v>
      </c>
      <c r="D33752" s="5">
        <v>0</v>
      </c>
      <c r="E33752" s="5">
        <v>0</v>
      </c>
      <c r="F33752" s="5">
        <v>0</v>
      </c>
      <c r="G33752" s="5">
        <v>0</v>
      </c>
      <c r="H33752" s="5">
        <v>0</v>
      </c>
      <c r="I33752" s="5">
        <v>0</v>
      </c>
      <c r="J33752" s="5">
        <v>0</v>
      </c>
      <c r="K33752" s="5">
        <v>0</v>
      </c>
    </row>
    <row r="33753" spans="1:11" x14ac:dyDescent="0.25">
      <c r="A33753" s="5">
        <f>33746</f>
      </c>
      <c r="B33753" s="5" t="s">
        <v>33761</v>
      </c>
      <c r="C33753" s="5">
        <v>0</v>
      </c>
      <c r="D33753" s="5">
        <v>0</v>
      </c>
      <c r="E33753" s="5">
        <v>0</v>
      </c>
      <c r="F33753" s="5">
        <v>0</v>
      </c>
      <c r="G33753" s="5">
        <v>0</v>
      </c>
      <c r="H33753" s="5">
        <v>0</v>
      </c>
      <c r="I33753" s="5">
        <v>0</v>
      </c>
      <c r="J33753" s="5">
        <v>0</v>
      </c>
      <c r="K33753" s="5">
        <v>0</v>
      </c>
    </row>
    <row r="33754" spans="1:11" x14ac:dyDescent="0.25">
      <c r="A33754" s="5">
        <f>33747</f>
      </c>
      <c r="B33754" s="5" t="s">
        <v>33762</v>
      </c>
      <c r="C33754" s="5">
        <v>0</v>
      </c>
      <c r="D33754" s="5">
        <v>0</v>
      </c>
      <c r="E33754" s="5">
        <v>0</v>
      </c>
      <c r="F33754" s="5">
        <v>0</v>
      </c>
      <c r="G33754" s="5">
        <v>0</v>
      </c>
      <c r="H33754" s="5">
        <v>0</v>
      </c>
      <c r="I33754" s="5">
        <v>0</v>
      </c>
      <c r="J33754" s="5">
        <v>0</v>
      </c>
      <c r="K33754" s="5">
        <v>0</v>
      </c>
    </row>
    <row r="33755" spans="1:11" x14ac:dyDescent="0.25">
      <c r="A33755" s="5">
        <f>33748</f>
      </c>
      <c r="B33755" s="5" t="s">
        <v>33763</v>
      </c>
      <c r="C33755" s="5">
        <v>0</v>
      </c>
      <c r="D33755" s="5">
        <v>0</v>
      </c>
      <c r="E33755" s="5">
        <v>0</v>
      </c>
      <c r="F33755" s="5">
        <v>0</v>
      </c>
      <c r="G33755" s="5">
        <v>0</v>
      </c>
      <c r="H33755" s="5">
        <v>0</v>
      </c>
      <c r="I33755" s="5">
        <v>0</v>
      </c>
      <c r="J33755" s="5">
        <v>0</v>
      </c>
      <c r="K33755" s="5">
        <v>0</v>
      </c>
    </row>
    <row r="33756" spans="1:11" x14ac:dyDescent="0.25">
      <c r="A33756" s="5">
        <f>33749</f>
      </c>
      <c r="B33756" s="5" t="s">
        <v>33764</v>
      </c>
      <c r="C33756" s="5">
        <v>0</v>
      </c>
      <c r="D33756" s="5">
        <v>0</v>
      </c>
      <c r="E33756" s="5">
        <v>0</v>
      </c>
      <c r="F33756" s="5">
        <v>0</v>
      </c>
      <c r="G33756" s="5">
        <v>0</v>
      </c>
      <c r="H33756" s="5">
        <v>0</v>
      </c>
      <c r="I33756" s="5">
        <v>0</v>
      </c>
      <c r="J33756" s="5">
        <v>0</v>
      </c>
      <c r="K33756" s="5">
        <v>0</v>
      </c>
    </row>
    <row r="33757" spans="1:11" x14ac:dyDescent="0.25">
      <c r="A33757" s="5">
        <f>33750</f>
      </c>
      <c r="B33757" s="5" t="s">
        <v>33765</v>
      </c>
      <c r="C33757" s="5">
        <v>0</v>
      </c>
      <c r="D33757" s="5">
        <v>0</v>
      </c>
      <c r="E33757" s="5">
        <v>0</v>
      </c>
      <c r="F33757" s="5">
        <v>0</v>
      </c>
      <c r="G33757" s="5">
        <v>0</v>
      </c>
      <c r="H33757" s="5">
        <v>0</v>
      </c>
      <c r="I33757" s="5">
        <v>0</v>
      </c>
      <c r="J33757" s="5">
        <v>0</v>
      </c>
      <c r="K33757" s="5">
        <v>0</v>
      </c>
    </row>
    <row r="33758" spans="1:11" x14ac:dyDescent="0.25">
      <c r="A33758" s="5">
        <f>33751</f>
      </c>
      <c r="B33758" s="5" t="s">
        <v>33766</v>
      </c>
      <c r="C33758" s="5">
        <v>0</v>
      </c>
      <c r="D33758" s="5">
        <v>0</v>
      </c>
      <c r="E33758" s="5">
        <v>0</v>
      </c>
      <c r="F33758" s="5">
        <v>0</v>
      </c>
      <c r="G33758" s="5">
        <v>0</v>
      </c>
      <c r="H33758" s="5">
        <v>0</v>
      </c>
      <c r="I33758" s="5">
        <v>0</v>
      </c>
      <c r="J33758" s="5">
        <v>0</v>
      </c>
      <c r="K33758" s="5">
        <v>0</v>
      </c>
    </row>
    <row r="33759" spans="1:11" x14ac:dyDescent="0.25">
      <c r="A33759" s="5">
        <f>33752</f>
      </c>
      <c r="B33759" s="5" t="s">
        <v>33767</v>
      </c>
      <c r="C33759" s="5">
        <v>0</v>
      </c>
      <c r="D33759" s="5">
        <v>0</v>
      </c>
      <c r="E33759" s="5">
        <v>0</v>
      </c>
      <c r="F33759" s="5">
        <v>0</v>
      </c>
      <c r="G33759" s="5">
        <v>0</v>
      </c>
      <c r="H33759" s="5">
        <v>0</v>
      </c>
      <c r="I33759" s="5">
        <v>0</v>
      </c>
      <c r="J33759" s="5">
        <v>0</v>
      </c>
      <c r="K33759" s="5">
        <v>0</v>
      </c>
    </row>
    <row r="33760" spans="1:11" x14ac:dyDescent="0.25">
      <c r="A33760" s="5">
        <f>33753</f>
      </c>
      <c r="B33760" s="5" t="s">
        <v>33768</v>
      </c>
      <c r="C33760" s="5">
        <v>0</v>
      </c>
      <c r="D33760" s="5">
        <v>0</v>
      </c>
      <c r="E33760" s="5">
        <v>0</v>
      </c>
      <c r="F33760" s="5">
        <v>0</v>
      </c>
      <c r="G33760" s="5">
        <v>0</v>
      </c>
      <c r="H33760" s="5">
        <v>0</v>
      </c>
      <c r="I33760" s="5">
        <v>0</v>
      </c>
      <c r="J33760" s="5">
        <v>0</v>
      </c>
      <c r="K33760" s="5">
        <v>0</v>
      </c>
    </row>
    <row r="33761" spans="1:11" x14ac:dyDescent="0.25">
      <c r="A33761" s="5">
        <f>33754</f>
      </c>
      <c r="B33761" s="5" t="s">
        <v>33769</v>
      </c>
      <c r="C33761" s="5">
        <v>0</v>
      </c>
      <c r="D33761" s="5">
        <v>0</v>
      </c>
      <c r="E33761" s="5">
        <v>0</v>
      </c>
      <c r="F33761" s="5">
        <v>0</v>
      </c>
      <c r="G33761" s="5">
        <v>0</v>
      </c>
      <c r="H33761" s="5">
        <v>0</v>
      </c>
      <c r="I33761" s="5">
        <v>0</v>
      </c>
      <c r="J33761" s="5">
        <v>0</v>
      </c>
      <c r="K33761" s="5">
        <v>0</v>
      </c>
    </row>
    <row r="33762" spans="1:11" x14ac:dyDescent="0.25">
      <c r="A33762" s="5">
        <f>33755</f>
      </c>
      <c r="B33762" s="5" t="s">
        <v>33770</v>
      </c>
      <c r="C33762" s="5">
        <v>0</v>
      </c>
      <c r="D33762" s="5">
        <v>0</v>
      </c>
      <c r="E33762" s="5">
        <v>0</v>
      </c>
      <c r="F33762" s="5">
        <v>0</v>
      </c>
      <c r="G33762" s="5">
        <v>0</v>
      </c>
      <c r="H33762" s="5">
        <v>0</v>
      </c>
      <c r="I33762" s="5">
        <v>0</v>
      </c>
      <c r="J33762" s="5">
        <v>0</v>
      </c>
      <c r="K33762" s="5">
        <v>0</v>
      </c>
    </row>
    <row r="33763" spans="1:11" x14ac:dyDescent="0.25">
      <c r="A33763" s="5">
        <f>33756</f>
      </c>
      <c r="B33763" s="5" t="s">
        <v>33771</v>
      </c>
      <c r="C33763" s="5">
        <v>0</v>
      </c>
      <c r="D33763" s="5">
        <v>0</v>
      </c>
      <c r="E33763" s="5">
        <v>0</v>
      </c>
      <c r="F33763" s="5">
        <v>0</v>
      </c>
      <c r="G33763" s="5">
        <v>0</v>
      </c>
      <c r="H33763" s="5">
        <v>0</v>
      </c>
      <c r="I33763" s="5">
        <v>0</v>
      </c>
      <c r="J33763" s="5">
        <v>0</v>
      </c>
      <c r="K33763" s="5">
        <v>0</v>
      </c>
    </row>
    <row r="33764" spans="1:11" x14ac:dyDescent="0.25">
      <c r="A33764" s="5">
        <f>33757</f>
      </c>
      <c r="B33764" s="5" t="s">
        <v>33772</v>
      </c>
      <c r="C33764" s="5">
        <v>0</v>
      </c>
      <c r="D33764" s="5">
        <v>0</v>
      </c>
      <c r="E33764" s="5">
        <v>0</v>
      </c>
      <c r="F33764" s="5">
        <v>0</v>
      </c>
      <c r="G33764" s="5">
        <v>0</v>
      </c>
      <c r="H33764" s="5">
        <v>0</v>
      </c>
      <c r="I33764" s="5">
        <v>0</v>
      </c>
      <c r="J33764" s="5">
        <v>0</v>
      </c>
      <c r="K33764" s="5">
        <v>0</v>
      </c>
    </row>
    <row r="33765" spans="1:11" x14ac:dyDescent="0.25">
      <c r="A33765" s="5">
        <f>33758</f>
      </c>
      <c r="B33765" s="5" t="s">
        <v>33773</v>
      </c>
      <c r="C33765" s="5">
        <v>0</v>
      </c>
      <c r="D33765" s="5">
        <v>0</v>
      </c>
      <c r="E33765" s="5">
        <v>0</v>
      </c>
      <c r="F33765" s="5">
        <v>0</v>
      </c>
      <c r="G33765" s="5">
        <v>0</v>
      </c>
      <c r="H33765" s="5">
        <v>0</v>
      </c>
      <c r="I33765" s="5">
        <v>0</v>
      </c>
      <c r="J33765" s="5">
        <v>0</v>
      </c>
      <c r="K33765" s="5">
        <v>0</v>
      </c>
    </row>
    <row r="33766" spans="1:11" x14ac:dyDescent="0.25">
      <c r="A33766" s="5">
        <f>33759</f>
      </c>
      <c r="B33766" s="5" t="s">
        <v>33774</v>
      </c>
      <c r="C33766" s="5">
        <v>0</v>
      </c>
      <c r="D33766" s="5">
        <v>0</v>
      </c>
      <c r="E33766" s="5">
        <v>0</v>
      </c>
      <c r="F33766" s="5">
        <v>0</v>
      </c>
      <c r="G33766" s="5">
        <v>0</v>
      </c>
      <c r="H33766" s="5">
        <v>0</v>
      </c>
      <c r="I33766" s="5">
        <v>0</v>
      </c>
      <c r="J33766" s="5">
        <v>0</v>
      </c>
      <c r="K33766" s="5">
        <v>0</v>
      </c>
    </row>
    <row r="33767" spans="1:11" x14ac:dyDescent="0.25">
      <c r="A33767" s="5">
        <f>33760</f>
      </c>
      <c r="B33767" s="5" t="s">
        <v>33775</v>
      </c>
      <c r="C33767" s="5">
        <v>0</v>
      </c>
      <c r="D33767" s="5">
        <v>0</v>
      </c>
      <c r="E33767" s="5">
        <v>0</v>
      </c>
      <c r="F33767" s="5">
        <v>0</v>
      </c>
      <c r="G33767" s="5">
        <v>0</v>
      </c>
      <c r="H33767" s="5">
        <v>0</v>
      </c>
      <c r="I33767" s="5">
        <v>0</v>
      </c>
      <c r="J33767" s="5">
        <v>0</v>
      </c>
      <c r="K33767" s="5">
        <v>0</v>
      </c>
    </row>
    <row r="33768" spans="1:11" x14ac:dyDescent="0.25">
      <c r="A33768" s="5">
        <f>33761</f>
      </c>
      <c r="B33768" s="5" t="s">
        <v>33776</v>
      </c>
      <c r="C33768" s="5">
        <v>0</v>
      </c>
      <c r="D33768" s="5">
        <v>0</v>
      </c>
      <c r="E33768" s="5">
        <v>0</v>
      </c>
      <c r="F33768" s="5">
        <v>0</v>
      </c>
      <c r="G33768" s="5">
        <v>0</v>
      </c>
      <c r="H33768" s="5">
        <v>0</v>
      </c>
      <c r="I33768" s="5">
        <v>0</v>
      </c>
      <c r="J33768" s="5">
        <v>0</v>
      </c>
      <c r="K33768" s="5">
        <v>0</v>
      </c>
    </row>
    <row r="33769" spans="1:11" x14ac:dyDescent="0.25">
      <c r="A33769" s="5">
        <f>33762</f>
      </c>
      <c r="B33769" s="5" t="s">
        <v>33777</v>
      </c>
      <c r="C33769" s="5">
        <v>0</v>
      </c>
      <c r="D33769" s="5">
        <v>0</v>
      </c>
      <c r="E33769" s="5">
        <v>0</v>
      </c>
      <c r="F33769" s="5">
        <v>0</v>
      </c>
      <c r="G33769" s="5">
        <v>0</v>
      </c>
      <c r="H33769" s="5">
        <v>0</v>
      </c>
      <c r="I33769" s="5">
        <v>0</v>
      </c>
      <c r="J33769" s="5">
        <v>0</v>
      </c>
      <c r="K33769" s="5">
        <v>0</v>
      </c>
    </row>
    <row r="33770" spans="1:11" x14ac:dyDescent="0.25">
      <c r="A33770" s="5">
        <f>33763</f>
      </c>
      <c r="B33770" s="5" t="s">
        <v>33778</v>
      </c>
      <c r="C33770" s="5">
        <v>0</v>
      </c>
      <c r="D33770" s="5">
        <v>0</v>
      </c>
      <c r="E33770" s="5">
        <v>0</v>
      </c>
      <c r="F33770" s="5">
        <v>0</v>
      </c>
      <c r="G33770" s="5">
        <v>0</v>
      </c>
      <c r="H33770" s="5">
        <v>0</v>
      </c>
      <c r="I33770" s="5">
        <v>0</v>
      </c>
      <c r="J33770" s="5">
        <v>0</v>
      </c>
      <c r="K33770" s="5">
        <v>0</v>
      </c>
    </row>
    <row r="33771" spans="1:11" x14ac:dyDescent="0.25">
      <c r="A33771" s="5">
        <f>33764</f>
      </c>
      <c r="B33771" s="5" t="s">
        <v>33779</v>
      </c>
      <c r="C33771" s="5">
        <v>0</v>
      </c>
      <c r="D33771" s="5">
        <v>0</v>
      </c>
      <c r="E33771" s="5">
        <v>0</v>
      </c>
      <c r="F33771" s="5">
        <v>0</v>
      </c>
      <c r="G33771" s="5">
        <v>0</v>
      </c>
      <c r="H33771" s="5">
        <v>0</v>
      </c>
      <c r="I33771" s="5">
        <v>0</v>
      </c>
      <c r="J33771" s="5">
        <v>0</v>
      </c>
      <c r="K33771" s="5">
        <v>0</v>
      </c>
    </row>
    <row r="33772" spans="1:11" x14ac:dyDescent="0.25">
      <c r="A33772" s="5">
        <f>33765</f>
      </c>
      <c r="B33772" s="5" t="s">
        <v>33780</v>
      </c>
      <c r="C33772" s="5">
        <v>0</v>
      </c>
      <c r="D33772" s="5">
        <v>0</v>
      </c>
      <c r="E33772" s="5">
        <v>0</v>
      </c>
      <c r="F33772" s="5">
        <v>0</v>
      </c>
      <c r="G33772" s="5">
        <v>0</v>
      </c>
      <c r="H33772" s="5">
        <v>0</v>
      </c>
      <c r="I33772" s="5">
        <v>0</v>
      </c>
      <c r="J33772" s="5">
        <v>0</v>
      </c>
      <c r="K33772" s="5">
        <v>0</v>
      </c>
    </row>
    <row r="33773" spans="1:11" x14ac:dyDescent="0.25">
      <c r="A33773" s="5">
        <f>33766</f>
      </c>
      <c r="B33773" s="5" t="s">
        <v>33781</v>
      </c>
      <c r="C33773" s="5">
        <v>0</v>
      </c>
      <c r="D33773" s="5">
        <v>0</v>
      </c>
      <c r="E33773" s="5">
        <v>0</v>
      </c>
      <c r="F33773" s="5">
        <v>0</v>
      </c>
      <c r="G33773" s="5">
        <v>0</v>
      </c>
      <c r="H33773" s="5">
        <v>0</v>
      </c>
      <c r="I33773" s="5">
        <v>0</v>
      </c>
      <c r="J33773" s="5">
        <v>0</v>
      </c>
      <c r="K33773" s="5">
        <v>0</v>
      </c>
    </row>
    <row r="33774" spans="1:11" x14ac:dyDescent="0.25">
      <c r="A33774" s="5">
        <f>33767</f>
      </c>
      <c r="B33774" s="5" t="s">
        <v>33782</v>
      </c>
      <c r="C33774" s="5">
        <v>0</v>
      </c>
      <c r="D33774" s="5">
        <v>0</v>
      </c>
      <c r="E33774" s="5">
        <v>0</v>
      </c>
      <c r="F33774" s="5">
        <v>0</v>
      </c>
      <c r="G33774" s="5">
        <v>0</v>
      </c>
      <c r="H33774" s="5">
        <v>0</v>
      </c>
      <c r="I33774" s="5">
        <v>0</v>
      </c>
      <c r="J33774" s="5">
        <v>0</v>
      </c>
      <c r="K33774" s="5">
        <v>0</v>
      </c>
    </row>
    <row r="33775" spans="1:11" x14ac:dyDescent="0.25">
      <c r="A33775" s="5">
        <f>33768</f>
      </c>
      <c r="B33775" s="5" t="s">
        <v>33783</v>
      </c>
      <c r="C33775" s="5">
        <v>0</v>
      </c>
      <c r="D33775" s="5">
        <v>0</v>
      </c>
      <c r="E33775" s="5">
        <v>0</v>
      </c>
      <c r="F33775" s="5">
        <v>0</v>
      </c>
      <c r="G33775" s="5">
        <v>0</v>
      </c>
      <c r="H33775" s="5">
        <v>0</v>
      </c>
      <c r="I33775" s="5">
        <v>0</v>
      </c>
      <c r="J33775" s="5">
        <v>0</v>
      </c>
      <c r="K33775" s="5">
        <v>0</v>
      </c>
    </row>
    <row r="33776" spans="1:11" x14ac:dyDescent="0.25">
      <c r="A33776" s="5">
        <f>33769</f>
      </c>
      <c r="B33776" s="5" t="s">
        <v>33784</v>
      </c>
      <c r="C33776" s="5">
        <v>0</v>
      </c>
      <c r="D33776" s="5">
        <v>0</v>
      </c>
      <c r="E33776" s="5">
        <v>0</v>
      </c>
      <c r="F33776" s="5">
        <v>0</v>
      </c>
      <c r="G33776" s="5">
        <v>0</v>
      </c>
      <c r="H33776" s="5">
        <v>0</v>
      </c>
      <c r="I33776" s="5">
        <v>0</v>
      </c>
      <c r="J33776" s="5">
        <v>0</v>
      </c>
      <c r="K33776" s="5">
        <v>0</v>
      </c>
    </row>
    <row r="33777" spans="1:11" x14ac:dyDescent="0.25">
      <c r="A33777" s="5">
        <f>33770</f>
      </c>
      <c r="B33777" s="5" t="s">
        <v>33785</v>
      </c>
      <c r="C33777" s="5">
        <v>0</v>
      </c>
      <c r="D33777" s="5">
        <v>0</v>
      </c>
      <c r="E33777" s="5">
        <v>0</v>
      </c>
      <c r="F33777" s="5">
        <v>0</v>
      </c>
      <c r="G33777" s="5">
        <v>0</v>
      </c>
      <c r="H33777" s="5">
        <v>0</v>
      </c>
      <c r="I33777" s="5">
        <v>0</v>
      </c>
      <c r="J33777" s="5">
        <v>0</v>
      </c>
      <c r="K33777" s="5">
        <v>0</v>
      </c>
    </row>
    <row r="33778" spans="1:11" x14ac:dyDescent="0.25">
      <c r="A33778" s="5">
        <f>33771</f>
      </c>
      <c r="B33778" s="5" t="s">
        <v>33786</v>
      </c>
      <c r="C33778" s="5">
        <v>0</v>
      </c>
      <c r="D33778" s="5">
        <v>0</v>
      </c>
      <c r="E33778" s="5">
        <v>0</v>
      </c>
      <c r="F33778" s="5">
        <v>0</v>
      </c>
      <c r="G33778" s="5">
        <v>0</v>
      </c>
      <c r="H33778" s="5">
        <v>0</v>
      </c>
      <c r="I33778" s="5">
        <v>0</v>
      </c>
      <c r="J33778" s="5">
        <v>0</v>
      </c>
      <c r="K33778" s="5">
        <v>0</v>
      </c>
    </row>
    <row r="33779" spans="1:11" x14ac:dyDescent="0.25">
      <c r="A33779" s="5">
        <f>33772</f>
      </c>
      <c r="B33779" s="5" t="s">
        <v>33787</v>
      </c>
      <c r="C33779" s="5">
        <v>0</v>
      </c>
      <c r="D33779" s="5">
        <v>0</v>
      </c>
      <c r="E33779" s="5">
        <v>0</v>
      </c>
      <c r="F33779" s="5">
        <v>0</v>
      </c>
      <c r="G33779" s="5">
        <v>0</v>
      </c>
      <c r="H33779" s="5">
        <v>0</v>
      </c>
      <c r="I33779" s="5">
        <v>0</v>
      </c>
      <c r="J33779" s="5">
        <v>0</v>
      </c>
      <c r="K33779" s="5">
        <v>0</v>
      </c>
    </row>
    <row r="33780" spans="1:11" x14ac:dyDescent="0.25">
      <c r="A33780" s="5">
        <f>33773</f>
      </c>
      <c r="B33780" s="5" t="s">
        <v>33788</v>
      </c>
      <c r="C33780" s="5">
        <v>0</v>
      </c>
      <c r="D33780" s="5">
        <v>0</v>
      </c>
      <c r="E33780" s="5">
        <v>0</v>
      </c>
      <c r="F33780" s="5">
        <v>0</v>
      </c>
      <c r="G33780" s="5">
        <v>0</v>
      </c>
      <c r="H33780" s="5">
        <v>0</v>
      </c>
      <c r="I33780" s="5">
        <v>0</v>
      </c>
      <c r="J33780" s="5">
        <v>0</v>
      </c>
      <c r="K33780" s="5">
        <v>0</v>
      </c>
    </row>
    <row r="33781" spans="1:11" x14ac:dyDescent="0.25">
      <c r="A33781" s="5">
        <f>33774</f>
      </c>
      <c r="B33781" s="5" t="s">
        <v>33789</v>
      </c>
      <c r="C33781" s="5">
        <v>0</v>
      </c>
      <c r="D33781" s="5">
        <v>0</v>
      </c>
      <c r="E33781" s="5">
        <v>0</v>
      </c>
      <c r="F33781" s="5">
        <v>0</v>
      </c>
      <c r="G33781" s="5">
        <v>0</v>
      </c>
      <c r="H33781" s="5">
        <v>0</v>
      </c>
      <c r="I33781" s="5">
        <v>0</v>
      </c>
      <c r="J33781" s="5">
        <v>0</v>
      </c>
      <c r="K33781" s="5">
        <v>0</v>
      </c>
    </row>
    <row r="33782" spans="1:11" x14ac:dyDescent="0.25">
      <c r="A33782" s="5">
        <f>33775</f>
      </c>
      <c r="B33782" s="5" t="s">
        <v>33790</v>
      </c>
      <c r="C33782" s="5">
        <v>0</v>
      </c>
      <c r="D33782" s="5">
        <v>0</v>
      </c>
      <c r="E33782" s="5">
        <v>0</v>
      </c>
      <c r="F33782" s="5">
        <v>0</v>
      </c>
      <c r="G33782" s="5">
        <v>0</v>
      </c>
      <c r="H33782" s="5">
        <v>0</v>
      </c>
      <c r="I33782" s="5">
        <v>0</v>
      </c>
      <c r="J33782" s="5">
        <v>0</v>
      </c>
      <c r="K33782" s="5">
        <v>0</v>
      </c>
    </row>
    <row r="33783" spans="1:11" x14ac:dyDescent="0.25">
      <c r="A33783" s="5">
        <f>33776</f>
      </c>
      <c r="B33783" s="5" t="s">
        <v>33791</v>
      </c>
      <c r="C33783" s="5">
        <v>0</v>
      </c>
      <c r="D33783" s="5">
        <v>0</v>
      </c>
      <c r="E33783" s="5">
        <v>0</v>
      </c>
      <c r="F33783" s="5">
        <v>0</v>
      </c>
      <c r="G33783" s="5">
        <v>0</v>
      </c>
      <c r="H33783" s="5">
        <v>0</v>
      </c>
      <c r="I33783" s="5">
        <v>0</v>
      </c>
      <c r="J33783" s="5">
        <v>0</v>
      </c>
      <c r="K33783" s="5">
        <v>0</v>
      </c>
    </row>
    <row r="33784" spans="1:11" x14ac:dyDescent="0.25">
      <c r="A33784" s="5">
        <f>33777</f>
      </c>
      <c r="B33784" s="5" t="s">
        <v>33792</v>
      </c>
      <c r="C33784" s="5">
        <v>0</v>
      </c>
      <c r="D33784" s="5">
        <v>0</v>
      </c>
      <c r="E33784" s="5">
        <v>0</v>
      </c>
      <c r="F33784" s="5">
        <v>0</v>
      </c>
      <c r="G33784" s="5">
        <v>0</v>
      </c>
      <c r="H33784" s="5">
        <v>0</v>
      </c>
      <c r="I33784" s="5">
        <v>0</v>
      </c>
      <c r="J33784" s="5">
        <v>0</v>
      </c>
      <c r="K33784" s="5">
        <v>0</v>
      </c>
    </row>
    <row r="33785" spans="1:11" x14ac:dyDescent="0.25">
      <c r="A33785" s="5">
        <f>33778</f>
      </c>
      <c r="B33785" s="5" t="s">
        <v>33793</v>
      </c>
      <c r="C33785" s="5">
        <v>0</v>
      </c>
      <c r="D33785" s="5">
        <v>0</v>
      </c>
      <c r="E33785" s="5">
        <v>0</v>
      </c>
      <c r="F33785" s="5">
        <v>0</v>
      </c>
      <c r="G33785" s="5">
        <v>0</v>
      </c>
      <c r="H33785" s="5">
        <v>0</v>
      </c>
      <c r="I33785" s="5">
        <v>0</v>
      </c>
      <c r="J33785" s="5">
        <v>0</v>
      </c>
      <c r="K33785" s="5">
        <v>0</v>
      </c>
    </row>
    <row r="33786" spans="1:11" x14ac:dyDescent="0.25">
      <c r="A33786" s="5">
        <f>33779</f>
      </c>
      <c r="B33786" s="5" t="s">
        <v>33794</v>
      </c>
      <c r="C33786" s="5">
        <v>0</v>
      </c>
      <c r="D33786" s="5">
        <v>0</v>
      </c>
      <c r="E33786" s="5">
        <v>0</v>
      </c>
      <c r="F33786" s="5">
        <v>0</v>
      </c>
      <c r="G33786" s="5">
        <v>0</v>
      </c>
      <c r="H33786" s="5">
        <v>0</v>
      </c>
      <c r="I33786" s="5">
        <v>0</v>
      </c>
      <c r="J33786" s="5">
        <v>0</v>
      </c>
      <c r="K33786" s="5">
        <v>0</v>
      </c>
    </row>
    <row r="33787" spans="1:11" x14ac:dyDescent="0.25">
      <c r="A33787" s="5">
        <f>33780</f>
      </c>
      <c r="B33787" s="5" t="s">
        <v>33795</v>
      </c>
      <c r="C33787" s="5">
        <v>0</v>
      </c>
      <c r="D33787" s="5">
        <v>0</v>
      </c>
      <c r="E33787" s="5">
        <v>0</v>
      </c>
      <c r="F33787" s="5">
        <v>0</v>
      </c>
      <c r="G33787" s="5">
        <v>0</v>
      </c>
      <c r="H33787" s="5">
        <v>0</v>
      </c>
      <c r="I33787" s="5">
        <v>0</v>
      </c>
      <c r="J33787" s="5">
        <v>0</v>
      </c>
      <c r="K33787" s="5">
        <v>0</v>
      </c>
    </row>
    <row r="33788" spans="1:11" x14ac:dyDescent="0.25">
      <c r="A33788" s="5">
        <f>33781</f>
      </c>
      <c r="B33788" s="5" t="s">
        <v>33796</v>
      </c>
      <c r="C33788" s="5">
        <v>0</v>
      </c>
      <c r="D33788" s="5">
        <v>0</v>
      </c>
      <c r="E33788" s="5">
        <v>0</v>
      </c>
      <c r="F33788" s="5">
        <v>0</v>
      </c>
      <c r="G33788" s="5">
        <v>0</v>
      </c>
      <c r="H33788" s="5">
        <v>0</v>
      </c>
      <c r="I33788" s="5">
        <v>0</v>
      </c>
      <c r="J33788" s="5">
        <v>0</v>
      </c>
      <c r="K33788" s="5">
        <v>0</v>
      </c>
    </row>
    <row r="33789" spans="1:11" x14ac:dyDescent="0.25">
      <c r="A33789" s="5">
        <f>33782</f>
      </c>
      <c r="B33789" s="5" t="s">
        <v>33797</v>
      </c>
      <c r="C33789" s="5">
        <v>0</v>
      </c>
      <c r="D33789" s="5">
        <v>0</v>
      </c>
      <c r="E33789" s="5">
        <v>0</v>
      </c>
      <c r="F33789" s="5">
        <v>0</v>
      </c>
      <c r="G33789" s="5">
        <v>0</v>
      </c>
      <c r="H33789" s="5">
        <v>0</v>
      </c>
      <c r="I33789" s="5">
        <v>0</v>
      </c>
      <c r="J33789" s="5">
        <v>0</v>
      </c>
      <c r="K33789" s="5">
        <v>0</v>
      </c>
    </row>
    <row r="33790" spans="1:11" x14ac:dyDescent="0.25">
      <c r="A33790" s="5">
        <f>33783</f>
      </c>
      <c r="B33790" s="5" t="s">
        <v>33798</v>
      </c>
      <c r="C33790" s="5">
        <v>0</v>
      </c>
      <c r="D33790" s="5">
        <v>0</v>
      </c>
      <c r="E33790" s="5">
        <v>0</v>
      </c>
      <c r="F33790" s="5">
        <v>0</v>
      </c>
      <c r="G33790" s="5">
        <v>0</v>
      </c>
      <c r="H33790" s="5">
        <v>0</v>
      </c>
      <c r="I33790" s="5">
        <v>0</v>
      </c>
      <c r="J33790" s="5">
        <v>0</v>
      </c>
      <c r="K33790" s="5">
        <v>0</v>
      </c>
    </row>
    <row r="33791" spans="1:11" x14ac:dyDescent="0.25">
      <c r="A33791" s="5">
        <f>33784</f>
      </c>
      <c r="B33791" s="5" t="s">
        <v>33799</v>
      </c>
      <c r="C33791" s="5">
        <v>0</v>
      </c>
      <c r="D33791" s="5">
        <v>0</v>
      </c>
      <c r="E33791" s="5">
        <v>0</v>
      </c>
      <c r="F33791" s="5">
        <v>0</v>
      </c>
      <c r="G33791" s="5">
        <v>0</v>
      </c>
      <c r="H33791" s="5">
        <v>0</v>
      </c>
      <c r="I33791" s="5">
        <v>0</v>
      </c>
      <c r="J33791" s="5">
        <v>0</v>
      </c>
      <c r="K33791" s="5">
        <v>0</v>
      </c>
    </row>
    <row r="33792" spans="1:11" x14ac:dyDescent="0.25">
      <c r="A33792" s="5">
        <f>33785</f>
      </c>
      <c r="B33792" s="5" t="s">
        <v>33800</v>
      </c>
      <c r="C33792" s="5">
        <v>0</v>
      </c>
      <c r="D33792" s="5">
        <v>0</v>
      </c>
      <c r="E33792" s="5">
        <v>0</v>
      </c>
      <c r="F33792" s="5">
        <v>0</v>
      </c>
      <c r="G33792" s="5">
        <v>0</v>
      </c>
      <c r="H33792" s="5">
        <v>0</v>
      </c>
      <c r="I33792" s="5">
        <v>0</v>
      </c>
      <c r="J33792" s="5">
        <v>0</v>
      </c>
      <c r="K33792" s="5">
        <v>0</v>
      </c>
    </row>
    <row r="33793" spans="1:11" x14ac:dyDescent="0.25">
      <c r="A33793" s="5">
        <f>33786</f>
      </c>
      <c r="B33793" s="5" t="s">
        <v>33801</v>
      </c>
      <c r="C33793" s="5">
        <v>0</v>
      </c>
      <c r="D33793" s="5">
        <v>0</v>
      </c>
      <c r="E33793" s="5">
        <v>0</v>
      </c>
      <c r="F33793" s="5">
        <v>0</v>
      </c>
      <c r="G33793" s="5">
        <v>0</v>
      </c>
      <c r="H33793" s="5">
        <v>0</v>
      </c>
      <c r="I33793" s="5">
        <v>0</v>
      </c>
      <c r="J33793" s="5">
        <v>0</v>
      </c>
      <c r="K33793" s="5">
        <v>0</v>
      </c>
    </row>
    <row r="33794" spans="1:11" x14ac:dyDescent="0.25">
      <c r="A33794" s="5">
        <f>33787</f>
      </c>
      <c r="B33794" s="5" t="s">
        <v>33802</v>
      </c>
      <c r="C33794" s="5">
        <v>0</v>
      </c>
      <c r="D33794" s="5">
        <v>0</v>
      </c>
      <c r="E33794" s="5">
        <v>0</v>
      </c>
      <c r="F33794" s="5">
        <v>0</v>
      </c>
      <c r="G33794" s="5">
        <v>0</v>
      </c>
      <c r="H33794" s="5">
        <v>0</v>
      </c>
      <c r="I33794" s="5">
        <v>0</v>
      </c>
      <c r="J33794" s="5">
        <v>0</v>
      </c>
      <c r="K33794" s="5">
        <v>0</v>
      </c>
    </row>
    <row r="33795" spans="1:11" x14ac:dyDescent="0.25">
      <c r="A33795" s="5">
        <f>33788</f>
      </c>
      <c r="B33795" s="5" t="s">
        <v>33803</v>
      </c>
      <c r="C33795" s="5">
        <v>0</v>
      </c>
      <c r="D33795" s="5">
        <v>0</v>
      </c>
      <c r="E33795" s="5">
        <v>0</v>
      </c>
      <c r="F33795" s="5">
        <v>0</v>
      </c>
      <c r="G33795" s="5">
        <v>0</v>
      </c>
      <c r="H33795" s="5">
        <v>0</v>
      </c>
      <c r="I33795" s="5">
        <v>0</v>
      </c>
      <c r="J33795" s="5">
        <v>0</v>
      </c>
      <c r="K33795" s="5">
        <v>0</v>
      </c>
    </row>
    <row r="33796" spans="1:11" x14ac:dyDescent="0.25">
      <c r="A33796" s="5">
        <f>33789</f>
      </c>
      <c r="B33796" s="5" t="s">
        <v>33804</v>
      </c>
      <c r="C33796" s="5">
        <v>0</v>
      </c>
      <c r="D33796" s="5">
        <v>0</v>
      </c>
      <c r="E33796" s="5">
        <v>0</v>
      </c>
      <c r="F33796" s="5">
        <v>0</v>
      </c>
      <c r="G33796" s="5">
        <v>0</v>
      </c>
      <c r="H33796" s="5">
        <v>0</v>
      </c>
      <c r="I33796" s="5">
        <v>0</v>
      </c>
      <c r="J33796" s="5">
        <v>0</v>
      </c>
      <c r="K33796" s="5">
        <v>0</v>
      </c>
    </row>
    <row r="33797" spans="1:11" x14ac:dyDescent="0.25">
      <c r="A33797" s="5">
        <f>33790</f>
      </c>
      <c r="B33797" s="5" t="s">
        <v>33805</v>
      </c>
      <c r="C33797" s="5">
        <v>0</v>
      </c>
      <c r="D33797" s="5">
        <v>0</v>
      </c>
      <c r="E33797" s="5">
        <v>0</v>
      </c>
      <c r="F33797" s="5">
        <v>0</v>
      </c>
      <c r="G33797" s="5">
        <v>0</v>
      </c>
      <c r="H33797" s="5">
        <v>0</v>
      </c>
      <c r="I33797" s="5">
        <v>0</v>
      </c>
      <c r="J33797" s="5">
        <v>0</v>
      </c>
      <c r="K33797" s="5">
        <v>0</v>
      </c>
    </row>
    <row r="33798" spans="1:11" x14ac:dyDescent="0.25">
      <c r="A33798" s="5">
        <f>33791</f>
      </c>
      <c r="B33798" s="5" t="s">
        <v>33806</v>
      </c>
      <c r="C33798" s="5">
        <v>0</v>
      </c>
      <c r="D33798" s="5">
        <v>0</v>
      </c>
      <c r="E33798" s="5">
        <v>0</v>
      </c>
      <c r="F33798" s="5">
        <v>0</v>
      </c>
      <c r="G33798" s="5">
        <v>0</v>
      </c>
      <c r="H33798" s="5">
        <v>0</v>
      </c>
      <c r="I33798" s="5">
        <v>0</v>
      </c>
      <c r="J33798" s="5">
        <v>0</v>
      </c>
      <c r="K33798" s="5">
        <v>0</v>
      </c>
    </row>
    <row r="33799" spans="1:11" x14ac:dyDescent="0.25">
      <c r="A33799" s="5">
        <f>33792</f>
      </c>
      <c r="B33799" s="5" t="s">
        <v>33807</v>
      </c>
      <c r="C33799" s="5">
        <v>0</v>
      </c>
      <c r="D33799" s="5">
        <v>0</v>
      </c>
      <c r="E33799" s="5">
        <v>0</v>
      </c>
      <c r="F33799" s="5">
        <v>0</v>
      </c>
      <c r="G33799" s="5">
        <v>0</v>
      </c>
      <c r="H33799" s="5">
        <v>0</v>
      </c>
      <c r="I33799" s="5">
        <v>0</v>
      </c>
      <c r="J33799" s="5">
        <v>0</v>
      </c>
      <c r="K33799" s="5">
        <v>0</v>
      </c>
    </row>
    <row r="33800" spans="1:11" x14ac:dyDescent="0.25">
      <c r="A33800" s="5">
        <f>33793</f>
      </c>
      <c r="B33800" s="5" t="s">
        <v>33808</v>
      </c>
      <c r="C33800" s="5">
        <v>0</v>
      </c>
      <c r="D33800" s="5">
        <v>0</v>
      </c>
      <c r="E33800" s="5">
        <v>0</v>
      </c>
      <c r="F33800" s="5">
        <v>0</v>
      </c>
      <c r="G33800" s="5">
        <v>0</v>
      </c>
      <c r="H33800" s="5">
        <v>0</v>
      </c>
      <c r="I33800" s="5">
        <v>0</v>
      </c>
      <c r="J33800" s="5">
        <v>0</v>
      </c>
      <c r="K33800" s="5">
        <v>0</v>
      </c>
    </row>
    <row r="33801" spans="1:11" x14ac:dyDescent="0.25">
      <c r="A33801" s="5">
        <f>33794</f>
      </c>
      <c r="B33801" s="5" t="s">
        <v>33809</v>
      </c>
      <c r="C33801" s="5">
        <v>0</v>
      </c>
      <c r="D33801" s="5">
        <v>0</v>
      </c>
      <c r="E33801" s="5">
        <v>0</v>
      </c>
      <c r="F33801" s="5">
        <v>0</v>
      </c>
      <c r="G33801" s="5">
        <v>0</v>
      </c>
      <c r="H33801" s="5">
        <v>0</v>
      </c>
      <c r="I33801" s="5">
        <v>0</v>
      </c>
      <c r="J33801" s="5">
        <v>0</v>
      </c>
      <c r="K33801" s="5">
        <v>0</v>
      </c>
    </row>
    <row r="33802" spans="1:11" x14ac:dyDescent="0.25">
      <c r="A33802" s="5">
        <f>33795</f>
      </c>
      <c r="B33802" s="5" t="s">
        <v>33810</v>
      </c>
      <c r="C33802" s="5">
        <v>0</v>
      </c>
      <c r="D33802" s="5">
        <v>0</v>
      </c>
      <c r="E33802" s="5">
        <v>0</v>
      </c>
      <c r="F33802" s="5">
        <v>0</v>
      </c>
      <c r="G33802" s="5">
        <v>0</v>
      </c>
      <c r="H33802" s="5">
        <v>0</v>
      </c>
      <c r="I33802" s="5">
        <v>0</v>
      </c>
      <c r="J33802" s="5">
        <v>0</v>
      </c>
      <c r="K33802" s="5">
        <v>0</v>
      </c>
    </row>
    <row r="33803" spans="1:11" x14ac:dyDescent="0.25">
      <c r="A33803" s="5">
        <f>33796</f>
      </c>
      <c r="B33803" s="5" t="s">
        <v>33811</v>
      </c>
      <c r="C33803" s="5">
        <v>0</v>
      </c>
      <c r="D33803" s="5">
        <v>0</v>
      </c>
      <c r="E33803" s="5">
        <v>0</v>
      </c>
      <c r="F33803" s="5">
        <v>0</v>
      </c>
      <c r="G33803" s="5">
        <v>0</v>
      </c>
      <c r="H33803" s="5">
        <v>0</v>
      </c>
      <c r="I33803" s="5">
        <v>0</v>
      </c>
      <c r="J33803" s="5">
        <v>0</v>
      </c>
      <c r="K33803" s="5">
        <v>0</v>
      </c>
    </row>
    <row r="33804" spans="1:11" x14ac:dyDescent="0.25">
      <c r="A33804" s="5">
        <f>33797</f>
      </c>
      <c r="B33804" s="5" t="s">
        <v>33812</v>
      </c>
      <c r="C33804" s="5">
        <v>0</v>
      </c>
      <c r="D33804" s="5">
        <v>0</v>
      </c>
      <c r="E33804" s="5">
        <v>0</v>
      </c>
      <c r="F33804" s="5">
        <v>0</v>
      </c>
      <c r="G33804" s="5">
        <v>0</v>
      </c>
      <c r="H33804" s="5">
        <v>0</v>
      </c>
      <c r="I33804" s="5">
        <v>0</v>
      </c>
      <c r="J33804" s="5">
        <v>0</v>
      </c>
      <c r="K33804" s="5">
        <v>0</v>
      </c>
    </row>
    <row r="33805" spans="1:11" x14ac:dyDescent="0.25">
      <c r="A33805" s="5">
        <f>33798</f>
      </c>
      <c r="B33805" s="5" t="s">
        <v>33813</v>
      </c>
      <c r="C33805" s="5">
        <v>0</v>
      </c>
      <c r="D33805" s="5">
        <v>0</v>
      </c>
      <c r="E33805" s="5">
        <v>0</v>
      </c>
      <c r="F33805" s="5">
        <v>0</v>
      </c>
      <c r="G33805" s="5">
        <v>0</v>
      </c>
      <c r="H33805" s="5">
        <v>0</v>
      </c>
      <c r="I33805" s="5">
        <v>0</v>
      </c>
      <c r="J33805" s="5">
        <v>0</v>
      </c>
      <c r="K33805" s="5">
        <v>0</v>
      </c>
    </row>
    <row r="33806" spans="1:11" x14ac:dyDescent="0.25">
      <c r="A33806" s="5">
        <f>33799</f>
      </c>
      <c r="B33806" s="5" t="s">
        <v>33814</v>
      </c>
      <c r="C33806" s="5">
        <v>0</v>
      </c>
      <c r="D33806" s="5">
        <v>0</v>
      </c>
      <c r="E33806" s="5">
        <v>0</v>
      </c>
      <c r="F33806" s="5">
        <v>0</v>
      </c>
      <c r="G33806" s="5">
        <v>0</v>
      </c>
      <c r="H33806" s="5">
        <v>0</v>
      </c>
      <c r="I33806" s="5">
        <v>0</v>
      </c>
      <c r="J33806" s="5">
        <v>0</v>
      </c>
      <c r="K33806" s="5">
        <v>0</v>
      </c>
    </row>
    <row r="33807" spans="1:11" x14ac:dyDescent="0.25">
      <c r="A33807" s="5">
        <f>33800</f>
      </c>
      <c r="B33807" s="5" t="s">
        <v>33815</v>
      </c>
      <c r="C33807" s="5">
        <v>0</v>
      </c>
      <c r="D33807" s="5">
        <v>0</v>
      </c>
      <c r="E33807" s="5">
        <v>0</v>
      </c>
      <c r="F33807" s="5">
        <v>0</v>
      </c>
      <c r="G33807" s="5">
        <v>0</v>
      </c>
      <c r="H33807" s="5">
        <v>0</v>
      </c>
      <c r="I33807" s="5">
        <v>0</v>
      </c>
      <c r="J33807" s="5">
        <v>0</v>
      </c>
      <c r="K33807" s="5">
        <v>0</v>
      </c>
    </row>
    <row r="33808" spans="1:11" x14ac:dyDescent="0.25">
      <c r="A33808" s="5">
        <f>33801</f>
      </c>
      <c r="B33808" s="5" t="s">
        <v>33816</v>
      </c>
      <c r="C33808" s="5">
        <v>0</v>
      </c>
      <c r="D33808" s="5">
        <v>0</v>
      </c>
      <c r="E33808" s="5">
        <v>0</v>
      </c>
      <c r="F33808" s="5">
        <v>0</v>
      </c>
      <c r="G33808" s="5">
        <v>0</v>
      </c>
      <c r="H33808" s="5">
        <v>0</v>
      </c>
      <c r="I33808" s="5">
        <v>0</v>
      </c>
      <c r="J33808" s="5">
        <v>0</v>
      </c>
      <c r="K33808" s="5">
        <v>0</v>
      </c>
    </row>
    <row r="33809" spans="1:11" x14ac:dyDescent="0.25">
      <c r="A33809" s="5">
        <f>33802</f>
      </c>
      <c r="B33809" s="5" t="s">
        <v>33817</v>
      </c>
      <c r="C33809" s="5">
        <v>0</v>
      </c>
      <c r="D33809" s="5">
        <v>0</v>
      </c>
      <c r="E33809" s="5">
        <v>0</v>
      </c>
      <c r="F33809" s="5">
        <v>0</v>
      </c>
      <c r="G33809" s="5">
        <v>0</v>
      </c>
      <c r="H33809" s="5">
        <v>0</v>
      </c>
      <c r="I33809" s="5">
        <v>0</v>
      </c>
      <c r="J33809" s="5">
        <v>0</v>
      </c>
      <c r="K33809" s="5">
        <v>0</v>
      </c>
    </row>
    <row r="33810" spans="1:11" x14ac:dyDescent="0.25">
      <c r="A33810" s="5">
        <f>33803</f>
      </c>
      <c r="B33810" s="5" t="s">
        <v>33818</v>
      </c>
      <c r="C33810" s="5">
        <v>0</v>
      </c>
      <c r="D33810" s="5">
        <v>0</v>
      </c>
      <c r="E33810" s="5">
        <v>0</v>
      </c>
      <c r="F33810" s="5">
        <v>0</v>
      </c>
      <c r="G33810" s="5">
        <v>0</v>
      </c>
      <c r="H33810" s="5">
        <v>0</v>
      </c>
      <c r="I33810" s="5">
        <v>0</v>
      </c>
      <c r="J33810" s="5">
        <v>0</v>
      </c>
      <c r="K33810" s="5">
        <v>0</v>
      </c>
    </row>
    <row r="33811" spans="1:11" x14ac:dyDescent="0.25">
      <c r="A33811" s="5">
        <f>33804</f>
      </c>
      <c r="B33811" s="5" t="s">
        <v>33819</v>
      </c>
      <c r="C33811" s="5">
        <v>0</v>
      </c>
      <c r="D33811" s="5">
        <v>0</v>
      </c>
      <c r="E33811" s="5">
        <v>0</v>
      </c>
      <c r="F33811" s="5">
        <v>0</v>
      </c>
      <c r="G33811" s="5">
        <v>0</v>
      </c>
      <c r="H33811" s="5">
        <v>0</v>
      </c>
      <c r="I33811" s="5">
        <v>0</v>
      </c>
      <c r="J33811" s="5">
        <v>0</v>
      </c>
      <c r="K33811" s="5">
        <v>0</v>
      </c>
    </row>
    <row r="33812" spans="1:11" x14ac:dyDescent="0.25">
      <c r="A33812" s="5">
        <f>33805</f>
      </c>
      <c r="B33812" s="5" t="s">
        <v>33820</v>
      </c>
      <c r="C33812" s="5">
        <v>0</v>
      </c>
      <c r="D33812" s="5">
        <v>0</v>
      </c>
      <c r="E33812" s="5">
        <v>0</v>
      </c>
      <c r="F33812" s="5">
        <v>0</v>
      </c>
      <c r="G33812" s="5">
        <v>0</v>
      </c>
      <c r="H33812" s="5">
        <v>0</v>
      </c>
      <c r="I33812" s="5">
        <v>0</v>
      </c>
      <c r="J33812" s="5">
        <v>0</v>
      </c>
      <c r="K33812" s="5">
        <v>0</v>
      </c>
    </row>
    <row r="33813" spans="1:11" x14ac:dyDescent="0.25">
      <c r="A33813" s="5">
        <f>33806</f>
      </c>
      <c r="B33813" s="5" t="s">
        <v>33821</v>
      </c>
      <c r="C33813" s="5">
        <v>0</v>
      </c>
      <c r="D33813" s="5">
        <v>0</v>
      </c>
      <c r="E33813" s="5">
        <v>0</v>
      </c>
      <c r="F33813" s="5">
        <v>0</v>
      </c>
      <c r="G33813" s="5">
        <v>0</v>
      </c>
      <c r="H33813" s="5">
        <v>0</v>
      </c>
      <c r="I33813" s="5">
        <v>0</v>
      </c>
      <c r="J33813" s="5">
        <v>0</v>
      </c>
      <c r="K33813" s="5">
        <v>0</v>
      </c>
    </row>
    <row r="33814" spans="1:11" x14ac:dyDescent="0.25">
      <c r="A33814" s="5">
        <f>33807</f>
      </c>
      <c r="B33814" s="5" t="s">
        <v>33822</v>
      </c>
      <c r="C33814" s="5">
        <v>0</v>
      </c>
      <c r="D33814" s="5">
        <v>0</v>
      </c>
      <c r="E33814" s="5">
        <v>0</v>
      </c>
      <c r="F33814" s="5">
        <v>0</v>
      </c>
      <c r="G33814" s="5">
        <v>0</v>
      </c>
      <c r="H33814" s="5">
        <v>0</v>
      </c>
      <c r="I33814" s="5">
        <v>0</v>
      </c>
      <c r="J33814" s="5">
        <v>0</v>
      </c>
      <c r="K33814" s="5">
        <v>0</v>
      </c>
    </row>
    <row r="33815" spans="1:11" x14ac:dyDescent="0.25">
      <c r="A33815" s="5">
        <f>33808</f>
      </c>
      <c r="B33815" s="5" t="s">
        <v>33823</v>
      </c>
      <c r="C33815" s="5">
        <v>0</v>
      </c>
      <c r="D33815" s="5">
        <v>0</v>
      </c>
      <c r="E33815" s="5">
        <v>0</v>
      </c>
      <c r="F33815" s="5">
        <v>0</v>
      </c>
      <c r="G33815" s="5">
        <v>0</v>
      </c>
      <c r="H33815" s="5">
        <v>0</v>
      </c>
      <c r="I33815" s="5">
        <v>0</v>
      </c>
      <c r="J33815" s="5">
        <v>0</v>
      </c>
      <c r="K33815" s="5">
        <v>0</v>
      </c>
    </row>
    <row r="33816" spans="1:11" x14ac:dyDescent="0.25">
      <c r="A33816" s="5">
        <f>33809</f>
      </c>
      <c r="B33816" s="5" t="s">
        <v>33824</v>
      </c>
      <c r="C33816" s="5">
        <v>0</v>
      </c>
      <c r="D33816" s="5">
        <v>0</v>
      </c>
      <c r="E33816" s="5">
        <v>0</v>
      </c>
      <c r="F33816" s="5">
        <v>0</v>
      </c>
      <c r="G33816" s="5">
        <v>0</v>
      </c>
      <c r="H33816" s="5">
        <v>0</v>
      </c>
      <c r="I33816" s="5">
        <v>0</v>
      </c>
      <c r="J33816" s="5">
        <v>0</v>
      </c>
      <c r="K33816" s="5">
        <v>0</v>
      </c>
    </row>
    <row r="33817" spans="1:11" x14ac:dyDescent="0.25">
      <c r="A33817" s="5">
        <f>33810</f>
      </c>
      <c r="B33817" s="5" t="s">
        <v>33825</v>
      </c>
      <c r="C33817" s="5">
        <v>0</v>
      </c>
      <c r="D33817" s="5">
        <v>0</v>
      </c>
      <c r="E33817" s="5">
        <v>0</v>
      </c>
      <c r="F33817" s="5">
        <v>0</v>
      </c>
      <c r="G33817" s="5">
        <v>0</v>
      </c>
      <c r="H33817" s="5">
        <v>0</v>
      </c>
      <c r="I33817" s="5">
        <v>0</v>
      </c>
      <c r="J33817" s="5">
        <v>0</v>
      </c>
      <c r="K33817" s="5">
        <v>0</v>
      </c>
    </row>
    <row r="33818" spans="1:11" x14ac:dyDescent="0.25">
      <c r="A33818" s="5">
        <f>33811</f>
      </c>
      <c r="B33818" s="5" t="s">
        <v>33826</v>
      </c>
      <c r="C33818" s="5">
        <v>0</v>
      </c>
      <c r="D33818" s="5">
        <v>0</v>
      </c>
      <c r="E33818" s="5">
        <v>0</v>
      </c>
      <c r="F33818" s="5">
        <v>0</v>
      </c>
      <c r="G33818" s="5">
        <v>0</v>
      </c>
      <c r="H33818" s="5">
        <v>0</v>
      </c>
      <c r="I33818" s="5">
        <v>0</v>
      </c>
      <c r="J33818" s="5">
        <v>0</v>
      </c>
      <c r="K33818" s="5">
        <v>0</v>
      </c>
    </row>
    <row r="33819" spans="1:11" x14ac:dyDescent="0.25">
      <c r="A33819" s="5">
        <f>33812</f>
      </c>
      <c r="B33819" s="5" t="s">
        <v>33827</v>
      </c>
      <c r="C33819" s="5">
        <v>0</v>
      </c>
      <c r="D33819" s="5">
        <v>0</v>
      </c>
      <c r="E33819" s="5">
        <v>0</v>
      </c>
      <c r="F33819" s="5">
        <v>0</v>
      </c>
      <c r="G33819" s="5">
        <v>0</v>
      </c>
      <c r="H33819" s="5">
        <v>0</v>
      </c>
      <c r="I33819" s="5">
        <v>0</v>
      </c>
      <c r="J33819" s="5">
        <v>0</v>
      </c>
      <c r="K33819" s="5">
        <v>0</v>
      </c>
    </row>
    <row r="33820" spans="1:11" x14ac:dyDescent="0.25">
      <c r="A33820" s="5">
        <f>33813</f>
      </c>
      <c r="B33820" s="5" t="s">
        <v>33828</v>
      </c>
      <c r="C33820" s="5">
        <v>0</v>
      </c>
      <c r="D33820" s="5">
        <v>0</v>
      </c>
      <c r="E33820" s="5">
        <v>0</v>
      </c>
      <c r="F33820" s="5">
        <v>0</v>
      </c>
      <c r="G33820" s="5">
        <v>0</v>
      </c>
      <c r="H33820" s="5">
        <v>0</v>
      </c>
      <c r="I33820" s="5">
        <v>0</v>
      </c>
      <c r="J33820" s="5">
        <v>0</v>
      </c>
      <c r="K33820" s="5">
        <v>0</v>
      </c>
    </row>
    <row r="33821" spans="1:11" x14ac:dyDescent="0.25">
      <c r="A33821" s="5">
        <f>33814</f>
      </c>
      <c r="B33821" s="5" t="s">
        <v>33829</v>
      </c>
      <c r="C33821" s="5">
        <v>0</v>
      </c>
      <c r="D33821" s="5">
        <v>0</v>
      </c>
      <c r="E33821" s="5">
        <v>0</v>
      </c>
      <c r="F33821" s="5">
        <v>0</v>
      </c>
      <c r="G33821" s="5">
        <v>0</v>
      </c>
      <c r="H33821" s="5">
        <v>0</v>
      </c>
      <c r="I33821" s="5">
        <v>0</v>
      </c>
      <c r="J33821" s="5">
        <v>0</v>
      </c>
      <c r="K33821" s="5">
        <v>0</v>
      </c>
    </row>
    <row r="33822" spans="1:11" x14ac:dyDescent="0.25">
      <c r="A33822" s="5">
        <f>33815</f>
      </c>
      <c r="B33822" s="5" t="s">
        <v>33830</v>
      </c>
      <c r="C33822" s="5">
        <v>0</v>
      </c>
      <c r="D33822" s="5">
        <v>0</v>
      </c>
      <c r="E33822" s="5">
        <v>0</v>
      </c>
      <c r="F33822" s="5">
        <v>0</v>
      </c>
      <c r="G33822" s="5">
        <v>0</v>
      </c>
      <c r="H33822" s="5">
        <v>0</v>
      </c>
      <c r="I33822" s="5">
        <v>0</v>
      </c>
      <c r="J33822" s="5">
        <v>0</v>
      </c>
      <c r="K33822" s="5">
        <v>0</v>
      </c>
    </row>
    <row r="33823" spans="1:11" x14ac:dyDescent="0.25">
      <c r="A33823" s="5">
        <f>33816</f>
      </c>
      <c r="B33823" s="5" t="s">
        <v>33831</v>
      </c>
      <c r="C33823" s="5">
        <v>0</v>
      </c>
      <c r="D33823" s="5">
        <v>0</v>
      </c>
      <c r="E33823" s="5">
        <v>0</v>
      </c>
      <c r="F33823" s="5">
        <v>0</v>
      </c>
      <c r="G33823" s="5">
        <v>0</v>
      </c>
      <c r="H33823" s="5">
        <v>0</v>
      </c>
      <c r="I33823" s="5">
        <v>0</v>
      </c>
      <c r="J33823" s="5">
        <v>0</v>
      </c>
      <c r="K33823" s="5">
        <v>0</v>
      </c>
    </row>
    <row r="33824" spans="1:11" x14ac:dyDescent="0.25">
      <c r="A33824" s="5">
        <f>33817</f>
      </c>
      <c r="B33824" s="5" t="s">
        <v>33832</v>
      </c>
      <c r="C33824" s="5">
        <v>0</v>
      </c>
      <c r="D33824" s="5">
        <v>0</v>
      </c>
      <c r="E33824" s="5">
        <v>0</v>
      </c>
      <c r="F33824" s="5">
        <v>0</v>
      </c>
      <c r="G33824" s="5">
        <v>0</v>
      </c>
      <c r="H33824" s="5">
        <v>0</v>
      </c>
      <c r="I33824" s="5">
        <v>0</v>
      </c>
      <c r="J33824" s="5">
        <v>0</v>
      </c>
      <c r="K33824" s="5">
        <v>0</v>
      </c>
    </row>
    <row r="33825" spans="1:11" x14ac:dyDescent="0.25">
      <c r="A33825" s="5">
        <f>33818</f>
      </c>
      <c r="B33825" s="5" t="s">
        <v>33833</v>
      </c>
      <c r="C33825" s="5">
        <v>0</v>
      </c>
      <c r="D33825" s="5">
        <v>0</v>
      </c>
      <c r="E33825" s="5">
        <v>0</v>
      </c>
      <c r="F33825" s="5">
        <v>0</v>
      </c>
      <c r="G33825" s="5">
        <v>0</v>
      </c>
      <c r="H33825" s="5">
        <v>0</v>
      </c>
      <c r="I33825" s="5">
        <v>0</v>
      </c>
      <c r="J33825" s="5">
        <v>0</v>
      </c>
      <c r="K33825" s="5">
        <v>0</v>
      </c>
    </row>
    <row r="33826" spans="1:11" x14ac:dyDescent="0.25">
      <c r="A33826" s="5">
        <f>33819</f>
      </c>
      <c r="B33826" s="5" t="s">
        <v>33834</v>
      </c>
      <c r="C33826" s="5">
        <v>0</v>
      </c>
      <c r="D33826" s="5">
        <v>0</v>
      </c>
      <c r="E33826" s="5">
        <v>0</v>
      </c>
      <c r="F33826" s="5">
        <v>0</v>
      </c>
      <c r="G33826" s="5">
        <v>0</v>
      </c>
      <c r="H33826" s="5">
        <v>0</v>
      </c>
      <c r="I33826" s="5">
        <v>0</v>
      </c>
      <c r="J33826" s="5">
        <v>0</v>
      </c>
      <c r="K33826" s="5">
        <v>0</v>
      </c>
    </row>
    <row r="33827" spans="1:11" x14ac:dyDescent="0.25">
      <c r="A33827" s="5">
        <f>33820</f>
      </c>
      <c r="B33827" s="5" t="s">
        <v>33835</v>
      </c>
      <c r="C33827" s="5">
        <v>0</v>
      </c>
      <c r="D33827" s="5">
        <v>0</v>
      </c>
      <c r="E33827" s="5">
        <v>0</v>
      </c>
      <c r="F33827" s="5">
        <v>0</v>
      </c>
      <c r="G33827" s="5">
        <v>0</v>
      </c>
      <c r="H33827" s="5">
        <v>0</v>
      </c>
      <c r="I33827" s="5">
        <v>0</v>
      </c>
      <c r="J33827" s="5">
        <v>0</v>
      </c>
      <c r="K33827" s="5">
        <v>0</v>
      </c>
    </row>
    <row r="33828" spans="1:11" x14ac:dyDescent="0.25">
      <c r="A33828" s="5">
        <f>33821</f>
      </c>
      <c r="B33828" s="5" t="s">
        <v>33836</v>
      </c>
      <c r="C33828" s="5">
        <v>0</v>
      </c>
      <c r="D33828" s="5">
        <v>0</v>
      </c>
      <c r="E33828" s="5">
        <v>0</v>
      </c>
      <c r="F33828" s="5">
        <v>0</v>
      </c>
      <c r="G33828" s="5">
        <v>0</v>
      </c>
      <c r="H33828" s="5">
        <v>0</v>
      </c>
      <c r="I33828" s="5">
        <v>0</v>
      </c>
      <c r="J33828" s="5">
        <v>0</v>
      </c>
      <c r="K33828" s="5">
        <v>0</v>
      </c>
    </row>
    <row r="33829" spans="1:11" x14ac:dyDescent="0.25">
      <c r="A33829" s="5">
        <f>33822</f>
      </c>
      <c r="B33829" s="5" t="s">
        <v>33837</v>
      </c>
      <c r="C33829" s="5">
        <v>0</v>
      </c>
      <c r="D33829" s="5">
        <v>0</v>
      </c>
      <c r="E33829" s="5">
        <v>0</v>
      </c>
      <c r="F33829" s="5">
        <v>0</v>
      </c>
      <c r="G33829" s="5">
        <v>0</v>
      </c>
      <c r="H33829" s="5">
        <v>0</v>
      </c>
      <c r="I33829" s="5">
        <v>0</v>
      </c>
      <c r="J33829" s="5">
        <v>0</v>
      </c>
      <c r="K33829" s="5">
        <v>0</v>
      </c>
    </row>
    <row r="33830" spans="1:11" x14ac:dyDescent="0.25">
      <c r="A33830" s="5">
        <f>33823</f>
      </c>
      <c r="B33830" s="5" t="s">
        <v>33838</v>
      </c>
      <c r="C33830" s="5">
        <v>0</v>
      </c>
      <c r="D33830" s="5">
        <v>0</v>
      </c>
      <c r="E33830" s="5">
        <v>0</v>
      </c>
      <c r="F33830" s="5">
        <v>0</v>
      </c>
      <c r="G33830" s="5">
        <v>0</v>
      </c>
      <c r="H33830" s="5">
        <v>0</v>
      </c>
      <c r="I33830" s="5">
        <v>0</v>
      </c>
      <c r="J33830" s="5">
        <v>0</v>
      </c>
      <c r="K33830" s="5">
        <v>0</v>
      </c>
    </row>
    <row r="33831" spans="1:11" x14ac:dyDescent="0.25">
      <c r="A33831" s="5">
        <f>33824</f>
      </c>
      <c r="B33831" s="5" t="s">
        <v>33839</v>
      </c>
      <c r="C33831" s="5">
        <v>0</v>
      </c>
      <c r="D33831" s="5">
        <v>0</v>
      </c>
      <c r="E33831" s="5">
        <v>0</v>
      </c>
      <c r="F33831" s="5">
        <v>0</v>
      </c>
      <c r="G33831" s="5">
        <v>0</v>
      </c>
      <c r="H33831" s="5">
        <v>0</v>
      </c>
      <c r="I33831" s="5">
        <v>0</v>
      </c>
      <c r="J33831" s="5">
        <v>0</v>
      </c>
      <c r="K33831" s="5">
        <v>0</v>
      </c>
    </row>
    <row r="33832" spans="1:11" x14ac:dyDescent="0.25">
      <c r="A33832" s="5">
        <f>33825</f>
      </c>
      <c r="B33832" s="5" t="s">
        <v>33840</v>
      </c>
      <c r="C33832" s="5">
        <v>0</v>
      </c>
      <c r="D33832" s="5">
        <v>0</v>
      </c>
      <c r="E33832" s="5">
        <v>0</v>
      </c>
      <c r="F33832" s="5">
        <v>0</v>
      </c>
      <c r="G33832" s="5">
        <v>0</v>
      </c>
      <c r="H33832" s="5">
        <v>0</v>
      </c>
      <c r="I33832" s="5">
        <v>0</v>
      </c>
      <c r="J33832" s="5">
        <v>0</v>
      </c>
      <c r="K33832" s="5">
        <v>0</v>
      </c>
    </row>
    <row r="33833" spans="1:11" x14ac:dyDescent="0.25">
      <c r="A33833" s="5">
        <f>33826</f>
      </c>
      <c r="B33833" s="5" t="s">
        <v>33841</v>
      </c>
      <c r="C33833" s="5">
        <v>0</v>
      </c>
      <c r="D33833" s="5">
        <v>0</v>
      </c>
      <c r="E33833" s="5">
        <v>0</v>
      </c>
      <c r="F33833" s="5">
        <v>0</v>
      </c>
      <c r="G33833" s="5">
        <v>0</v>
      </c>
      <c r="H33833" s="5">
        <v>0</v>
      </c>
      <c r="I33833" s="5">
        <v>0</v>
      </c>
      <c r="J33833" s="5">
        <v>0</v>
      </c>
      <c r="K33833" s="5">
        <v>0</v>
      </c>
    </row>
    <row r="33834" spans="1:11" x14ac:dyDescent="0.25">
      <c r="A33834" s="5">
        <f>33827</f>
      </c>
      <c r="B33834" s="5" t="s">
        <v>33842</v>
      </c>
      <c r="C33834" s="5">
        <v>0</v>
      </c>
      <c r="D33834" s="5">
        <v>0</v>
      </c>
      <c r="E33834" s="5">
        <v>0</v>
      </c>
      <c r="F33834" s="5">
        <v>0</v>
      </c>
      <c r="G33834" s="5">
        <v>0</v>
      </c>
      <c r="H33834" s="5">
        <v>0</v>
      </c>
      <c r="I33834" s="5">
        <v>0</v>
      </c>
      <c r="J33834" s="5">
        <v>0</v>
      </c>
      <c r="K33834" s="5">
        <v>0</v>
      </c>
    </row>
    <row r="33835" spans="1:11" x14ac:dyDescent="0.25">
      <c r="A33835" s="5">
        <f>33828</f>
      </c>
      <c r="B33835" s="5" t="s">
        <v>33843</v>
      </c>
      <c r="C33835" s="5">
        <v>0</v>
      </c>
      <c r="D33835" s="5">
        <v>0</v>
      </c>
      <c r="E33835" s="5">
        <v>0</v>
      </c>
      <c r="F33835" s="5">
        <v>0</v>
      </c>
      <c r="G33835" s="5">
        <v>0</v>
      </c>
      <c r="H33835" s="5">
        <v>0</v>
      </c>
      <c r="I33835" s="5">
        <v>0</v>
      </c>
      <c r="J33835" s="5">
        <v>0</v>
      </c>
      <c r="K33835" s="5">
        <v>0</v>
      </c>
    </row>
    <row r="33836" spans="1:11" x14ac:dyDescent="0.25">
      <c r="A33836" s="5">
        <f>33829</f>
      </c>
      <c r="B33836" s="5" t="s">
        <v>33844</v>
      </c>
      <c r="C33836" s="5">
        <v>0</v>
      </c>
      <c r="D33836" s="5">
        <v>0</v>
      </c>
      <c r="E33836" s="5">
        <v>0</v>
      </c>
      <c r="F33836" s="5">
        <v>0</v>
      </c>
      <c r="G33836" s="5">
        <v>0</v>
      </c>
      <c r="H33836" s="5">
        <v>0</v>
      </c>
      <c r="I33836" s="5">
        <v>0</v>
      </c>
      <c r="J33836" s="5">
        <v>0</v>
      </c>
      <c r="K33836" s="5">
        <v>0</v>
      </c>
    </row>
    <row r="33837" spans="1:11" x14ac:dyDescent="0.25">
      <c r="A33837" s="5">
        <f>33830</f>
      </c>
      <c r="B33837" s="5" t="s">
        <v>33845</v>
      </c>
      <c r="C33837" s="5">
        <v>0</v>
      </c>
      <c r="D33837" s="5">
        <v>0</v>
      </c>
      <c r="E33837" s="5">
        <v>0</v>
      </c>
      <c r="F33837" s="5">
        <v>0</v>
      </c>
      <c r="G33837" s="5">
        <v>0</v>
      </c>
      <c r="H33837" s="5">
        <v>0</v>
      </c>
      <c r="I33837" s="5">
        <v>0</v>
      </c>
      <c r="J33837" s="5">
        <v>0</v>
      </c>
      <c r="K33837" s="5">
        <v>0</v>
      </c>
    </row>
    <row r="33838" spans="1:11" x14ac:dyDescent="0.25">
      <c r="A33838" s="5">
        <f>33831</f>
      </c>
      <c r="B33838" s="5" t="s">
        <v>33846</v>
      </c>
      <c r="C33838" s="5">
        <v>0</v>
      </c>
      <c r="D33838" s="5">
        <v>0</v>
      </c>
      <c r="E33838" s="5">
        <v>0</v>
      </c>
      <c r="F33838" s="5">
        <v>0</v>
      </c>
      <c r="G33838" s="5">
        <v>0</v>
      </c>
      <c r="H33838" s="5">
        <v>0</v>
      </c>
      <c r="I33838" s="5">
        <v>0</v>
      </c>
      <c r="J33838" s="5">
        <v>0</v>
      </c>
      <c r="K33838" s="5">
        <v>0</v>
      </c>
    </row>
    <row r="33839" spans="1:11" x14ac:dyDescent="0.25">
      <c r="A33839" s="5">
        <f>33832</f>
      </c>
      <c r="B33839" s="5" t="s">
        <v>33847</v>
      </c>
      <c r="C33839" s="5">
        <v>0</v>
      </c>
      <c r="D33839" s="5">
        <v>0</v>
      </c>
      <c r="E33839" s="5">
        <v>0</v>
      </c>
      <c r="F33839" s="5">
        <v>0</v>
      </c>
      <c r="G33839" s="5">
        <v>0</v>
      </c>
      <c r="H33839" s="5">
        <v>0</v>
      </c>
      <c r="I33839" s="5">
        <v>0</v>
      </c>
      <c r="J33839" s="5">
        <v>0</v>
      </c>
      <c r="K33839" s="5">
        <v>0</v>
      </c>
    </row>
    <row r="33840" spans="1:11" x14ac:dyDescent="0.25">
      <c r="A33840" s="5">
        <f>33833</f>
      </c>
      <c r="B33840" s="5" t="s">
        <v>33848</v>
      </c>
      <c r="C33840" s="5">
        <v>0</v>
      </c>
      <c r="D33840" s="5">
        <v>0</v>
      </c>
      <c r="E33840" s="5">
        <v>0</v>
      </c>
      <c r="F33840" s="5">
        <v>0</v>
      </c>
      <c r="G33840" s="5">
        <v>0</v>
      </c>
      <c r="H33840" s="5">
        <v>0</v>
      </c>
      <c r="I33840" s="5">
        <v>0</v>
      </c>
      <c r="J33840" s="5">
        <v>0</v>
      </c>
      <c r="K33840" s="5">
        <v>0</v>
      </c>
    </row>
    <row r="33841" spans="1:11" x14ac:dyDescent="0.25">
      <c r="A33841" s="5">
        <f>33834</f>
      </c>
      <c r="B33841" s="5" t="s">
        <v>33849</v>
      </c>
      <c r="C33841" s="5">
        <v>96.6</v>
      </c>
      <c r="D33841" s="5">
        <v>0.1</v>
      </c>
      <c r="E33841" s="5">
        <v>96.7</v>
      </c>
      <c r="F33841" s="5">
        <v>195.4</v>
      </c>
      <c r="G33841" s="5">
        <v>97.4</v>
      </c>
      <c r="H33841" s="5">
        <v>97.1</v>
      </c>
      <c r="I33841" s="5">
        <v>0</v>
      </c>
      <c r="J33841" s="5">
        <v>0</v>
      </c>
      <c r="K33841" s="5">
        <v>0</v>
      </c>
    </row>
    <row r="33842" spans="1:11" x14ac:dyDescent="0.25">
      <c r="A33842" s="5">
        <f>33835</f>
      </c>
      <c r="B33842" s="5" t="s">
        <v>33850</v>
      </c>
      <c r="C33842" s="5">
        <v>96.6</v>
      </c>
      <c r="D33842" s="5">
        <v>0.1</v>
      </c>
      <c r="E33842" s="5">
        <v>96.7</v>
      </c>
      <c r="F33842" s="5">
        <v>195.4</v>
      </c>
      <c r="G33842" s="5">
        <v>97.4</v>
      </c>
      <c r="H33842" s="5">
        <v>97.1</v>
      </c>
      <c r="I33842" s="5">
        <v>0</v>
      </c>
      <c r="J33842" s="5">
        <v>0</v>
      </c>
      <c r="K33842" s="5">
        <v>0</v>
      </c>
    </row>
    <row r="33843" spans="1:11" x14ac:dyDescent="0.25">
      <c r="A33843" s="5">
        <f>33836</f>
      </c>
      <c r="B33843" s="5" t="s">
        <v>33851</v>
      </c>
      <c r="C33843" s="5">
        <v>101.6</v>
      </c>
      <c r="D33843" s="5">
        <v>0.1</v>
      </c>
      <c r="E33843" s="5">
        <v>101.8</v>
      </c>
      <c r="F33843" s="5">
        <v>202.6</v>
      </c>
      <c r="G33843" s="5">
        <v>101.1</v>
      </c>
      <c r="H33843" s="5">
        <v>101</v>
      </c>
      <c r="I33843" s="5">
        <v>0</v>
      </c>
      <c r="J33843" s="5">
        <v>0</v>
      </c>
      <c r="K33843" s="5">
        <v>0</v>
      </c>
    </row>
    <row r="33844" spans="1:11" x14ac:dyDescent="0.25">
      <c r="A33844" s="5">
        <f>33837</f>
      </c>
      <c r="B33844" s="5" t="s">
        <v>33852</v>
      </c>
      <c r="C33844" s="5">
        <v>101.6</v>
      </c>
      <c r="D33844" s="5">
        <v>0.1</v>
      </c>
      <c r="E33844" s="5">
        <v>101.8</v>
      </c>
      <c r="F33844" s="5">
        <v>202.6</v>
      </c>
      <c r="G33844" s="5">
        <v>101.1</v>
      </c>
      <c r="H33844" s="5">
        <v>101</v>
      </c>
      <c r="I33844" s="5">
        <v>0</v>
      </c>
      <c r="J33844" s="5">
        <v>0</v>
      </c>
      <c r="K33844" s="5">
        <v>0</v>
      </c>
    </row>
    <row r="33845" spans="1:11" x14ac:dyDescent="0.25">
      <c r="A33845" s="5">
        <f>33838</f>
      </c>
      <c r="B33845" s="5" t="s">
        <v>33853</v>
      </c>
      <c r="C33845" s="5">
        <v>101.6</v>
      </c>
      <c r="D33845" s="5">
        <v>0.1</v>
      </c>
      <c r="E33845" s="5">
        <v>101.8</v>
      </c>
      <c r="F33845" s="5">
        <v>201.6</v>
      </c>
      <c r="G33845" s="5">
        <v>100.7</v>
      </c>
      <c r="H33845" s="5">
        <v>100.6</v>
      </c>
      <c r="I33845" s="5">
        <v>0</v>
      </c>
      <c r="J33845" s="5">
        <v>0</v>
      </c>
      <c r="K33845" s="5">
        <v>0</v>
      </c>
    </row>
    <row r="33846" spans="1:11" x14ac:dyDescent="0.25">
      <c r="A33846" s="5">
        <f>33839</f>
      </c>
      <c r="B33846" s="5" t="s">
        <v>33854</v>
      </c>
      <c r="C33846" s="5">
        <v>101.6</v>
      </c>
      <c r="D33846" s="5">
        <v>0.1</v>
      </c>
      <c r="E33846" s="5">
        <v>101.8</v>
      </c>
      <c r="F33846" s="5">
        <v>201.6</v>
      </c>
      <c r="G33846" s="5">
        <v>100.7</v>
      </c>
      <c r="H33846" s="5">
        <v>100.6</v>
      </c>
      <c r="I33846" s="5">
        <v>0</v>
      </c>
      <c r="J33846" s="5">
        <v>0</v>
      </c>
      <c r="K33846" s="5">
        <v>0</v>
      </c>
    </row>
    <row r="33847" spans="1:11" x14ac:dyDescent="0.25">
      <c r="A33847" s="5">
        <f>33840</f>
      </c>
      <c r="B33847" s="5" t="s">
        <v>33855</v>
      </c>
      <c r="C33847" s="5">
        <v>104.3</v>
      </c>
      <c r="D33847" s="5">
        <v>0.1</v>
      </c>
      <c r="E33847" s="5">
        <v>104.5</v>
      </c>
      <c r="F33847" s="5">
        <v>207</v>
      </c>
      <c r="G33847" s="5">
        <v>103.4</v>
      </c>
      <c r="H33847" s="5">
        <v>103.3</v>
      </c>
      <c r="I33847" s="5">
        <v>0</v>
      </c>
      <c r="J33847" s="5">
        <v>0</v>
      </c>
      <c r="K33847" s="5">
        <v>0</v>
      </c>
    </row>
    <row r="33848" spans="1:11" x14ac:dyDescent="0.25">
      <c r="A33848" s="5">
        <f>33841</f>
      </c>
      <c r="B33848" s="5" t="s">
        <v>33856</v>
      </c>
      <c r="C33848" s="5">
        <v>104.3</v>
      </c>
      <c r="D33848" s="5">
        <v>0.1</v>
      </c>
      <c r="E33848" s="5">
        <v>104.5</v>
      </c>
      <c r="F33848" s="5">
        <v>207</v>
      </c>
      <c r="G33848" s="5">
        <v>103.4</v>
      </c>
      <c r="H33848" s="5">
        <v>103.3</v>
      </c>
      <c r="I33848" s="5">
        <v>0</v>
      </c>
      <c r="J33848" s="5">
        <v>0</v>
      </c>
      <c r="K33848" s="5">
        <v>0</v>
      </c>
    </row>
    <row r="33849" spans="1:11" x14ac:dyDescent="0.25">
      <c r="A33849" s="5">
        <f>33842</f>
      </c>
      <c r="B33849" s="5" t="s">
        <v>33857</v>
      </c>
      <c r="C33849" s="5">
        <v>104.3</v>
      </c>
      <c r="D33849" s="5">
        <v>0.1</v>
      </c>
      <c r="E33849" s="5">
        <v>104.5</v>
      </c>
      <c r="F33849" s="5">
        <v>207</v>
      </c>
      <c r="G33849" s="5">
        <v>103.4</v>
      </c>
      <c r="H33849" s="5">
        <v>103.3</v>
      </c>
      <c r="I33849" s="5">
        <v>0</v>
      </c>
      <c r="J33849" s="5">
        <v>0</v>
      </c>
      <c r="K33849" s="5">
        <v>0</v>
      </c>
    </row>
    <row r="33850" spans="1:11" x14ac:dyDescent="0.25">
      <c r="A33850" s="5">
        <f>33843</f>
      </c>
      <c r="B33850" s="5" t="s">
        <v>33858</v>
      </c>
      <c r="C33850" s="5">
        <v>104.3</v>
      </c>
      <c r="D33850" s="5">
        <v>0.1</v>
      </c>
      <c r="E33850" s="5">
        <v>104.5</v>
      </c>
      <c r="F33850" s="5">
        <v>207</v>
      </c>
      <c r="G33850" s="5">
        <v>103.4</v>
      </c>
      <c r="H33850" s="5">
        <v>103.3</v>
      </c>
      <c r="I33850" s="5">
        <v>0</v>
      </c>
      <c r="J33850" s="5">
        <v>0</v>
      </c>
      <c r="K33850" s="5">
        <v>0</v>
      </c>
    </row>
    <row r="33851" spans="1:11" x14ac:dyDescent="0.25">
      <c r="A33851" s="5">
        <f>33844</f>
      </c>
      <c r="B33851" s="5" t="s">
        <v>33859</v>
      </c>
      <c r="C33851" s="5">
        <v>98.6</v>
      </c>
      <c r="D33851" s="5">
        <v>0.1</v>
      </c>
      <c r="E33851" s="5">
        <v>98.8</v>
      </c>
      <c r="F33851" s="5">
        <v>196.9</v>
      </c>
      <c r="G33851" s="5">
        <v>98.2</v>
      </c>
      <c r="H33851" s="5">
        <v>98</v>
      </c>
      <c r="I33851" s="5">
        <v>0</v>
      </c>
      <c r="J33851" s="5">
        <v>0</v>
      </c>
      <c r="K33851" s="5">
        <v>0</v>
      </c>
    </row>
    <row r="33852" spans="1:11" x14ac:dyDescent="0.25">
      <c r="A33852" s="5">
        <f>33845</f>
      </c>
      <c r="B33852" s="5" t="s">
        <v>33860</v>
      </c>
      <c r="C33852" s="5">
        <v>98.6</v>
      </c>
      <c r="D33852" s="5">
        <v>0.1</v>
      </c>
      <c r="E33852" s="5">
        <v>98.8</v>
      </c>
      <c r="F33852" s="5">
        <v>196.9</v>
      </c>
      <c r="G33852" s="5">
        <v>98.2</v>
      </c>
      <c r="H33852" s="5">
        <v>98</v>
      </c>
      <c r="I33852" s="5">
        <v>0</v>
      </c>
      <c r="J33852" s="5">
        <v>0</v>
      </c>
      <c r="K33852" s="5">
        <v>0</v>
      </c>
    </row>
    <row r="33853" spans="1:11" x14ac:dyDescent="0.25">
      <c r="A33853" s="5">
        <f>33846</f>
      </c>
      <c r="B33853" s="5" t="s">
        <v>33861</v>
      </c>
      <c r="C33853" s="5">
        <v>103.5</v>
      </c>
      <c r="D33853" s="5">
        <v>0.1</v>
      </c>
      <c r="E33853" s="5">
        <v>103.7</v>
      </c>
      <c r="F33853" s="5">
        <v>198</v>
      </c>
      <c r="G33853" s="5">
        <v>98.7</v>
      </c>
      <c r="H33853" s="5">
        <v>98.4</v>
      </c>
      <c r="I33853" s="5">
        <v>0</v>
      </c>
      <c r="J33853" s="5">
        <v>0</v>
      </c>
      <c r="K33853" s="5">
        <v>0</v>
      </c>
    </row>
    <row r="33854" spans="1:11" x14ac:dyDescent="0.25">
      <c r="A33854" s="5">
        <f>33847</f>
      </c>
      <c r="B33854" s="5" t="s">
        <v>33862</v>
      </c>
      <c r="C33854" s="5">
        <v>103.5</v>
      </c>
      <c r="D33854" s="5">
        <v>0.1</v>
      </c>
      <c r="E33854" s="5">
        <v>103.7</v>
      </c>
      <c r="F33854" s="5">
        <v>198</v>
      </c>
      <c r="G33854" s="5">
        <v>98.7</v>
      </c>
      <c r="H33854" s="5">
        <v>98.4</v>
      </c>
      <c r="I33854" s="5">
        <v>0</v>
      </c>
      <c r="J33854" s="5">
        <v>0</v>
      </c>
      <c r="K33854" s="5">
        <v>0</v>
      </c>
    </row>
    <row r="33855" spans="1:11" x14ac:dyDescent="0.25">
      <c r="A33855" s="5">
        <f>33848</f>
      </c>
      <c r="B33855" s="5" t="s">
        <v>33863</v>
      </c>
      <c r="C33855" s="5">
        <v>104</v>
      </c>
      <c r="D33855" s="5">
        <v>0.1</v>
      </c>
      <c r="E33855" s="5">
        <v>104.1</v>
      </c>
      <c r="F33855" s="5">
        <v>207.9</v>
      </c>
      <c r="G33855" s="5">
        <v>103.8</v>
      </c>
      <c r="H33855" s="5">
        <v>103.7</v>
      </c>
      <c r="I33855" s="5">
        <v>0</v>
      </c>
      <c r="J33855" s="5">
        <v>0</v>
      </c>
      <c r="K33855" s="5">
        <v>0</v>
      </c>
    </row>
    <row r="33856" spans="1:11" x14ac:dyDescent="0.25">
      <c r="A33856" s="5">
        <f>33849</f>
      </c>
      <c r="B33856" s="5" t="s">
        <v>33864</v>
      </c>
      <c r="C33856" s="5">
        <v>104</v>
      </c>
      <c r="D33856" s="5">
        <v>0.1</v>
      </c>
      <c r="E33856" s="5">
        <v>104.1</v>
      </c>
      <c r="F33856" s="5">
        <v>207.9</v>
      </c>
      <c r="G33856" s="5">
        <v>103.8</v>
      </c>
      <c r="H33856" s="5">
        <v>103.7</v>
      </c>
      <c r="I33856" s="5">
        <v>0</v>
      </c>
      <c r="J33856" s="5">
        <v>0</v>
      </c>
      <c r="K33856" s="5">
        <v>0</v>
      </c>
    </row>
    <row r="33857" spans="1:11" x14ac:dyDescent="0.25">
      <c r="A33857" s="5">
        <f>33850</f>
      </c>
      <c r="B33857" s="5" t="s">
        <v>33865</v>
      </c>
      <c r="C33857" s="5">
        <v>104.3</v>
      </c>
      <c r="D33857" s="5">
        <v>0.1</v>
      </c>
      <c r="E33857" s="5">
        <v>104.4</v>
      </c>
      <c r="F33857" s="5">
        <v>208.1</v>
      </c>
      <c r="G33857" s="5">
        <v>103.8</v>
      </c>
      <c r="H33857" s="5">
        <v>103.6</v>
      </c>
      <c r="I33857" s="5">
        <v>0</v>
      </c>
      <c r="J33857" s="5">
        <v>0</v>
      </c>
      <c r="K33857" s="5">
        <v>0</v>
      </c>
    </row>
    <row r="33858" spans="1:11" x14ac:dyDescent="0.25">
      <c r="A33858" s="5">
        <f>33851</f>
      </c>
      <c r="B33858" s="5" t="s">
        <v>33866</v>
      </c>
      <c r="C33858" s="5">
        <v>104.3</v>
      </c>
      <c r="D33858" s="5">
        <v>0.1</v>
      </c>
      <c r="E33858" s="5">
        <v>104.4</v>
      </c>
      <c r="F33858" s="5">
        <v>208.1</v>
      </c>
      <c r="G33858" s="5">
        <v>103.8</v>
      </c>
      <c r="H33858" s="5">
        <v>103.6</v>
      </c>
      <c r="I33858" s="5">
        <v>0</v>
      </c>
      <c r="J33858" s="5">
        <v>0</v>
      </c>
      <c r="K33858" s="5">
        <v>0</v>
      </c>
    </row>
    <row r="33859" spans="1:11" x14ac:dyDescent="0.25">
      <c r="A33859" s="5">
        <f>33852</f>
      </c>
      <c r="B33859" s="5" t="s">
        <v>33867</v>
      </c>
      <c r="C33859" s="5">
        <v>104.3</v>
      </c>
      <c r="D33859" s="5">
        <v>0.1</v>
      </c>
      <c r="E33859" s="5">
        <v>104.4</v>
      </c>
      <c r="F33859" s="5">
        <v>208.1</v>
      </c>
      <c r="G33859" s="5">
        <v>103.8</v>
      </c>
      <c r="H33859" s="5">
        <v>103.6</v>
      </c>
      <c r="I33859" s="5">
        <v>0</v>
      </c>
      <c r="J33859" s="5">
        <v>0</v>
      </c>
      <c r="K33859" s="5">
        <v>0</v>
      </c>
    </row>
    <row r="33860" spans="1:11" x14ac:dyDescent="0.25">
      <c r="A33860" s="5">
        <f>33853</f>
      </c>
      <c r="B33860" s="5" t="s">
        <v>33868</v>
      </c>
      <c r="C33860" s="5">
        <v>104.3</v>
      </c>
      <c r="D33860" s="5">
        <v>0.1</v>
      </c>
      <c r="E33860" s="5">
        <v>104.4</v>
      </c>
      <c r="F33860" s="5">
        <v>208.1</v>
      </c>
      <c r="G33860" s="5">
        <v>103.8</v>
      </c>
      <c r="H33860" s="5">
        <v>103.6</v>
      </c>
      <c r="I33860" s="5">
        <v>0</v>
      </c>
      <c r="J33860" s="5">
        <v>0</v>
      </c>
      <c r="K33860" s="5">
        <v>0</v>
      </c>
    </row>
    <row r="33861" spans="1:11" x14ac:dyDescent="0.25">
      <c r="A33861" s="5">
        <f>33854</f>
      </c>
      <c r="B33861" s="5" t="s">
        <v>33869</v>
      </c>
      <c r="C33861" s="5">
        <v>103.8</v>
      </c>
      <c r="D33861" s="5">
        <v>0.1</v>
      </c>
      <c r="E33861" s="5">
        <v>104</v>
      </c>
      <c r="F33861" s="5">
        <v>206.9</v>
      </c>
      <c r="G33861" s="5">
        <v>103.2</v>
      </c>
      <c r="H33861" s="5">
        <v>103.1</v>
      </c>
      <c r="I33861" s="5">
        <v>0</v>
      </c>
      <c r="J33861" s="5">
        <v>0</v>
      </c>
      <c r="K33861" s="5">
        <v>0</v>
      </c>
    </row>
    <row r="33862" spans="1:11" x14ac:dyDescent="0.25">
      <c r="A33862" s="5">
        <f>33855</f>
      </c>
      <c r="B33862" s="5" t="s">
        <v>33870</v>
      </c>
      <c r="C33862" s="5">
        <v>103.8</v>
      </c>
      <c r="D33862" s="5">
        <v>0.1</v>
      </c>
      <c r="E33862" s="5">
        <v>104</v>
      </c>
      <c r="F33862" s="5">
        <v>206.9</v>
      </c>
      <c r="G33862" s="5">
        <v>103.2</v>
      </c>
      <c r="H33862" s="5">
        <v>103.1</v>
      </c>
      <c r="I33862" s="5">
        <v>0</v>
      </c>
      <c r="J33862" s="5">
        <v>0</v>
      </c>
      <c r="K33862" s="5">
        <v>0</v>
      </c>
    </row>
    <row r="33863" spans="1:11" x14ac:dyDescent="0.25">
      <c r="A33863" s="5">
        <f>33856</f>
      </c>
      <c r="B33863" s="5" t="s">
        <v>33871</v>
      </c>
      <c r="C33863" s="5">
        <v>103.8</v>
      </c>
      <c r="D33863" s="5">
        <v>0.1</v>
      </c>
      <c r="E33863" s="5">
        <v>104</v>
      </c>
      <c r="F33863" s="5">
        <v>207.6</v>
      </c>
      <c r="G33863" s="5">
        <v>103.6</v>
      </c>
      <c r="H33863" s="5">
        <v>103.4</v>
      </c>
      <c r="I33863" s="5">
        <v>0</v>
      </c>
      <c r="J33863" s="5">
        <v>0</v>
      </c>
      <c r="K33863" s="5">
        <v>0</v>
      </c>
    </row>
    <row r="33864" spans="1:11" x14ac:dyDescent="0.25">
      <c r="A33864" s="5">
        <f>33857</f>
      </c>
      <c r="B33864" s="5" t="s">
        <v>33872</v>
      </c>
      <c r="C33864" s="5">
        <v>103.8</v>
      </c>
      <c r="D33864" s="5">
        <v>0.1</v>
      </c>
      <c r="E33864" s="5">
        <v>104</v>
      </c>
      <c r="F33864" s="5">
        <v>207.6</v>
      </c>
      <c r="G33864" s="5">
        <v>103.6</v>
      </c>
      <c r="H33864" s="5">
        <v>102.9</v>
      </c>
      <c r="I33864" s="5">
        <v>0</v>
      </c>
      <c r="J33864" s="5">
        <v>0</v>
      </c>
      <c r="K33864" s="5">
        <v>0</v>
      </c>
    </row>
    <row r="33865" spans="1:11" x14ac:dyDescent="0.25">
      <c r="A33865" s="5">
        <f>33858</f>
      </c>
      <c r="B33865" s="5" t="s">
        <v>33873</v>
      </c>
      <c r="C33865" s="5">
        <v>103.2</v>
      </c>
      <c r="D33865" s="5">
        <v>0.1</v>
      </c>
      <c r="E33865" s="5">
        <v>103.3</v>
      </c>
      <c r="F33865" s="5">
        <v>206.6</v>
      </c>
      <c r="G33865" s="5">
        <v>103</v>
      </c>
      <c r="H33865" s="5">
        <v>102.9</v>
      </c>
      <c r="I33865" s="5">
        <v>0</v>
      </c>
      <c r="J33865" s="5">
        <v>0</v>
      </c>
      <c r="K33865" s="5">
        <v>0</v>
      </c>
    </row>
    <row r="33866" spans="1:11" x14ac:dyDescent="0.25">
      <c r="A33866" s="5">
        <f>33859</f>
      </c>
      <c r="B33866" s="5" t="s">
        <v>33874</v>
      </c>
      <c r="C33866" s="5">
        <v>103.2</v>
      </c>
      <c r="D33866" s="5">
        <v>0.1</v>
      </c>
      <c r="E33866" s="5">
        <v>103.3</v>
      </c>
      <c r="F33866" s="5">
        <v>206.6</v>
      </c>
      <c r="G33866" s="5">
        <v>103</v>
      </c>
      <c r="H33866" s="5">
        <v>102.9</v>
      </c>
      <c r="I33866" s="5">
        <v>0</v>
      </c>
      <c r="J33866" s="5">
        <v>0</v>
      </c>
      <c r="K33866" s="5">
        <v>0</v>
      </c>
    </row>
    <row r="33867" spans="1:11" x14ac:dyDescent="0.25">
      <c r="A33867" s="5">
        <f>33860</f>
      </c>
      <c r="B33867" s="5" t="s">
        <v>33875</v>
      </c>
      <c r="C33867" s="5">
        <v>103.7</v>
      </c>
      <c r="D33867" s="5">
        <v>0.1</v>
      </c>
      <c r="E33867" s="5">
        <v>103.8</v>
      </c>
      <c r="F33867" s="5">
        <v>207.1</v>
      </c>
      <c r="G33867" s="5">
        <v>103.3</v>
      </c>
      <c r="H33867" s="5">
        <v>103.2</v>
      </c>
      <c r="I33867" s="5">
        <v>0</v>
      </c>
      <c r="J33867" s="5">
        <v>0</v>
      </c>
      <c r="K33867" s="5">
        <v>0</v>
      </c>
    </row>
    <row r="33868" spans="1:11" x14ac:dyDescent="0.25">
      <c r="A33868" s="5">
        <f>33861</f>
      </c>
      <c r="B33868" s="5" t="s">
        <v>33876</v>
      </c>
      <c r="C33868" s="5">
        <v>103.7</v>
      </c>
      <c r="D33868" s="5">
        <v>0.1</v>
      </c>
      <c r="E33868" s="5">
        <v>103.8</v>
      </c>
      <c r="F33868" s="5">
        <v>207.1</v>
      </c>
      <c r="G33868" s="5">
        <v>103.3</v>
      </c>
      <c r="H33868" s="5">
        <v>103.2</v>
      </c>
      <c r="I33868" s="5">
        <v>0</v>
      </c>
      <c r="J33868" s="5">
        <v>0</v>
      </c>
      <c r="K33868" s="5">
        <v>0</v>
      </c>
    </row>
    <row r="33869" spans="1:11" x14ac:dyDescent="0.25">
      <c r="A33869" s="5">
        <f>33862</f>
      </c>
      <c r="B33869" s="5" t="s">
        <v>33877</v>
      </c>
      <c r="C33869" s="5">
        <v>103.7</v>
      </c>
      <c r="D33869" s="5">
        <v>0.1</v>
      </c>
      <c r="E33869" s="5">
        <v>103.8</v>
      </c>
      <c r="F33869" s="5">
        <v>207.1</v>
      </c>
      <c r="G33869" s="5">
        <v>103.3</v>
      </c>
      <c r="H33869" s="5">
        <v>103.2</v>
      </c>
      <c r="I33869" s="5">
        <v>0</v>
      </c>
      <c r="J33869" s="5">
        <v>0</v>
      </c>
      <c r="K33869" s="5">
        <v>0</v>
      </c>
    </row>
    <row r="33870" spans="1:11" x14ac:dyDescent="0.25">
      <c r="A33870" s="5">
        <f>33863</f>
      </c>
      <c r="B33870" s="5" t="s">
        <v>33878</v>
      </c>
      <c r="C33870" s="5">
        <v>103.7</v>
      </c>
      <c r="D33870" s="5">
        <v>0.1</v>
      </c>
      <c r="E33870" s="5">
        <v>103.8</v>
      </c>
      <c r="F33870" s="5">
        <v>206.8</v>
      </c>
      <c r="G33870" s="5">
        <v>103.3</v>
      </c>
      <c r="H33870" s="5">
        <v>103.2</v>
      </c>
      <c r="I33870" s="5">
        <v>0</v>
      </c>
      <c r="J33870" s="5">
        <v>0</v>
      </c>
      <c r="K33870" s="5">
        <v>0</v>
      </c>
    </row>
    <row r="33871" spans="1:11" x14ac:dyDescent="0.25">
      <c r="A33871" s="5">
        <f>33864</f>
      </c>
      <c r="B33871" s="5" t="s">
        <v>33879</v>
      </c>
      <c r="C33871" s="5">
        <v>103.7</v>
      </c>
      <c r="D33871" s="5">
        <v>0.1</v>
      </c>
      <c r="E33871" s="5">
        <v>103.8</v>
      </c>
      <c r="F33871" s="5">
        <v>206.8</v>
      </c>
      <c r="G33871" s="5">
        <v>103.2</v>
      </c>
      <c r="H33871" s="5">
        <v>103</v>
      </c>
      <c r="I33871" s="5">
        <v>0</v>
      </c>
      <c r="J33871" s="5">
        <v>0</v>
      </c>
      <c r="K33871" s="5">
        <v>0</v>
      </c>
    </row>
    <row r="33872" spans="1:11" x14ac:dyDescent="0.25">
      <c r="A33872" s="5">
        <f>33865</f>
      </c>
      <c r="B33872" s="5" t="s">
        <v>33880</v>
      </c>
      <c r="C33872" s="5">
        <v>103.2</v>
      </c>
      <c r="D33872" s="5">
        <v>0.1</v>
      </c>
      <c r="E33872" s="5">
        <v>103.4</v>
      </c>
      <c r="F33872" s="5">
        <v>206.4</v>
      </c>
      <c r="G33872" s="5">
        <v>103.2</v>
      </c>
      <c r="H33872" s="5">
        <v>103</v>
      </c>
      <c r="I33872" s="5">
        <v>0</v>
      </c>
      <c r="J33872" s="5">
        <v>0</v>
      </c>
      <c r="K33872" s="5">
        <v>0</v>
      </c>
    </row>
    <row r="33873" spans="1:11" x14ac:dyDescent="0.25">
      <c r="A33873" s="5">
        <f>33866</f>
      </c>
      <c r="B33873" s="5" t="s">
        <v>33881</v>
      </c>
      <c r="C33873" s="5">
        <v>103.2</v>
      </c>
      <c r="D33873" s="5">
        <v>0.1</v>
      </c>
      <c r="E33873" s="5">
        <v>103.4</v>
      </c>
      <c r="F33873" s="5">
        <v>206.4</v>
      </c>
      <c r="G33873" s="5">
        <v>103</v>
      </c>
      <c r="H33873" s="5">
        <v>102.8</v>
      </c>
      <c r="I33873" s="5">
        <v>0</v>
      </c>
      <c r="J33873" s="5">
        <v>0</v>
      </c>
      <c r="K33873" s="5">
        <v>0</v>
      </c>
    </row>
    <row r="33874" spans="1:11" x14ac:dyDescent="0.25">
      <c r="A33874" s="5">
        <f>33867</f>
      </c>
      <c r="B33874" s="5" t="s">
        <v>33882</v>
      </c>
      <c r="C33874" s="5">
        <v>103.4</v>
      </c>
      <c r="D33874" s="5">
        <v>0.1</v>
      </c>
      <c r="E33874" s="5">
        <v>103.4</v>
      </c>
      <c r="F33874" s="5">
        <v>206.4</v>
      </c>
      <c r="G33874" s="5">
        <v>103</v>
      </c>
      <c r="H33874" s="5">
        <v>102.8</v>
      </c>
      <c r="I33874" s="5">
        <v>0</v>
      </c>
      <c r="J33874" s="5">
        <v>0</v>
      </c>
      <c r="K33874" s="5">
        <v>0</v>
      </c>
    </row>
    <row r="33875" spans="1:11" x14ac:dyDescent="0.25">
      <c r="A33875" s="5">
        <f>33868</f>
      </c>
      <c r="B33875" s="5" t="s">
        <v>33883</v>
      </c>
      <c r="C33875" s="5">
        <v>103.4</v>
      </c>
      <c r="D33875" s="5">
        <v>0.1</v>
      </c>
      <c r="E33875" s="5">
        <v>103.6</v>
      </c>
      <c r="F33875" s="5">
        <v>207.2</v>
      </c>
      <c r="G33875" s="5">
        <v>103.3</v>
      </c>
      <c r="H33875" s="5">
        <v>103.2</v>
      </c>
      <c r="I33875" s="5">
        <v>0</v>
      </c>
      <c r="J33875" s="5">
        <v>0</v>
      </c>
      <c r="K33875" s="5">
        <v>0</v>
      </c>
    </row>
    <row r="33876" spans="1:11" x14ac:dyDescent="0.25">
      <c r="A33876" s="5">
        <f>33869</f>
      </c>
      <c r="B33876" s="5" t="s">
        <v>33884</v>
      </c>
      <c r="C33876" s="5">
        <v>103.4</v>
      </c>
      <c r="D33876" s="5">
        <v>0.1</v>
      </c>
      <c r="E33876" s="5">
        <v>103.6</v>
      </c>
      <c r="F33876" s="5">
        <v>207.2</v>
      </c>
      <c r="G33876" s="5">
        <v>103.3</v>
      </c>
      <c r="H33876" s="5">
        <v>103.2</v>
      </c>
      <c r="I33876" s="5">
        <v>0</v>
      </c>
      <c r="J33876" s="5">
        <v>0</v>
      </c>
      <c r="K33876" s="5">
        <v>0</v>
      </c>
    </row>
    <row r="33877" spans="1:11" x14ac:dyDescent="0.25">
      <c r="A33877" s="5">
        <f>33870</f>
      </c>
      <c r="B33877" s="5" t="s">
        <v>33885</v>
      </c>
      <c r="C33877" s="5">
        <v>104</v>
      </c>
      <c r="D33877" s="5">
        <v>0.1</v>
      </c>
      <c r="E33877" s="5">
        <v>104.1</v>
      </c>
      <c r="F33877" s="5">
        <v>208.3</v>
      </c>
      <c r="G33877" s="5">
        <v>103.9</v>
      </c>
      <c r="H33877" s="5">
        <v>103.7</v>
      </c>
      <c r="I33877" s="5">
        <v>0</v>
      </c>
      <c r="J33877" s="5">
        <v>0</v>
      </c>
      <c r="K33877" s="5">
        <v>0</v>
      </c>
    </row>
    <row r="33878" spans="1:11" x14ac:dyDescent="0.25">
      <c r="A33878" s="5">
        <f>33871</f>
      </c>
      <c r="B33878" s="5" t="s">
        <v>33886</v>
      </c>
      <c r="C33878" s="5">
        <v>104</v>
      </c>
      <c r="D33878" s="5">
        <v>0.1</v>
      </c>
      <c r="E33878" s="5">
        <v>104.1</v>
      </c>
      <c r="F33878" s="5">
        <v>208.3</v>
      </c>
      <c r="G33878" s="5">
        <v>103.9</v>
      </c>
      <c r="H33878" s="5">
        <v>103.7</v>
      </c>
      <c r="I33878" s="5">
        <v>0</v>
      </c>
      <c r="J33878" s="5">
        <v>0</v>
      </c>
      <c r="K33878" s="5">
        <v>0</v>
      </c>
    </row>
    <row r="33879" spans="1:11" x14ac:dyDescent="0.25">
      <c r="A33879" s="5">
        <f>33872</f>
      </c>
      <c r="B33879" s="5" t="s">
        <v>33887</v>
      </c>
      <c r="C33879" s="5">
        <v>104</v>
      </c>
      <c r="D33879" s="5">
        <v>0.1</v>
      </c>
      <c r="E33879" s="5">
        <v>104.1</v>
      </c>
      <c r="F33879" s="5">
        <v>208.3</v>
      </c>
      <c r="G33879" s="5">
        <v>103.9</v>
      </c>
      <c r="H33879" s="5">
        <v>103.7</v>
      </c>
      <c r="I33879" s="5">
        <v>0</v>
      </c>
      <c r="J33879" s="5">
        <v>0</v>
      </c>
      <c r="K33879" s="5">
        <v>0</v>
      </c>
    </row>
    <row r="33880" spans="1:11" x14ac:dyDescent="0.25">
      <c r="A33880" s="5">
        <f>33873</f>
      </c>
      <c r="B33880" s="5" t="s">
        <v>33888</v>
      </c>
      <c r="C33880" s="5">
        <v>104</v>
      </c>
      <c r="D33880" s="5">
        <v>0.1</v>
      </c>
      <c r="E33880" s="5">
        <v>104.1</v>
      </c>
      <c r="F33880" s="5">
        <v>208.3</v>
      </c>
      <c r="G33880" s="5">
        <v>103.9</v>
      </c>
      <c r="H33880" s="5">
        <v>103.7</v>
      </c>
      <c r="I33880" s="5">
        <v>0</v>
      </c>
      <c r="J33880" s="5">
        <v>0</v>
      </c>
      <c r="K33880" s="5">
        <v>0</v>
      </c>
    </row>
    <row r="33881" spans="1:11" x14ac:dyDescent="0.25">
      <c r="A33881" s="5">
        <f>33874</f>
      </c>
      <c r="B33881" s="5" t="s">
        <v>33889</v>
      </c>
      <c r="C33881" s="5">
        <v>104</v>
      </c>
      <c r="D33881" s="5">
        <v>0.1</v>
      </c>
      <c r="E33881" s="5">
        <v>104.1</v>
      </c>
      <c r="F33881" s="5">
        <v>206.9</v>
      </c>
      <c r="G33881" s="5">
        <v>103.2</v>
      </c>
      <c r="H33881" s="5">
        <v>103.1</v>
      </c>
      <c r="I33881" s="5">
        <v>0</v>
      </c>
      <c r="J33881" s="5">
        <v>0</v>
      </c>
      <c r="K33881" s="5">
        <v>0</v>
      </c>
    </row>
    <row r="33882" spans="1:11" x14ac:dyDescent="0.25">
      <c r="A33882" s="5">
        <f>33875</f>
      </c>
      <c r="B33882" s="5" t="s">
        <v>33890</v>
      </c>
      <c r="C33882" s="5">
        <v>104</v>
      </c>
      <c r="D33882" s="5">
        <v>0.1</v>
      </c>
      <c r="E33882" s="5">
        <v>104.1</v>
      </c>
      <c r="F33882" s="5">
        <v>206.9</v>
      </c>
      <c r="G33882" s="5">
        <v>103.2</v>
      </c>
      <c r="H33882" s="5">
        <v>103.1</v>
      </c>
      <c r="I33882" s="5">
        <v>0</v>
      </c>
      <c r="J33882" s="5">
        <v>0</v>
      </c>
      <c r="K33882" s="5">
        <v>0</v>
      </c>
    </row>
    <row r="33883" spans="1:11" x14ac:dyDescent="0.25">
      <c r="A33883" s="5">
        <f>33876</f>
      </c>
      <c r="B33883" s="5" t="s">
        <v>33891</v>
      </c>
      <c r="C33883" s="5">
        <v>102.8</v>
      </c>
      <c r="D33883" s="5">
        <v>0.1</v>
      </c>
      <c r="E33883" s="5">
        <v>103</v>
      </c>
      <c r="F33883" s="5">
        <v>206.5</v>
      </c>
      <c r="G33883" s="5">
        <v>103.1</v>
      </c>
      <c r="H33883" s="5">
        <v>102.9</v>
      </c>
      <c r="I33883" s="5">
        <v>0</v>
      </c>
      <c r="J33883" s="5">
        <v>0</v>
      </c>
      <c r="K33883" s="5">
        <v>0</v>
      </c>
    </row>
    <row r="33884" spans="1:11" x14ac:dyDescent="0.25">
      <c r="A33884" s="5">
        <f>33877</f>
      </c>
      <c r="B33884" s="5" t="s">
        <v>33892</v>
      </c>
      <c r="C33884" s="5">
        <v>102.8</v>
      </c>
      <c r="D33884" s="5">
        <v>0.1</v>
      </c>
      <c r="E33884" s="5">
        <v>103</v>
      </c>
      <c r="F33884" s="5">
        <v>206.5</v>
      </c>
      <c r="G33884" s="5">
        <v>103.1</v>
      </c>
      <c r="H33884" s="5">
        <v>102.9</v>
      </c>
      <c r="I33884" s="5">
        <v>0</v>
      </c>
      <c r="J33884" s="5">
        <v>0</v>
      </c>
      <c r="K33884" s="5">
        <v>0</v>
      </c>
    </row>
    <row r="33885" spans="1:11" x14ac:dyDescent="0.25">
      <c r="A33885" s="5">
        <f>33878</f>
      </c>
      <c r="B33885" s="5" t="s">
        <v>33893</v>
      </c>
      <c r="C33885" s="5">
        <v>103.5</v>
      </c>
      <c r="D33885" s="5">
        <v>0.1</v>
      </c>
      <c r="E33885" s="5">
        <v>103.7</v>
      </c>
      <c r="F33885" s="5">
        <v>207.2</v>
      </c>
      <c r="G33885" s="5">
        <v>103.4</v>
      </c>
      <c r="H33885" s="5">
        <v>103.2</v>
      </c>
      <c r="I33885" s="5">
        <v>0</v>
      </c>
      <c r="J33885" s="5">
        <v>0</v>
      </c>
      <c r="K33885" s="5">
        <v>0</v>
      </c>
    </row>
    <row r="33886" spans="1:11" x14ac:dyDescent="0.25">
      <c r="A33886" s="5">
        <f>33879</f>
      </c>
      <c r="B33886" s="5" t="s">
        <v>33894</v>
      </c>
      <c r="C33886" s="5">
        <v>103.5</v>
      </c>
      <c r="D33886" s="5">
        <v>0.1</v>
      </c>
      <c r="E33886" s="5">
        <v>103.7</v>
      </c>
      <c r="F33886" s="5">
        <v>207.2</v>
      </c>
      <c r="G33886" s="5">
        <v>103.4</v>
      </c>
      <c r="H33886" s="5">
        <v>103.2</v>
      </c>
      <c r="I33886" s="5">
        <v>0</v>
      </c>
      <c r="J33886" s="5">
        <v>0</v>
      </c>
      <c r="K33886" s="5">
        <v>0</v>
      </c>
    </row>
    <row r="33887" spans="1:11" x14ac:dyDescent="0.25">
      <c r="A33887" s="5">
        <f>33880</f>
      </c>
      <c r="B33887" s="5" t="s">
        <v>33895</v>
      </c>
      <c r="C33887" s="5">
        <v>103.9</v>
      </c>
      <c r="D33887" s="5">
        <v>0.1</v>
      </c>
      <c r="E33887" s="5">
        <v>104</v>
      </c>
      <c r="F33887" s="5">
        <v>207.3</v>
      </c>
      <c r="G33887" s="5">
        <v>103.4</v>
      </c>
      <c r="H33887" s="5">
        <v>103.2</v>
      </c>
      <c r="I33887" s="5">
        <v>0</v>
      </c>
      <c r="J33887" s="5">
        <v>0</v>
      </c>
      <c r="K33887" s="5">
        <v>0</v>
      </c>
    </row>
    <row r="33888" spans="1:11" x14ac:dyDescent="0.25">
      <c r="A33888" s="5">
        <f>33881</f>
      </c>
      <c r="B33888" s="5" t="s">
        <v>33896</v>
      </c>
      <c r="C33888" s="5">
        <v>103.9</v>
      </c>
      <c r="D33888" s="5">
        <v>0.1</v>
      </c>
      <c r="E33888" s="5">
        <v>104</v>
      </c>
      <c r="F33888" s="5">
        <v>207.3</v>
      </c>
      <c r="G33888" s="5">
        <v>103.4</v>
      </c>
      <c r="H33888" s="5">
        <v>103.2</v>
      </c>
      <c r="I33888" s="5">
        <v>0</v>
      </c>
      <c r="J33888" s="5">
        <v>0</v>
      </c>
      <c r="K33888" s="5">
        <v>0</v>
      </c>
    </row>
    <row r="33889" spans="1:11" x14ac:dyDescent="0.25">
      <c r="A33889" s="5">
        <f>33882</f>
      </c>
      <c r="B33889" s="5" t="s">
        <v>33897</v>
      </c>
      <c r="C33889" s="5">
        <v>103.9</v>
      </c>
      <c r="D33889" s="5">
        <v>0.1</v>
      </c>
      <c r="E33889" s="5">
        <v>104</v>
      </c>
      <c r="F33889" s="5">
        <v>207.3</v>
      </c>
      <c r="G33889" s="5">
        <v>103.4</v>
      </c>
      <c r="H33889" s="5">
        <v>103.2</v>
      </c>
      <c r="I33889" s="5">
        <v>0</v>
      </c>
      <c r="J33889" s="5">
        <v>0</v>
      </c>
      <c r="K33889" s="5">
        <v>0</v>
      </c>
    </row>
    <row r="33890" spans="1:11" x14ac:dyDescent="0.25">
      <c r="A33890" s="5">
        <f>33883</f>
      </c>
      <c r="B33890" s="5" t="s">
        <v>33898</v>
      </c>
      <c r="C33890" s="5">
        <v>104.3</v>
      </c>
      <c r="D33890" s="5">
        <v>0.1</v>
      </c>
      <c r="E33890" s="5">
        <v>104.5</v>
      </c>
      <c r="F33890" s="5">
        <v>208.3</v>
      </c>
      <c r="G33890" s="5">
        <v>103.9</v>
      </c>
      <c r="H33890" s="5">
        <v>103.8</v>
      </c>
      <c r="I33890" s="5">
        <v>0</v>
      </c>
      <c r="J33890" s="5">
        <v>0</v>
      </c>
      <c r="K33890" s="5">
        <v>0</v>
      </c>
    </row>
    <row r="33891" spans="1:11" x14ac:dyDescent="0.25">
      <c r="A33891" s="5">
        <f>33884</f>
      </c>
      <c r="B33891" s="5" t="s">
        <v>33899</v>
      </c>
      <c r="C33891" s="5">
        <v>103.5</v>
      </c>
      <c r="D33891" s="5">
        <v>0.1</v>
      </c>
      <c r="E33891" s="5">
        <v>103.7</v>
      </c>
      <c r="F33891" s="5">
        <v>206.8</v>
      </c>
      <c r="G33891" s="5">
        <v>103.2</v>
      </c>
      <c r="H33891" s="5">
        <v>103.1</v>
      </c>
      <c r="I33891" s="5">
        <v>0</v>
      </c>
      <c r="J33891" s="5">
        <v>0</v>
      </c>
      <c r="K33891" s="5">
        <v>0</v>
      </c>
    </row>
    <row r="33892" spans="1:11" x14ac:dyDescent="0.25">
      <c r="A33892" s="5">
        <f>33885</f>
      </c>
      <c r="B33892" s="5" t="s">
        <v>33900</v>
      </c>
      <c r="C33892" s="5">
        <v>103.5</v>
      </c>
      <c r="D33892" s="5">
        <v>0.1</v>
      </c>
      <c r="E33892" s="5">
        <v>103.7</v>
      </c>
      <c r="F33892" s="5">
        <v>206.8</v>
      </c>
      <c r="G33892" s="5">
        <v>103.2</v>
      </c>
      <c r="H33892" s="5">
        <v>103.1</v>
      </c>
      <c r="I33892" s="5">
        <v>0</v>
      </c>
      <c r="J33892" s="5">
        <v>0</v>
      </c>
      <c r="K33892" s="5">
        <v>0</v>
      </c>
    </row>
    <row r="33893" spans="1:11" x14ac:dyDescent="0.25">
      <c r="A33893" s="5">
        <f>33886</f>
      </c>
      <c r="B33893" s="5" t="s">
        <v>33901</v>
      </c>
      <c r="C33893" s="5">
        <v>103.6</v>
      </c>
      <c r="D33893" s="5">
        <v>0.1</v>
      </c>
      <c r="E33893" s="5">
        <v>103.7</v>
      </c>
      <c r="F33893" s="5">
        <v>207</v>
      </c>
      <c r="G33893" s="5">
        <v>103.3</v>
      </c>
      <c r="H33893" s="5">
        <v>103.1</v>
      </c>
      <c r="I33893" s="5">
        <v>0</v>
      </c>
      <c r="J33893" s="5">
        <v>0</v>
      </c>
      <c r="K33893" s="5">
        <v>0</v>
      </c>
    </row>
    <row r="33894" spans="1:11" x14ac:dyDescent="0.25">
      <c r="A33894" s="5">
        <f>33887</f>
      </c>
      <c r="B33894" s="5" t="s">
        <v>33902</v>
      </c>
      <c r="C33894" s="5">
        <v>103.6</v>
      </c>
      <c r="D33894" s="5">
        <v>0.1</v>
      </c>
      <c r="E33894" s="5">
        <v>103.7</v>
      </c>
      <c r="F33894" s="5">
        <v>207</v>
      </c>
      <c r="G33894" s="5">
        <v>103.3</v>
      </c>
      <c r="H33894" s="5">
        <v>103.1</v>
      </c>
      <c r="I33894" s="5">
        <v>0</v>
      </c>
      <c r="J33894" s="5">
        <v>0</v>
      </c>
      <c r="K33894" s="5">
        <v>0</v>
      </c>
    </row>
    <row r="33895" spans="1:11" x14ac:dyDescent="0.25">
      <c r="A33895" s="5">
        <f>33888</f>
      </c>
      <c r="B33895" s="5" t="s">
        <v>33903</v>
      </c>
      <c r="C33895" s="5">
        <v>104.4</v>
      </c>
      <c r="D33895" s="5">
        <v>0.1</v>
      </c>
      <c r="E33895" s="5">
        <v>104.6</v>
      </c>
      <c r="F33895" s="5">
        <v>207.7</v>
      </c>
      <c r="G33895" s="5">
        <v>103.7</v>
      </c>
      <c r="H33895" s="5">
        <v>103.6</v>
      </c>
      <c r="I33895" s="5">
        <v>0</v>
      </c>
      <c r="J33895" s="5">
        <v>0</v>
      </c>
      <c r="K33895" s="5">
        <v>0</v>
      </c>
    </row>
    <row r="33896" spans="1:11" x14ac:dyDescent="0.25">
      <c r="A33896" s="5">
        <f>33889</f>
      </c>
      <c r="B33896" s="5" t="s">
        <v>33904</v>
      </c>
      <c r="C33896" s="5">
        <v>104.4</v>
      </c>
      <c r="D33896" s="5">
        <v>0.1</v>
      </c>
      <c r="E33896" s="5">
        <v>104.6</v>
      </c>
      <c r="F33896" s="5">
        <v>207.7</v>
      </c>
      <c r="G33896" s="5">
        <v>103.7</v>
      </c>
      <c r="H33896" s="5">
        <v>103.6</v>
      </c>
      <c r="I33896" s="5">
        <v>0</v>
      </c>
      <c r="J33896" s="5">
        <v>0</v>
      </c>
      <c r="K33896" s="5">
        <v>0</v>
      </c>
    </row>
    <row r="33897" spans="1:11" x14ac:dyDescent="0.25">
      <c r="A33897" s="5">
        <f>33890</f>
      </c>
      <c r="B33897" s="5" t="s">
        <v>33905</v>
      </c>
      <c r="C33897" s="5">
        <v>104.4</v>
      </c>
      <c r="D33897" s="5">
        <v>0.1</v>
      </c>
      <c r="E33897" s="5">
        <v>104.6</v>
      </c>
      <c r="F33897" s="5">
        <v>207.7</v>
      </c>
      <c r="G33897" s="5">
        <v>103.7</v>
      </c>
      <c r="H33897" s="5">
        <v>103.6</v>
      </c>
      <c r="I33897" s="5">
        <v>0</v>
      </c>
      <c r="J33897" s="5">
        <v>0</v>
      </c>
      <c r="K33897" s="5">
        <v>0</v>
      </c>
    </row>
    <row r="33898" spans="1:11" x14ac:dyDescent="0.25">
      <c r="A33898" s="5">
        <f>33891</f>
      </c>
      <c r="B33898" s="5" t="s">
        <v>33906</v>
      </c>
      <c r="C33898" s="5">
        <v>104.4</v>
      </c>
      <c r="D33898" s="5">
        <v>0.1</v>
      </c>
      <c r="E33898" s="5">
        <v>104.6</v>
      </c>
      <c r="F33898" s="5">
        <v>207.7</v>
      </c>
      <c r="G33898" s="5">
        <v>103.7</v>
      </c>
      <c r="H33898" s="5">
        <v>103.6</v>
      </c>
      <c r="I33898" s="5">
        <v>0</v>
      </c>
      <c r="J33898" s="5">
        <v>0</v>
      </c>
      <c r="K33898" s="5">
        <v>0</v>
      </c>
    </row>
    <row r="33899" spans="1:11" x14ac:dyDescent="0.25">
      <c r="A33899" s="5">
        <f>33892</f>
      </c>
      <c r="B33899" s="5" t="s">
        <v>33907</v>
      </c>
      <c r="C33899" s="5">
        <v>104</v>
      </c>
      <c r="D33899" s="5">
        <v>0.1</v>
      </c>
      <c r="E33899" s="5">
        <v>104.2</v>
      </c>
      <c r="F33899" s="5">
        <v>207.7</v>
      </c>
      <c r="G33899" s="5">
        <v>103.6</v>
      </c>
      <c r="H33899" s="5">
        <v>103.5</v>
      </c>
      <c r="I33899" s="5">
        <v>0</v>
      </c>
      <c r="J33899" s="5">
        <v>0</v>
      </c>
      <c r="K33899" s="5">
        <v>0</v>
      </c>
    </row>
    <row r="33900" spans="1:11" x14ac:dyDescent="0.25">
      <c r="A33900" s="5">
        <f>33893</f>
      </c>
      <c r="B33900" s="5" t="s">
        <v>33908</v>
      </c>
      <c r="C33900" s="5">
        <v>104</v>
      </c>
      <c r="D33900" s="5">
        <v>0.1</v>
      </c>
      <c r="E33900" s="5">
        <v>104.2</v>
      </c>
      <c r="F33900" s="5">
        <v>207.7</v>
      </c>
      <c r="G33900" s="5">
        <v>103.6</v>
      </c>
      <c r="H33900" s="5">
        <v>103.5</v>
      </c>
      <c r="I33900" s="5">
        <v>0</v>
      </c>
      <c r="J33900" s="5">
        <v>0</v>
      </c>
      <c r="K33900" s="5">
        <v>0</v>
      </c>
    </row>
    <row r="33901" spans="1:11" x14ac:dyDescent="0.25">
      <c r="A33901" s="5">
        <f>33894</f>
      </c>
      <c r="B33901" s="5" t="s">
        <v>33909</v>
      </c>
      <c r="C33901" s="5">
        <v>103.7</v>
      </c>
      <c r="D33901" s="5">
        <v>0.1</v>
      </c>
      <c r="E33901" s="5">
        <v>103.7</v>
      </c>
      <c r="F33901" s="5">
        <v>208</v>
      </c>
      <c r="G33901" s="5">
        <v>103.7</v>
      </c>
      <c r="H33901" s="5">
        <v>103.5</v>
      </c>
      <c r="I33901" s="5">
        <v>0</v>
      </c>
      <c r="J33901" s="5">
        <v>0</v>
      </c>
      <c r="K33901" s="5">
        <v>0</v>
      </c>
    </row>
    <row r="33902" spans="1:11" x14ac:dyDescent="0.25">
      <c r="A33902" s="5">
        <f>33895</f>
      </c>
      <c r="B33902" s="5" t="s">
        <v>33910</v>
      </c>
      <c r="C33902" s="5">
        <v>103.7</v>
      </c>
      <c r="D33902" s="5">
        <v>0.1</v>
      </c>
      <c r="E33902" s="5">
        <v>103.7</v>
      </c>
      <c r="F33902" s="5">
        <v>208</v>
      </c>
      <c r="G33902" s="5">
        <v>103.7</v>
      </c>
      <c r="H33902" s="5">
        <v>103.5</v>
      </c>
      <c r="I33902" s="5">
        <v>0</v>
      </c>
      <c r="J33902" s="5">
        <v>0</v>
      </c>
      <c r="K33902" s="5">
        <v>0</v>
      </c>
    </row>
    <row r="33903" spans="1:11" x14ac:dyDescent="0.25">
      <c r="A33903" s="5">
        <f>33896</f>
      </c>
      <c r="B33903" s="5" t="s">
        <v>33911</v>
      </c>
      <c r="C33903" s="5">
        <v>104.6</v>
      </c>
      <c r="D33903" s="5">
        <v>0.1</v>
      </c>
      <c r="E33903" s="5">
        <v>104.8</v>
      </c>
      <c r="F33903" s="5">
        <v>207.4</v>
      </c>
      <c r="G33903" s="5">
        <v>103.5</v>
      </c>
      <c r="H33903" s="5">
        <v>103.3</v>
      </c>
      <c r="I33903" s="5">
        <v>0</v>
      </c>
      <c r="J33903" s="5">
        <v>0</v>
      </c>
      <c r="K33903" s="5">
        <v>0</v>
      </c>
    </row>
    <row r="33904" spans="1:11" x14ac:dyDescent="0.25">
      <c r="A33904" s="5">
        <f>33897</f>
      </c>
      <c r="B33904" s="5" t="s">
        <v>33912</v>
      </c>
      <c r="C33904" s="5">
        <v>104.6</v>
      </c>
      <c r="D33904" s="5">
        <v>0.1</v>
      </c>
      <c r="E33904" s="5">
        <v>104.8</v>
      </c>
      <c r="F33904" s="5">
        <v>207.4</v>
      </c>
      <c r="G33904" s="5">
        <v>103.5</v>
      </c>
      <c r="H33904" s="5">
        <v>103.3</v>
      </c>
      <c r="I33904" s="5">
        <v>0</v>
      </c>
      <c r="J33904" s="5">
        <v>0</v>
      </c>
      <c r="K33904" s="5">
        <v>0</v>
      </c>
    </row>
    <row r="33905" spans="1:11" x14ac:dyDescent="0.25">
      <c r="A33905" s="5">
        <f>33898</f>
      </c>
      <c r="B33905" s="5" t="s">
        <v>33913</v>
      </c>
      <c r="C33905" s="5">
        <v>104.3</v>
      </c>
      <c r="D33905" s="5">
        <v>0.1</v>
      </c>
      <c r="E33905" s="5">
        <v>104.5</v>
      </c>
      <c r="F33905" s="5">
        <v>207.9</v>
      </c>
      <c r="G33905" s="5">
        <v>103.7</v>
      </c>
      <c r="H33905" s="5">
        <v>103.6</v>
      </c>
      <c r="I33905" s="5">
        <v>0</v>
      </c>
      <c r="J33905" s="5">
        <v>0</v>
      </c>
      <c r="K33905" s="5">
        <v>0</v>
      </c>
    </row>
    <row r="33906" spans="1:11" x14ac:dyDescent="0.25">
      <c r="A33906" s="5">
        <f>33899</f>
      </c>
      <c r="B33906" s="5" t="s">
        <v>33914</v>
      </c>
      <c r="C33906" s="5">
        <v>104.3</v>
      </c>
      <c r="D33906" s="5">
        <v>0.1</v>
      </c>
      <c r="E33906" s="5">
        <v>104.5</v>
      </c>
      <c r="F33906" s="5">
        <v>207.9</v>
      </c>
      <c r="G33906" s="5">
        <v>103.7</v>
      </c>
      <c r="H33906" s="5">
        <v>103.6</v>
      </c>
      <c r="I33906" s="5">
        <v>0</v>
      </c>
      <c r="J33906" s="5">
        <v>0</v>
      </c>
      <c r="K33906" s="5">
        <v>0</v>
      </c>
    </row>
    <row r="33907" spans="1:11" x14ac:dyDescent="0.25">
      <c r="A33907" s="5">
        <f>33900</f>
      </c>
      <c r="B33907" s="5" t="s">
        <v>33915</v>
      </c>
      <c r="C33907" s="5">
        <v>104.3</v>
      </c>
      <c r="D33907" s="5">
        <v>0.1</v>
      </c>
      <c r="E33907" s="5">
        <v>104.5</v>
      </c>
      <c r="F33907" s="5">
        <v>207.9</v>
      </c>
      <c r="G33907" s="5">
        <v>103.7</v>
      </c>
      <c r="H33907" s="5">
        <v>103.6</v>
      </c>
      <c r="I33907" s="5">
        <v>0</v>
      </c>
      <c r="J33907" s="5">
        <v>0</v>
      </c>
      <c r="K33907" s="5">
        <v>0</v>
      </c>
    </row>
    <row r="33908" spans="1:11" x14ac:dyDescent="0.25">
      <c r="A33908" s="5">
        <f>33901</f>
      </c>
      <c r="B33908" s="5" t="s">
        <v>33916</v>
      </c>
      <c r="C33908" s="5">
        <v>104.6</v>
      </c>
      <c r="D33908" s="5">
        <v>0.1</v>
      </c>
      <c r="E33908" s="5">
        <v>104.7</v>
      </c>
      <c r="F33908" s="5">
        <v>208.8</v>
      </c>
      <c r="G33908" s="5">
        <v>104.2</v>
      </c>
      <c r="H33908" s="5">
        <v>104</v>
      </c>
      <c r="I33908" s="5">
        <v>0</v>
      </c>
      <c r="J33908" s="5">
        <v>0</v>
      </c>
      <c r="K33908" s="5">
        <v>0</v>
      </c>
    </row>
    <row r="33909" spans="1:11" x14ac:dyDescent="0.25">
      <c r="A33909" s="5">
        <f>33902</f>
      </c>
      <c r="B33909" s="5" t="s">
        <v>33917</v>
      </c>
      <c r="C33909" s="5">
        <v>104.6</v>
      </c>
      <c r="D33909" s="5">
        <v>0.1</v>
      </c>
      <c r="E33909" s="5">
        <v>104.7</v>
      </c>
      <c r="F33909" s="5">
        <v>208.8</v>
      </c>
      <c r="G33909" s="5">
        <v>104.2</v>
      </c>
      <c r="H33909" s="5">
        <v>104</v>
      </c>
      <c r="I33909" s="5">
        <v>0</v>
      </c>
      <c r="J33909" s="5">
        <v>0</v>
      </c>
      <c r="K33909" s="5">
        <v>0</v>
      </c>
    </row>
    <row r="33910" spans="1:11" x14ac:dyDescent="0.25">
      <c r="A33910" s="5">
        <f>33903</f>
      </c>
      <c r="B33910" s="5" t="s">
        <v>33918</v>
      </c>
      <c r="C33910" s="5">
        <v>104.6</v>
      </c>
      <c r="D33910" s="5">
        <v>0.1</v>
      </c>
      <c r="E33910" s="5">
        <v>104.8</v>
      </c>
      <c r="F33910" s="5">
        <v>208.7</v>
      </c>
      <c r="G33910" s="5">
        <v>104.1</v>
      </c>
      <c r="H33910" s="5">
        <v>104</v>
      </c>
      <c r="I33910" s="5">
        <v>0</v>
      </c>
      <c r="J33910" s="5">
        <v>0</v>
      </c>
      <c r="K33910" s="5">
        <v>0</v>
      </c>
    </row>
    <row r="33911" spans="1:11" x14ac:dyDescent="0.25">
      <c r="A33911" s="5">
        <f>33904</f>
      </c>
      <c r="B33911" s="5" t="s">
        <v>33919</v>
      </c>
      <c r="C33911" s="5">
        <v>104.6</v>
      </c>
      <c r="D33911" s="5">
        <v>0.1</v>
      </c>
      <c r="E33911" s="5">
        <v>104.8</v>
      </c>
      <c r="F33911" s="5">
        <v>208.7</v>
      </c>
      <c r="G33911" s="5">
        <v>104.1</v>
      </c>
      <c r="H33911" s="5">
        <v>104</v>
      </c>
      <c r="I33911" s="5">
        <v>0</v>
      </c>
      <c r="J33911" s="5">
        <v>0</v>
      </c>
      <c r="K33911" s="5">
        <v>0</v>
      </c>
    </row>
    <row r="33912" spans="1:11" x14ac:dyDescent="0.25">
      <c r="A33912" s="5">
        <f>33905</f>
      </c>
      <c r="B33912" s="5" t="s">
        <v>33920</v>
      </c>
      <c r="C33912" s="5">
        <v>104.6</v>
      </c>
      <c r="D33912" s="5">
        <v>0.1</v>
      </c>
      <c r="E33912" s="5">
        <v>104.6</v>
      </c>
      <c r="F33912" s="5">
        <v>208.6</v>
      </c>
      <c r="G33912" s="5">
        <v>104.1</v>
      </c>
      <c r="H33912" s="5">
        <v>103.9</v>
      </c>
      <c r="I33912" s="5">
        <v>0</v>
      </c>
      <c r="J33912" s="5">
        <v>0</v>
      </c>
      <c r="K33912" s="5">
        <v>0</v>
      </c>
    </row>
    <row r="33913" spans="1:11" x14ac:dyDescent="0.25">
      <c r="A33913" s="5">
        <f>33906</f>
      </c>
      <c r="B33913" s="5" t="s">
        <v>33921</v>
      </c>
      <c r="C33913" s="5">
        <v>104.4</v>
      </c>
      <c r="D33913" s="5">
        <v>0.1</v>
      </c>
      <c r="E33913" s="5">
        <v>104.6</v>
      </c>
      <c r="F33913" s="5">
        <v>208.6</v>
      </c>
      <c r="G33913" s="5">
        <v>104.1</v>
      </c>
      <c r="H33913" s="5">
        <v>103.9</v>
      </c>
      <c r="I33913" s="5">
        <v>0</v>
      </c>
      <c r="J33913" s="5">
        <v>0</v>
      </c>
      <c r="K33913" s="5">
        <v>0</v>
      </c>
    </row>
    <row r="33914" spans="1:11" x14ac:dyDescent="0.25">
      <c r="A33914" s="5">
        <f>33907</f>
      </c>
      <c r="B33914" s="5" t="s">
        <v>33922</v>
      </c>
      <c r="C33914" s="5">
        <v>104.4</v>
      </c>
      <c r="D33914" s="5">
        <v>0.1</v>
      </c>
      <c r="E33914" s="5">
        <v>104.6</v>
      </c>
      <c r="F33914" s="5">
        <v>209.1</v>
      </c>
      <c r="G33914" s="5">
        <v>104.3</v>
      </c>
      <c r="H33914" s="5">
        <v>104.2</v>
      </c>
      <c r="I33914" s="5">
        <v>0</v>
      </c>
      <c r="J33914" s="5">
        <v>0</v>
      </c>
      <c r="K33914" s="5">
        <v>0</v>
      </c>
    </row>
    <row r="33915" spans="1:11" x14ac:dyDescent="0.25">
      <c r="A33915" s="5">
        <f>33908</f>
      </c>
      <c r="B33915" s="5" t="s">
        <v>33923</v>
      </c>
      <c r="C33915" s="5">
        <v>104.6</v>
      </c>
      <c r="D33915" s="5">
        <v>0.1</v>
      </c>
      <c r="E33915" s="5">
        <v>104.8</v>
      </c>
      <c r="F33915" s="5">
        <v>209.1</v>
      </c>
      <c r="G33915" s="5">
        <v>104.3</v>
      </c>
      <c r="H33915" s="5">
        <v>104.2</v>
      </c>
      <c r="I33915" s="5">
        <v>0</v>
      </c>
      <c r="J33915" s="5">
        <v>0</v>
      </c>
      <c r="K33915" s="5">
        <v>0</v>
      </c>
    </row>
    <row r="33916" spans="1:11" x14ac:dyDescent="0.25">
      <c r="A33916" s="5">
        <f>33909</f>
      </c>
      <c r="B33916" s="5" t="s">
        <v>33924</v>
      </c>
      <c r="C33916" s="5">
        <v>104.6</v>
      </c>
      <c r="D33916" s="5">
        <v>0.1</v>
      </c>
      <c r="E33916" s="5">
        <v>104.8</v>
      </c>
      <c r="F33916" s="5">
        <v>209.1</v>
      </c>
      <c r="G33916" s="5">
        <v>104.3</v>
      </c>
      <c r="H33916" s="5">
        <v>104.2</v>
      </c>
      <c r="I33916" s="5">
        <v>0</v>
      </c>
      <c r="J33916" s="5">
        <v>0</v>
      </c>
      <c r="K33916" s="5">
        <v>0</v>
      </c>
    </row>
    <row r="33917" spans="1:11" x14ac:dyDescent="0.25">
      <c r="A33917" s="5">
        <f>33910</f>
      </c>
      <c r="B33917" s="5" t="s">
        <v>33925</v>
      </c>
      <c r="C33917" s="5">
        <v>104.6</v>
      </c>
      <c r="D33917" s="5">
        <v>0.1</v>
      </c>
      <c r="E33917" s="5">
        <v>104.8</v>
      </c>
      <c r="F33917" s="5">
        <v>209.1</v>
      </c>
      <c r="G33917" s="5">
        <v>104.3</v>
      </c>
      <c r="H33917" s="5">
        <v>104.2</v>
      </c>
      <c r="I33917" s="5">
        <v>0</v>
      </c>
      <c r="J33917" s="5">
        <v>0</v>
      </c>
      <c r="K33917" s="5">
        <v>0</v>
      </c>
    </row>
    <row r="33918" spans="1:11" x14ac:dyDescent="0.25">
      <c r="A33918" s="5">
        <f>33911</f>
      </c>
      <c r="B33918" s="5" t="s">
        <v>33926</v>
      </c>
      <c r="C33918" s="5">
        <v>103.1</v>
      </c>
      <c r="D33918" s="5">
        <v>0.1</v>
      </c>
      <c r="E33918" s="5">
        <v>103.3</v>
      </c>
      <c r="F33918" s="5">
        <v>205.2</v>
      </c>
      <c r="G33918" s="5">
        <v>102.4</v>
      </c>
      <c r="H33918" s="5">
        <v>102.3</v>
      </c>
      <c r="I33918" s="5">
        <v>0</v>
      </c>
      <c r="J33918" s="5">
        <v>0</v>
      </c>
      <c r="K33918" s="5">
        <v>0</v>
      </c>
    </row>
    <row r="33919" spans="1:11" x14ac:dyDescent="0.25">
      <c r="A33919" s="5">
        <f>33912</f>
      </c>
      <c r="B33919" s="5" t="s">
        <v>33927</v>
      </c>
      <c r="C33919" s="5">
        <v>103.1</v>
      </c>
      <c r="D33919" s="5">
        <v>0</v>
      </c>
      <c r="E33919" s="5">
        <v>0</v>
      </c>
      <c r="F33919" s="5">
        <v>0</v>
      </c>
      <c r="G33919" s="5">
        <v>0</v>
      </c>
      <c r="H33919" s="5">
        <v>0</v>
      </c>
      <c r="I33919" s="5">
        <v>0</v>
      </c>
      <c r="J33919" s="5">
        <v>0</v>
      </c>
      <c r="K33919" s="5">
        <v>0</v>
      </c>
    </row>
    <row r="33920" spans="1:11" x14ac:dyDescent="0.25">
      <c r="A33920" s="5">
        <f>33913</f>
      </c>
      <c r="B33920" s="5" t="s">
        <v>33928</v>
      </c>
      <c r="C33920" s="5">
        <v>102.2</v>
      </c>
      <c r="D33920" s="5">
        <v>0.1</v>
      </c>
      <c r="E33920" s="5">
        <v>102.4</v>
      </c>
      <c r="F33920" s="5">
        <v>204.6</v>
      </c>
      <c r="G33920" s="5">
        <v>102.1</v>
      </c>
      <c r="H33920" s="5">
        <v>102</v>
      </c>
      <c r="I33920" s="5">
        <v>0</v>
      </c>
      <c r="J33920" s="5">
        <v>0</v>
      </c>
      <c r="K33920" s="5">
        <v>0</v>
      </c>
    </row>
    <row r="33921" spans="1:11" x14ac:dyDescent="0.25">
      <c r="A33921" s="5">
        <f>33914</f>
      </c>
      <c r="B33921" s="5" t="s">
        <v>33929</v>
      </c>
      <c r="C33921" s="5">
        <v>102.4</v>
      </c>
      <c r="D33921" s="5">
        <v>0.1</v>
      </c>
      <c r="E33921" s="5">
        <v>102.6</v>
      </c>
      <c r="F33921" s="5">
        <v>204.3</v>
      </c>
      <c r="G33921" s="5">
        <v>101.9</v>
      </c>
      <c r="H33921" s="5">
        <v>101.8</v>
      </c>
      <c r="I33921" s="5">
        <v>0</v>
      </c>
      <c r="J33921" s="5">
        <v>0</v>
      </c>
      <c r="K33921" s="5">
        <v>0</v>
      </c>
    </row>
    <row r="33922" spans="1:11" x14ac:dyDescent="0.25">
      <c r="A33922" s="5">
        <f>33915</f>
      </c>
      <c r="B33922" s="5" t="s">
        <v>33930</v>
      </c>
      <c r="C33922" s="5">
        <v>102.4</v>
      </c>
      <c r="D33922" s="5">
        <v>0.1</v>
      </c>
      <c r="E33922" s="5">
        <v>102.6</v>
      </c>
      <c r="F33922" s="5">
        <v>204.3</v>
      </c>
      <c r="G33922" s="5">
        <v>101.9</v>
      </c>
      <c r="H33922" s="5">
        <v>101.8</v>
      </c>
      <c r="I33922" s="5">
        <v>0</v>
      </c>
      <c r="J33922" s="5">
        <v>0</v>
      </c>
      <c r="K33922" s="5">
        <v>0</v>
      </c>
    </row>
    <row r="33923" spans="1:11" x14ac:dyDescent="0.25">
      <c r="A33923" s="5">
        <f>33916</f>
      </c>
      <c r="B33923" s="5" t="s">
        <v>33931</v>
      </c>
      <c r="C33923" s="5">
        <v>102.5</v>
      </c>
      <c r="D33923" s="5">
        <v>0.1</v>
      </c>
      <c r="E33923" s="5">
        <v>102.7</v>
      </c>
      <c r="F33923" s="5">
        <v>204.9</v>
      </c>
      <c r="G33923" s="5">
        <v>102.2</v>
      </c>
      <c r="H33923" s="5">
        <v>102.1</v>
      </c>
      <c r="I33923" s="5">
        <v>0</v>
      </c>
      <c r="J33923" s="5">
        <v>0</v>
      </c>
      <c r="K33923" s="5">
        <v>0</v>
      </c>
    </row>
    <row r="33924" spans="1:11" x14ac:dyDescent="0.25">
      <c r="A33924" s="5">
        <f>33917</f>
      </c>
      <c r="B33924" s="5" t="s">
        <v>33932</v>
      </c>
      <c r="C33924" s="5">
        <v>102.5</v>
      </c>
      <c r="D33924" s="5">
        <v>0.1</v>
      </c>
      <c r="E33924" s="5">
        <v>102.7</v>
      </c>
      <c r="F33924" s="5">
        <v>204.9</v>
      </c>
      <c r="G33924" s="5">
        <v>102.2</v>
      </c>
      <c r="H33924" s="5">
        <v>102.1</v>
      </c>
      <c r="I33924" s="5">
        <v>0</v>
      </c>
      <c r="J33924" s="5">
        <v>0</v>
      </c>
      <c r="K33924" s="5">
        <v>0</v>
      </c>
    </row>
    <row r="33925" spans="1:11" x14ac:dyDescent="0.25">
      <c r="A33925" s="5">
        <f>33918</f>
      </c>
      <c r="B33925" s="5" t="s">
        <v>33933</v>
      </c>
      <c r="C33925" s="5">
        <v>102.5</v>
      </c>
      <c r="D33925" s="5">
        <v>0.1</v>
      </c>
      <c r="E33925" s="5">
        <v>102.7</v>
      </c>
      <c r="F33925" s="5">
        <v>204.9</v>
      </c>
      <c r="G33925" s="5">
        <v>102.2</v>
      </c>
      <c r="H33925" s="5">
        <v>102.1</v>
      </c>
      <c r="I33925" s="5">
        <v>0</v>
      </c>
      <c r="J33925" s="5">
        <v>0</v>
      </c>
      <c r="K33925" s="5">
        <v>0</v>
      </c>
    </row>
    <row r="33926" spans="1:11" x14ac:dyDescent="0.25">
      <c r="A33926" s="5">
        <f>33919</f>
      </c>
      <c r="B33926" s="5" t="s">
        <v>33934</v>
      </c>
      <c r="C33926" s="5">
        <v>102.5</v>
      </c>
      <c r="D33926" s="5">
        <v>0.1</v>
      </c>
      <c r="E33926" s="5">
        <v>102.7</v>
      </c>
      <c r="F33926" s="5">
        <v>204.9</v>
      </c>
      <c r="G33926" s="5">
        <v>102.2</v>
      </c>
      <c r="H33926" s="5">
        <v>102.1</v>
      </c>
      <c r="I33926" s="5">
        <v>0</v>
      </c>
      <c r="J33926" s="5">
        <v>0</v>
      </c>
      <c r="K33926" s="5">
        <v>0</v>
      </c>
    </row>
    <row r="33927" spans="1:11" x14ac:dyDescent="0.25">
      <c r="A33927" s="5">
        <f>33920</f>
      </c>
      <c r="B33927" s="5" t="s">
        <v>33935</v>
      </c>
      <c r="C33927" s="5">
        <v>102.5</v>
      </c>
      <c r="D33927" s="5">
        <v>0.1</v>
      </c>
      <c r="E33927" s="5">
        <v>102.7</v>
      </c>
      <c r="F33927" s="5">
        <v>204.9</v>
      </c>
      <c r="G33927" s="5">
        <v>102.2</v>
      </c>
      <c r="H33927" s="5">
        <v>102.1</v>
      </c>
      <c r="I33927" s="5">
        <v>0</v>
      </c>
      <c r="J33927" s="5">
        <v>0</v>
      </c>
      <c r="K33927" s="5">
        <v>0</v>
      </c>
    </row>
    <row r="33928" spans="1:11" x14ac:dyDescent="0.25">
      <c r="A33928" s="5">
        <f>33921</f>
      </c>
      <c r="B33928" s="5" t="s">
        <v>33936</v>
      </c>
      <c r="C33928" s="5">
        <v>102.5</v>
      </c>
      <c r="D33928" s="5">
        <v>0.1</v>
      </c>
      <c r="E33928" s="5">
        <v>102.7</v>
      </c>
      <c r="F33928" s="5">
        <v>205.4</v>
      </c>
      <c r="G33928" s="5">
        <v>102.4</v>
      </c>
      <c r="H33928" s="5">
        <v>102.3</v>
      </c>
      <c r="I33928" s="5">
        <v>0</v>
      </c>
      <c r="J33928" s="5">
        <v>0</v>
      </c>
      <c r="K33928" s="5">
        <v>0</v>
      </c>
    </row>
    <row r="33929" spans="1:11" x14ac:dyDescent="0.25">
      <c r="A33929" s="5">
        <f>33922</f>
      </c>
      <c r="B33929" s="5" t="s">
        <v>33937</v>
      </c>
      <c r="C33929" s="5">
        <v>102.8</v>
      </c>
      <c r="D33929" s="5">
        <v>0.1</v>
      </c>
      <c r="E33929" s="5">
        <v>103</v>
      </c>
      <c r="F33929" s="5">
        <v>205.4</v>
      </c>
      <c r="G33929" s="5">
        <v>102.4</v>
      </c>
      <c r="H33929" s="5">
        <v>102.3</v>
      </c>
      <c r="I33929" s="5">
        <v>0</v>
      </c>
      <c r="J33929" s="5">
        <v>0</v>
      </c>
      <c r="K33929" s="5">
        <v>0</v>
      </c>
    </row>
    <row r="33930" spans="1:11" x14ac:dyDescent="0.25">
      <c r="A33930" s="5">
        <f>33923</f>
      </c>
      <c r="B33930" s="5" t="s">
        <v>33938</v>
      </c>
      <c r="C33930" s="5">
        <v>102.8</v>
      </c>
      <c r="D33930" s="5">
        <v>0.1</v>
      </c>
      <c r="E33930" s="5">
        <v>103</v>
      </c>
      <c r="F33930" s="5">
        <v>205.4</v>
      </c>
      <c r="G33930" s="5">
        <v>102.4</v>
      </c>
      <c r="H33930" s="5">
        <v>102.3</v>
      </c>
      <c r="I33930" s="5">
        <v>0</v>
      </c>
      <c r="J33930" s="5">
        <v>0</v>
      </c>
      <c r="K33930" s="5">
        <v>0</v>
      </c>
    </row>
    <row r="33931" spans="1:11" x14ac:dyDescent="0.25">
      <c r="A33931" s="5">
        <f>33924</f>
      </c>
      <c r="B33931" s="5" t="s">
        <v>33939</v>
      </c>
      <c r="C33931" s="5">
        <v>102.4</v>
      </c>
      <c r="D33931" s="5">
        <v>0.1</v>
      </c>
      <c r="E33931" s="5">
        <v>102.5</v>
      </c>
      <c r="F33931" s="5">
        <v>204.4</v>
      </c>
      <c r="G33931" s="5">
        <v>102</v>
      </c>
      <c r="H33931" s="5">
        <v>101.8</v>
      </c>
      <c r="I33931" s="5">
        <v>0</v>
      </c>
      <c r="J33931" s="5">
        <v>0</v>
      </c>
      <c r="K33931" s="5">
        <v>0</v>
      </c>
    </row>
    <row r="33932" spans="1:11" x14ac:dyDescent="0.25">
      <c r="A33932" s="5">
        <f>33925</f>
      </c>
      <c r="B33932" s="5" t="s">
        <v>33940</v>
      </c>
      <c r="C33932" s="5">
        <v>102.4</v>
      </c>
      <c r="D33932" s="5">
        <v>0.1</v>
      </c>
      <c r="E33932" s="5">
        <v>102.5</v>
      </c>
      <c r="F33932" s="5">
        <v>204.4</v>
      </c>
      <c r="G33932" s="5">
        <v>102</v>
      </c>
      <c r="H33932" s="5">
        <v>101.8</v>
      </c>
      <c r="I33932" s="5">
        <v>0</v>
      </c>
      <c r="J33932" s="5">
        <v>0</v>
      </c>
      <c r="K33932" s="5">
        <v>0</v>
      </c>
    </row>
    <row r="33933" spans="1:11" x14ac:dyDescent="0.25">
      <c r="A33933" s="5">
        <f>33926</f>
      </c>
      <c r="B33933" s="5" t="s">
        <v>33941</v>
      </c>
      <c r="C33933" s="5">
        <v>102.5</v>
      </c>
      <c r="D33933" s="5">
        <v>0.1</v>
      </c>
      <c r="E33933" s="5">
        <v>102.7</v>
      </c>
      <c r="F33933" s="5">
        <v>204.6</v>
      </c>
      <c r="G33933" s="5">
        <v>102.1</v>
      </c>
      <c r="H33933" s="5">
        <v>102</v>
      </c>
      <c r="I33933" s="5">
        <v>0</v>
      </c>
      <c r="J33933" s="5">
        <v>0</v>
      </c>
      <c r="K33933" s="5">
        <v>0</v>
      </c>
    </row>
    <row r="33934" spans="1:11" x14ac:dyDescent="0.25">
      <c r="A33934" s="5">
        <f>33927</f>
      </c>
      <c r="B33934" s="5" t="s">
        <v>33942</v>
      </c>
      <c r="C33934" s="5">
        <v>102.5</v>
      </c>
      <c r="D33934" s="5">
        <v>0.1</v>
      </c>
      <c r="E33934" s="5">
        <v>102.7</v>
      </c>
      <c r="F33934" s="5">
        <v>204.6</v>
      </c>
      <c r="G33934" s="5">
        <v>102.1</v>
      </c>
      <c r="H33934" s="5">
        <v>102</v>
      </c>
      <c r="I33934" s="5">
        <v>0</v>
      </c>
      <c r="J33934" s="5">
        <v>0</v>
      </c>
      <c r="K33934" s="5">
        <v>0</v>
      </c>
    </row>
    <row r="33935" spans="1:11" x14ac:dyDescent="0.25">
      <c r="A33935" s="5">
        <f>33928</f>
      </c>
      <c r="B33935" s="5" t="s">
        <v>33943</v>
      </c>
      <c r="C33935" s="5">
        <v>102.7</v>
      </c>
      <c r="D33935" s="5">
        <v>0.1</v>
      </c>
      <c r="E33935" s="5">
        <v>102.8</v>
      </c>
      <c r="F33935" s="5">
        <v>204.3</v>
      </c>
      <c r="G33935" s="5">
        <v>101.9</v>
      </c>
      <c r="H33935" s="5">
        <v>101.8</v>
      </c>
      <c r="I33935" s="5">
        <v>0</v>
      </c>
      <c r="J33935" s="5">
        <v>0</v>
      </c>
      <c r="K33935" s="5">
        <v>0</v>
      </c>
    </row>
    <row r="33936" spans="1:11" x14ac:dyDescent="0.25">
      <c r="A33936" s="5">
        <f>33929</f>
      </c>
      <c r="B33936" s="5" t="s">
        <v>33944</v>
      </c>
      <c r="C33936" s="5">
        <v>102.7</v>
      </c>
      <c r="D33936" s="5">
        <v>0.1</v>
      </c>
      <c r="E33936" s="5">
        <v>102.8</v>
      </c>
      <c r="F33936" s="5">
        <v>204.3</v>
      </c>
      <c r="G33936" s="5">
        <v>101.9</v>
      </c>
      <c r="H33936" s="5">
        <v>101.8</v>
      </c>
      <c r="I33936" s="5">
        <v>0</v>
      </c>
      <c r="J33936" s="5">
        <v>0</v>
      </c>
      <c r="K33936" s="5">
        <v>0</v>
      </c>
    </row>
    <row r="33937" spans="1:11" x14ac:dyDescent="0.25">
      <c r="A33937" s="5">
        <f>33930</f>
      </c>
      <c r="B33937" s="5" t="s">
        <v>33945</v>
      </c>
      <c r="C33937" s="5">
        <v>102.1</v>
      </c>
      <c r="D33937" s="5">
        <v>0.1</v>
      </c>
      <c r="E33937" s="5">
        <v>102.2</v>
      </c>
      <c r="F33937" s="5">
        <v>205.4</v>
      </c>
      <c r="G33937" s="5">
        <v>102.4</v>
      </c>
      <c r="H33937" s="5">
        <v>102.3</v>
      </c>
      <c r="I33937" s="5">
        <v>0</v>
      </c>
      <c r="J33937" s="5">
        <v>0</v>
      </c>
      <c r="K33937" s="5">
        <v>0</v>
      </c>
    </row>
    <row r="33938" spans="1:11" x14ac:dyDescent="0.25">
      <c r="A33938" s="5">
        <f>33931</f>
      </c>
      <c r="B33938" s="5" t="s">
        <v>33946</v>
      </c>
      <c r="C33938" s="5">
        <v>102.1</v>
      </c>
      <c r="D33938" s="5">
        <v>0.1</v>
      </c>
      <c r="E33938" s="5">
        <v>102.2</v>
      </c>
      <c r="F33938" s="5">
        <v>205.4</v>
      </c>
      <c r="G33938" s="5">
        <v>102.4</v>
      </c>
      <c r="H33938" s="5">
        <v>102.3</v>
      </c>
      <c r="I33938" s="5">
        <v>0</v>
      </c>
      <c r="J33938" s="5">
        <v>0</v>
      </c>
      <c r="K33938" s="5">
        <v>0</v>
      </c>
    </row>
    <row r="33939" spans="1:11" x14ac:dyDescent="0.25">
      <c r="A33939" s="5">
        <f>33932</f>
      </c>
      <c r="B33939" s="5" t="s">
        <v>33947</v>
      </c>
      <c r="C33939" s="5">
        <v>102.7</v>
      </c>
      <c r="D33939" s="5">
        <v>0.1</v>
      </c>
      <c r="E33939" s="5">
        <v>102.9</v>
      </c>
      <c r="F33939" s="5">
        <v>205.1</v>
      </c>
      <c r="G33939" s="5">
        <v>102.3</v>
      </c>
      <c r="H33939" s="5">
        <v>102.2</v>
      </c>
      <c r="I33939" s="5">
        <v>0</v>
      </c>
      <c r="J33939" s="5">
        <v>0</v>
      </c>
      <c r="K33939" s="5">
        <v>0</v>
      </c>
    </row>
    <row r="33940" spans="1:11" x14ac:dyDescent="0.25">
      <c r="A33940" s="5">
        <f>33933</f>
      </c>
      <c r="B33940" s="5" t="s">
        <v>33948</v>
      </c>
      <c r="C33940" s="5">
        <v>102.7</v>
      </c>
      <c r="D33940" s="5">
        <v>0.1</v>
      </c>
      <c r="E33940" s="5">
        <v>102.9</v>
      </c>
      <c r="F33940" s="5">
        <v>205.1</v>
      </c>
      <c r="G33940" s="5">
        <v>102.3</v>
      </c>
      <c r="H33940" s="5">
        <v>102.2</v>
      </c>
      <c r="I33940" s="5">
        <v>0</v>
      </c>
      <c r="J33940" s="5">
        <v>0</v>
      </c>
      <c r="K33940" s="5">
        <v>0</v>
      </c>
    </row>
    <row r="33941" spans="1:11" x14ac:dyDescent="0.25">
      <c r="A33941" s="5">
        <f>33934</f>
      </c>
      <c r="B33941" s="5" t="s">
        <v>33949</v>
      </c>
      <c r="C33941" s="5">
        <v>102.4</v>
      </c>
      <c r="D33941" s="5">
        <v>0.1</v>
      </c>
      <c r="E33941" s="5">
        <v>102.6</v>
      </c>
      <c r="F33941" s="5">
        <v>204.6</v>
      </c>
      <c r="G33941" s="5">
        <v>102.1</v>
      </c>
      <c r="H33941" s="5">
        <v>101.9</v>
      </c>
      <c r="I33941" s="5">
        <v>0</v>
      </c>
      <c r="J33941" s="5">
        <v>0</v>
      </c>
      <c r="K33941" s="5">
        <v>0</v>
      </c>
    </row>
    <row r="33942" spans="1:11" x14ac:dyDescent="0.25">
      <c r="A33942" s="5">
        <f>33935</f>
      </c>
      <c r="B33942" s="5" t="s">
        <v>33950</v>
      </c>
      <c r="C33942" s="5">
        <v>102.4</v>
      </c>
      <c r="D33942" s="5">
        <v>0.1</v>
      </c>
      <c r="E33942" s="5">
        <v>102.6</v>
      </c>
      <c r="F33942" s="5">
        <v>204.6</v>
      </c>
      <c r="G33942" s="5">
        <v>102.1</v>
      </c>
      <c r="H33942" s="5">
        <v>101.9</v>
      </c>
      <c r="I33942" s="5">
        <v>0</v>
      </c>
      <c r="J33942" s="5">
        <v>0</v>
      </c>
      <c r="K33942" s="5">
        <v>0</v>
      </c>
    </row>
    <row r="33943" spans="1:11" x14ac:dyDescent="0.25">
      <c r="A33943" s="5">
        <f>33936</f>
      </c>
      <c r="B33943" s="5" t="s">
        <v>33951</v>
      </c>
      <c r="C33943" s="5">
        <v>102.4</v>
      </c>
      <c r="D33943" s="5">
        <v>0.1</v>
      </c>
      <c r="E33943" s="5">
        <v>102.6</v>
      </c>
      <c r="F33943" s="5">
        <v>204.6</v>
      </c>
      <c r="G33943" s="5">
        <v>102.1</v>
      </c>
      <c r="H33943" s="5">
        <v>101.9</v>
      </c>
      <c r="I33943" s="5">
        <v>0</v>
      </c>
      <c r="J33943" s="5">
        <v>0</v>
      </c>
      <c r="K33943" s="5">
        <v>0</v>
      </c>
    </row>
    <row r="33944" spans="1:11" x14ac:dyDescent="0.25">
      <c r="A33944" s="5">
        <f>33937</f>
      </c>
      <c r="B33944" s="5" t="s">
        <v>33952</v>
      </c>
      <c r="C33944" s="5">
        <v>102.4</v>
      </c>
      <c r="D33944" s="5">
        <v>0.1</v>
      </c>
      <c r="E33944" s="5">
        <v>103.3</v>
      </c>
      <c r="F33944" s="5">
        <v>205.7</v>
      </c>
      <c r="G33944" s="5">
        <v>102.6</v>
      </c>
      <c r="H33944" s="5">
        <v>102.5</v>
      </c>
      <c r="I33944" s="5">
        <v>0</v>
      </c>
      <c r="J33944" s="5">
        <v>0</v>
      </c>
      <c r="K33944" s="5">
        <v>0</v>
      </c>
    </row>
    <row r="33945" spans="1:11" x14ac:dyDescent="0.25">
      <c r="A33945" s="5">
        <f>33938</f>
      </c>
      <c r="B33945" s="5" t="s">
        <v>33953</v>
      </c>
      <c r="C33945" s="5">
        <v>103.2</v>
      </c>
      <c r="D33945" s="5">
        <v>0.1</v>
      </c>
      <c r="E33945" s="5">
        <v>103.3</v>
      </c>
      <c r="F33945" s="5">
        <v>205.7</v>
      </c>
      <c r="G33945" s="5">
        <v>102.6</v>
      </c>
      <c r="H33945" s="5">
        <v>102.5</v>
      </c>
      <c r="I33945" s="5">
        <v>0</v>
      </c>
      <c r="J33945" s="5">
        <v>0</v>
      </c>
      <c r="K33945" s="5">
        <v>0</v>
      </c>
    </row>
    <row r="33946" spans="1:11" x14ac:dyDescent="0.25">
      <c r="A33946" s="5">
        <f>33939</f>
      </c>
      <c r="B33946" s="5" t="s">
        <v>33954</v>
      </c>
      <c r="C33946" s="5">
        <v>103.2</v>
      </c>
      <c r="D33946" s="5">
        <v>0.1</v>
      </c>
      <c r="E33946" s="5">
        <v>103.3</v>
      </c>
      <c r="F33946" s="5">
        <v>205.8</v>
      </c>
      <c r="G33946" s="5">
        <v>102.7</v>
      </c>
      <c r="H33946" s="5">
        <v>102.6</v>
      </c>
      <c r="I33946" s="5">
        <v>0</v>
      </c>
      <c r="J33946" s="5">
        <v>0</v>
      </c>
      <c r="K33946" s="5">
        <v>0</v>
      </c>
    </row>
    <row r="33947" spans="1:11" x14ac:dyDescent="0.25">
      <c r="A33947" s="5">
        <f>33940</f>
      </c>
      <c r="B33947" s="5" t="s">
        <v>33955</v>
      </c>
      <c r="C33947" s="5">
        <v>103</v>
      </c>
      <c r="D33947" s="5">
        <v>0.1</v>
      </c>
      <c r="E33947" s="5">
        <v>103.1</v>
      </c>
      <c r="F33947" s="5">
        <v>205.8</v>
      </c>
      <c r="G33947" s="5">
        <v>102.7</v>
      </c>
      <c r="H33947" s="5">
        <v>102.6</v>
      </c>
      <c r="I33947" s="5">
        <v>0</v>
      </c>
      <c r="J33947" s="5">
        <v>0</v>
      </c>
      <c r="K33947" s="5">
        <v>0</v>
      </c>
    </row>
    <row r="33948" spans="1:11" x14ac:dyDescent="0.25">
      <c r="A33948" s="5">
        <f>33941</f>
      </c>
      <c r="B33948" s="5" t="s">
        <v>33956</v>
      </c>
      <c r="C33948" s="5">
        <v>103</v>
      </c>
      <c r="D33948" s="5">
        <v>0.1</v>
      </c>
      <c r="E33948" s="5">
        <v>103.1</v>
      </c>
      <c r="F33948" s="5">
        <v>205.8</v>
      </c>
      <c r="G33948" s="5">
        <v>102.7</v>
      </c>
      <c r="H33948" s="5">
        <v>102.4</v>
      </c>
      <c r="I33948" s="5">
        <v>0</v>
      </c>
      <c r="J33948" s="5">
        <v>0</v>
      </c>
      <c r="K33948" s="5">
        <v>0</v>
      </c>
    </row>
    <row r="33949" spans="1:11" x14ac:dyDescent="0.25">
      <c r="A33949" s="5">
        <f>33942</f>
      </c>
      <c r="B33949" s="5" t="s">
        <v>33957</v>
      </c>
      <c r="C33949" s="5">
        <v>102.9</v>
      </c>
      <c r="D33949" s="5">
        <v>0.1</v>
      </c>
      <c r="E33949" s="5">
        <v>103.1</v>
      </c>
      <c r="F33949" s="5">
        <v>205.5</v>
      </c>
      <c r="G33949" s="5">
        <v>102.5</v>
      </c>
      <c r="H33949" s="5">
        <v>102.4</v>
      </c>
      <c r="I33949" s="5">
        <v>0</v>
      </c>
      <c r="J33949" s="5">
        <v>0</v>
      </c>
      <c r="K33949" s="5">
        <v>0</v>
      </c>
    </row>
    <row r="33950" spans="1:11" x14ac:dyDescent="0.25">
      <c r="A33950" s="5">
        <f>33943</f>
      </c>
      <c r="B33950" s="5" t="s">
        <v>33958</v>
      </c>
      <c r="C33950" s="5">
        <v>102.9</v>
      </c>
      <c r="D33950" s="5">
        <v>0.1</v>
      </c>
      <c r="E33950" s="5">
        <v>103.1</v>
      </c>
      <c r="F33950" s="5">
        <v>205.5</v>
      </c>
      <c r="G33950" s="5">
        <v>102.5</v>
      </c>
      <c r="H33950" s="5">
        <v>102.7</v>
      </c>
      <c r="I33950" s="5">
        <v>0</v>
      </c>
      <c r="J33950" s="5">
        <v>0</v>
      </c>
      <c r="K33950" s="5">
        <v>0</v>
      </c>
    </row>
    <row r="33951" spans="1:11" x14ac:dyDescent="0.25">
      <c r="A33951" s="5">
        <f>33944</f>
      </c>
      <c r="B33951" s="5" t="s">
        <v>33959</v>
      </c>
      <c r="C33951" s="5">
        <v>103.4</v>
      </c>
      <c r="D33951" s="5">
        <v>0.1</v>
      </c>
      <c r="E33951" s="5">
        <v>103.5</v>
      </c>
      <c r="F33951" s="5">
        <v>206.1</v>
      </c>
      <c r="G33951" s="5">
        <v>102.8</v>
      </c>
      <c r="H33951" s="5">
        <v>102.7</v>
      </c>
      <c r="I33951" s="5">
        <v>0</v>
      </c>
      <c r="J33951" s="5">
        <v>0</v>
      </c>
      <c r="K33951" s="5">
        <v>0</v>
      </c>
    </row>
    <row r="33952" spans="1:11" x14ac:dyDescent="0.25">
      <c r="A33952" s="5">
        <f>33945</f>
      </c>
      <c r="B33952" s="5" t="s">
        <v>33960</v>
      </c>
      <c r="C33952" s="5">
        <v>103.4</v>
      </c>
      <c r="D33952" s="5">
        <v>0.1</v>
      </c>
      <c r="E33952" s="5">
        <v>103.5</v>
      </c>
      <c r="F33952" s="5">
        <v>206.1</v>
      </c>
      <c r="G33952" s="5">
        <v>102.8</v>
      </c>
      <c r="H33952" s="5">
        <v>102.7</v>
      </c>
      <c r="I33952" s="5">
        <v>0</v>
      </c>
      <c r="J33952" s="5">
        <v>0</v>
      </c>
      <c r="K33952" s="5">
        <v>0</v>
      </c>
    </row>
    <row r="33953" spans="1:11" x14ac:dyDescent="0.25">
      <c r="A33953" s="5">
        <f>33946</f>
      </c>
      <c r="B33953" s="5" t="s">
        <v>33961</v>
      </c>
      <c r="C33953" s="5">
        <v>103.4</v>
      </c>
      <c r="D33953" s="5">
        <v>0.1</v>
      </c>
      <c r="E33953" s="5">
        <v>103.5</v>
      </c>
      <c r="F33953" s="5">
        <v>206.1</v>
      </c>
      <c r="G33953" s="5">
        <v>102.8</v>
      </c>
      <c r="H33953" s="5">
        <v>102.7</v>
      </c>
      <c r="I33953" s="5">
        <v>0</v>
      </c>
      <c r="J33953" s="5">
        <v>0</v>
      </c>
      <c r="K33953" s="5">
        <v>0</v>
      </c>
    </row>
    <row r="33954" spans="1:11" x14ac:dyDescent="0.25">
      <c r="A33954" s="5">
        <f>33947</f>
      </c>
      <c r="B33954" s="5" t="s">
        <v>33962</v>
      </c>
      <c r="C33954" s="5">
        <v>103.4</v>
      </c>
      <c r="D33954" s="5">
        <v>0.1</v>
      </c>
      <c r="E33954" s="5">
        <v>103.5</v>
      </c>
      <c r="F33954" s="5">
        <v>206.2</v>
      </c>
      <c r="G33954" s="5">
        <v>103</v>
      </c>
      <c r="H33954" s="5">
        <v>102.9</v>
      </c>
      <c r="I33954" s="5">
        <v>0</v>
      </c>
      <c r="J33954" s="5">
        <v>0</v>
      </c>
      <c r="K33954" s="5">
        <v>0</v>
      </c>
    </row>
    <row r="33955" spans="1:11" x14ac:dyDescent="0.25">
      <c r="A33955" s="5">
        <f>33948</f>
      </c>
      <c r="B33955" s="5" t="s">
        <v>33963</v>
      </c>
      <c r="C33955" s="5">
        <v>103.4</v>
      </c>
      <c r="D33955" s="5">
        <v>0.1</v>
      </c>
      <c r="E33955" s="5">
        <v>103.5</v>
      </c>
      <c r="F33955" s="5">
        <v>206.2</v>
      </c>
      <c r="G33955" s="5">
        <v>103</v>
      </c>
      <c r="H33955" s="5">
        <v>102.9</v>
      </c>
      <c r="I33955" s="5">
        <v>0</v>
      </c>
      <c r="J33955" s="5">
        <v>0</v>
      </c>
      <c r="K33955" s="5">
        <v>0</v>
      </c>
    </row>
    <row r="33956" spans="1:11" x14ac:dyDescent="0.25">
      <c r="A33956" s="5">
        <f>33949</f>
      </c>
      <c r="B33956" s="5" t="s">
        <v>33964</v>
      </c>
      <c r="C33956" s="5">
        <v>102.7</v>
      </c>
      <c r="D33956" s="5">
        <v>0.1</v>
      </c>
      <c r="E33956" s="5">
        <v>102.9</v>
      </c>
      <c r="F33956" s="5">
        <v>205.6</v>
      </c>
      <c r="G33956" s="5">
        <v>102.4</v>
      </c>
      <c r="H33956" s="5">
        <v>102.3</v>
      </c>
      <c r="I33956" s="5">
        <v>0</v>
      </c>
      <c r="J33956" s="5">
        <v>0</v>
      </c>
      <c r="K33956" s="5">
        <v>0</v>
      </c>
    </row>
    <row r="33957" spans="1:11" x14ac:dyDescent="0.25">
      <c r="A33957" s="5">
        <f>33950</f>
      </c>
      <c r="B33957" s="5" t="s">
        <v>33965</v>
      </c>
      <c r="C33957" s="5">
        <v>102.7</v>
      </c>
      <c r="D33957" s="5">
        <v>0.1</v>
      </c>
      <c r="E33957" s="5">
        <v>102.9</v>
      </c>
      <c r="F33957" s="5">
        <v>205.6</v>
      </c>
      <c r="G33957" s="5">
        <v>102.4</v>
      </c>
      <c r="H33957" s="5">
        <v>102.3</v>
      </c>
      <c r="I33957" s="5">
        <v>0</v>
      </c>
      <c r="J33957" s="5">
        <v>0</v>
      </c>
      <c r="K33957" s="5">
        <v>0</v>
      </c>
    </row>
    <row r="33958" spans="1:11" x14ac:dyDescent="0.25">
      <c r="A33958" s="5">
        <f>33951</f>
      </c>
      <c r="B33958" s="5" t="s">
        <v>33966</v>
      </c>
      <c r="C33958" s="5">
        <v>102.7</v>
      </c>
      <c r="D33958" s="5">
        <v>0.1</v>
      </c>
      <c r="E33958" s="5">
        <v>102.9</v>
      </c>
      <c r="F33958" s="5">
        <v>205.5</v>
      </c>
      <c r="G33958" s="5">
        <v>102.7</v>
      </c>
      <c r="H33958" s="5">
        <v>102.6</v>
      </c>
      <c r="I33958" s="5">
        <v>0</v>
      </c>
      <c r="J33958" s="5">
        <v>0</v>
      </c>
      <c r="K33958" s="5">
        <v>0</v>
      </c>
    </row>
    <row r="33959" spans="1:11" x14ac:dyDescent="0.25">
      <c r="A33959" s="5">
        <f>33952</f>
      </c>
      <c r="B33959" s="5" t="s">
        <v>33967</v>
      </c>
      <c r="C33959" s="5">
        <v>102.7</v>
      </c>
      <c r="D33959" s="5">
        <v>0.1</v>
      </c>
      <c r="E33959" s="5">
        <v>102.9</v>
      </c>
      <c r="F33959" s="5">
        <v>205.5</v>
      </c>
      <c r="G33959" s="5">
        <v>102.7</v>
      </c>
      <c r="H33959" s="5">
        <v>102.6</v>
      </c>
      <c r="I33959" s="5">
        <v>0</v>
      </c>
      <c r="J33959" s="5">
        <v>0</v>
      </c>
      <c r="K33959" s="5">
        <v>0</v>
      </c>
    </row>
    <row r="33960" spans="1:11" x14ac:dyDescent="0.25">
      <c r="A33960" s="5">
        <f>33953</f>
      </c>
      <c r="B33960" s="5" t="s">
        <v>33968</v>
      </c>
      <c r="C33960" s="5">
        <v>103.2</v>
      </c>
      <c r="D33960" s="5">
        <v>0.1</v>
      </c>
      <c r="E33960" s="5">
        <v>103.3</v>
      </c>
      <c r="F33960" s="5">
        <v>206</v>
      </c>
      <c r="G33960" s="5">
        <v>102.9</v>
      </c>
      <c r="H33960" s="5">
        <v>102.7</v>
      </c>
      <c r="I33960" s="5">
        <v>0</v>
      </c>
      <c r="J33960" s="5">
        <v>0</v>
      </c>
      <c r="K33960" s="5">
        <v>0</v>
      </c>
    </row>
    <row r="33961" spans="1:11" x14ac:dyDescent="0.25">
      <c r="A33961" s="5">
        <f>33954</f>
      </c>
      <c r="B33961" s="5" t="s">
        <v>33969</v>
      </c>
      <c r="C33961" s="5">
        <v>103.2</v>
      </c>
      <c r="D33961" s="5">
        <v>0.1</v>
      </c>
      <c r="E33961" s="5">
        <v>103.3</v>
      </c>
      <c r="F33961" s="5">
        <v>206</v>
      </c>
      <c r="G33961" s="5">
        <v>102.9</v>
      </c>
      <c r="H33961" s="5">
        <v>102.7</v>
      </c>
      <c r="I33961" s="5">
        <v>0</v>
      </c>
      <c r="J33961" s="5">
        <v>0</v>
      </c>
      <c r="K33961" s="5">
        <v>0</v>
      </c>
    </row>
    <row r="33962" spans="1:11" x14ac:dyDescent="0.25">
      <c r="A33962" s="5">
        <f>33955</f>
      </c>
      <c r="B33962" s="5" t="s">
        <v>33970</v>
      </c>
      <c r="C33962" s="5">
        <v>103.2</v>
      </c>
      <c r="D33962" s="5">
        <v>0.1</v>
      </c>
      <c r="E33962" s="5">
        <v>103.3</v>
      </c>
      <c r="F33962" s="5">
        <v>206</v>
      </c>
      <c r="G33962" s="5">
        <v>102.9</v>
      </c>
      <c r="H33962" s="5">
        <v>102.7</v>
      </c>
      <c r="I33962" s="5">
        <v>0</v>
      </c>
      <c r="J33962" s="5">
        <v>0</v>
      </c>
      <c r="K33962" s="5">
        <v>0</v>
      </c>
    </row>
    <row r="33963" spans="1:11" x14ac:dyDescent="0.25">
      <c r="A33963" s="5">
        <f>33956</f>
      </c>
      <c r="B33963" s="5" t="s">
        <v>33971</v>
      </c>
      <c r="C33963" s="5">
        <v>103.2</v>
      </c>
      <c r="D33963" s="5">
        <v>0.1</v>
      </c>
      <c r="E33963" s="5">
        <v>103.3</v>
      </c>
      <c r="F33963" s="5">
        <v>206</v>
      </c>
      <c r="G33963" s="5">
        <v>102.9</v>
      </c>
      <c r="H33963" s="5">
        <v>102.7</v>
      </c>
      <c r="I33963" s="5">
        <v>0</v>
      </c>
      <c r="J33963" s="5">
        <v>0</v>
      </c>
      <c r="K33963" s="5">
        <v>0</v>
      </c>
    </row>
    <row r="33964" spans="1:11" x14ac:dyDescent="0.25">
      <c r="A33964" s="5">
        <f>33957</f>
      </c>
      <c r="B33964" s="5" t="s">
        <v>33972</v>
      </c>
      <c r="C33964" s="5">
        <v>103.4</v>
      </c>
      <c r="D33964" s="5">
        <v>0.1</v>
      </c>
      <c r="E33964" s="5">
        <v>103.6</v>
      </c>
      <c r="F33964" s="5">
        <v>206</v>
      </c>
      <c r="G33964" s="5">
        <v>102.8</v>
      </c>
      <c r="H33964" s="5">
        <v>102.7</v>
      </c>
      <c r="I33964" s="5">
        <v>0</v>
      </c>
      <c r="J33964" s="5">
        <v>0</v>
      </c>
      <c r="K33964" s="5">
        <v>0</v>
      </c>
    </row>
    <row r="33965" spans="1:11" x14ac:dyDescent="0.25">
      <c r="A33965" s="5">
        <f>33958</f>
      </c>
      <c r="B33965" s="5" t="s">
        <v>33973</v>
      </c>
      <c r="C33965" s="5">
        <v>103.4</v>
      </c>
      <c r="D33965" s="5">
        <v>0.1</v>
      </c>
      <c r="E33965" s="5">
        <v>103.6</v>
      </c>
      <c r="F33965" s="5">
        <v>206</v>
      </c>
      <c r="G33965" s="5">
        <v>102.8</v>
      </c>
      <c r="H33965" s="5">
        <v>102.7</v>
      </c>
      <c r="I33965" s="5">
        <v>0</v>
      </c>
      <c r="J33965" s="5">
        <v>0</v>
      </c>
      <c r="K33965" s="5">
        <v>0</v>
      </c>
    </row>
    <row r="33966" spans="1:11" x14ac:dyDescent="0.25">
      <c r="A33966" s="5">
        <f>33959</f>
      </c>
      <c r="B33966" s="5" t="s">
        <v>33974</v>
      </c>
      <c r="C33966" s="5">
        <v>103.4</v>
      </c>
      <c r="D33966" s="5">
        <v>0.1</v>
      </c>
      <c r="E33966" s="5">
        <v>103.6</v>
      </c>
      <c r="F33966" s="5">
        <v>206.4</v>
      </c>
      <c r="G33966" s="5">
        <v>103</v>
      </c>
      <c r="H33966" s="5">
        <v>102.8</v>
      </c>
      <c r="I33966" s="5">
        <v>0</v>
      </c>
      <c r="J33966" s="5">
        <v>0</v>
      </c>
      <c r="K33966" s="5">
        <v>0</v>
      </c>
    </row>
    <row r="33967" spans="1:11" x14ac:dyDescent="0.25">
      <c r="A33967" s="5">
        <f>33960</f>
      </c>
      <c r="B33967" s="5" t="s">
        <v>33975</v>
      </c>
      <c r="C33967" s="5">
        <v>103.4</v>
      </c>
      <c r="D33967" s="5">
        <v>0.1</v>
      </c>
      <c r="E33967" s="5">
        <v>103.6</v>
      </c>
      <c r="F33967" s="5">
        <v>206.4</v>
      </c>
      <c r="G33967" s="5">
        <v>103</v>
      </c>
      <c r="H33967" s="5">
        <v>102.8</v>
      </c>
      <c r="I33967" s="5">
        <v>0</v>
      </c>
      <c r="J33967" s="5">
        <v>0</v>
      </c>
      <c r="K33967" s="5">
        <v>0</v>
      </c>
    </row>
    <row r="33968" spans="1:11" x14ac:dyDescent="0.25">
      <c r="A33968" s="5">
        <f>33961</f>
      </c>
      <c r="B33968" s="5" t="s">
        <v>33976</v>
      </c>
      <c r="C33968" s="5">
        <v>102.9</v>
      </c>
      <c r="D33968" s="5">
        <v>0.1</v>
      </c>
      <c r="E33968" s="5">
        <v>103</v>
      </c>
      <c r="F33968" s="5">
        <v>205.2</v>
      </c>
      <c r="G33968" s="5">
        <v>102.4</v>
      </c>
      <c r="H33968" s="5">
        <v>102.3</v>
      </c>
      <c r="I33968" s="5">
        <v>0</v>
      </c>
      <c r="J33968" s="5">
        <v>0</v>
      </c>
      <c r="K33968" s="5">
        <v>0</v>
      </c>
    </row>
    <row r="33969" spans="1:11" x14ac:dyDescent="0.25">
      <c r="A33969" s="5">
        <f>33962</f>
      </c>
      <c r="B33969" s="5" t="s">
        <v>33977</v>
      </c>
      <c r="C33969" s="5">
        <v>102.9</v>
      </c>
      <c r="D33969" s="5">
        <v>0.1</v>
      </c>
      <c r="E33969" s="5">
        <v>103</v>
      </c>
      <c r="F33969" s="5">
        <v>205.2</v>
      </c>
      <c r="G33969" s="5">
        <v>102.4</v>
      </c>
      <c r="H33969" s="5">
        <v>102.3</v>
      </c>
      <c r="I33969" s="5">
        <v>0</v>
      </c>
      <c r="J33969" s="5">
        <v>0</v>
      </c>
      <c r="K33969" s="5">
        <v>0</v>
      </c>
    </row>
    <row r="33970" spans="1:11" x14ac:dyDescent="0.25">
      <c r="A33970" s="5">
        <f>33963</f>
      </c>
      <c r="B33970" s="5" t="s">
        <v>33978</v>
      </c>
      <c r="C33970" s="5">
        <v>103</v>
      </c>
      <c r="D33970" s="5">
        <v>0.1</v>
      </c>
      <c r="E33970" s="5">
        <v>103.1</v>
      </c>
      <c r="F33970" s="5">
        <v>205.8</v>
      </c>
      <c r="G33970" s="5">
        <v>102.7</v>
      </c>
      <c r="H33970" s="5">
        <v>102.6</v>
      </c>
      <c r="I33970" s="5">
        <v>0</v>
      </c>
      <c r="J33970" s="5">
        <v>0</v>
      </c>
      <c r="K33970" s="5">
        <v>0</v>
      </c>
    </row>
    <row r="33971" spans="1:11" x14ac:dyDescent="0.25">
      <c r="A33971" s="5">
        <f>33964</f>
      </c>
      <c r="B33971" s="5" t="s">
        <v>33979</v>
      </c>
      <c r="C33971" s="5">
        <v>103</v>
      </c>
      <c r="D33971" s="5">
        <v>0.1</v>
      </c>
      <c r="E33971" s="5">
        <v>103.1</v>
      </c>
      <c r="F33971" s="5">
        <v>205.8</v>
      </c>
      <c r="G33971" s="5">
        <v>102.7</v>
      </c>
      <c r="H33971" s="5">
        <v>102.6</v>
      </c>
      <c r="I33971" s="5">
        <v>0</v>
      </c>
      <c r="J33971" s="5">
        <v>0</v>
      </c>
      <c r="K33971" s="5">
        <v>0</v>
      </c>
    </row>
    <row r="33972" spans="1:11" x14ac:dyDescent="0.25">
      <c r="A33972" s="5">
        <f>33965</f>
      </c>
      <c r="B33972" s="5" t="s">
        <v>33980</v>
      </c>
      <c r="C33972" s="5">
        <v>103</v>
      </c>
      <c r="D33972" s="5">
        <v>0.1</v>
      </c>
      <c r="E33972" s="5">
        <v>103.1</v>
      </c>
      <c r="F33972" s="5">
        <v>205.8</v>
      </c>
      <c r="G33972" s="5">
        <v>102.7</v>
      </c>
      <c r="H33972" s="5">
        <v>102.6</v>
      </c>
      <c r="I33972" s="5">
        <v>0</v>
      </c>
      <c r="J33972" s="5">
        <v>0</v>
      </c>
      <c r="K33972" s="5">
        <v>0</v>
      </c>
    </row>
    <row r="33973" spans="1:11" x14ac:dyDescent="0.25">
      <c r="A33973" s="5">
        <f>33966</f>
      </c>
      <c r="B33973" s="5" t="s">
        <v>33981</v>
      </c>
      <c r="C33973" s="5">
        <v>103</v>
      </c>
      <c r="D33973" s="5">
        <v>0.1</v>
      </c>
      <c r="E33973" s="5">
        <v>103.1</v>
      </c>
      <c r="F33973" s="5">
        <v>205.8</v>
      </c>
      <c r="G33973" s="5">
        <v>102.7</v>
      </c>
      <c r="H33973" s="5">
        <v>102.6</v>
      </c>
      <c r="I33973" s="5">
        <v>0</v>
      </c>
      <c r="J33973" s="5">
        <v>0</v>
      </c>
      <c r="K33973" s="5">
        <v>0</v>
      </c>
    </row>
    <row r="33974" spans="1:11" x14ac:dyDescent="0.25">
      <c r="A33974" s="5">
        <f>33967</f>
      </c>
      <c r="B33974" s="5" t="s">
        <v>33982</v>
      </c>
      <c r="C33974" s="5">
        <v>103.4</v>
      </c>
      <c r="D33974" s="5">
        <v>0.1</v>
      </c>
      <c r="E33974" s="5">
        <v>103.5</v>
      </c>
      <c r="F33974" s="5">
        <v>206.2</v>
      </c>
      <c r="G33974" s="5">
        <v>102.9</v>
      </c>
      <c r="H33974" s="5">
        <v>102.8</v>
      </c>
      <c r="I33974" s="5">
        <v>0</v>
      </c>
      <c r="J33974" s="5">
        <v>0</v>
      </c>
      <c r="K33974" s="5">
        <v>0</v>
      </c>
    </row>
    <row r="33975" spans="1:11" x14ac:dyDescent="0.25">
      <c r="A33975" s="5">
        <f>33968</f>
      </c>
      <c r="B33975" s="5" t="s">
        <v>33983</v>
      </c>
      <c r="C33975" s="5">
        <v>103.4</v>
      </c>
      <c r="D33975" s="5">
        <v>0.1</v>
      </c>
      <c r="E33975" s="5">
        <v>103.5</v>
      </c>
      <c r="F33975" s="5">
        <v>206.2</v>
      </c>
      <c r="G33975" s="5">
        <v>102.9</v>
      </c>
      <c r="H33975" s="5">
        <v>102.8</v>
      </c>
      <c r="I33975" s="5">
        <v>0</v>
      </c>
      <c r="J33975" s="5">
        <v>0</v>
      </c>
      <c r="K33975" s="5">
        <v>0</v>
      </c>
    </row>
    <row r="33976" spans="1:11" x14ac:dyDescent="0.25">
      <c r="A33976" s="5">
        <f>33969</f>
      </c>
      <c r="B33976" s="5" t="s">
        <v>33984</v>
      </c>
      <c r="C33976" s="5">
        <v>102.6</v>
      </c>
      <c r="D33976" s="5">
        <v>0.1</v>
      </c>
      <c r="E33976" s="5">
        <v>102.7</v>
      </c>
      <c r="F33976" s="5">
        <v>205.6</v>
      </c>
      <c r="G33976" s="5">
        <v>102.5</v>
      </c>
      <c r="H33976" s="5">
        <v>102.4</v>
      </c>
      <c r="I33976" s="5">
        <v>0</v>
      </c>
      <c r="J33976" s="5">
        <v>0</v>
      </c>
      <c r="K33976" s="5">
        <v>0</v>
      </c>
    </row>
    <row r="33977" spans="1:11" x14ac:dyDescent="0.25">
      <c r="A33977" s="5">
        <f>33970</f>
      </c>
      <c r="B33977" s="5" t="s">
        <v>33985</v>
      </c>
      <c r="C33977" s="5">
        <v>102.6</v>
      </c>
      <c r="D33977" s="5">
        <v>0.1</v>
      </c>
      <c r="E33977" s="5">
        <v>102.7</v>
      </c>
      <c r="F33977" s="5">
        <v>205.6</v>
      </c>
      <c r="G33977" s="5">
        <v>102.5</v>
      </c>
      <c r="H33977" s="5">
        <v>102.4</v>
      </c>
      <c r="I33977" s="5">
        <v>0</v>
      </c>
      <c r="J33977" s="5">
        <v>0</v>
      </c>
      <c r="K33977" s="5">
        <v>0</v>
      </c>
    </row>
    <row r="33978" spans="1:11" x14ac:dyDescent="0.25">
      <c r="A33978" s="5">
        <f>33971</f>
      </c>
      <c r="B33978" s="5" t="s">
        <v>33986</v>
      </c>
      <c r="C33978" s="5">
        <v>102.7</v>
      </c>
      <c r="D33978" s="5">
        <v>0.1</v>
      </c>
      <c r="E33978" s="5">
        <v>102.9</v>
      </c>
      <c r="F33978" s="5">
        <v>205.3</v>
      </c>
      <c r="G33978" s="5">
        <v>102.4</v>
      </c>
      <c r="H33978" s="5">
        <v>102.3</v>
      </c>
      <c r="I33978" s="5">
        <v>0</v>
      </c>
      <c r="J33978" s="5">
        <v>0</v>
      </c>
      <c r="K33978" s="5">
        <v>0</v>
      </c>
    </row>
    <row r="33979" spans="1:11" x14ac:dyDescent="0.25">
      <c r="A33979" s="5">
        <f>33972</f>
      </c>
      <c r="B33979" s="5" t="s">
        <v>33987</v>
      </c>
      <c r="C33979" s="5">
        <v>102.7</v>
      </c>
      <c r="D33979" s="5">
        <v>0.1</v>
      </c>
      <c r="E33979" s="5">
        <v>102.9</v>
      </c>
      <c r="F33979" s="5">
        <v>205.3</v>
      </c>
      <c r="G33979" s="5">
        <v>102.4</v>
      </c>
      <c r="H33979" s="5">
        <v>102.3</v>
      </c>
      <c r="I33979" s="5">
        <v>0</v>
      </c>
      <c r="J33979" s="5">
        <v>0</v>
      </c>
      <c r="K33979" s="5">
        <v>0</v>
      </c>
    </row>
    <row r="33980" spans="1:11" x14ac:dyDescent="0.25">
      <c r="A33980" s="5">
        <f>33973</f>
      </c>
      <c r="B33980" s="5" t="s">
        <v>33988</v>
      </c>
      <c r="C33980" s="5">
        <v>103.1</v>
      </c>
      <c r="D33980" s="5">
        <v>0.1</v>
      </c>
      <c r="E33980" s="5">
        <v>103.1</v>
      </c>
      <c r="F33980" s="5">
        <v>206</v>
      </c>
      <c r="G33980" s="5">
        <v>102.8</v>
      </c>
      <c r="H33980" s="5">
        <v>102.6</v>
      </c>
      <c r="I33980" s="5">
        <v>0</v>
      </c>
      <c r="J33980" s="5">
        <v>0</v>
      </c>
      <c r="K33980" s="5">
        <v>0</v>
      </c>
    </row>
    <row r="33981" spans="1:11" x14ac:dyDescent="0.25">
      <c r="A33981" s="5">
        <f>33974</f>
      </c>
      <c r="B33981" s="5" t="s">
        <v>33989</v>
      </c>
      <c r="C33981" s="5">
        <v>103.1</v>
      </c>
      <c r="D33981" s="5">
        <v>0.1</v>
      </c>
      <c r="E33981" s="5">
        <v>103.1</v>
      </c>
      <c r="F33981" s="5">
        <v>206</v>
      </c>
      <c r="G33981" s="5">
        <v>102.8</v>
      </c>
      <c r="H33981" s="5">
        <v>102.6</v>
      </c>
      <c r="I33981" s="5">
        <v>0</v>
      </c>
      <c r="J33981" s="5">
        <v>0</v>
      </c>
      <c r="K33981" s="5">
        <v>0</v>
      </c>
    </row>
    <row r="33982" spans="1:11" x14ac:dyDescent="0.25">
      <c r="A33982" s="5">
        <f>33975</f>
      </c>
      <c r="B33982" s="5" t="s">
        <v>33990</v>
      </c>
      <c r="C33982" s="5">
        <v>103.1</v>
      </c>
      <c r="D33982" s="5">
        <v>0.1</v>
      </c>
      <c r="E33982" s="5">
        <v>103.1</v>
      </c>
      <c r="F33982" s="5">
        <v>206</v>
      </c>
      <c r="G33982" s="5">
        <v>102.8</v>
      </c>
      <c r="H33982" s="5">
        <v>102.6</v>
      </c>
      <c r="I33982" s="5">
        <v>0</v>
      </c>
      <c r="J33982" s="5">
        <v>0</v>
      </c>
      <c r="K33982" s="5">
        <v>0</v>
      </c>
    </row>
    <row r="33983" spans="1:11" x14ac:dyDescent="0.25">
      <c r="A33983" s="5">
        <f>33976</f>
      </c>
      <c r="B33983" s="5" t="s">
        <v>33991</v>
      </c>
      <c r="C33983" s="5">
        <v>103.1</v>
      </c>
      <c r="D33983" s="5">
        <v>0.1</v>
      </c>
      <c r="E33983" s="5">
        <v>103.1</v>
      </c>
      <c r="F33983" s="5">
        <v>206</v>
      </c>
      <c r="G33983" s="5">
        <v>102.8</v>
      </c>
      <c r="H33983" s="5">
        <v>102.6</v>
      </c>
      <c r="I33983" s="5">
        <v>0</v>
      </c>
      <c r="J33983" s="5">
        <v>0</v>
      </c>
      <c r="K33983" s="5">
        <v>0</v>
      </c>
    </row>
    <row r="33984" spans="1:11" x14ac:dyDescent="0.25">
      <c r="A33984" s="5">
        <f>33977</f>
      </c>
      <c r="B33984" s="5" t="s">
        <v>33992</v>
      </c>
      <c r="C33984" s="5">
        <v>103.4</v>
      </c>
      <c r="D33984" s="5">
        <v>0.1</v>
      </c>
      <c r="E33984" s="5">
        <v>103.4</v>
      </c>
      <c r="F33984" s="5">
        <v>206.5</v>
      </c>
      <c r="G33984" s="5">
        <v>103</v>
      </c>
      <c r="H33984" s="5">
        <v>102.9</v>
      </c>
      <c r="I33984" s="5">
        <v>0</v>
      </c>
      <c r="J33984" s="5">
        <v>0</v>
      </c>
      <c r="K33984" s="5">
        <v>0</v>
      </c>
    </row>
    <row r="33985" spans="1:11" x14ac:dyDescent="0.25">
      <c r="A33985" s="5">
        <f>33978</f>
      </c>
      <c r="B33985" s="5" t="s">
        <v>33993</v>
      </c>
      <c r="C33985" s="5">
        <v>103.4</v>
      </c>
      <c r="D33985" s="5">
        <v>0.1</v>
      </c>
      <c r="E33985" s="5">
        <v>103.4</v>
      </c>
      <c r="F33985" s="5">
        <v>206.5</v>
      </c>
      <c r="G33985" s="5">
        <v>103</v>
      </c>
      <c r="H33985" s="5">
        <v>102.9</v>
      </c>
      <c r="I33985" s="5">
        <v>0</v>
      </c>
      <c r="J33985" s="5">
        <v>0</v>
      </c>
      <c r="K33985" s="5">
        <v>0</v>
      </c>
    </row>
    <row r="33986" spans="1:11" x14ac:dyDescent="0.25">
      <c r="A33986" s="5">
        <f>33979</f>
      </c>
      <c r="B33986" s="5" t="s">
        <v>33994</v>
      </c>
      <c r="C33986" s="5">
        <v>102.7</v>
      </c>
      <c r="D33986" s="5">
        <v>0.1</v>
      </c>
      <c r="E33986" s="5">
        <v>102.9</v>
      </c>
      <c r="F33986" s="5">
        <v>205.8</v>
      </c>
      <c r="G33986" s="5">
        <v>102.7</v>
      </c>
      <c r="H33986" s="5">
        <v>102.5</v>
      </c>
      <c r="I33986" s="5">
        <v>0</v>
      </c>
      <c r="J33986" s="5">
        <v>0</v>
      </c>
      <c r="K33986" s="5">
        <v>0</v>
      </c>
    </row>
    <row r="33987" spans="1:11" x14ac:dyDescent="0.25">
      <c r="A33987" s="5">
        <f>33980</f>
      </c>
      <c r="B33987" s="5" t="s">
        <v>33995</v>
      </c>
      <c r="C33987" s="5">
        <v>102.7</v>
      </c>
      <c r="D33987" s="5">
        <v>0.1</v>
      </c>
      <c r="E33987" s="5">
        <v>102.9</v>
      </c>
      <c r="F33987" s="5">
        <v>205.8</v>
      </c>
      <c r="G33987" s="5">
        <v>102.7</v>
      </c>
      <c r="H33987" s="5">
        <v>102.5</v>
      </c>
      <c r="I33987" s="5">
        <v>0</v>
      </c>
      <c r="J33987" s="5">
        <v>0</v>
      </c>
      <c r="K33987" s="5">
        <v>0</v>
      </c>
    </row>
    <row r="33988" spans="1:11" x14ac:dyDescent="0.25">
      <c r="A33988" s="5">
        <f>33981</f>
      </c>
      <c r="B33988" s="5" t="s">
        <v>33996</v>
      </c>
      <c r="C33988" s="5">
        <v>103.7</v>
      </c>
      <c r="D33988" s="5">
        <v>0.1</v>
      </c>
      <c r="E33988" s="5">
        <v>103.8</v>
      </c>
      <c r="F33988" s="5">
        <v>206.6</v>
      </c>
      <c r="G33988" s="5">
        <v>103.1</v>
      </c>
      <c r="H33988" s="5">
        <v>102.9</v>
      </c>
      <c r="I33988" s="5">
        <v>0</v>
      </c>
      <c r="J33988" s="5">
        <v>0</v>
      </c>
      <c r="K33988" s="5">
        <v>0</v>
      </c>
    </row>
    <row r="33989" spans="1:11" x14ac:dyDescent="0.25">
      <c r="A33989" s="5">
        <f>33982</f>
      </c>
      <c r="B33989" s="5" t="s">
        <v>33997</v>
      </c>
      <c r="C33989" s="5">
        <v>103.7</v>
      </c>
      <c r="D33989" s="5">
        <v>0.1</v>
      </c>
      <c r="E33989" s="5">
        <v>103.8</v>
      </c>
      <c r="F33989" s="5">
        <v>206.6</v>
      </c>
      <c r="G33989" s="5">
        <v>103.1</v>
      </c>
      <c r="H33989" s="5">
        <v>102.9</v>
      </c>
      <c r="I33989" s="5">
        <v>0</v>
      </c>
      <c r="J33989" s="5">
        <v>0</v>
      </c>
      <c r="K33989" s="5">
        <v>0</v>
      </c>
    </row>
    <row r="33990" spans="1:11" x14ac:dyDescent="0.25">
      <c r="A33990" s="5">
        <f>33983</f>
      </c>
      <c r="B33990" s="5" t="s">
        <v>33998</v>
      </c>
      <c r="C33990" s="5">
        <v>103</v>
      </c>
      <c r="D33990" s="5">
        <v>0.1</v>
      </c>
      <c r="E33990" s="5">
        <v>103.1</v>
      </c>
      <c r="F33990" s="5">
        <v>205.4</v>
      </c>
      <c r="G33990" s="5">
        <v>102.5</v>
      </c>
      <c r="H33990" s="5">
        <v>102.3</v>
      </c>
      <c r="I33990" s="5">
        <v>0</v>
      </c>
      <c r="J33990" s="5">
        <v>0</v>
      </c>
      <c r="K33990" s="5">
        <v>0</v>
      </c>
    </row>
    <row r="33991" spans="1:11" x14ac:dyDescent="0.25">
      <c r="A33991" s="5">
        <f>33984</f>
      </c>
      <c r="B33991" s="5" t="s">
        <v>33999</v>
      </c>
      <c r="C33991" s="5">
        <v>103</v>
      </c>
      <c r="D33991" s="5">
        <v>0.1</v>
      </c>
      <c r="E33991" s="5">
        <v>103.1</v>
      </c>
      <c r="F33991" s="5">
        <v>205.4</v>
      </c>
      <c r="G33991" s="5">
        <v>102.5</v>
      </c>
      <c r="H33991" s="5">
        <v>102.3</v>
      </c>
      <c r="I33991" s="5">
        <v>0</v>
      </c>
      <c r="J33991" s="5">
        <v>0</v>
      </c>
      <c r="K33991" s="5">
        <v>0</v>
      </c>
    </row>
    <row r="33992" spans="1:11" x14ac:dyDescent="0.25">
      <c r="A33992" s="5">
        <f>33985</f>
      </c>
      <c r="B33992" s="5" t="s">
        <v>34000</v>
      </c>
      <c r="C33992" s="5">
        <v>103</v>
      </c>
      <c r="D33992" s="5">
        <v>0.1</v>
      </c>
      <c r="E33992" s="5">
        <v>103.1</v>
      </c>
      <c r="F33992" s="5">
        <v>205.4</v>
      </c>
      <c r="G33992" s="5">
        <v>102.5</v>
      </c>
      <c r="H33992" s="5">
        <v>102.3</v>
      </c>
      <c r="I33992" s="5">
        <v>0</v>
      </c>
      <c r="J33992" s="5">
        <v>0</v>
      </c>
      <c r="K33992" s="5">
        <v>0</v>
      </c>
    </row>
    <row r="33993" spans="1:11" x14ac:dyDescent="0.25">
      <c r="A33993" s="5">
        <f>33986</f>
      </c>
      <c r="B33993" s="5" t="s">
        <v>34001</v>
      </c>
      <c r="C33993" s="5">
        <v>103</v>
      </c>
      <c r="D33993" s="5">
        <v>0.1</v>
      </c>
      <c r="E33993" s="5">
        <v>103.1</v>
      </c>
      <c r="F33993" s="5">
        <v>205.4</v>
      </c>
      <c r="G33993" s="5">
        <v>102.5</v>
      </c>
      <c r="H33993" s="5">
        <v>102.3</v>
      </c>
      <c r="I33993" s="5">
        <v>0</v>
      </c>
      <c r="J33993" s="5">
        <v>0</v>
      </c>
      <c r="K33993" s="5">
        <v>0</v>
      </c>
    </row>
    <row r="33994" spans="1:11" x14ac:dyDescent="0.25">
      <c r="A33994" s="5">
        <f>33987</f>
      </c>
      <c r="B33994" s="5" t="s">
        <v>34002</v>
      </c>
      <c r="C33994" s="5">
        <v>103.1</v>
      </c>
      <c r="D33994" s="5">
        <v>0.1</v>
      </c>
      <c r="E33994" s="5">
        <v>103.2</v>
      </c>
      <c r="F33994" s="5">
        <v>206.2</v>
      </c>
      <c r="G33994" s="5">
        <v>102.9</v>
      </c>
      <c r="H33994" s="5">
        <v>102.7</v>
      </c>
      <c r="I33994" s="5">
        <v>0</v>
      </c>
      <c r="J33994" s="5">
        <v>0</v>
      </c>
      <c r="K33994" s="5">
        <v>0</v>
      </c>
    </row>
    <row r="33995" spans="1:11" x14ac:dyDescent="0.25">
      <c r="A33995" s="5">
        <f>33988</f>
      </c>
      <c r="B33995" s="5" t="s">
        <v>34003</v>
      </c>
      <c r="C33995" s="5">
        <v>103.1</v>
      </c>
      <c r="D33995" s="5">
        <v>0.1</v>
      </c>
      <c r="E33995" s="5">
        <v>103.2</v>
      </c>
      <c r="F33995" s="5">
        <v>206.2</v>
      </c>
      <c r="G33995" s="5">
        <v>102.9</v>
      </c>
      <c r="H33995" s="5">
        <v>102.7</v>
      </c>
      <c r="I33995" s="5">
        <v>0</v>
      </c>
      <c r="J33995" s="5">
        <v>0</v>
      </c>
      <c r="K33995" s="5">
        <v>0</v>
      </c>
    </row>
    <row r="33996" spans="1:11" x14ac:dyDescent="0.25">
      <c r="A33996" s="5">
        <f>33989</f>
      </c>
      <c r="B33996" s="5" t="s">
        <v>34004</v>
      </c>
      <c r="C33996" s="5">
        <v>103.8</v>
      </c>
      <c r="D33996" s="5">
        <v>0.1</v>
      </c>
      <c r="E33996" s="5">
        <v>104</v>
      </c>
      <c r="F33996" s="5">
        <v>206.8</v>
      </c>
      <c r="G33996" s="5">
        <v>103.2</v>
      </c>
      <c r="H33996" s="5">
        <v>103</v>
      </c>
      <c r="I33996" s="5">
        <v>0</v>
      </c>
      <c r="J33996" s="5">
        <v>0</v>
      </c>
      <c r="K33996" s="5">
        <v>0</v>
      </c>
    </row>
    <row r="33997" spans="1:11" x14ac:dyDescent="0.25">
      <c r="A33997" s="5">
        <f>33990</f>
      </c>
      <c r="B33997" s="5" t="s">
        <v>34005</v>
      </c>
      <c r="C33997" s="5">
        <v>103.8</v>
      </c>
      <c r="D33997" s="5">
        <v>0.1</v>
      </c>
      <c r="E33997" s="5">
        <v>104</v>
      </c>
      <c r="F33997" s="5">
        <v>206.8</v>
      </c>
      <c r="G33997" s="5">
        <v>103.2</v>
      </c>
      <c r="H33997" s="5">
        <v>103</v>
      </c>
      <c r="I33997" s="5">
        <v>0</v>
      </c>
      <c r="J33997" s="5">
        <v>0</v>
      </c>
      <c r="K33997" s="5">
        <v>0</v>
      </c>
    </row>
    <row r="33998" spans="1:11" x14ac:dyDescent="0.25">
      <c r="A33998" s="5">
        <f>33991</f>
      </c>
      <c r="B33998" s="5" t="s">
        <v>34006</v>
      </c>
      <c r="C33998" s="5">
        <v>103.1</v>
      </c>
      <c r="D33998" s="5">
        <v>0.1</v>
      </c>
      <c r="E33998" s="5">
        <v>103.2</v>
      </c>
      <c r="F33998" s="5">
        <v>206.6</v>
      </c>
      <c r="G33998" s="5">
        <v>103.1</v>
      </c>
      <c r="H33998" s="5">
        <v>102.9</v>
      </c>
      <c r="I33998" s="5">
        <v>0</v>
      </c>
      <c r="J33998" s="5">
        <v>0</v>
      </c>
      <c r="K33998" s="5">
        <v>0</v>
      </c>
    </row>
    <row r="33999" spans="1:11" x14ac:dyDescent="0.25">
      <c r="A33999" s="5">
        <f>33992</f>
      </c>
      <c r="B33999" s="5" t="s">
        <v>34007</v>
      </c>
      <c r="C33999" s="5">
        <v>103.1</v>
      </c>
      <c r="D33999" s="5">
        <v>0.1</v>
      </c>
      <c r="E33999" s="5">
        <v>103.2</v>
      </c>
      <c r="F33999" s="5">
        <v>206.6</v>
      </c>
      <c r="G33999" s="5">
        <v>103.1</v>
      </c>
      <c r="H33999" s="5">
        <v>102.9</v>
      </c>
      <c r="I33999" s="5">
        <v>0</v>
      </c>
      <c r="J33999" s="5">
        <v>0</v>
      </c>
      <c r="K33999" s="5">
        <v>0</v>
      </c>
    </row>
    <row r="34000" spans="1:11" x14ac:dyDescent="0.25">
      <c r="A34000" s="5">
        <f>33993</f>
      </c>
      <c r="B34000" s="5" t="s">
        <v>34008</v>
      </c>
      <c r="C34000" s="5">
        <v>103</v>
      </c>
      <c r="D34000" s="5">
        <v>0.1</v>
      </c>
      <c r="E34000" s="5">
        <v>103.1</v>
      </c>
      <c r="F34000" s="5">
        <v>206.3</v>
      </c>
      <c r="G34000" s="5">
        <v>102.9</v>
      </c>
      <c r="H34000" s="5">
        <v>102.7</v>
      </c>
      <c r="I34000" s="5">
        <v>0</v>
      </c>
      <c r="J34000" s="5">
        <v>0</v>
      </c>
      <c r="K34000" s="5">
        <v>0</v>
      </c>
    </row>
    <row r="34001" spans="1:11" x14ac:dyDescent="0.25">
      <c r="A34001" s="5">
        <f>33994</f>
      </c>
      <c r="B34001" s="5" t="s">
        <v>34009</v>
      </c>
      <c r="C34001" s="5">
        <v>103</v>
      </c>
      <c r="D34001" s="5">
        <v>0.1</v>
      </c>
      <c r="E34001" s="5">
        <v>103.1</v>
      </c>
      <c r="F34001" s="5">
        <v>206.3</v>
      </c>
      <c r="G34001" s="5">
        <v>102.9</v>
      </c>
      <c r="H34001" s="5">
        <v>102.7</v>
      </c>
      <c r="I34001" s="5">
        <v>0</v>
      </c>
      <c r="J34001" s="5">
        <v>0</v>
      </c>
      <c r="K34001" s="5">
        <v>0</v>
      </c>
    </row>
    <row r="34002" spans="1:11" x14ac:dyDescent="0.25">
      <c r="A34002" s="5">
        <f>33995</f>
      </c>
      <c r="B34002" s="5" t="s">
        <v>34010</v>
      </c>
      <c r="C34002" s="5">
        <v>103</v>
      </c>
      <c r="D34002" s="5">
        <v>0.1</v>
      </c>
      <c r="E34002" s="5">
        <v>103.1</v>
      </c>
      <c r="F34002" s="5">
        <v>206.3</v>
      </c>
      <c r="G34002" s="5">
        <v>102.9</v>
      </c>
      <c r="H34002" s="5">
        <v>102.7</v>
      </c>
      <c r="I34002" s="5">
        <v>0</v>
      </c>
      <c r="J34002" s="5">
        <v>0</v>
      </c>
      <c r="K34002" s="5">
        <v>0</v>
      </c>
    </row>
    <row r="34003" spans="1:11" x14ac:dyDescent="0.25">
      <c r="A34003" s="5">
        <f>33996</f>
      </c>
      <c r="B34003" s="5" t="s">
        <v>34011</v>
      </c>
      <c r="C34003" s="5">
        <v>103</v>
      </c>
      <c r="D34003" s="5">
        <v>0.1</v>
      </c>
      <c r="E34003" s="5">
        <v>103.1</v>
      </c>
      <c r="F34003" s="5">
        <v>206.3</v>
      </c>
      <c r="G34003" s="5">
        <v>102.9</v>
      </c>
      <c r="H34003" s="5">
        <v>102.7</v>
      </c>
      <c r="I34003" s="5">
        <v>0</v>
      </c>
      <c r="J34003" s="5">
        <v>0</v>
      </c>
      <c r="K34003" s="5">
        <v>0</v>
      </c>
    </row>
    <row r="34004" spans="1:11" x14ac:dyDescent="0.25">
      <c r="A34004" s="5">
        <f>33997</f>
      </c>
      <c r="B34004" s="5" t="s">
        <v>34012</v>
      </c>
      <c r="C34004" s="5">
        <v>0</v>
      </c>
      <c r="D34004" s="5">
        <v>0</v>
      </c>
      <c r="E34004" s="5">
        <v>0</v>
      </c>
      <c r="F34004" s="5">
        <v>0</v>
      </c>
      <c r="G34004" s="5">
        <v>0</v>
      </c>
      <c r="H34004" s="5">
        <v>0</v>
      </c>
      <c r="I34004" s="5">
        <v>0</v>
      </c>
      <c r="J34004" s="5">
        <v>0</v>
      </c>
      <c r="K34004" s="5">
        <v>0</v>
      </c>
    </row>
    <row r="34005" spans="1:11" x14ac:dyDescent="0.25">
      <c r="A34005" s="5">
        <f>33998</f>
      </c>
      <c r="B34005" s="5" t="s">
        <v>34013</v>
      </c>
      <c r="C34005" s="5">
        <v>102.6</v>
      </c>
      <c r="D34005" s="5">
        <v>0.1</v>
      </c>
      <c r="E34005" s="5">
        <v>102.7</v>
      </c>
      <c r="F34005" s="5">
        <v>205.2</v>
      </c>
      <c r="G34005" s="5">
        <v>102.3</v>
      </c>
      <c r="H34005" s="5">
        <v>102.2</v>
      </c>
      <c r="I34005" s="5">
        <v>0</v>
      </c>
      <c r="J34005" s="5">
        <v>0</v>
      </c>
      <c r="K34005" s="5">
        <v>0</v>
      </c>
    </row>
    <row r="34006" spans="1:11" x14ac:dyDescent="0.25">
      <c r="A34006" s="5">
        <f>33999</f>
      </c>
      <c r="B34006" s="5" t="s">
        <v>34014</v>
      </c>
      <c r="C34006" s="5">
        <v>102.9</v>
      </c>
      <c r="D34006" s="5">
        <v>0.1</v>
      </c>
      <c r="E34006" s="5">
        <v>103</v>
      </c>
      <c r="F34006" s="5">
        <v>205.3</v>
      </c>
      <c r="G34006" s="5">
        <v>102.5</v>
      </c>
      <c r="H34006" s="5">
        <v>102.4</v>
      </c>
      <c r="I34006" s="5">
        <v>0</v>
      </c>
      <c r="J34006" s="5">
        <v>0</v>
      </c>
      <c r="K34006" s="5">
        <v>0</v>
      </c>
    </row>
    <row r="34007" spans="1:11" x14ac:dyDescent="0.25">
      <c r="A34007" s="5">
        <f>34000</f>
      </c>
      <c r="B34007" s="5" t="s">
        <v>34015</v>
      </c>
      <c r="C34007" s="5">
        <v>102.9</v>
      </c>
      <c r="D34007" s="5">
        <v>0.1</v>
      </c>
      <c r="E34007" s="5">
        <v>103</v>
      </c>
      <c r="F34007" s="5">
        <v>205.3</v>
      </c>
      <c r="G34007" s="5">
        <v>102.5</v>
      </c>
      <c r="H34007" s="5">
        <v>102.4</v>
      </c>
      <c r="I34007" s="5">
        <v>0</v>
      </c>
      <c r="J34007" s="5">
        <v>0</v>
      </c>
      <c r="K34007" s="5">
        <v>0</v>
      </c>
    </row>
    <row r="34008" spans="1:11" x14ac:dyDescent="0.25">
      <c r="A34008" s="5">
        <f>34001</f>
      </c>
      <c r="B34008" s="5" t="s">
        <v>34016</v>
      </c>
      <c r="C34008" s="5">
        <v>105</v>
      </c>
      <c r="D34008" s="5">
        <v>0.1</v>
      </c>
      <c r="E34008" s="5">
        <v>105.1</v>
      </c>
      <c r="F34008" s="5">
        <v>209.7</v>
      </c>
      <c r="G34008" s="5">
        <v>104.6</v>
      </c>
      <c r="H34008" s="5">
        <v>104.5</v>
      </c>
      <c r="I34008" s="5">
        <v>0</v>
      </c>
      <c r="J34008" s="5">
        <v>0</v>
      </c>
      <c r="K34008" s="5">
        <v>0</v>
      </c>
    </row>
    <row r="34009" spans="1:11" x14ac:dyDescent="0.25">
      <c r="A34009" s="5">
        <f>34002</f>
      </c>
      <c r="B34009" s="5" t="s">
        <v>34017</v>
      </c>
      <c r="C34009" s="5">
        <v>105</v>
      </c>
      <c r="D34009" s="5">
        <v>0.1</v>
      </c>
      <c r="E34009" s="5">
        <v>105.1</v>
      </c>
      <c r="F34009" s="5">
        <v>209.7</v>
      </c>
      <c r="G34009" s="5">
        <v>104.6</v>
      </c>
      <c r="H34009" s="5">
        <v>104.5</v>
      </c>
      <c r="I34009" s="5">
        <v>0</v>
      </c>
      <c r="J34009" s="5">
        <v>0</v>
      </c>
      <c r="K34009" s="5">
        <v>0</v>
      </c>
    </row>
    <row r="34010" spans="1:11" x14ac:dyDescent="0.25">
      <c r="A34010" s="5">
        <f>34003</f>
      </c>
      <c r="B34010" s="5" t="s">
        <v>34018</v>
      </c>
      <c r="C34010" s="5">
        <v>105</v>
      </c>
      <c r="D34010" s="5">
        <v>0.1</v>
      </c>
      <c r="E34010" s="5">
        <v>105.1</v>
      </c>
      <c r="F34010" s="5">
        <v>209.7</v>
      </c>
      <c r="G34010" s="5">
        <v>104.6</v>
      </c>
      <c r="H34010" s="5">
        <v>104.5</v>
      </c>
      <c r="I34010" s="5">
        <v>0</v>
      </c>
      <c r="J34010" s="5">
        <v>0</v>
      </c>
      <c r="K34010" s="5">
        <v>0</v>
      </c>
    </row>
    <row r="34011" spans="1:11" x14ac:dyDescent="0.25">
      <c r="A34011" s="5">
        <f>34004</f>
      </c>
      <c r="B34011" s="5" t="s">
        <v>34019</v>
      </c>
      <c r="C34011" s="5">
        <v>105</v>
      </c>
      <c r="D34011" s="5">
        <v>0.1</v>
      </c>
      <c r="E34011" s="5">
        <v>105.1</v>
      </c>
      <c r="F34011" s="5">
        <v>209.7</v>
      </c>
      <c r="G34011" s="5">
        <v>104.6</v>
      </c>
      <c r="H34011" s="5">
        <v>104.5</v>
      </c>
      <c r="I34011" s="5">
        <v>0</v>
      </c>
      <c r="J34011" s="5">
        <v>0</v>
      </c>
      <c r="K34011" s="5">
        <v>0</v>
      </c>
    </row>
    <row r="34012" spans="1:11" x14ac:dyDescent="0.25">
      <c r="A34012" s="5">
        <f>34005</f>
      </c>
      <c r="B34012" s="5" t="s">
        <v>34020</v>
      </c>
      <c r="C34012" s="5">
        <v>105</v>
      </c>
      <c r="D34012" s="5">
        <v>0.1</v>
      </c>
      <c r="E34012" s="5">
        <v>105</v>
      </c>
      <c r="F34012" s="5">
        <v>210.2</v>
      </c>
      <c r="G34012" s="5">
        <v>104.9</v>
      </c>
      <c r="H34012" s="5">
        <v>104.7</v>
      </c>
      <c r="I34012" s="5">
        <v>0</v>
      </c>
      <c r="J34012" s="5">
        <v>0</v>
      </c>
      <c r="K34012" s="5">
        <v>0</v>
      </c>
    </row>
    <row r="34013" spans="1:11" x14ac:dyDescent="0.25">
      <c r="A34013" s="5">
        <f>34006</f>
      </c>
      <c r="B34013" s="5" t="s">
        <v>34021</v>
      </c>
      <c r="C34013" s="5">
        <v>105</v>
      </c>
      <c r="D34013" s="5">
        <v>0.1</v>
      </c>
      <c r="E34013" s="5">
        <v>105</v>
      </c>
      <c r="F34013" s="5">
        <v>210.2</v>
      </c>
      <c r="G34013" s="5">
        <v>104.9</v>
      </c>
      <c r="H34013" s="5">
        <v>104.7</v>
      </c>
      <c r="I34013" s="5">
        <v>0</v>
      </c>
      <c r="J34013" s="5">
        <v>0</v>
      </c>
      <c r="K34013" s="5">
        <v>0</v>
      </c>
    </row>
    <row r="34014" spans="1:11" x14ac:dyDescent="0.25">
      <c r="A34014" s="5">
        <f>34007</f>
      </c>
      <c r="B34014" s="5" t="s">
        <v>34022</v>
      </c>
      <c r="C34014" s="5">
        <v>105</v>
      </c>
      <c r="D34014" s="5">
        <v>0.1</v>
      </c>
      <c r="E34014" s="5">
        <v>105.2</v>
      </c>
      <c r="F34014" s="5">
        <v>210.3</v>
      </c>
      <c r="G34014" s="5">
        <v>104.9</v>
      </c>
      <c r="H34014" s="5">
        <v>104.8</v>
      </c>
      <c r="I34014" s="5">
        <v>0</v>
      </c>
      <c r="J34014" s="5">
        <v>0</v>
      </c>
      <c r="K34014" s="5">
        <v>0</v>
      </c>
    </row>
    <row r="34015" spans="1:11" x14ac:dyDescent="0.25">
      <c r="A34015" s="5">
        <f>34008</f>
      </c>
      <c r="B34015" s="5" t="s">
        <v>34023</v>
      </c>
      <c r="C34015" s="5">
        <v>105</v>
      </c>
      <c r="D34015" s="5">
        <v>0.1</v>
      </c>
      <c r="E34015" s="5">
        <v>105.2</v>
      </c>
      <c r="F34015" s="5">
        <v>210.3</v>
      </c>
      <c r="G34015" s="5">
        <v>104.9</v>
      </c>
      <c r="H34015" s="5">
        <v>104.8</v>
      </c>
      <c r="I34015" s="5">
        <v>0</v>
      </c>
      <c r="J34015" s="5">
        <v>0</v>
      </c>
      <c r="K34015" s="5">
        <v>0</v>
      </c>
    </row>
    <row r="34016" spans="1:11" x14ac:dyDescent="0.25">
      <c r="A34016" s="5">
        <f>34009</f>
      </c>
      <c r="B34016" s="5" t="s">
        <v>34024</v>
      </c>
      <c r="C34016" s="5">
        <v>105.4</v>
      </c>
      <c r="D34016" s="5">
        <v>0.1</v>
      </c>
      <c r="E34016" s="5">
        <v>105.6</v>
      </c>
      <c r="F34016" s="5">
        <v>210.3</v>
      </c>
      <c r="G34016" s="5">
        <v>104.9</v>
      </c>
      <c r="H34016" s="5">
        <v>104.8</v>
      </c>
      <c r="I34016" s="5">
        <v>0</v>
      </c>
      <c r="J34016" s="5">
        <v>0</v>
      </c>
      <c r="K34016" s="5">
        <v>0</v>
      </c>
    </row>
    <row r="34017" spans="1:11" x14ac:dyDescent="0.25">
      <c r="A34017" s="5">
        <f>34010</f>
      </c>
      <c r="B34017" s="5" t="s">
        <v>34025</v>
      </c>
      <c r="C34017" s="5">
        <v>105.4</v>
      </c>
      <c r="D34017" s="5">
        <v>0.1</v>
      </c>
      <c r="E34017" s="5">
        <v>105.6</v>
      </c>
      <c r="F34017" s="5">
        <v>210.3</v>
      </c>
      <c r="G34017" s="5">
        <v>104.9</v>
      </c>
      <c r="H34017" s="5">
        <v>104.8</v>
      </c>
      <c r="I34017" s="5">
        <v>0</v>
      </c>
      <c r="J34017" s="5">
        <v>0</v>
      </c>
      <c r="K34017" s="5">
        <v>0</v>
      </c>
    </row>
    <row r="34018" spans="1:11" x14ac:dyDescent="0.25">
      <c r="A34018" s="5">
        <f>34011</f>
      </c>
      <c r="B34018" s="5" t="s">
        <v>34026</v>
      </c>
      <c r="C34018" s="5">
        <v>105.6</v>
      </c>
      <c r="D34018" s="5">
        <v>0.1</v>
      </c>
      <c r="E34018" s="5">
        <v>105.7</v>
      </c>
      <c r="F34018" s="5">
        <v>210.2</v>
      </c>
      <c r="G34018" s="5">
        <v>104.9</v>
      </c>
      <c r="H34018" s="5">
        <v>104.7</v>
      </c>
      <c r="I34018" s="5">
        <v>0</v>
      </c>
      <c r="J34018" s="5">
        <v>0</v>
      </c>
      <c r="K34018" s="5">
        <v>0</v>
      </c>
    </row>
    <row r="34019" spans="1:11" x14ac:dyDescent="0.25">
      <c r="A34019" s="5">
        <f>34012</f>
      </c>
      <c r="B34019" s="5" t="s">
        <v>34027</v>
      </c>
      <c r="C34019" s="5">
        <v>105.6</v>
      </c>
      <c r="D34019" s="5">
        <v>0.1</v>
      </c>
      <c r="E34019" s="5">
        <v>105.7</v>
      </c>
      <c r="F34019" s="5">
        <v>210.2</v>
      </c>
      <c r="G34019" s="5">
        <v>104.9</v>
      </c>
      <c r="H34019" s="5">
        <v>104.7</v>
      </c>
      <c r="I34019" s="5">
        <v>0</v>
      </c>
      <c r="J34019" s="5">
        <v>0</v>
      </c>
      <c r="K34019" s="5">
        <v>0</v>
      </c>
    </row>
    <row r="34020" spans="1:11" x14ac:dyDescent="0.25">
      <c r="A34020" s="5">
        <f>34013</f>
      </c>
      <c r="B34020" s="5" t="s">
        <v>34028</v>
      </c>
      <c r="C34020" s="5">
        <v>105.6</v>
      </c>
      <c r="D34020" s="5">
        <v>0.1</v>
      </c>
      <c r="E34020" s="5">
        <v>105.7</v>
      </c>
      <c r="F34020" s="5">
        <v>210.2</v>
      </c>
      <c r="G34020" s="5">
        <v>104.9</v>
      </c>
      <c r="H34020" s="5">
        <v>104.7</v>
      </c>
      <c r="I34020" s="5">
        <v>0</v>
      </c>
      <c r="J34020" s="5">
        <v>0</v>
      </c>
      <c r="K34020" s="5">
        <v>0</v>
      </c>
    </row>
    <row r="34021" spans="1:11" x14ac:dyDescent="0.25">
      <c r="A34021" s="5">
        <f>34014</f>
      </c>
      <c r="B34021" s="5" t="s">
        <v>34029</v>
      </c>
      <c r="C34021" s="5">
        <v>105.6</v>
      </c>
      <c r="D34021" s="5">
        <v>0.1</v>
      </c>
      <c r="E34021" s="5">
        <v>105.7</v>
      </c>
      <c r="F34021" s="5">
        <v>210.2</v>
      </c>
      <c r="G34021" s="5">
        <v>104.9</v>
      </c>
      <c r="H34021" s="5">
        <v>104.7</v>
      </c>
      <c r="I34021" s="5">
        <v>0</v>
      </c>
      <c r="J34021" s="5">
        <v>0</v>
      </c>
      <c r="K34021" s="5">
        <v>0</v>
      </c>
    </row>
    <row r="34022" spans="1:11" x14ac:dyDescent="0.25">
      <c r="A34022" s="5">
        <f>34015</f>
      </c>
      <c r="B34022" s="5" t="s">
        <v>34030</v>
      </c>
      <c r="C34022" s="5">
        <v>105.6</v>
      </c>
      <c r="D34022" s="5">
        <v>0.1</v>
      </c>
      <c r="E34022" s="5">
        <v>105.7</v>
      </c>
      <c r="F34022" s="5">
        <v>210.9</v>
      </c>
      <c r="G34022" s="5">
        <v>105.3</v>
      </c>
      <c r="H34022" s="5">
        <v>105.1</v>
      </c>
      <c r="I34022" s="5">
        <v>0</v>
      </c>
      <c r="J34022" s="5">
        <v>0</v>
      </c>
      <c r="K34022" s="5">
        <v>0</v>
      </c>
    </row>
    <row r="34023" spans="1:11" x14ac:dyDescent="0.25">
      <c r="A34023" s="5">
        <f>34016</f>
      </c>
      <c r="B34023" s="5" t="s">
        <v>34031</v>
      </c>
      <c r="C34023" s="5">
        <v>105.6</v>
      </c>
      <c r="D34023" s="5">
        <v>0.1</v>
      </c>
      <c r="E34023" s="5">
        <v>105.7</v>
      </c>
      <c r="F34023" s="5">
        <v>210.9</v>
      </c>
      <c r="G34023" s="5">
        <v>105.3</v>
      </c>
      <c r="H34023" s="5">
        <v>105.1</v>
      </c>
      <c r="I34023" s="5">
        <v>0</v>
      </c>
      <c r="J34023" s="5">
        <v>0</v>
      </c>
      <c r="K34023" s="5">
        <v>0</v>
      </c>
    </row>
    <row r="34024" spans="1:11" x14ac:dyDescent="0.25">
      <c r="A34024" s="5">
        <f>34017</f>
      </c>
      <c r="B34024" s="5" t="s">
        <v>34032</v>
      </c>
      <c r="C34024" s="5">
        <v>105.5</v>
      </c>
      <c r="D34024" s="5">
        <v>0.1</v>
      </c>
      <c r="E34024" s="5">
        <v>105.6</v>
      </c>
      <c r="F34024" s="5">
        <v>210.6</v>
      </c>
      <c r="G34024" s="5">
        <v>105.1</v>
      </c>
      <c r="H34024" s="5">
        <v>104.9</v>
      </c>
      <c r="I34024" s="5">
        <v>0</v>
      </c>
      <c r="J34024" s="5">
        <v>0</v>
      </c>
      <c r="K34024" s="5">
        <v>0</v>
      </c>
    </row>
    <row r="34025" spans="1:11" x14ac:dyDescent="0.25">
      <c r="A34025" s="5">
        <f>34018</f>
      </c>
      <c r="B34025" s="5" t="s">
        <v>34033</v>
      </c>
      <c r="C34025" s="5">
        <v>105.5</v>
      </c>
      <c r="D34025" s="5">
        <v>0.1</v>
      </c>
      <c r="E34025" s="5">
        <v>105.6</v>
      </c>
      <c r="F34025" s="5">
        <v>210.6</v>
      </c>
      <c r="G34025" s="5">
        <v>105.1</v>
      </c>
      <c r="H34025" s="5">
        <v>104.9</v>
      </c>
      <c r="I34025" s="5">
        <v>0</v>
      </c>
      <c r="J34025" s="5">
        <v>0</v>
      </c>
      <c r="K34025" s="5">
        <v>0</v>
      </c>
    </row>
    <row r="34026" spans="1:11" x14ac:dyDescent="0.25">
      <c r="A34026" s="5">
        <f>34019</f>
      </c>
      <c r="B34026" s="5" t="s">
        <v>34034</v>
      </c>
      <c r="C34026" s="5">
        <v>105.7</v>
      </c>
      <c r="D34026" s="5">
        <v>0.1</v>
      </c>
      <c r="E34026" s="5">
        <v>105.9</v>
      </c>
      <c r="F34026" s="5">
        <v>211</v>
      </c>
      <c r="G34026" s="5">
        <v>105.2</v>
      </c>
      <c r="H34026" s="5">
        <v>105.1</v>
      </c>
      <c r="I34026" s="5">
        <v>0</v>
      </c>
      <c r="J34026" s="5">
        <v>0</v>
      </c>
      <c r="K34026" s="5">
        <v>0</v>
      </c>
    </row>
    <row r="34027" spans="1:11" x14ac:dyDescent="0.25">
      <c r="A34027" s="5">
        <f>34020</f>
      </c>
      <c r="B34027" s="5" t="s">
        <v>34035</v>
      </c>
      <c r="C34027" s="5">
        <v>105.7</v>
      </c>
      <c r="D34027" s="5">
        <v>0.1</v>
      </c>
      <c r="E34027" s="5">
        <v>105.9</v>
      </c>
      <c r="F34027" s="5">
        <v>211</v>
      </c>
      <c r="G34027" s="5">
        <v>105.2</v>
      </c>
      <c r="H34027" s="5">
        <v>105.1</v>
      </c>
      <c r="I34027" s="5">
        <v>0</v>
      </c>
      <c r="J34027" s="5">
        <v>0</v>
      </c>
      <c r="K34027" s="5">
        <v>0</v>
      </c>
    </row>
    <row r="34028" spans="1:11" x14ac:dyDescent="0.25">
      <c r="A34028" s="5">
        <f>34021</f>
      </c>
      <c r="B34028" s="5" t="s">
        <v>34036</v>
      </c>
      <c r="C34028" s="5">
        <v>105.6</v>
      </c>
      <c r="D34028" s="5">
        <v>0.1</v>
      </c>
      <c r="E34028" s="5">
        <v>105.7</v>
      </c>
      <c r="F34028" s="5">
        <v>210.7</v>
      </c>
      <c r="G34028" s="5">
        <v>105.1</v>
      </c>
      <c r="H34028" s="5">
        <v>104.9</v>
      </c>
      <c r="I34028" s="5">
        <v>0</v>
      </c>
      <c r="J34028" s="5">
        <v>0</v>
      </c>
      <c r="K34028" s="5">
        <v>0</v>
      </c>
    </row>
    <row r="34029" spans="1:11" x14ac:dyDescent="0.25">
      <c r="A34029" s="5">
        <f>34022</f>
      </c>
      <c r="B34029" s="5" t="s">
        <v>34037</v>
      </c>
      <c r="C34029" s="5">
        <v>105.6</v>
      </c>
      <c r="D34029" s="5">
        <v>0.1</v>
      </c>
      <c r="E34029" s="5">
        <v>105.7</v>
      </c>
      <c r="F34029" s="5">
        <v>210.7</v>
      </c>
      <c r="G34029" s="5">
        <v>105.1</v>
      </c>
      <c r="H34029" s="5">
        <v>104.9</v>
      </c>
      <c r="I34029" s="5">
        <v>0</v>
      </c>
      <c r="J34029" s="5">
        <v>0</v>
      </c>
      <c r="K34029" s="5">
        <v>0</v>
      </c>
    </row>
    <row r="34030" spans="1:11" x14ac:dyDescent="0.25">
      <c r="A34030" s="5">
        <f>34023</f>
      </c>
      <c r="B34030" s="5" t="s">
        <v>34038</v>
      </c>
      <c r="C34030" s="5">
        <v>105.6</v>
      </c>
      <c r="D34030" s="5">
        <v>0.1</v>
      </c>
      <c r="E34030" s="5">
        <v>105.7</v>
      </c>
      <c r="F34030" s="5">
        <v>210.7</v>
      </c>
      <c r="G34030" s="5">
        <v>105.1</v>
      </c>
      <c r="H34030" s="5">
        <v>104.9</v>
      </c>
      <c r="I34030" s="5">
        <v>0</v>
      </c>
      <c r="J34030" s="5">
        <v>0</v>
      </c>
      <c r="K34030" s="5">
        <v>0</v>
      </c>
    </row>
    <row r="34031" spans="1:11" x14ac:dyDescent="0.25">
      <c r="A34031" s="5">
        <f>34024</f>
      </c>
      <c r="B34031" s="5" t="s">
        <v>34039</v>
      </c>
      <c r="C34031" s="5">
        <v>105.6</v>
      </c>
      <c r="D34031" s="5">
        <v>0.1</v>
      </c>
      <c r="E34031" s="5">
        <v>105.7</v>
      </c>
      <c r="F34031" s="5">
        <v>210.7</v>
      </c>
      <c r="G34031" s="5">
        <v>105.1</v>
      </c>
      <c r="H34031" s="5">
        <v>104.9</v>
      </c>
      <c r="I34031" s="5">
        <v>0</v>
      </c>
      <c r="J34031" s="5">
        <v>0</v>
      </c>
      <c r="K34031" s="5">
        <v>0</v>
      </c>
    </row>
    <row r="34032" spans="1:11" x14ac:dyDescent="0.25">
      <c r="A34032" s="5">
        <f>34025</f>
      </c>
      <c r="B34032" s="5" t="s">
        <v>34040</v>
      </c>
      <c r="C34032" s="5">
        <v>105.3</v>
      </c>
      <c r="D34032" s="5">
        <v>0.1</v>
      </c>
      <c r="E34032" s="5">
        <v>105.4</v>
      </c>
      <c r="F34032" s="5">
        <v>210.3</v>
      </c>
      <c r="G34032" s="5">
        <v>105</v>
      </c>
      <c r="H34032" s="5">
        <v>104.8</v>
      </c>
      <c r="I34032" s="5">
        <v>0</v>
      </c>
      <c r="J34032" s="5">
        <v>0</v>
      </c>
      <c r="K34032" s="5">
        <v>0</v>
      </c>
    </row>
    <row r="34033" spans="1:11" x14ac:dyDescent="0.25">
      <c r="A34033" s="5">
        <f>34026</f>
      </c>
      <c r="B34033" s="5" t="s">
        <v>34041</v>
      </c>
      <c r="C34033" s="5">
        <v>105.3</v>
      </c>
      <c r="D34033" s="5">
        <v>0.1</v>
      </c>
      <c r="E34033" s="5">
        <v>105.4</v>
      </c>
      <c r="F34033" s="5">
        <v>210.3</v>
      </c>
      <c r="G34033" s="5">
        <v>105</v>
      </c>
      <c r="H34033" s="5">
        <v>104.8</v>
      </c>
      <c r="I34033" s="5">
        <v>0</v>
      </c>
      <c r="J34033" s="5">
        <v>0</v>
      </c>
      <c r="K34033" s="5">
        <v>0</v>
      </c>
    </row>
    <row r="34034" spans="1:11" x14ac:dyDescent="0.25">
      <c r="A34034" s="5">
        <f>34027</f>
      </c>
      <c r="B34034" s="5" t="s">
        <v>34042</v>
      </c>
      <c r="C34034" s="5">
        <v>105</v>
      </c>
      <c r="D34034" s="5">
        <v>0.1</v>
      </c>
      <c r="E34034" s="5">
        <v>105.2</v>
      </c>
      <c r="F34034" s="5">
        <v>210.2</v>
      </c>
      <c r="G34034" s="5">
        <v>104.9</v>
      </c>
      <c r="H34034" s="5">
        <v>104.8</v>
      </c>
      <c r="I34034" s="5">
        <v>0</v>
      </c>
      <c r="J34034" s="5">
        <v>0</v>
      </c>
      <c r="K34034" s="5">
        <v>0</v>
      </c>
    </row>
    <row r="34035" spans="1:11" x14ac:dyDescent="0.25">
      <c r="A34035" s="5">
        <f>34028</f>
      </c>
      <c r="B34035" s="5" t="s">
        <v>34043</v>
      </c>
      <c r="C34035" s="5">
        <v>105</v>
      </c>
      <c r="D34035" s="5">
        <v>0.1</v>
      </c>
      <c r="E34035" s="5">
        <v>105.2</v>
      </c>
      <c r="F34035" s="5">
        <v>210.2</v>
      </c>
      <c r="G34035" s="5">
        <v>104.9</v>
      </c>
      <c r="H34035" s="5">
        <v>104.8</v>
      </c>
      <c r="I34035" s="5">
        <v>0</v>
      </c>
      <c r="J34035" s="5">
        <v>0</v>
      </c>
      <c r="K34035" s="5">
        <v>0</v>
      </c>
    </row>
    <row r="34036" spans="1:11" x14ac:dyDescent="0.25">
      <c r="A34036" s="5">
        <f>34029</f>
      </c>
      <c r="B34036" s="5" t="s">
        <v>34044</v>
      </c>
      <c r="C34036" s="5">
        <v>104.5</v>
      </c>
      <c r="D34036" s="5">
        <v>0.1</v>
      </c>
      <c r="E34036" s="5">
        <v>104.6</v>
      </c>
      <c r="F34036" s="5">
        <v>209.2</v>
      </c>
      <c r="G34036" s="5">
        <v>104.4</v>
      </c>
      <c r="H34036" s="5">
        <v>104.2</v>
      </c>
      <c r="I34036" s="5">
        <v>0</v>
      </c>
      <c r="J34036" s="5">
        <v>0</v>
      </c>
      <c r="K34036" s="5">
        <v>0</v>
      </c>
    </row>
    <row r="34037" spans="1:11" x14ac:dyDescent="0.25">
      <c r="A34037" s="5">
        <f>34030</f>
      </c>
      <c r="B34037" s="5" t="s">
        <v>34045</v>
      </c>
      <c r="C34037" s="5">
        <v>104.5</v>
      </c>
      <c r="D34037" s="5">
        <v>0.1</v>
      </c>
      <c r="E34037" s="5">
        <v>104.6</v>
      </c>
      <c r="F34037" s="5">
        <v>209.2</v>
      </c>
      <c r="G34037" s="5">
        <v>104.4</v>
      </c>
      <c r="H34037" s="5">
        <v>104.2</v>
      </c>
      <c r="I34037" s="5">
        <v>0</v>
      </c>
      <c r="J34037" s="5">
        <v>0</v>
      </c>
      <c r="K34037" s="5">
        <v>0</v>
      </c>
    </row>
    <row r="34038" spans="1:11" x14ac:dyDescent="0.25">
      <c r="A34038" s="5">
        <f>34031</f>
      </c>
      <c r="B34038" s="5" t="s">
        <v>34046</v>
      </c>
      <c r="C34038" s="5">
        <v>104.9</v>
      </c>
      <c r="D34038" s="5">
        <v>0.1</v>
      </c>
      <c r="E34038" s="5">
        <v>105.1</v>
      </c>
      <c r="F34038" s="5">
        <v>209.8</v>
      </c>
      <c r="G34038" s="5">
        <v>104.7</v>
      </c>
      <c r="H34038" s="5">
        <v>104.5</v>
      </c>
      <c r="I34038" s="5">
        <v>0</v>
      </c>
      <c r="J34038" s="5">
        <v>0</v>
      </c>
      <c r="K34038" s="5">
        <v>0</v>
      </c>
    </row>
    <row r="34039" spans="1:11" x14ac:dyDescent="0.25">
      <c r="A34039" s="5">
        <f>34032</f>
      </c>
      <c r="B34039" s="5" t="s">
        <v>34047</v>
      </c>
      <c r="C34039" s="5">
        <v>104.9</v>
      </c>
      <c r="D34039" s="5">
        <v>0.1</v>
      </c>
      <c r="E34039" s="5">
        <v>105.1</v>
      </c>
      <c r="F34039" s="5">
        <v>209.8</v>
      </c>
      <c r="G34039" s="5">
        <v>104.7</v>
      </c>
      <c r="H34039" s="5">
        <v>104.5</v>
      </c>
      <c r="I34039" s="5">
        <v>0</v>
      </c>
      <c r="J34039" s="5">
        <v>0</v>
      </c>
      <c r="K34039" s="5">
        <v>0</v>
      </c>
    </row>
    <row r="34040" spans="1:11" x14ac:dyDescent="0.25">
      <c r="A34040" s="5">
        <f>34033</f>
      </c>
      <c r="B34040" s="5" t="s">
        <v>34048</v>
      </c>
      <c r="C34040" s="5">
        <v>104.9</v>
      </c>
      <c r="D34040" s="5">
        <v>0.1</v>
      </c>
      <c r="E34040" s="5">
        <v>105.1</v>
      </c>
      <c r="F34040" s="5">
        <v>209.8</v>
      </c>
      <c r="G34040" s="5">
        <v>104.7</v>
      </c>
      <c r="H34040" s="5">
        <v>104.5</v>
      </c>
      <c r="I34040" s="5">
        <v>0</v>
      </c>
      <c r="J34040" s="5">
        <v>0</v>
      </c>
      <c r="K34040" s="5">
        <v>0</v>
      </c>
    </row>
    <row r="34041" spans="1:11" x14ac:dyDescent="0.25">
      <c r="A34041" s="5">
        <f>34034</f>
      </c>
      <c r="B34041" s="5" t="s">
        <v>34049</v>
      </c>
      <c r="C34041" s="5">
        <v>104.9</v>
      </c>
      <c r="D34041" s="5">
        <v>0.1</v>
      </c>
      <c r="E34041" s="5">
        <v>105.1</v>
      </c>
      <c r="F34041" s="5">
        <v>209.8</v>
      </c>
      <c r="G34041" s="5">
        <v>104.7</v>
      </c>
      <c r="H34041" s="5">
        <v>104.5</v>
      </c>
      <c r="I34041" s="5">
        <v>0</v>
      </c>
      <c r="J34041" s="5">
        <v>0</v>
      </c>
      <c r="K34041" s="5">
        <v>0</v>
      </c>
    </row>
    <row r="34042" spans="1:11" x14ac:dyDescent="0.25">
      <c r="A34042" s="5">
        <f>34035</f>
      </c>
      <c r="B34042" s="5" t="s">
        <v>34050</v>
      </c>
      <c r="C34042" s="5">
        <v>105.6</v>
      </c>
      <c r="D34042" s="5">
        <v>0.1</v>
      </c>
      <c r="E34042" s="5">
        <v>105.6</v>
      </c>
      <c r="F34042" s="5">
        <v>210.2</v>
      </c>
      <c r="G34042" s="5">
        <v>104.9</v>
      </c>
      <c r="H34042" s="5">
        <v>104.7</v>
      </c>
      <c r="I34042" s="5">
        <v>0</v>
      </c>
      <c r="J34042" s="5">
        <v>0</v>
      </c>
      <c r="K34042" s="5">
        <v>0</v>
      </c>
    </row>
    <row r="34043" spans="1:11" x14ac:dyDescent="0.25">
      <c r="A34043" s="5">
        <f>34036</f>
      </c>
      <c r="B34043" s="5" t="s">
        <v>34051</v>
      </c>
      <c r="C34043" s="5">
        <v>105.6</v>
      </c>
      <c r="D34043" s="5">
        <v>0.1</v>
      </c>
      <c r="E34043" s="5">
        <v>105.6</v>
      </c>
      <c r="F34043" s="5">
        <v>210.2</v>
      </c>
      <c r="G34043" s="5">
        <v>104.9</v>
      </c>
      <c r="H34043" s="5">
        <v>104.7</v>
      </c>
      <c r="I34043" s="5">
        <v>0</v>
      </c>
      <c r="J34043" s="5">
        <v>0</v>
      </c>
      <c r="K34043" s="5">
        <v>0</v>
      </c>
    </row>
    <row r="34044" spans="1:11" x14ac:dyDescent="0.25">
      <c r="A34044" s="5">
        <f>34037</f>
      </c>
      <c r="B34044" s="5" t="s">
        <v>34052</v>
      </c>
      <c r="C34044" s="5">
        <v>105.5</v>
      </c>
      <c r="D34044" s="5">
        <v>0.1</v>
      </c>
      <c r="E34044" s="5">
        <v>105.6</v>
      </c>
      <c r="F34044" s="5">
        <v>210.3</v>
      </c>
      <c r="G34044" s="5">
        <v>104.9</v>
      </c>
      <c r="H34044" s="5">
        <v>104.8</v>
      </c>
      <c r="I34044" s="5">
        <v>0</v>
      </c>
      <c r="J34044" s="5">
        <v>0</v>
      </c>
      <c r="K34044" s="5">
        <v>0</v>
      </c>
    </row>
    <row r="34045" spans="1:11" x14ac:dyDescent="0.25">
      <c r="A34045" s="5">
        <f>34038</f>
      </c>
      <c r="B34045" s="5" t="s">
        <v>34053</v>
      </c>
      <c r="C34045" s="5">
        <v>105.5</v>
      </c>
      <c r="D34045" s="5">
        <v>0.1</v>
      </c>
      <c r="E34045" s="5">
        <v>105.6</v>
      </c>
      <c r="F34045" s="5">
        <v>210.3</v>
      </c>
      <c r="G34045" s="5">
        <v>104.9</v>
      </c>
      <c r="H34045" s="5">
        <v>104.8</v>
      </c>
      <c r="I34045" s="5">
        <v>0</v>
      </c>
      <c r="J34045" s="5">
        <v>0</v>
      </c>
      <c r="K34045" s="5">
        <v>0</v>
      </c>
    </row>
    <row r="34046" spans="1:11" x14ac:dyDescent="0.25">
      <c r="A34046" s="5">
        <f>34039</f>
      </c>
      <c r="B34046" s="5" t="s">
        <v>34054</v>
      </c>
      <c r="C34046" s="5">
        <v>105.1</v>
      </c>
      <c r="D34046" s="5">
        <v>0.1</v>
      </c>
      <c r="E34046" s="5">
        <v>105.3</v>
      </c>
      <c r="F34046" s="5">
        <v>211.1</v>
      </c>
      <c r="G34046" s="5">
        <v>105.3</v>
      </c>
      <c r="H34046" s="5">
        <v>105</v>
      </c>
      <c r="I34046" s="5">
        <v>0</v>
      </c>
      <c r="J34046" s="5">
        <v>0</v>
      </c>
      <c r="K34046" s="5">
        <v>0</v>
      </c>
    </row>
    <row r="34047" spans="1:11" x14ac:dyDescent="0.25">
      <c r="A34047" s="5">
        <f>34040</f>
      </c>
      <c r="B34047" s="5" t="s">
        <v>34055</v>
      </c>
      <c r="C34047" s="5">
        <v>105.1</v>
      </c>
      <c r="D34047" s="5">
        <v>0.1</v>
      </c>
      <c r="E34047" s="5">
        <v>105.3</v>
      </c>
      <c r="F34047" s="5">
        <v>211.1</v>
      </c>
      <c r="G34047" s="5">
        <v>105.3</v>
      </c>
      <c r="H34047" s="5">
        <v>105</v>
      </c>
      <c r="I34047" s="5">
        <v>0</v>
      </c>
      <c r="J34047" s="5">
        <v>0</v>
      </c>
      <c r="K34047" s="5">
        <v>0</v>
      </c>
    </row>
    <row r="34048" spans="1:11" x14ac:dyDescent="0.25">
      <c r="A34048" s="5">
        <f>34041</f>
      </c>
      <c r="B34048" s="5" t="s">
        <v>34056</v>
      </c>
      <c r="C34048" s="5">
        <v>105.3</v>
      </c>
      <c r="D34048" s="5">
        <v>0.1</v>
      </c>
      <c r="E34048" s="5">
        <v>105.5</v>
      </c>
      <c r="F34048" s="5">
        <v>210.6</v>
      </c>
      <c r="G34048" s="5">
        <v>105</v>
      </c>
      <c r="H34048" s="5">
        <v>104.9</v>
      </c>
      <c r="I34048" s="5">
        <v>0</v>
      </c>
      <c r="J34048" s="5">
        <v>0</v>
      </c>
      <c r="K34048" s="5">
        <v>0</v>
      </c>
    </row>
    <row r="34049" spans="1:11" x14ac:dyDescent="0.25">
      <c r="A34049" s="5">
        <f>34042</f>
      </c>
      <c r="B34049" s="5" t="s">
        <v>34057</v>
      </c>
      <c r="C34049" s="5">
        <v>105.3</v>
      </c>
      <c r="D34049" s="5">
        <v>0.1</v>
      </c>
      <c r="E34049" s="5">
        <v>105.5</v>
      </c>
      <c r="F34049" s="5">
        <v>210.6</v>
      </c>
      <c r="G34049" s="5">
        <v>105</v>
      </c>
      <c r="H34049" s="5">
        <v>104.9</v>
      </c>
      <c r="I34049" s="5">
        <v>0</v>
      </c>
      <c r="J34049" s="5">
        <v>0</v>
      </c>
      <c r="K34049" s="5">
        <v>0</v>
      </c>
    </row>
    <row r="34050" spans="1:11" x14ac:dyDescent="0.25">
      <c r="A34050" s="5">
        <f>34043</f>
      </c>
      <c r="B34050" s="5" t="s">
        <v>34058</v>
      </c>
      <c r="C34050" s="5">
        <v>105.3</v>
      </c>
      <c r="D34050" s="5">
        <v>0.1</v>
      </c>
      <c r="E34050" s="5">
        <v>105.5</v>
      </c>
      <c r="F34050" s="5">
        <v>210.6</v>
      </c>
      <c r="G34050" s="5">
        <v>105</v>
      </c>
      <c r="H34050" s="5">
        <v>104.9</v>
      </c>
      <c r="I34050" s="5">
        <v>0</v>
      </c>
      <c r="J34050" s="5">
        <v>0</v>
      </c>
      <c r="K34050" s="5">
        <v>0</v>
      </c>
    </row>
    <row r="34051" spans="1:11" x14ac:dyDescent="0.25">
      <c r="A34051" s="5">
        <f>34044</f>
      </c>
      <c r="B34051" s="5" t="s">
        <v>34059</v>
      </c>
      <c r="C34051" s="5">
        <v>105.3</v>
      </c>
      <c r="D34051" s="5">
        <v>0.1</v>
      </c>
      <c r="E34051" s="5">
        <v>105.5</v>
      </c>
      <c r="F34051" s="5">
        <v>210.6</v>
      </c>
      <c r="G34051" s="5">
        <v>105</v>
      </c>
      <c r="H34051" s="5">
        <v>104.9</v>
      </c>
      <c r="I34051" s="5">
        <v>0</v>
      </c>
      <c r="J34051" s="5">
        <v>0</v>
      </c>
      <c r="K34051" s="5">
        <v>0</v>
      </c>
    </row>
    <row r="34052" spans="1:11" x14ac:dyDescent="0.25">
      <c r="A34052" s="5">
        <f>34045</f>
      </c>
      <c r="B34052" s="5" t="s">
        <v>34060</v>
      </c>
      <c r="C34052" s="5">
        <v>105.3</v>
      </c>
      <c r="D34052" s="5">
        <v>0.1</v>
      </c>
      <c r="E34052" s="5">
        <v>105.4</v>
      </c>
      <c r="F34052" s="5">
        <v>210</v>
      </c>
      <c r="G34052" s="5">
        <v>104.8</v>
      </c>
      <c r="H34052" s="5">
        <v>104.6</v>
      </c>
      <c r="I34052" s="5">
        <v>0</v>
      </c>
      <c r="J34052" s="5">
        <v>0</v>
      </c>
      <c r="K34052" s="5">
        <v>0</v>
      </c>
    </row>
    <row r="34053" spans="1:11" x14ac:dyDescent="0.25">
      <c r="A34053" s="5">
        <f>34046</f>
      </c>
      <c r="B34053" s="5" t="s">
        <v>34061</v>
      </c>
      <c r="C34053" s="5">
        <v>105.3</v>
      </c>
      <c r="D34053" s="5">
        <v>0.1</v>
      </c>
      <c r="E34053" s="5">
        <v>105.4</v>
      </c>
      <c r="F34053" s="5">
        <v>210</v>
      </c>
      <c r="G34053" s="5">
        <v>104.8</v>
      </c>
      <c r="H34053" s="5">
        <v>104.6</v>
      </c>
      <c r="I34053" s="5">
        <v>0</v>
      </c>
      <c r="J34053" s="5">
        <v>0</v>
      </c>
      <c r="K34053" s="5">
        <v>0</v>
      </c>
    </row>
    <row r="34054" spans="1:11" x14ac:dyDescent="0.25">
      <c r="A34054" s="5">
        <f>34047</f>
      </c>
      <c r="B34054" s="5" t="s">
        <v>34062</v>
      </c>
      <c r="C34054" s="5">
        <v>104.4</v>
      </c>
      <c r="D34054" s="5">
        <v>0.1</v>
      </c>
      <c r="E34054" s="5">
        <v>104.6</v>
      </c>
      <c r="F34054" s="5">
        <v>209.6</v>
      </c>
      <c r="G34054" s="5">
        <v>104.5</v>
      </c>
      <c r="H34054" s="5">
        <v>104.3</v>
      </c>
      <c r="I34054" s="5">
        <v>0</v>
      </c>
      <c r="J34054" s="5">
        <v>0</v>
      </c>
      <c r="K34054" s="5">
        <v>0</v>
      </c>
    </row>
    <row r="34055" spans="1:11" x14ac:dyDescent="0.25">
      <c r="A34055" s="5">
        <f>34048</f>
      </c>
      <c r="B34055" s="5" t="s">
        <v>34063</v>
      </c>
      <c r="C34055" s="5">
        <v>104.4</v>
      </c>
      <c r="D34055" s="5">
        <v>0.1</v>
      </c>
      <c r="E34055" s="5">
        <v>104.6</v>
      </c>
      <c r="F34055" s="5">
        <v>209.6</v>
      </c>
      <c r="G34055" s="5">
        <v>104.5</v>
      </c>
      <c r="H34055" s="5">
        <v>104.3</v>
      </c>
      <c r="I34055" s="5">
        <v>0</v>
      </c>
      <c r="J34055" s="5">
        <v>0</v>
      </c>
      <c r="K34055" s="5">
        <v>0</v>
      </c>
    </row>
    <row r="34056" spans="1:11" x14ac:dyDescent="0.25">
      <c r="A34056" s="5">
        <f>34049</f>
      </c>
      <c r="B34056" s="5" t="s">
        <v>34064</v>
      </c>
      <c r="C34056" s="5">
        <v>105</v>
      </c>
      <c r="D34056" s="5">
        <v>0.1</v>
      </c>
      <c r="E34056" s="5">
        <v>105.2</v>
      </c>
      <c r="F34056" s="5">
        <v>210.6</v>
      </c>
      <c r="G34056" s="5">
        <v>105.1</v>
      </c>
      <c r="H34056" s="5">
        <v>104.9</v>
      </c>
      <c r="I34056" s="5">
        <v>0</v>
      </c>
      <c r="J34056" s="5">
        <v>0</v>
      </c>
      <c r="K34056" s="5">
        <v>0</v>
      </c>
    </row>
    <row r="34057" spans="1:11" x14ac:dyDescent="0.25">
      <c r="A34057" s="5">
        <f>34050</f>
      </c>
      <c r="B34057" s="5" t="s">
        <v>34065</v>
      </c>
      <c r="C34057" s="5">
        <v>105</v>
      </c>
      <c r="D34057" s="5">
        <v>0.1</v>
      </c>
      <c r="E34057" s="5">
        <v>105.2</v>
      </c>
      <c r="F34057" s="5">
        <v>210.6</v>
      </c>
      <c r="G34057" s="5">
        <v>105.1</v>
      </c>
      <c r="H34057" s="5">
        <v>104.9</v>
      </c>
      <c r="I34057" s="5">
        <v>0</v>
      </c>
      <c r="J34057" s="5">
        <v>0</v>
      </c>
      <c r="K34057" s="5">
        <v>0</v>
      </c>
    </row>
    <row r="34058" spans="1:11" x14ac:dyDescent="0.25">
      <c r="A34058" s="5">
        <f>34051</f>
      </c>
      <c r="B34058" s="5" t="s">
        <v>34066</v>
      </c>
      <c r="C34058" s="5">
        <v>105.1</v>
      </c>
      <c r="D34058" s="5">
        <v>0.1</v>
      </c>
      <c r="E34058" s="5">
        <v>105.3</v>
      </c>
      <c r="F34058" s="5">
        <v>210.6</v>
      </c>
      <c r="G34058" s="5">
        <v>105.1</v>
      </c>
      <c r="H34058" s="5">
        <v>104.9</v>
      </c>
      <c r="I34058" s="5">
        <v>0</v>
      </c>
      <c r="J34058" s="5">
        <v>0</v>
      </c>
      <c r="K34058" s="5">
        <v>0</v>
      </c>
    </row>
    <row r="34059" spans="1:11" x14ac:dyDescent="0.25">
      <c r="A34059" s="5">
        <f>34052</f>
      </c>
      <c r="B34059" s="5" t="s">
        <v>34067</v>
      </c>
      <c r="C34059" s="5">
        <v>105.1</v>
      </c>
      <c r="D34059" s="5">
        <v>0.1</v>
      </c>
      <c r="E34059" s="5">
        <v>105.3</v>
      </c>
      <c r="F34059" s="5">
        <v>210.6</v>
      </c>
      <c r="G34059" s="5">
        <v>105.1</v>
      </c>
      <c r="H34059" s="5">
        <v>104.9</v>
      </c>
      <c r="I34059" s="5">
        <v>0</v>
      </c>
      <c r="J34059" s="5">
        <v>0</v>
      </c>
      <c r="K34059" s="5">
        <v>0</v>
      </c>
    </row>
    <row r="34060" spans="1:11" x14ac:dyDescent="0.25">
      <c r="A34060" s="5">
        <f>34053</f>
      </c>
      <c r="B34060" s="5" t="s">
        <v>34068</v>
      </c>
      <c r="C34060" s="5">
        <v>105.1</v>
      </c>
      <c r="D34060" s="5">
        <v>0.1</v>
      </c>
      <c r="E34060" s="5">
        <v>105.3</v>
      </c>
      <c r="F34060" s="5">
        <v>210.6</v>
      </c>
      <c r="G34060" s="5">
        <v>105.1</v>
      </c>
      <c r="H34060" s="5">
        <v>104.9</v>
      </c>
      <c r="I34060" s="5">
        <v>0</v>
      </c>
      <c r="J34060" s="5">
        <v>0</v>
      </c>
      <c r="K34060" s="5">
        <v>0</v>
      </c>
    </row>
    <row r="34061" spans="1:11" x14ac:dyDescent="0.25">
      <c r="A34061" s="5">
        <f>34054</f>
      </c>
      <c r="B34061" s="5" t="s">
        <v>34069</v>
      </c>
      <c r="C34061" s="5">
        <v>105.1</v>
      </c>
      <c r="D34061" s="5">
        <v>0.1</v>
      </c>
      <c r="E34061" s="5">
        <v>105.3</v>
      </c>
      <c r="F34061" s="5">
        <v>210.6</v>
      </c>
      <c r="G34061" s="5">
        <v>105.1</v>
      </c>
      <c r="H34061" s="5">
        <v>104.9</v>
      </c>
      <c r="I34061" s="5">
        <v>0</v>
      </c>
      <c r="J34061" s="5">
        <v>0</v>
      </c>
      <c r="K34061" s="5">
        <v>0</v>
      </c>
    </row>
    <row r="34062" spans="1:11" x14ac:dyDescent="0.25">
      <c r="A34062" s="5">
        <f>34055</f>
      </c>
      <c r="B34062" s="5" t="s">
        <v>34070</v>
      </c>
      <c r="C34062" s="5">
        <v>104.6</v>
      </c>
      <c r="D34062" s="5">
        <v>0.1</v>
      </c>
      <c r="E34062" s="5">
        <v>104.7</v>
      </c>
      <c r="F34062" s="5">
        <v>210</v>
      </c>
      <c r="G34062" s="5">
        <v>104.8</v>
      </c>
      <c r="H34062" s="5">
        <v>104.7</v>
      </c>
      <c r="I34062" s="5">
        <v>0</v>
      </c>
      <c r="J34062" s="5">
        <v>0</v>
      </c>
      <c r="K34062" s="5">
        <v>0</v>
      </c>
    </row>
    <row r="34063" spans="1:11" x14ac:dyDescent="0.25">
      <c r="A34063" s="5">
        <f>34056</f>
      </c>
      <c r="B34063" s="5" t="s">
        <v>34071</v>
      </c>
      <c r="C34063" s="5">
        <v>104.6</v>
      </c>
      <c r="D34063" s="5">
        <v>0.1</v>
      </c>
      <c r="E34063" s="5">
        <v>104.7</v>
      </c>
      <c r="F34063" s="5">
        <v>210</v>
      </c>
      <c r="G34063" s="5">
        <v>104.8</v>
      </c>
      <c r="H34063" s="5">
        <v>104.7</v>
      </c>
      <c r="I34063" s="5">
        <v>0</v>
      </c>
      <c r="J34063" s="5">
        <v>0</v>
      </c>
      <c r="K34063" s="5">
        <v>0</v>
      </c>
    </row>
    <row r="34064" spans="1:11" x14ac:dyDescent="0.25">
      <c r="A34064" s="5">
        <f>34057</f>
      </c>
      <c r="B34064" s="5" t="s">
        <v>34072</v>
      </c>
      <c r="C34064" s="5">
        <v>104.6</v>
      </c>
      <c r="D34064" s="5">
        <v>0.1</v>
      </c>
      <c r="E34064" s="5">
        <v>104.7</v>
      </c>
      <c r="F34064" s="5">
        <v>210</v>
      </c>
      <c r="G34064" s="5">
        <v>104.8</v>
      </c>
      <c r="H34064" s="5">
        <v>104.7</v>
      </c>
      <c r="I34064" s="5">
        <v>0</v>
      </c>
      <c r="J34064" s="5">
        <v>0</v>
      </c>
      <c r="K34064" s="5">
        <v>0</v>
      </c>
    </row>
    <row r="34065" spans="1:11" x14ac:dyDescent="0.25">
      <c r="A34065" s="5">
        <f>34058</f>
      </c>
      <c r="B34065" s="5" t="s">
        <v>34073</v>
      </c>
      <c r="C34065" s="5">
        <v>104.6</v>
      </c>
      <c r="D34065" s="5">
        <v>0.1</v>
      </c>
      <c r="E34065" s="5">
        <v>104.7</v>
      </c>
      <c r="F34065" s="5">
        <v>210</v>
      </c>
      <c r="G34065" s="5">
        <v>104.8</v>
      </c>
      <c r="H34065" s="5">
        <v>104.7</v>
      </c>
      <c r="I34065" s="5">
        <v>0</v>
      </c>
      <c r="J34065" s="5">
        <v>0</v>
      </c>
      <c r="K34065" s="5">
        <v>0</v>
      </c>
    </row>
    <row r="34066" spans="1:11" x14ac:dyDescent="0.25">
      <c r="A34066" s="5">
        <f>34059</f>
      </c>
      <c r="B34066" s="5" t="s">
        <v>34074</v>
      </c>
      <c r="C34066" s="5">
        <v>105.3</v>
      </c>
      <c r="D34066" s="5">
        <v>0.1</v>
      </c>
      <c r="E34066" s="5">
        <v>105.4</v>
      </c>
      <c r="F34066" s="5">
        <v>209.8</v>
      </c>
      <c r="G34066" s="5">
        <v>104.7</v>
      </c>
      <c r="H34066" s="5">
        <v>104.5</v>
      </c>
      <c r="I34066" s="5">
        <v>0</v>
      </c>
      <c r="J34066" s="5">
        <v>0</v>
      </c>
      <c r="K34066" s="5">
        <v>0</v>
      </c>
    </row>
    <row r="34067" spans="1:11" x14ac:dyDescent="0.25">
      <c r="A34067" s="5">
        <f>34060</f>
      </c>
      <c r="B34067" s="5" t="s">
        <v>34075</v>
      </c>
      <c r="C34067" s="5">
        <v>105.3</v>
      </c>
      <c r="D34067" s="5">
        <v>0.1</v>
      </c>
      <c r="E34067" s="5">
        <v>105.4</v>
      </c>
      <c r="F34067" s="5">
        <v>209.8</v>
      </c>
      <c r="G34067" s="5">
        <v>104.7</v>
      </c>
      <c r="H34067" s="5">
        <v>104.5</v>
      </c>
      <c r="I34067" s="5">
        <v>0</v>
      </c>
      <c r="J34067" s="5">
        <v>0</v>
      </c>
      <c r="K34067" s="5">
        <v>0</v>
      </c>
    </row>
    <row r="34068" spans="1:11" x14ac:dyDescent="0.25">
      <c r="A34068" s="5">
        <f>34061</f>
      </c>
      <c r="B34068" s="5" t="s">
        <v>34076</v>
      </c>
      <c r="C34068" s="5">
        <v>105.2</v>
      </c>
      <c r="D34068" s="5">
        <v>0.1</v>
      </c>
      <c r="E34068" s="5">
        <v>105.3</v>
      </c>
      <c r="F34068" s="5">
        <v>210.2</v>
      </c>
      <c r="G34068" s="5">
        <v>104.9</v>
      </c>
      <c r="H34068" s="5">
        <v>104.7</v>
      </c>
      <c r="I34068" s="5">
        <v>0</v>
      </c>
      <c r="J34068" s="5">
        <v>0</v>
      </c>
      <c r="K34068" s="5">
        <v>0</v>
      </c>
    </row>
    <row r="34069" spans="1:11" x14ac:dyDescent="0.25">
      <c r="A34069" s="5">
        <f>34062</f>
      </c>
      <c r="B34069" s="5" t="s">
        <v>34077</v>
      </c>
      <c r="C34069" s="5">
        <v>105.2</v>
      </c>
      <c r="D34069" s="5">
        <v>0.1</v>
      </c>
      <c r="E34069" s="5">
        <v>105.3</v>
      </c>
      <c r="F34069" s="5">
        <v>210.2</v>
      </c>
      <c r="G34069" s="5">
        <v>104.9</v>
      </c>
      <c r="H34069" s="5">
        <v>104.7</v>
      </c>
      <c r="I34069" s="5">
        <v>0</v>
      </c>
      <c r="J34069" s="5">
        <v>0</v>
      </c>
      <c r="K34069" s="5">
        <v>0</v>
      </c>
    </row>
    <row r="34070" spans="1:11" x14ac:dyDescent="0.25">
      <c r="A34070" s="5">
        <f>34063</f>
      </c>
      <c r="B34070" s="5" t="s">
        <v>34078</v>
      </c>
      <c r="C34070" s="5">
        <v>105.3</v>
      </c>
      <c r="D34070" s="5">
        <v>0.1</v>
      </c>
      <c r="E34070" s="5">
        <v>105.4</v>
      </c>
      <c r="F34070" s="5">
        <v>210</v>
      </c>
      <c r="G34070" s="5">
        <v>104.8</v>
      </c>
      <c r="H34070" s="5">
        <v>104.6</v>
      </c>
      <c r="I34070" s="5">
        <v>0</v>
      </c>
      <c r="J34070" s="5">
        <v>0</v>
      </c>
      <c r="K34070" s="5">
        <v>0</v>
      </c>
    </row>
    <row r="34071" spans="1:11" x14ac:dyDescent="0.25">
      <c r="A34071" s="5">
        <f>34064</f>
      </c>
      <c r="B34071" s="5" t="s">
        <v>34079</v>
      </c>
      <c r="C34071" s="5">
        <v>105.3</v>
      </c>
      <c r="D34071" s="5">
        <v>0.1</v>
      </c>
      <c r="E34071" s="5">
        <v>105.4</v>
      </c>
      <c r="F34071" s="5">
        <v>210</v>
      </c>
      <c r="G34071" s="5">
        <v>104.8</v>
      </c>
      <c r="H34071" s="5">
        <v>104.6</v>
      </c>
      <c r="I34071" s="5">
        <v>0</v>
      </c>
      <c r="J34071" s="5">
        <v>0</v>
      </c>
      <c r="K34071" s="5">
        <v>0</v>
      </c>
    </row>
    <row r="34072" spans="1:11" x14ac:dyDescent="0.25">
      <c r="A34072" s="5">
        <f>34065</f>
      </c>
      <c r="B34072" s="5" t="s">
        <v>34080</v>
      </c>
      <c r="C34072" s="5">
        <v>105.5</v>
      </c>
      <c r="D34072" s="5">
        <v>0.1</v>
      </c>
      <c r="E34072" s="5">
        <v>105.6</v>
      </c>
      <c r="F34072" s="5">
        <v>210.4</v>
      </c>
      <c r="G34072" s="5">
        <v>105</v>
      </c>
      <c r="H34072" s="5">
        <v>104.9</v>
      </c>
      <c r="I34072" s="5">
        <v>0</v>
      </c>
      <c r="J34072" s="5">
        <v>0</v>
      </c>
      <c r="K34072" s="5">
        <v>0</v>
      </c>
    </row>
    <row r="34073" spans="1:11" x14ac:dyDescent="0.25">
      <c r="A34073" s="5">
        <f>34066</f>
      </c>
      <c r="B34073" s="5" t="s">
        <v>34081</v>
      </c>
      <c r="C34073" s="5">
        <v>105.5</v>
      </c>
      <c r="D34073" s="5">
        <v>0.1</v>
      </c>
      <c r="E34073" s="5">
        <v>105.6</v>
      </c>
      <c r="F34073" s="5">
        <v>210.4</v>
      </c>
      <c r="G34073" s="5">
        <v>105</v>
      </c>
      <c r="H34073" s="5">
        <v>104.9</v>
      </c>
      <c r="I34073" s="5">
        <v>0</v>
      </c>
      <c r="J34073" s="5">
        <v>0</v>
      </c>
      <c r="K34073" s="5">
        <v>0</v>
      </c>
    </row>
    <row r="34074" spans="1:11" x14ac:dyDescent="0.25">
      <c r="A34074" s="5">
        <f>34067</f>
      </c>
      <c r="B34074" s="5" t="s">
        <v>34082</v>
      </c>
      <c r="C34074" s="5">
        <v>105.5</v>
      </c>
      <c r="D34074" s="5">
        <v>0.1</v>
      </c>
      <c r="E34074" s="5">
        <v>105.6</v>
      </c>
      <c r="F34074" s="5">
        <v>210.4</v>
      </c>
      <c r="G34074" s="5">
        <v>105</v>
      </c>
      <c r="H34074" s="5">
        <v>104.9</v>
      </c>
      <c r="I34074" s="5">
        <v>0</v>
      </c>
      <c r="J34074" s="5">
        <v>0</v>
      </c>
      <c r="K34074" s="5">
        <v>0</v>
      </c>
    </row>
    <row r="34075" spans="1:11" x14ac:dyDescent="0.25">
      <c r="A34075" s="5">
        <f>34068</f>
      </c>
      <c r="B34075" s="5" t="s">
        <v>34083</v>
      </c>
      <c r="C34075" s="5">
        <v>105.5</v>
      </c>
      <c r="D34075" s="5">
        <v>0.1</v>
      </c>
      <c r="E34075" s="5">
        <v>105.6</v>
      </c>
      <c r="F34075" s="5">
        <v>210.4</v>
      </c>
      <c r="G34075" s="5">
        <v>105</v>
      </c>
      <c r="H34075" s="5">
        <v>104.9</v>
      </c>
      <c r="I34075" s="5">
        <v>0</v>
      </c>
      <c r="J34075" s="5">
        <v>0</v>
      </c>
      <c r="K34075" s="5">
        <v>0</v>
      </c>
    </row>
    <row r="34076" spans="1:11" x14ac:dyDescent="0.25">
      <c r="A34076" s="5">
        <f>34069</f>
      </c>
      <c r="B34076" s="5" t="s">
        <v>34084</v>
      </c>
      <c r="C34076" s="5">
        <v>103.2</v>
      </c>
      <c r="D34076" s="5">
        <v>0.1</v>
      </c>
      <c r="E34076" s="5">
        <v>103.3</v>
      </c>
      <c r="F34076" s="5">
        <v>206.4</v>
      </c>
      <c r="G34076" s="5">
        <v>103</v>
      </c>
      <c r="H34076" s="5">
        <v>102.8</v>
      </c>
      <c r="I34076" s="5">
        <v>0</v>
      </c>
      <c r="J34076" s="5">
        <v>0</v>
      </c>
      <c r="K34076" s="5">
        <v>0</v>
      </c>
    </row>
    <row r="34077" spans="1:11" x14ac:dyDescent="0.25">
      <c r="A34077" s="5">
        <f>34070</f>
      </c>
      <c r="B34077" s="5" t="s">
        <v>34085</v>
      </c>
      <c r="C34077" s="5">
        <v>103.2</v>
      </c>
      <c r="D34077" s="5">
        <v>0.1</v>
      </c>
      <c r="E34077" s="5">
        <v>103.3</v>
      </c>
      <c r="F34077" s="5">
        <v>206.4</v>
      </c>
      <c r="G34077" s="5">
        <v>103</v>
      </c>
      <c r="H34077" s="5">
        <v>102.8</v>
      </c>
      <c r="I34077" s="5">
        <v>0</v>
      </c>
      <c r="J34077" s="5">
        <v>0</v>
      </c>
      <c r="K34077" s="5">
        <v>0</v>
      </c>
    </row>
    <row r="34078" spans="1:11" x14ac:dyDescent="0.25">
      <c r="A34078" s="5">
        <f>34071</f>
      </c>
      <c r="B34078" s="5" t="s">
        <v>34086</v>
      </c>
      <c r="C34078" s="5">
        <v>103.1</v>
      </c>
      <c r="D34078" s="5">
        <v>0.1</v>
      </c>
      <c r="E34078" s="5">
        <v>103.3</v>
      </c>
      <c r="F34078" s="5">
        <v>205.8</v>
      </c>
      <c r="G34078" s="5">
        <v>102.6</v>
      </c>
      <c r="H34078" s="5">
        <v>102.5</v>
      </c>
      <c r="I34078" s="5">
        <v>0</v>
      </c>
      <c r="J34078" s="5">
        <v>0</v>
      </c>
      <c r="K34078" s="5">
        <v>0</v>
      </c>
    </row>
    <row r="34079" spans="1:11" x14ac:dyDescent="0.25">
      <c r="A34079" s="5">
        <f>34072</f>
      </c>
      <c r="B34079" s="5" t="s">
        <v>34087</v>
      </c>
      <c r="C34079" s="5">
        <v>103.3</v>
      </c>
      <c r="D34079" s="5">
        <v>0.1</v>
      </c>
      <c r="E34079" s="5">
        <v>103.4</v>
      </c>
      <c r="F34079" s="5">
        <v>205.5</v>
      </c>
      <c r="G34079" s="5">
        <v>102.5</v>
      </c>
      <c r="H34079" s="5">
        <v>102.4</v>
      </c>
      <c r="I34079" s="5">
        <v>0</v>
      </c>
      <c r="J34079" s="5">
        <v>0</v>
      </c>
      <c r="K34079" s="5">
        <v>0</v>
      </c>
    </row>
    <row r="34080" spans="1:11" x14ac:dyDescent="0.25">
      <c r="A34080" s="5">
        <f>34073</f>
      </c>
      <c r="B34080" s="5" t="s">
        <v>34088</v>
      </c>
      <c r="C34080" s="5">
        <v>103.1</v>
      </c>
      <c r="D34080" s="5">
        <v>0.1</v>
      </c>
      <c r="E34080" s="5">
        <v>103.2</v>
      </c>
      <c r="F34080" s="5">
        <v>205.2</v>
      </c>
      <c r="G34080" s="5">
        <v>102.4</v>
      </c>
      <c r="H34080" s="5">
        <v>102.3</v>
      </c>
      <c r="I34080" s="5">
        <v>0</v>
      </c>
      <c r="J34080" s="5">
        <v>0</v>
      </c>
      <c r="K34080" s="5">
        <v>0</v>
      </c>
    </row>
    <row r="34081" spans="1:11" x14ac:dyDescent="0.25">
      <c r="A34081" s="5">
        <f>34074</f>
      </c>
      <c r="B34081" s="5" t="s">
        <v>34089</v>
      </c>
      <c r="C34081" s="5">
        <v>103.1</v>
      </c>
      <c r="D34081" s="5">
        <v>0.1</v>
      </c>
      <c r="E34081" s="5">
        <v>103.2</v>
      </c>
      <c r="F34081" s="5">
        <v>205.2</v>
      </c>
      <c r="G34081" s="5">
        <v>102.4</v>
      </c>
      <c r="H34081" s="5">
        <v>102.3</v>
      </c>
      <c r="I34081" s="5">
        <v>0</v>
      </c>
      <c r="J34081" s="5">
        <v>0</v>
      </c>
      <c r="K34081" s="5">
        <v>0</v>
      </c>
    </row>
    <row r="34082" spans="1:11" x14ac:dyDescent="0.25">
      <c r="A34082" s="5">
        <f>34075</f>
      </c>
      <c r="B34082" s="5" t="s">
        <v>34090</v>
      </c>
      <c r="C34082" s="5">
        <v>103.1</v>
      </c>
      <c r="D34082" s="5">
        <v>0.1</v>
      </c>
      <c r="E34082" s="5">
        <v>103.2</v>
      </c>
      <c r="F34082" s="5">
        <v>205.2</v>
      </c>
      <c r="G34082" s="5">
        <v>102.4</v>
      </c>
      <c r="H34082" s="5">
        <v>102.3</v>
      </c>
      <c r="I34082" s="5">
        <v>0</v>
      </c>
      <c r="J34082" s="5">
        <v>0</v>
      </c>
      <c r="K34082" s="5">
        <v>0</v>
      </c>
    </row>
    <row r="34083" spans="1:11" x14ac:dyDescent="0.25">
      <c r="A34083" s="5">
        <f>34076</f>
      </c>
      <c r="B34083" s="5" t="s">
        <v>34091</v>
      </c>
      <c r="C34083" s="5">
        <v>103.1</v>
      </c>
      <c r="D34083" s="5">
        <v>0.1</v>
      </c>
      <c r="E34083" s="5">
        <v>103.2</v>
      </c>
      <c r="F34083" s="5">
        <v>205.2</v>
      </c>
      <c r="G34083" s="5">
        <v>102.4</v>
      </c>
      <c r="H34083" s="5">
        <v>102.3</v>
      </c>
      <c r="I34083" s="5">
        <v>0</v>
      </c>
      <c r="J34083" s="5">
        <v>0</v>
      </c>
      <c r="K34083" s="5">
        <v>0</v>
      </c>
    </row>
    <row r="34084" spans="1:11" x14ac:dyDescent="0.25">
      <c r="A34084" s="5">
        <f>34077</f>
      </c>
      <c r="B34084" s="5" t="s">
        <v>34092</v>
      </c>
      <c r="C34084" s="5">
        <v>101.9</v>
      </c>
      <c r="D34084" s="5">
        <v>0.1</v>
      </c>
      <c r="E34084" s="5">
        <v>102.1</v>
      </c>
      <c r="F34084" s="5">
        <v>203.8</v>
      </c>
      <c r="G34084" s="5">
        <v>101.7</v>
      </c>
      <c r="H34084" s="5">
        <v>101.5</v>
      </c>
      <c r="I34084" s="5">
        <v>0</v>
      </c>
      <c r="J34084" s="5">
        <v>0</v>
      </c>
      <c r="K34084" s="5">
        <v>0</v>
      </c>
    </row>
    <row r="34085" spans="1:11" x14ac:dyDescent="0.25">
      <c r="A34085" s="5">
        <f>34078</f>
      </c>
      <c r="B34085" s="5" t="s">
        <v>34093</v>
      </c>
      <c r="C34085" s="5">
        <v>101.9</v>
      </c>
      <c r="D34085" s="5">
        <v>0.1</v>
      </c>
      <c r="E34085" s="5">
        <v>102.1</v>
      </c>
      <c r="F34085" s="5">
        <v>203.8</v>
      </c>
      <c r="G34085" s="5">
        <v>101.7</v>
      </c>
      <c r="H34085" s="5">
        <v>101.5</v>
      </c>
      <c r="I34085" s="5">
        <v>0</v>
      </c>
      <c r="J34085" s="5">
        <v>0</v>
      </c>
      <c r="K34085" s="5">
        <v>0</v>
      </c>
    </row>
    <row r="34086" spans="1:11" x14ac:dyDescent="0.25">
      <c r="A34086" s="5">
        <f>34079</f>
      </c>
      <c r="B34086" s="5" t="s">
        <v>34094</v>
      </c>
      <c r="C34086" s="5">
        <v>103</v>
      </c>
      <c r="D34086" s="5">
        <v>0.1</v>
      </c>
      <c r="E34086" s="5">
        <v>103.1</v>
      </c>
      <c r="F34086" s="5">
        <v>205.1</v>
      </c>
      <c r="G34086" s="5">
        <v>102.3</v>
      </c>
      <c r="H34086" s="5">
        <v>102.2</v>
      </c>
      <c r="I34086" s="5">
        <v>0</v>
      </c>
      <c r="J34086" s="5">
        <v>0</v>
      </c>
      <c r="K34086" s="5">
        <v>0</v>
      </c>
    </row>
    <row r="34087" spans="1:11" x14ac:dyDescent="0.25">
      <c r="A34087" s="5">
        <f>34080</f>
      </c>
      <c r="B34087" s="5" t="s">
        <v>34095</v>
      </c>
      <c r="C34087" s="5">
        <v>103</v>
      </c>
      <c r="D34087" s="5">
        <v>0.1</v>
      </c>
      <c r="E34087" s="5">
        <v>103.1</v>
      </c>
      <c r="F34087" s="5">
        <v>205.1</v>
      </c>
      <c r="G34087" s="5">
        <v>102.3</v>
      </c>
      <c r="H34087" s="5">
        <v>102.2</v>
      </c>
      <c r="I34087" s="5">
        <v>0</v>
      </c>
      <c r="J34087" s="5">
        <v>0</v>
      </c>
      <c r="K34087" s="5">
        <v>0</v>
      </c>
    </row>
    <row r="34088" spans="1:11" x14ac:dyDescent="0.25">
      <c r="A34088" s="5">
        <f>34081</f>
      </c>
      <c r="B34088" s="5" t="s">
        <v>34096</v>
      </c>
      <c r="C34088" s="5">
        <v>101.9</v>
      </c>
      <c r="D34088" s="5">
        <v>0.1</v>
      </c>
      <c r="E34088" s="5">
        <v>102.1</v>
      </c>
      <c r="F34088" s="5">
        <v>203.7</v>
      </c>
      <c r="G34088" s="5">
        <v>101.6</v>
      </c>
      <c r="H34088" s="5">
        <v>101.5</v>
      </c>
      <c r="I34088" s="5">
        <v>0</v>
      </c>
      <c r="J34088" s="5">
        <v>0</v>
      </c>
      <c r="K34088" s="5">
        <v>0</v>
      </c>
    </row>
    <row r="34089" spans="1:11" x14ac:dyDescent="0.25">
      <c r="A34089" s="5">
        <f>34082</f>
      </c>
      <c r="B34089" s="5" t="s">
        <v>34097</v>
      </c>
      <c r="C34089" s="5">
        <v>101.9</v>
      </c>
      <c r="D34089" s="5">
        <v>0.1</v>
      </c>
      <c r="E34089" s="5">
        <v>102.1</v>
      </c>
      <c r="F34089" s="5">
        <v>203.7</v>
      </c>
      <c r="G34089" s="5">
        <v>101.6</v>
      </c>
      <c r="H34089" s="5">
        <v>101.5</v>
      </c>
      <c r="I34089" s="5">
        <v>0</v>
      </c>
      <c r="J34089" s="5">
        <v>0</v>
      </c>
      <c r="K34089" s="5">
        <v>0</v>
      </c>
    </row>
    <row r="34090" spans="1:11" x14ac:dyDescent="0.25">
      <c r="A34090" s="5">
        <f>34083</f>
      </c>
      <c r="B34090" s="5" t="s">
        <v>34098</v>
      </c>
      <c r="C34090" s="5">
        <v>103.1</v>
      </c>
      <c r="D34090" s="5">
        <v>0.1</v>
      </c>
      <c r="E34090" s="5">
        <v>103.2</v>
      </c>
      <c r="F34090" s="5">
        <v>205.7</v>
      </c>
      <c r="G34090" s="5">
        <v>102.7</v>
      </c>
      <c r="H34090" s="5">
        <v>102.6</v>
      </c>
      <c r="I34090" s="5">
        <v>0</v>
      </c>
      <c r="J34090" s="5">
        <v>0</v>
      </c>
      <c r="K34090" s="5">
        <v>0</v>
      </c>
    </row>
    <row r="34091" spans="1:11" x14ac:dyDescent="0.25">
      <c r="A34091" s="5">
        <f>34084</f>
      </c>
      <c r="B34091" s="5" t="s">
        <v>34099</v>
      </c>
      <c r="C34091" s="5">
        <v>103.1</v>
      </c>
      <c r="D34091" s="5">
        <v>0.1</v>
      </c>
      <c r="E34091" s="5">
        <v>103.2</v>
      </c>
      <c r="F34091" s="5">
        <v>205.7</v>
      </c>
      <c r="G34091" s="5">
        <v>102.7</v>
      </c>
      <c r="H34091" s="5">
        <v>102.6</v>
      </c>
      <c r="I34091" s="5">
        <v>0</v>
      </c>
      <c r="J34091" s="5">
        <v>0</v>
      </c>
      <c r="K34091" s="5">
        <v>0</v>
      </c>
    </row>
    <row r="34092" spans="1:11" x14ac:dyDescent="0.25">
      <c r="A34092" s="5">
        <f>34085</f>
      </c>
      <c r="B34092" s="5" t="s">
        <v>34100</v>
      </c>
      <c r="C34092" s="5">
        <v>103.1</v>
      </c>
      <c r="D34092" s="5">
        <v>0.1</v>
      </c>
      <c r="E34092" s="5">
        <v>103.2</v>
      </c>
      <c r="F34092" s="5">
        <v>205.7</v>
      </c>
      <c r="G34092" s="5">
        <v>102.7</v>
      </c>
      <c r="H34092" s="5">
        <v>102.6</v>
      </c>
      <c r="I34092" s="5">
        <v>0</v>
      </c>
      <c r="J34092" s="5">
        <v>0</v>
      </c>
      <c r="K34092" s="5">
        <v>0</v>
      </c>
    </row>
    <row r="34093" spans="1:11" x14ac:dyDescent="0.25">
      <c r="A34093" s="5">
        <f>34086</f>
      </c>
      <c r="B34093" s="5" t="s">
        <v>34101</v>
      </c>
      <c r="C34093" s="5">
        <v>103.1</v>
      </c>
      <c r="D34093" s="5">
        <v>0.1</v>
      </c>
      <c r="E34093" s="5">
        <v>102.7</v>
      </c>
      <c r="F34093" s="5">
        <v>205.6</v>
      </c>
      <c r="G34093" s="5">
        <v>102.8</v>
      </c>
      <c r="H34093" s="5">
        <v>102.7</v>
      </c>
      <c r="I34093" s="5">
        <v>0</v>
      </c>
      <c r="J34093" s="5">
        <v>0</v>
      </c>
      <c r="K34093" s="5">
        <v>0</v>
      </c>
    </row>
    <row r="34094" spans="1:11" x14ac:dyDescent="0.25">
      <c r="A34094" s="5">
        <f>34087</f>
      </c>
      <c r="B34094" s="5" t="s">
        <v>34102</v>
      </c>
      <c r="C34094" s="5">
        <v>102.6</v>
      </c>
      <c r="D34094" s="5">
        <v>0.1</v>
      </c>
      <c r="E34094" s="5">
        <v>102.7</v>
      </c>
      <c r="F34094" s="5">
        <v>205.6</v>
      </c>
      <c r="G34094" s="5">
        <v>102.8</v>
      </c>
      <c r="H34094" s="5">
        <v>102.7</v>
      </c>
      <c r="I34094" s="5">
        <v>0</v>
      </c>
      <c r="J34094" s="5">
        <v>0</v>
      </c>
      <c r="K34094" s="5">
        <v>0</v>
      </c>
    </row>
    <row r="34095" spans="1:11" x14ac:dyDescent="0.25">
      <c r="A34095" s="5">
        <f>34088</f>
      </c>
      <c r="B34095" s="5" t="s">
        <v>34103</v>
      </c>
      <c r="C34095" s="5">
        <v>102.1</v>
      </c>
      <c r="D34095" s="5">
        <v>0.1</v>
      </c>
      <c r="E34095" s="5">
        <v>102.2</v>
      </c>
      <c r="F34095" s="5">
        <v>204.9</v>
      </c>
      <c r="G34095" s="5">
        <v>102.3</v>
      </c>
      <c r="H34095" s="5">
        <v>102.2</v>
      </c>
      <c r="I34095" s="5">
        <v>0</v>
      </c>
      <c r="J34095" s="5">
        <v>0</v>
      </c>
      <c r="K34095" s="5">
        <v>0</v>
      </c>
    </row>
    <row r="34096" spans="1:11" x14ac:dyDescent="0.25">
      <c r="A34096" s="5">
        <f>34089</f>
      </c>
      <c r="B34096" s="5" t="s">
        <v>34104</v>
      </c>
      <c r="C34096" s="5">
        <v>102.1</v>
      </c>
      <c r="D34096" s="5">
        <v>0.1</v>
      </c>
      <c r="E34096" s="5">
        <v>102.2</v>
      </c>
      <c r="F34096" s="5">
        <v>204.9</v>
      </c>
      <c r="G34096" s="5">
        <v>102.3</v>
      </c>
      <c r="H34096" s="5">
        <v>102.2</v>
      </c>
      <c r="I34096" s="5">
        <v>0</v>
      </c>
      <c r="J34096" s="5">
        <v>0</v>
      </c>
      <c r="K34096" s="5">
        <v>0</v>
      </c>
    </row>
    <row r="34097" spans="1:11" x14ac:dyDescent="0.25">
      <c r="A34097" s="5">
        <f>34090</f>
      </c>
      <c r="B34097" s="5" t="s">
        <v>34105</v>
      </c>
      <c r="C34097" s="5">
        <v>102.1</v>
      </c>
      <c r="D34097" s="5">
        <v>0.1</v>
      </c>
      <c r="E34097" s="5">
        <v>103.5</v>
      </c>
      <c r="F34097" s="5">
        <v>206</v>
      </c>
      <c r="G34097" s="5">
        <v>102.8</v>
      </c>
      <c r="H34097" s="5">
        <v>102.6</v>
      </c>
      <c r="I34097" s="5">
        <v>0</v>
      </c>
      <c r="J34097" s="5">
        <v>0</v>
      </c>
      <c r="K34097" s="5">
        <v>0</v>
      </c>
    </row>
    <row r="34098" spans="1:11" x14ac:dyDescent="0.25">
      <c r="A34098" s="5">
        <f>34091</f>
      </c>
      <c r="B34098" s="5" t="s">
        <v>34106</v>
      </c>
      <c r="C34098" s="5">
        <v>103.4</v>
      </c>
      <c r="D34098" s="5">
        <v>0.1</v>
      </c>
      <c r="E34098" s="5">
        <v>103.5</v>
      </c>
      <c r="F34098" s="5">
        <v>206</v>
      </c>
      <c r="G34098" s="5">
        <v>102.8</v>
      </c>
      <c r="H34098" s="5">
        <v>102.6</v>
      </c>
      <c r="I34098" s="5">
        <v>0</v>
      </c>
      <c r="J34098" s="5">
        <v>0</v>
      </c>
      <c r="K34098" s="5">
        <v>0</v>
      </c>
    </row>
    <row r="34099" spans="1:11" x14ac:dyDescent="0.25">
      <c r="A34099" s="5">
        <f>34092</f>
      </c>
      <c r="B34099" s="5" t="s">
        <v>34107</v>
      </c>
      <c r="C34099" s="5">
        <v>103.4</v>
      </c>
      <c r="D34099" s="5">
        <v>0.1</v>
      </c>
      <c r="E34099" s="5">
        <v>103.5</v>
      </c>
      <c r="F34099" s="5">
        <v>206</v>
      </c>
      <c r="G34099" s="5">
        <v>101.7</v>
      </c>
      <c r="H34099" s="5">
        <v>101.5</v>
      </c>
      <c r="I34099" s="5">
        <v>0</v>
      </c>
      <c r="J34099" s="5">
        <v>0</v>
      </c>
      <c r="K34099" s="5">
        <v>0</v>
      </c>
    </row>
    <row r="34100" spans="1:11" x14ac:dyDescent="0.25">
      <c r="A34100" s="5">
        <f>34093</f>
      </c>
      <c r="B34100" s="5" t="s">
        <v>34108</v>
      </c>
      <c r="C34100" s="5">
        <v>102.6</v>
      </c>
      <c r="D34100" s="5">
        <v>0.1</v>
      </c>
      <c r="E34100" s="5">
        <v>102.7</v>
      </c>
      <c r="F34100" s="5">
        <v>203.9</v>
      </c>
      <c r="G34100" s="5">
        <v>101.7</v>
      </c>
      <c r="H34100" s="5">
        <v>101.5</v>
      </c>
      <c r="I34100" s="5">
        <v>0</v>
      </c>
      <c r="J34100" s="5">
        <v>0</v>
      </c>
      <c r="K34100" s="5">
        <v>0</v>
      </c>
    </row>
    <row r="34101" spans="1:11" x14ac:dyDescent="0.25">
      <c r="A34101" s="5">
        <f>34094</f>
      </c>
      <c r="B34101" s="5" t="s">
        <v>34109</v>
      </c>
      <c r="C34101" s="5">
        <v>102.6</v>
      </c>
      <c r="D34101" s="5">
        <v>0.1</v>
      </c>
      <c r="E34101" s="5">
        <v>102.7</v>
      </c>
      <c r="F34101" s="5">
        <v>203.9</v>
      </c>
      <c r="G34101" s="5">
        <v>101.7</v>
      </c>
      <c r="H34101" s="5">
        <v>101.5</v>
      </c>
      <c r="I34101" s="5">
        <v>0</v>
      </c>
      <c r="J34101" s="5">
        <v>0</v>
      </c>
      <c r="K34101" s="5">
        <v>0</v>
      </c>
    </row>
    <row r="34102" spans="1:11" x14ac:dyDescent="0.25">
      <c r="A34102" s="5">
        <f>34095</f>
      </c>
      <c r="B34102" s="5" t="s">
        <v>34110</v>
      </c>
      <c r="C34102" s="5">
        <v>102.6</v>
      </c>
      <c r="D34102" s="5">
        <v>0.1</v>
      </c>
      <c r="E34102" s="5">
        <v>102.7</v>
      </c>
      <c r="F34102" s="5">
        <v>203.9</v>
      </c>
      <c r="G34102" s="5">
        <v>101.7</v>
      </c>
      <c r="H34102" s="5">
        <v>101.5</v>
      </c>
      <c r="I34102" s="5">
        <v>0</v>
      </c>
      <c r="J34102" s="5">
        <v>0</v>
      </c>
      <c r="K34102" s="5">
        <v>0</v>
      </c>
    </row>
    <row r="34103" spans="1:11" x14ac:dyDescent="0.25">
      <c r="A34103" s="5">
        <f>34096</f>
      </c>
      <c r="B34103" s="5" t="s">
        <v>34111</v>
      </c>
      <c r="C34103" s="5">
        <v>102.6</v>
      </c>
      <c r="D34103" s="5">
        <v>0.1</v>
      </c>
      <c r="E34103" s="5">
        <v>102.7</v>
      </c>
      <c r="F34103" s="5">
        <v>204.7</v>
      </c>
      <c r="G34103" s="5">
        <v>102.2</v>
      </c>
      <c r="H34103" s="5">
        <v>102</v>
      </c>
      <c r="I34103" s="5">
        <v>0</v>
      </c>
      <c r="J34103" s="5">
        <v>0</v>
      </c>
      <c r="K34103" s="5">
        <v>0</v>
      </c>
    </row>
    <row r="34104" spans="1:11" x14ac:dyDescent="0.25">
      <c r="A34104" s="5">
        <f>34097</f>
      </c>
      <c r="B34104" s="5" t="s">
        <v>34112</v>
      </c>
      <c r="C34104" s="5">
        <v>102.6</v>
      </c>
      <c r="D34104" s="5">
        <v>0.1</v>
      </c>
      <c r="E34104" s="5">
        <v>102.7</v>
      </c>
      <c r="F34104" s="5">
        <v>204.7</v>
      </c>
      <c r="G34104" s="5">
        <v>102.2</v>
      </c>
      <c r="H34104" s="5">
        <v>102</v>
      </c>
      <c r="I34104" s="5">
        <v>0</v>
      </c>
      <c r="J34104" s="5">
        <v>0</v>
      </c>
      <c r="K34104" s="5">
        <v>0</v>
      </c>
    </row>
    <row r="34105" spans="1:11" x14ac:dyDescent="0.25">
      <c r="A34105" s="5">
        <f>34098</f>
      </c>
      <c r="B34105" s="5" t="s">
        <v>34113</v>
      </c>
      <c r="C34105" s="5">
        <v>102.1</v>
      </c>
      <c r="D34105" s="5">
        <v>0.1</v>
      </c>
      <c r="E34105" s="5">
        <v>102.2</v>
      </c>
      <c r="F34105" s="5">
        <v>204.2</v>
      </c>
      <c r="G34105" s="5">
        <v>101.8</v>
      </c>
      <c r="H34105" s="5">
        <v>101.7</v>
      </c>
      <c r="I34105" s="5">
        <v>0</v>
      </c>
      <c r="J34105" s="5">
        <v>0</v>
      </c>
      <c r="K34105" s="5">
        <v>0</v>
      </c>
    </row>
    <row r="34106" spans="1:11" x14ac:dyDescent="0.25">
      <c r="A34106" s="5">
        <f>34099</f>
      </c>
      <c r="B34106" s="5" t="s">
        <v>34114</v>
      </c>
      <c r="C34106" s="5">
        <v>102.1</v>
      </c>
      <c r="D34106" s="5">
        <v>0.1</v>
      </c>
      <c r="E34106" s="5">
        <v>102.2</v>
      </c>
      <c r="F34106" s="5">
        <v>204.2</v>
      </c>
      <c r="G34106" s="5">
        <v>101.8</v>
      </c>
      <c r="H34106" s="5">
        <v>101.7</v>
      </c>
      <c r="I34106" s="5">
        <v>0</v>
      </c>
      <c r="J34106" s="5">
        <v>0</v>
      </c>
      <c r="K34106" s="5">
        <v>0</v>
      </c>
    </row>
    <row r="34107" spans="1:11" x14ac:dyDescent="0.25">
      <c r="A34107" s="5">
        <f>34100</f>
      </c>
      <c r="B34107" s="5" t="s">
        <v>34115</v>
      </c>
      <c r="C34107" s="5">
        <v>102.7</v>
      </c>
      <c r="D34107" s="5">
        <v>0.1</v>
      </c>
      <c r="E34107" s="5">
        <v>102.8</v>
      </c>
      <c r="F34107" s="5">
        <v>205</v>
      </c>
      <c r="G34107" s="5">
        <v>102.3</v>
      </c>
      <c r="H34107" s="5">
        <v>102.1</v>
      </c>
      <c r="I34107" s="5">
        <v>0</v>
      </c>
      <c r="J34107" s="5">
        <v>0</v>
      </c>
      <c r="K34107" s="5">
        <v>0</v>
      </c>
    </row>
    <row r="34108" spans="1:11" x14ac:dyDescent="0.25">
      <c r="A34108" s="5">
        <f>34101</f>
      </c>
      <c r="B34108" s="5" t="s">
        <v>34116</v>
      </c>
      <c r="C34108" s="5">
        <v>102.7</v>
      </c>
      <c r="D34108" s="5">
        <v>0.1</v>
      </c>
      <c r="E34108" s="5">
        <v>102.8</v>
      </c>
      <c r="F34108" s="5">
        <v>205</v>
      </c>
      <c r="G34108" s="5">
        <v>102.3</v>
      </c>
      <c r="H34108" s="5">
        <v>102.1</v>
      </c>
      <c r="I34108" s="5">
        <v>0</v>
      </c>
      <c r="J34108" s="5">
        <v>0</v>
      </c>
      <c r="K34108" s="5">
        <v>0</v>
      </c>
    </row>
    <row r="34109" spans="1:11" x14ac:dyDescent="0.25">
      <c r="A34109" s="5">
        <f>34102</f>
      </c>
      <c r="B34109" s="5" t="s">
        <v>34117</v>
      </c>
      <c r="C34109" s="5">
        <v>102.7</v>
      </c>
      <c r="D34109" s="5">
        <v>0.1</v>
      </c>
      <c r="E34109" s="5">
        <v>102.8</v>
      </c>
      <c r="F34109" s="5">
        <v>204.9</v>
      </c>
      <c r="G34109" s="5">
        <v>102.2</v>
      </c>
      <c r="H34109" s="5">
        <v>102.1</v>
      </c>
      <c r="I34109" s="5">
        <v>0</v>
      </c>
      <c r="J34109" s="5">
        <v>0</v>
      </c>
      <c r="K34109" s="5">
        <v>0</v>
      </c>
    </row>
    <row r="34110" spans="1:11" x14ac:dyDescent="0.25">
      <c r="A34110" s="5">
        <f>34103</f>
      </c>
      <c r="B34110" s="5" t="s">
        <v>34118</v>
      </c>
      <c r="C34110" s="5">
        <v>102.7</v>
      </c>
      <c r="D34110" s="5">
        <v>0.1</v>
      </c>
      <c r="E34110" s="5">
        <v>102.8</v>
      </c>
      <c r="F34110" s="5">
        <v>204.9</v>
      </c>
      <c r="G34110" s="5">
        <v>102.2</v>
      </c>
      <c r="H34110" s="5">
        <v>102.1</v>
      </c>
      <c r="I34110" s="5">
        <v>0</v>
      </c>
      <c r="J34110" s="5">
        <v>0</v>
      </c>
      <c r="K34110" s="5">
        <v>0</v>
      </c>
    </row>
    <row r="34111" spans="1:11" x14ac:dyDescent="0.25">
      <c r="A34111" s="5">
        <f>34104</f>
      </c>
      <c r="B34111" s="5" t="s">
        <v>34119</v>
      </c>
      <c r="C34111" s="5">
        <v>102.7</v>
      </c>
      <c r="D34111" s="5">
        <v>0.1</v>
      </c>
      <c r="E34111" s="5">
        <v>102.8</v>
      </c>
      <c r="F34111" s="5">
        <v>204.9</v>
      </c>
      <c r="G34111" s="5">
        <v>102.2</v>
      </c>
      <c r="H34111" s="5">
        <v>102.1</v>
      </c>
      <c r="I34111" s="5">
        <v>0</v>
      </c>
      <c r="J34111" s="5">
        <v>0</v>
      </c>
      <c r="K34111" s="5">
        <v>0</v>
      </c>
    </row>
    <row r="34112" spans="1:11" x14ac:dyDescent="0.25">
      <c r="A34112" s="5">
        <f>34105</f>
      </c>
      <c r="B34112" s="5" t="s">
        <v>34120</v>
      </c>
      <c r="C34112" s="5">
        <v>102.7</v>
      </c>
      <c r="D34112" s="5">
        <v>0.1</v>
      </c>
      <c r="E34112" s="5">
        <v>102.8</v>
      </c>
      <c r="F34112" s="5">
        <v>204.9</v>
      </c>
      <c r="G34112" s="5">
        <v>102.2</v>
      </c>
      <c r="H34112" s="5">
        <v>102.1</v>
      </c>
      <c r="I34112" s="5">
        <v>0</v>
      </c>
      <c r="J34112" s="5">
        <v>0</v>
      </c>
      <c r="K34112" s="5">
        <v>0</v>
      </c>
    </row>
    <row r="34113" spans="1:11" x14ac:dyDescent="0.25">
      <c r="A34113" s="5">
        <f>34106</f>
      </c>
      <c r="B34113" s="5" t="s">
        <v>34121</v>
      </c>
      <c r="C34113" s="5">
        <v>103</v>
      </c>
      <c r="D34113" s="5">
        <v>0.1</v>
      </c>
      <c r="E34113" s="5">
        <v>103.1</v>
      </c>
      <c r="F34113" s="5">
        <v>205.3</v>
      </c>
      <c r="G34113" s="5">
        <v>102.4</v>
      </c>
      <c r="H34113" s="5">
        <v>102.3</v>
      </c>
      <c r="I34113" s="5">
        <v>0</v>
      </c>
      <c r="J34113" s="5">
        <v>0</v>
      </c>
      <c r="K34113" s="5">
        <v>0</v>
      </c>
    </row>
    <row r="34114" spans="1:11" x14ac:dyDescent="0.25">
      <c r="A34114" s="5">
        <f>34107</f>
      </c>
      <c r="B34114" s="5" t="s">
        <v>34122</v>
      </c>
      <c r="C34114" s="5">
        <v>103</v>
      </c>
      <c r="D34114" s="5">
        <v>0.1</v>
      </c>
      <c r="E34114" s="5">
        <v>103.1</v>
      </c>
      <c r="F34114" s="5">
        <v>205.3</v>
      </c>
      <c r="G34114" s="5">
        <v>102.4</v>
      </c>
      <c r="H34114" s="5">
        <v>102.3</v>
      </c>
      <c r="I34114" s="5">
        <v>0</v>
      </c>
      <c r="J34114" s="5">
        <v>0</v>
      </c>
      <c r="K34114" s="5">
        <v>0</v>
      </c>
    </row>
    <row r="34115" spans="1:11" x14ac:dyDescent="0.25">
      <c r="A34115" s="5">
        <f>34108</f>
      </c>
      <c r="B34115" s="5" t="s">
        <v>34123</v>
      </c>
      <c r="C34115" s="5">
        <v>102.8</v>
      </c>
      <c r="D34115" s="5">
        <v>0.1</v>
      </c>
      <c r="E34115" s="5">
        <v>103</v>
      </c>
      <c r="F34115" s="5">
        <v>205.1</v>
      </c>
      <c r="G34115" s="5">
        <v>102.4</v>
      </c>
      <c r="H34115" s="5">
        <v>102.2</v>
      </c>
      <c r="I34115" s="5">
        <v>0</v>
      </c>
      <c r="J34115" s="5">
        <v>0</v>
      </c>
      <c r="K34115" s="5">
        <v>0</v>
      </c>
    </row>
    <row r="34116" spans="1:11" x14ac:dyDescent="0.25">
      <c r="A34116" s="5">
        <f>34109</f>
      </c>
      <c r="B34116" s="5" t="s">
        <v>34124</v>
      </c>
      <c r="C34116" s="5">
        <v>102.8</v>
      </c>
      <c r="D34116" s="5">
        <v>0.1</v>
      </c>
      <c r="E34116" s="5">
        <v>103</v>
      </c>
      <c r="F34116" s="5">
        <v>205.1</v>
      </c>
      <c r="G34116" s="5">
        <v>102.4</v>
      </c>
      <c r="H34116" s="5">
        <v>102.2</v>
      </c>
      <c r="I34116" s="5">
        <v>0</v>
      </c>
      <c r="J34116" s="5">
        <v>0</v>
      </c>
      <c r="K34116" s="5">
        <v>0</v>
      </c>
    </row>
    <row r="34117" spans="1:11" x14ac:dyDescent="0.25">
      <c r="A34117" s="5">
        <f>34110</f>
      </c>
      <c r="B34117" s="5" t="s">
        <v>34125</v>
      </c>
      <c r="C34117" s="5">
        <v>102.4</v>
      </c>
      <c r="D34117" s="5">
        <v>0.1</v>
      </c>
      <c r="E34117" s="5">
        <v>102.5</v>
      </c>
      <c r="F34117" s="5">
        <v>204.7</v>
      </c>
      <c r="G34117" s="5">
        <v>102.1</v>
      </c>
      <c r="H34117" s="5">
        <v>102.2</v>
      </c>
      <c r="I34117" s="5">
        <v>0</v>
      </c>
      <c r="J34117" s="5">
        <v>0</v>
      </c>
      <c r="K34117" s="5">
        <v>0</v>
      </c>
    </row>
    <row r="34118" spans="1:11" x14ac:dyDescent="0.25">
      <c r="A34118" s="5">
        <f>34111</f>
      </c>
      <c r="B34118" s="5" t="s">
        <v>34126</v>
      </c>
      <c r="C34118" s="5">
        <v>102.4</v>
      </c>
      <c r="D34118" s="5">
        <v>0.1</v>
      </c>
      <c r="E34118" s="5">
        <v>102.5</v>
      </c>
      <c r="F34118" s="5">
        <v>204.7</v>
      </c>
      <c r="G34118" s="5">
        <v>102.1</v>
      </c>
      <c r="H34118" s="5">
        <v>102</v>
      </c>
      <c r="I34118" s="5">
        <v>0</v>
      </c>
      <c r="J34118" s="5">
        <v>0</v>
      </c>
      <c r="K34118" s="5">
        <v>0</v>
      </c>
    </row>
    <row r="34119" spans="1:11" x14ac:dyDescent="0.25">
      <c r="A34119" s="5">
        <f>34112</f>
      </c>
      <c r="B34119" s="5" t="s">
        <v>34127</v>
      </c>
      <c r="C34119" s="5">
        <v>102.1</v>
      </c>
      <c r="D34119" s="5">
        <v>0.1</v>
      </c>
      <c r="E34119" s="5">
        <v>102.3</v>
      </c>
      <c r="F34119" s="5">
        <v>203.7</v>
      </c>
      <c r="G34119" s="5">
        <v>102.1</v>
      </c>
      <c r="H34119" s="5">
        <v>102</v>
      </c>
      <c r="I34119" s="5">
        <v>0</v>
      </c>
      <c r="J34119" s="5">
        <v>0</v>
      </c>
      <c r="K34119" s="5">
        <v>0</v>
      </c>
    </row>
    <row r="34120" spans="1:11" x14ac:dyDescent="0.25">
      <c r="A34120" s="5">
        <f>34113</f>
      </c>
      <c r="B34120" s="5" t="s">
        <v>34128</v>
      </c>
      <c r="C34120" s="5">
        <v>102.1</v>
      </c>
      <c r="D34120" s="5">
        <v>0.1</v>
      </c>
      <c r="E34120" s="5">
        <v>102.3</v>
      </c>
      <c r="F34120" s="5">
        <v>203.7</v>
      </c>
      <c r="G34120" s="5">
        <v>101.6</v>
      </c>
      <c r="H34120" s="5">
        <v>101.5</v>
      </c>
      <c r="I34120" s="5">
        <v>0</v>
      </c>
      <c r="J34120" s="5">
        <v>0</v>
      </c>
      <c r="K34120" s="5">
        <v>0</v>
      </c>
    </row>
    <row r="34121" spans="1:11" x14ac:dyDescent="0.25">
      <c r="A34121" s="5">
        <f>34114</f>
      </c>
      <c r="B34121" s="5" t="s">
        <v>34129</v>
      </c>
      <c r="C34121" s="5">
        <v>102.1</v>
      </c>
      <c r="D34121" s="5">
        <v>0.1</v>
      </c>
      <c r="E34121" s="5">
        <v>102.3</v>
      </c>
      <c r="F34121" s="5">
        <v>203.7</v>
      </c>
      <c r="G34121" s="5">
        <v>101.6</v>
      </c>
      <c r="H34121" s="5">
        <v>101.5</v>
      </c>
      <c r="I34121" s="5">
        <v>0</v>
      </c>
      <c r="J34121" s="5">
        <v>0</v>
      </c>
      <c r="K34121" s="5">
        <v>0</v>
      </c>
    </row>
    <row r="34122" spans="1:11" x14ac:dyDescent="0.25">
      <c r="A34122" s="5">
        <f>34115</f>
      </c>
      <c r="B34122" s="5" t="s">
        <v>34130</v>
      </c>
      <c r="C34122" s="5">
        <v>102.1</v>
      </c>
      <c r="D34122" s="5">
        <v>0.1</v>
      </c>
      <c r="E34122" s="5">
        <v>102.3</v>
      </c>
      <c r="F34122" s="5">
        <v>203.7</v>
      </c>
      <c r="G34122" s="5">
        <v>101.6</v>
      </c>
      <c r="H34122" s="5">
        <v>101.5</v>
      </c>
      <c r="I34122" s="5">
        <v>0</v>
      </c>
      <c r="J34122" s="5">
        <v>0</v>
      </c>
      <c r="K34122" s="5">
        <v>0</v>
      </c>
    </row>
    <row r="34123" spans="1:11" x14ac:dyDescent="0.25">
      <c r="A34123" s="5">
        <f>34116</f>
      </c>
      <c r="B34123" s="5" t="s">
        <v>34131</v>
      </c>
      <c r="C34123" s="5">
        <v>102.4</v>
      </c>
      <c r="D34123" s="5">
        <v>0.1</v>
      </c>
      <c r="E34123" s="5">
        <v>102.5</v>
      </c>
      <c r="F34123" s="5">
        <v>204</v>
      </c>
      <c r="G34123" s="5">
        <v>101.8</v>
      </c>
      <c r="H34123" s="5">
        <v>101.6</v>
      </c>
      <c r="I34123" s="5">
        <v>0</v>
      </c>
      <c r="J34123" s="5">
        <v>0</v>
      </c>
      <c r="K34123" s="5">
        <v>0</v>
      </c>
    </row>
    <row r="34124" spans="1:11" x14ac:dyDescent="0.25">
      <c r="A34124" s="5">
        <f>34117</f>
      </c>
      <c r="B34124" s="5" t="s">
        <v>34132</v>
      </c>
      <c r="C34124" s="5">
        <v>102.4</v>
      </c>
      <c r="D34124" s="5">
        <v>0.1</v>
      </c>
      <c r="E34124" s="5">
        <v>102.5</v>
      </c>
      <c r="F34124" s="5">
        <v>204</v>
      </c>
      <c r="G34124" s="5">
        <v>101.8</v>
      </c>
      <c r="H34124" s="5">
        <v>101.6</v>
      </c>
      <c r="I34124" s="5">
        <v>0</v>
      </c>
      <c r="J34124" s="5">
        <v>0</v>
      </c>
      <c r="K34124" s="5">
        <v>0</v>
      </c>
    </row>
    <row r="34125" spans="1:11" x14ac:dyDescent="0.25">
      <c r="A34125" s="5">
        <f>34118</f>
      </c>
      <c r="B34125" s="5" t="s">
        <v>34133</v>
      </c>
      <c r="C34125" s="5">
        <v>102.4</v>
      </c>
      <c r="D34125" s="5">
        <v>0.1</v>
      </c>
      <c r="E34125" s="5">
        <v>103.1</v>
      </c>
      <c r="F34125" s="5">
        <v>204.4</v>
      </c>
      <c r="G34125" s="5">
        <v>102</v>
      </c>
      <c r="H34125" s="5">
        <v>102</v>
      </c>
      <c r="I34125" s="5">
        <v>0</v>
      </c>
      <c r="J34125" s="5">
        <v>0</v>
      </c>
      <c r="K34125" s="5">
        <v>0</v>
      </c>
    </row>
    <row r="34126" spans="1:11" x14ac:dyDescent="0.25">
      <c r="A34126" s="5">
        <f>34119</f>
      </c>
      <c r="B34126" s="5" t="s">
        <v>34134</v>
      </c>
      <c r="C34126" s="5">
        <v>102.9</v>
      </c>
      <c r="D34126" s="5">
        <v>0.1</v>
      </c>
      <c r="E34126" s="5">
        <v>103.1</v>
      </c>
      <c r="F34126" s="5">
        <v>204.4</v>
      </c>
      <c r="G34126" s="5">
        <v>102</v>
      </c>
      <c r="H34126" s="5">
        <v>102</v>
      </c>
      <c r="I34126" s="5">
        <v>0</v>
      </c>
      <c r="J34126" s="5">
        <v>0</v>
      </c>
      <c r="K34126" s="5">
        <v>0</v>
      </c>
    </row>
    <row r="34127" spans="1:11" x14ac:dyDescent="0.25">
      <c r="A34127" s="5">
        <f>34120</f>
      </c>
      <c r="B34127" s="5" t="s">
        <v>34135</v>
      </c>
      <c r="C34127" s="5">
        <v>102.9</v>
      </c>
      <c r="D34127" s="5">
        <v>0.1</v>
      </c>
      <c r="E34127" s="5">
        <v>102.7</v>
      </c>
      <c r="F34127" s="5">
        <v>205.6</v>
      </c>
      <c r="G34127" s="5">
        <v>102.6</v>
      </c>
      <c r="H34127" s="5">
        <v>102.4</v>
      </c>
      <c r="I34127" s="5">
        <v>0</v>
      </c>
      <c r="J34127" s="5">
        <v>0</v>
      </c>
      <c r="K34127" s="5">
        <v>0</v>
      </c>
    </row>
    <row r="34128" spans="1:11" x14ac:dyDescent="0.25">
      <c r="A34128" s="5">
        <f>34121</f>
      </c>
      <c r="B34128" s="5" t="s">
        <v>34136</v>
      </c>
      <c r="C34128" s="5">
        <v>102.6</v>
      </c>
      <c r="D34128" s="5">
        <v>0.1</v>
      </c>
      <c r="E34128" s="5">
        <v>102.7</v>
      </c>
      <c r="F34128" s="5">
        <v>205.6</v>
      </c>
      <c r="G34128" s="5">
        <v>102.6</v>
      </c>
      <c r="H34128" s="5">
        <v>102.4</v>
      </c>
      <c r="I34128" s="5">
        <v>0</v>
      </c>
      <c r="J34128" s="5">
        <v>0</v>
      </c>
      <c r="K34128" s="5">
        <v>0</v>
      </c>
    </row>
    <row r="34129" spans="1:11" x14ac:dyDescent="0.25">
      <c r="A34129" s="5">
        <f>34122</f>
      </c>
      <c r="B34129" s="5" t="s">
        <v>34137</v>
      </c>
      <c r="C34129" s="5">
        <v>102.6</v>
      </c>
      <c r="D34129" s="5">
        <v>0.1</v>
      </c>
      <c r="E34129" s="5">
        <v>102.4</v>
      </c>
      <c r="F34129" s="5">
        <v>205.5</v>
      </c>
      <c r="G34129" s="5">
        <v>102.5</v>
      </c>
      <c r="H34129" s="5">
        <v>102.3</v>
      </c>
      <c r="I34129" s="5">
        <v>0</v>
      </c>
      <c r="J34129" s="5">
        <v>0</v>
      </c>
      <c r="K34129" s="5">
        <v>0</v>
      </c>
    </row>
    <row r="34130" spans="1:11" x14ac:dyDescent="0.25">
      <c r="A34130" s="5">
        <f>34123</f>
      </c>
      <c r="B34130" s="5" t="s">
        <v>34138</v>
      </c>
      <c r="C34130" s="5">
        <v>102.3</v>
      </c>
      <c r="D34130" s="5">
        <v>0.1</v>
      </c>
      <c r="E34130" s="5">
        <v>102.4</v>
      </c>
      <c r="F34130" s="5">
        <v>205.5</v>
      </c>
      <c r="G34130" s="5">
        <v>102.5</v>
      </c>
      <c r="H34130" s="5">
        <v>102.3</v>
      </c>
      <c r="I34130" s="5">
        <v>0</v>
      </c>
      <c r="J34130" s="5">
        <v>0</v>
      </c>
      <c r="K34130" s="5">
        <v>0</v>
      </c>
    </row>
    <row r="34131" spans="1:11" x14ac:dyDescent="0.25">
      <c r="A34131" s="5">
        <f>34124</f>
      </c>
      <c r="B34131" s="5" t="s">
        <v>34139</v>
      </c>
      <c r="C34131" s="5">
        <v>102.3</v>
      </c>
      <c r="D34131" s="5">
        <v>0.1</v>
      </c>
      <c r="E34131" s="5">
        <v>102.4</v>
      </c>
      <c r="F34131" s="5">
        <v>205.5</v>
      </c>
      <c r="G34131" s="5">
        <v>102.5</v>
      </c>
      <c r="H34131" s="5">
        <v>102.3</v>
      </c>
      <c r="I34131" s="5">
        <v>0</v>
      </c>
      <c r="J34131" s="5">
        <v>0</v>
      </c>
      <c r="K34131" s="5">
        <v>0</v>
      </c>
    </row>
    <row r="34132" spans="1:11" x14ac:dyDescent="0.25">
      <c r="A34132" s="5">
        <f>34125</f>
      </c>
      <c r="B34132" s="5" t="s">
        <v>34140</v>
      </c>
      <c r="C34132" s="5">
        <v>102.3</v>
      </c>
      <c r="D34132" s="5">
        <v>0.1</v>
      </c>
      <c r="E34132" s="5">
        <v>102.4</v>
      </c>
      <c r="F34132" s="5">
        <v>205.5</v>
      </c>
      <c r="G34132" s="5">
        <v>102.5</v>
      </c>
      <c r="H34132" s="5">
        <v>102.3</v>
      </c>
      <c r="I34132" s="5">
        <v>0</v>
      </c>
      <c r="J34132" s="5">
        <v>0</v>
      </c>
      <c r="K34132" s="5">
        <v>0</v>
      </c>
    </row>
    <row r="34133" spans="1:11" x14ac:dyDescent="0.25">
      <c r="A34133" s="5">
        <f>34126</f>
      </c>
      <c r="B34133" s="5" t="s">
        <v>34141</v>
      </c>
      <c r="C34133" s="5">
        <v>101.6</v>
      </c>
      <c r="D34133" s="5">
        <v>0.1</v>
      </c>
      <c r="E34133" s="5">
        <v>101.8</v>
      </c>
      <c r="F34133" s="5">
        <v>203.3</v>
      </c>
      <c r="G34133" s="5">
        <v>101.4</v>
      </c>
      <c r="H34133" s="5">
        <v>101.5</v>
      </c>
      <c r="I34133" s="5">
        <v>0</v>
      </c>
      <c r="J34133" s="5">
        <v>0</v>
      </c>
      <c r="K34133" s="5">
        <v>0</v>
      </c>
    </row>
    <row r="34134" spans="1:11" x14ac:dyDescent="0.25">
      <c r="A34134" s="5">
        <f>34127</f>
      </c>
      <c r="B34134" s="5" t="s">
        <v>34142</v>
      </c>
      <c r="C34134" s="5">
        <v>101.6</v>
      </c>
      <c r="D34134" s="5">
        <v>0.1</v>
      </c>
      <c r="E34134" s="5">
        <v>101.8</v>
      </c>
      <c r="F34134" s="5">
        <v>203.3</v>
      </c>
      <c r="G34134" s="5">
        <v>101.4</v>
      </c>
      <c r="H34134" s="5">
        <v>101.5</v>
      </c>
      <c r="I34134" s="5">
        <v>0</v>
      </c>
      <c r="J34134" s="5">
        <v>0</v>
      </c>
      <c r="K34134" s="5">
        <v>0</v>
      </c>
    </row>
    <row r="34135" spans="1:11" x14ac:dyDescent="0.25">
      <c r="A34135" s="5">
        <f>34128</f>
      </c>
      <c r="B34135" s="5" t="s">
        <v>34143</v>
      </c>
      <c r="C34135" s="5">
        <v>102.4</v>
      </c>
      <c r="D34135" s="5">
        <v>0.1</v>
      </c>
      <c r="E34135" s="5">
        <v>102.5</v>
      </c>
      <c r="F34135" s="5">
        <v>204.6</v>
      </c>
      <c r="G34135" s="5">
        <v>102.1</v>
      </c>
      <c r="H34135" s="5">
        <v>102</v>
      </c>
      <c r="I34135" s="5">
        <v>0</v>
      </c>
      <c r="J34135" s="5">
        <v>0</v>
      </c>
      <c r="K34135" s="5">
        <v>0</v>
      </c>
    </row>
    <row r="34136" spans="1:11" x14ac:dyDescent="0.25">
      <c r="A34136" s="5">
        <f>34129</f>
      </c>
      <c r="B34136" s="5" t="s">
        <v>34144</v>
      </c>
      <c r="C34136" s="5">
        <v>102.4</v>
      </c>
      <c r="D34136" s="5">
        <v>0.1</v>
      </c>
      <c r="E34136" s="5">
        <v>102.5</v>
      </c>
      <c r="F34136" s="5">
        <v>204.6</v>
      </c>
      <c r="G34136" s="5">
        <v>102.1</v>
      </c>
      <c r="H34136" s="5">
        <v>102</v>
      </c>
      <c r="I34136" s="5">
        <v>0</v>
      </c>
      <c r="J34136" s="5">
        <v>0</v>
      </c>
      <c r="K34136" s="5">
        <v>0</v>
      </c>
    </row>
    <row r="34137" spans="1:11" x14ac:dyDescent="0.25">
      <c r="A34137" s="5">
        <f>34130</f>
      </c>
      <c r="B34137" s="5" t="s">
        <v>34145</v>
      </c>
      <c r="C34137" s="5">
        <v>102.2</v>
      </c>
      <c r="D34137" s="5">
        <v>0.1</v>
      </c>
      <c r="E34137" s="5">
        <v>102.4</v>
      </c>
      <c r="F34137" s="5">
        <v>204.2</v>
      </c>
      <c r="G34137" s="5">
        <v>101.8</v>
      </c>
      <c r="H34137" s="5">
        <v>101.7</v>
      </c>
      <c r="I34137" s="5">
        <v>0</v>
      </c>
      <c r="J34137" s="5">
        <v>0</v>
      </c>
      <c r="K34137" s="5">
        <v>0</v>
      </c>
    </row>
    <row r="34138" spans="1:11" x14ac:dyDescent="0.25">
      <c r="A34138" s="5">
        <f>34131</f>
      </c>
      <c r="B34138" s="5" t="s">
        <v>34146</v>
      </c>
      <c r="C34138" s="5">
        <v>103.1</v>
      </c>
      <c r="D34138" s="5">
        <v>0.1</v>
      </c>
      <c r="E34138" s="5">
        <v>103.3</v>
      </c>
      <c r="F34138" s="5">
        <v>205.5</v>
      </c>
      <c r="G34138" s="5">
        <v>102.6</v>
      </c>
      <c r="H34138" s="5">
        <v>102.4</v>
      </c>
      <c r="I34138" s="5">
        <v>0</v>
      </c>
      <c r="J34138" s="5">
        <v>0</v>
      </c>
      <c r="K34138" s="5">
        <v>0</v>
      </c>
    </row>
    <row r="34139" spans="1:11" x14ac:dyDescent="0.25">
      <c r="A34139" s="5">
        <f>34132</f>
      </c>
      <c r="B34139" s="5" t="s">
        <v>34147</v>
      </c>
      <c r="C34139" s="5">
        <v>103.1</v>
      </c>
      <c r="D34139" s="5">
        <v>0.1</v>
      </c>
      <c r="E34139" s="5">
        <v>103.3</v>
      </c>
      <c r="F34139" s="5">
        <v>205.5</v>
      </c>
      <c r="G34139" s="5">
        <v>102.6</v>
      </c>
      <c r="H34139" s="5">
        <v>102.4</v>
      </c>
      <c r="I34139" s="5">
        <v>0</v>
      </c>
      <c r="J34139" s="5">
        <v>0</v>
      </c>
      <c r="K34139" s="5">
        <v>0</v>
      </c>
    </row>
    <row r="34140" spans="1:11" x14ac:dyDescent="0.25">
      <c r="A34140" s="5">
        <f>34133</f>
      </c>
      <c r="B34140" s="5" t="s">
        <v>34148</v>
      </c>
      <c r="C34140" s="5">
        <v>103.1</v>
      </c>
      <c r="D34140" s="5">
        <v>0.1</v>
      </c>
      <c r="E34140" s="5">
        <v>103.3</v>
      </c>
      <c r="F34140" s="5">
        <v>205.5</v>
      </c>
      <c r="G34140" s="5">
        <v>102.6</v>
      </c>
      <c r="H34140" s="5">
        <v>102.4</v>
      </c>
      <c r="I34140" s="5">
        <v>0</v>
      </c>
      <c r="J34140" s="5">
        <v>0</v>
      </c>
      <c r="K34140" s="5">
        <v>0</v>
      </c>
    </row>
    <row r="34141" spans="1:11" x14ac:dyDescent="0.25">
      <c r="A34141" s="5">
        <f>34134</f>
      </c>
      <c r="B34141" s="5" t="s">
        <v>34149</v>
      </c>
      <c r="C34141" s="5">
        <v>102.7</v>
      </c>
      <c r="D34141" s="5">
        <v>0.1</v>
      </c>
      <c r="E34141" s="5">
        <v>102.7</v>
      </c>
      <c r="F34141" s="5">
        <v>204.8</v>
      </c>
      <c r="G34141" s="5">
        <v>102.2</v>
      </c>
      <c r="H34141" s="5">
        <v>102</v>
      </c>
      <c r="I34141" s="5">
        <v>0</v>
      </c>
      <c r="J34141" s="5">
        <v>0</v>
      </c>
      <c r="K34141" s="5">
        <v>0</v>
      </c>
    </row>
    <row r="34142" spans="1:11" x14ac:dyDescent="0.25">
      <c r="A34142" s="5">
        <f>34135</f>
      </c>
      <c r="B34142" s="5" t="s">
        <v>34150</v>
      </c>
      <c r="C34142" s="5">
        <v>102.7</v>
      </c>
      <c r="D34142" s="5">
        <v>0.1</v>
      </c>
      <c r="E34142" s="5">
        <v>102.7</v>
      </c>
      <c r="F34142" s="5">
        <v>204.8</v>
      </c>
      <c r="G34142" s="5">
        <v>102.2</v>
      </c>
      <c r="H34142" s="5">
        <v>102</v>
      </c>
      <c r="I34142" s="5">
        <v>0</v>
      </c>
      <c r="J34142" s="5">
        <v>0</v>
      </c>
      <c r="K34142" s="5">
        <v>0</v>
      </c>
    </row>
    <row r="34143" spans="1:11" x14ac:dyDescent="0.25">
      <c r="A34143" s="5">
        <f>34136</f>
      </c>
      <c r="B34143" s="5" t="s">
        <v>34151</v>
      </c>
      <c r="C34143" s="5">
        <v>102.5</v>
      </c>
      <c r="D34143" s="5">
        <v>0.1</v>
      </c>
      <c r="E34143" s="5">
        <v>102.7</v>
      </c>
      <c r="F34143" s="5">
        <v>205</v>
      </c>
      <c r="G34143" s="5">
        <v>102.2</v>
      </c>
      <c r="H34143" s="5">
        <v>102</v>
      </c>
      <c r="I34143" s="5">
        <v>0</v>
      </c>
      <c r="J34143" s="5">
        <v>0</v>
      </c>
      <c r="K34143" s="5">
        <v>0</v>
      </c>
    </row>
    <row r="34144" spans="1:11" x14ac:dyDescent="0.25">
      <c r="A34144" s="5">
        <f>34137</f>
      </c>
      <c r="B34144" s="5" t="s">
        <v>34152</v>
      </c>
      <c r="C34144" s="5">
        <v>102.5</v>
      </c>
      <c r="D34144" s="5">
        <v>0.1</v>
      </c>
      <c r="E34144" s="5">
        <v>102.7</v>
      </c>
      <c r="F34144" s="5">
        <v>205</v>
      </c>
      <c r="G34144" s="5">
        <v>102.2</v>
      </c>
      <c r="H34144" s="5">
        <v>102</v>
      </c>
      <c r="I34144" s="5">
        <v>0</v>
      </c>
      <c r="J34144" s="5">
        <v>0</v>
      </c>
      <c r="K34144" s="5">
        <v>0</v>
      </c>
    </row>
    <row r="34145" spans="1:11" x14ac:dyDescent="0.25">
      <c r="A34145" s="5">
        <f>34138</f>
      </c>
      <c r="B34145" s="5" t="s">
        <v>34153</v>
      </c>
      <c r="C34145" s="5">
        <v>103.3</v>
      </c>
      <c r="D34145" s="5">
        <v>0.1</v>
      </c>
      <c r="E34145" s="5">
        <v>103.4</v>
      </c>
      <c r="F34145" s="5">
        <v>205</v>
      </c>
      <c r="G34145" s="5">
        <v>102.3</v>
      </c>
      <c r="H34145" s="5">
        <v>102.1</v>
      </c>
      <c r="I34145" s="5">
        <v>0</v>
      </c>
      <c r="J34145" s="5">
        <v>0</v>
      </c>
      <c r="K34145" s="5">
        <v>0</v>
      </c>
    </row>
    <row r="34146" spans="1:11" x14ac:dyDescent="0.25">
      <c r="A34146" s="5">
        <f>34139</f>
      </c>
      <c r="B34146" s="5" t="s">
        <v>34154</v>
      </c>
      <c r="C34146" s="5">
        <v>103.3</v>
      </c>
      <c r="D34146" s="5">
        <v>0.1</v>
      </c>
      <c r="E34146" s="5">
        <v>103.4</v>
      </c>
      <c r="F34146" s="5">
        <v>205</v>
      </c>
      <c r="G34146" s="5">
        <v>102.3</v>
      </c>
      <c r="H34146" s="5">
        <v>102.1</v>
      </c>
      <c r="I34146" s="5">
        <v>0</v>
      </c>
      <c r="J34146" s="5">
        <v>0</v>
      </c>
      <c r="K34146" s="5">
        <v>0</v>
      </c>
    </row>
    <row r="34147" spans="1:11" x14ac:dyDescent="0.25">
      <c r="A34147" s="5">
        <f>34140</f>
      </c>
      <c r="B34147" s="5" t="s">
        <v>34155</v>
      </c>
      <c r="C34147" s="5">
        <v>103.4</v>
      </c>
      <c r="D34147" s="5">
        <v>0.1</v>
      </c>
      <c r="E34147" s="5">
        <v>103.7</v>
      </c>
      <c r="F34147" s="5">
        <v>205.5</v>
      </c>
      <c r="G34147" s="5">
        <v>102.6</v>
      </c>
      <c r="H34147" s="5">
        <v>102.4</v>
      </c>
      <c r="I34147" s="5">
        <v>0</v>
      </c>
      <c r="J34147" s="5">
        <v>0</v>
      </c>
      <c r="K34147" s="5">
        <v>0</v>
      </c>
    </row>
    <row r="34148" spans="1:11" x14ac:dyDescent="0.25">
      <c r="A34148" s="5">
        <f>34141</f>
      </c>
      <c r="B34148" s="5" t="s">
        <v>34156</v>
      </c>
      <c r="C34148" s="5">
        <v>103.4</v>
      </c>
      <c r="D34148" s="5">
        <v>0.1</v>
      </c>
      <c r="E34148" s="5">
        <v>103.7</v>
      </c>
      <c r="F34148" s="5">
        <v>205.5</v>
      </c>
      <c r="G34148" s="5">
        <v>102.6</v>
      </c>
      <c r="H34148" s="5">
        <v>102.4</v>
      </c>
      <c r="I34148" s="5">
        <v>0</v>
      </c>
      <c r="J34148" s="5">
        <v>0</v>
      </c>
      <c r="K34148" s="5">
        <v>0</v>
      </c>
    </row>
    <row r="34149" spans="1:11" x14ac:dyDescent="0.25">
      <c r="A34149" s="5">
        <f>34142</f>
      </c>
      <c r="B34149" s="5" t="s">
        <v>34157</v>
      </c>
      <c r="C34149" s="5">
        <v>103.4</v>
      </c>
      <c r="D34149" s="5">
        <v>0.1</v>
      </c>
      <c r="E34149" s="5">
        <v>103.7</v>
      </c>
      <c r="F34149" s="5">
        <v>205.5</v>
      </c>
      <c r="G34149" s="5">
        <v>102.6</v>
      </c>
      <c r="H34149" s="5">
        <v>102.4</v>
      </c>
      <c r="I34149" s="5">
        <v>0</v>
      </c>
      <c r="J34149" s="5">
        <v>0</v>
      </c>
      <c r="K34149" s="5">
        <v>0</v>
      </c>
    </row>
    <row r="34150" spans="1:11" x14ac:dyDescent="0.25">
      <c r="A34150" s="5">
        <f>34143</f>
      </c>
      <c r="B34150" s="5" t="s">
        <v>34158</v>
      </c>
      <c r="C34150" s="5">
        <v>103.4</v>
      </c>
      <c r="D34150" s="5">
        <v>0.1</v>
      </c>
      <c r="E34150" s="5">
        <v>103.7</v>
      </c>
      <c r="F34150" s="5">
        <v>205.5</v>
      </c>
      <c r="G34150" s="5">
        <v>102.6</v>
      </c>
      <c r="H34150" s="5">
        <v>102.4</v>
      </c>
      <c r="I34150" s="5">
        <v>0</v>
      </c>
      <c r="J34150" s="5">
        <v>0</v>
      </c>
      <c r="K34150" s="5">
        <v>0</v>
      </c>
    </row>
    <row r="34151" spans="1:11" x14ac:dyDescent="0.25">
      <c r="A34151" s="5">
        <f>34144</f>
      </c>
      <c r="B34151" s="5" t="s">
        <v>34159</v>
      </c>
      <c r="C34151" s="5">
        <v>102.3</v>
      </c>
      <c r="D34151" s="5">
        <v>0.1</v>
      </c>
      <c r="E34151" s="5">
        <v>102.4</v>
      </c>
      <c r="F34151" s="5">
        <v>204.2</v>
      </c>
      <c r="G34151" s="5">
        <v>101.9</v>
      </c>
      <c r="H34151" s="5">
        <v>101.7</v>
      </c>
      <c r="I34151" s="5">
        <v>0</v>
      </c>
      <c r="J34151" s="5">
        <v>0</v>
      </c>
      <c r="K34151" s="5">
        <v>0</v>
      </c>
    </row>
    <row r="34152" spans="1:11" x14ac:dyDescent="0.25">
      <c r="A34152" s="5">
        <f>34145</f>
      </c>
      <c r="B34152" s="5" t="s">
        <v>34160</v>
      </c>
      <c r="C34152" s="5">
        <v>102.3</v>
      </c>
      <c r="D34152" s="5">
        <v>0.1</v>
      </c>
      <c r="E34152" s="5">
        <v>102.4</v>
      </c>
      <c r="F34152" s="5">
        <v>204.2</v>
      </c>
      <c r="G34152" s="5">
        <v>101.9</v>
      </c>
      <c r="H34152" s="5">
        <v>101.7</v>
      </c>
      <c r="I34152" s="5">
        <v>0</v>
      </c>
      <c r="J34152" s="5">
        <v>0</v>
      </c>
      <c r="K34152" s="5">
        <v>0</v>
      </c>
    </row>
    <row r="34153" spans="1:11" x14ac:dyDescent="0.25">
      <c r="A34153" s="5">
        <f>34146</f>
      </c>
      <c r="B34153" s="5" t="s">
        <v>34161</v>
      </c>
      <c r="C34153" s="5">
        <v>102.7</v>
      </c>
      <c r="D34153" s="5">
        <v>0.1</v>
      </c>
      <c r="E34153" s="5">
        <v>102.9</v>
      </c>
      <c r="F34153" s="5">
        <v>204.6</v>
      </c>
      <c r="G34153" s="5">
        <v>102.1</v>
      </c>
      <c r="H34153" s="5">
        <v>102</v>
      </c>
      <c r="I34153" s="5">
        <v>0</v>
      </c>
      <c r="J34153" s="5">
        <v>0</v>
      </c>
      <c r="K34153" s="5">
        <v>0</v>
      </c>
    </row>
    <row r="34154" spans="1:11" x14ac:dyDescent="0.25">
      <c r="A34154" s="5">
        <f>34147</f>
      </c>
      <c r="B34154" s="5" t="s">
        <v>34162</v>
      </c>
      <c r="C34154" s="5">
        <v>102.7</v>
      </c>
      <c r="D34154" s="5">
        <v>0.1</v>
      </c>
      <c r="E34154" s="5">
        <v>102.9</v>
      </c>
      <c r="F34154" s="5">
        <v>204.6</v>
      </c>
      <c r="G34154" s="5">
        <v>102.1</v>
      </c>
      <c r="H34154" s="5">
        <v>102</v>
      </c>
      <c r="I34154" s="5">
        <v>0</v>
      </c>
      <c r="J34154" s="5">
        <v>0</v>
      </c>
      <c r="K34154" s="5">
        <v>0</v>
      </c>
    </row>
    <row r="34155" spans="1:11" x14ac:dyDescent="0.25">
      <c r="A34155" s="5">
        <f>34148</f>
      </c>
      <c r="B34155" s="5" t="s">
        <v>34163</v>
      </c>
      <c r="C34155" s="5">
        <v>102.5</v>
      </c>
      <c r="D34155" s="5">
        <v>0.1</v>
      </c>
      <c r="E34155" s="5">
        <v>102.7</v>
      </c>
      <c r="F34155" s="5">
        <v>204.8</v>
      </c>
      <c r="G34155" s="5">
        <v>102.2</v>
      </c>
      <c r="H34155" s="5">
        <v>102.1</v>
      </c>
      <c r="I34155" s="5">
        <v>0</v>
      </c>
      <c r="J34155" s="5">
        <v>0</v>
      </c>
      <c r="K34155" s="5">
        <v>0</v>
      </c>
    </row>
    <row r="34156" spans="1:11" x14ac:dyDescent="0.25">
      <c r="A34156" s="5">
        <f>34149</f>
      </c>
      <c r="B34156" s="5" t="s">
        <v>34164</v>
      </c>
      <c r="C34156" s="5">
        <v>102.5</v>
      </c>
      <c r="D34156" s="5">
        <v>0.1</v>
      </c>
      <c r="E34156" s="5">
        <v>102.7</v>
      </c>
      <c r="F34156" s="5">
        <v>204.8</v>
      </c>
      <c r="G34156" s="5">
        <v>102.2</v>
      </c>
      <c r="H34156" s="5">
        <v>102.1</v>
      </c>
      <c r="I34156" s="5">
        <v>0</v>
      </c>
      <c r="J34156" s="5">
        <v>0</v>
      </c>
      <c r="K34156" s="5">
        <v>0</v>
      </c>
    </row>
    <row r="34157" spans="1:11" x14ac:dyDescent="0.25">
      <c r="A34157" s="5">
        <f>34150</f>
      </c>
      <c r="B34157" s="5" t="s">
        <v>34165</v>
      </c>
      <c r="C34157" s="5">
        <v>102</v>
      </c>
      <c r="D34157" s="5">
        <v>0.1</v>
      </c>
      <c r="E34157" s="5">
        <v>102.1</v>
      </c>
      <c r="F34157" s="5">
        <v>204.4</v>
      </c>
      <c r="G34157" s="5">
        <v>101.9</v>
      </c>
      <c r="H34157" s="5">
        <v>101.7</v>
      </c>
      <c r="I34157" s="5">
        <v>0</v>
      </c>
      <c r="J34157" s="5">
        <v>0</v>
      </c>
      <c r="K34157" s="5">
        <v>0</v>
      </c>
    </row>
    <row r="34158" spans="1:11" x14ac:dyDescent="0.25">
      <c r="A34158" s="5">
        <f>34151</f>
      </c>
      <c r="B34158" s="5" t="s">
        <v>34166</v>
      </c>
      <c r="C34158" s="5">
        <v>102</v>
      </c>
      <c r="D34158" s="5">
        <v>0.1</v>
      </c>
      <c r="E34158" s="5">
        <v>102.1</v>
      </c>
      <c r="F34158" s="5">
        <v>204.4</v>
      </c>
      <c r="G34158" s="5">
        <v>101.9</v>
      </c>
      <c r="H34158" s="5">
        <v>101.7</v>
      </c>
      <c r="I34158" s="5">
        <v>0</v>
      </c>
      <c r="J34158" s="5">
        <v>0</v>
      </c>
      <c r="K34158" s="5">
        <v>0</v>
      </c>
    </row>
    <row r="34159" spans="1:11" x14ac:dyDescent="0.25">
      <c r="A34159" s="5">
        <f>34152</f>
      </c>
      <c r="B34159" s="5" t="s">
        <v>34167</v>
      </c>
      <c r="C34159" s="5">
        <v>102</v>
      </c>
      <c r="D34159" s="5">
        <v>0.1</v>
      </c>
      <c r="E34159" s="5">
        <v>102.1</v>
      </c>
      <c r="F34159" s="5">
        <v>204.4</v>
      </c>
      <c r="G34159" s="5">
        <v>101.9</v>
      </c>
      <c r="H34159" s="5">
        <v>101.7</v>
      </c>
      <c r="I34159" s="5">
        <v>0</v>
      </c>
      <c r="J34159" s="5">
        <v>0</v>
      </c>
      <c r="K34159" s="5">
        <v>0</v>
      </c>
    </row>
    <row r="34160" spans="1:11" x14ac:dyDescent="0.25">
      <c r="A34160" s="5">
        <f>34153</f>
      </c>
      <c r="B34160" s="5" t="s">
        <v>34168</v>
      </c>
      <c r="C34160" s="5">
        <v>102</v>
      </c>
      <c r="D34160" s="5">
        <v>0.1</v>
      </c>
      <c r="E34160" s="5">
        <v>102.1</v>
      </c>
      <c r="F34160" s="5">
        <v>204.4</v>
      </c>
      <c r="G34160" s="5">
        <v>101.9</v>
      </c>
      <c r="H34160" s="5">
        <v>101.7</v>
      </c>
      <c r="I34160" s="5">
        <v>0</v>
      </c>
      <c r="J34160" s="5">
        <v>0</v>
      </c>
      <c r="K34160" s="5">
        <v>0</v>
      </c>
    </row>
    <row r="34161" spans="1:11" x14ac:dyDescent="0.25">
      <c r="A34161" s="5">
        <f>34154</f>
      </c>
      <c r="B34161" s="5" t="s">
        <v>34169</v>
      </c>
      <c r="C34161" s="5">
        <v>102.9</v>
      </c>
      <c r="D34161" s="5">
        <v>0.1</v>
      </c>
      <c r="E34161" s="5">
        <v>103.1</v>
      </c>
      <c r="F34161" s="5">
        <v>205.3</v>
      </c>
      <c r="G34161" s="5">
        <v>102.4</v>
      </c>
      <c r="H34161" s="5">
        <v>102.3</v>
      </c>
      <c r="I34161" s="5">
        <v>0</v>
      </c>
      <c r="J34161" s="5">
        <v>0</v>
      </c>
      <c r="K34161" s="5">
        <v>0</v>
      </c>
    </row>
    <row r="34162" spans="1:11" x14ac:dyDescent="0.25">
      <c r="A34162" s="5">
        <f>34155</f>
      </c>
      <c r="B34162" s="5" t="s">
        <v>34170</v>
      </c>
      <c r="C34162" s="5">
        <v>102.9</v>
      </c>
      <c r="D34162" s="5">
        <v>0.1</v>
      </c>
      <c r="E34162" s="5">
        <v>103.1</v>
      </c>
      <c r="F34162" s="5">
        <v>205.3</v>
      </c>
      <c r="G34162" s="5">
        <v>102.4</v>
      </c>
      <c r="H34162" s="5">
        <v>102.3</v>
      </c>
      <c r="I34162" s="5">
        <v>0</v>
      </c>
      <c r="J34162" s="5">
        <v>0</v>
      </c>
      <c r="K34162" s="5">
        <v>0</v>
      </c>
    </row>
    <row r="34163" spans="1:11" x14ac:dyDescent="0.25">
      <c r="A34163" s="5">
        <f>34156</f>
      </c>
      <c r="B34163" s="5" t="s">
        <v>34171</v>
      </c>
      <c r="C34163" s="5">
        <v>103.1</v>
      </c>
      <c r="D34163" s="5">
        <v>0.1</v>
      </c>
      <c r="E34163" s="5">
        <v>103.2</v>
      </c>
      <c r="F34163" s="5">
        <v>205.6</v>
      </c>
      <c r="G34163" s="5">
        <v>102.6</v>
      </c>
      <c r="H34163" s="5">
        <v>102.4</v>
      </c>
      <c r="I34163" s="5">
        <v>0</v>
      </c>
      <c r="J34163" s="5">
        <v>0</v>
      </c>
      <c r="K34163" s="5">
        <v>0</v>
      </c>
    </row>
    <row r="34164" spans="1:11" x14ac:dyDescent="0.25">
      <c r="A34164" s="5">
        <f>34157</f>
      </c>
      <c r="B34164" s="5" t="s">
        <v>34172</v>
      </c>
      <c r="C34164" s="5">
        <v>103.1</v>
      </c>
      <c r="D34164" s="5">
        <v>0.1</v>
      </c>
      <c r="E34164" s="5">
        <v>103.2</v>
      </c>
      <c r="F34164" s="5">
        <v>205.6</v>
      </c>
      <c r="G34164" s="5">
        <v>102.6</v>
      </c>
      <c r="H34164" s="5">
        <v>102.4</v>
      </c>
      <c r="I34164" s="5">
        <v>0</v>
      </c>
      <c r="J34164" s="5">
        <v>0</v>
      </c>
      <c r="K34164" s="5">
        <v>0</v>
      </c>
    </row>
    <row r="34165" spans="1:11" x14ac:dyDescent="0.25">
      <c r="A34165" s="5">
        <f>34158</f>
      </c>
      <c r="B34165" s="5" t="s">
        <v>34173</v>
      </c>
      <c r="C34165" s="5">
        <v>105.1</v>
      </c>
      <c r="D34165" s="5">
        <v>0.1</v>
      </c>
      <c r="E34165" s="5">
        <v>105.3</v>
      </c>
      <c r="F34165" s="5">
        <v>210.4</v>
      </c>
      <c r="G34165" s="5">
        <v>105</v>
      </c>
      <c r="H34165" s="5">
        <v>104.8</v>
      </c>
      <c r="I34165" s="5">
        <v>0</v>
      </c>
      <c r="J34165" s="5">
        <v>0</v>
      </c>
      <c r="K34165" s="5">
        <v>0</v>
      </c>
    </row>
    <row r="34166" spans="1:11" x14ac:dyDescent="0.25">
      <c r="A34166" s="5">
        <f>34159</f>
      </c>
      <c r="B34166" s="5" t="s">
        <v>34174</v>
      </c>
      <c r="C34166" s="5">
        <v>105.1</v>
      </c>
      <c r="D34166" s="5">
        <v>0.1</v>
      </c>
      <c r="E34166" s="5">
        <v>105.3</v>
      </c>
      <c r="F34166" s="5">
        <v>210.4</v>
      </c>
      <c r="G34166" s="5">
        <v>105</v>
      </c>
      <c r="H34166" s="5">
        <v>104.8</v>
      </c>
      <c r="I34166" s="5">
        <v>0</v>
      </c>
      <c r="J34166" s="5">
        <v>0</v>
      </c>
      <c r="K34166" s="5">
        <v>0</v>
      </c>
    </row>
    <row r="34167" spans="1:11" x14ac:dyDescent="0.25">
      <c r="A34167" s="5">
        <f>34160</f>
      </c>
      <c r="B34167" s="5" t="s">
        <v>34175</v>
      </c>
      <c r="C34167" s="5">
        <v>104.6</v>
      </c>
      <c r="D34167" s="5">
        <v>0.1</v>
      </c>
      <c r="E34167" s="5">
        <v>104.7</v>
      </c>
      <c r="F34167" s="5">
        <v>210.1</v>
      </c>
      <c r="G34167" s="5">
        <v>104.8</v>
      </c>
      <c r="H34167" s="5">
        <v>104.7</v>
      </c>
      <c r="I34167" s="5">
        <v>0</v>
      </c>
      <c r="J34167" s="5">
        <v>0</v>
      </c>
      <c r="K34167" s="5">
        <v>0</v>
      </c>
    </row>
    <row r="34168" spans="1:11" x14ac:dyDescent="0.25">
      <c r="A34168" s="5">
        <f>34161</f>
      </c>
      <c r="B34168" s="5" t="s">
        <v>34176</v>
      </c>
      <c r="C34168" s="5">
        <v>104.6</v>
      </c>
      <c r="D34168" s="5">
        <v>0.1</v>
      </c>
      <c r="E34168" s="5">
        <v>104.7</v>
      </c>
      <c r="F34168" s="5">
        <v>210.1</v>
      </c>
      <c r="G34168" s="5">
        <v>104.8</v>
      </c>
      <c r="H34168" s="5">
        <v>104.7</v>
      </c>
      <c r="I34168" s="5">
        <v>0</v>
      </c>
      <c r="J34168" s="5">
        <v>0</v>
      </c>
      <c r="K34168" s="5">
        <v>0</v>
      </c>
    </row>
    <row r="34169" spans="1:11" x14ac:dyDescent="0.25">
      <c r="A34169" s="5">
        <f>34162</f>
      </c>
      <c r="B34169" s="5" t="s">
        <v>34177</v>
      </c>
      <c r="C34169" s="5">
        <v>104.6</v>
      </c>
      <c r="D34169" s="5">
        <v>0.1</v>
      </c>
      <c r="E34169" s="5">
        <v>104.7</v>
      </c>
      <c r="F34169" s="5">
        <v>210.1</v>
      </c>
      <c r="G34169" s="5">
        <v>104.8</v>
      </c>
      <c r="H34169" s="5">
        <v>104.7</v>
      </c>
      <c r="I34169" s="5">
        <v>0</v>
      </c>
      <c r="J34169" s="5">
        <v>0</v>
      </c>
      <c r="K34169" s="5">
        <v>0</v>
      </c>
    </row>
    <row r="34170" spans="1:11" x14ac:dyDescent="0.25">
      <c r="A34170" s="5">
        <f>34163</f>
      </c>
      <c r="B34170" s="5" t="s">
        <v>34178</v>
      </c>
      <c r="C34170" s="5">
        <v>104.6</v>
      </c>
      <c r="D34170" s="5">
        <v>0.1</v>
      </c>
      <c r="E34170" s="5">
        <v>104.7</v>
      </c>
      <c r="F34170" s="5">
        <v>210.1</v>
      </c>
      <c r="G34170" s="5">
        <v>104.8</v>
      </c>
      <c r="H34170" s="5">
        <v>104.7</v>
      </c>
      <c r="I34170" s="5">
        <v>0</v>
      </c>
      <c r="J34170" s="5">
        <v>0</v>
      </c>
      <c r="K34170" s="5">
        <v>0</v>
      </c>
    </row>
    <row r="34171" spans="1:11" x14ac:dyDescent="0.25">
      <c r="A34171" s="5">
        <f>34164</f>
      </c>
      <c r="B34171" s="5" t="s">
        <v>34179</v>
      </c>
      <c r="C34171" s="5">
        <v>104.2</v>
      </c>
      <c r="D34171" s="5">
        <v>0.1</v>
      </c>
      <c r="E34171" s="5">
        <v>104.3</v>
      </c>
      <c r="F34171" s="5">
        <v>208.7</v>
      </c>
      <c r="G34171" s="5">
        <v>104.1</v>
      </c>
      <c r="H34171" s="5">
        <v>104</v>
      </c>
      <c r="I34171" s="5">
        <v>0</v>
      </c>
      <c r="J34171" s="5">
        <v>0</v>
      </c>
      <c r="K34171" s="5">
        <v>0</v>
      </c>
    </row>
    <row r="34172" spans="1:11" x14ac:dyDescent="0.25">
      <c r="A34172" s="5">
        <f>34165</f>
      </c>
      <c r="B34172" s="5" t="s">
        <v>34180</v>
      </c>
      <c r="C34172" s="5">
        <v>104.2</v>
      </c>
      <c r="D34172" s="5">
        <v>0.1</v>
      </c>
      <c r="E34172" s="5">
        <v>104.3</v>
      </c>
      <c r="F34172" s="5">
        <v>208.7</v>
      </c>
      <c r="G34172" s="5">
        <v>104.1</v>
      </c>
      <c r="H34172" s="5">
        <v>104</v>
      </c>
      <c r="I34172" s="5">
        <v>0</v>
      </c>
      <c r="J34172" s="5">
        <v>0</v>
      </c>
      <c r="K34172" s="5">
        <v>0</v>
      </c>
    </row>
    <row r="34173" spans="1:11" x14ac:dyDescent="0.25">
      <c r="A34173" s="5">
        <f>34166</f>
      </c>
      <c r="B34173" s="5" t="s">
        <v>34181</v>
      </c>
      <c r="C34173" s="5">
        <v>105</v>
      </c>
      <c r="D34173" s="5">
        <v>0.1</v>
      </c>
      <c r="E34173" s="5">
        <v>105.1</v>
      </c>
      <c r="F34173" s="5">
        <v>209.7</v>
      </c>
      <c r="G34173" s="5">
        <v>104.6</v>
      </c>
      <c r="H34173" s="5">
        <v>104.4</v>
      </c>
      <c r="I34173" s="5">
        <v>0</v>
      </c>
      <c r="J34173" s="5">
        <v>0</v>
      </c>
      <c r="K34173" s="5">
        <v>0</v>
      </c>
    </row>
    <row r="34174" spans="1:11" x14ac:dyDescent="0.25">
      <c r="A34174" s="5">
        <f>34167</f>
      </c>
      <c r="B34174" s="5" t="s">
        <v>34182</v>
      </c>
      <c r="C34174" s="5">
        <v>105</v>
      </c>
      <c r="D34174" s="5">
        <v>0.1</v>
      </c>
      <c r="E34174" s="5">
        <v>105.1</v>
      </c>
      <c r="F34174" s="5">
        <v>209.7</v>
      </c>
      <c r="G34174" s="5">
        <v>104.6</v>
      </c>
      <c r="H34174" s="5">
        <v>104.4</v>
      </c>
      <c r="I34174" s="5">
        <v>0</v>
      </c>
      <c r="J34174" s="5">
        <v>0</v>
      </c>
      <c r="K34174" s="5">
        <v>0</v>
      </c>
    </row>
    <row r="34175" spans="1:11" x14ac:dyDescent="0.25">
      <c r="A34175" s="5">
        <f>34168</f>
      </c>
      <c r="B34175" s="5" t="s">
        <v>34183</v>
      </c>
      <c r="C34175" s="5">
        <v>105.5</v>
      </c>
      <c r="D34175" s="5">
        <v>0.1</v>
      </c>
      <c r="E34175" s="5">
        <v>105.6</v>
      </c>
      <c r="F34175" s="5">
        <v>210.8</v>
      </c>
      <c r="G34175" s="5">
        <v>105.2</v>
      </c>
      <c r="H34175" s="5">
        <v>105.1</v>
      </c>
      <c r="I34175" s="5">
        <v>0</v>
      </c>
      <c r="J34175" s="5">
        <v>0</v>
      </c>
      <c r="K34175" s="5">
        <v>0</v>
      </c>
    </row>
    <row r="34176" spans="1:11" x14ac:dyDescent="0.25">
      <c r="A34176" s="5">
        <f>34169</f>
      </c>
      <c r="B34176" s="5" t="s">
        <v>34184</v>
      </c>
      <c r="C34176" s="5">
        <v>105.5</v>
      </c>
      <c r="D34176" s="5">
        <v>0.1</v>
      </c>
      <c r="E34176" s="5">
        <v>105.6</v>
      </c>
      <c r="F34176" s="5">
        <v>210.8</v>
      </c>
      <c r="G34176" s="5">
        <v>105.2</v>
      </c>
      <c r="H34176" s="5">
        <v>105.1</v>
      </c>
      <c r="I34176" s="5">
        <v>0</v>
      </c>
      <c r="J34176" s="5">
        <v>0</v>
      </c>
      <c r="K34176" s="5">
        <v>0</v>
      </c>
    </row>
    <row r="34177" spans="1:11" x14ac:dyDescent="0.25">
      <c r="A34177" s="5">
        <f>34170</f>
      </c>
      <c r="B34177" s="5" t="s">
        <v>34185</v>
      </c>
      <c r="C34177" s="5">
        <v>105.1</v>
      </c>
      <c r="D34177" s="5">
        <v>0.1</v>
      </c>
      <c r="E34177" s="5">
        <v>105.2</v>
      </c>
      <c r="F34177" s="5">
        <v>209.2</v>
      </c>
      <c r="G34177" s="5">
        <v>104.4</v>
      </c>
      <c r="H34177" s="5">
        <v>104.2</v>
      </c>
      <c r="I34177" s="5">
        <v>0</v>
      </c>
      <c r="J34177" s="5">
        <v>0</v>
      </c>
      <c r="K34177" s="5">
        <v>0</v>
      </c>
    </row>
    <row r="34178" spans="1:11" x14ac:dyDescent="0.25">
      <c r="A34178" s="5">
        <f>34171</f>
      </c>
      <c r="B34178" s="5" t="s">
        <v>34186</v>
      </c>
      <c r="C34178" s="5">
        <v>105.1</v>
      </c>
      <c r="D34178" s="5">
        <v>0.1</v>
      </c>
      <c r="E34178" s="5">
        <v>105.2</v>
      </c>
      <c r="F34178" s="5">
        <v>209.2</v>
      </c>
      <c r="G34178" s="5">
        <v>104.4</v>
      </c>
      <c r="H34178" s="5">
        <v>104.2</v>
      </c>
      <c r="I34178" s="5">
        <v>0</v>
      </c>
      <c r="J34178" s="5">
        <v>0</v>
      </c>
      <c r="K34178" s="5">
        <v>0</v>
      </c>
    </row>
    <row r="34179" spans="1:11" x14ac:dyDescent="0.25">
      <c r="A34179" s="5">
        <f>34172</f>
      </c>
      <c r="B34179" s="5" t="s">
        <v>34187</v>
      </c>
      <c r="C34179" s="5">
        <v>105.1</v>
      </c>
      <c r="D34179" s="5">
        <v>0.1</v>
      </c>
      <c r="E34179" s="5">
        <v>105.2</v>
      </c>
      <c r="F34179" s="5">
        <v>209.2</v>
      </c>
      <c r="G34179" s="5">
        <v>104.4</v>
      </c>
      <c r="H34179" s="5">
        <v>104.2</v>
      </c>
      <c r="I34179" s="5">
        <v>0</v>
      </c>
      <c r="J34179" s="5">
        <v>0</v>
      </c>
      <c r="K34179" s="5">
        <v>0</v>
      </c>
    </row>
    <row r="34180" spans="1:11" x14ac:dyDescent="0.25">
      <c r="A34180" s="5">
        <f>34173</f>
      </c>
      <c r="B34180" s="5" t="s">
        <v>34188</v>
      </c>
      <c r="C34180" s="5">
        <v>105.1</v>
      </c>
      <c r="D34180" s="5">
        <v>0.1</v>
      </c>
      <c r="E34180" s="5">
        <v>105.2</v>
      </c>
      <c r="F34180" s="5">
        <v>209.2</v>
      </c>
      <c r="G34180" s="5">
        <v>104.4</v>
      </c>
      <c r="H34180" s="5">
        <v>104.2</v>
      </c>
      <c r="I34180" s="5">
        <v>0</v>
      </c>
      <c r="J34180" s="5">
        <v>0</v>
      </c>
      <c r="K34180" s="5">
        <v>0</v>
      </c>
    </row>
    <row r="34181" spans="1:11" x14ac:dyDescent="0.25">
      <c r="A34181" s="5">
        <f>34174</f>
      </c>
      <c r="B34181" s="5" t="s">
        <v>34189</v>
      </c>
      <c r="C34181" s="5">
        <v>104.3</v>
      </c>
      <c r="D34181" s="5">
        <v>0.1</v>
      </c>
      <c r="E34181" s="5">
        <v>104.5</v>
      </c>
      <c r="F34181" s="5">
        <v>209.5</v>
      </c>
      <c r="G34181" s="5">
        <v>104.5</v>
      </c>
      <c r="H34181" s="5">
        <v>104.4</v>
      </c>
      <c r="I34181" s="5">
        <v>0</v>
      </c>
      <c r="J34181" s="5">
        <v>0</v>
      </c>
      <c r="K34181" s="5">
        <v>0</v>
      </c>
    </row>
    <row r="34182" spans="1:11" x14ac:dyDescent="0.25">
      <c r="A34182" s="5">
        <f>34175</f>
      </c>
      <c r="B34182" s="5" t="s">
        <v>34190</v>
      </c>
      <c r="C34182" s="5">
        <v>104.3</v>
      </c>
      <c r="D34182" s="5">
        <v>0.1</v>
      </c>
      <c r="E34182" s="5">
        <v>104.5</v>
      </c>
      <c r="F34182" s="5">
        <v>209.5</v>
      </c>
      <c r="G34182" s="5">
        <v>104.5</v>
      </c>
      <c r="H34182" s="5">
        <v>104.4</v>
      </c>
      <c r="I34182" s="5">
        <v>0</v>
      </c>
      <c r="J34182" s="5">
        <v>0</v>
      </c>
      <c r="K34182" s="5">
        <v>0</v>
      </c>
    </row>
    <row r="34183" spans="1:11" x14ac:dyDescent="0.25">
      <c r="A34183" s="5">
        <f>34176</f>
      </c>
      <c r="B34183" s="5" t="s">
        <v>34191</v>
      </c>
      <c r="C34183" s="5">
        <v>105.2</v>
      </c>
      <c r="D34183" s="5">
        <v>0.1</v>
      </c>
      <c r="E34183" s="5">
        <v>105.3</v>
      </c>
      <c r="F34183" s="5">
        <v>209.1</v>
      </c>
      <c r="G34183" s="5">
        <v>104.3</v>
      </c>
      <c r="H34183" s="5">
        <v>104.2</v>
      </c>
      <c r="I34183" s="5">
        <v>0</v>
      </c>
      <c r="J34183" s="5">
        <v>0</v>
      </c>
      <c r="K34183" s="5">
        <v>0</v>
      </c>
    </row>
    <row r="34184" spans="1:11" x14ac:dyDescent="0.25">
      <c r="A34184" s="5">
        <f>34177</f>
      </c>
      <c r="B34184" s="5" t="s">
        <v>34192</v>
      </c>
      <c r="C34184" s="5">
        <v>105.2</v>
      </c>
      <c r="D34184" s="5">
        <v>0.1</v>
      </c>
      <c r="E34184" s="5">
        <v>105.3</v>
      </c>
      <c r="F34184" s="5">
        <v>209.1</v>
      </c>
      <c r="G34184" s="5">
        <v>104.3</v>
      </c>
      <c r="H34184" s="5">
        <v>104.2</v>
      </c>
      <c r="I34184" s="5">
        <v>0</v>
      </c>
      <c r="J34184" s="5">
        <v>0</v>
      </c>
      <c r="K34184" s="5">
        <v>0</v>
      </c>
    </row>
    <row r="34185" spans="1:11" x14ac:dyDescent="0.25">
      <c r="A34185" s="5">
        <f>34178</f>
      </c>
      <c r="B34185" s="5" t="s">
        <v>34193</v>
      </c>
      <c r="C34185" s="5">
        <v>104.5</v>
      </c>
      <c r="D34185" s="5">
        <v>0.1</v>
      </c>
      <c r="E34185" s="5">
        <v>104.6</v>
      </c>
      <c r="F34185" s="5">
        <v>209.5</v>
      </c>
      <c r="G34185" s="5">
        <v>104.5</v>
      </c>
      <c r="H34185" s="5">
        <v>104.3</v>
      </c>
      <c r="I34185" s="5">
        <v>0</v>
      </c>
      <c r="J34185" s="5">
        <v>0</v>
      </c>
      <c r="K34185" s="5">
        <v>0</v>
      </c>
    </row>
    <row r="34186" spans="1:11" x14ac:dyDescent="0.25">
      <c r="A34186" s="5">
        <f>34179</f>
      </c>
      <c r="B34186" s="5" t="s">
        <v>34194</v>
      </c>
      <c r="C34186" s="5">
        <v>104.5</v>
      </c>
      <c r="D34186" s="5">
        <v>0.1</v>
      </c>
      <c r="E34186" s="5">
        <v>104.6</v>
      </c>
      <c r="F34186" s="5">
        <v>209.5</v>
      </c>
      <c r="G34186" s="5">
        <v>104.5</v>
      </c>
      <c r="H34186" s="5">
        <v>104.3</v>
      </c>
      <c r="I34186" s="5">
        <v>0</v>
      </c>
      <c r="J34186" s="5">
        <v>0</v>
      </c>
      <c r="K34186" s="5">
        <v>0</v>
      </c>
    </row>
    <row r="34187" spans="1:11" x14ac:dyDescent="0.25">
      <c r="A34187" s="5">
        <f>34180</f>
      </c>
      <c r="B34187" s="5" t="s">
        <v>34195</v>
      </c>
      <c r="C34187" s="5">
        <v>104.5</v>
      </c>
      <c r="D34187" s="5">
        <v>0.1</v>
      </c>
      <c r="E34187" s="5">
        <v>104.6</v>
      </c>
      <c r="F34187" s="5">
        <v>209.5</v>
      </c>
      <c r="G34187" s="5">
        <v>104.5</v>
      </c>
      <c r="H34187" s="5">
        <v>104.3</v>
      </c>
      <c r="I34187" s="5">
        <v>0</v>
      </c>
      <c r="J34187" s="5">
        <v>0</v>
      </c>
      <c r="K34187" s="5">
        <v>0</v>
      </c>
    </row>
    <row r="34188" spans="1:11" x14ac:dyDescent="0.25">
      <c r="A34188" s="5">
        <f>34181</f>
      </c>
      <c r="B34188" s="5" t="s">
        <v>34196</v>
      </c>
      <c r="C34188" s="5">
        <v>104.5</v>
      </c>
      <c r="D34188" s="5">
        <v>0.1</v>
      </c>
      <c r="E34188" s="5">
        <v>104.6</v>
      </c>
      <c r="F34188" s="5">
        <v>209.5</v>
      </c>
      <c r="G34188" s="5">
        <v>104.5</v>
      </c>
      <c r="H34188" s="5">
        <v>104.3</v>
      </c>
      <c r="I34188" s="5">
        <v>0</v>
      </c>
      <c r="J34188" s="5">
        <v>0</v>
      </c>
      <c r="K34188" s="5">
        <v>0</v>
      </c>
    </row>
    <row r="34189" spans="1:11" x14ac:dyDescent="0.25">
      <c r="A34189" s="5">
        <f>34182</f>
      </c>
      <c r="B34189" s="5" t="s">
        <v>34197</v>
      </c>
      <c r="C34189" s="5">
        <v>105</v>
      </c>
      <c r="D34189" s="5">
        <v>0.1</v>
      </c>
      <c r="E34189" s="5">
        <v>105.2</v>
      </c>
      <c r="F34189" s="5">
        <v>210</v>
      </c>
      <c r="G34189" s="5">
        <v>104.8</v>
      </c>
      <c r="H34189" s="5">
        <v>104.6</v>
      </c>
      <c r="I34189" s="5">
        <v>0</v>
      </c>
      <c r="J34189" s="5">
        <v>0</v>
      </c>
      <c r="K34189" s="5">
        <v>0</v>
      </c>
    </row>
    <row r="34190" spans="1:11" x14ac:dyDescent="0.25">
      <c r="A34190" s="5">
        <f>34183</f>
      </c>
      <c r="B34190" s="5" t="s">
        <v>34198</v>
      </c>
      <c r="C34190" s="5">
        <v>105</v>
      </c>
      <c r="D34190" s="5">
        <v>0.1</v>
      </c>
      <c r="E34190" s="5">
        <v>105.2</v>
      </c>
      <c r="F34190" s="5">
        <v>210</v>
      </c>
      <c r="G34190" s="5">
        <v>104.8</v>
      </c>
      <c r="H34190" s="5">
        <v>104.6</v>
      </c>
      <c r="I34190" s="5">
        <v>0</v>
      </c>
      <c r="J34190" s="5">
        <v>0</v>
      </c>
      <c r="K34190" s="5">
        <v>0</v>
      </c>
    </row>
    <row r="34191" spans="1:11" x14ac:dyDescent="0.25">
      <c r="A34191" s="5">
        <f>34184</f>
      </c>
      <c r="B34191" s="5" t="s">
        <v>34199</v>
      </c>
      <c r="C34191" s="5">
        <v>105.4</v>
      </c>
      <c r="D34191" s="5">
        <v>0.1</v>
      </c>
      <c r="E34191" s="5">
        <v>105.6</v>
      </c>
      <c r="F34191" s="5">
        <v>210.3</v>
      </c>
      <c r="G34191" s="5">
        <v>104.9</v>
      </c>
      <c r="H34191" s="5">
        <v>104.8</v>
      </c>
      <c r="I34191" s="5">
        <v>0</v>
      </c>
      <c r="J34191" s="5">
        <v>0</v>
      </c>
      <c r="K34191" s="5">
        <v>0</v>
      </c>
    </row>
    <row r="34192" spans="1:11" x14ac:dyDescent="0.25">
      <c r="A34192" s="5">
        <f>34185</f>
      </c>
      <c r="B34192" s="5" t="s">
        <v>34200</v>
      </c>
      <c r="C34192" s="5">
        <v>105.4</v>
      </c>
      <c r="D34192" s="5">
        <v>0.1</v>
      </c>
      <c r="E34192" s="5">
        <v>105.6</v>
      </c>
      <c r="F34192" s="5">
        <v>210.3</v>
      </c>
      <c r="G34192" s="5">
        <v>104.9</v>
      </c>
      <c r="H34192" s="5">
        <v>104.8</v>
      </c>
      <c r="I34192" s="5">
        <v>0</v>
      </c>
      <c r="J34192" s="5">
        <v>0</v>
      </c>
      <c r="K34192" s="5">
        <v>0</v>
      </c>
    </row>
    <row r="34193" spans="1:11" x14ac:dyDescent="0.25">
      <c r="A34193" s="5">
        <f>34186</f>
      </c>
      <c r="B34193" s="5" t="s">
        <v>34201</v>
      </c>
      <c r="C34193" s="5">
        <v>104.3</v>
      </c>
      <c r="D34193" s="5">
        <v>0.1</v>
      </c>
      <c r="E34193" s="5">
        <v>104.5</v>
      </c>
      <c r="F34193" s="5">
        <v>208.4</v>
      </c>
      <c r="G34193" s="5">
        <v>104</v>
      </c>
      <c r="H34193" s="5">
        <v>103.8</v>
      </c>
      <c r="I34193" s="5">
        <v>0</v>
      </c>
      <c r="J34193" s="5">
        <v>0</v>
      </c>
      <c r="K34193" s="5">
        <v>0</v>
      </c>
    </row>
    <row r="34194" spans="1:11" x14ac:dyDescent="0.25">
      <c r="A34194" s="5">
        <f>34187</f>
      </c>
      <c r="B34194" s="5" t="s">
        <v>34202</v>
      </c>
      <c r="C34194" s="5">
        <v>104.3</v>
      </c>
      <c r="D34194" s="5">
        <v>0.1</v>
      </c>
      <c r="E34194" s="5">
        <v>104.5</v>
      </c>
      <c r="F34194" s="5">
        <v>208.4</v>
      </c>
      <c r="G34194" s="5">
        <v>104</v>
      </c>
      <c r="H34194" s="5">
        <v>103.8</v>
      </c>
      <c r="I34194" s="5">
        <v>0</v>
      </c>
      <c r="J34194" s="5">
        <v>0</v>
      </c>
      <c r="K34194" s="5">
        <v>0</v>
      </c>
    </row>
    <row r="34195" spans="1:11" x14ac:dyDescent="0.25">
      <c r="A34195" s="5">
        <f>34188</f>
      </c>
      <c r="B34195" s="5" t="s">
        <v>34203</v>
      </c>
      <c r="C34195" s="5">
        <v>104.3</v>
      </c>
      <c r="D34195" s="5">
        <v>0.1</v>
      </c>
      <c r="E34195" s="5">
        <v>104.5</v>
      </c>
      <c r="F34195" s="5">
        <v>208.4</v>
      </c>
      <c r="G34195" s="5">
        <v>104</v>
      </c>
      <c r="H34195" s="5">
        <v>103.8</v>
      </c>
      <c r="I34195" s="5">
        <v>0</v>
      </c>
      <c r="J34195" s="5">
        <v>0</v>
      </c>
      <c r="K34195" s="5">
        <v>0</v>
      </c>
    </row>
    <row r="34196" spans="1:11" x14ac:dyDescent="0.25">
      <c r="A34196" s="5">
        <f>34189</f>
      </c>
      <c r="B34196" s="5" t="s">
        <v>34204</v>
      </c>
      <c r="C34196" s="5">
        <v>104.1</v>
      </c>
      <c r="D34196" s="5">
        <v>0.1</v>
      </c>
      <c r="E34196" s="5">
        <v>104.3</v>
      </c>
      <c r="F34196" s="5">
        <v>208.2</v>
      </c>
      <c r="G34196" s="5">
        <v>103.9</v>
      </c>
      <c r="H34196" s="5">
        <v>103.7</v>
      </c>
      <c r="I34196" s="5">
        <v>0</v>
      </c>
      <c r="J34196" s="5">
        <v>0</v>
      </c>
      <c r="K34196" s="5">
        <v>0</v>
      </c>
    </row>
    <row r="34197" spans="1:11" x14ac:dyDescent="0.25">
      <c r="A34197" s="5">
        <f>34190</f>
      </c>
      <c r="B34197" s="5" t="s">
        <v>34205</v>
      </c>
      <c r="C34197" s="5">
        <v>104.1</v>
      </c>
      <c r="D34197" s="5">
        <v>0.1</v>
      </c>
      <c r="E34197" s="5">
        <v>104.3</v>
      </c>
      <c r="F34197" s="5">
        <v>208.2</v>
      </c>
      <c r="G34197" s="5">
        <v>103.9</v>
      </c>
      <c r="H34197" s="5">
        <v>103.7</v>
      </c>
      <c r="I34197" s="5">
        <v>0</v>
      </c>
      <c r="J34197" s="5">
        <v>0</v>
      </c>
      <c r="K34197" s="5">
        <v>0</v>
      </c>
    </row>
    <row r="34198" spans="1:11" x14ac:dyDescent="0.25">
      <c r="A34198" s="5">
        <f>34191</f>
      </c>
      <c r="B34198" s="5" t="s">
        <v>34206</v>
      </c>
      <c r="C34198" s="5">
        <v>104</v>
      </c>
      <c r="D34198" s="5">
        <v>0.1</v>
      </c>
      <c r="E34198" s="5">
        <v>104.1</v>
      </c>
      <c r="F34198" s="5">
        <v>207.7</v>
      </c>
      <c r="G34198" s="5">
        <v>103.7</v>
      </c>
      <c r="H34198" s="5">
        <v>103.6</v>
      </c>
      <c r="I34198" s="5">
        <v>0</v>
      </c>
      <c r="J34198" s="5">
        <v>0</v>
      </c>
      <c r="K34198" s="5">
        <v>0</v>
      </c>
    </row>
    <row r="34199" spans="1:11" x14ac:dyDescent="0.25">
      <c r="A34199" s="5">
        <f>34192</f>
      </c>
      <c r="B34199" s="5" t="s">
        <v>34207</v>
      </c>
      <c r="C34199" s="5">
        <v>104</v>
      </c>
      <c r="D34199" s="5">
        <v>0.1</v>
      </c>
      <c r="E34199" s="5">
        <v>104.1</v>
      </c>
      <c r="F34199" s="5">
        <v>207.7</v>
      </c>
      <c r="G34199" s="5">
        <v>103.7</v>
      </c>
      <c r="H34199" s="5">
        <v>103.6</v>
      </c>
      <c r="I34199" s="5">
        <v>0</v>
      </c>
      <c r="J34199" s="5">
        <v>0</v>
      </c>
      <c r="K34199" s="5">
        <v>0</v>
      </c>
    </row>
    <row r="34200" spans="1:11" x14ac:dyDescent="0.25">
      <c r="A34200" s="5">
        <f>34193</f>
      </c>
      <c r="B34200" s="5" t="s">
        <v>34208</v>
      </c>
      <c r="C34200" s="5">
        <v>103.1</v>
      </c>
      <c r="D34200" s="5">
        <v>0.1</v>
      </c>
      <c r="E34200" s="5">
        <v>103.3</v>
      </c>
      <c r="F34200" s="5">
        <v>207.1</v>
      </c>
      <c r="G34200" s="5">
        <v>103.2</v>
      </c>
      <c r="H34200" s="5">
        <v>103</v>
      </c>
      <c r="I34200" s="5">
        <v>0</v>
      </c>
      <c r="J34200" s="5">
        <v>0</v>
      </c>
      <c r="K34200" s="5">
        <v>0</v>
      </c>
    </row>
    <row r="34201" spans="1:11" x14ac:dyDescent="0.25">
      <c r="A34201" s="5">
        <f>34194</f>
      </c>
      <c r="B34201" s="5" t="s">
        <v>34209</v>
      </c>
      <c r="C34201" s="5">
        <v>103.1</v>
      </c>
      <c r="D34201" s="5">
        <v>0.1</v>
      </c>
      <c r="E34201" s="5">
        <v>103.3</v>
      </c>
      <c r="F34201" s="5">
        <v>207.1</v>
      </c>
      <c r="G34201" s="5">
        <v>103.2</v>
      </c>
      <c r="H34201" s="5">
        <v>103</v>
      </c>
      <c r="I34201" s="5">
        <v>0</v>
      </c>
      <c r="J34201" s="5">
        <v>0</v>
      </c>
      <c r="K34201" s="5">
        <v>0</v>
      </c>
    </row>
    <row r="34202" spans="1:11" x14ac:dyDescent="0.25">
      <c r="A34202" s="5">
        <f>34195</f>
      </c>
      <c r="B34202" s="5" t="s">
        <v>34210</v>
      </c>
      <c r="C34202" s="5">
        <v>103.1</v>
      </c>
      <c r="D34202" s="5">
        <v>0.1</v>
      </c>
      <c r="E34202" s="5">
        <v>103.3</v>
      </c>
      <c r="F34202" s="5">
        <v>207.1</v>
      </c>
      <c r="G34202" s="5">
        <v>103.2</v>
      </c>
      <c r="H34202" s="5">
        <v>103</v>
      </c>
      <c r="I34202" s="5">
        <v>0</v>
      </c>
      <c r="J34202" s="5">
        <v>0</v>
      </c>
      <c r="K34202" s="5">
        <v>0</v>
      </c>
    </row>
    <row r="34203" spans="1:11" x14ac:dyDescent="0.25">
      <c r="A34203" s="5">
        <f>34196</f>
      </c>
      <c r="B34203" s="5" t="s">
        <v>34211</v>
      </c>
      <c r="C34203" s="5">
        <v>103.1</v>
      </c>
      <c r="D34203" s="5">
        <v>0.1</v>
      </c>
      <c r="E34203" s="5">
        <v>103.3</v>
      </c>
      <c r="F34203" s="5">
        <v>207.1</v>
      </c>
      <c r="G34203" s="5">
        <v>103.2</v>
      </c>
      <c r="H34203" s="5">
        <v>103</v>
      </c>
      <c r="I34203" s="5">
        <v>0</v>
      </c>
      <c r="J34203" s="5">
        <v>0</v>
      </c>
      <c r="K34203" s="5">
        <v>0</v>
      </c>
    </row>
    <row r="34204" spans="1:11" x14ac:dyDescent="0.25">
      <c r="A34204" s="5">
        <f>34197</f>
      </c>
      <c r="B34204" s="5" t="s">
        <v>34212</v>
      </c>
      <c r="C34204" s="5">
        <v>103.7</v>
      </c>
      <c r="D34204" s="5">
        <v>0.1</v>
      </c>
      <c r="E34204" s="5">
        <v>103.9</v>
      </c>
      <c r="F34204" s="5">
        <v>207.2</v>
      </c>
      <c r="G34204" s="5">
        <v>103.3</v>
      </c>
      <c r="H34204" s="5">
        <v>103.2</v>
      </c>
      <c r="I34204" s="5">
        <v>0</v>
      </c>
      <c r="J34204" s="5">
        <v>0</v>
      </c>
      <c r="K34204" s="5">
        <v>0</v>
      </c>
    </row>
    <row r="34205" spans="1:11" x14ac:dyDescent="0.25">
      <c r="A34205" s="5">
        <f>34198</f>
      </c>
      <c r="B34205" s="5" t="s">
        <v>34213</v>
      </c>
      <c r="C34205" s="5">
        <v>103.7</v>
      </c>
      <c r="D34205" s="5">
        <v>0.1</v>
      </c>
      <c r="E34205" s="5">
        <v>103.9</v>
      </c>
      <c r="F34205" s="5">
        <v>207.2</v>
      </c>
      <c r="G34205" s="5">
        <v>103.3</v>
      </c>
      <c r="H34205" s="5">
        <v>103.2</v>
      </c>
      <c r="I34205" s="5">
        <v>0</v>
      </c>
      <c r="J34205" s="5">
        <v>0</v>
      </c>
      <c r="K34205" s="5">
        <v>0</v>
      </c>
    </row>
    <row r="34206" spans="1:11" x14ac:dyDescent="0.25">
      <c r="A34206" s="5">
        <f>34199</f>
      </c>
      <c r="B34206" s="5" t="s">
        <v>34214</v>
      </c>
      <c r="C34206" s="5">
        <v>103.5</v>
      </c>
      <c r="D34206" s="5">
        <v>0.1</v>
      </c>
      <c r="E34206" s="5">
        <v>103.7</v>
      </c>
      <c r="F34206" s="5">
        <v>206.3</v>
      </c>
      <c r="G34206" s="5">
        <v>103</v>
      </c>
      <c r="H34206" s="5">
        <v>102.8</v>
      </c>
      <c r="I34206" s="5">
        <v>0</v>
      </c>
      <c r="J34206" s="5">
        <v>0</v>
      </c>
      <c r="K34206" s="5">
        <v>0</v>
      </c>
    </row>
    <row r="34207" spans="1:11" x14ac:dyDescent="0.25">
      <c r="A34207" s="5">
        <f>34200</f>
      </c>
      <c r="B34207" s="5" t="s">
        <v>34215</v>
      </c>
      <c r="C34207" s="5">
        <v>103.5</v>
      </c>
      <c r="D34207" s="5">
        <v>0.1</v>
      </c>
      <c r="E34207" s="5">
        <v>103.7</v>
      </c>
      <c r="F34207" s="5">
        <v>206.3</v>
      </c>
      <c r="G34207" s="5">
        <v>103</v>
      </c>
      <c r="H34207" s="5">
        <v>102.8</v>
      </c>
      <c r="I34207" s="5">
        <v>0</v>
      </c>
      <c r="J34207" s="5">
        <v>0</v>
      </c>
      <c r="K34207" s="5">
        <v>0</v>
      </c>
    </row>
    <row r="34208" spans="1:11" x14ac:dyDescent="0.25">
      <c r="A34208" s="5">
        <f>34201</f>
      </c>
      <c r="B34208" s="5" t="s">
        <v>34216</v>
      </c>
      <c r="C34208" s="5">
        <v>103.7</v>
      </c>
      <c r="D34208" s="5">
        <v>0.1</v>
      </c>
      <c r="E34208" s="5">
        <v>103.8</v>
      </c>
      <c r="F34208" s="5">
        <v>207.3</v>
      </c>
      <c r="G34208" s="5">
        <v>103.4</v>
      </c>
      <c r="H34208" s="5">
        <v>103.3</v>
      </c>
      <c r="I34208" s="5">
        <v>0</v>
      </c>
      <c r="J34208" s="5">
        <v>0</v>
      </c>
      <c r="K34208" s="5">
        <v>0</v>
      </c>
    </row>
    <row r="34209" spans="1:11" x14ac:dyDescent="0.25">
      <c r="A34209" s="5">
        <f>34202</f>
      </c>
      <c r="B34209" s="5" t="s">
        <v>34217</v>
      </c>
      <c r="C34209" s="5">
        <v>103.7</v>
      </c>
      <c r="D34209" s="5">
        <v>0.1</v>
      </c>
      <c r="E34209" s="5">
        <v>103.8</v>
      </c>
      <c r="F34209" s="5">
        <v>207.3</v>
      </c>
      <c r="G34209" s="5">
        <v>103.4</v>
      </c>
      <c r="H34209" s="5">
        <v>103.3</v>
      </c>
      <c r="I34209" s="5">
        <v>0</v>
      </c>
      <c r="J34209" s="5">
        <v>0</v>
      </c>
      <c r="K34209" s="5">
        <v>0</v>
      </c>
    </row>
    <row r="34210" spans="1:11" x14ac:dyDescent="0.25">
      <c r="A34210" s="5">
        <f>34203</f>
      </c>
      <c r="B34210" s="5" t="s">
        <v>34218</v>
      </c>
      <c r="C34210" s="5">
        <v>103.4</v>
      </c>
      <c r="D34210" s="5">
        <v>0.1</v>
      </c>
      <c r="E34210" s="5">
        <v>103.6</v>
      </c>
      <c r="F34210" s="5">
        <v>206.5</v>
      </c>
      <c r="G34210" s="5">
        <v>103.1</v>
      </c>
      <c r="H34210" s="5">
        <v>103</v>
      </c>
      <c r="I34210" s="5">
        <v>0</v>
      </c>
      <c r="J34210" s="5">
        <v>0</v>
      </c>
      <c r="K34210" s="5">
        <v>0</v>
      </c>
    </row>
    <row r="34211" spans="1:11" x14ac:dyDescent="0.25">
      <c r="A34211" s="5">
        <f>34204</f>
      </c>
      <c r="B34211" s="5" t="s">
        <v>34219</v>
      </c>
      <c r="C34211" s="5">
        <v>103.4</v>
      </c>
      <c r="D34211" s="5">
        <v>0.1</v>
      </c>
      <c r="E34211" s="5">
        <v>103.6</v>
      </c>
      <c r="F34211" s="5">
        <v>206.5</v>
      </c>
      <c r="G34211" s="5">
        <v>103.1</v>
      </c>
      <c r="H34211" s="5">
        <v>103</v>
      </c>
      <c r="I34211" s="5">
        <v>0</v>
      </c>
      <c r="J34211" s="5">
        <v>0</v>
      </c>
      <c r="K34211" s="5">
        <v>0</v>
      </c>
    </row>
    <row r="34212" spans="1:11" x14ac:dyDescent="0.25">
      <c r="A34212" s="5">
        <f>34205</f>
      </c>
      <c r="B34212" s="5" t="s">
        <v>34220</v>
      </c>
      <c r="C34212" s="5">
        <v>103.4</v>
      </c>
      <c r="D34212" s="5">
        <v>0.1</v>
      </c>
      <c r="E34212" s="5">
        <v>103.6</v>
      </c>
      <c r="F34212" s="5">
        <v>206.5</v>
      </c>
      <c r="G34212" s="5">
        <v>103.1</v>
      </c>
      <c r="H34212" s="5">
        <v>103</v>
      </c>
      <c r="I34212" s="5">
        <v>0</v>
      </c>
      <c r="J34212" s="5">
        <v>0</v>
      </c>
      <c r="K34212" s="5">
        <v>0</v>
      </c>
    </row>
    <row r="34213" spans="1:11" x14ac:dyDescent="0.25">
      <c r="A34213" s="5">
        <f>34206</f>
      </c>
      <c r="B34213" s="5" t="s">
        <v>34221</v>
      </c>
      <c r="C34213" s="5">
        <v>103.4</v>
      </c>
      <c r="D34213" s="5">
        <v>0.1</v>
      </c>
      <c r="E34213" s="5">
        <v>103.6</v>
      </c>
      <c r="F34213" s="5">
        <v>206.5</v>
      </c>
      <c r="G34213" s="5">
        <v>103.1</v>
      </c>
      <c r="H34213" s="5">
        <v>103</v>
      </c>
      <c r="I34213" s="5">
        <v>0</v>
      </c>
      <c r="J34213" s="5">
        <v>0</v>
      </c>
      <c r="K34213" s="5">
        <v>0</v>
      </c>
    </row>
    <row r="34214" spans="1:11" x14ac:dyDescent="0.25">
      <c r="A34214" s="5">
        <f>34207</f>
      </c>
      <c r="B34214" s="5" t="s">
        <v>34222</v>
      </c>
      <c r="C34214" s="5">
        <v>103.5</v>
      </c>
      <c r="D34214" s="5">
        <v>0.1</v>
      </c>
      <c r="E34214" s="5">
        <v>103.7</v>
      </c>
      <c r="F34214" s="5">
        <v>206.3</v>
      </c>
      <c r="G34214" s="5">
        <v>102.9</v>
      </c>
      <c r="H34214" s="5">
        <v>102.8</v>
      </c>
      <c r="I34214" s="5">
        <v>0</v>
      </c>
      <c r="J34214" s="5">
        <v>0</v>
      </c>
      <c r="K34214" s="5">
        <v>0</v>
      </c>
    </row>
    <row r="34215" spans="1:11" x14ac:dyDescent="0.25">
      <c r="A34215" s="5">
        <f>34208</f>
      </c>
      <c r="B34215" s="5" t="s">
        <v>34223</v>
      </c>
      <c r="C34215" s="5">
        <v>103.5</v>
      </c>
      <c r="D34215" s="5">
        <v>0.1</v>
      </c>
      <c r="E34215" s="5">
        <v>103.7</v>
      </c>
      <c r="F34215" s="5">
        <v>206.3</v>
      </c>
      <c r="G34215" s="5">
        <v>102.9</v>
      </c>
      <c r="H34215" s="5">
        <v>102.8</v>
      </c>
      <c r="I34215" s="5">
        <v>0</v>
      </c>
      <c r="J34215" s="5">
        <v>0</v>
      </c>
      <c r="K34215" s="5">
        <v>0</v>
      </c>
    </row>
    <row r="34216" spans="1:11" x14ac:dyDescent="0.25">
      <c r="A34216" s="5">
        <f>34209</f>
      </c>
      <c r="B34216" s="5" t="s">
        <v>34224</v>
      </c>
      <c r="C34216" s="5">
        <v>103.4</v>
      </c>
      <c r="D34216" s="5">
        <v>0.1</v>
      </c>
      <c r="E34216" s="5">
        <v>103.6</v>
      </c>
      <c r="F34216" s="5">
        <v>206.3</v>
      </c>
      <c r="G34216" s="5">
        <v>103</v>
      </c>
      <c r="H34216" s="5">
        <v>102.9</v>
      </c>
      <c r="I34216" s="5">
        <v>0</v>
      </c>
      <c r="J34216" s="5">
        <v>0</v>
      </c>
      <c r="K34216" s="5">
        <v>0</v>
      </c>
    </row>
    <row r="34217" spans="1:11" x14ac:dyDescent="0.25">
      <c r="A34217" s="5">
        <f>34210</f>
      </c>
      <c r="B34217" s="5" t="s">
        <v>34225</v>
      </c>
      <c r="C34217" s="5">
        <v>103.4</v>
      </c>
      <c r="D34217" s="5">
        <v>0.1</v>
      </c>
      <c r="E34217" s="5">
        <v>103.6</v>
      </c>
      <c r="F34217" s="5">
        <v>206.3</v>
      </c>
      <c r="G34217" s="5">
        <v>103</v>
      </c>
      <c r="H34217" s="5">
        <v>102.9</v>
      </c>
      <c r="I34217" s="5">
        <v>0</v>
      </c>
      <c r="J34217" s="5">
        <v>0</v>
      </c>
      <c r="K34217" s="5">
        <v>0</v>
      </c>
    </row>
    <row r="34218" spans="1:11" x14ac:dyDescent="0.25">
      <c r="A34218" s="5">
        <f>34211</f>
      </c>
      <c r="B34218" s="5" t="s">
        <v>34226</v>
      </c>
      <c r="C34218" s="5">
        <v>103.6</v>
      </c>
      <c r="D34218" s="5">
        <v>0.1</v>
      </c>
      <c r="E34218" s="5">
        <v>103.7</v>
      </c>
      <c r="F34218" s="5">
        <v>206.2</v>
      </c>
      <c r="G34218" s="5">
        <v>102.9</v>
      </c>
      <c r="H34218" s="5">
        <v>102.8</v>
      </c>
      <c r="I34218" s="5">
        <v>0</v>
      </c>
      <c r="J34218" s="5">
        <v>0</v>
      </c>
      <c r="K34218" s="5">
        <v>0</v>
      </c>
    </row>
    <row r="34219" spans="1:11" x14ac:dyDescent="0.25">
      <c r="A34219" s="5">
        <f>34212</f>
      </c>
      <c r="B34219" s="5" t="s">
        <v>34227</v>
      </c>
      <c r="C34219" s="5">
        <v>103.6</v>
      </c>
      <c r="D34219" s="5">
        <v>0.1</v>
      </c>
      <c r="E34219" s="5">
        <v>103.7</v>
      </c>
      <c r="F34219" s="5">
        <v>206.2</v>
      </c>
      <c r="G34219" s="5">
        <v>102.9</v>
      </c>
      <c r="H34219" s="5">
        <v>102.8</v>
      </c>
      <c r="I34219" s="5">
        <v>0</v>
      </c>
      <c r="J34219" s="5">
        <v>0</v>
      </c>
      <c r="K34219" s="5">
        <v>0</v>
      </c>
    </row>
    <row r="34220" spans="1:11" x14ac:dyDescent="0.25">
      <c r="A34220" s="5">
        <f>34213</f>
      </c>
      <c r="B34220" s="5" t="s">
        <v>34228</v>
      </c>
      <c r="C34220" s="5">
        <v>103</v>
      </c>
      <c r="D34220" s="5">
        <v>0.1</v>
      </c>
      <c r="E34220" s="5">
        <v>103.1</v>
      </c>
      <c r="F34220" s="5">
        <v>205.8</v>
      </c>
      <c r="G34220" s="5">
        <v>102.7</v>
      </c>
      <c r="H34220" s="5">
        <v>102.6</v>
      </c>
      <c r="I34220" s="5">
        <v>0</v>
      </c>
      <c r="J34220" s="5">
        <v>0</v>
      </c>
      <c r="K34220" s="5">
        <v>0</v>
      </c>
    </row>
    <row r="34221" spans="1:11" x14ac:dyDescent="0.25">
      <c r="A34221" s="5">
        <f>34214</f>
      </c>
      <c r="B34221" s="5" t="s">
        <v>34229</v>
      </c>
      <c r="C34221" s="5">
        <v>103</v>
      </c>
      <c r="D34221" s="5">
        <v>0.1</v>
      </c>
      <c r="E34221" s="5">
        <v>103.1</v>
      </c>
      <c r="F34221" s="5">
        <v>205.8</v>
      </c>
      <c r="G34221" s="5">
        <v>102.7</v>
      </c>
      <c r="H34221" s="5">
        <v>102.6</v>
      </c>
      <c r="I34221" s="5">
        <v>0</v>
      </c>
      <c r="J34221" s="5">
        <v>0</v>
      </c>
      <c r="K34221" s="5">
        <v>0</v>
      </c>
    </row>
    <row r="34222" spans="1:11" x14ac:dyDescent="0.25">
      <c r="A34222" s="5">
        <f>34215</f>
      </c>
      <c r="B34222" s="5" t="s">
        <v>34230</v>
      </c>
      <c r="C34222" s="5">
        <v>103</v>
      </c>
      <c r="D34222" s="5">
        <v>0.1</v>
      </c>
      <c r="E34222" s="5">
        <v>103.1</v>
      </c>
      <c r="F34222" s="5">
        <v>205.8</v>
      </c>
      <c r="G34222" s="5">
        <v>102.7</v>
      </c>
      <c r="H34222" s="5">
        <v>102.6</v>
      </c>
      <c r="I34222" s="5">
        <v>0</v>
      </c>
      <c r="J34222" s="5">
        <v>0</v>
      </c>
      <c r="K34222" s="5">
        <v>0</v>
      </c>
    </row>
    <row r="34223" spans="1:11" x14ac:dyDescent="0.25">
      <c r="A34223" s="5">
        <f>34216</f>
      </c>
      <c r="B34223" s="5" t="s">
        <v>34231</v>
      </c>
      <c r="C34223" s="5">
        <v>103</v>
      </c>
      <c r="D34223" s="5">
        <v>0.1</v>
      </c>
      <c r="E34223" s="5">
        <v>103.1</v>
      </c>
      <c r="F34223" s="5">
        <v>205.8</v>
      </c>
      <c r="G34223" s="5">
        <v>102.7</v>
      </c>
      <c r="H34223" s="5">
        <v>102.6</v>
      </c>
      <c r="I34223" s="5">
        <v>0</v>
      </c>
      <c r="J34223" s="5">
        <v>0</v>
      </c>
      <c r="K34223" s="5">
        <v>0</v>
      </c>
    </row>
    <row r="34224" spans="1:11" x14ac:dyDescent="0.25">
      <c r="A34224" s="5">
        <f>34217</f>
      </c>
      <c r="B34224" s="5" t="s">
        <v>34232</v>
      </c>
      <c r="C34224" s="5">
        <v>103.8</v>
      </c>
      <c r="D34224" s="5">
        <v>0.1</v>
      </c>
      <c r="E34224" s="5">
        <v>103.9</v>
      </c>
      <c r="F34224" s="5">
        <v>207</v>
      </c>
      <c r="G34224" s="5">
        <v>103.3</v>
      </c>
      <c r="H34224" s="5">
        <v>103.2</v>
      </c>
      <c r="I34224" s="5">
        <v>0</v>
      </c>
      <c r="J34224" s="5">
        <v>0</v>
      </c>
      <c r="K34224" s="5">
        <v>0</v>
      </c>
    </row>
    <row r="34225" spans="1:11" x14ac:dyDescent="0.25">
      <c r="A34225" s="5">
        <f>34218</f>
      </c>
      <c r="B34225" s="5" t="s">
        <v>34233</v>
      </c>
      <c r="C34225" s="5">
        <v>103.8</v>
      </c>
      <c r="D34225" s="5">
        <v>0.1</v>
      </c>
      <c r="E34225" s="5">
        <v>103.9</v>
      </c>
      <c r="F34225" s="5">
        <v>207</v>
      </c>
      <c r="G34225" s="5">
        <v>103.3</v>
      </c>
      <c r="H34225" s="5">
        <v>103.2</v>
      </c>
      <c r="I34225" s="5">
        <v>0</v>
      </c>
      <c r="J34225" s="5">
        <v>0</v>
      </c>
      <c r="K34225" s="5">
        <v>0</v>
      </c>
    </row>
    <row r="34226" spans="1:11" x14ac:dyDescent="0.25">
      <c r="A34226" s="5">
        <f>34219</f>
      </c>
      <c r="B34226" s="5" t="s">
        <v>34234</v>
      </c>
      <c r="C34226" s="5">
        <v>103.9</v>
      </c>
      <c r="D34226" s="5">
        <v>0.1</v>
      </c>
      <c r="E34226" s="5">
        <v>104</v>
      </c>
      <c r="F34226" s="5">
        <v>206.9</v>
      </c>
      <c r="G34226" s="5">
        <v>103.2</v>
      </c>
      <c r="H34226" s="5">
        <v>103.1</v>
      </c>
      <c r="I34226" s="5">
        <v>0</v>
      </c>
      <c r="J34226" s="5">
        <v>0</v>
      </c>
      <c r="K34226" s="5">
        <v>0</v>
      </c>
    </row>
    <row r="34227" spans="1:11" x14ac:dyDescent="0.25">
      <c r="A34227" s="5">
        <f>34220</f>
      </c>
      <c r="B34227" s="5" t="s">
        <v>34235</v>
      </c>
      <c r="C34227" s="5">
        <v>103.9</v>
      </c>
      <c r="D34227" s="5">
        <v>0.1</v>
      </c>
      <c r="E34227" s="5">
        <v>104</v>
      </c>
      <c r="F34227" s="5">
        <v>206.9</v>
      </c>
      <c r="G34227" s="5">
        <v>103.2</v>
      </c>
      <c r="H34227" s="5">
        <v>103.1</v>
      </c>
      <c r="I34227" s="5">
        <v>0</v>
      </c>
      <c r="J34227" s="5">
        <v>0</v>
      </c>
      <c r="K34227" s="5">
        <v>0</v>
      </c>
    </row>
    <row r="34228" spans="1:11" x14ac:dyDescent="0.25">
      <c r="A34228" s="5">
        <f>34221</f>
      </c>
      <c r="B34228" s="5" t="s">
        <v>34236</v>
      </c>
      <c r="C34228" s="5">
        <v>103.9</v>
      </c>
      <c r="D34228" s="5">
        <v>0.1</v>
      </c>
      <c r="E34228" s="5">
        <v>104</v>
      </c>
      <c r="F34228" s="5">
        <v>207.5</v>
      </c>
      <c r="G34228" s="5">
        <v>103.5</v>
      </c>
      <c r="H34228" s="5">
        <v>103.4</v>
      </c>
      <c r="I34228" s="5">
        <v>0</v>
      </c>
      <c r="J34228" s="5">
        <v>0</v>
      </c>
      <c r="K34228" s="5">
        <v>0</v>
      </c>
    </row>
    <row r="34229" spans="1:11" x14ac:dyDescent="0.25">
      <c r="A34229" s="5">
        <f>34222</f>
      </c>
      <c r="B34229" s="5" t="s">
        <v>34237</v>
      </c>
      <c r="C34229" s="5">
        <v>103.9</v>
      </c>
      <c r="D34229" s="5">
        <v>0.1</v>
      </c>
      <c r="E34229" s="5">
        <v>104</v>
      </c>
      <c r="F34229" s="5">
        <v>207.5</v>
      </c>
      <c r="G34229" s="5">
        <v>103.5</v>
      </c>
      <c r="H34229" s="5">
        <v>103.4</v>
      </c>
      <c r="I34229" s="5">
        <v>0</v>
      </c>
      <c r="J34229" s="5">
        <v>0</v>
      </c>
      <c r="K34229" s="5">
        <v>0</v>
      </c>
    </row>
    <row r="34230" spans="1:11" x14ac:dyDescent="0.25">
      <c r="A34230" s="5">
        <f>34223</f>
      </c>
      <c r="B34230" s="5" t="s">
        <v>34238</v>
      </c>
      <c r="C34230" s="5">
        <v>103.3</v>
      </c>
      <c r="D34230" s="5">
        <v>0.1</v>
      </c>
      <c r="E34230" s="5">
        <v>103.4</v>
      </c>
      <c r="F34230" s="5">
        <v>207.1</v>
      </c>
      <c r="G34230" s="5">
        <v>103.3</v>
      </c>
      <c r="H34230" s="5">
        <v>103.2</v>
      </c>
      <c r="I34230" s="5">
        <v>0</v>
      </c>
      <c r="J34230" s="5">
        <v>0</v>
      </c>
      <c r="K34230" s="5">
        <v>0</v>
      </c>
    </row>
    <row r="34231" spans="1:11" x14ac:dyDescent="0.25">
      <c r="A34231" s="5">
        <f>34224</f>
      </c>
      <c r="B34231" s="5" t="s">
        <v>34239</v>
      </c>
      <c r="C34231" s="5">
        <v>103.3</v>
      </c>
      <c r="D34231" s="5">
        <v>0.1</v>
      </c>
      <c r="E34231" s="5">
        <v>103.4</v>
      </c>
      <c r="F34231" s="5">
        <v>207.1</v>
      </c>
      <c r="G34231" s="5">
        <v>103.3</v>
      </c>
      <c r="H34231" s="5">
        <v>103.2</v>
      </c>
      <c r="I34231" s="5">
        <v>0</v>
      </c>
      <c r="J34231" s="5">
        <v>0</v>
      </c>
      <c r="K34231" s="5">
        <v>0</v>
      </c>
    </row>
    <row r="34232" spans="1:11" x14ac:dyDescent="0.25">
      <c r="A34232" s="5">
        <f>34225</f>
      </c>
      <c r="B34232" s="5" t="s">
        <v>34240</v>
      </c>
      <c r="C34232" s="5">
        <v>103.3</v>
      </c>
      <c r="D34232" s="5">
        <v>0.1</v>
      </c>
      <c r="E34232" s="5">
        <v>103.4</v>
      </c>
      <c r="F34232" s="5">
        <v>207.1</v>
      </c>
      <c r="G34232" s="5">
        <v>103.3</v>
      </c>
      <c r="H34232" s="5">
        <v>103.2</v>
      </c>
      <c r="I34232" s="5">
        <v>0</v>
      </c>
      <c r="J34232" s="5">
        <v>0</v>
      </c>
      <c r="K34232" s="5">
        <v>0</v>
      </c>
    </row>
    <row r="34233" spans="1:11" x14ac:dyDescent="0.25">
      <c r="A34233" s="5">
        <f>34226</f>
      </c>
      <c r="B34233" s="5" t="s">
        <v>34241</v>
      </c>
      <c r="C34233" s="5">
        <v>101.9</v>
      </c>
      <c r="D34233" s="5">
        <v>0.1</v>
      </c>
      <c r="E34233" s="5">
        <v>102.1</v>
      </c>
      <c r="F34233" s="5">
        <v>203.4</v>
      </c>
      <c r="G34233" s="5">
        <v>101.5</v>
      </c>
      <c r="H34233" s="5">
        <v>101.3</v>
      </c>
      <c r="I34233" s="5">
        <v>0</v>
      </c>
      <c r="J34233" s="5">
        <v>0</v>
      </c>
      <c r="K34233" s="5">
        <v>0</v>
      </c>
    </row>
    <row r="34234" spans="1:11" x14ac:dyDescent="0.25">
      <c r="A34234" s="5">
        <f>34227</f>
      </c>
      <c r="B34234" s="5" t="s">
        <v>34242</v>
      </c>
      <c r="C34234" s="5">
        <v>101.9</v>
      </c>
      <c r="D34234" s="5">
        <v>0.1</v>
      </c>
      <c r="E34234" s="5">
        <v>102.1</v>
      </c>
      <c r="F34234" s="5">
        <v>203.4</v>
      </c>
      <c r="G34234" s="5">
        <v>101.5</v>
      </c>
      <c r="H34234" s="5">
        <v>101.3</v>
      </c>
      <c r="I34234" s="5">
        <v>0</v>
      </c>
      <c r="J34234" s="5">
        <v>0</v>
      </c>
      <c r="K34234" s="5">
        <v>0</v>
      </c>
    </row>
    <row r="34235" spans="1:11" x14ac:dyDescent="0.25">
      <c r="A34235" s="5">
        <f>34228</f>
      </c>
      <c r="B34235" s="5" t="s">
        <v>34243</v>
      </c>
      <c r="C34235" s="5">
        <v>101.5</v>
      </c>
      <c r="D34235" s="5">
        <v>0.1</v>
      </c>
      <c r="E34235" s="5">
        <v>101.5</v>
      </c>
      <c r="F34235" s="5">
        <v>201.9</v>
      </c>
      <c r="G34235" s="5">
        <v>100.8</v>
      </c>
      <c r="H34235" s="5">
        <v>100.8</v>
      </c>
      <c r="I34235" s="5">
        <v>0</v>
      </c>
      <c r="J34235" s="5">
        <v>0</v>
      </c>
      <c r="K34235" s="5">
        <v>0</v>
      </c>
    </row>
    <row r="34236" spans="1:11" x14ac:dyDescent="0.25">
      <c r="A34236" s="5">
        <f>34229</f>
      </c>
      <c r="B34236" s="5" t="s">
        <v>34244</v>
      </c>
      <c r="C34236" s="5">
        <v>101.5</v>
      </c>
      <c r="D34236" s="5">
        <v>0.1</v>
      </c>
      <c r="E34236" s="5">
        <v>101.5</v>
      </c>
      <c r="F34236" s="5">
        <v>201.9</v>
      </c>
      <c r="G34236" s="5">
        <v>100.8</v>
      </c>
      <c r="H34236" s="5">
        <v>100.8</v>
      </c>
      <c r="I34236" s="5">
        <v>0</v>
      </c>
      <c r="J34236" s="5">
        <v>0</v>
      </c>
      <c r="K34236" s="5">
        <v>0</v>
      </c>
    </row>
    <row r="34237" spans="1:11" x14ac:dyDescent="0.25">
      <c r="A34237" s="5">
        <f>34230</f>
      </c>
      <c r="B34237" s="5" t="s">
        <v>34245</v>
      </c>
      <c r="C34237" s="5">
        <v>102</v>
      </c>
      <c r="D34237" s="5">
        <v>0.1</v>
      </c>
      <c r="E34237" s="5">
        <v>102.1</v>
      </c>
      <c r="F34237" s="5">
        <v>203.7</v>
      </c>
      <c r="G34237" s="5">
        <v>101.6</v>
      </c>
      <c r="H34237" s="5">
        <v>101.5</v>
      </c>
      <c r="I34237" s="5">
        <v>0</v>
      </c>
      <c r="J34237" s="5">
        <v>0</v>
      </c>
      <c r="K34237" s="5">
        <v>0</v>
      </c>
    </row>
    <row r="34238" spans="1:11" x14ac:dyDescent="0.25">
      <c r="A34238" s="5">
        <f>34231</f>
      </c>
      <c r="B34238" s="5" t="s">
        <v>34246</v>
      </c>
      <c r="C34238" s="5">
        <v>102</v>
      </c>
      <c r="D34238" s="5">
        <v>0.1</v>
      </c>
      <c r="E34238" s="5">
        <v>102.1</v>
      </c>
      <c r="F34238" s="5">
        <v>203.7</v>
      </c>
      <c r="G34238" s="5">
        <v>101.6</v>
      </c>
      <c r="H34238" s="5">
        <v>101.5</v>
      </c>
      <c r="I34238" s="5">
        <v>0</v>
      </c>
      <c r="J34238" s="5">
        <v>0</v>
      </c>
      <c r="K34238" s="5">
        <v>0</v>
      </c>
    </row>
    <row r="34239" spans="1:11" x14ac:dyDescent="0.25">
      <c r="A34239" s="5">
        <f>34232</f>
      </c>
      <c r="B34239" s="5" t="s">
        <v>34247</v>
      </c>
      <c r="C34239" s="5">
        <v>101.8</v>
      </c>
      <c r="D34239" s="5">
        <v>0.1</v>
      </c>
      <c r="E34239" s="5">
        <v>101.9</v>
      </c>
      <c r="F34239" s="5">
        <v>203</v>
      </c>
      <c r="G34239" s="5">
        <v>101.3</v>
      </c>
      <c r="H34239" s="5">
        <v>101.1</v>
      </c>
      <c r="I34239" s="5">
        <v>0</v>
      </c>
      <c r="J34239" s="5">
        <v>0</v>
      </c>
      <c r="K34239" s="5">
        <v>0</v>
      </c>
    </row>
    <row r="34240" spans="1:11" x14ac:dyDescent="0.25">
      <c r="A34240" s="5">
        <f>34233</f>
      </c>
      <c r="B34240" s="5" t="s">
        <v>34248</v>
      </c>
      <c r="C34240" s="5">
        <v>101.8</v>
      </c>
      <c r="D34240" s="5">
        <v>0.1</v>
      </c>
      <c r="E34240" s="5">
        <v>101.9</v>
      </c>
      <c r="F34240" s="5">
        <v>203</v>
      </c>
      <c r="G34240" s="5">
        <v>101.3</v>
      </c>
      <c r="H34240" s="5">
        <v>101.1</v>
      </c>
      <c r="I34240" s="5">
        <v>0</v>
      </c>
      <c r="J34240" s="5">
        <v>0</v>
      </c>
      <c r="K34240" s="5">
        <v>0</v>
      </c>
    </row>
    <row r="34241" spans="1:11" x14ac:dyDescent="0.25">
      <c r="A34241" s="5">
        <f>34234</f>
      </c>
      <c r="B34241" s="5" t="s">
        <v>34249</v>
      </c>
      <c r="C34241" s="5">
        <v>101.8</v>
      </c>
      <c r="D34241" s="5">
        <v>0.1</v>
      </c>
      <c r="E34241" s="5">
        <v>101.9</v>
      </c>
      <c r="F34241" s="5">
        <v>203</v>
      </c>
      <c r="G34241" s="5">
        <v>101.3</v>
      </c>
      <c r="H34241" s="5">
        <v>101.1</v>
      </c>
      <c r="I34241" s="5">
        <v>0</v>
      </c>
      <c r="J34241" s="5">
        <v>0</v>
      </c>
      <c r="K34241" s="5">
        <v>0</v>
      </c>
    </row>
    <row r="34242" spans="1:11" x14ac:dyDescent="0.25">
      <c r="A34242" s="5">
        <f>34235</f>
      </c>
      <c r="B34242" s="5" t="s">
        <v>34250</v>
      </c>
      <c r="C34242" s="5">
        <v>101.8</v>
      </c>
      <c r="D34242" s="5">
        <v>0.1</v>
      </c>
      <c r="E34242" s="5">
        <v>101.9</v>
      </c>
      <c r="F34242" s="5">
        <v>203</v>
      </c>
      <c r="G34242" s="5">
        <v>101.3</v>
      </c>
      <c r="H34242" s="5">
        <v>101.1</v>
      </c>
      <c r="I34242" s="5">
        <v>0</v>
      </c>
      <c r="J34242" s="5">
        <v>0</v>
      </c>
      <c r="K34242" s="5">
        <v>0</v>
      </c>
    </row>
    <row r="34243" spans="1:11" x14ac:dyDescent="0.25">
      <c r="A34243" s="5">
        <f>34236</f>
      </c>
      <c r="B34243" s="5" t="s">
        <v>34251</v>
      </c>
      <c r="C34243" s="5">
        <v>101.6</v>
      </c>
      <c r="D34243" s="5">
        <v>0.1</v>
      </c>
      <c r="E34243" s="5">
        <v>101.8</v>
      </c>
      <c r="F34243" s="5">
        <v>202.4</v>
      </c>
      <c r="G34243" s="5">
        <v>101</v>
      </c>
      <c r="H34243" s="5">
        <v>100.9</v>
      </c>
      <c r="I34243" s="5">
        <v>0</v>
      </c>
      <c r="J34243" s="5">
        <v>0</v>
      </c>
      <c r="K34243" s="5">
        <v>0</v>
      </c>
    </row>
    <row r="34244" spans="1:11" x14ac:dyDescent="0.25">
      <c r="A34244" s="5">
        <f>34237</f>
      </c>
      <c r="B34244" s="5" t="s">
        <v>34252</v>
      </c>
      <c r="C34244" s="5">
        <v>101.6</v>
      </c>
      <c r="D34244" s="5">
        <v>0.1</v>
      </c>
      <c r="E34244" s="5">
        <v>101.8</v>
      </c>
      <c r="F34244" s="5">
        <v>202.4</v>
      </c>
      <c r="G34244" s="5">
        <v>101</v>
      </c>
      <c r="H34244" s="5">
        <v>100.9</v>
      </c>
      <c r="I34244" s="5">
        <v>0</v>
      </c>
      <c r="J34244" s="5">
        <v>0</v>
      </c>
      <c r="K34244" s="5">
        <v>0</v>
      </c>
    </row>
    <row r="34245" spans="1:11" x14ac:dyDescent="0.25">
      <c r="A34245" s="5">
        <f>34238</f>
      </c>
      <c r="B34245" s="5" t="s">
        <v>34253</v>
      </c>
      <c r="C34245" s="5">
        <v>102</v>
      </c>
      <c r="D34245" s="5">
        <v>0.1</v>
      </c>
      <c r="E34245" s="5">
        <v>102.1</v>
      </c>
      <c r="F34245" s="5">
        <v>202.6</v>
      </c>
      <c r="G34245" s="5">
        <v>101.2</v>
      </c>
      <c r="H34245" s="5">
        <v>101.1</v>
      </c>
      <c r="I34245" s="5">
        <v>0</v>
      </c>
      <c r="J34245" s="5">
        <v>0</v>
      </c>
      <c r="K34245" s="5">
        <v>0</v>
      </c>
    </row>
    <row r="34246" spans="1:11" x14ac:dyDescent="0.25">
      <c r="A34246" s="5">
        <f>34239</f>
      </c>
      <c r="B34246" s="5" t="s">
        <v>34254</v>
      </c>
      <c r="C34246" s="5">
        <v>102</v>
      </c>
      <c r="D34246" s="5">
        <v>0.1</v>
      </c>
      <c r="E34246" s="5">
        <v>102.1</v>
      </c>
      <c r="F34246" s="5">
        <v>202.6</v>
      </c>
      <c r="G34246" s="5">
        <v>101.2</v>
      </c>
      <c r="H34246" s="5">
        <v>101.1</v>
      </c>
      <c r="I34246" s="5">
        <v>0</v>
      </c>
      <c r="J34246" s="5">
        <v>0</v>
      </c>
      <c r="K34246" s="5">
        <v>0</v>
      </c>
    </row>
    <row r="34247" spans="1:11" x14ac:dyDescent="0.25">
      <c r="A34247" s="5">
        <f>34240</f>
      </c>
      <c r="B34247" s="5" t="s">
        <v>34255</v>
      </c>
      <c r="C34247" s="5">
        <v>102.1</v>
      </c>
      <c r="D34247" s="5">
        <v>0.1</v>
      </c>
      <c r="E34247" s="5">
        <v>102.2</v>
      </c>
      <c r="F34247" s="5">
        <v>204.2</v>
      </c>
      <c r="G34247" s="5">
        <v>101.8</v>
      </c>
      <c r="H34247" s="5">
        <v>101.7</v>
      </c>
      <c r="I34247" s="5">
        <v>0</v>
      </c>
      <c r="J34247" s="5">
        <v>0</v>
      </c>
      <c r="K34247" s="5">
        <v>0</v>
      </c>
    </row>
    <row r="34248" spans="1:11" x14ac:dyDescent="0.25">
      <c r="A34248" s="5">
        <f>34241</f>
      </c>
      <c r="B34248" s="5" t="s">
        <v>34256</v>
      </c>
      <c r="C34248" s="5">
        <v>102.1</v>
      </c>
      <c r="D34248" s="5">
        <v>0.1</v>
      </c>
      <c r="E34248" s="5">
        <v>102.2</v>
      </c>
      <c r="F34248" s="5">
        <v>204.2</v>
      </c>
      <c r="G34248" s="5">
        <v>101.8</v>
      </c>
      <c r="H34248" s="5">
        <v>101.7</v>
      </c>
      <c r="I34248" s="5">
        <v>0</v>
      </c>
      <c r="J34248" s="5">
        <v>0</v>
      </c>
      <c r="K34248" s="5">
        <v>0</v>
      </c>
    </row>
    <row r="34249" spans="1:11" x14ac:dyDescent="0.25">
      <c r="A34249" s="5">
        <f>34242</f>
      </c>
      <c r="B34249" s="5" t="s">
        <v>34257</v>
      </c>
      <c r="C34249" s="5">
        <v>101.8</v>
      </c>
      <c r="D34249" s="5">
        <v>0.1</v>
      </c>
      <c r="E34249" s="5">
        <v>102</v>
      </c>
      <c r="F34249" s="5">
        <v>203.4</v>
      </c>
      <c r="G34249" s="5">
        <v>101.5</v>
      </c>
      <c r="H34249" s="5">
        <v>101.3</v>
      </c>
      <c r="I34249" s="5">
        <v>0</v>
      </c>
      <c r="J34249" s="5">
        <v>0</v>
      </c>
      <c r="K34249" s="5">
        <v>0</v>
      </c>
    </row>
    <row r="34250" spans="1:11" x14ac:dyDescent="0.25">
      <c r="A34250" s="5">
        <f>34243</f>
      </c>
      <c r="B34250" s="5" t="s">
        <v>34258</v>
      </c>
      <c r="C34250" s="5">
        <v>101.8</v>
      </c>
      <c r="D34250" s="5">
        <v>0.1</v>
      </c>
      <c r="E34250" s="5">
        <v>102</v>
      </c>
      <c r="F34250" s="5">
        <v>203.4</v>
      </c>
      <c r="G34250" s="5">
        <v>101.5</v>
      </c>
      <c r="H34250" s="5">
        <v>101.3</v>
      </c>
      <c r="I34250" s="5">
        <v>0</v>
      </c>
      <c r="J34250" s="5">
        <v>0</v>
      </c>
      <c r="K34250" s="5">
        <v>0</v>
      </c>
    </row>
    <row r="34251" spans="1:11" x14ac:dyDescent="0.25">
      <c r="A34251" s="5">
        <f>34244</f>
      </c>
      <c r="B34251" s="5" t="s">
        <v>34259</v>
      </c>
      <c r="C34251" s="5">
        <v>101.8</v>
      </c>
      <c r="D34251" s="5">
        <v>0.1</v>
      </c>
      <c r="E34251" s="5">
        <v>102</v>
      </c>
      <c r="F34251" s="5">
        <v>203.4</v>
      </c>
      <c r="G34251" s="5">
        <v>101.5</v>
      </c>
      <c r="H34251" s="5">
        <v>101.3</v>
      </c>
      <c r="I34251" s="5">
        <v>0</v>
      </c>
      <c r="J34251" s="5">
        <v>0</v>
      </c>
      <c r="K34251" s="5">
        <v>0</v>
      </c>
    </row>
    <row r="34252" spans="1:11" x14ac:dyDescent="0.25">
      <c r="A34252" s="5">
        <f>34245</f>
      </c>
      <c r="B34252" s="5" t="s">
        <v>34260</v>
      </c>
      <c r="C34252" s="5">
        <v>101.8</v>
      </c>
      <c r="D34252" s="5">
        <v>0.1</v>
      </c>
      <c r="E34252" s="5">
        <v>102</v>
      </c>
      <c r="F34252" s="5">
        <v>203.4</v>
      </c>
      <c r="G34252" s="5">
        <v>101.5</v>
      </c>
      <c r="H34252" s="5">
        <v>101.3</v>
      </c>
      <c r="I34252" s="5">
        <v>0</v>
      </c>
      <c r="J34252" s="5">
        <v>0</v>
      </c>
      <c r="K34252" s="5">
        <v>0</v>
      </c>
    </row>
    <row r="34253" spans="1:11" x14ac:dyDescent="0.25">
      <c r="A34253" s="5">
        <f>34246</f>
      </c>
      <c r="B34253" s="5" t="s">
        <v>34261</v>
      </c>
      <c r="C34253" s="5">
        <v>101.5</v>
      </c>
      <c r="D34253" s="5">
        <v>0.1</v>
      </c>
      <c r="E34253" s="5">
        <v>101.6</v>
      </c>
      <c r="F34253" s="5">
        <v>203.1</v>
      </c>
      <c r="G34253" s="5">
        <v>101.3</v>
      </c>
      <c r="H34253" s="5">
        <v>101.2</v>
      </c>
      <c r="I34253" s="5">
        <v>0</v>
      </c>
      <c r="J34253" s="5">
        <v>0</v>
      </c>
      <c r="K34253" s="5">
        <v>0</v>
      </c>
    </row>
    <row r="34254" spans="1:11" x14ac:dyDescent="0.25">
      <c r="A34254" s="5">
        <f>34247</f>
      </c>
      <c r="B34254" s="5" t="s">
        <v>34262</v>
      </c>
      <c r="C34254" s="5">
        <v>101.5</v>
      </c>
      <c r="D34254" s="5">
        <v>0.1</v>
      </c>
      <c r="E34254" s="5">
        <v>101.6</v>
      </c>
      <c r="F34254" s="5">
        <v>203.1</v>
      </c>
      <c r="G34254" s="5">
        <v>101.3</v>
      </c>
      <c r="H34254" s="5">
        <v>101.2</v>
      </c>
      <c r="I34254" s="5">
        <v>0</v>
      </c>
      <c r="J34254" s="5">
        <v>0</v>
      </c>
      <c r="K34254" s="5">
        <v>0</v>
      </c>
    </row>
    <row r="34255" spans="1:11" x14ac:dyDescent="0.25">
      <c r="A34255" s="5">
        <f>34248</f>
      </c>
      <c r="B34255" s="5" t="s">
        <v>34263</v>
      </c>
      <c r="C34255" s="5">
        <v>101.8</v>
      </c>
      <c r="D34255" s="5">
        <v>0.1</v>
      </c>
      <c r="E34255" s="5">
        <v>101.6</v>
      </c>
      <c r="F34255" s="5">
        <v>203.1</v>
      </c>
      <c r="G34255" s="5">
        <v>101.3</v>
      </c>
      <c r="H34255" s="5">
        <v>101.2</v>
      </c>
      <c r="I34255" s="5">
        <v>0</v>
      </c>
      <c r="J34255" s="5">
        <v>0</v>
      </c>
      <c r="K34255" s="5">
        <v>0</v>
      </c>
    </row>
    <row r="34256" spans="1:11" x14ac:dyDescent="0.25">
      <c r="A34256" s="5">
        <f>34249</f>
      </c>
      <c r="B34256" s="5" t="s">
        <v>34264</v>
      </c>
      <c r="C34256" s="5">
        <v>101.8</v>
      </c>
      <c r="D34256" s="5">
        <v>0.1</v>
      </c>
      <c r="E34256" s="5">
        <v>101.8</v>
      </c>
      <c r="F34256" s="5">
        <v>203.5</v>
      </c>
      <c r="G34256" s="5">
        <v>101.6</v>
      </c>
      <c r="H34256" s="5">
        <v>101.4</v>
      </c>
      <c r="I34256" s="5">
        <v>0</v>
      </c>
      <c r="J34256" s="5">
        <v>0</v>
      </c>
      <c r="K34256" s="5">
        <v>0</v>
      </c>
    </row>
    <row r="34257" spans="1:11" x14ac:dyDescent="0.25">
      <c r="A34257" s="5">
        <f>34250</f>
      </c>
      <c r="B34257" s="5" t="s">
        <v>34265</v>
      </c>
      <c r="C34257" s="5">
        <v>102.2</v>
      </c>
      <c r="D34257" s="5">
        <v>0.1</v>
      </c>
      <c r="E34257" s="5">
        <v>101.8</v>
      </c>
      <c r="F34257" s="5">
        <v>203.5</v>
      </c>
      <c r="G34257" s="5">
        <v>101.6</v>
      </c>
      <c r="H34257" s="5">
        <v>101.4</v>
      </c>
      <c r="I34257" s="5">
        <v>0</v>
      </c>
      <c r="J34257" s="5">
        <v>0</v>
      </c>
      <c r="K34257" s="5">
        <v>0</v>
      </c>
    </row>
    <row r="34258" spans="1:11" x14ac:dyDescent="0.25">
      <c r="A34258" s="5">
        <f>34251</f>
      </c>
      <c r="B34258" s="5" t="s">
        <v>34266</v>
      </c>
      <c r="C34258" s="5">
        <v>102.2</v>
      </c>
      <c r="D34258" s="5">
        <v>0.1</v>
      </c>
      <c r="E34258" s="5">
        <v>102.4</v>
      </c>
      <c r="F34258" s="5">
        <v>204.3</v>
      </c>
      <c r="G34258" s="5">
        <v>101.9</v>
      </c>
      <c r="H34258" s="5">
        <v>101.8</v>
      </c>
      <c r="I34258" s="5">
        <v>0</v>
      </c>
      <c r="J34258" s="5">
        <v>0</v>
      </c>
      <c r="K34258" s="5">
        <v>0</v>
      </c>
    </row>
    <row r="34259" spans="1:11" x14ac:dyDescent="0.25">
      <c r="A34259" s="5">
        <f>34252</f>
      </c>
      <c r="B34259" s="5" t="s">
        <v>34267</v>
      </c>
      <c r="C34259" s="5">
        <v>102.2</v>
      </c>
      <c r="D34259" s="5">
        <v>0.1</v>
      </c>
      <c r="E34259" s="5">
        <v>102.4</v>
      </c>
      <c r="F34259" s="5">
        <v>204.3</v>
      </c>
      <c r="G34259" s="5">
        <v>101.8</v>
      </c>
      <c r="H34259" s="5">
        <v>101.7</v>
      </c>
      <c r="I34259" s="5">
        <v>0</v>
      </c>
      <c r="J34259" s="5">
        <v>0</v>
      </c>
      <c r="K34259" s="5">
        <v>0</v>
      </c>
    </row>
    <row r="34260" spans="1:11" x14ac:dyDescent="0.25">
      <c r="A34260" s="5">
        <f>34253</f>
      </c>
      <c r="B34260" s="5" t="s">
        <v>34268</v>
      </c>
      <c r="C34260" s="5">
        <v>102.1</v>
      </c>
      <c r="D34260" s="5">
        <v>0.1</v>
      </c>
      <c r="E34260" s="5">
        <v>102.1</v>
      </c>
      <c r="F34260" s="5">
        <v>204</v>
      </c>
      <c r="G34260" s="5">
        <v>101.8</v>
      </c>
      <c r="H34260" s="5">
        <v>101.7</v>
      </c>
      <c r="I34260" s="5">
        <v>0</v>
      </c>
      <c r="J34260" s="5">
        <v>0</v>
      </c>
      <c r="K34260" s="5">
        <v>0</v>
      </c>
    </row>
    <row r="34261" spans="1:11" x14ac:dyDescent="0.25">
      <c r="A34261" s="5">
        <f>34254</f>
      </c>
      <c r="B34261" s="5" t="s">
        <v>34269</v>
      </c>
      <c r="C34261" s="5">
        <v>102.1</v>
      </c>
      <c r="D34261" s="5">
        <v>0.1</v>
      </c>
      <c r="E34261" s="5">
        <v>102.1</v>
      </c>
      <c r="F34261" s="5">
        <v>204</v>
      </c>
      <c r="G34261" s="5">
        <v>101.8</v>
      </c>
      <c r="H34261" s="5">
        <v>101.7</v>
      </c>
      <c r="I34261" s="5">
        <v>0</v>
      </c>
      <c r="J34261" s="5">
        <v>0</v>
      </c>
      <c r="K34261" s="5">
        <v>0</v>
      </c>
    </row>
    <row r="34262" spans="1:11" x14ac:dyDescent="0.25">
      <c r="A34262" s="5">
        <f>34255</f>
      </c>
      <c r="B34262" s="5" t="s">
        <v>34270</v>
      </c>
      <c r="C34262" s="5">
        <v>102.1</v>
      </c>
      <c r="D34262" s="5">
        <v>0.1</v>
      </c>
      <c r="E34262" s="5">
        <v>102.1</v>
      </c>
      <c r="F34262" s="5">
        <v>204</v>
      </c>
      <c r="G34262" s="5">
        <v>101.8</v>
      </c>
      <c r="H34262" s="5">
        <v>101.7</v>
      </c>
      <c r="I34262" s="5">
        <v>0</v>
      </c>
      <c r="J34262" s="5">
        <v>0</v>
      </c>
      <c r="K34262" s="5">
        <v>0</v>
      </c>
    </row>
    <row r="34263" spans="1:11" x14ac:dyDescent="0.25">
      <c r="A34263" s="5">
        <f>34256</f>
      </c>
      <c r="B34263" s="5" t="s">
        <v>34271</v>
      </c>
      <c r="C34263" s="5">
        <v>101.9</v>
      </c>
      <c r="D34263" s="5">
        <v>0.1</v>
      </c>
      <c r="E34263" s="5">
        <v>102.1</v>
      </c>
      <c r="F34263" s="5">
        <v>203.7</v>
      </c>
      <c r="G34263" s="5">
        <v>101.6</v>
      </c>
      <c r="H34263" s="5">
        <v>101.4</v>
      </c>
      <c r="I34263" s="5">
        <v>0</v>
      </c>
      <c r="J34263" s="5">
        <v>0</v>
      </c>
      <c r="K34263" s="5">
        <v>0</v>
      </c>
    </row>
    <row r="34264" spans="1:11" x14ac:dyDescent="0.25">
      <c r="A34264" s="5">
        <f>34257</f>
      </c>
      <c r="B34264" s="5" t="s">
        <v>34272</v>
      </c>
      <c r="C34264" s="5">
        <v>101.9</v>
      </c>
      <c r="D34264" s="5">
        <v>0.1</v>
      </c>
      <c r="E34264" s="5">
        <v>102.1</v>
      </c>
      <c r="F34264" s="5">
        <v>203.7</v>
      </c>
      <c r="G34264" s="5">
        <v>101.6</v>
      </c>
      <c r="H34264" s="5">
        <v>101.4</v>
      </c>
      <c r="I34264" s="5">
        <v>0</v>
      </c>
      <c r="J34264" s="5">
        <v>0</v>
      </c>
      <c r="K34264" s="5">
        <v>0</v>
      </c>
    </row>
    <row r="34265" spans="1:11" x14ac:dyDescent="0.25">
      <c r="A34265" s="5">
        <f>34258</f>
      </c>
      <c r="B34265" s="5" t="s">
        <v>34273</v>
      </c>
      <c r="C34265" s="5">
        <v>101.9</v>
      </c>
      <c r="D34265" s="5">
        <v>0.1</v>
      </c>
      <c r="E34265" s="5">
        <v>102.1</v>
      </c>
      <c r="F34265" s="5">
        <v>203.7</v>
      </c>
      <c r="G34265" s="5">
        <v>101.7</v>
      </c>
      <c r="H34265" s="5">
        <v>101.5</v>
      </c>
      <c r="I34265" s="5">
        <v>0</v>
      </c>
      <c r="J34265" s="5">
        <v>0</v>
      </c>
      <c r="K34265" s="5">
        <v>0</v>
      </c>
    </row>
    <row r="34266" spans="1:11" x14ac:dyDescent="0.25">
      <c r="A34266" s="5">
        <f>34259</f>
      </c>
      <c r="B34266" s="5" t="s">
        <v>34274</v>
      </c>
      <c r="C34266" s="5">
        <v>101.9</v>
      </c>
      <c r="D34266" s="5">
        <v>0.1</v>
      </c>
      <c r="E34266" s="5">
        <v>102.1</v>
      </c>
      <c r="F34266" s="5">
        <v>203.7</v>
      </c>
      <c r="G34266" s="5">
        <v>101.7</v>
      </c>
      <c r="H34266" s="5">
        <v>101.5</v>
      </c>
      <c r="I34266" s="5">
        <v>0</v>
      </c>
      <c r="J34266" s="5">
        <v>0</v>
      </c>
      <c r="K34266" s="5">
        <v>0</v>
      </c>
    </row>
    <row r="34267" spans="1:11" x14ac:dyDescent="0.25">
      <c r="A34267" s="5">
        <f>34260</f>
      </c>
      <c r="B34267" s="5" t="s">
        <v>34275</v>
      </c>
      <c r="C34267" s="5">
        <v>101.7</v>
      </c>
      <c r="D34267" s="5">
        <v>0.1</v>
      </c>
      <c r="E34267" s="5">
        <v>101.8</v>
      </c>
      <c r="F34267" s="5">
        <v>202.8</v>
      </c>
      <c r="G34267" s="5">
        <v>101.2</v>
      </c>
      <c r="H34267" s="5">
        <v>101</v>
      </c>
      <c r="I34267" s="5">
        <v>0</v>
      </c>
      <c r="J34267" s="5">
        <v>0</v>
      </c>
      <c r="K34267" s="5">
        <v>0</v>
      </c>
    </row>
    <row r="34268" spans="1:11" x14ac:dyDescent="0.25">
      <c r="A34268" s="5">
        <f>34261</f>
      </c>
      <c r="B34268" s="5" t="s">
        <v>34276</v>
      </c>
      <c r="C34268" s="5">
        <v>101.7</v>
      </c>
      <c r="D34268" s="5">
        <v>0.1</v>
      </c>
      <c r="E34268" s="5">
        <v>101.8</v>
      </c>
      <c r="F34268" s="5">
        <v>202.8</v>
      </c>
      <c r="G34268" s="5">
        <v>101.2</v>
      </c>
      <c r="H34268" s="5">
        <v>101</v>
      </c>
      <c r="I34268" s="5">
        <v>0</v>
      </c>
      <c r="J34268" s="5">
        <v>0</v>
      </c>
      <c r="K34268" s="5">
        <v>0</v>
      </c>
    </row>
    <row r="34269" spans="1:11" x14ac:dyDescent="0.25">
      <c r="A34269" s="5">
        <f>34262</f>
      </c>
      <c r="B34269" s="5" t="s">
        <v>34277</v>
      </c>
      <c r="C34269" s="5">
        <v>101.7</v>
      </c>
      <c r="D34269" s="5">
        <v>0.1</v>
      </c>
      <c r="E34269" s="5">
        <v>101.8</v>
      </c>
      <c r="F34269" s="5">
        <v>202.8</v>
      </c>
      <c r="G34269" s="5">
        <v>101.2</v>
      </c>
      <c r="H34269" s="5">
        <v>101</v>
      </c>
      <c r="I34269" s="5">
        <v>0</v>
      </c>
      <c r="J34269" s="5">
        <v>0</v>
      </c>
      <c r="K34269" s="5">
        <v>0</v>
      </c>
    </row>
    <row r="34270" spans="1:11" x14ac:dyDescent="0.25">
      <c r="A34270" s="5">
        <f>34263</f>
      </c>
      <c r="B34270" s="5" t="s">
        <v>34278</v>
      </c>
      <c r="C34270" s="5">
        <v>101.7</v>
      </c>
      <c r="D34270" s="5">
        <v>0.1</v>
      </c>
      <c r="E34270" s="5">
        <v>101.8</v>
      </c>
      <c r="F34270" s="5">
        <v>202.8</v>
      </c>
      <c r="G34270" s="5">
        <v>101.2</v>
      </c>
      <c r="H34270" s="5">
        <v>101</v>
      </c>
      <c r="I34270" s="5">
        <v>0</v>
      </c>
      <c r="J34270" s="5">
        <v>0</v>
      </c>
      <c r="K34270" s="5">
        <v>0</v>
      </c>
    </row>
    <row r="34271" spans="1:11" x14ac:dyDescent="0.25">
      <c r="A34271" s="5">
        <f>34264</f>
      </c>
      <c r="B34271" s="5" t="s">
        <v>34279</v>
      </c>
      <c r="C34271" s="5">
        <v>101.9</v>
      </c>
      <c r="D34271" s="5">
        <v>0.1</v>
      </c>
      <c r="E34271" s="5">
        <v>102.1</v>
      </c>
      <c r="F34271" s="5">
        <v>203.2</v>
      </c>
      <c r="G34271" s="5">
        <v>101.4</v>
      </c>
      <c r="H34271" s="5">
        <v>101.2</v>
      </c>
      <c r="I34271" s="5">
        <v>0</v>
      </c>
      <c r="J34271" s="5">
        <v>0</v>
      </c>
      <c r="K34271" s="5">
        <v>0</v>
      </c>
    </row>
    <row r="34272" spans="1:11" x14ac:dyDescent="0.25">
      <c r="A34272" s="5">
        <f>34265</f>
      </c>
      <c r="B34272" s="5" t="s">
        <v>34280</v>
      </c>
      <c r="C34272" s="5">
        <v>101.9</v>
      </c>
      <c r="D34272" s="5">
        <v>0.1</v>
      </c>
      <c r="E34272" s="5">
        <v>102.1</v>
      </c>
      <c r="F34272" s="5">
        <v>203.2</v>
      </c>
      <c r="G34272" s="5">
        <v>101.4</v>
      </c>
      <c r="H34272" s="5">
        <v>101.2</v>
      </c>
      <c r="I34272" s="5">
        <v>0</v>
      </c>
      <c r="J34272" s="5">
        <v>0</v>
      </c>
      <c r="K34272" s="5">
        <v>0</v>
      </c>
    </row>
    <row r="34273" spans="1:11" x14ac:dyDescent="0.25">
      <c r="A34273" s="5">
        <f>34266</f>
      </c>
      <c r="B34273" s="5" t="s">
        <v>34281</v>
      </c>
      <c r="C34273" s="5">
        <v>102.1</v>
      </c>
      <c r="D34273" s="5">
        <v>0.1</v>
      </c>
      <c r="E34273" s="5">
        <v>102.2</v>
      </c>
      <c r="F34273" s="5">
        <v>204</v>
      </c>
      <c r="G34273" s="5">
        <v>101.8</v>
      </c>
      <c r="H34273" s="5">
        <v>101.6</v>
      </c>
      <c r="I34273" s="5">
        <v>0</v>
      </c>
      <c r="J34273" s="5">
        <v>0</v>
      </c>
      <c r="K34273" s="5">
        <v>0</v>
      </c>
    </row>
    <row r="34274" spans="1:11" x14ac:dyDescent="0.25">
      <c r="A34274" s="5">
        <f>34267</f>
      </c>
      <c r="B34274" s="5" t="s">
        <v>34282</v>
      </c>
      <c r="C34274" s="5">
        <v>102.1</v>
      </c>
      <c r="D34274" s="5">
        <v>0.1</v>
      </c>
      <c r="E34274" s="5">
        <v>102.2</v>
      </c>
      <c r="F34274" s="5">
        <v>204</v>
      </c>
      <c r="G34274" s="5">
        <v>101.8</v>
      </c>
      <c r="H34274" s="5">
        <v>101.6</v>
      </c>
      <c r="I34274" s="5">
        <v>0</v>
      </c>
      <c r="J34274" s="5">
        <v>0</v>
      </c>
      <c r="K34274" s="5">
        <v>0</v>
      </c>
    </row>
    <row r="34275" spans="1:11" x14ac:dyDescent="0.25">
      <c r="A34275" s="5">
        <f>34268</f>
      </c>
      <c r="B34275" s="5" t="s">
        <v>34283</v>
      </c>
      <c r="C34275" s="5">
        <v>101.5</v>
      </c>
      <c r="D34275" s="5">
        <v>0.1</v>
      </c>
      <c r="E34275" s="5">
        <v>101.6</v>
      </c>
      <c r="F34275" s="5">
        <v>203.3</v>
      </c>
      <c r="G34275" s="5">
        <v>101.4</v>
      </c>
      <c r="H34275" s="5">
        <v>101.3</v>
      </c>
      <c r="I34275" s="5">
        <v>0</v>
      </c>
      <c r="J34275" s="5">
        <v>0</v>
      </c>
      <c r="K34275" s="5">
        <v>0</v>
      </c>
    </row>
    <row r="34276" spans="1:11" x14ac:dyDescent="0.25">
      <c r="A34276" s="5">
        <f>34269</f>
      </c>
      <c r="B34276" s="5" t="s">
        <v>34284</v>
      </c>
      <c r="C34276" s="5">
        <v>101.5</v>
      </c>
      <c r="D34276" s="5">
        <v>0.1</v>
      </c>
      <c r="E34276" s="5">
        <v>101.6</v>
      </c>
      <c r="F34276" s="5">
        <v>203.3</v>
      </c>
      <c r="G34276" s="5">
        <v>101.4</v>
      </c>
      <c r="H34276" s="5">
        <v>101.3</v>
      </c>
      <c r="I34276" s="5">
        <v>0</v>
      </c>
      <c r="J34276" s="5">
        <v>0</v>
      </c>
      <c r="K34276" s="5">
        <v>0</v>
      </c>
    </row>
    <row r="34277" spans="1:11" x14ac:dyDescent="0.25">
      <c r="A34277" s="5">
        <f>34270</f>
      </c>
      <c r="B34277" s="5" t="s">
        <v>34285</v>
      </c>
      <c r="C34277" s="5">
        <v>101.2</v>
      </c>
      <c r="D34277" s="5">
        <v>0.1</v>
      </c>
      <c r="E34277" s="5">
        <v>101.4</v>
      </c>
      <c r="F34277" s="5">
        <v>202.3</v>
      </c>
      <c r="G34277" s="5">
        <v>101</v>
      </c>
      <c r="H34277" s="5">
        <v>100.8</v>
      </c>
      <c r="I34277" s="5">
        <v>0</v>
      </c>
      <c r="J34277" s="5">
        <v>0</v>
      </c>
      <c r="K34277" s="5">
        <v>0</v>
      </c>
    </row>
    <row r="34278" spans="1:11" x14ac:dyDescent="0.25">
      <c r="A34278" s="5">
        <f>34271</f>
      </c>
      <c r="B34278" s="5" t="s">
        <v>34286</v>
      </c>
      <c r="C34278" s="5">
        <v>101.2</v>
      </c>
      <c r="D34278" s="5">
        <v>0.1</v>
      </c>
      <c r="E34278" s="5">
        <v>101.4</v>
      </c>
      <c r="F34278" s="5">
        <v>202.3</v>
      </c>
      <c r="G34278" s="5">
        <v>101</v>
      </c>
      <c r="H34278" s="5">
        <v>100.8</v>
      </c>
      <c r="I34278" s="5">
        <v>0</v>
      </c>
      <c r="J34278" s="5">
        <v>0</v>
      </c>
      <c r="K34278" s="5">
        <v>0</v>
      </c>
    </row>
    <row r="34279" spans="1:11" x14ac:dyDescent="0.25">
      <c r="A34279" s="5">
        <f>34272</f>
      </c>
      <c r="B34279" s="5" t="s">
        <v>34287</v>
      </c>
      <c r="C34279" s="5">
        <v>101.2</v>
      </c>
      <c r="D34279" s="5">
        <v>0.1</v>
      </c>
      <c r="E34279" s="5">
        <v>101.4</v>
      </c>
      <c r="F34279" s="5">
        <v>202.3</v>
      </c>
      <c r="G34279" s="5">
        <v>101</v>
      </c>
      <c r="H34279" s="5">
        <v>100.8</v>
      </c>
      <c r="I34279" s="5">
        <v>0</v>
      </c>
      <c r="J34279" s="5">
        <v>0</v>
      </c>
      <c r="K34279" s="5">
        <v>0</v>
      </c>
    </row>
    <row r="34280" spans="1:11" x14ac:dyDescent="0.25">
      <c r="A34280" s="5">
        <f>34273</f>
      </c>
      <c r="B34280" s="5" t="s">
        <v>34288</v>
      </c>
      <c r="C34280" s="5">
        <v>101.2</v>
      </c>
      <c r="D34280" s="5">
        <v>0.1</v>
      </c>
      <c r="E34280" s="5">
        <v>101.4</v>
      </c>
      <c r="F34280" s="5">
        <v>202.3</v>
      </c>
      <c r="G34280" s="5">
        <v>101</v>
      </c>
      <c r="H34280" s="5">
        <v>100.8</v>
      </c>
      <c r="I34280" s="5">
        <v>0</v>
      </c>
      <c r="J34280" s="5">
        <v>0</v>
      </c>
      <c r="K34280" s="5">
        <v>0</v>
      </c>
    </row>
    <row r="34281" spans="1:11" x14ac:dyDescent="0.25">
      <c r="A34281" s="5">
        <f>34274</f>
      </c>
      <c r="B34281" s="5" t="s">
        <v>34289</v>
      </c>
      <c r="C34281" s="5">
        <v>101.8</v>
      </c>
      <c r="D34281" s="5">
        <v>0.1</v>
      </c>
      <c r="E34281" s="5">
        <v>101.8</v>
      </c>
      <c r="F34281" s="5">
        <v>203.2</v>
      </c>
      <c r="G34281" s="5">
        <v>101.4</v>
      </c>
      <c r="H34281" s="5">
        <v>101.2</v>
      </c>
      <c r="I34281" s="5">
        <v>0</v>
      </c>
      <c r="J34281" s="5">
        <v>0</v>
      </c>
      <c r="K34281" s="5">
        <v>0</v>
      </c>
    </row>
    <row r="34282" spans="1:11" x14ac:dyDescent="0.25">
      <c r="A34282" s="5">
        <f>34275</f>
      </c>
      <c r="B34282" s="5" t="s">
        <v>34290</v>
      </c>
      <c r="C34282" s="5">
        <v>101.8</v>
      </c>
      <c r="D34282" s="5">
        <v>0.1</v>
      </c>
      <c r="E34282" s="5">
        <v>101.8</v>
      </c>
      <c r="F34282" s="5">
        <v>203.2</v>
      </c>
      <c r="G34282" s="5">
        <v>101.4</v>
      </c>
      <c r="H34282" s="5">
        <v>101.2</v>
      </c>
      <c r="I34282" s="5">
        <v>0</v>
      </c>
      <c r="J34282" s="5">
        <v>0</v>
      </c>
      <c r="K34282" s="5">
        <v>0</v>
      </c>
    </row>
    <row r="34283" spans="1:11" x14ac:dyDescent="0.25">
      <c r="A34283" s="5">
        <f>34276</f>
      </c>
      <c r="B34283" s="5" t="s">
        <v>34291</v>
      </c>
      <c r="C34283" s="5">
        <v>101.5</v>
      </c>
      <c r="D34283" s="5">
        <v>0.1</v>
      </c>
      <c r="E34283" s="5">
        <v>101.7</v>
      </c>
      <c r="F34283" s="5">
        <v>203.6</v>
      </c>
      <c r="G34283" s="5">
        <v>101.6</v>
      </c>
      <c r="H34283" s="5">
        <v>101.4</v>
      </c>
      <c r="I34283" s="5">
        <v>0</v>
      </c>
      <c r="J34283" s="5">
        <v>0</v>
      </c>
      <c r="K34283" s="5">
        <v>0</v>
      </c>
    </row>
    <row r="34284" spans="1:11" x14ac:dyDescent="0.25">
      <c r="A34284" s="5">
        <f>34277</f>
      </c>
      <c r="B34284" s="5" t="s">
        <v>34292</v>
      </c>
      <c r="C34284" s="5">
        <v>101.5</v>
      </c>
      <c r="D34284" s="5">
        <v>0.1</v>
      </c>
      <c r="E34284" s="5">
        <v>101.7</v>
      </c>
      <c r="F34284" s="5">
        <v>203.6</v>
      </c>
      <c r="G34284" s="5">
        <v>101.6</v>
      </c>
      <c r="H34284" s="5">
        <v>101.4</v>
      </c>
      <c r="I34284" s="5">
        <v>0</v>
      </c>
      <c r="J34284" s="5">
        <v>0</v>
      </c>
      <c r="K34284" s="5">
        <v>0</v>
      </c>
    </row>
    <row r="34285" spans="1:11" x14ac:dyDescent="0.25">
      <c r="A34285" s="5">
        <f>34278</f>
      </c>
      <c r="B34285" s="5" t="s">
        <v>34293</v>
      </c>
      <c r="C34285" s="5">
        <v>101.8</v>
      </c>
      <c r="D34285" s="5">
        <v>0</v>
      </c>
      <c r="E34285" s="5">
        <v>0</v>
      </c>
      <c r="F34285" s="5">
        <v>0</v>
      </c>
      <c r="G34285" s="5">
        <v>0</v>
      </c>
      <c r="H34285" s="5">
        <v>0</v>
      </c>
      <c r="I34285" s="5">
        <v>0</v>
      </c>
      <c r="J34285" s="5">
        <v>0</v>
      </c>
      <c r="K34285" s="5">
        <v>0</v>
      </c>
    </row>
    <row r="34286" spans="1:11" x14ac:dyDescent="0.25">
      <c r="A34286" s="5">
        <f>34279</f>
      </c>
      <c r="B34286" s="5" t="s">
        <v>34294</v>
      </c>
      <c r="C34286" s="5">
        <v>101.8</v>
      </c>
      <c r="D34286" s="5">
        <v>0.1</v>
      </c>
      <c r="E34286" s="5">
        <v>101.9</v>
      </c>
      <c r="F34286" s="5">
        <v>202.3</v>
      </c>
      <c r="G34286" s="5">
        <v>100.9</v>
      </c>
      <c r="H34286" s="5">
        <v>100.8</v>
      </c>
      <c r="I34286" s="5">
        <v>0</v>
      </c>
      <c r="J34286" s="5">
        <v>0</v>
      </c>
      <c r="K34286" s="5">
        <v>0</v>
      </c>
    </row>
    <row r="34287" spans="1:11" x14ac:dyDescent="0.25">
      <c r="A34287" s="5">
        <f>34280</f>
      </c>
      <c r="B34287" s="5" t="s">
        <v>34295</v>
      </c>
      <c r="C34287" s="5">
        <v>101.8</v>
      </c>
      <c r="D34287" s="5">
        <v>0.1</v>
      </c>
      <c r="E34287" s="5">
        <v>101.9</v>
      </c>
      <c r="F34287" s="5">
        <v>202.3</v>
      </c>
      <c r="G34287" s="5">
        <v>100.9</v>
      </c>
      <c r="H34287" s="5">
        <v>100.8</v>
      </c>
      <c r="I34287" s="5">
        <v>0</v>
      </c>
      <c r="J34287" s="5">
        <v>0</v>
      </c>
      <c r="K34287" s="5">
        <v>0</v>
      </c>
    </row>
    <row r="34288" spans="1:11" x14ac:dyDescent="0.25">
      <c r="A34288" s="5">
        <f>34281</f>
      </c>
      <c r="B34288" s="5" t="s">
        <v>34296</v>
      </c>
      <c r="C34288" s="5">
        <v>101.8</v>
      </c>
      <c r="D34288" s="5">
        <v>0.1</v>
      </c>
      <c r="E34288" s="5">
        <v>101.9</v>
      </c>
      <c r="F34288" s="5">
        <v>202.3</v>
      </c>
      <c r="G34288" s="5">
        <v>100.9</v>
      </c>
      <c r="H34288" s="5">
        <v>100.8</v>
      </c>
      <c r="I34288" s="5">
        <v>0</v>
      </c>
      <c r="J34288" s="5">
        <v>0</v>
      </c>
      <c r="K34288" s="5">
        <v>0</v>
      </c>
    </row>
    <row r="34289" spans="1:11" x14ac:dyDescent="0.25">
      <c r="A34289" s="5">
        <f>34282</f>
      </c>
      <c r="B34289" s="5" t="s">
        <v>34297</v>
      </c>
      <c r="C34289" s="5">
        <v>102.1</v>
      </c>
      <c r="D34289" s="5">
        <v>0.1</v>
      </c>
      <c r="E34289" s="5">
        <v>102.2</v>
      </c>
      <c r="F34289" s="5">
        <v>203.4</v>
      </c>
      <c r="G34289" s="5">
        <v>101.5</v>
      </c>
      <c r="H34289" s="5">
        <v>101.4</v>
      </c>
      <c r="I34289" s="5">
        <v>0</v>
      </c>
      <c r="J34289" s="5">
        <v>0</v>
      </c>
      <c r="K34289" s="5">
        <v>0</v>
      </c>
    </row>
    <row r="34290" spans="1:11" x14ac:dyDescent="0.25">
      <c r="A34290" s="5">
        <f>34283</f>
      </c>
      <c r="B34290" s="5" t="s">
        <v>34298</v>
      </c>
      <c r="C34290" s="5">
        <v>102.1</v>
      </c>
      <c r="D34290" s="5">
        <v>0.1</v>
      </c>
      <c r="E34290" s="5">
        <v>102.2</v>
      </c>
      <c r="F34290" s="5">
        <v>203.4</v>
      </c>
      <c r="G34290" s="5">
        <v>101.5</v>
      </c>
      <c r="H34290" s="5">
        <v>101.4</v>
      </c>
      <c r="I34290" s="5">
        <v>0</v>
      </c>
      <c r="J34290" s="5">
        <v>0</v>
      </c>
      <c r="K34290" s="5">
        <v>0</v>
      </c>
    </row>
    <row r="34291" spans="1:11" x14ac:dyDescent="0.25">
      <c r="A34291" s="5">
        <f>34284</f>
      </c>
      <c r="B34291" s="5" t="s">
        <v>34299</v>
      </c>
      <c r="C34291" s="5">
        <v>100.9</v>
      </c>
      <c r="D34291" s="5">
        <v>0.1</v>
      </c>
      <c r="E34291" s="5">
        <v>101.1</v>
      </c>
      <c r="F34291" s="5">
        <v>201.6</v>
      </c>
      <c r="G34291" s="5">
        <v>100.6</v>
      </c>
      <c r="H34291" s="5">
        <v>100.5</v>
      </c>
      <c r="I34291" s="5">
        <v>0</v>
      </c>
      <c r="J34291" s="5">
        <v>0</v>
      </c>
      <c r="K34291" s="5">
        <v>0</v>
      </c>
    </row>
    <row r="34292" spans="1:11" x14ac:dyDescent="0.25">
      <c r="A34292" s="5">
        <f>34285</f>
      </c>
      <c r="B34292" s="5" t="s">
        <v>34300</v>
      </c>
      <c r="C34292" s="5">
        <v>100.9</v>
      </c>
      <c r="D34292" s="5">
        <v>0.1</v>
      </c>
      <c r="E34292" s="5">
        <v>101.1</v>
      </c>
      <c r="F34292" s="5">
        <v>201.6</v>
      </c>
      <c r="G34292" s="5">
        <v>100.6</v>
      </c>
      <c r="H34292" s="5">
        <v>100.5</v>
      </c>
      <c r="I34292" s="5">
        <v>0</v>
      </c>
      <c r="J34292" s="5">
        <v>0</v>
      </c>
      <c r="K34292" s="5">
        <v>0</v>
      </c>
    </row>
    <row r="34293" spans="1:11" x14ac:dyDescent="0.25">
      <c r="A34293" s="5">
        <f>34286</f>
      </c>
      <c r="B34293" s="5" t="s">
        <v>34301</v>
      </c>
      <c r="C34293" s="5">
        <v>101.7</v>
      </c>
      <c r="D34293" s="5">
        <v>0.1</v>
      </c>
      <c r="E34293" s="5">
        <v>101.8</v>
      </c>
      <c r="F34293" s="5">
        <v>202</v>
      </c>
      <c r="G34293" s="5">
        <v>100.8</v>
      </c>
      <c r="H34293" s="5">
        <v>100.7</v>
      </c>
      <c r="I34293" s="5">
        <v>0</v>
      </c>
      <c r="J34293" s="5">
        <v>0</v>
      </c>
      <c r="K34293" s="5">
        <v>0</v>
      </c>
    </row>
    <row r="34294" spans="1:11" x14ac:dyDescent="0.25">
      <c r="A34294" s="5">
        <f>34287</f>
      </c>
      <c r="B34294" s="5" t="s">
        <v>34302</v>
      </c>
      <c r="C34294" s="5">
        <v>101.7</v>
      </c>
      <c r="D34294" s="5">
        <v>0.1</v>
      </c>
      <c r="E34294" s="5">
        <v>101.8</v>
      </c>
      <c r="F34294" s="5">
        <v>202</v>
      </c>
      <c r="G34294" s="5">
        <v>100.8</v>
      </c>
      <c r="H34294" s="5">
        <v>100.7</v>
      </c>
      <c r="I34294" s="5">
        <v>0</v>
      </c>
      <c r="J34294" s="5">
        <v>0</v>
      </c>
      <c r="K34294" s="5">
        <v>0</v>
      </c>
    </row>
    <row r="34295" spans="1:11" x14ac:dyDescent="0.25">
      <c r="A34295" s="5">
        <f>34288</f>
      </c>
      <c r="B34295" s="5" t="s">
        <v>34303</v>
      </c>
      <c r="C34295" s="5">
        <v>102.1</v>
      </c>
      <c r="D34295" s="5">
        <v>0.1</v>
      </c>
      <c r="E34295" s="5">
        <v>102.2</v>
      </c>
      <c r="F34295" s="5">
        <v>203.6</v>
      </c>
      <c r="G34295" s="5">
        <v>101.5</v>
      </c>
      <c r="H34295" s="5">
        <v>101.4</v>
      </c>
      <c r="I34295" s="5">
        <v>0</v>
      </c>
      <c r="J34295" s="5">
        <v>0</v>
      </c>
      <c r="K34295" s="5">
        <v>0</v>
      </c>
    </row>
    <row r="34296" spans="1:11" x14ac:dyDescent="0.25">
      <c r="A34296" s="5">
        <f>34289</f>
      </c>
      <c r="B34296" s="5" t="s">
        <v>34304</v>
      </c>
      <c r="C34296" s="5">
        <v>102.1</v>
      </c>
      <c r="D34296" s="5">
        <v>0.1</v>
      </c>
      <c r="E34296" s="5">
        <v>102.2</v>
      </c>
      <c r="F34296" s="5">
        <v>203.6</v>
      </c>
      <c r="G34296" s="5">
        <v>101.5</v>
      </c>
      <c r="H34296" s="5">
        <v>101.4</v>
      </c>
      <c r="I34296" s="5">
        <v>0</v>
      </c>
      <c r="J34296" s="5">
        <v>0</v>
      </c>
      <c r="K34296" s="5">
        <v>0</v>
      </c>
    </row>
    <row r="34297" spans="1:11" x14ac:dyDescent="0.25">
      <c r="A34297" s="5">
        <f>34290</f>
      </c>
      <c r="B34297" s="5" t="s">
        <v>34305</v>
      </c>
      <c r="C34297" s="5">
        <v>102.1</v>
      </c>
      <c r="D34297" s="5">
        <v>0.1</v>
      </c>
      <c r="E34297" s="5">
        <v>102.2</v>
      </c>
      <c r="F34297" s="5">
        <v>203.6</v>
      </c>
      <c r="G34297" s="5">
        <v>101.5</v>
      </c>
      <c r="H34297" s="5">
        <v>101.4</v>
      </c>
      <c r="I34297" s="5">
        <v>0</v>
      </c>
      <c r="J34297" s="5">
        <v>0</v>
      </c>
      <c r="K34297" s="5">
        <v>0</v>
      </c>
    </row>
    <row r="34298" spans="1:11" x14ac:dyDescent="0.25">
      <c r="A34298" s="5">
        <f>34291</f>
      </c>
      <c r="B34298" s="5" t="s">
        <v>34306</v>
      </c>
      <c r="C34298" s="5">
        <v>102.1</v>
      </c>
      <c r="D34298" s="5">
        <v>0.1</v>
      </c>
      <c r="E34298" s="5">
        <v>102.2</v>
      </c>
      <c r="F34298" s="5">
        <v>203.6</v>
      </c>
      <c r="G34298" s="5">
        <v>101.5</v>
      </c>
      <c r="H34298" s="5">
        <v>101.4</v>
      </c>
      <c r="I34298" s="5">
        <v>0</v>
      </c>
      <c r="J34298" s="5">
        <v>0</v>
      </c>
      <c r="K34298" s="5">
        <v>0</v>
      </c>
    </row>
    <row r="34299" spans="1:11" x14ac:dyDescent="0.25">
      <c r="A34299" s="5">
        <f>34292</f>
      </c>
      <c r="B34299" s="5" t="s">
        <v>34307</v>
      </c>
      <c r="C34299" s="5">
        <v>102.1</v>
      </c>
      <c r="D34299" s="5">
        <v>0.1</v>
      </c>
      <c r="E34299" s="5">
        <v>102.2</v>
      </c>
      <c r="F34299" s="5">
        <v>203.7</v>
      </c>
      <c r="G34299" s="5">
        <v>101.6</v>
      </c>
      <c r="H34299" s="5">
        <v>101.4</v>
      </c>
      <c r="I34299" s="5">
        <v>0</v>
      </c>
      <c r="J34299" s="5">
        <v>0</v>
      </c>
      <c r="K34299" s="5">
        <v>0</v>
      </c>
    </row>
    <row r="34300" spans="1:11" x14ac:dyDescent="0.25">
      <c r="A34300" s="5">
        <f>34293</f>
      </c>
      <c r="B34300" s="5" t="s">
        <v>34308</v>
      </c>
      <c r="C34300" s="5">
        <v>102.1</v>
      </c>
      <c r="D34300" s="5">
        <v>0.1</v>
      </c>
      <c r="E34300" s="5">
        <v>102.2</v>
      </c>
      <c r="F34300" s="5">
        <v>203.7</v>
      </c>
      <c r="G34300" s="5">
        <v>101.6</v>
      </c>
      <c r="H34300" s="5">
        <v>101.4</v>
      </c>
      <c r="I34300" s="5">
        <v>0</v>
      </c>
      <c r="J34300" s="5">
        <v>0</v>
      </c>
      <c r="K34300" s="5">
        <v>0</v>
      </c>
    </row>
    <row r="34301" spans="1:11" x14ac:dyDescent="0.25">
      <c r="A34301" s="5">
        <f>34294</f>
      </c>
      <c r="B34301" s="5" t="s">
        <v>34309</v>
      </c>
      <c r="C34301" s="5">
        <v>101.6</v>
      </c>
      <c r="D34301" s="5">
        <v>0.1</v>
      </c>
      <c r="E34301" s="5">
        <v>101.8</v>
      </c>
      <c r="F34301" s="5">
        <v>203.4</v>
      </c>
      <c r="G34301" s="5">
        <v>101.5</v>
      </c>
      <c r="H34301" s="5">
        <v>101.4</v>
      </c>
      <c r="I34301" s="5">
        <v>0</v>
      </c>
      <c r="J34301" s="5">
        <v>0</v>
      </c>
      <c r="K34301" s="5">
        <v>0</v>
      </c>
    </row>
    <row r="34302" spans="1:11" x14ac:dyDescent="0.25">
      <c r="A34302" s="5">
        <f>34295</f>
      </c>
      <c r="B34302" s="5" t="s">
        <v>34310</v>
      </c>
      <c r="C34302" s="5">
        <v>101.6</v>
      </c>
      <c r="D34302" s="5">
        <v>0.1</v>
      </c>
      <c r="E34302" s="5">
        <v>101.8</v>
      </c>
      <c r="F34302" s="5">
        <v>203.4</v>
      </c>
      <c r="G34302" s="5">
        <v>101.5</v>
      </c>
      <c r="H34302" s="5">
        <v>101.4</v>
      </c>
      <c r="I34302" s="5">
        <v>0</v>
      </c>
      <c r="J34302" s="5">
        <v>0</v>
      </c>
      <c r="K34302" s="5">
        <v>0</v>
      </c>
    </row>
    <row r="34303" spans="1:11" x14ac:dyDescent="0.25">
      <c r="A34303" s="5">
        <f>34296</f>
      </c>
      <c r="B34303" s="5" t="s">
        <v>34311</v>
      </c>
      <c r="C34303" s="5">
        <v>101.1</v>
      </c>
      <c r="D34303" s="5">
        <v>0.1</v>
      </c>
      <c r="E34303" s="5">
        <v>101.2</v>
      </c>
      <c r="F34303" s="5">
        <v>202.7</v>
      </c>
      <c r="G34303" s="5">
        <v>101.2</v>
      </c>
      <c r="H34303" s="5">
        <v>101.1</v>
      </c>
      <c r="I34303" s="5">
        <v>0</v>
      </c>
      <c r="J34303" s="5">
        <v>0</v>
      </c>
      <c r="K34303" s="5">
        <v>0</v>
      </c>
    </row>
    <row r="34304" spans="1:11" x14ac:dyDescent="0.25">
      <c r="A34304" s="5">
        <f>34297</f>
      </c>
      <c r="B34304" s="5" t="s">
        <v>34312</v>
      </c>
      <c r="C34304" s="5">
        <v>101.1</v>
      </c>
      <c r="D34304" s="5">
        <v>0.1</v>
      </c>
      <c r="E34304" s="5">
        <v>101.2</v>
      </c>
      <c r="F34304" s="5">
        <v>202.7</v>
      </c>
      <c r="G34304" s="5">
        <v>101.2</v>
      </c>
      <c r="H34304" s="5">
        <v>101.1</v>
      </c>
      <c r="I34304" s="5">
        <v>0</v>
      </c>
      <c r="J34304" s="5">
        <v>0</v>
      </c>
      <c r="K34304" s="5">
        <v>0</v>
      </c>
    </row>
    <row r="34305" spans="1:11" x14ac:dyDescent="0.25">
      <c r="A34305" s="5">
        <f>34298</f>
      </c>
      <c r="B34305" s="5" t="s">
        <v>34313</v>
      </c>
      <c r="C34305" s="5">
        <v>101.8</v>
      </c>
      <c r="D34305" s="5">
        <v>0.1</v>
      </c>
      <c r="E34305" s="5">
        <v>101.9</v>
      </c>
      <c r="F34305" s="5">
        <v>203</v>
      </c>
      <c r="G34305" s="5">
        <v>101.3</v>
      </c>
      <c r="H34305" s="5">
        <v>101.2</v>
      </c>
      <c r="I34305" s="5">
        <v>0</v>
      </c>
      <c r="J34305" s="5">
        <v>0</v>
      </c>
      <c r="K34305" s="5">
        <v>0</v>
      </c>
    </row>
    <row r="34306" spans="1:11" x14ac:dyDescent="0.25">
      <c r="A34306" s="5">
        <f>34299</f>
      </c>
      <c r="B34306" s="5" t="s">
        <v>34314</v>
      </c>
      <c r="C34306" s="5">
        <v>101.8</v>
      </c>
      <c r="D34306" s="5">
        <v>0.1</v>
      </c>
      <c r="E34306" s="5">
        <v>101.9</v>
      </c>
      <c r="F34306" s="5">
        <v>203</v>
      </c>
      <c r="G34306" s="5">
        <v>101.3</v>
      </c>
      <c r="H34306" s="5">
        <v>101.2</v>
      </c>
      <c r="I34306" s="5">
        <v>0</v>
      </c>
      <c r="J34306" s="5">
        <v>0</v>
      </c>
      <c r="K34306" s="5">
        <v>0</v>
      </c>
    </row>
    <row r="34307" spans="1:11" x14ac:dyDescent="0.25">
      <c r="A34307" s="5">
        <f>34300</f>
      </c>
      <c r="B34307" s="5" t="s">
        <v>34315</v>
      </c>
      <c r="C34307" s="5">
        <v>101.8</v>
      </c>
      <c r="D34307" s="5">
        <v>0.1</v>
      </c>
      <c r="E34307" s="5">
        <v>101.9</v>
      </c>
      <c r="F34307" s="5">
        <v>203</v>
      </c>
      <c r="G34307" s="5">
        <v>101.3</v>
      </c>
      <c r="H34307" s="5">
        <v>101.2</v>
      </c>
      <c r="I34307" s="5">
        <v>0</v>
      </c>
      <c r="J34307" s="5">
        <v>0</v>
      </c>
      <c r="K34307" s="5">
        <v>0</v>
      </c>
    </row>
    <row r="34308" spans="1:11" x14ac:dyDescent="0.25">
      <c r="A34308" s="5">
        <f>34301</f>
      </c>
      <c r="B34308" s="5" t="s">
        <v>34316</v>
      </c>
      <c r="C34308" s="5">
        <v>102.1</v>
      </c>
      <c r="D34308" s="5">
        <v>0.1</v>
      </c>
      <c r="E34308" s="5">
        <v>102.3</v>
      </c>
      <c r="F34308" s="5">
        <v>203.8</v>
      </c>
      <c r="G34308" s="5">
        <v>101.6</v>
      </c>
      <c r="H34308" s="5">
        <v>101.5</v>
      </c>
      <c r="I34308" s="5">
        <v>0</v>
      </c>
      <c r="J34308" s="5">
        <v>0</v>
      </c>
      <c r="K34308" s="5">
        <v>0</v>
      </c>
    </row>
    <row r="34309" spans="1:11" x14ac:dyDescent="0.25">
      <c r="A34309" s="5">
        <f>34302</f>
      </c>
      <c r="B34309" s="5" t="s">
        <v>34317</v>
      </c>
      <c r="C34309" s="5">
        <v>102.1</v>
      </c>
      <c r="D34309" s="5">
        <v>0.1</v>
      </c>
      <c r="E34309" s="5">
        <v>102.3</v>
      </c>
      <c r="F34309" s="5">
        <v>203.8</v>
      </c>
      <c r="G34309" s="5">
        <v>101.6</v>
      </c>
      <c r="H34309" s="5">
        <v>101.5</v>
      </c>
      <c r="I34309" s="5">
        <v>0</v>
      </c>
      <c r="J34309" s="5">
        <v>0</v>
      </c>
      <c r="K34309" s="5">
        <v>0</v>
      </c>
    </row>
    <row r="34310" spans="1:11" x14ac:dyDescent="0.25">
      <c r="A34310" s="5">
        <f>34303</f>
      </c>
      <c r="B34310" s="5" t="s">
        <v>34318</v>
      </c>
      <c r="C34310" s="5">
        <v>102</v>
      </c>
      <c r="D34310" s="5">
        <v>0.1</v>
      </c>
      <c r="E34310" s="5">
        <v>102.1</v>
      </c>
      <c r="F34310" s="5">
        <v>203.5</v>
      </c>
      <c r="G34310" s="5">
        <v>101.5</v>
      </c>
      <c r="H34310" s="5">
        <v>101.4</v>
      </c>
      <c r="I34310" s="5">
        <v>0</v>
      </c>
      <c r="J34310" s="5">
        <v>0</v>
      </c>
      <c r="K34310" s="5">
        <v>0</v>
      </c>
    </row>
    <row r="34311" spans="1:11" x14ac:dyDescent="0.25">
      <c r="A34311" s="5">
        <f>34304</f>
      </c>
      <c r="B34311" s="5" t="s">
        <v>34319</v>
      </c>
      <c r="C34311" s="5">
        <v>102</v>
      </c>
      <c r="D34311" s="5">
        <v>0.1</v>
      </c>
      <c r="E34311" s="5">
        <v>102.1</v>
      </c>
      <c r="F34311" s="5">
        <v>203.5</v>
      </c>
      <c r="G34311" s="5">
        <v>101.5</v>
      </c>
      <c r="H34311" s="5">
        <v>101.4</v>
      </c>
      <c r="I34311" s="5">
        <v>0</v>
      </c>
      <c r="J34311" s="5">
        <v>0</v>
      </c>
      <c r="K34311" s="5">
        <v>0</v>
      </c>
    </row>
    <row r="34312" spans="1:11" x14ac:dyDescent="0.25">
      <c r="A34312" s="5">
        <f>34305</f>
      </c>
      <c r="B34312" s="5" t="s">
        <v>34320</v>
      </c>
      <c r="C34312" s="5">
        <v>101.5</v>
      </c>
      <c r="D34312" s="5">
        <v>0.1</v>
      </c>
      <c r="E34312" s="5">
        <v>101.6</v>
      </c>
      <c r="F34312" s="5">
        <v>202.6</v>
      </c>
      <c r="G34312" s="5">
        <v>101.1</v>
      </c>
      <c r="H34312" s="5">
        <v>101</v>
      </c>
      <c r="I34312" s="5">
        <v>0</v>
      </c>
      <c r="J34312" s="5">
        <v>0</v>
      </c>
      <c r="K34312" s="5">
        <v>0</v>
      </c>
    </row>
    <row r="34313" spans="1:11" x14ac:dyDescent="0.25">
      <c r="A34313" s="5">
        <f>34306</f>
      </c>
      <c r="B34313" s="5" t="s">
        <v>34321</v>
      </c>
      <c r="C34313" s="5">
        <v>101.5</v>
      </c>
      <c r="D34313" s="5">
        <v>0.1</v>
      </c>
      <c r="E34313" s="5">
        <v>101.6</v>
      </c>
      <c r="F34313" s="5">
        <v>202.6</v>
      </c>
      <c r="G34313" s="5">
        <v>101.1</v>
      </c>
      <c r="H34313" s="5">
        <v>101</v>
      </c>
      <c r="I34313" s="5">
        <v>0</v>
      </c>
      <c r="J34313" s="5">
        <v>0</v>
      </c>
      <c r="K34313" s="5">
        <v>0</v>
      </c>
    </row>
    <row r="34314" spans="1:11" x14ac:dyDescent="0.25">
      <c r="A34314" s="5">
        <f>34307</f>
      </c>
      <c r="B34314" s="5" t="s">
        <v>34322</v>
      </c>
      <c r="C34314" s="5">
        <v>104.2</v>
      </c>
      <c r="D34314" s="5">
        <v>0.1</v>
      </c>
      <c r="E34314" s="5">
        <v>104.3</v>
      </c>
      <c r="F34314" s="5">
        <v>208</v>
      </c>
      <c r="G34314" s="5">
        <v>103.8</v>
      </c>
      <c r="H34314" s="5">
        <v>103.6</v>
      </c>
      <c r="I34314" s="5">
        <v>0</v>
      </c>
      <c r="J34314" s="5">
        <v>0</v>
      </c>
      <c r="K34314" s="5">
        <v>0</v>
      </c>
    </row>
    <row r="34315" spans="1:11" x14ac:dyDescent="0.25">
      <c r="A34315" s="5">
        <f>34308</f>
      </c>
      <c r="B34315" s="5" t="s">
        <v>34323</v>
      </c>
      <c r="C34315" s="5">
        <v>104.2</v>
      </c>
      <c r="D34315" s="5">
        <v>0.1</v>
      </c>
      <c r="E34315" s="5">
        <v>104.3</v>
      </c>
      <c r="F34315" s="5">
        <v>208</v>
      </c>
      <c r="G34315" s="5">
        <v>103.8</v>
      </c>
      <c r="H34315" s="5">
        <v>103.6</v>
      </c>
      <c r="I34315" s="5">
        <v>0</v>
      </c>
      <c r="J34315" s="5">
        <v>0</v>
      </c>
      <c r="K34315" s="5">
        <v>0</v>
      </c>
    </row>
    <row r="34316" spans="1:11" x14ac:dyDescent="0.25">
      <c r="A34316" s="5">
        <f>34309</f>
      </c>
      <c r="B34316" s="5" t="s">
        <v>34324</v>
      </c>
      <c r="C34316" s="5">
        <v>104.2</v>
      </c>
      <c r="D34316" s="5">
        <v>0.1</v>
      </c>
      <c r="E34316" s="5">
        <v>104.3</v>
      </c>
      <c r="F34316" s="5">
        <v>208</v>
      </c>
      <c r="G34316" s="5">
        <v>103.8</v>
      </c>
      <c r="H34316" s="5">
        <v>103.6</v>
      </c>
      <c r="I34316" s="5">
        <v>0</v>
      </c>
      <c r="J34316" s="5">
        <v>0</v>
      </c>
      <c r="K34316" s="5">
        <v>0</v>
      </c>
    </row>
    <row r="34317" spans="1:11" x14ac:dyDescent="0.25">
      <c r="A34317" s="5">
        <f>34310</f>
      </c>
      <c r="B34317" s="5" t="s">
        <v>34325</v>
      </c>
      <c r="C34317" s="5">
        <v>104.2</v>
      </c>
      <c r="D34317" s="5">
        <v>0.1</v>
      </c>
      <c r="E34317" s="5">
        <v>104.3</v>
      </c>
      <c r="F34317" s="5">
        <v>208</v>
      </c>
      <c r="G34317" s="5">
        <v>103.8</v>
      </c>
      <c r="H34317" s="5">
        <v>103.6</v>
      </c>
      <c r="I34317" s="5">
        <v>0</v>
      </c>
      <c r="J34317" s="5">
        <v>0</v>
      </c>
      <c r="K34317" s="5">
        <v>0</v>
      </c>
    </row>
    <row r="34318" spans="1:11" x14ac:dyDescent="0.25">
      <c r="A34318" s="5">
        <f>34311</f>
      </c>
      <c r="B34318" s="5" t="s">
        <v>34326</v>
      </c>
      <c r="C34318" s="5">
        <v>103.5</v>
      </c>
      <c r="D34318" s="5">
        <v>0.1</v>
      </c>
      <c r="E34318" s="5">
        <v>103.7</v>
      </c>
      <c r="F34318" s="5">
        <v>207.3</v>
      </c>
      <c r="G34318" s="5">
        <v>103.3</v>
      </c>
      <c r="H34318" s="5">
        <v>103.1</v>
      </c>
      <c r="I34318" s="5">
        <v>0</v>
      </c>
      <c r="J34318" s="5">
        <v>0</v>
      </c>
      <c r="K34318" s="5">
        <v>0</v>
      </c>
    </row>
    <row r="34319" spans="1:11" x14ac:dyDescent="0.25">
      <c r="A34319" s="5">
        <f>34312</f>
      </c>
      <c r="B34319" s="5" t="s">
        <v>34327</v>
      </c>
      <c r="C34319" s="5">
        <v>103.5</v>
      </c>
      <c r="D34319" s="5">
        <v>0.1</v>
      </c>
      <c r="E34319" s="5">
        <v>103.7</v>
      </c>
      <c r="F34319" s="5">
        <v>207.3</v>
      </c>
      <c r="G34319" s="5">
        <v>103.3</v>
      </c>
      <c r="H34319" s="5">
        <v>103.1</v>
      </c>
      <c r="I34319" s="5">
        <v>0</v>
      </c>
      <c r="J34319" s="5">
        <v>0</v>
      </c>
      <c r="K34319" s="5">
        <v>0</v>
      </c>
    </row>
    <row r="34320" spans="1:11" x14ac:dyDescent="0.25">
      <c r="A34320" s="5">
        <f>34313</f>
      </c>
      <c r="B34320" s="5" t="s">
        <v>34328</v>
      </c>
      <c r="C34320" s="5">
        <v>103.7</v>
      </c>
      <c r="D34320" s="5">
        <v>0.1</v>
      </c>
      <c r="E34320" s="5">
        <v>103.8</v>
      </c>
      <c r="F34320" s="5">
        <v>207.2</v>
      </c>
      <c r="G34320" s="5">
        <v>103.4</v>
      </c>
      <c r="H34320" s="5">
        <v>103.1</v>
      </c>
      <c r="I34320" s="5">
        <v>0</v>
      </c>
      <c r="J34320" s="5">
        <v>0</v>
      </c>
      <c r="K34320" s="5">
        <v>0</v>
      </c>
    </row>
    <row r="34321" spans="1:11" x14ac:dyDescent="0.25">
      <c r="A34321" s="5">
        <f>34314</f>
      </c>
      <c r="B34321" s="5" t="s">
        <v>34329</v>
      </c>
      <c r="C34321" s="5">
        <v>103.7</v>
      </c>
      <c r="D34321" s="5">
        <v>0.1</v>
      </c>
      <c r="E34321" s="5">
        <v>103.8</v>
      </c>
      <c r="F34321" s="5">
        <v>207.2</v>
      </c>
      <c r="G34321" s="5">
        <v>103.4</v>
      </c>
      <c r="H34321" s="5">
        <v>103.2</v>
      </c>
      <c r="I34321" s="5">
        <v>0</v>
      </c>
      <c r="J34321" s="5">
        <v>0</v>
      </c>
      <c r="K34321" s="5">
        <v>0</v>
      </c>
    </row>
    <row r="34322" spans="1:11" x14ac:dyDescent="0.25">
      <c r="A34322" s="5">
        <f>34315</f>
      </c>
      <c r="B34322" s="5" t="s">
        <v>34330</v>
      </c>
      <c r="C34322" s="5">
        <v>104.2</v>
      </c>
      <c r="D34322" s="5">
        <v>0.1</v>
      </c>
      <c r="E34322" s="5">
        <v>103.8</v>
      </c>
      <c r="F34322" s="5">
        <v>207.2</v>
      </c>
      <c r="G34322" s="5">
        <v>103.4</v>
      </c>
      <c r="H34322" s="5">
        <v>103.2</v>
      </c>
      <c r="I34322" s="5">
        <v>0</v>
      </c>
      <c r="J34322" s="5">
        <v>0</v>
      </c>
      <c r="K34322" s="5">
        <v>0</v>
      </c>
    </row>
    <row r="34323" spans="1:11" x14ac:dyDescent="0.25">
      <c r="A34323" s="5">
        <f>34316</f>
      </c>
      <c r="B34323" s="5" t="s">
        <v>34331</v>
      </c>
      <c r="C34323" s="5">
        <v>104.2</v>
      </c>
      <c r="D34323" s="5">
        <v>0.1</v>
      </c>
      <c r="E34323" s="5">
        <v>104.3</v>
      </c>
      <c r="F34323" s="5">
        <v>207.3</v>
      </c>
      <c r="G34323" s="5">
        <v>103.4</v>
      </c>
      <c r="H34323" s="5">
        <v>103.3</v>
      </c>
      <c r="I34323" s="5">
        <v>0</v>
      </c>
      <c r="J34323" s="5">
        <v>0</v>
      </c>
      <c r="K34323" s="5">
        <v>0</v>
      </c>
    </row>
    <row r="34324" spans="1:11" x14ac:dyDescent="0.25">
      <c r="A34324" s="5">
        <f>34317</f>
      </c>
      <c r="B34324" s="5" t="s">
        <v>34332</v>
      </c>
      <c r="C34324" s="5">
        <v>104.3</v>
      </c>
      <c r="D34324" s="5">
        <v>0.1</v>
      </c>
      <c r="E34324" s="5">
        <v>104.3</v>
      </c>
      <c r="F34324" s="5">
        <v>207.3</v>
      </c>
      <c r="G34324" s="5">
        <v>103.4</v>
      </c>
      <c r="H34324" s="5">
        <v>103.3</v>
      </c>
      <c r="I34324" s="5">
        <v>0</v>
      </c>
      <c r="J34324" s="5">
        <v>0</v>
      </c>
      <c r="K34324" s="5">
        <v>0</v>
      </c>
    </row>
    <row r="34325" spans="1:11" x14ac:dyDescent="0.25">
      <c r="A34325" s="5">
        <f>34318</f>
      </c>
      <c r="B34325" s="5" t="s">
        <v>34333</v>
      </c>
      <c r="C34325" s="5">
        <v>104.3</v>
      </c>
      <c r="D34325" s="5">
        <v>0.1</v>
      </c>
      <c r="E34325" s="5">
        <v>104.5</v>
      </c>
      <c r="F34325" s="5">
        <v>207.5</v>
      </c>
      <c r="G34325" s="5">
        <v>103.5</v>
      </c>
      <c r="H34325" s="5">
        <v>103.4</v>
      </c>
      <c r="I34325" s="5">
        <v>0</v>
      </c>
      <c r="J34325" s="5">
        <v>0</v>
      </c>
      <c r="K34325" s="5">
        <v>0</v>
      </c>
    </row>
    <row r="34326" spans="1:11" x14ac:dyDescent="0.25">
      <c r="A34326" s="5">
        <f>34319</f>
      </c>
      <c r="B34326" s="5" t="s">
        <v>34334</v>
      </c>
      <c r="C34326" s="5">
        <v>104.3</v>
      </c>
      <c r="D34326" s="5">
        <v>0.1</v>
      </c>
      <c r="E34326" s="5">
        <v>104.5</v>
      </c>
      <c r="F34326" s="5">
        <v>207.5</v>
      </c>
      <c r="G34326" s="5">
        <v>103.5</v>
      </c>
      <c r="H34326" s="5">
        <v>103.4</v>
      </c>
      <c r="I34326" s="5">
        <v>0</v>
      </c>
      <c r="J34326" s="5">
        <v>0</v>
      </c>
      <c r="K34326" s="5">
        <v>0</v>
      </c>
    </row>
    <row r="34327" spans="1:11" x14ac:dyDescent="0.25">
      <c r="A34327" s="5">
        <f>34320</f>
      </c>
      <c r="B34327" s="5" t="s">
        <v>34335</v>
      </c>
      <c r="C34327" s="5">
        <v>104.3</v>
      </c>
      <c r="D34327" s="5">
        <v>0.1</v>
      </c>
      <c r="E34327" s="5">
        <v>104.5</v>
      </c>
      <c r="F34327" s="5">
        <v>207.5</v>
      </c>
      <c r="G34327" s="5">
        <v>103.5</v>
      </c>
      <c r="H34327" s="5">
        <v>103.4</v>
      </c>
      <c r="I34327" s="5">
        <v>0</v>
      </c>
      <c r="J34327" s="5">
        <v>0</v>
      </c>
      <c r="K34327" s="5">
        <v>0</v>
      </c>
    </row>
    <row r="34328" spans="1:11" x14ac:dyDescent="0.25">
      <c r="A34328" s="5">
        <f>34321</f>
      </c>
      <c r="B34328" s="5" t="s">
        <v>34336</v>
      </c>
      <c r="C34328" s="5">
        <v>104.3</v>
      </c>
      <c r="D34328" s="5">
        <v>0.1</v>
      </c>
      <c r="E34328" s="5">
        <v>104.5</v>
      </c>
      <c r="F34328" s="5">
        <v>207.5</v>
      </c>
      <c r="G34328" s="5">
        <v>103.5</v>
      </c>
      <c r="H34328" s="5">
        <v>103.4</v>
      </c>
      <c r="I34328" s="5">
        <v>0</v>
      </c>
      <c r="J34328" s="5">
        <v>0</v>
      </c>
      <c r="K34328" s="5">
        <v>0</v>
      </c>
    </row>
    <row r="34329" spans="1:11" x14ac:dyDescent="0.25">
      <c r="A34329" s="5">
        <f>34322</f>
      </c>
      <c r="B34329" s="5" t="s">
        <v>34337</v>
      </c>
      <c r="C34329" s="5">
        <v>104.2</v>
      </c>
      <c r="D34329" s="5">
        <v>0.1</v>
      </c>
      <c r="E34329" s="5">
        <v>104.3</v>
      </c>
      <c r="F34329" s="5">
        <v>207.8</v>
      </c>
      <c r="G34329" s="5">
        <v>103.7</v>
      </c>
      <c r="H34329" s="5">
        <v>103.5</v>
      </c>
      <c r="I34329" s="5">
        <v>0</v>
      </c>
      <c r="J34329" s="5">
        <v>0</v>
      </c>
      <c r="K34329" s="5">
        <v>0</v>
      </c>
    </row>
    <row r="34330" spans="1:11" x14ac:dyDescent="0.25">
      <c r="A34330" s="5">
        <f>34323</f>
      </c>
      <c r="B34330" s="5" t="s">
        <v>34338</v>
      </c>
      <c r="C34330" s="5">
        <v>104.2</v>
      </c>
      <c r="D34330" s="5">
        <v>0.1</v>
      </c>
      <c r="E34330" s="5">
        <v>104.3</v>
      </c>
      <c r="F34330" s="5">
        <v>207.8</v>
      </c>
      <c r="G34330" s="5">
        <v>103.7</v>
      </c>
      <c r="H34330" s="5">
        <v>103.5</v>
      </c>
      <c r="I34330" s="5">
        <v>0</v>
      </c>
      <c r="J34330" s="5">
        <v>0</v>
      </c>
      <c r="K34330" s="5">
        <v>0</v>
      </c>
    </row>
    <row r="34331" spans="1:11" x14ac:dyDescent="0.25">
      <c r="A34331" s="5">
        <f>34324</f>
      </c>
      <c r="B34331" s="5" t="s">
        <v>34339</v>
      </c>
      <c r="C34331" s="5">
        <v>102.9</v>
      </c>
      <c r="D34331" s="5">
        <v>0.1</v>
      </c>
      <c r="E34331" s="5">
        <v>103.1</v>
      </c>
      <c r="F34331" s="5">
        <v>206.5</v>
      </c>
      <c r="G34331" s="5">
        <v>103</v>
      </c>
      <c r="H34331" s="5">
        <v>102.8</v>
      </c>
      <c r="I34331" s="5">
        <v>0</v>
      </c>
      <c r="J34331" s="5">
        <v>0</v>
      </c>
      <c r="K34331" s="5">
        <v>0</v>
      </c>
    </row>
    <row r="34332" spans="1:11" x14ac:dyDescent="0.25">
      <c r="A34332" s="5">
        <f>34325</f>
      </c>
      <c r="B34332" s="5" t="s">
        <v>34340</v>
      </c>
      <c r="C34332" s="5">
        <v>102.9</v>
      </c>
      <c r="D34332" s="5">
        <v>0.1</v>
      </c>
      <c r="E34332" s="5">
        <v>103.1</v>
      </c>
      <c r="F34332" s="5">
        <v>206.5</v>
      </c>
      <c r="G34332" s="5">
        <v>103</v>
      </c>
      <c r="H34332" s="5">
        <v>102.8</v>
      </c>
      <c r="I34332" s="5">
        <v>0</v>
      </c>
      <c r="J34332" s="5">
        <v>0</v>
      </c>
      <c r="K34332" s="5">
        <v>0</v>
      </c>
    </row>
    <row r="34333" spans="1:11" x14ac:dyDescent="0.25">
      <c r="A34333" s="5">
        <f>34326</f>
      </c>
      <c r="B34333" s="5" t="s">
        <v>34341</v>
      </c>
      <c r="C34333" s="5">
        <v>104.3</v>
      </c>
      <c r="D34333" s="5">
        <v>0.1</v>
      </c>
      <c r="E34333" s="5">
        <v>104.5</v>
      </c>
      <c r="F34333" s="5">
        <v>208</v>
      </c>
      <c r="G34333" s="5">
        <v>103.8</v>
      </c>
      <c r="H34333" s="5">
        <v>103.6</v>
      </c>
      <c r="I34333" s="5">
        <v>0</v>
      </c>
      <c r="J34333" s="5">
        <v>0</v>
      </c>
      <c r="K34333" s="5">
        <v>0</v>
      </c>
    </row>
    <row r="34334" spans="1:11" x14ac:dyDescent="0.25">
      <c r="A34334" s="5">
        <f>34327</f>
      </c>
      <c r="B34334" s="5" t="s">
        <v>34342</v>
      </c>
      <c r="C34334" s="5">
        <v>104.3</v>
      </c>
      <c r="D34334" s="5">
        <v>0.1</v>
      </c>
      <c r="E34334" s="5">
        <v>104.5</v>
      </c>
      <c r="F34334" s="5">
        <v>208</v>
      </c>
      <c r="G34334" s="5">
        <v>103.8</v>
      </c>
      <c r="H34334" s="5">
        <v>103.6</v>
      </c>
      <c r="I34334" s="5">
        <v>0</v>
      </c>
      <c r="J34334" s="5">
        <v>0</v>
      </c>
      <c r="K34334" s="5">
        <v>0</v>
      </c>
    </row>
    <row r="34335" spans="1:11" x14ac:dyDescent="0.25">
      <c r="A34335" s="5">
        <f>34328</f>
      </c>
      <c r="B34335" s="5" t="s">
        <v>34343</v>
      </c>
      <c r="C34335" s="5">
        <v>103.9</v>
      </c>
      <c r="D34335" s="5">
        <v>0.1</v>
      </c>
      <c r="E34335" s="5">
        <v>104</v>
      </c>
      <c r="F34335" s="5">
        <v>207.4</v>
      </c>
      <c r="G34335" s="5">
        <v>103.4</v>
      </c>
      <c r="H34335" s="5">
        <v>103.3</v>
      </c>
      <c r="I34335" s="5">
        <v>0</v>
      </c>
      <c r="J34335" s="5">
        <v>0</v>
      </c>
      <c r="K34335" s="5">
        <v>0</v>
      </c>
    </row>
    <row r="34336" spans="1:11" x14ac:dyDescent="0.25">
      <c r="A34336" s="5">
        <f>34329</f>
      </c>
      <c r="B34336" s="5" t="s">
        <v>34344</v>
      </c>
      <c r="C34336" s="5">
        <v>103.9</v>
      </c>
      <c r="D34336" s="5">
        <v>0.1</v>
      </c>
      <c r="E34336" s="5">
        <v>104</v>
      </c>
      <c r="F34336" s="5">
        <v>207.4</v>
      </c>
      <c r="G34336" s="5">
        <v>103.4</v>
      </c>
      <c r="H34336" s="5">
        <v>103.3</v>
      </c>
      <c r="I34336" s="5">
        <v>0</v>
      </c>
      <c r="J34336" s="5">
        <v>0</v>
      </c>
      <c r="K34336" s="5">
        <v>0</v>
      </c>
    </row>
    <row r="34337" spans="1:11" x14ac:dyDescent="0.25">
      <c r="A34337" s="5">
        <f>34330</f>
      </c>
      <c r="B34337" s="5" t="s">
        <v>34345</v>
      </c>
      <c r="C34337" s="5">
        <v>103.9</v>
      </c>
      <c r="D34337" s="5">
        <v>0.1</v>
      </c>
      <c r="E34337" s="5">
        <v>104</v>
      </c>
      <c r="F34337" s="5">
        <v>207.4</v>
      </c>
      <c r="G34337" s="5">
        <v>103.4</v>
      </c>
      <c r="H34337" s="5">
        <v>103.3</v>
      </c>
      <c r="I34337" s="5">
        <v>0</v>
      </c>
      <c r="J34337" s="5">
        <v>0</v>
      </c>
      <c r="K34337" s="5">
        <v>0</v>
      </c>
    </row>
    <row r="34338" spans="1:11" x14ac:dyDescent="0.25">
      <c r="A34338" s="5">
        <f>34331</f>
      </c>
      <c r="B34338" s="5" t="s">
        <v>34346</v>
      </c>
      <c r="C34338" s="5">
        <v>103.7</v>
      </c>
      <c r="D34338" s="5">
        <v>0.1</v>
      </c>
      <c r="E34338" s="5">
        <v>103.9</v>
      </c>
      <c r="F34338" s="5">
        <v>208.1</v>
      </c>
      <c r="G34338" s="5">
        <v>103.7</v>
      </c>
      <c r="H34338" s="5">
        <v>103.6</v>
      </c>
      <c r="I34338" s="5">
        <v>0</v>
      </c>
      <c r="J34338" s="5">
        <v>0</v>
      </c>
      <c r="K34338" s="5">
        <v>0</v>
      </c>
    </row>
    <row r="34339" spans="1:11" x14ac:dyDescent="0.25">
      <c r="A34339" s="5">
        <f>34332</f>
      </c>
      <c r="B34339" s="5" t="s">
        <v>34347</v>
      </c>
      <c r="C34339" s="5">
        <v>103.7</v>
      </c>
      <c r="D34339" s="5">
        <v>0.1</v>
      </c>
      <c r="E34339" s="5">
        <v>103.9</v>
      </c>
      <c r="F34339" s="5">
        <v>208.1</v>
      </c>
      <c r="G34339" s="5">
        <v>103.7</v>
      </c>
      <c r="H34339" s="5">
        <v>103.6</v>
      </c>
      <c r="I34339" s="5">
        <v>0</v>
      </c>
      <c r="J34339" s="5">
        <v>0</v>
      </c>
      <c r="K34339" s="5">
        <v>0</v>
      </c>
    </row>
    <row r="34340" spans="1:11" x14ac:dyDescent="0.25">
      <c r="A34340" s="5">
        <f>34333</f>
      </c>
      <c r="B34340" s="5" t="s">
        <v>34348</v>
      </c>
      <c r="C34340" s="5">
        <v>103.4</v>
      </c>
      <c r="D34340" s="5">
        <v>0.1</v>
      </c>
      <c r="E34340" s="5">
        <v>103.6</v>
      </c>
      <c r="F34340" s="5">
        <v>207.6</v>
      </c>
      <c r="G34340" s="5">
        <v>103.5</v>
      </c>
      <c r="H34340" s="5">
        <v>103.4</v>
      </c>
      <c r="I34340" s="5">
        <v>0</v>
      </c>
      <c r="J34340" s="5">
        <v>0</v>
      </c>
      <c r="K34340" s="5">
        <v>0</v>
      </c>
    </row>
    <row r="34341" spans="1:11" x14ac:dyDescent="0.25">
      <c r="A34341" s="5">
        <f>34334</f>
      </c>
      <c r="B34341" s="5" t="s">
        <v>34349</v>
      </c>
      <c r="C34341" s="5">
        <v>103.4</v>
      </c>
      <c r="D34341" s="5">
        <v>0.1</v>
      </c>
      <c r="E34341" s="5">
        <v>103.6</v>
      </c>
      <c r="F34341" s="5">
        <v>207.6</v>
      </c>
      <c r="G34341" s="5">
        <v>103.5</v>
      </c>
      <c r="H34341" s="5">
        <v>103.4</v>
      </c>
      <c r="I34341" s="5">
        <v>0</v>
      </c>
      <c r="J34341" s="5">
        <v>0</v>
      </c>
      <c r="K34341" s="5">
        <v>0</v>
      </c>
    </row>
    <row r="34342" spans="1:11" x14ac:dyDescent="0.25">
      <c r="A34342" s="5">
        <f>34335</f>
      </c>
      <c r="B34342" s="5" t="s">
        <v>34350</v>
      </c>
      <c r="C34342" s="5">
        <v>104.6</v>
      </c>
      <c r="D34342" s="5">
        <v>0.1</v>
      </c>
      <c r="E34342" s="5">
        <v>104.7</v>
      </c>
      <c r="F34342" s="5">
        <v>208.7</v>
      </c>
      <c r="G34342" s="5">
        <v>104.2</v>
      </c>
      <c r="H34342" s="5">
        <v>104</v>
      </c>
      <c r="I34342" s="5">
        <v>0</v>
      </c>
      <c r="J34342" s="5">
        <v>0</v>
      </c>
      <c r="K34342" s="5">
        <v>0</v>
      </c>
    </row>
    <row r="34343" spans="1:11" x14ac:dyDescent="0.25">
      <c r="A34343" s="5">
        <f>34336</f>
      </c>
      <c r="B34343" s="5" t="s">
        <v>34351</v>
      </c>
      <c r="C34343" s="5">
        <v>104.6</v>
      </c>
      <c r="D34343" s="5">
        <v>0.1</v>
      </c>
      <c r="E34343" s="5">
        <v>104.7</v>
      </c>
      <c r="F34343" s="5">
        <v>208.7</v>
      </c>
      <c r="G34343" s="5">
        <v>104.2</v>
      </c>
      <c r="H34343" s="5">
        <v>104</v>
      </c>
      <c r="I34343" s="5">
        <v>0</v>
      </c>
      <c r="J34343" s="5">
        <v>0</v>
      </c>
      <c r="K34343" s="5">
        <v>0</v>
      </c>
    </row>
    <row r="34344" spans="1:11" x14ac:dyDescent="0.25">
      <c r="A34344" s="5">
        <f>34337</f>
      </c>
      <c r="B34344" s="5" t="s">
        <v>34352</v>
      </c>
      <c r="C34344" s="5">
        <v>104.6</v>
      </c>
      <c r="D34344" s="5">
        <v>0.1</v>
      </c>
      <c r="E34344" s="5">
        <v>104.3</v>
      </c>
      <c r="F34344" s="5">
        <v>208.1</v>
      </c>
      <c r="G34344" s="5">
        <v>103.8</v>
      </c>
      <c r="H34344" s="5">
        <v>103.7</v>
      </c>
      <c r="I34344" s="5">
        <v>0</v>
      </c>
      <c r="J34344" s="5">
        <v>0</v>
      </c>
      <c r="K34344" s="5">
        <v>0</v>
      </c>
    </row>
    <row r="34345" spans="1:11" x14ac:dyDescent="0.25">
      <c r="A34345" s="5">
        <f>34338</f>
      </c>
      <c r="B34345" s="5" t="s">
        <v>34353</v>
      </c>
      <c r="C34345" s="5">
        <v>104.2</v>
      </c>
      <c r="D34345" s="5">
        <v>0.1</v>
      </c>
      <c r="E34345" s="5">
        <v>104.3</v>
      </c>
      <c r="F34345" s="5">
        <v>208.1</v>
      </c>
      <c r="G34345" s="5">
        <v>103.8</v>
      </c>
      <c r="H34345" s="5">
        <v>103.7</v>
      </c>
      <c r="I34345" s="5">
        <v>0</v>
      </c>
      <c r="J34345" s="5">
        <v>0</v>
      </c>
      <c r="K34345" s="5">
        <v>0</v>
      </c>
    </row>
    <row r="34346" spans="1:11" x14ac:dyDescent="0.25">
      <c r="A34346" s="5">
        <f>34339</f>
      </c>
      <c r="B34346" s="5" t="s">
        <v>34354</v>
      </c>
      <c r="C34346" s="5">
        <v>104.2</v>
      </c>
      <c r="D34346" s="5">
        <v>0.1</v>
      </c>
      <c r="E34346" s="5">
        <v>104.3</v>
      </c>
      <c r="F34346" s="5">
        <v>208.1</v>
      </c>
      <c r="G34346" s="5">
        <v>103.8</v>
      </c>
      <c r="H34346" s="5">
        <v>103.7</v>
      </c>
      <c r="I34346" s="5">
        <v>0</v>
      </c>
      <c r="J34346" s="5">
        <v>0</v>
      </c>
      <c r="K34346" s="5">
        <v>0</v>
      </c>
    </row>
    <row r="34347" spans="1:11" x14ac:dyDescent="0.25">
      <c r="A34347" s="5">
        <f>34340</f>
      </c>
      <c r="B34347" s="5" t="s">
        <v>34355</v>
      </c>
      <c r="C34347" s="5">
        <v>104.2</v>
      </c>
      <c r="D34347" s="5">
        <v>0.1</v>
      </c>
      <c r="E34347" s="5">
        <v>104.3</v>
      </c>
      <c r="F34347" s="5">
        <v>208.1</v>
      </c>
      <c r="G34347" s="5">
        <v>103.8</v>
      </c>
      <c r="H34347" s="5">
        <v>103.7</v>
      </c>
      <c r="I34347" s="5">
        <v>0</v>
      </c>
      <c r="J34347" s="5">
        <v>0</v>
      </c>
      <c r="K34347" s="5">
        <v>0</v>
      </c>
    </row>
    <row r="34348" spans="1:11" x14ac:dyDescent="0.25">
      <c r="A34348" s="5">
        <f>34341</f>
      </c>
      <c r="B34348" s="5" t="s">
        <v>34356</v>
      </c>
      <c r="C34348" s="5">
        <v>104</v>
      </c>
      <c r="D34348" s="5">
        <v>0.1</v>
      </c>
      <c r="E34348" s="5">
        <v>104</v>
      </c>
      <c r="F34348" s="5">
        <v>207.7</v>
      </c>
      <c r="G34348" s="5">
        <v>103.6</v>
      </c>
      <c r="H34348" s="5">
        <v>103.4</v>
      </c>
      <c r="I34348" s="5">
        <v>0</v>
      </c>
      <c r="J34348" s="5">
        <v>0</v>
      </c>
      <c r="K34348" s="5">
        <v>0</v>
      </c>
    </row>
    <row r="34349" spans="1:11" x14ac:dyDescent="0.25">
      <c r="A34349" s="5">
        <f>34342</f>
      </c>
      <c r="B34349" s="5" t="s">
        <v>34357</v>
      </c>
      <c r="C34349" s="5">
        <v>104</v>
      </c>
      <c r="D34349" s="5">
        <v>0.1</v>
      </c>
      <c r="E34349" s="5">
        <v>104</v>
      </c>
      <c r="F34349" s="5">
        <v>207.7</v>
      </c>
      <c r="G34349" s="5">
        <v>103.6</v>
      </c>
      <c r="H34349" s="5">
        <v>103.4</v>
      </c>
      <c r="I34349" s="5">
        <v>0</v>
      </c>
      <c r="J34349" s="5">
        <v>0</v>
      </c>
      <c r="K34349" s="5">
        <v>0</v>
      </c>
    </row>
    <row r="34350" spans="1:11" x14ac:dyDescent="0.25">
      <c r="A34350" s="5">
        <f>34343</f>
      </c>
      <c r="B34350" s="5" t="s">
        <v>34358</v>
      </c>
      <c r="C34350" s="5">
        <v>103.9</v>
      </c>
      <c r="D34350" s="5">
        <v>0.1</v>
      </c>
      <c r="E34350" s="5">
        <v>104</v>
      </c>
      <c r="F34350" s="5">
        <v>207.4</v>
      </c>
      <c r="G34350" s="5">
        <v>103.5</v>
      </c>
      <c r="H34350" s="5">
        <v>103.3</v>
      </c>
      <c r="I34350" s="5">
        <v>0</v>
      </c>
      <c r="J34350" s="5">
        <v>0</v>
      </c>
      <c r="K34350" s="5">
        <v>0</v>
      </c>
    </row>
    <row r="34351" spans="1:11" x14ac:dyDescent="0.25">
      <c r="A34351" s="5">
        <f>34344</f>
      </c>
      <c r="B34351" s="5" t="s">
        <v>34359</v>
      </c>
      <c r="C34351" s="5">
        <v>103.9</v>
      </c>
      <c r="D34351" s="5">
        <v>0.1</v>
      </c>
      <c r="E34351" s="5">
        <v>104</v>
      </c>
      <c r="F34351" s="5">
        <v>207.4</v>
      </c>
      <c r="G34351" s="5">
        <v>103.5</v>
      </c>
      <c r="H34351" s="5">
        <v>103.3</v>
      </c>
      <c r="I34351" s="5">
        <v>0</v>
      </c>
      <c r="J34351" s="5">
        <v>0</v>
      </c>
      <c r="K34351" s="5">
        <v>0</v>
      </c>
    </row>
    <row r="34352" spans="1:11" x14ac:dyDescent="0.25">
      <c r="A34352" s="5">
        <f>34345</f>
      </c>
      <c r="B34352" s="5" t="s">
        <v>34360</v>
      </c>
      <c r="C34352" s="5">
        <v>103.9</v>
      </c>
      <c r="D34352" s="5">
        <v>0.1</v>
      </c>
      <c r="E34352" s="5">
        <v>104</v>
      </c>
      <c r="F34352" s="5">
        <v>207.4</v>
      </c>
      <c r="G34352" s="5">
        <v>103.5</v>
      </c>
      <c r="H34352" s="5">
        <v>103.3</v>
      </c>
      <c r="I34352" s="5">
        <v>0</v>
      </c>
      <c r="J34352" s="5">
        <v>0</v>
      </c>
      <c r="K34352" s="5">
        <v>0</v>
      </c>
    </row>
    <row r="34353" spans="1:11" x14ac:dyDescent="0.25">
      <c r="A34353" s="5">
        <f>34346</f>
      </c>
      <c r="B34353" s="5" t="s">
        <v>34361</v>
      </c>
      <c r="C34353" s="5">
        <v>103.9</v>
      </c>
      <c r="D34353" s="5">
        <v>0.1</v>
      </c>
      <c r="E34353" s="5">
        <v>104</v>
      </c>
      <c r="F34353" s="5">
        <v>207.4</v>
      </c>
      <c r="G34353" s="5">
        <v>103.5</v>
      </c>
      <c r="H34353" s="5">
        <v>103.3</v>
      </c>
      <c r="I34353" s="5">
        <v>0</v>
      </c>
      <c r="J34353" s="5">
        <v>0</v>
      </c>
      <c r="K34353" s="5">
        <v>0</v>
      </c>
    </row>
    <row r="34354" spans="1:11" x14ac:dyDescent="0.25">
      <c r="A34354" s="5">
        <f>34347</f>
      </c>
      <c r="B34354" s="5" t="s">
        <v>34362</v>
      </c>
      <c r="C34354" s="5">
        <v>104.1</v>
      </c>
      <c r="D34354" s="5">
        <v>0.1</v>
      </c>
      <c r="E34354" s="5">
        <v>104.3</v>
      </c>
      <c r="F34354" s="5">
        <v>207.8</v>
      </c>
      <c r="G34354" s="5">
        <v>103.7</v>
      </c>
      <c r="H34354" s="5">
        <v>103.5</v>
      </c>
      <c r="I34354" s="5">
        <v>0</v>
      </c>
      <c r="J34354" s="5">
        <v>0</v>
      </c>
      <c r="K34354" s="5">
        <v>0</v>
      </c>
    </row>
    <row r="34355" spans="1:11" x14ac:dyDescent="0.25">
      <c r="A34355" s="5">
        <f>34348</f>
      </c>
      <c r="B34355" s="5" t="s">
        <v>34363</v>
      </c>
      <c r="C34355" s="5">
        <v>104.1</v>
      </c>
      <c r="D34355" s="5">
        <v>0.1</v>
      </c>
      <c r="E34355" s="5">
        <v>104.3</v>
      </c>
      <c r="F34355" s="5">
        <v>207.8</v>
      </c>
      <c r="G34355" s="5">
        <v>103.7</v>
      </c>
      <c r="H34355" s="5">
        <v>103.5</v>
      </c>
      <c r="I34355" s="5">
        <v>0</v>
      </c>
      <c r="J34355" s="5">
        <v>0</v>
      </c>
      <c r="K34355" s="5">
        <v>0</v>
      </c>
    </row>
    <row r="34356" spans="1:11" x14ac:dyDescent="0.25">
      <c r="A34356" s="5">
        <f>34349</f>
      </c>
      <c r="B34356" s="5" t="s">
        <v>34364</v>
      </c>
      <c r="C34356" s="5">
        <v>104.1</v>
      </c>
      <c r="D34356" s="5">
        <v>0.1</v>
      </c>
      <c r="E34356" s="5">
        <v>104.3</v>
      </c>
      <c r="F34356" s="5">
        <v>207.8</v>
      </c>
      <c r="G34356" s="5">
        <v>103.7</v>
      </c>
      <c r="H34356" s="5">
        <v>103.5</v>
      </c>
      <c r="I34356" s="5">
        <v>0</v>
      </c>
      <c r="J34356" s="5">
        <v>0</v>
      </c>
      <c r="K34356" s="5">
        <v>0</v>
      </c>
    </row>
    <row r="34357" spans="1:11" x14ac:dyDescent="0.25">
      <c r="A34357" s="5">
        <f>34350</f>
      </c>
      <c r="B34357" s="5" t="s">
        <v>34365</v>
      </c>
      <c r="C34357" s="5">
        <v>104.1</v>
      </c>
      <c r="D34357" s="5">
        <v>0.1</v>
      </c>
      <c r="E34357" s="5">
        <v>104.3</v>
      </c>
      <c r="F34357" s="5">
        <v>207.8</v>
      </c>
      <c r="G34357" s="5">
        <v>103.7</v>
      </c>
      <c r="H34357" s="5">
        <v>103.5</v>
      </c>
      <c r="I34357" s="5">
        <v>0</v>
      </c>
      <c r="J34357" s="5">
        <v>0</v>
      </c>
      <c r="K34357" s="5">
        <v>0</v>
      </c>
    </row>
    <row r="34358" spans="1:11" x14ac:dyDescent="0.25">
      <c r="A34358" s="5">
        <f>34351</f>
      </c>
      <c r="B34358" s="5" t="s">
        <v>34366</v>
      </c>
      <c r="C34358" s="5">
        <v>104</v>
      </c>
      <c r="D34358" s="5">
        <v>0.1</v>
      </c>
      <c r="E34358" s="5">
        <v>104.1</v>
      </c>
      <c r="F34358" s="5">
        <v>207.3</v>
      </c>
      <c r="G34358" s="5">
        <v>103.4</v>
      </c>
      <c r="H34358" s="5">
        <v>103.2</v>
      </c>
      <c r="I34358" s="5">
        <v>0</v>
      </c>
      <c r="J34358" s="5">
        <v>0</v>
      </c>
      <c r="K34358" s="5">
        <v>0</v>
      </c>
    </row>
    <row r="34359" spans="1:11" x14ac:dyDescent="0.25">
      <c r="A34359" s="5">
        <f>34352</f>
      </c>
      <c r="B34359" s="5" t="s">
        <v>34367</v>
      </c>
      <c r="C34359" s="5">
        <v>104</v>
      </c>
      <c r="D34359" s="5">
        <v>0.1</v>
      </c>
      <c r="E34359" s="5">
        <v>104.1</v>
      </c>
      <c r="F34359" s="5">
        <v>207.3</v>
      </c>
      <c r="G34359" s="5">
        <v>103.4</v>
      </c>
      <c r="H34359" s="5">
        <v>103.2</v>
      </c>
      <c r="I34359" s="5">
        <v>0</v>
      </c>
      <c r="J34359" s="5">
        <v>0</v>
      </c>
      <c r="K34359" s="5">
        <v>0</v>
      </c>
    </row>
    <row r="34360" spans="1:11" x14ac:dyDescent="0.25">
      <c r="A34360" s="5">
        <f>34353</f>
      </c>
      <c r="B34360" s="5" t="s">
        <v>34368</v>
      </c>
      <c r="C34360" s="5">
        <v>103.7</v>
      </c>
      <c r="D34360" s="5">
        <v>0.1</v>
      </c>
      <c r="E34360" s="5">
        <v>103.9</v>
      </c>
      <c r="F34360" s="5">
        <v>206.9</v>
      </c>
      <c r="G34360" s="5">
        <v>103.3</v>
      </c>
      <c r="H34360" s="5">
        <v>103.2</v>
      </c>
      <c r="I34360" s="5">
        <v>0</v>
      </c>
      <c r="J34360" s="5">
        <v>0</v>
      </c>
      <c r="K34360" s="5">
        <v>0</v>
      </c>
    </row>
    <row r="34361" spans="1:11" x14ac:dyDescent="0.25">
      <c r="A34361" s="5">
        <f>34354</f>
      </c>
      <c r="B34361" s="5" t="s">
        <v>34369</v>
      </c>
      <c r="C34361" s="5">
        <v>103.7</v>
      </c>
      <c r="D34361" s="5">
        <v>0.1</v>
      </c>
      <c r="E34361" s="5">
        <v>103.9</v>
      </c>
      <c r="F34361" s="5">
        <v>206.9</v>
      </c>
      <c r="G34361" s="5">
        <v>103.3</v>
      </c>
      <c r="H34361" s="5">
        <v>103.2</v>
      </c>
      <c r="I34361" s="5">
        <v>0</v>
      </c>
      <c r="J34361" s="5">
        <v>0</v>
      </c>
      <c r="K34361" s="5">
        <v>0</v>
      </c>
    </row>
    <row r="34362" spans="1:11" x14ac:dyDescent="0.25">
      <c r="A34362" s="5">
        <f>34355</f>
      </c>
      <c r="B34362" s="5" t="s">
        <v>34370</v>
      </c>
      <c r="C34362" s="5">
        <v>103.9</v>
      </c>
      <c r="D34362" s="5">
        <v>0.1</v>
      </c>
      <c r="E34362" s="5">
        <v>104</v>
      </c>
      <c r="F34362" s="5">
        <v>207.7</v>
      </c>
      <c r="G34362" s="5">
        <v>103.6</v>
      </c>
      <c r="H34362" s="5">
        <v>103.7</v>
      </c>
      <c r="I34362" s="5">
        <v>0</v>
      </c>
      <c r="J34362" s="5">
        <v>0</v>
      </c>
      <c r="K34362" s="5">
        <v>0</v>
      </c>
    </row>
    <row r="34363" spans="1:11" x14ac:dyDescent="0.25">
      <c r="A34363" s="5">
        <f>34356</f>
      </c>
      <c r="B34363" s="5" t="s">
        <v>34371</v>
      </c>
      <c r="C34363" s="5">
        <v>103.9</v>
      </c>
      <c r="D34363" s="5">
        <v>0.1</v>
      </c>
      <c r="E34363" s="5">
        <v>104</v>
      </c>
      <c r="F34363" s="5">
        <v>207.7</v>
      </c>
      <c r="G34363" s="5">
        <v>103.6</v>
      </c>
      <c r="H34363" s="5">
        <v>103.7</v>
      </c>
      <c r="I34363" s="5">
        <v>0</v>
      </c>
      <c r="J34363" s="5">
        <v>0</v>
      </c>
      <c r="K34363" s="5">
        <v>0</v>
      </c>
    </row>
    <row r="34364" spans="1:11" x14ac:dyDescent="0.25">
      <c r="A34364" s="5">
        <f>34357</f>
      </c>
      <c r="B34364" s="5" t="s">
        <v>34372</v>
      </c>
      <c r="C34364" s="5">
        <v>104</v>
      </c>
      <c r="D34364" s="5">
        <v>0.1</v>
      </c>
      <c r="E34364" s="5">
        <v>104.1</v>
      </c>
      <c r="F34364" s="5">
        <v>207.2</v>
      </c>
      <c r="G34364" s="5">
        <v>103.4</v>
      </c>
      <c r="H34364" s="5">
        <v>103.3</v>
      </c>
      <c r="I34364" s="5">
        <v>0</v>
      </c>
      <c r="J34364" s="5">
        <v>0</v>
      </c>
      <c r="K34364" s="5">
        <v>0</v>
      </c>
    </row>
    <row r="34365" spans="1:11" x14ac:dyDescent="0.25">
      <c r="A34365" s="5">
        <f>34358</f>
      </c>
      <c r="B34365" s="5" t="s">
        <v>34373</v>
      </c>
      <c r="C34365" s="5">
        <v>104</v>
      </c>
      <c r="D34365" s="5">
        <v>0.1</v>
      </c>
      <c r="E34365" s="5">
        <v>104.1</v>
      </c>
      <c r="F34365" s="5">
        <v>207.2</v>
      </c>
      <c r="G34365" s="5">
        <v>103.4</v>
      </c>
      <c r="H34365" s="5">
        <v>103.3</v>
      </c>
      <c r="I34365" s="5">
        <v>0</v>
      </c>
      <c r="J34365" s="5">
        <v>0</v>
      </c>
      <c r="K34365" s="5">
        <v>0</v>
      </c>
    </row>
    <row r="34366" spans="1:11" x14ac:dyDescent="0.25">
      <c r="A34366" s="5">
        <f>34359</f>
      </c>
      <c r="B34366" s="5" t="s">
        <v>34374</v>
      </c>
      <c r="C34366" s="5">
        <v>104</v>
      </c>
      <c r="D34366" s="5">
        <v>0.1</v>
      </c>
      <c r="E34366" s="5">
        <v>104.1</v>
      </c>
      <c r="F34366" s="5">
        <v>207.2</v>
      </c>
      <c r="G34366" s="5">
        <v>103.4</v>
      </c>
      <c r="H34366" s="5">
        <v>103.3</v>
      </c>
      <c r="I34366" s="5">
        <v>0</v>
      </c>
      <c r="J34366" s="5">
        <v>0</v>
      </c>
      <c r="K34366" s="5">
        <v>0</v>
      </c>
    </row>
    <row r="34367" spans="1:11" x14ac:dyDescent="0.25">
      <c r="A34367" s="5">
        <f>34360</f>
      </c>
      <c r="B34367" s="5" t="s">
        <v>34375</v>
      </c>
      <c r="C34367" s="5">
        <v>104</v>
      </c>
      <c r="D34367" s="5">
        <v>0.1</v>
      </c>
      <c r="E34367" s="5">
        <v>104.1</v>
      </c>
      <c r="F34367" s="5">
        <v>207.2</v>
      </c>
      <c r="G34367" s="5">
        <v>103.4</v>
      </c>
      <c r="H34367" s="5">
        <v>103.3</v>
      </c>
      <c r="I34367" s="5">
        <v>0</v>
      </c>
      <c r="J34367" s="5">
        <v>0</v>
      </c>
      <c r="K34367" s="5">
        <v>0</v>
      </c>
    </row>
    <row r="34368" spans="1:11" x14ac:dyDescent="0.25">
      <c r="A34368" s="5">
        <f>34361</f>
      </c>
      <c r="B34368" s="5" t="s">
        <v>34376</v>
      </c>
      <c r="C34368" s="5">
        <v>103.7</v>
      </c>
      <c r="D34368" s="5">
        <v>0.1</v>
      </c>
      <c r="E34368" s="5">
        <v>103.9</v>
      </c>
      <c r="F34368" s="5">
        <v>207.7</v>
      </c>
      <c r="G34368" s="5">
        <v>103.6</v>
      </c>
      <c r="H34368" s="5">
        <v>103.4</v>
      </c>
      <c r="I34368" s="5">
        <v>0</v>
      </c>
      <c r="J34368" s="5">
        <v>0</v>
      </c>
      <c r="K34368" s="5">
        <v>0</v>
      </c>
    </row>
    <row r="34369" spans="1:11" x14ac:dyDescent="0.25">
      <c r="A34369" s="5">
        <f>34362</f>
      </c>
      <c r="B34369" s="5" t="s">
        <v>34377</v>
      </c>
      <c r="C34369" s="5">
        <v>103.7</v>
      </c>
      <c r="D34369" s="5">
        <v>0.1</v>
      </c>
      <c r="E34369" s="5">
        <v>103.9</v>
      </c>
      <c r="F34369" s="5">
        <v>207.7</v>
      </c>
      <c r="G34369" s="5">
        <v>103.6</v>
      </c>
      <c r="H34369" s="5">
        <v>103.4</v>
      </c>
      <c r="I34369" s="5">
        <v>0</v>
      </c>
      <c r="J34369" s="5">
        <v>0</v>
      </c>
      <c r="K34369" s="5">
        <v>0</v>
      </c>
    </row>
    <row r="34370" spans="1:11" x14ac:dyDescent="0.25">
      <c r="A34370" s="5">
        <f>34363</f>
      </c>
      <c r="B34370" s="5" t="s">
        <v>34378</v>
      </c>
      <c r="C34370" s="5">
        <v>104</v>
      </c>
      <c r="D34370" s="5">
        <v>0.1</v>
      </c>
      <c r="E34370" s="5">
        <v>104.2</v>
      </c>
      <c r="F34370" s="5">
        <v>207.6</v>
      </c>
      <c r="G34370" s="5">
        <v>103.6</v>
      </c>
      <c r="H34370" s="5">
        <v>103.5</v>
      </c>
      <c r="I34370" s="5">
        <v>0</v>
      </c>
      <c r="J34370" s="5">
        <v>0</v>
      </c>
      <c r="K34370" s="5">
        <v>0</v>
      </c>
    </row>
    <row r="34371" spans="1:11" x14ac:dyDescent="0.25">
      <c r="A34371" s="5">
        <f>34364</f>
      </c>
      <c r="B34371" s="5" t="s">
        <v>34379</v>
      </c>
      <c r="C34371" s="5">
        <v>104</v>
      </c>
      <c r="D34371" s="5">
        <v>0.1</v>
      </c>
      <c r="E34371" s="5">
        <v>104.2</v>
      </c>
      <c r="F34371" s="5">
        <v>207.6</v>
      </c>
      <c r="G34371" s="5">
        <v>103.6</v>
      </c>
      <c r="H34371" s="5">
        <v>103.5</v>
      </c>
      <c r="I34371" s="5">
        <v>0</v>
      </c>
      <c r="J34371" s="5">
        <v>0</v>
      </c>
      <c r="K34371" s="5">
        <v>0</v>
      </c>
    </row>
    <row r="34372" spans="1:11" x14ac:dyDescent="0.25">
      <c r="A34372" s="5">
        <f>34365</f>
      </c>
      <c r="B34372" s="5" t="s">
        <v>34380</v>
      </c>
      <c r="C34372" s="5">
        <v>104</v>
      </c>
      <c r="D34372" s="5">
        <v>0.1</v>
      </c>
      <c r="E34372" s="5">
        <v>104.1</v>
      </c>
      <c r="F34372" s="5">
        <v>208</v>
      </c>
      <c r="G34372" s="5">
        <v>103.7</v>
      </c>
      <c r="H34372" s="5">
        <v>103.6</v>
      </c>
      <c r="I34372" s="5">
        <v>0</v>
      </c>
      <c r="J34372" s="5">
        <v>0</v>
      </c>
      <c r="K34372" s="5">
        <v>0</v>
      </c>
    </row>
    <row r="34373" spans="1:11" x14ac:dyDescent="0.25">
      <c r="A34373" s="5">
        <f>34366</f>
      </c>
      <c r="B34373" s="5" t="s">
        <v>34381</v>
      </c>
      <c r="C34373" s="5">
        <v>104</v>
      </c>
      <c r="D34373" s="5">
        <v>0.1</v>
      </c>
      <c r="E34373" s="5">
        <v>104.1</v>
      </c>
      <c r="F34373" s="5">
        <v>208</v>
      </c>
      <c r="G34373" s="5">
        <v>103.7</v>
      </c>
      <c r="H34373" s="5">
        <v>103.6</v>
      </c>
      <c r="I34373" s="5">
        <v>0</v>
      </c>
      <c r="J34373" s="5">
        <v>0</v>
      </c>
      <c r="K34373" s="5">
        <v>0</v>
      </c>
    </row>
    <row r="34374" spans="1:11" x14ac:dyDescent="0.25">
      <c r="A34374" s="5">
        <f>34367</f>
      </c>
      <c r="B34374" s="5" t="s">
        <v>34382</v>
      </c>
      <c r="C34374" s="5">
        <v>104</v>
      </c>
      <c r="D34374" s="5">
        <v>0.1</v>
      </c>
      <c r="E34374" s="5">
        <v>104.2</v>
      </c>
      <c r="F34374" s="5">
        <v>207.6</v>
      </c>
      <c r="G34374" s="5">
        <v>103.5</v>
      </c>
      <c r="H34374" s="5">
        <v>103.4</v>
      </c>
      <c r="I34374" s="5">
        <v>0</v>
      </c>
      <c r="J34374" s="5">
        <v>0</v>
      </c>
      <c r="K34374" s="5">
        <v>0</v>
      </c>
    </row>
    <row r="34375" spans="1:11" x14ac:dyDescent="0.25">
      <c r="A34375" s="5">
        <f>34368</f>
      </c>
      <c r="B34375" s="5" t="s">
        <v>34383</v>
      </c>
      <c r="C34375" s="5">
        <v>104</v>
      </c>
      <c r="D34375" s="5">
        <v>0.1</v>
      </c>
      <c r="E34375" s="5">
        <v>104.2</v>
      </c>
      <c r="F34375" s="5">
        <v>207.6</v>
      </c>
      <c r="G34375" s="5">
        <v>103.5</v>
      </c>
      <c r="H34375" s="5">
        <v>103.4</v>
      </c>
      <c r="I34375" s="5">
        <v>0</v>
      </c>
      <c r="J34375" s="5">
        <v>0</v>
      </c>
      <c r="K34375" s="5">
        <v>0</v>
      </c>
    </row>
    <row r="34376" spans="1:11" x14ac:dyDescent="0.25">
      <c r="A34376" s="5">
        <f>34369</f>
      </c>
      <c r="B34376" s="5" t="s">
        <v>34384</v>
      </c>
      <c r="C34376" s="5">
        <v>104</v>
      </c>
      <c r="D34376" s="5">
        <v>0.1</v>
      </c>
      <c r="E34376" s="5">
        <v>104.2</v>
      </c>
      <c r="F34376" s="5">
        <v>207.6</v>
      </c>
      <c r="G34376" s="5">
        <v>103.5</v>
      </c>
      <c r="H34376" s="5">
        <v>103.4</v>
      </c>
      <c r="I34376" s="5">
        <v>0</v>
      </c>
      <c r="J34376" s="5">
        <v>0</v>
      </c>
      <c r="K34376" s="5">
        <v>0</v>
      </c>
    </row>
    <row r="34377" spans="1:11" x14ac:dyDescent="0.25">
      <c r="A34377" s="5">
        <f>34370</f>
      </c>
      <c r="B34377" s="5" t="s">
        <v>34385</v>
      </c>
      <c r="C34377" s="5">
        <v>104</v>
      </c>
      <c r="D34377" s="5">
        <v>0.1</v>
      </c>
      <c r="E34377" s="5">
        <v>104.2</v>
      </c>
      <c r="F34377" s="5">
        <v>207.6</v>
      </c>
      <c r="G34377" s="5">
        <v>103.5</v>
      </c>
      <c r="H34377" s="5">
        <v>103.4</v>
      </c>
      <c r="I34377" s="5">
        <v>0</v>
      </c>
      <c r="J34377" s="5">
        <v>0</v>
      </c>
      <c r="K34377" s="5">
        <v>0</v>
      </c>
    </row>
    <row r="34378" spans="1:11" x14ac:dyDescent="0.25">
      <c r="A34378" s="5">
        <f>34371</f>
      </c>
      <c r="B34378" s="5" t="s">
        <v>34386</v>
      </c>
      <c r="C34378" s="5">
        <v>105.2</v>
      </c>
      <c r="D34378" s="5">
        <v>0.1</v>
      </c>
      <c r="E34378" s="5">
        <v>105.3</v>
      </c>
      <c r="F34378" s="5">
        <v>209.7</v>
      </c>
      <c r="G34378" s="5">
        <v>104.6</v>
      </c>
      <c r="H34378" s="5">
        <v>104.5</v>
      </c>
      <c r="I34378" s="5">
        <v>0</v>
      </c>
      <c r="J34378" s="5">
        <v>0</v>
      </c>
      <c r="K34378" s="5">
        <v>0</v>
      </c>
    </row>
    <row r="34379" spans="1:11" x14ac:dyDescent="0.25">
      <c r="A34379" s="5">
        <f>34372</f>
      </c>
      <c r="B34379" s="5" t="s">
        <v>34387</v>
      </c>
      <c r="C34379" s="5">
        <v>105.2</v>
      </c>
      <c r="D34379" s="5">
        <v>0.1</v>
      </c>
      <c r="E34379" s="5">
        <v>105.3</v>
      </c>
      <c r="F34379" s="5">
        <v>209.7</v>
      </c>
      <c r="G34379" s="5">
        <v>104.6</v>
      </c>
      <c r="H34379" s="5">
        <v>104.5</v>
      </c>
      <c r="I34379" s="5">
        <v>0</v>
      </c>
      <c r="J34379" s="5">
        <v>0</v>
      </c>
      <c r="K34379" s="5">
        <v>0</v>
      </c>
    </row>
    <row r="34380" spans="1:11" x14ac:dyDescent="0.25">
      <c r="A34380" s="5">
        <f>34373</f>
      </c>
      <c r="B34380" s="5" t="s">
        <v>34388</v>
      </c>
      <c r="C34380" s="5">
        <v>104.6</v>
      </c>
      <c r="D34380" s="5">
        <v>0.1</v>
      </c>
      <c r="E34380" s="5">
        <v>104.7</v>
      </c>
      <c r="F34380" s="5">
        <v>208.5</v>
      </c>
      <c r="G34380" s="5">
        <v>104</v>
      </c>
      <c r="H34380" s="5">
        <v>103.9</v>
      </c>
      <c r="I34380" s="5">
        <v>0</v>
      </c>
      <c r="J34380" s="5">
        <v>0</v>
      </c>
      <c r="K34380" s="5">
        <v>0</v>
      </c>
    </row>
    <row r="34381" spans="1:11" x14ac:dyDescent="0.25">
      <c r="A34381" s="5">
        <f>34374</f>
      </c>
      <c r="B34381" s="5" t="s">
        <v>34389</v>
      </c>
      <c r="C34381" s="5">
        <v>104.6</v>
      </c>
      <c r="D34381" s="5">
        <v>0.1</v>
      </c>
      <c r="E34381" s="5">
        <v>104.7</v>
      </c>
      <c r="F34381" s="5">
        <v>208.5</v>
      </c>
      <c r="G34381" s="5">
        <v>104</v>
      </c>
      <c r="H34381" s="5">
        <v>103.9</v>
      </c>
      <c r="I34381" s="5">
        <v>0</v>
      </c>
      <c r="J34381" s="5">
        <v>0</v>
      </c>
      <c r="K34381" s="5">
        <v>0</v>
      </c>
    </row>
    <row r="34382" spans="1:11" x14ac:dyDescent="0.25">
      <c r="A34382" s="5">
        <f>34375</f>
      </c>
      <c r="B34382" s="5" t="s">
        <v>34390</v>
      </c>
      <c r="C34382" s="5">
        <v>104.1</v>
      </c>
      <c r="D34382" s="5">
        <v>0.1</v>
      </c>
      <c r="E34382" s="5">
        <v>104.3</v>
      </c>
      <c r="F34382" s="5">
        <v>207.4</v>
      </c>
      <c r="G34382" s="5">
        <v>103.5</v>
      </c>
      <c r="H34382" s="5">
        <v>103.3</v>
      </c>
      <c r="I34382" s="5">
        <v>0</v>
      </c>
      <c r="J34382" s="5">
        <v>0</v>
      </c>
      <c r="K34382" s="5">
        <v>0</v>
      </c>
    </row>
    <row r="34383" spans="1:11" x14ac:dyDescent="0.25">
      <c r="A34383" s="5">
        <f>34376</f>
      </c>
      <c r="B34383" s="5" t="s">
        <v>34391</v>
      </c>
      <c r="C34383" s="5">
        <v>104.1</v>
      </c>
      <c r="D34383" s="5">
        <v>0.1</v>
      </c>
      <c r="E34383" s="5">
        <v>104.3</v>
      </c>
      <c r="F34383" s="5">
        <v>207.4</v>
      </c>
      <c r="G34383" s="5">
        <v>103.5</v>
      </c>
      <c r="H34383" s="5">
        <v>103.3</v>
      </c>
      <c r="I34383" s="5">
        <v>0</v>
      </c>
      <c r="J34383" s="5">
        <v>0</v>
      </c>
      <c r="K34383" s="5">
        <v>0</v>
      </c>
    </row>
    <row r="34384" spans="1:11" x14ac:dyDescent="0.25">
      <c r="A34384" s="5">
        <f>34377</f>
      </c>
      <c r="B34384" s="5" t="s">
        <v>34392</v>
      </c>
      <c r="C34384" s="5">
        <v>104.5</v>
      </c>
      <c r="D34384" s="5">
        <v>0.1</v>
      </c>
      <c r="E34384" s="5">
        <v>104.6</v>
      </c>
      <c r="F34384" s="5">
        <v>208.5</v>
      </c>
      <c r="G34384" s="5">
        <v>104</v>
      </c>
      <c r="H34384" s="5">
        <v>103.9</v>
      </c>
      <c r="I34384" s="5">
        <v>0</v>
      </c>
      <c r="J34384" s="5">
        <v>0</v>
      </c>
      <c r="K34384" s="5">
        <v>0</v>
      </c>
    </row>
    <row r="34385" spans="1:11" x14ac:dyDescent="0.25">
      <c r="A34385" s="5">
        <f>34378</f>
      </c>
      <c r="B34385" s="5" t="s">
        <v>34393</v>
      </c>
      <c r="C34385" s="5">
        <v>104.5</v>
      </c>
      <c r="D34385" s="5">
        <v>0.1</v>
      </c>
      <c r="E34385" s="5">
        <v>104.6</v>
      </c>
      <c r="F34385" s="5">
        <v>208.5</v>
      </c>
      <c r="G34385" s="5">
        <v>104</v>
      </c>
      <c r="H34385" s="5">
        <v>103.9</v>
      </c>
      <c r="I34385" s="5">
        <v>0</v>
      </c>
      <c r="J34385" s="5">
        <v>0</v>
      </c>
      <c r="K34385" s="5">
        <v>0</v>
      </c>
    </row>
    <row r="34386" spans="1:11" x14ac:dyDescent="0.25">
      <c r="A34386" s="5">
        <f>34379</f>
      </c>
      <c r="B34386" s="5" t="s">
        <v>34394</v>
      </c>
      <c r="C34386" s="5">
        <v>104.5</v>
      </c>
      <c r="D34386" s="5">
        <v>0.1</v>
      </c>
      <c r="E34386" s="5">
        <v>104.6</v>
      </c>
      <c r="F34386" s="5">
        <v>208.5</v>
      </c>
      <c r="G34386" s="5">
        <v>104</v>
      </c>
      <c r="H34386" s="5">
        <v>103.9</v>
      </c>
      <c r="I34386" s="5">
        <v>0</v>
      </c>
      <c r="J34386" s="5">
        <v>0</v>
      </c>
      <c r="K34386" s="5">
        <v>0</v>
      </c>
    </row>
    <row r="34387" spans="1:11" x14ac:dyDescent="0.25">
      <c r="A34387" s="5">
        <f>34380</f>
      </c>
      <c r="B34387" s="5" t="s">
        <v>34395</v>
      </c>
      <c r="C34387" s="5">
        <v>104.5</v>
      </c>
      <c r="D34387" s="5">
        <v>0.1</v>
      </c>
      <c r="E34387" s="5">
        <v>104.6</v>
      </c>
      <c r="F34387" s="5">
        <v>208.5</v>
      </c>
      <c r="G34387" s="5">
        <v>104</v>
      </c>
      <c r="H34387" s="5">
        <v>103.9</v>
      </c>
      <c r="I34387" s="5">
        <v>0</v>
      </c>
      <c r="J34387" s="5">
        <v>0</v>
      </c>
      <c r="K34387" s="5">
        <v>0</v>
      </c>
    </row>
    <row r="34388" spans="1:11" x14ac:dyDescent="0.25">
      <c r="A34388" s="5">
        <f>34381</f>
      </c>
      <c r="B34388" s="5" t="s">
        <v>34396</v>
      </c>
      <c r="C34388" s="5">
        <v>104.4</v>
      </c>
      <c r="D34388" s="5">
        <v>0.1</v>
      </c>
      <c r="E34388" s="5">
        <v>104.6</v>
      </c>
      <c r="F34388" s="5">
        <v>208.4</v>
      </c>
      <c r="G34388" s="5">
        <v>104</v>
      </c>
      <c r="H34388" s="5">
        <v>103.9</v>
      </c>
      <c r="I34388" s="5">
        <v>0</v>
      </c>
      <c r="J34388" s="5">
        <v>0</v>
      </c>
      <c r="K34388" s="5">
        <v>0</v>
      </c>
    </row>
    <row r="34389" spans="1:11" x14ac:dyDescent="0.25">
      <c r="A34389" s="5">
        <f>34382</f>
      </c>
      <c r="B34389" s="5" t="s">
        <v>34397</v>
      </c>
      <c r="C34389" s="5">
        <v>104.4</v>
      </c>
      <c r="D34389" s="5">
        <v>0.1</v>
      </c>
      <c r="E34389" s="5">
        <v>104.6</v>
      </c>
      <c r="F34389" s="5">
        <v>208.4</v>
      </c>
      <c r="G34389" s="5">
        <v>104</v>
      </c>
      <c r="H34389" s="5">
        <v>103.9</v>
      </c>
      <c r="I34389" s="5">
        <v>0</v>
      </c>
      <c r="J34389" s="5">
        <v>0</v>
      </c>
      <c r="K34389" s="5">
        <v>0</v>
      </c>
    </row>
    <row r="34390" spans="1:11" x14ac:dyDescent="0.25">
      <c r="A34390" s="5">
        <f>34383</f>
      </c>
      <c r="B34390" s="5" t="s">
        <v>34398</v>
      </c>
      <c r="C34390" s="5">
        <v>102.6</v>
      </c>
      <c r="D34390" s="5">
        <v>0.1</v>
      </c>
      <c r="E34390" s="5">
        <v>102.7</v>
      </c>
      <c r="F34390" s="5">
        <v>206.9</v>
      </c>
      <c r="G34390" s="5">
        <v>103.2</v>
      </c>
      <c r="H34390" s="5">
        <v>102.9</v>
      </c>
      <c r="I34390" s="5">
        <v>0</v>
      </c>
      <c r="J34390" s="5">
        <v>0</v>
      </c>
      <c r="K34390" s="5">
        <v>0</v>
      </c>
    </row>
    <row r="34391" spans="1:11" x14ac:dyDescent="0.25">
      <c r="A34391" s="5">
        <f>34384</f>
      </c>
      <c r="B34391" s="5" t="s">
        <v>34399</v>
      </c>
      <c r="C34391" s="5">
        <v>102.6</v>
      </c>
      <c r="D34391" s="5">
        <v>0.1</v>
      </c>
      <c r="E34391" s="5">
        <v>102.7</v>
      </c>
      <c r="F34391" s="5">
        <v>206.9</v>
      </c>
      <c r="G34391" s="5">
        <v>103.2</v>
      </c>
      <c r="H34391" s="5">
        <v>102.9</v>
      </c>
      <c r="I34391" s="5">
        <v>0</v>
      </c>
      <c r="J34391" s="5">
        <v>0</v>
      </c>
      <c r="K34391" s="5">
        <v>0</v>
      </c>
    </row>
    <row r="34392" spans="1:11" x14ac:dyDescent="0.25">
      <c r="A34392" s="5">
        <f>34385</f>
      </c>
      <c r="B34392" s="5" t="s">
        <v>34400</v>
      </c>
      <c r="C34392" s="5">
        <v>102.1</v>
      </c>
      <c r="D34392" s="5">
        <v>0.1</v>
      </c>
      <c r="E34392" s="5">
        <v>102.2</v>
      </c>
      <c r="F34392" s="5">
        <v>203.5</v>
      </c>
      <c r="G34392" s="5">
        <v>101.5</v>
      </c>
      <c r="H34392" s="5">
        <v>101.4</v>
      </c>
      <c r="I34392" s="5">
        <v>0</v>
      </c>
      <c r="J34392" s="5">
        <v>0</v>
      </c>
      <c r="K34392" s="5">
        <v>0</v>
      </c>
    </row>
    <row r="34393" spans="1:11" x14ac:dyDescent="0.25">
      <c r="A34393" s="5">
        <f>34386</f>
      </c>
      <c r="B34393" s="5" t="s">
        <v>34401</v>
      </c>
      <c r="C34393" s="5">
        <v>102.1</v>
      </c>
      <c r="D34393" s="5">
        <v>0.1</v>
      </c>
      <c r="E34393" s="5">
        <v>102.2</v>
      </c>
      <c r="F34393" s="5">
        <v>203.5</v>
      </c>
      <c r="G34393" s="5">
        <v>101.5</v>
      </c>
      <c r="H34393" s="5">
        <v>101.4</v>
      </c>
      <c r="I34393" s="5">
        <v>0</v>
      </c>
      <c r="J34393" s="5">
        <v>0</v>
      </c>
      <c r="K34393" s="5">
        <v>0</v>
      </c>
    </row>
    <row r="34394" spans="1:11" x14ac:dyDescent="0.25">
      <c r="A34394" s="5">
        <f>34387</f>
      </c>
      <c r="B34394" s="5" t="s">
        <v>34402</v>
      </c>
      <c r="C34394" s="5">
        <v>102.1</v>
      </c>
      <c r="D34394" s="5">
        <v>0.1</v>
      </c>
      <c r="E34394" s="5">
        <v>102.3</v>
      </c>
      <c r="F34394" s="5">
        <v>204.4</v>
      </c>
      <c r="G34394" s="5">
        <v>102</v>
      </c>
      <c r="H34394" s="5">
        <v>101.9</v>
      </c>
      <c r="I34394" s="5">
        <v>0</v>
      </c>
      <c r="J34394" s="5">
        <v>0</v>
      </c>
      <c r="K34394" s="5">
        <v>0</v>
      </c>
    </row>
    <row r="34395" spans="1:11" x14ac:dyDescent="0.25">
      <c r="A34395" s="5">
        <f>34388</f>
      </c>
      <c r="B34395" s="5" t="s">
        <v>34403</v>
      </c>
      <c r="C34395" s="5">
        <v>102.1</v>
      </c>
      <c r="D34395" s="5">
        <v>0.1</v>
      </c>
      <c r="E34395" s="5">
        <v>102.3</v>
      </c>
      <c r="F34395" s="5">
        <v>204.4</v>
      </c>
      <c r="G34395" s="5">
        <v>102</v>
      </c>
      <c r="H34395" s="5">
        <v>101.9</v>
      </c>
      <c r="I34395" s="5">
        <v>0</v>
      </c>
      <c r="J34395" s="5">
        <v>0</v>
      </c>
      <c r="K34395" s="5">
        <v>0</v>
      </c>
    </row>
    <row r="34396" spans="1:11" x14ac:dyDescent="0.25">
      <c r="A34396" s="5">
        <f>34389</f>
      </c>
      <c r="B34396" s="5" t="s">
        <v>34404</v>
      </c>
      <c r="C34396" s="5">
        <v>102.1</v>
      </c>
      <c r="D34396" s="5">
        <v>0.1</v>
      </c>
      <c r="E34396" s="5">
        <v>102.3</v>
      </c>
      <c r="F34396" s="5">
        <v>204.4</v>
      </c>
      <c r="G34396" s="5">
        <v>102</v>
      </c>
      <c r="H34396" s="5">
        <v>101.9</v>
      </c>
      <c r="I34396" s="5">
        <v>0</v>
      </c>
      <c r="J34396" s="5">
        <v>0</v>
      </c>
      <c r="K34396" s="5">
        <v>0</v>
      </c>
    </row>
    <row r="34397" spans="1:11" x14ac:dyDescent="0.25">
      <c r="A34397" s="5">
        <f>34390</f>
      </c>
      <c r="B34397" s="5" t="s">
        <v>34405</v>
      </c>
      <c r="C34397" s="5">
        <v>102.1</v>
      </c>
      <c r="D34397" s="5">
        <v>0.1</v>
      </c>
      <c r="E34397" s="5">
        <v>102.3</v>
      </c>
      <c r="F34397" s="5">
        <v>204.4</v>
      </c>
      <c r="G34397" s="5">
        <v>102</v>
      </c>
      <c r="H34397" s="5">
        <v>101.9</v>
      </c>
      <c r="I34397" s="5">
        <v>0</v>
      </c>
      <c r="J34397" s="5">
        <v>0</v>
      </c>
      <c r="K34397" s="5">
        <v>0</v>
      </c>
    </row>
    <row r="34398" spans="1:11" x14ac:dyDescent="0.25">
      <c r="A34398" s="5">
        <f>34391</f>
      </c>
      <c r="B34398" s="5" t="s">
        <v>34406</v>
      </c>
      <c r="C34398" s="5">
        <v>99.5</v>
      </c>
      <c r="D34398" s="5">
        <v>0.1</v>
      </c>
      <c r="E34398" s="5">
        <v>99.7</v>
      </c>
      <c r="F34398" s="5">
        <v>201</v>
      </c>
      <c r="G34398" s="5">
        <v>100.1</v>
      </c>
      <c r="H34398" s="5">
        <v>99.9</v>
      </c>
      <c r="I34398" s="5">
        <v>0</v>
      </c>
      <c r="J34398" s="5">
        <v>0</v>
      </c>
      <c r="K34398" s="5">
        <v>0</v>
      </c>
    </row>
    <row r="34399" spans="1:11" x14ac:dyDescent="0.25">
      <c r="A34399" s="5">
        <f>34392</f>
      </c>
      <c r="B34399" s="5" t="s">
        <v>34407</v>
      </c>
      <c r="C34399" s="5">
        <v>99.5</v>
      </c>
      <c r="D34399" s="5">
        <v>0.1</v>
      </c>
      <c r="E34399" s="5">
        <v>99.7</v>
      </c>
      <c r="F34399" s="5">
        <v>201</v>
      </c>
      <c r="G34399" s="5">
        <v>100.1</v>
      </c>
      <c r="H34399" s="5">
        <v>99.9</v>
      </c>
      <c r="I34399" s="5">
        <v>0</v>
      </c>
      <c r="J34399" s="5">
        <v>0</v>
      </c>
      <c r="K34399" s="5">
        <v>0</v>
      </c>
    </row>
    <row r="34400" spans="1:11" x14ac:dyDescent="0.25">
      <c r="A34400" s="5">
        <f>34393</f>
      </c>
      <c r="B34400" s="5" t="s">
        <v>34408</v>
      </c>
      <c r="C34400" s="5">
        <v>98.6</v>
      </c>
      <c r="D34400" s="5">
        <v>0.1</v>
      </c>
      <c r="E34400" s="5">
        <v>98.7</v>
      </c>
      <c r="F34400" s="5">
        <v>197.4</v>
      </c>
      <c r="G34400" s="5">
        <v>98.4</v>
      </c>
      <c r="H34400" s="5">
        <v>98.3</v>
      </c>
      <c r="I34400" s="5">
        <v>0</v>
      </c>
      <c r="J34400" s="5">
        <v>0</v>
      </c>
      <c r="K34400" s="5">
        <v>0</v>
      </c>
    </row>
    <row r="34401" spans="1:11" x14ac:dyDescent="0.25">
      <c r="A34401" s="5">
        <f>34394</f>
      </c>
      <c r="B34401" s="5" t="s">
        <v>34409</v>
      </c>
      <c r="C34401" s="5">
        <v>98.6</v>
      </c>
      <c r="D34401" s="5">
        <v>0.1</v>
      </c>
      <c r="E34401" s="5">
        <v>98.7</v>
      </c>
      <c r="F34401" s="5">
        <v>197.4</v>
      </c>
      <c r="G34401" s="5">
        <v>98.4</v>
      </c>
      <c r="H34401" s="5">
        <v>98.3</v>
      </c>
      <c r="I34401" s="5">
        <v>0</v>
      </c>
      <c r="J34401" s="5">
        <v>0</v>
      </c>
      <c r="K34401" s="5">
        <v>0</v>
      </c>
    </row>
    <row r="34402" spans="1:11" x14ac:dyDescent="0.25">
      <c r="A34402" s="5">
        <f>34395</f>
      </c>
      <c r="B34402" s="5" t="s">
        <v>34410</v>
      </c>
      <c r="C34402" s="5">
        <v>99.2</v>
      </c>
      <c r="D34402" s="5">
        <v>0.1</v>
      </c>
      <c r="E34402" s="5">
        <v>99.3</v>
      </c>
      <c r="F34402" s="5">
        <v>198.3</v>
      </c>
      <c r="G34402" s="5">
        <v>99</v>
      </c>
      <c r="H34402" s="5">
        <v>98.8</v>
      </c>
      <c r="I34402" s="5">
        <v>0</v>
      </c>
      <c r="J34402" s="5">
        <v>0</v>
      </c>
      <c r="K34402" s="5">
        <v>0</v>
      </c>
    </row>
    <row r="34403" spans="1:11" x14ac:dyDescent="0.25">
      <c r="A34403" s="5">
        <f>34396</f>
      </c>
      <c r="B34403" s="5" t="s">
        <v>34411</v>
      </c>
      <c r="C34403" s="5">
        <v>99.2</v>
      </c>
      <c r="D34403" s="5">
        <v>0.1</v>
      </c>
      <c r="E34403" s="5">
        <v>99.3</v>
      </c>
      <c r="F34403" s="5">
        <v>198.3</v>
      </c>
      <c r="G34403" s="5">
        <v>99</v>
      </c>
      <c r="H34403" s="5">
        <v>98.8</v>
      </c>
      <c r="I34403" s="5">
        <v>0</v>
      </c>
      <c r="J34403" s="5">
        <v>0</v>
      </c>
      <c r="K34403" s="5">
        <v>0</v>
      </c>
    </row>
    <row r="34404" spans="1:11" x14ac:dyDescent="0.25">
      <c r="A34404" s="5">
        <f>34397</f>
      </c>
      <c r="B34404" s="5" t="s">
        <v>34412</v>
      </c>
      <c r="C34404" s="5">
        <v>99.5</v>
      </c>
      <c r="D34404" s="5">
        <v>0.1</v>
      </c>
      <c r="E34404" s="5">
        <v>99.6</v>
      </c>
      <c r="F34404" s="5">
        <v>198.9</v>
      </c>
      <c r="G34404" s="5">
        <v>99.2</v>
      </c>
      <c r="H34404" s="5">
        <v>99</v>
      </c>
      <c r="I34404" s="5">
        <v>0</v>
      </c>
      <c r="J34404" s="5">
        <v>0</v>
      </c>
      <c r="K34404" s="5">
        <v>0</v>
      </c>
    </row>
    <row r="34405" spans="1:11" x14ac:dyDescent="0.25">
      <c r="A34405" s="5">
        <f>34398</f>
      </c>
      <c r="B34405" s="5" t="s">
        <v>34413</v>
      </c>
      <c r="C34405" s="5">
        <v>99.5</v>
      </c>
      <c r="D34405" s="5">
        <v>0.1</v>
      </c>
      <c r="E34405" s="5">
        <v>99.6</v>
      </c>
      <c r="F34405" s="5">
        <v>198.9</v>
      </c>
      <c r="G34405" s="5">
        <v>99.2</v>
      </c>
      <c r="H34405" s="5">
        <v>99</v>
      </c>
      <c r="I34405" s="5">
        <v>0</v>
      </c>
      <c r="J34405" s="5">
        <v>0</v>
      </c>
      <c r="K34405" s="5">
        <v>0</v>
      </c>
    </row>
    <row r="34406" spans="1:11" x14ac:dyDescent="0.25">
      <c r="A34406" s="5">
        <f>34399</f>
      </c>
      <c r="B34406" s="5" t="s">
        <v>34414</v>
      </c>
      <c r="C34406" s="5">
        <v>99.5</v>
      </c>
      <c r="D34406" s="5">
        <v>0.1</v>
      </c>
      <c r="E34406" s="5">
        <v>99.6</v>
      </c>
      <c r="F34406" s="5">
        <v>198.9</v>
      </c>
      <c r="G34406" s="5">
        <v>99.2</v>
      </c>
      <c r="H34406" s="5">
        <v>99</v>
      </c>
      <c r="I34406" s="5">
        <v>0</v>
      </c>
      <c r="J34406" s="5">
        <v>0</v>
      </c>
      <c r="K34406" s="5">
        <v>0</v>
      </c>
    </row>
    <row r="34407" spans="1:11" x14ac:dyDescent="0.25">
      <c r="A34407" s="5">
        <f>34400</f>
      </c>
      <c r="B34407" s="5" t="s">
        <v>34415</v>
      </c>
      <c r="C34407" s="5">
        <v>99.5</v>
      </c>
      <c r="D34407" s="5">
        <v>0.1</v>
      </c>
      <c r="E34407" s="5">
        <v>99.6</v>
      </c>
      <c r="F34407" s="5">
        <v>198.9</v>
      </c>
      <c r="G34407" s="5">
        <v>99.2</v>
      </c>
      <c r="H34407" s="5">
        <v>99</v>
      </c>
      <c r="I34407" s="5">
        <v>0</v>
      </c>
      <c r="J34407" s="5">
        <v>0</v>
      </c>
      <c r="K34407" s="5">
        <v>0</v>
      </c>
    </row>
    <row r="34408" spans="1:11" x14ac:dyDescent="0.25">
      <c r="A34408" s="5">
        <f>34401</f>
      </c>
      <c r="B34408" s="5" t="s">
        <v>34416</v>
      </c>
      <c r="C34408" s="5">
        <v>101.6</v>
      </c>
      <c r="D34408" s="5">
        <v>0.1</v>
      </c>
      <c r="E34408" s="5">
        <v>101.8</v>
      </c>
      <c r="F34408" s="5">
        <v>202.2</v>
      </c>
      <c r="G34408" s="5">
        <v>100.9</v>
      </c>
      <c r="H34408" s="5">
        <v>100.7</v>
      </c>
      <c r="I34408" s="5">
        <v>0</v>
      </c>
      <c r="J34408" s="5">
        <v>0</v>
      </c>
      <c r="K34408" s="5">
        <v>0</v>
      </c>
    </row>
    <row r="34409" spans="1:11" x14ac:dyDescent="0.25">
      <c r="A34409" s="5">
        <f>34402</f>
      </c>
      <c r="B34409" s="5" t="s">
        <v>34417</v>
      </c>
      <c r="C34409" s="5">
        <v>101.6</v>
      </c>
      <c r="D34409" s="5">
        <v>0.1</v>
      </c>
      <c r="E34409" s="5">
        <v>101.8</v>
      </c>
      <c r="F34409" s="5">
        <v>202.2</v>
      </c>
      <c r="G34409" s="5">
        <v>100.9</v>
      </c>
      <c r="H34409" s="5">
        <v>100.7</v>
      </c>
      <c r="I34409" s="5">
        <v>0</v>
      </c>
      <c r="J34409" s="5">
        <v>0</v>
      </c>
      <c r="K34409" s="5">
        <v>0</v>
      </c>
    </row>
    <row r="34410" spans="1:11" x14ac:dyDescent="0.25">
      <c r="A34410" s="5">
        <f>34403</f>
      </c>
      <c r="B34410" s="5" t="s">
        <v>34418</v>
      </c>
      <c r="C34410" s="5">
        <v>100.9</v>
      </c>
      <c r="D34410" s="5">
        <v>0.1</v>
      </c>
      <c r="E34410" s="5">
        <v>101</v>
      </c>
      <c r="F34410" s="5">
        <v>201.8</v>
      </c>
      <c r="G34410" s="5">
        <v>100.7</v>
      </c>
      <c r="H34410" s="5">
        <v>100.5</v>
      </c>
      <c r="I34410" s="5">
        <v>0</v>
      </c>
      <c r="J34410" s="5">
        <v>0</v>
      </c>
      <c r="K34410" s="5">
        <v>0</v>
      </c>
    </row>
    <row r="34411" spans="1:11" x14ac:dyDescent="0.25">
      <c r="A34411" s="5">
        <f>34404</f>
      </c>
      <c r="B34411" s="5" t="s">
        <v>34419</v>
      </c>
      <c r="C34411" s="5">
        <v>100.9</v>
      </c>
      <c r="D34411" s="5">
        <v>0.1</v>
      </c>
      <c r="E34411" s="5">
        <v>101</v>
      </c>
      <c r="F34411" s="5">
        <v>201.8</v>
      </c>
      <c r="G34411" s="5">
        <v>100.7</v>
      </c>
      <c r="H34411" s="5">
        <v>100.5</v>
      </c>
      <c r="I34411" s="5">
        <v>0</v>
      </c>
      <c r="J34411" s="5">
        <v>0</v>
      </c>
      <c r="K34411" s="5">
        <v>0</v>
      </c>
    </row>
    <row r="34412" spans="1:11" x14ac:dyDescent="0.25">
      <c r="A34412" s="5">
        <f>34405</f>
      </c>
      <c r="B34412" s="5" t="s">
        <v>34420</v>
      </c>
      <c r="C34412" s="5">
        <v>101.7</v>
      </c>
      <c r="D34412" s="5">
        <v>0.1</v>
      </c>
      <c r="E34412" s="5">
        <v>101.8</v>
      </c>
      <c r="F34412" s="5">
        <v>202.3</v>
      </c>
      <c r="G34412" s="5">
        <v>100.9</v>
      </c>
      <c r="H34412" s="5">
        <v>100.8</v>
      </c>
      <c r="I34412" s="5">
        <v>0</v>
      </c>
      <c r="J34412" s="5">
        <v>0</v>
      </c>
      <c r="K34412" s="5">
        <v>0</v>
      </c>
    </row>
    <row r="34413" spans="1:11" x14ac:dyDescent="0.25">
      <c r="A34413" s="5">
        <f>34406</f>
      </c>
      <c r="B34413" s="5" t="s">
        <v>34421</v>
      </c>
      <c r="C34413" s="5">
        <v>101.7</v>
      </c>
      <c r="D34413" s="5">
        <v>0.1</v>
      </c>
      <c r="E34413" s="5">
        <v>101.8</v>
      </c>
      <c r="F34413" s="5">
        <v>202.3</v>
      </c>
      <c r="G34413" s="5">
        <v>100.9</v>
      </c>
      <c r="H34413" s="5">
        <v>100.8</v>
      </c>
      <c r="I34413" s="5">
        <v>0</v>
      </c>
      <c r="J34413" s="5">
        <v>0</v>
      </c>
      <c r="K34413" s="5">
        <v>0</v>
      </c>
    </row>
    <row r="34414" spans="1:11" x14ac:dyDescent="0.25">
      <c r="A34414" s="5">
        <f>34407</f>
      </c>
      <c r="B34414" s="5" t="s">
        <v>34422</v>
      </c>
      <c r="C34414" s="5">
        <v>101.7</v>
      </c>
      <c r="D34414" s="5">
        <v>0.1</v>
      </c>
      <c r="E34414" s="5">
        <v>101.8</v>
      </c>
      <c r="F34414" s="5">
        <v>201.8</v>
      </c>
      <c r="G34414" s="5">
        <v>100.6</v>
      </c>
      <c r="H34414" s="5">
        <v>100.5</v>
      </c>
      <c r="I34414" s="5">
        <v>0</v>
      </c>
      <c r="J34414" s="5">
        <v>0</v>
      </c>
      <c r="K34414" s="5">
        <v>0</v>
      </c>
    </row>
    <row r="34415" spans="1:11" x14ac:dyDescent="0.25">
      <c r="A34415" s="5">
        <f>34408</f>
      </c>
      <c r="B34415" s="5" t="s">
        <v>34423</v>
      </c>
      <c r="C34415" s="5">
        <v>101.7</v>
      </c>
      <c r="D34415" s="5">
        <v>0.1</v>
      </c>
      <c r="E34415" s="5">
        <v>101.8</v>
      </c>
      <c r="F34415" s="5">
        <v>201.8</v>
      </c>
      <c r="G34415" s="5">
        <v>100.6</v>
      </c>
      <c r="H34415" s="5">
        <v>100.5</v>
      </c>
      <c r="I34415" s="5">
        <v>0</v>
      </c>
      <c r="J34415" s="5">
        <v>0</v>
      </c>
      <c r="K34415" s="5">
        <v>0</v>
      </c>
    </row>
    <row r="34416" spans="1:11" x14ac:dyDescent="0.25">
      <c r="A34416" s="5">
        <f>34409</f>
      </c>
      <c r="B34416" s="5" t="s">
        <v>34424</v>
      </c>
      <c r="C34416" s="5">
        <v>101.7</v>
      </c>
      <c r="D34416" s="5">
        <v>0.1</v>
      </c>
      <c r="E34416" s="5">
        <v>101.8</v>
      </c>
      <c r="F34416" s="5">
        <v>201.8</v>
      </c>
      <c r="G34416" s="5">
        <v>100.6</v>
      </c>
      <c r="H34416" s="5">
        <v>100.5</v>
      </c>
      <c r="I34416" s="5">
        <v>0</v>
      </c>
      <c r="J34416" s="5">
        <v>0</v>
      </c>
      <c r="K34416" s="5">
        <v>0</v>
      </c>
    </row>
    <row r="34417" spans="1:11" x14ac:dyDescent="0.25">
      <c r="A34417" s="5">
        <f>34410</f>
      </c>
      <c r="B34417" s="5" t="s">
        <v>34425</v>
      </c>
      <c r="C34417" s="5">
        <v>101.7</v>
      </c>
      <c r="D34417" s="5">
        <v>0.1</v>
      </c>
      <c r="E34417" s="5">
        <v>101.8</v>
      </c>
      <c r="F34417" s="5">
        <v>201.8</v>
      </c>
      <c r="G34417" s="5">
        <v>100.6</v>
      </c>
      <c r="H34417" s="5">
        <v>100.5</v>
      </c>
      <c r="I34417" s="5">
        <v>0</v>
      </c>
      <c r="J34417" s="5">
        <v>0</v>
      </c>
      <c r="K34417" s="5">
        <v>0</v>
      </c>
    </row>
    <row r="34418" spans="1:11" x14ac:dyDescent="0.25">
      <c r="A34418" s="5">
        <f>34411</f>
      </c>
      <c r="B34418" s="5" t="s">
        <v>34426</v>
      </c>
      <c r="C34418" s="5">
        <v>101</v>
      </c>
      <c r="D34418" s="5">
        <v>0.1</v>
      </c>
      <c r="E34418" s="5">
        <v>101.1</v>
      </c>
      <c r="F34418" s="5">
        <v>201.6</v>
      </c>
      <c r="G34418" s="5">
        <v>100.6</v>
      </c>
      <c r="H34418" s="5">
        <v>100.4</v>
      </c>
      <c r="I34418" s="5">
        <v>0</v>
      </c>
      <c r="J34418" s="5">
        <v>0</v>
      </c>
      <c r="K34418" s="5">
        <v>0</v>
      </c>
    </row>
    <row r="34419" spans="1:11" x14ac:dyDescent="0.25">
      <c r="A34419" s="5">
        <f>34412</f>
      </c>
      <c r="B34419" s="5" t="s">
        <v>34427</v>
      </c>
      <c r="C34419" s="5">
        <v>101</v>
      </c>
      <c r="D34419" s="5">
        <v>0.1</v>
      </c>
      <c r="E34419" s="5">
        <v>101.1</v>
      </c>
      <c r="F34419" s="5">
        <v>201.6</v>
      </c>
      <c r="G34419" s="5">
        <v>100.6</v>
      </c>
      <c r="H34419" s="5">
        <v>100.4</v>
      </c>
      <c r="I34419" s="5">
        <v>0</v>
      </c>
      <c r="J34419" s="5">
        <v>0</v>
      </c>
      <c r="K34419" s="5">
        <v>0</v>
      </c>
    </row>
    <row r="34420" spans="1:11" x14ac:dyDescent="0.25">
      <c r="A34420" s="5">
        <f>34413</f>
      </c>
      <c r="B34420" s="5" t="s">
        <v>34428</v>
      </c>
      <c r="C34420" s="5">
        <v>100.5</v>
      </c>
      <c r="D34420" s="5">
        <v>0.1</v>
      </c>
      <c r="E34420" s="5">
        <v>100.6</v>
      </c>
      <c r="F34420" s="5">
        <v>201.1</v>
      </c>
      <c r="G34420" s="5">
        <v>100.3</v>
      </c>
      <c r="H34420" s="5">
        <v>100.2</v>
      </c>
      <c r="I34420" s="5">
        <v>0</v>
      </c>
      <c r="J34420" s="5">
        <v>0</v>
      </c>
      <c r="K34420" s="5">
        <v>0</v>
      </c>
    </row>
    <row r="34421" spans="1:11" x14ac:dyDescent="0.25">
      <c r="A34421" s="5">
        <f>34414</f>
      </c>
      <c r="B34421" s="5" t="s">
        <v>34429</v>
      </c>
      <c r="C34421" s="5">
        <v>100.5</v>
      </c>
      <c r="D34421" s="5">
        <v>0.1</v>
      </c>
      <c r="E34421" s="5">
        <v>100.6</v>
      </c>
      <c r="F34421" s="5">
        <v>201.1</v>
      </c>
      <c r="G34421" s="5">
        <v>100.3</v>
      </c>
      <c r="H34421" s="5">
        <v>100.2</v>
      </c>
      <c r="I34421" s="5">
        <v>0</v>
      </c>
      <c r="J34421" s="5">
        <v>0</v>
      </c>
      <c r="K34421" s="5">
        <v>0</v>
      </c>
    </row>
    <row r="34422" spans="1:11" x14ac:dyDescent="0.25">
      <c r="A34422" s="5">
        <f>34415</f>
      </c>
      <c r="B34422" s="5" t="s">
        <v>34430</v>
      </c>
      <c r="C34422" s="5">
        <v>100.8</v>
      </c>
      <c r="D34422" s="5">
        <v>0.1</v>
      </c>
      <c r="E34422" s="5">
        <v>101</v>
      </c>
      <c r="F34422" s="5">
        <v>201.4</v>
      </c>
      <c r="G34422" s="5">
        <v>100.5</v>
      </c>
      <c r="H34422" s="5">
        <v>100.4</v>
      </c>
      <c r="I34422" s="5">
        <v>0</v>
      </c>
      <c r="J34422" s="5">
        <v>0</v>
      </c>
      <c r="K34422" s="5">
        <v>0</v>
      </c>
    </row>
    <row r="34423" spans="1:11" x14ac:dyDescent="0.25">
      <c r="A34423" s="5">
        <f>34416</f>
      </c>
      <c r="B34423" s="5" t="s">
        <v>34431</v>
      </c>
      <c r="C34423" s="5">
        <v>100.8</v>
      </c>
      <c r="D34423" s="5">
        <v>0.1</v>
      </c>
      <c r="E34423" s="5">
        <v>101</v>
      </c>
      <c r="F34423" s="5">
        <v>201.4</v>
      </c>
      <c r="G34423" s="5">
        <v>100.5</v>
      </c>
      <c r="H34423" s="5">
        <v>100.4</v>
      </c>
      <c r="I34423" s="5">
        <v>0</v>
      </c>
      <c r="J34423" s="5">
        <v>0</v>
      </c>
      <c r="K34423" s="5">
        <v>0</v>
      </c>
    </row>
    <row r="34424" spans="1:11" x14ac:dyDescent="0.25">
      <c r="A34424" s="5">
        <f>34417</f>
      </c>
      <c r="B34424" s="5" t="s">
        <v>34432</v>
      </c>
      <c r="C34424" s="5">
        <v>100.8</v>
      </c>
      <c r="D34424" s="5">
        <v>0.1</v>
      </c>
      <c r="E34424" s="5">
        <v>101</v>
      </c>
      <c r="F34424" s="5">
        <v>201.3</v>
      </c>
      <c r="G34424" s="5">
        <v>100.5</v>
      </c>
      <c r="H34424" s="5">
        <v>100.4</v>
      </c>
      <c r="I34424" s="5">
        <v>0</v>
      </c>
      <c r="J34424" s="5">
        <v>0</v>
      </c>
      <c r="K34424" s="5">
        <v>0</v>
      </c>
    </row>
    <row r="34425" spans="1:11" x14ac:dyDescent="0.25">
      <c r="A34425" s="5">
        <f>34418</f>
      </c>
      <c r="B34425" s="5" t="s">
        <v>34433</v>
      </c>
      <c r="C34425" s="5">
        <v>100.8</v>
      </c>
      <c r="D34425" s="5">
        <v>0.1</v>
      </c>
      <c r="E34425" s="5">
        <v>101</v>
      </c>
      <c r="F34425" s="5">
        <v>201.3</v>
      </c>
      <c r="G34425" s="5">
        <v>100.5</v>
      </c>
      <c r="H34425" s="5">
        <v>100.4</v>
      </c>
      <c r="I34425" s="5">
        <v>0</v>
      </c>
      <c r="J34425" s="5">
        <v>0</v>
      </c>
      <c r="K34425" s="5">
        <v>0</v>
      </c>
    </row>
    <row r="34426" spans="1:11" x14ac:dyDescent="0.25">
      <c r="A34426" s="5">
        <f>34419</f>
      </c>
      <c r="B34426" s="5" t="s">
        <v>34434</v>
      </c>
      <c r="C34426" s="5">
        <v>100.8</v>
      </c>
      <c r="D34426" s="5">
        <v>0.1</v>
      </c>
      <c r="E34426" s="5">
        <v>101</v>
      </c>
      <c r="F34426" s="5">
        <v>201.3</v>
      </c>
      <c r="G34426" s="5">
        <v>100.5</v>
      </c>
      <c r="H34426" s="5">
        <v>100.4</v>
      </c>
      <c r="I34426" s="5">
        <v>0</v>
      </c>
      <c r="J34426" s="5">
        <v>0</v>
      </c>
      <c r="K34426" s="5">
        <v>0</v>
      </c>
    </row>
    <row r="34427" spans="1:11" x14ac:dyDescent="0.25">
      <c r="A34427" s="5">
        <f>34420</f>
      </c>
      <c r="B34427" s="5" t="s">
        <v>34435</v>
      </c>
      <c r="C34427" s="5">
        <v>100.6</v>
      </c>
      <c r="D34427" s="5">
        <v>0.1</v>
      </c>
      <c r="E34427" s="5">
        <v>100.8</v>
      </c>
      <c r="F34427" s="5">
        <v>201.3</v>
      </c>
      <c r="G34427" s="5">
        <v>100.5</v>
      </c>
      <c r="H34427" s="5">
        <v>100.4</v>
      </c>
      <c r="I34427" s="5">
        <v>0</v>
      </c>
      <c r="J34427" s="5">
        <v>0</v>
      </c>
      <c r="K34427" s="5">
        <v>0</v>
      </c>
    </row>
    <row r="34428" spans="1:11" x14ac:dyDescent="0.25">
      <c r="A34428" s="5">
        <f>34421</f>
      </c>
      <c r="B34428" s="5" t="s">
        <v>34436</v>
      </c>
      <c r="C34428" s="5">
        <v>100.6</v>
      </c>
      <c r="D34428" s="5">
        <v>0.1</v>
      </c>
      <c r="E34428" s="5">
        <v>100.8</v>
      </c>
      <c r="F34428" s="5">
        <v>200.7</v>
      </c>
      <c r="G34428" s="5">
        <v>100.2</v>
      </c>
      <c r="H34428" s="5">
        <v>100</v>
      </c>
      <c r="I34428" s="5">
        <v>0</v>
      </c>
      <c r="J34428" s="5">
        <v>0</v>
      </c>
      <c r="K34428" s="5">
        <v>0</v>
      </c>
    </row>
    <row r="34429" spans="1:11" x14ac:dyDescent="0.25">
      <c r="A34429" s="5">
        <f>34422</f>
      </c>
      <c r="B34429" s="5" t="s">
        <v>34437</v>
      </c>
      <c r="C34429" s="5">
        <v>100.6</v>
      </c>
      <c r="D34429" s="5">
        <v>0.1</v>
      </c>
      <c r="E34429" s="5">
        <v>100.8</v>
      </c>
      <c r="F34429" s="5">
        <v>200.7</v>
      </c>
      <c r="G34429" s="5">
        <v>100.2</v>
      </c>
      <c r="H34429" s="5">
        <v>100</v>
      </c>
      <c r="I34429" s="5">
        <v>0</v>
      </c>
      <c r="J34429" s="5">
        <v>0</v>
      </c>
      <c r="K34429" s="5">
        <v>0</v>
      </c>
    </row>
    <row r="34430" spans="1:11" x14ac:dyDescent="0.25">
      <c r="A34430" s="5">
        <f>34423</f>
      </c>
      <c r="B34430" s="5" t="s">
        <v>34438</v>
      </c>
      <c r="C34430" s="5">
        <v>100.8</v>
      </c>
      <c r="D34430" s="5">
        <v>0.1</v>
      </c>
      <c r="E34430" s="5">
        <v>101</v>
      </c>
      <c r="F34430" s="5">
        <v>199.8</v>
      </c>
      <c r="G34430" s="5">
        <v>99.6</v>
      </c>
      <c r="H34430" s="5">
        <v>99.5</v>
      </c>
      <c r="I34430" s="5">
        <v>0</v>
      </c>
      <c r="J34430" s="5">
        <v>0</v>
      </c>
      <c r="K34430" s="5">
        <v>0</v>
      </c>
    </row>
    <row r="34431" spans="1:11" x14ac:dyDescent="0.25">
      <c r="A34431" s="5">
        <f>34424</f>
      </c>
      <c r="B34431" s="5" t="s">
        <v>34439</v>
      </c>
      <c r="C34431" s="5">
        <v>100.8</v>
      </c>
      <c r="D34431" s="5">
        <v>0.1</v>
      </c>
      <c r="E34431" s="5">
        <v>101</v>
      </c>
      <c r="F34431" s="5">
        <v>199.8</v>
      </c>
      <c r="G34431" s="5">
        <v>99.6</v>
      </c>
      <c r="H34431" s="5">
        <v>99.5</v>
      </c>
      <c r="I34431" s="5">
        <v>0</v>
      </c>
      <c r="J34431" s="5">
        <v>0</v>
      </c>
      <c r="K34431" s="5">
        <v>0</v>
      </c>
    </row>
    <row r="34432" spans="1:11" x14ac:dyDescent="0.25">
      <c r="A34432" s="5">
        <f>34425</f>
      </c>
      <c r="B34432" s="5" t="s">
        <v>34440</v>
      </c>
      <c r="C34432" s="5">
        <v>100.5</v>
      </c>
      <c r="D34432" s="5">
        <v>0.1</v>
      </c>
      <c r="E34432" s="5">
        <v>100.7</v>
      </c>
      <c r="F34432" s="5">
        <v>199.4</v>
      </c>
      <c r="G34432" s="5">
        <v>99.5</v>
      </c>
      <c r="H34432" s="5">
        <v>99.4</v>
      </c>
      <c r="I34432" s="5">
        <v>0</v>
      </c>
      <c r="J34432" s="5">
        <v>0</v>
      </c>
      <c r="K34432" s="5">
        <v>0</v>
      </c>
    </row>
    <row r="34433" spans="1:11" x14ac:dyDescent="0.25">
      <c r="A34433" s="5">
        <f>34426</f>
      </c>
      <c r="B34433" s="5" t="s">
        <v>34441</v>
      </c>
      <c r="C34433" s="5">
        <v>100.5</v>
      </c>
      <c r="D34433" s="5">
        <v>0.1</v>
      </c>
      <c r="E34433" s="5">
        <v>100.7</v>
      </c>
      <c r="F34433" s="5">
        <v>199.4</v>
      </c>
      <c r="G34433" s="5">
        <v>99.5</v>
      </c>
      <c r="H34433" s="5">
        <v>99.4</v>
      </c>
      <c r="I34433" s="5">
        <v>0</v>
      </c>
      <c r="J34433" s="5">
        <v>0</v>
      </c>
      <c r="K34433" s="5">
        <v>0</v>
      </c>
    </row>
    <row r="34434" spans="1:11" x14ac:dyDescent="0.25">
      <c r="A34434" s="5">
        <f>34427</f>
      </c>
      <c r="B34434" s="5" t="s">
        <v>34442</v>
      </c>
      <c r="C34434" s="5">
        <v>100.2</v>
      </c>
      <c r="D34434" s="5">
        <v>0.1</v>
      </c>
      <c r="E34434" s="5">
        <v>100.3</v>
      </c>
      <c r="F34434" s="5">
        <v>200.1</v>
      </c>
      <c r="G34434" s="5">
        <v>99.8</v>
      </c>
      <c r="H34434" s="5">
        <v>99.7</v>
      </c>
      <c r="I34434" s="5">
        <v>0</v>
      </c>
      <c r="J34434" s="5">
        <v>0</v>
      </c>
      <c r="K34434" s="5">
        <v>0</v>
      </c>
    </row>
    <row r="34435" spans="1:11" x14ac:dyDescent="0.25">
      <c r="A34435" s="5">
        <f>34428</f>
      </c>
      <c r="B34435" s="5" t="s">
        <v>34443</v>
      </c>
      <c r="C34435" s="5">
        <v>100.2</v>
      </c>
      <c r="D34435" s="5">
        <v>0.1</v>
      </c>
      <c r="E34435" s="5">
        <v>100.3</v>
      </c>
      <c r="F34435" s="5">
        <v>200.1</v>
      </c>
      <c r="G34435" s="5">
        <v>99.8</v>
      </c>
      <c r="H34435" s="5">
        <v>99.7</v>
      </c>
      <c r="I34435" s="5">
        <v>0</v>
      </c>
      <c r="J34435" s="5">
        <v>0</v>
      </c>
      <c r="K34435" s="5">
        <v>0</v>
      </c>
    </row>
    <row r="34436" spans="1:11" x14ac:dyDescent="0.25">
      <c r="A34436" s="5">
        <f>34429</f>
      </c>
      <c r="B34436" s="5" t="s">
        <v>34444</v>
      </c>
      <c r="C34436" s="5">
        <v>100.2</v>
      </c>
      <c r="D34436" s="5">
        <v>0.1</v>
      </c>
      <c r="E34436" s="5">
        <v>100.3</v>
      </c>
      <c r="F34436" s="5">
        <v>200.1</v>
      </c>
      <c r="G34436" s="5">
        <v>99.8</v>
      </c>
      <c r="H34436" s="5">
        <v>99.7</v>
      </c>
      <c r="I34436" s="5">
        <v>0</v>
      </c>
      <c r="J34436" s="5">
        <v>0</v>
      </c>
      <c r="K34436" s="5">
        <v>0</v>
      </c>
    </row>
    <row r="34437" spans="1:11" x14ac:dyDescent="0.25">
      <c r="A34437" s="5">
        <f>34430</f>
      </c>
      <c r="B34437" s="5" t="s">
        <v>34445</v>
      </c>
      <c r="C34437" s="5">
        <v>100.2</v>
      </c>
      <c r="D34437" s="5">
        <v>0.1</v>
      </c>
      <c r="E34437" s="5">
        <v>100.3</v>
      </c>
      <c r="F34437" s="5">
        <v>200.1</v>
      </c>
      <c r="G34437" s="5">
        <v>99.8</v>
      </c>
      <c r="H34437" s="5">
        <v>99.7</v>
      </c>
      <c r="I34437" s="5">
        <v>0</v>
      </c>
      <c r="J34437" s="5">
        <v>0</v>
      </c>
      <c r="K34437" s="5">
        <v>0</v>
      </c>
    </row>
    <row r="34438" spans="1:11" x14ac:dyDescent="0.25">
      <c r="A34438" s="5">
        <f>34431</f>
      </c>
      <c r="B34438" s="5" t="s">
        <v>34446</v>
      </c>
      <c r="C34438" s="5">
        <v>101.1</v>
      </c>
      <c r="D34438" s="5">
        <v>0.1</v>
      </c>
      <c r="E34438" s="5">
        <v>101.2</v>
      </c>
      <c r="F34438" s="5">
        <v>201.7</v>
      </c>
      <c r="G34438" s="5">
        <v>100.6</v>
      </c>
      <c r="H34438" s="5">
        <v>100.5</v>
      </c>
      <c r="I34438" s="5">
        <v>0</v>
      </c>
      <c r="J34438" s="5">
        <v>0</v>
      </c>
      <c r="K34438" s="5">
        <v>0</v>
      </c>
    </row>
    <row r="34439" spans="1:11" x14ac:dyDescent="0.25">
      <c r="A34439" s="5">
        <f>34432</f>
      </c>
      <c r="B34439" s="5" t="s">
        <v>34447</v>
      </c>
      <c r="C34439" s="5">
        <v>101.1</v>
      </c>
      <c r="D34439" s="5">
        <v>0.1</v>
      </c>
      <c r="E34439" s="5">
        <v>101.2</v>
      </c>
      <c r="F34439" s="5">
        <v>201.7</v>
      </c>
      <c r="G34439" s="5">
        <v>100.6</v>
      </c>
      <c r="H34439" s="5">
        <v>100.5</v>
      </c>
      <c r="I34439" s="5">
        <v>0</v>
      </c>
      <c r="J34439" s="5">
        <v>0</v>
      </c>
      <c r="K34439" s="5">
        <v>0</v>
      </c>
    </row>
    <row r="34440" spans="1:11" x14ac:dyDescent="0.25">
      <c r="A34440" s="5">
        <f>34433</f>
      </c>
      <c r="B34440" s="5" t="s">
        <v>34448</v>
      </c>
      <c r="C34440" s="5">
        <v>100.9</v>
      </c>
      <c r="D34440" s="5">
        <v>0.1</v>
      </c>
      <c r="E34440" s="5">
        <v>101.1</v>
      </c>
      <c r="F34440" s="5">
        <v>201.5</v>
      </c>
      <c r="G34440" s="5">
        <v>100.5</v>
      </c>
      <c r="H34440" s="5">
        <v>100.4</v>
      </c>
      <c r="I34440" s="5">
        <v>0</v>
      </c>
      <c r="J34440" s="5">
        <v>0</v>
      </c>
      <c r="K34440" s="5">
        <v>0</v>
      </c>
    </row>
    <row r="34441" spans="1:11" x14ac:dyDescent="0.25">
      <c r="A34441" s="5">
        <f>34434</f>
      </c>
      <c r="B34441" s="5" t="s">
        <v>34449</v>
      </c>
      <c r="C34441" s="5">
        <v>100.9</v>
      </c>
      <c r="D34441" s="5">
        <v>0.1</v>
      </c>
      <c r="E34441" s="5">
        <v>101.1</v>
      </c>
      <c r="F34441" s="5">
        <v>201.5</v>
      </c>
      <c r="G34441" s="5">
        <v>100.5</v>
      </c>
      <c r="H34441" s="5">
        <v>100.4</v>
      </c>
      <c r="I34441" s="5">
        <v>0</v>
      </c>
      <c r="J34441" s="5">
        <v>0</v>
      </c>
      <c r="K34441" s="5">
        <v>0</v>
      </c>
    </row>
    <row r="34442" spans="1:11" x14ac:dyDescent="0.25">
      <c r="A34442" s="5">
        <f>34435</f>
      </c>
      <c r="B34442" s="5" t="s">
        <v>34450</v>
      </c>
      <c r="C34442" s="5">
        <v>101.1</v>
      </c>
      <c r="D34442" s="5">
        <v>0.1</v>
      </c>
      <c r="E34442" s="5">
        <v>101.3</v>
      </c>
      <c r="F34442" s="5">
        <v>202.1</v>
      </c>
      <c r="G34442" s="5">
        <v>100.8</v>
      </c>
      <c r="H34442" s="5">
        <v>100.7</v>
      </c>
      <c r="I34442" s="5">
        <v>0</v>
      </c>
      <c r="J34442" s="5">
        <v>0</v>
      </c>
      <c r="K34442" s="5">
        <v>0</v>
      </c>
    </row>
    <row r="34443" spans="1:11" x14ac:dyDescent="0.25">
      <c r="A34443" s="5">
        <f>34436</f>
      </c>
      <c r="B34443" s="5" t="s">
        <v>34451</v>
      </c>
      <c r="C34443" s="5">
        <v>101.1</v>
      </c>
      <c r="D34443" s="5">
        <v>0.1</v>
      </c>
      <c r="E34443" s="5">
        <v>101.3</v>
      </c>
      <c r="F34443" s="5">
        <v>202.1</v>
      </c>
      <c r="G34443" s="5">
        <v>100.8</v>
      </c>
      <c r="H34443" s="5">
        <v>100.7</v>
      </c>
      <c r="I34443" s="5">
        <v>0</v>
      </c>
      <c r="J34443" s="5">
        <v>0</v>
      </c>
      <c r="K34443" s="5">
        <v>0</v>
      </c>
    </row>
    <row r="34444" spans="1:11" x14ac:dyDescent="0.25">
      <c r="A34444" s="5">
        <f>34437</f>
      </c>
      <c r="B34444" s="5" t="s">
        <v>34452</v>
      </c>
      <c r="C34444" s="5">
        <v>101.1</v>
      </c>
      <c r="D34444" s="5">
        <v>0.1</v>
      </c>
      <c r="E34444" s="5">
        <v>101.3</v>
      </c>
      <c r="F34444" s="5">
        <v>202.1</v>
      </c>
      <c r="G34444" s="5">
        <v>100.8</v>
      </c>
      <c r="H34444" s="5">
        <v>100.7</v>
      </c>
      <c r="I34444" s="5">
        <v>0</v>
      </c>
      <c r="J34444" s="5">
        <v>0</v>
      </c>
      <c r="K34444" s="5">
        <v>0</v>
      </c>
    </row>
    <row r="34445" spans="1:11" x14ac:dyDescent="0.25">
      <c r="A34445" s="5">
        <f>34438</f>
      </c>
      <c r="B34445" s="5" t="s">
        <v>34453</v>
      </c>
      <c r="C34445" s="5">
        <v>101.1</v>
      </c>
      <c r="D34445" s="5">
        <v>0.1</v>
      </c>
      <c r="E34445" s="5">
        <v>101.3</v>
      </c>
      <c r="F34445" s="5">
        <v>202.1</v>
      </c>
      <c r="G34445" s="5">
        <v>100.8</v>
      </c>
      <c r="H34445" s="5">
        <v>100.7</v>
      </c>
      <c r="I34445" s="5">
        <v>0</v>
      </c>
      <c r="J34445" s="5">
        <v>0</v>
      </c>
      <c r="K34445" s="5">
        <v>0</v>
      </c>
    </row>
    <row r="34446" spans="1:11" x14ac:dyDescent="0.25">
      <c r="A34446" s="5">
        <f>34439</f>
      </c>
      <c r="B34446" s="5" t="s">
        <v>34454</v>
      </c>
      <c r="C34446" s="5">
        <v>101.1</v>
      </c>
      <c r="D34446" s="5">
        <v>0.1</v>
      </c>
      <c r="E34446" s="5">
        <v>101.3</v>
      </c>
      <c r="F34446" s="5">
        <v>202.1</v>
      </c>
      <c r="G34446" s="5">
        <v>100.8</v>
      </c>
      <c r="H34446" s="5">
        <v>100.7</v>
      </c>
      <c r="I34446" s="5">
        <v>0</v>
      </c>
      <c r="J34446" s="5">
        <v>0</v>
      </c>
      <c r="K34446" s="5">
        <v>0</v>
      </c>
    </row>
    <row r="34447" spans="1:11" x14ac:dyDescent="0.25">
      <c r="A34447" s="5">
        <f>34440</f>
      </c>
      <c r="B34447" s="5" t="s">
        <v>34455</v>
      </c>
      <c r="C34447" s="5">
        <v>101.1</v>
      </c>
      <c r="D34447" s="5">
        <v>0.1</v>
      </c>
      <c r="E34447" s="5">
        <v>101.3</v>
      </c>
      <c r="F34447" s="5">
        <v>202.1</v>
      </c>
      <c r="G34447" s="5">
        <v>100.8</v>
      </c>
      <c r="H34447" s="5">
        <v>100.7</v>
      </c>
      <c r="I34447" s="5">
        <v>0</v>
      </c>
      <c r="J34447" s="5">
        <v>0</v>
      </c>
      <c r="K34447" s="5">
        <v>0</v>
      </c>
    </row>
    <row r="34448" spans="1:11" x14ac:dyDescent="0.25">
      <c r="A34448" s="5">
        <f>34441</f>
      </c>
      <c r="B34448" s="5" t="s">
        <v>34456</v>
      </c>
      <c r="C34448" s="5">
        <v>101</v>
      </c>
      <c r="D34448" s="5">
        <v>0.1</v>
      </c>
      <c r="E34448" s="5">
        <v>101.1</v>
      </c>
      <c r="F34448" s="5">
        <v>201.3</v>
      </c>
      <c r="G34448" s="5">
        <v>100.5</v>
      </c>
      <c r="H34448" s="5">
        <v>100.3</v>
      </c>
      <c r="I34448" s="5">
        <v>0</v>
      </c>
      <c r="J34448" s="5">
        <v>0</v>
      </c>
      <c r="K34448" s="5">
        <v>0</v>
      </c>
    </row>
    <row r="34449" spans="1:11" x14ac:dyDescent="0.25">
      <c r="A34449" s="5">
        <f>34442</f>
      </c>
      <c r="B34449" s="5" t="s">
        <v>34457</v>
      </c>
      <c r="C34449" s="5">
        <v>101</v>
      </c>
      <c r="D34449" s="5">
        <v>0.1</v>
      </c>
      <c r="E34449" s="5">
        <v>101.1</v>
      </c>
      <c r="F34449" s="5">
        <v>201.3</v>
      </c>
      <c r="G34449" s="5">
        <v>100.5</v>
      </c>
      <c r="H34449" s="5">
        <v>100.3</v>
      </c>
      <c r="I34449" s="5">
        <v>0</v>
      </c>
      <c r="J34449" s="5">
        <v>0</v>
      </c>
      <c r="K34449" s="5">
        <v>0</v>
      </c>
    </row>
    <row r="34450" spans="1:11" x14ac:dyDescent="0.25">
      <c r="A34450" s="5">
        <f>34443</f>
      </c>
      <c r="B34450" s="5" t="s">
        <v>34458</v>
      </c>
      <c r="C34450" s="5">
        <v>100.5</v>
      </c>
      <c r="D34450" s="5">
        <v>0.1</v>
      </c>
      <c r="E34450" s="5">
        <v>100.7</v>
      </c>
      <c r="F34450" s="5">
        <v>201.5</v>
      </c>
      <c r="G34450" s="5">
        <v>100.5</v>
      </c>
      <c r="H34450" s="5">
        <v>100.3</v>
      </c>
      <c r="I34450" s="5">
        <v>0</v>
      </c>
      <c r="J34450" s="5">
        <v>0</v>
      </c>
      <c r="K34450" s="5">
        <v>0</v>
      </c>
    </row>
    <row r="34451" spans="1:11" x14ac:dyDescent="0.25">
      <c r="A34451" s="5">
        <f>34444</f>
      </c>
      <c r="B34451" s="5" t="s">
        <v>34459</v>
      </c>
      <c r="C34451" s="5">
        <v>100.5</v>
      </c>
      <c r="D34451" s="5">
        <v>0.1</v>
      </c>
      <c r="E34451" s="5">
        <v>100.7</v>
      </c>
      <c r="F34451" s="5">
        <v>201.5</v>
      </c>
      <c r="G34451" s="5">
        <v>100.5</v>
      </c>
      <c r="H34451" s="5">
        <v>100.3</v>
      </c>
      <c r="I34451" s="5">
        <v>0</v>
      </c>
      <c r="J34451" s="5">
        <v>0</v>
      </c>
      <c r="K34451" s="5">
        <v>0</v>
      </c>
    </row>
    <row r="34452" spans="1:11" x14ac:dyDescent="0.25">
      <c r="A34452" s="5">
        <f>34445</f>
      </c>
      <c r="B34452" s="5" t="s">
        <v>34460</v>
      </c>
      <c r="C34452" s="5">
        <v>100.8</v>
      </c>
      <c r="D34452" s="5">
        <v>0.1</v>
      </c>
      <c r="E34452" s="5">
        <v>101</v>
      </c>
      <c r="F34452" s="5">
        <v>201.1</v>
      </c>
      <c r="G34452" s="5">
        <v>100.4</v>
      </c>
      <c r="H34452" s="5">
        <v>100.3</v>
      </c>
      <c r="I34452" s="5">
        <v>0</v>
      </c>
      <c r="J34452" s="5">
        <v>0</v>
      </c>
      <c r="K34452" s="5">
        <v>0</v>
      </c>
    </row>
    <row r="34453" spans="1:11" x14ac:dyDescent="0.25">
      <c r="A34453" s="5">
        <f>34446</f>
      </c>
      <c r="B34453" s="5" t="s">
        <v>34461</v>
      </c>
      <c r="C34453" s="5">
        <v>100.8</v>
      </c>
      <c r="D34453" s="5">
        <v>0.1</v>
      </c>
      <c r="E34453" s="5">
        <v>101</v>
      </c>
      <c r="F34453" s="5">
        <v>201.1</v>
      </c>
      <c r="G34453" s="5">
        <v>100.4</v>
      </c>
      <c r="H34453" s="5">
        <v>100.3</v>
      </c>
      <c r="I34453" s="5">
        <v>0</v>
      </c>
      <c r="J34453" s="5">
        <v>0</v>
      </c>
      <c r="K34453" s="5">
        <v>0</v>
      </c>
    </row>
    <row r="34454" spans="1:11" x14ac:dyDescent="0.25">
      <c r="A34454" s="5">
        <f>34447</f>
      </c>
      <c r="B34454" s="5" t="s">
        <v>34462</v>
      </c>
      <c r="C34454" s="5">
        <v>100.6</v>
      </c>
      <c r="D34454" s="5">
        <v>0.1</v>
      </c>
      <c r="E34454" s="5">
        <v>100.8</v>
      </c>
      <c r="F34454" s="5">
        <v>201.9</v>
      </c>
      <c r="G34454" s="5">
        <v>100.8</v>
      </c>
      <c r="H34454" s="5">
        <v>100.6</v>
      </c>
      <c r="I34454" s="5">
        <v>0</v>
      </c>
      <c r="J34454" s="5">
        <v>0</v>
      </c>
      <c r="K34454" s="5">
        <v>0</v>
      </c>
    </row>
    <row r="34455" spans="1:11" x14ac:dyDescent="0.25">
      <c r="A34455" s="5">
        <f>34448</f>
      </c>
      <c r="B34455" s="5" t="s">
        <v>34463</v>
      </c>
      <c r="C34455" s="5">
        <v>100.6</v>
      </c>
      <c r="D34455" s="5">
        <v>0.1</v>
      </c>
      <c r="E34455" s="5">
        <v>100.8</v>
      </c>
      <c r="F34455" s="5">
        <v>201.9</v>
      </c>
      <c r="G34455" s="5">
        <v>100.8</v>
      </c>
      <c r="H34455" s="5">
        <v>100.6</v>
      </c>
      <c r="I34455" s="5">
        <v>0</v>
      </c>
      <c r="J34455" s="5">
        <v>0</v>
      </c>
      <c r="K34455" s="5">
        <v>0</v>
      </c>
    </row>
    <row r="34456" spans="1:11" x14ac:dyDescent="0.25">
      <c r="A34456" s="5">
        <f>34449</f>
      </c>
      <c r="B34456" s="5" t="s">
        <v>34464</v>
      </c>
      <c r="C34456" s="5">
        <v>0</v>
      </c>
      <c r="D34456" s="5">
        <v>0</v>
      </c>
      <c r="E34456" s="5">
        <v>0</v>
      </c>
      <c r="F34456" s="5">
        <v>0</v>
      </c>
      <c r="G34456" s="5">
        <v>0</v>
      </c>
      <c r="H34456" s="5">
        <v>0</v>
      </c>
      <c r="I34456" s="5">
        <v>0</v>
      </c>
      <c r="J34456" s="5">
        <v>0</v>
      </c>
      <c r="K34456" s="5">
        <v>0</v>
      </c>
    </row>
    <row r="34457" spans="1:11" x14ac:dyDescent="0.25">
      <c r="A34457" s="5">
        <f>34450</f>
      </c>
      <c r="B34457" s="5" t="s">
        <v>34465</v>
      </c>
      <c r="C34457" s="5">
        <v>100.5</v>
      </c>
      <c r="D34457" s="5">
        <v>0.1</v>
      </c>
      <c r="E34457" s="5">
        <v>100.7</v>
      </c>
      <c r="F34457" s="5">
        <v>201.5</v>
      </c>
      <c r="G34457" s="5">
        <v>100.5</v>
      </c>
      <c r="H34457" s="5">
        <v>100.4</v>
      </c>
      <c r="I34457" s="5">
        <v>0</v>
      </c>
      <c r="J34457" s="5">
        <v>0</v>
      </c>
      <c r="K34457" s="5">
        <v>0</v>
      </c>
    </row>
    <row r="34458" spans="1:11" x14ac:dyDescent="0.25">
      <c r="A34458" s="5">
        <f>34451</f>
      </c>
      <c r="B34458" s="5" t="s">
        <v>34466</v>
      </c>
      <c r="C34458" s="5">
        <v>100.5</v>
      </c>
      <c r="D34458" s="5">
        <v>0.1</v>
      </c>
      <c r="E34458" s="5">
        <v>100.7</v>
      </c>
      <c r="F34458" s="5">
        <v>201.5</v>
      </c>
      <c r="G34458" s="5">
        <v>100.5</v>
      </c>
      <c r="H34458" s="5">
        <v>100.4</v>
      </c>
      <c r="I34458" s="5">
        <v>0</v>
      </c>
      <c r="J34458" s="5">
        <v>0</v>
      </c>
      <c r="K34458" s="5">
        <v>0</v>
      </c>
    </row>
    <row r="34459" spans="1:11" x14ac:dyDescent="0.25">
      <c r="A34459" s="5">
        <f>34452</f>
      </c>
      <c r="B34459" s="5" t="s">
        <v>34467</v>
      </c>
      <c r="C34459" s="5">
        <v>100.6</v>
      </c>
      <c r="D34459" s="5">
        <v>0.1</v>
      </c>
      <c r="E34459" s="5">
        <v>100.7</v>
      </c>
      <c r="F34459" s="5">
        <v>201.3</v>
      </c>
      <c r="G34459" s="5">
        <v>100.5</v>
      </c>
      <c r="H34459" s="5">
        <v>100.3</v>
      </c>
      <c r="I34459" s="5">
        <v>0</v>
      </c>
      <c r="J34459" s="5">
        <v>0</v>
      </c>
      <c r="K34459" s="5">
        <v>0</v>
      </c>
    </row>
    <row r="34460" spans="1:11" x14ac:dyDescent="0.25">
      <c r="A34460" s="5">
        <f>34453</f>
      </c>
      <c r="B34460" s="5" t="s">
        <v>34468</v>
      </c>
      <c r="C34460" s="5">
        <v>100.6</v>
      </c>
      <c r="D34460" s="5">
        <v>0.1</v>
      </c>
      <c r="E34460" s="5">
        <v>100.7</v>
      </c>
      <c r="F34460" s="5">
        <v>201.3</v>
      </c>
      <c r="G34460" s="5">
        <v>100.5</v>
      </c>
      <c r="H34460" s="5">
        <v>100.3</v>
      </c>
      <c r="I34460" s="5">
        <v>0</v>
      </c>
      <c r="J34460" s="5">
        <v>0</v>
      </c>
      <c r="K34460" s="5">
        <v>0</v>
      </c>
    </row>
    <row r="34461" spans="1:11" x14ac:dyDescent="0.25">
      <c r="A34461" s="5">
        <f>34454</f>
      </c>
      <c r="B34461" s="5" t="s">
        <v>34469</v>
      </c>
      <c r="C34461" s="5">
        <v>100.8</v>
      </c>
      <c r="D34461" s="5">
        <v>0.1</v>
      </c>
      <c r="E34461" s="5">
        <v>101</v>
      </c>
      <c r="F34461" s="5">
        <v>201.2</v>
      </c>
      <c r="G34461" s="5">
        <v>100.4</v>
      </c>
      <c r="H34461" s="5">
        <v>100.3</v>
      </c>
      <c r="I34461" s="5">
        <v>0</v>
      </c>
      <c r="J34461" s="5">
        <v>0</v>
      </c>
      <c r="K34461" s="5">
        <v>0</v>
      </c>
    </row>
    <row r="34462" spans="1:11" x14ac:dyDescent="0.25">
      <c r="A34462" s="5">
        <f>34455</f>
      </c>
      <c r="B34462" s="5" t="s">
        <v>34470</v>
      </c>
      <c r="C34462" s="5">
        <v>100.8</v>
      </c>
      <c r="D34462" s="5">
        <v>0.1</v>
      </c>
      <c r="E34462" s="5">
        <v>101</v>
      </c>
      <c r="F34462" s="5">
        <v>201.2</v>
      </c>
      <c r="G34462" s="5">
        <v>100.4</v>
      </c>
      <c r="H34462" s="5">
        <v>100.3</v>
      </c>
      <c r="I34462" s="5">
        <v>0</v>
      </c>
      <c r="J34462" s="5">
        <v>0</v>
      </c>
      <c r="K34462" s="5">
        <v>0</v>
      </c>
    </row>
    <row r="34463" spans="1:11" x14ac:dyDescent="0.25">
      <c r="A34463" s="5">
        <f>34456</f>
      </c>
      <c r="B34463" s="5" t="s">
        <v>34471</v>
      </c>
      <c r="C34463" s="5">
        <v>100.8</v>
      </c>
      <c r="D34463" s="5">
        <v>0.1</v>
      </c>
      <c r="E34463" s="5">
        <v>101</v>
      </c>
      <c r="F34463" s="5">
        <v>201.2</v>
      </c>
      <c r="G34463" s="5">
        <v>100.4</v>
      </c>
      <c r="H34463" s="5">
        <v>100.3</v>
      </c>
      <c r="I34463" s="5">
        <v>0</v>
      </c>
      <c r="J34463" s="5">
        <v>0</v>
      </c>
      <c r="K34463" s="5">
        <v>0</v>
      </c>
    </row>
    <row r="34464" spans="1:11" x14ac:dyDescent="0.25">
      <c r="A34464" s="5">
        <f>34457</f>
      </c>
      <c r="B34464" s="5" t="s">
        <v>34472</v>
      </c>
      <c r="C34464" s="5">
        <v>100.8</v>
      </c>
      <c r="D34464" s="5">
        <v>0.1</v>
      </c>
      <c r="E34464" s="5">
        <v>101</v>
      </c>
      <c r="F34464" s="5">
        <v>201.2</v>
      </c>
      <c r="G34464" s="5">
        <v>100.4</v>
      </c>
      <c r="H34464" s="5">
        <v>100.3</v>
      </c>
      <c r="I34464" s="5">
        <v>0</v>
      </c>
      <c r="J34464" s="5">
        <v>0</v>
      </c>
      <c r="K34464" s="5">
        <v>0</v>
      </c>
    </row>
    <row r="34465" spans="1:11" x14ac:dyDescent="0.25">
      <c r="A34465" s="5">
        <f>34458</f>
      </c>
      <c r="B34465" s="5" t="s">
        <v>34473</v>
      </c>
      <c r="C34465" s="5">
        <v>100.9</v>
      </c>
      <c r="D34465" s="5">
        <v>0.1</v>
      </c>
      <c r="E34465" s="5">
        <v>101</v>
      </c>
      <c r="F34465" s="5">
        <v>201.2</v>
      </c>
      <c r="G34465" s="5">
        <v>100.4</v>
      </c>
      <c r="H34465" s="5">
        <v>100.3</v>
      </c>
      <c r="I34465" s="5">
        <v>0</v>
      </c>
      <c r="J34465" s="5">
        <v>0</v>
      </c>
      <c r="K34465" s="5">
        <v>0</v>
      </c>
    </row>
    <row r="34466" spans="1:11" x14ac:dyDescent="0.25">
      <c r="A34466" s="5">
        <f>34459</f>
      </c>
      <c r="B34466" s="5" t="s">
        <v>34474</v>
      </c>
      <c r="C34466" s="5">
        <v>101.8</v>
      </c>
      <c r="D34466" s="5">
        <v>0.1</v>
      </c>
      <c r="E34466" s="5">
        <v>101.9</v>
      </c>
      <c r="F34466" s="5">
        <v>202.9</v>
      </c>
      <c r="G34466" s="5">
        <v>101.2</v>
      </c>
      <c r="H34466" s="5">
        <v>101.1</v>
      </c>
      <c r="I34466" s="5">
        <v>0</v>
      </c>
      <c r="J34466" s="5">
        <v>0</v>
      </c>
      <c r="K34466" s="5">
        <v>0</v>
      </c>
    </row>
    <row r="34467" spans="1:11" x14ac:dyDescent="0.25">
      <c r="A34467" s="5">
        <f>34460</f>
      </c>
      <c r="B34467" s="5" t="s">
        <v>34475</v>
      </c>
      <c r="C34467" s="5">
        <v>101.6</v>
      </c>
      <c r="D34467" s="5">
        <v>0.1</v>
      </c>
      <c r="E34467" s="5">
        <v>101.8</v>
      </c>
      <c r="F34467" s="5">
        <v>203.2</v>
      </c>
      <c r="G34467" s="5">
        <v>101.4</v>
      </c>
      <c r="H34467" s="5">
        <v>101.2</v>
      </c>
      <c r="I34467" s="5">
        <v>0</v>
      </c>
      <c r="J34467" s="5">
        <v>0</v>
      </c>
      <c r="K34467" s="5">
        <v>0</v>
      </c>
    </row>
    <row r="34468" spans="1:11" x14ac:dyDescent="0.25">
      <c r="A34468" s="5">
        <f>34461</f>
      </c>
      <c r="B34468" s="5" t="s">
        <v>34476</v>
      </c>
      <c r="C34468" s="5">
        <v>101.6</v>
      </c>
      <c r="D34468" s="5">
        <v>0.1</v>
      </c>
      <c r="E34468" s="5">
        <v>101.8</v>
      </c>
      <c r="F34468" s="5">
        <v>203.2</v>
      </c>
      <c r="G34468" s="5">
        <v>101.4</v>
      </c>
      <c r="H34468" s="5">
        <v>101.2</v>
      </c>
      <c r="I34468" s="5">
        <v>0</v>
      </c>
      <c r="J34468" s="5">
        <v>0</v>
      </c>
      <c r="K34468" s="5">
        <v>0</v>
      </c>
    </row>
    <row r="34469" spans="1:11" x14ac:dyDescent="0.25">
      <c r="A34469" s="5">
        <f>34462</f>
      </c>
      <c r="B34469" s="5" t="s">
        <v>34477</v>
      </c>
      <c r="C34469" s="5">
        <v>102.1</v>
      </c>
      <c r="D34469" s="5">
        <v>0.1</v>
      </c>
      <c r="E34469" s="5">
        <v>102.3</v>
      </c>
      <c r="F34469" s="5">
        <v>204.2</v>
      </c>
      <c r="G34469" s="5">
        <v>101.7</v>
      </c>
      <c r="H34469" s="5">
        <v>101.5</v>
      </c>
      <c r="I34469" s="5">
        <v>0</v>
      </c>
      <c r="J34469" s="5">
        <v>0</v>
      </c>
      <c r="K34469" s="5">
        <v>0</v>
      </c>
    </row>
    <row r="34470" spans="1:11" x14ac:dyDescent="0.25">
      <c r="A34470" s="5">
        <f>34463</f>
      </c>
      <c r="B34470" s="5" t="s">
        <v>34478</v>
      </c>
      <c r="C34470" s="5">
        <v>102.1</v>
      </c>
      <c r="D34470" s="5">
        <v>0.1</v>
      </c>
      <c r="E34470" s="5">
        <v>102.3</v>
      </c>
      <c r="F34470" s="5">
        <v>204.2</v>
      </c>
      <c r="G34470" s="5">
        <v>101.7</v>
      </c>
      <c r="H34470" s="5">
        <v>101.5</v>
      </c>
      <c r="I34470" s="5">
        <v>0</v>
      </c>
      <c r="J34470" s="5">
        <v>0</v>
      </c>
      <c r="K34470" s="5">
        <v>0</v>
      </c>
    </row>
    <row r="34471" spans="1:11" x14ac:dyDescent="0.25">
      <c r="A34471" s="5">
        <f>34464</f>
      </c>
      <c r="B34471" s="5" t="s">
        <v>34479</v>
      </c>
      <c r="C34471" s="5">
        <v>102.1</v>
      </c>
      <c r="D34471" s="5">
        <v>0.1</v>
      </c>
      <c r="E34471" s="5">
        <v>102.3</v>
      </c>
      <c r="F34471" s="5">
        <v>204.2</v>
      </c>
      <c r="G34471" s="5">
        <v>101.7</v>
      </c>
      <c r="H34471" s="5">
        <v>101.5</v>
      </c>
      <c r="I34471" s="5">
        <v>0</v>
      </c>
      <c r="J34471" s="5">
        <v>0</v>
      </c>
      <c r="K34471" s="5">
        <v>0</v>
      </c>
    </row>
    <row r="34472" spans="1:11" x14ac:dyDescent="0.25">
      <c r="A34472" s="5">
        <f>34465</f>
      </c>
      <c r="B34472" s="5" t="s">
        <v>34480</v>
      </c>
      <c r="C34472" s="5">
        <v>102.1</v>
      </c>
      <c r="D34472" s="5">
        <v>0.1</v>
      </c>
      <c r="E34472" s="5">
        <v>102.3</v>
      </c>
      <c r="F34472" s="5">
        <v>204.2</v>
      </c>
      <c r="G34472" s="5">
        <v>103.7</v>
      </c>
      <c r="H34472" s="5">
        <v>103.6</v>
      </c>
      <c r="I34472" s="5">
        <v>0</v>
      </c>
      <c r="J34472" s="5">
        <v>0</v>
      </c>
      <c r="K34472" s="5">
        <v>0</v>
      </c>
    </row>
    <row r="34473" spans="1:11" x14ac:dyDescent="0.25">
      <c r="A34473" s="5">
        <f>34466</f>
      </c>
      <c r="B34473" s="5" t="s">
        <v>34481</v>
      </c>
      <c r="C34473" s="5">
        <v>104.2</v>
      </c>
      <c r="D34473" s="5">
        <v>0.1</v>
      </c>
      <c r="E34473" s="5">
        <v>104.3</v>
      </c>
      <c r="F34473" s="5">
        <v>207.9</v>
      </c>
      <c r="G34473" s="5">
        <v>103.7</v>
      </c>
      <c r="H34473" s="5">
        <v>103.6</v>
      </c>
      <c r="I34473" s="5">
        <v>0</v>
      </c>
      <c r="J34473" s="5">
        <v>0</v>
      </c>
      <c r="K34473" s="5">
        <v>0</v>
      </c>
    </row>
    <row r="34474" spans="1:11" x14ac:dyDescent="0.25">
      <c r="A34474" s="5">
        <f>34467</f>
      </c>
      <c r="B34474" s="5" t="s">
        <v>34482</v>
      </c>
      <c r="C34474" s="5">
        <v>104.2</v>
      </c>
      <c r="D34474" s="5">
        <v>0.1</v>
      </c>
      <c r="E34474" s="5">
        <v>104.3</v>
      </c>
      <c r="F34474" s="5">
        <v>207.9</v>
      </c>
      <c r="G34474" s="5">
        <v>103.7</v>
      </c>
      <c r="H34474" s="5">
        <v>103.6</v>
      </c>
      <c r="I34474" s="5">
        <v>0</v>
      </c>
      <c r="J34474" s="5">
        <v>0</v>
      </c>
      <c r="K34474" s="5">
        <v>0</v>
      </c>
    </row>
    <row r="34475" spans="1:11" x14ac:dyDescent="0.25">
      <c r="A34475" s="5">
        <f>34468</f>
      </c>
      <c r="B34475" s="5" t="s">
        <v>34483</v>
      </c>
      <c r="C34475" s="5">
        <v>104.2</v>
      </c>
      <c r="D34475" s="5">
        <v>0.1</v>
      </c>
      <c r="E34475" s="5">
        <v>104.3</v>
      </c>
      <c r="F34475" s="5">
        <v>207.9</v>
      </c>
      <c r="G34475" s="5">
        <v>103.7</v>
      </c>
      <c r="H34475" s="5">
        <v>103.6</v>
      </c>
      <c r="I34475" s="5">
        <v>0</v>
      </c>
      <c r="J34475" s="5">
        <v>0</v>
      </c>
      <c r="K34475" s="5">
        <v>0</v>
      </c>
    </row>
    <row r="34476" spans="1:11" x14ac:dyDescent="0.25">
      <c r="A34476" s="5">
        <f>34469</f>
      </c>
      <c r="B34476" s="5" t="s">
        <v>34484</v>
      </c>
      <c r="C34476" s="5">
        <v>104.2</v>
      </c>
      <c r="D34476" s="5">
        <v>0.1</v>
      </c>
      <c r="E34476" s="5">
        <v>104.3</v>
      </c>
      <c r="F34476" s="5">
        <v>207.9</v>
      </c>
      <c r="G34476" s="5">
        <v>103.7</v>
      </c>
      <c r="H34476" s="5">
        <v>104.1</v>
      </c>
      <c r="I34476" s="5">
        <v>0</v>
      </c>
      <c r="J34476" s="5">
        <v>0</v>
      </c>
      <c r="K34476" s="5">
        <v>0</v>
      </c>
    </row>
    <row r="34477" spans="1:11" x14ac:dyDescent="0.25">
      <c r="A34477" s="5">
        <f>34470</f>
      </c>
      <c r="B34477" s="5" t="s">
        <v>34485</v>
      </c>
      <c r="C34477" s="5">
        <v>104.6</v>
      </c>
      <c r="D34477" s="5">
        <v>0.1</v>
      </c>
      <c r="E34477" s="5">
        <v>104.7</v>
      </c>
      <c r="F34477" s="5">
        <v>208.9</v>
      </c>
      <c r="G34477" s="5">
        <v>104.3</v>
      </c>
      <c r="H34477" s="5">
        <v>104.1</v>
      </c>
      <c r="I34477" s="5">
        <v>0</v>
      </c>
      <c r="J34477" s="5">
        <v>0</v>
      </c>
      <c r="K34477" s="5">
        <v>0</v>
      </c>
    </row>
    <row r="34478" spans="1:11" x14ac:dyDescent="0.25">
      <c r="A34478" s="5">
        <f>34471</f>
      </c>
      <c r="B34478" s="5" t="s">
        <v>34486</v>
      </c>
      <c r="C34478" s="5">
        <v>104.6</v>
      </c>
      <c r="D34478" s="5">
        <v>0.1</v>
      </c>
      <c r="E34478" s="5">
        <v>104.7</v>
      </c>
      <c r="F34478" s="5">
        <v>208.9</v>
      </c>
      <c r="G34478" s="5">
        <v>104.3</v>
      </c>
      <c r="H34478" s="5">
        <v>104.1</v>
      </c>
      <c r="I34478" s="5">
        <v>0</v>
      </c>
      <c r="J34478" s="5">
        <v>0</v>
      </c>
      <c r="K34478" s="5">
        <v>0</v>
      </c>
    </row>
    <row r="34479" spans="1:11" x14ac:dyDescent="0.25">
      <c r="A34479" s="5">
        <f>34472</f>
      </c>
      <c r="B34479" s="5" t="s">
        <v>34487</v>
      </c>
      <c r="C34479" s="5">
        <v>104.8</v>
      </c>
      <c r="D34479" s="5">
        <v>0.1</v>
      </c>
      <c r="E34479" s="5">
        <v>105</v>
      </c>
      <c r="F34479" s="5">
        <v>210</v>
      </c>
      <c r="G34479" s="5">
        <v>104.8</v>
      </c>
      <c r="H34479" s="5">
        <v>104.6</v>
      </c>
      <c r="I34479" s="5">
        <v>0</v>
      </c>
      <c r="J34479" s="5">
        <v>0</v>
      </c>
      <c r="K34479" s="5">
        <v>0</v>
      </c>
    </row>
    <row r="34480" spans="1:11" x14ac:dyDescent="0.25">
      <c r="A34480" s="5">
        <f>34473</f>
      </c>
      <c r="B34480" s="5" t="s">
        <v>34488</v>
      </c>
      <c r="C34480" s="5">
        <v>104.8</v>
      </c>
      <c r="D34480" s="5">
        <v>0.1</v>
      </c>
      <c r="E34480" s="5">
        <v>105</v>
      </c>
      <c r="F34480" s="5">
        <v>210</v>
      </c>
      <c r="G34480" s="5">
        <v>104.8</v>
      </c>
      <c r="H34480" s="5">
        <v>104.6</v>
      </c>
      <c r="I34480" s="5">
        <v>0</v>
      </c>
      <c r="J34480" s="5">
        <v>0</v>
      </c>
      <c r="K34480" s="5">
        <v>0</v>
      </c>
    </row>
    <row r="34481" spans="1:11" x14ac:dyDescent="0.25">
      <c r="A34481" s="5">
        <f>34474</f>
      </c>
      <c r="B34481" s="5" t="s">
        <v>34489</v>
      </c>
      <c r="C34481" s="5">
        <v>104.8</v>
      </c>
      <c r="D34481" s="5">
        <v>0.1</v>
      </c>
      <c r="E34481" s="5">
        <v>105</v>
      </c>
      <c r="F34481" s="5">
        <v>210</v>
      </c>
      <c r="G34481" s="5">
        <v>104.8</v>
      </c>
      <c r="H34481" s="5">
        <v>104.6</v>
      </c>
      <c r="I34481" s="5">
        <v>0</v>
      </c>
      <c r="J34481" s="5">
        <v>0</v>
      </c>
      <c r="K34481" s="5">
        <v>0</v>
      </c>
    </row>
    <row r="34482" spans="1:11" x14ac:dyDescent="0.25">
      <c r="A34482" s="5">
        <f>34475</f>
      </c>
      <c r="B34482" s="5" t="s">
        <v>34490</v>
      </c>
      <c r="C34482" s="5">
        <v>104.8</v>
      </c>
      <c r="D34482" s="5">
        <v>0.1</v>
      </c>
      <c r="E34482" s="5">
        <v>104.9</v>
      </c>
      <c r="F34482" s="5">
        <v>209</v>
      </c>
      <c r="G34482" s="5">
        <v>104.3</v>
      </c>
      <c r="H34482" s="5">
        <v>104.1</v>
      </c>
      <c r="I34482" s="5">
        <v>0</v>
      </c>
      <c r="J34482" s="5">
        <v>0</v>
      </c>
      <c r="K34482" s="5">
        <v>0</v>
      </c>
    </row>
    <row r="34483" spans="1:11" x14ac:dyDescent="0.25">
      <c r="A34483" s="5">
        <f>34476</f>
      </c>
      <c r="B34483" s="5" t="s">
        <v>34491</v>
      </c>
      <c r="C34483" s="5">
        <v>104.8</v>
      </c>
      <c r="D34483" s="5">
        <v>0.1</v>
      </c>
      <c r="E34483" s="5">
        <v>104.9</v>
      </c>
      <c r="F34483" s="5">
        <v>209</v>
      </c>
      <c r="G34483" s="5">
        <v>104.3</v>
      </c>
      <c r="H34483" s="5">
        <v>104.1</v>
      </c>
      <c r="I34483" s="5">
        <v>0</v>
      </c>
      <c r="J34483" s="5">
        <v>0</v>
      </c>
      <c r="K34483" s="5">
        <v>0</v>
      </c>
    </row>
    <row r="34484" spans="1:11" x14ac:dyDescent="0.25">
      <c r="A34484" s="5">
        <f>34477</f>
      </c>
      <c r="B34484" s="5" t="s">
        <v>34492</v>
      </c>
      <c r="C34484" s="5">
        <v>103.2</v>
      </c>
      <c r="D34484" s="5">
        <v>0.1</v>
      </c>
      <c r="E34484" s="5">
        <v>103.4</v>
      </c>
      <c r="F34484" s="5">
        <v>206.3</v>
      </c>
      <c r="G34484" s="5">
        <v>103</v>
      </c>
      <c r="H34484" s="5">
        <v>102.7</v>
      </c>
      <c r="I34484" s="5">
        <v>0</v>
      </c>
      <c r="J34484" s="5">
        <v>0</v>
      </c>
      <c r="K34484" s="5">
        <v>0</v>
      </c>
    </row>
    <row r="34485" spans="1:11" x14ac:dyDescent="0.25">
      <c r="A34485" s="5">
        <f>34478</f>
      </c>
      <c r="B34485" s="5" t="s">
        <v>34493</v>
      </c>
      <c r="C34485" s="5">
        <v>103.2</v>
      </c>
      <c r="D34485" s="5">
        <v>0.1</v>
      </c>
      <c r="E34485" s="5">
        <v>103.4</v>
      </c>
      <c r="F34485" s="5">
        <v>206.3</v>
      </c>
      <c r="G34485" s="5">
        <v>103</v>
      </c>
      <c r="H34485" s="5">
        <v>102.7</v>
      </c>
      <c r="I34485" s="5">
        <v>0</v>
      </c>
      <c r="J34485" s="5">
        <v>0</v>
      </c>
      <c r="K34485" s="5">
        <v>0</v>
      </c>
    </row>
    <row r="34486" spans="1:11" x14ac:dyDescent="0.25">
      <c r="A34486" s="5">
        <f>34479</f>
      </c>
      <c r="B34486" s="5" t="s">
        <v>34494</v>
      </c>
      <c r="C34486" s="5">
        <v>102.1</v>
      </c>
      <c r="D34486" s="5">
        <v>0.1</v>
      </c>
      <c r="E34486" s="5">
        <v>102.1</v>
      </c>
      <c r="F34486" s="5">
        <v>203.9</v>
      </c>
      <c r="G34486" s="5">
        <v>101.7</v>
      </c>
      <c r="H34486" s="5">
        <v>101.7</v>
      </c>
      <c r="I34486" s="5">
        <v>0</v>
      </c>
      <c r="J34486" s="5">
        <v>0</v>
      </c>
      <c r="K34486" s="5">
        <v>0</v>
      </c>
    </row>
    <row r="34487" spans="1:11" x14ac:dyDescent="0.25">
      <c r="A34487" s="5">
        <f>34480</f>
      </c>
      <c r="B34487" s="5" t="s">
        <v>34495</v>
      </c>
      <c r="C34487" s="5">
        <v>102.1</v>
      </c>
      <c r="D34487" s="5">
        <v>0.1</v>
      </c>
      <c r="E34487" s="5">
        <v>102.1</v>
      </c>
      <c r="F34487" s="5">
        <v>203.9</v>
      </c>
      <c r="G34487" s="5">
        <v>101.7</v>
      </c>
      <c r="H34487" s="5">
        <v>101.7</v>
      </c>
      <c r="I34487" s="5">
        <v>0</v>
      </c>
      <c r="J34487" s="5">
        <v>0</v>
      </c>
      <c r="K34487" s="5">
        <v>0</v>
      </c>
    </row>
    <row r="34488" spans="1:11" x14ac:dyDescent="0.25">
      <c r="A34488" s="5">
        <f>34481</f>
      </c>
      <c r="B34488" s="5" t="s">
        <v>34496</v>
      </c>
      <c r="C34488" s="5">
        <v>102.1</v>
      </c>
      <c r="D34488" s="5">
        <v>0.1</v>
      </c>
      <c r="E34488" s="5">
        <v>102.1</v>
      </c>
      <c r="F34488" s="5">
        <v>203.9</v>
      </c>
      <c r="G34488" s="5">
        <v>101.7</v>
      </c>
      <c r="H34488" s="5">
        <v>101.7</v>
      </c>
      <c r="I34488" s="5">
        <v>0</v>
      </c>
      <c r="J34488" s="5">
        <v>0</v>
      </c>
      <c r="K34488" s="5">
        <v>0</v>
      </c>
    </row>
    <row r="34489" spans="1:11" x14ac:dyDescent="0.25">
      <c r="A34489" s="5">
        <f>34482</f>
      </c>
      <c r="B34489" s="5" t="s">
        <v>34497</v>
      </c>
      <c r="C34489" s="5">
        <v>102.1</v>
      </c>
      <c r="D34489" s="5">
        <v>0.1</v>
      </c>
      <c r="E34489" s="5">
        <v>102.1</v>
      </c>
      <c r="F34489" s="5">
        <v>203.9</v>
      </c>
      <c r="G34489" s="5">
        <v>101.7</v>
      </c>
      <c r="H34489" s="5">
        <v>101.7</v>
      </c>
      <c r="I34489" s="5">
        <v>0</v>
      </c>
      <c r="J34489" s="5">
        <v>0</v>
      </c>
      <c r="K34489" s="5">
        <v>0</v>
      </c>
    </row>
    <row r="34490" spans="1:11" x14ac:dyDescent="0.25">
      <c r="A34490" s="5">
        <f>34483</f>
      </c>
      <c r="B34490" s="5" t="s">
        <v>34498</v>
      </c>
      <c r="C34490" s="5">
        <v>104</v>
      </c>
      <c r="D34490" s="5">
        <v>0.1</v>
      </c>
      <c r="E34490" s="5">
        <v>104.2</v>
      </c>
      <c r="F34490" s="5">
        <v>207.6</v>
      </c>
      <c r="G34490" s="5">
        <v>103.6</v>
      </c>
      <c r="H34490" s="5">
        <v>103.4</v>
      </c>
      <c r="I34490" s="5">
        <v>0</v>
      </c>
      <c r="J34490" s="5">
        <v>0</v>
      </c>
      <c r="K34490" s="5">
        <v>0</v>
      </c>
    </row>
    <row r="34491" spans="1:11" x14ac:dyDescent="0.25">
      <c r="A34491" s="5">
        <f>34484</f>
      </c>
      <c r="B34491" s="5" t="s">
        <v>34499</v>
      </c>
      <c r="C34491" s="5">
        <v>104</v>
      </c>
      <c r="D34491" s="5">
        <v>0.1</v>
      </c>
      <c r="E34491" s="5">
        <v>104.2</v>
      </c>
      <c r="F34491" s="5">
        <v>207.6</v>
      </c>
      <c r="G34491" s="5">
        <v>103.6</v>
      </c>
      <c r="H34491" s="5">
        <v>103.4</v>
      </c>
      <c r="I34491" s="5">
        <v>0</v>
      </c>
      <c r="J34491" s="5">
        <v>0</v>
      </c>
      <c r="K34491" s="5">
        <v>0</v>
      </c>
    </row>
    <row r="34492" spans="1:11" x14ac:dyDescent="0.25">
      <c r="A34492" s="5">
        <f>34485</f>
      </c>
      <c r="B34492" s="5" t="s">
        <v>34500</v>
      </c>
      <c r="C34492" s="5">
        <v>105.3</v>
      </c>
      <c r="D34492" s="5">
        <v>0.1</v>
      </c>
      <c r="E34492" s="5">
        <v>105.5</v>
      </c>
      <c r="F34492" s="5">
        <v>208.7</v>
      </c>
      <c r="G34492" s="5">
        <v>104.1</v>
      </c>
      <c r="H34492" s="5">
        <v>104</v>
      </c>
      <c r="I34492" s="5">
        <v>0</v>
      </c>
      <c r="J34492" s="5">
        <v>0</v>
      </c>
      <c r="K34492" s="5">
        <v>0</v>
      </c>
    </row>
    <row r="34493" spans="1:11" x14ac:dyDescent="0.25">
      <c r="A34493" s="5">
        <f>34486</f>
      </c>
      <c r="B34493" s="5" t="s">
        <v>34501</v>
      </c>
      <c r="C34493" s="5">
        <v>105.3</v>
      </c>
      <c r="D34493" s="5">
        <v>0.1</v>
      </c>
      <c r="E34493" s="5">
        <v>105.5</v>
      </c>
      <c r="F34493" s="5">
        <v>208.7</v>
      </c>
      <c r="G34493" s="5">
        <v>104.1</v>
      </c>
      <c r="H34493" s="5">
        <v>104</v>
      </c>
      <c r="I34493" s="5">
        <v>0</v>
      </c>
      <c r="J34493" s="5">
        <v>0</v>
      </c>
      <c r="K34493" s="5">
        <v>0</v>
      </c>
    </row>
    <row r="34494" spans="1:11" x14ac:dyDescent="0.25">
      <c r="A34494" s="5">
        <f>34487</f>
      </c>
      <c r="B34494" s="5" t="s">
        <v>34502</v>
      </c>
      <c r="C34494" s="5">
        <v>104.8</v>
      </c>
      <c r="D34494" s="5">
        <v>0.1</v>
      </c>
      <c r="E34494" s="5">
        <v>105</v>
      </c>
      <c r="F34494" s="5">
        <v>209.6</v>
      </c>
      <c r="G34494" s="5">
        <v>104.6</v>
      </c>
      <c r="H34494" s="5">
        <v>104.4</v>
      </c>
      <c r="I34494" s="5">
        <v>0</v>
      </c>
      <c r="J34494" s="5">
        <v>0</v>
      </c>
      <c r="K34494" s="5">
        <v>0</v>
      </c>
    </row>
    <row r="34495" spans="1:11" x14ac:dyDescent="0.25">
      <c r="A34495" s="5">
        <f>34488</f>
      </c>
      <c r="B34495" s="5" t="s">
        <v>34503</v>
      </c>
      <c r="C34495" s="5">
        <v>104.8</v>
      </c>
      <c r="D34495" s="5">
        <v>0.1</v>
      </c>
      <c r="E34495" s="5">
        <v>105</v>
      </c>
      <c r="F34495" s="5">
        <v>209.6</v>
      </c>
      <c r="G34495" s="5">
        <v>104.6</v>
      </c>
      <c r="H34495" s="5">
        <v>104.4</v>
      </c>
      <c r="I34495" s="5">
        <v>0</v>
      </c>
      <c r="J34495" s="5">
        <v>0</v>
      </c>
      <c r="K34495" s="5">
        <v>0</v>
      </c>
    </row>
    <row r="34496" spans="1:11" x14ac:dyDescent="0.25">
      <c r="A34496" s="5">
        <f>34489</f>
      </c>
      <c r="B34496" s="5" t="s">
        <v>34504</v>
      </c>
      <c r="C34496" s="5">
        <v>104.8</v>
      </c>
      <c r="D34496" s="5">
        <v>0.1</v>
      </c>
      <c r="E34496" s="5">
        <v>105</v>
      </c>
      <c r="F34496" s="5">
        <v>209.6</v>
      </c>
      <c r="G34496" s="5">
        <v>104.6</v>
      </c>
      <c r="H34496" s="5">
        <v>104.4</v>
      </c>
      <c r="I34496" s="5">
        <v>0</v>
      </c>
      <c r="J34496" s="5">
        <v>0</v>
      </c>
      <c r="K34496" s="5">
        <v>0</v>
      </c>
    </row>
    <row r="34497" spans="1:11" x14ac:dyDescent="0.25">
      <c r="A34497" s="5">
        <f>34490</f>
      </c>
      <c r="B34497" s="5" t="s">
        <v>34505</v>
      </c>
      <c r="C34497" s="5">
        <v>104.2</v>
      </c>
      <c r="D34497" s="5">
        <v>0.1</v>
      </c>
      <c r="E34497" s="5">
        <v>104.3</v>
      </c>
      <c r="F34497" s="5">
        <v>208.2</v>
      </c>
      <c r="G34497" s="5">
        <v>103.9</v>
      </c>
      <c r="H34497" s="5">
        <v>103.7</v>
      </c>
      <c r="I34497" s="5">
        <v>0</v>
      </c>
      <c r="J34497" s="5">
        <v>0</v>
      </c>
      <c r="K34497" s="5">
        <v>0</v>
      </c>
    </row>
    <row r="34498" spans="1:11" x14ac:dyDescent="0.25">
      <c r="A34498" s="5">
        <f>34491</f>
      </c>
      <c r="B34498" s="5" t="s">
        <v>34506</v>
      </c>
      <c r="C34498" s="5">
        <v>104.2</v>
      </c>
      <c r="D34498" s="5">
        <v>0.1</v>
      </c>
      <c r="E34498" s="5">
        <v>104.3</v>
      </c>
      <c r="F34498" s="5">
        <v>208.2</v>
      </c>
      <c r="G34498" s="5">
        <v>103.9</v>
      </c>
      <c r="H34498" s="5">
        <v>103.7</v>
      </c>
      <c r="I34498" s="5">
        <v>0</v>
      </c>
      <c r="J34498" s="5">
        <v>0</v>
      </c>
      <c r="K34498" s="5">
        <v>0</v>
      </c>
    </row>
    <row r="34499" spans="1:11" x14ac:dyDescent="0.25">
      <c r="A34499" s="5">
        <f>34492</f>
      </c>
      <c r="B34499" s="5" t="s">
        <v>34507</v>
      </c>
      <c r="C34499" s="5">
        <v>104.9</v>
      </c>
      <c r="D34499" s="5">
        <v>0.1</v>
      </c>
      <c r="E34499" s="5">
        <v>105</v>
      </c>
      <c r="F34499" s="5">
        <v>209.2</v>
      </c>
      <c r="G34499" s="5">
        <v>104.4</v>
      </c>
      <c r="H34499" s="5">
        <v>104.2</v>
      </c>
      <c r="I34499" s="5">
        <v>0</v>
      </c>
      <c r="J34499" s="5">
        <v>0</v>
      </c>
      <c r="K34499" s="5">
        <v>0</v>
      </c>
    </row>
    <row r="34500" spans="1:11" x14ac:dyDescent="0.25">
      <c r="A34500" s="5">
        <f>34493</f>
      </c>
      <c r="B34500" s="5" t="s">
        <v>34508</v>
      </c>
      <c r="C34500" s="5">
        <v>104.9</v>
      </c>
      <c r="D34500" s="5">
        <v>0.1</v>
      </c>
      <c r="E34500" s="5">
        <v>105</v>
      </c>
      <c r="F34500" s="5">
        <v>209.2</v>
      </c>
      <c r="G34500" s="5">
        <v>104.4</v>
      </c>
      <c r="H34500" s="5">
        <v>104.2</v>
      </c>
      <c r="I34500" s="5">
        <v>0</v>
      </c>
      <c r="J34500" s="5">
        <v>0</v>
      </c>
      <c r="K34500" s="5">
        <v>0</v>
      </c>
    </row>
    <row r="34501" spans="1:11" x14ac:dyDescent="0.25">
      <c r="A34501" s="5">
        <f>34494</f>
      </c>
      <c r="B34501" s="5" t="s">
        <v>34509</v>
      </c>
      <c r="C34501" s="5">
        <v>104.1</v>
      </c>
      <c r="D34501" s="5">
        <v>0.1</v>
      </c>
      <c r="E34501" s="5">
        <v>104.3</v>
      </c>
      <c r="F34501" s="5">
        <v>207.9</v>
      </c>
      <c r="G34501" s="5">
        <v>103.8</v>
      </c>
      <c r="H34501" s="5">
        <v>103.6</v>
      </c>
      <c r="I34501" s="5">
        <v>0</v>
      </c>
      <c r="J34501" s="5">
        <v>0</v>
      </c>
      <c r="K34501" s="5">
        <v>0</v>
      </c>
    </row>
    <row r="34502" spans="1:11" x14ac:dyDescent="0.25">
      <c r="A34502" s="5">
        <f>34495</f>
      </c>
      <c r="B34502" s="5" t="s">
        <v>34510</v>
      </c>
      <c r="C34502" s="5">
        <v>104.1</v>
      </c>
      <c r="D34502" s="5">
        <v>0.1</v>
      </c>
      <c r="E34502" s="5">
        <v>104.3</v>
      </c>
      <c r="F34502" s="5">
        <v>207.9</v>
      </c>
      <c r="G34502" s="5">
        <v>103.8</v>
      </c>
      <c r="H34502" s="5">
        <v>103.6</v>
      </c>
      <c r="I34502" s="5">
        <v>0</v>
      </c>
      <c r="J34502" s="5">
        <v>0</v>
      </c>
      <c r="K34502" s="5">
        <v>0</v>
      </c>
    </row>
    <row r="34503" spans="1:11" x14ac:dyDescent="0.25">
      <c r="A34503" s="5">
        <f>34496</f>
      </c>
      <c r="B34503" s="5" t="s">
        <v>34511</v>
      </c>
      <c r="C34503" s="5">
        <v>104.6</v>
      </c>
      <c r="D34503" s="5">
        <v>0.1</v>
      </c>
      <c r="E34503" s="5">
        <v>104.7</v>
      </c>
      <c r="F34503" s="5">
        <v>208.8</v>
      </c>
      <c r="G34503" s="5">
        <v>104.2</v>
      </c>
      <c r="H34503" s="5">
        <v>104.1</v>
      </c>
      <c r="I34503" s="5">
        <v>0</v>
      </c>
      <c r="J34503" s="5">
        <v>0</v>
      </c>
      <c r="K34503" s="5">
        <v>0</v>
      </c>
    </row>
    <row r="34504" spans="1:11" x14ac:dyDescent="0.25">
      <c r="A34504" s="5">
        <f>34497</f>
      </c>
      <c r="B34504" s="5" t="s">
        <v>34512</v>
      </c>
      <c r="C34504" s="5">
        <v>104.6</v>
      </c>
      <c r="D34504" s="5">
        <v>0.1</v>
      </c>
      <c r="E34504" s="5">
        <v>104.7</v>
      </c>
      <c r="F34504" s="5">
        <v>208.8</v>
      </c>
      <c r="G34504" s="5">
        <v>104.2</v>
      </c>
      <c r="H34504" s="5">
        <v>104.1</v>
      </c>
      <c r="I34504" s="5">
        <v>0</v>
      </c>
      <c r="J34504" s="5">
        <v>0</v>
      </c>
      <c r="K34504" s="5">
        <v>0</v>
      </c>
    </row>
    <row r="34505" spans="1:11" x14ac:dyDescent="0.25">
      <c r="A34505" s="5">
        <f>34498</f>
      </c>
      <c r="B34505" s="5" t="s">
        <v>34513</v>
      </c>
      <c r="C34505" s="5">
        <v>104.6</v>
      </c>
      <c r="D34505" s="5">
        <v>0.1</v>
      </c>
      <c r="E34505" s="5">
        <v>104.7</v>
      </c>
      <c r="F34505" s="5">
        <v>208.8</v>
      </c>
      <c r="G34505" s="5">
        <v>104.2</v>
      </c>
      <c r="H34505" s="5">
        <v>104.1</v>
      </c>
      <c r="I34505" s="5">
        <v>0</v>
      </c>
      <c r="J34505" s="5">
        <v>0</v>
      </c>
      <c r="K34505" s="5">
        <v>0</v>
      </c>
    </row>
    <row r="34506" spans="1:11" x14ac:dyDescent="0.25">
      <c r="A34506" s="5">
        <f>34499</f>
      </c>
      <c r="B34506" s="5" t="s">
        <v>34514</v>
      </c>
      <c r="C34506" s="5">
        <v>104.6</v>
      </c>
      <c r="D34506" s="5">
        <v>0.1</v>
      </c>
      <c r="E34506" s="5">
        <v>104.7</v>
      </c>
      <c r="F34506" s="5">
        <v>208.8</v>
      </c>
      <c r="G34506" s="5">
        <v>104.2</v>
      </c>
      <c r="H34506" s="5">
        <v>104.1</v>
      </c>
      <c r="I34506" s="5">
        <v>0</v>
      </c>
      <c r="J34506" s="5">
        <v>0</v>
      </c>
      <c r="K34506" s="5">
        <v>0</v>
      </c>
    </row>
    <row r="34507" spans="1:11" x14ac:dyDescent="0.25">
      <c r="A34507" s="5">
        <f>34500</f>
      </c>
      <c r="B34507" s="5" t="s">
        <v>34515</v>
      </c>
      <c r="C34507" s="5">
        <v>103.9</v>
      </c>
      <c r="D34507" s="5">
        <v>0.1</v>
      </c>
      <c r="E34507" s="5">
        <v>104</v>
      </c>
      <c r="F34507" s="5">
        <v>207.2</v>
      </c>
      <c r="G34507" s="5">
        <v>103.4</v>
      </c>
      <c r="H34507" s="5">
        <v>103.3</v>
      </c>
      <c r="I34507" s="5">
        <v>0</v>
      </c>
      <c r="J34507" s="5">
        <v>0</v>
      </c>
      <c r="K34507" s="5">
        <v>0</v>
      </c>
    </row>
    <row r="34508" spans="1:11" x14ac:dyDescent="0.25">
      <c r="A34508" s="5">
        <f>34501</f>
      </c>
      <c r="B34508" s="5" t="s">
        <v>34516</v>
      </c>
      <c r="C34508" s="5">
        <v>103.9</v>
      </c>
      <c r="D34508" s="5">
        <v>0.1</v>
      </c>
      <c r="E34508" s="5">
        <v>104</v>
      </c>
      <c r="F34508" s="5">
        <v>207.2</v>
      </c>
      <c r="G34508" s="5">
        <v>103.4</v>
      </c>
      <c r="H34508" s="5">
        <v>103.3</v>
      </c>
      <c r="I34508" s="5">
        <v>0</v>
      </c>
      <c r="J34508" s="5">
        <v>0</v>
      </c>
      <c r="K34508" s="5">
        <v>0</v>
      </c>
    </row>
    <row r="34509" spans="1:11" x14ac:dyDescent="0.25">
      <c r="A34509" s="5">
        <f>34502</f>
      </c>
      <c r="B34509" s="5" t="s">
        <v>34517</v>
      </c>
      <c r="C34509" s="5">
        <v>103.8</v>
      </c>
      <c r="D34509" s="5">
        <v>0.1</v>
      </c>
      <c r="E34509" s="5">
        <v>104</v>
      </c>
      <c r="F34509" s="5">
        <v>208.1</v>
      </c>
      <c r="G34509" s="5">
        <v>103.8</v>
      </c>
      <c r="H34509" s="5">
        <v>103.7</v>
      </c>
      <c r="I34509" s="5">
        <v>0</v>
      </c>
      <c r="J34509" s="5">
        <v>0</v>
      </c>
      <c r="K34509" s="5">
        <v>0</v>
      </c>
    </row>
    <row r="34510" spans="1:11" x14ac:dyDescent="0.25">
      <c r="A34510" s="5">
        <f>34503</f>
      </c>
      <c r="B34510" s="5" t="s">
        <v>34518</v>
      </c>
      <c r="C34510" s="5">
        <v>103.8</v>
      </c>
      <c r="D34510" s="5">
        <v>0.1</v>
      </c>
      <c r="E34510" s="5">
        <v>104</v>
      </c>
      <c r="F34510" s="5">
        <v>208.1</v>
      </c>
      <c r="G34510" s="5">
        <v>103.8</v>
      </c>
      <c r="H34510" s="5">
        <v>103.7</v>
      </c>
      <c r="I34510" s="5">
        <v>0</v>
      </c>
      <c r="J34510" s="5">
        <v>0</v>
      </c>
      <c r="K34510" s="5">
        <v>0</v>
      </c>
    </row>
    <row r="34511" spans="1:11" x14ac:dyDescent="0.25">
      <c r="A34511" s="5">
        <f>34504</f>
      </c>
      <c r="B34511" s="5" t="s">
        <v>34519</v>
      </c>
      <c r="C34511" s="5">
        <v>104</v>
      </c>
      <c r="D34511" s="5">
        <v>0.1</v>
      </c>
      <c r="E34511" s="5">
        <v>104.1</v>
      </c>
      <c r="F34511" s="5">
        <v>207.1</v>
      </c>
      <c r="G34511" s="5">
        <v>103.3</v>
      </c>
      <c r="H34511" s="5">
        <v>103.2</v>
      </c>
      <c r="I34511" s="5">
        <v>0</v>
      </c>
      <c r="J34511" s="5">
        <v>0</v>
      </c>
      <c r="K34511" s="5">
        <v>0</v>
      </c>
    </row>
    <row r="34512" spans="1:11" x14ac:dyDescent="0.25">
      <c r="A34512" s="5">
        <f>34505</f>
      </c>
      <c r="B34512" s="5" t="s">
        <v>34520</v>
      </c>
      <c r="C34512" s="5">
        <v>104</v>
      </c>
      <c r="D34512" s="5">
        <v>0.1</v>
      </c>
      <c r="E34512" s="5">
        <v>104.1</v>
      </c>
      <c r="F34512" s="5">
        <v>207.1</v>
      </c>
      <c r="G34512" s="5">
        <v>103.3</v>
      </c>
      <c r="H34512" s="5">
        <v>103.2</v>
      </c>
      <c r="I34512" s="5">
        <v>0</v>
      </c>
      <c r="J34512" s="5">
        <v>0</v>
      </c>
      <c r="K34512" s="5">
        <v>0</v>
      </c>
    </row>
    <row r="34513" spans="1:11" x14ac:dyDescent="0.25">
      <c r="A34513" s="5">
        <f>34506</f>
      </c>
      <c r="B34513" s="5" t="s">
        <v>34521</v>
      </c>
      <c r="C34513" s="5">
        <v>103.8</v>
      </c>
      <c r="D34513" s="5">
        <v>0.1</v>
      </c>
      <c r="E34513" s="5">
        <v>104</v>
      </c>
      <c r="F34513" s="5">
        <v>207.8</v>
      </c>
      <c r="G34513" s="5">
        <v>103.7</v>
      </c>
      <c r="H34513" s="5">
        <v>103.5</v>
      </c>
      <c r="I34513" s="5">
        <v>0</v>
      </c>
      <c r="J34513" s="5">
        <v>0</v>
      </c>
      <c r="K34513" s="5">
        <v>0</v>
      </c>
    </row>
    <row r="34514" spans="1:11" x14ac:dyDescent="0.25">
      <c r="A34514" s="5">
        <f>34507</f>
      </c>
      <c r="B34514" s="5" t="s">
        <v>34522</v>
      </c>
      <c r="C34514" s="5">
        <v>103.8</v>
      </c>
      <c r="D34514" s="5">
        <v>0.1</v>
      </c>
      <c r="E34514" s="5">
        <v>104</v>
      </c>
      <c r="F34514" s="5">
        <v>207.8</v>
      </c>
      <c r="G34514" s="5">
        <v>103.7</v>
      </c>
      <c r="H34514" s="5">
        <v>103.5</v>
      </c>
      <c r="I34514" s="5">
        <v>0</v>
      </c>
      <c r="J34514" s="5">
        <v>0</v>
      </c>
      <c r="K34514" s="5">
        <v>0</v>
      </c>
    </row>
    <row r="34515" spans="1:11" x14ac:dyDescent="0.25">
      <c r="A34515" s="5">
        <f>34508</f>
      </c>
      <c r="B34515" s="5" t="s">
        <v>34523</v>
      </c>
      <c r="C34515" s="5">
        <v>103.8</v>
      </c>
      <c r="D34515" s="5">
        <v>0.1</v>
      </c>
      <c r="E34515" s="5">
        <v>104</v>
      </c>
      <c r="F34515" s="5">
        <v>207.8</v>
      </c>
      <c r="G34515" s="5">
        <v>103.7</v>
      </c>
      <c r="H34515" s="5">
        <v>103.5</v>
      </c>
      <c r="I34515" s="5">
        <v>0</v>
      </c>
      <c r="J34515" s="5">
        <v>0</v>
      </c>
      <c r="K34515" s="5">
        <v>0</v>
      </c>
    </row>
    <row r="34516" spans="1:11" x14ac:dyDescent="0.25">
      <c r="A34516" s="5">
        <f>34509</f>
      </c>
      <c r="B34516" s="5" t="s">
        <v>34524</v>
      </c>
      <c r="C34516" s="5">
        <v>103.8</v>
      </c>
      <c r="D34516" s="5">
        <v>0.1</v>
      </c>
      <c r="E34516" s="5">
        <v>104</v>
      </c>
      <c r="F34516" s="5">
        <v>207.8</v>
      </c>
      <c r="G34516" s="5">
        <v>103.7</v>
      </c>
      <c r="H34516" s="5">
        <v>103.5</v>
      </c>
      <c r="I34516" s="5">
        <v>0</v>
      </c>
      <c r="J34516" s="5">
        <v>0</v>
      </c>
      <c r="K34516" s="5">
        <v>0</v>
      </c>
    </row>
    <row r="34517" spans="1:11" x14ac:dyDescent="0.25">
      <c r="A34517" s="5">
        <f>34510</f>
      </c>
      <c r="B34517" s="5" t="s">
        <v>34525</v>
      </c>
      <c r="C34517" s="5">
        <v>104.6</v>
      </c>
      <c r="D34517" s="5">
        <v>0.1</v>
      </c>
      <c r="E34517" s="5">
        <v>104.8</v>
      </c>
      <c r="F34517" s="5">
        <v>208.4</v>
      </c>
      <c r="G34517" s="5">
        <v>104</v>
      </c>
      <c r="H34517" s="5">
        <v>103.9</v>
      </c>
      <c r="I34517" s="5">
        <v>0</v>
      </c>
      <c r="J34517" s="5">
        <v>0</v>
      </c>
      <c r="K34517" s="5">
        <v>0</v>
      </c>
    </row>
    <row r="34518" spans="1:11" x14ac:dyDescent="0.25">
      <c r="A34518" s="5">
        <f>34511</f>
      </c>
      <c r="B34518" s="5" t="s">
        <v>34526</v>
      </c>
      <c r="C34518" s="5">
        <v>104.6</v>
      </c>
      <c r="D34518" s="5">
        <v>0.1</v>
      </c>
      <c r="E34518" s="5">
        <v>104.8</v>
      </c>
      <c r="F34518" s="5">
        <v>208.4</v>
      </c>
      <c r="G34518" s="5">
        <v>104</v>
      </c>
      <c r="H34518" s="5">
        <v>103.9</v>
      </c>
      <c r="I34518" s="5">
        <v>0</v>
      </c>
      <c r="J34518" s="5">
        <v>0</v>
      </c>
      <c r="K34518" s="5">
        <v>0</v>
      </c>
    </row>
    <row r="34519" spans="1:11" x14ac:dyDescent="0.25">
      <c r="A34519" s="5">
        <f>34512</f>
      </c>
      <c r="B34519" s="5" t="s">
        <v>34527</v>
      </c>
      <c r="C34519" s="5">
        <v>104.6</v>
      </c>
      <c r="D34519" s="5">
        <v>0.1</v>
      </c>
      <c r="E34519" s="5">
        <v>104.7</v>
      </c>
      <c r="F34519" s="5">
        <v>209.3</v>
      </c>
      <c r="G34519" s="5">
        <v>104.4</v>
      </c>
      <c r="H34519" s="5">
        <v>104.2</v>
      </c>
      <c r="I34519" s="5">
        <v>0</v>
      </c>
      <c r="J34519" s="5">
        <v>0</v>
      </c>
      <c r="K34519" s="5">
        <v>0</v>
      </c>
    </row>
    <row r="34520" spans="1:11" x14ac:dyDescent="0.25">
      <c r="A34520" s="5">
        <f>34513</f>
      </c>
      <c r="B34520" s="5" t="s">
        <v>34528</v>
      </c>
      <c r="C34520" s="5">
        <v>104.6</v>
      </c>
      <c r="D34520" s="5">
        <v>0.1</v>
      </c>
      <c r="E34520" s="5">
        <v>104.7</v>
      </c>
      <c r="F34520" s="5">
        <v>209.3</v>
      </c>
      <c r="G34520" s="5">
        <v>104.4</v>
      </c>
      <c r="H34520" s="5">
        <v>104.2</v>
      </c>
      <c r="I34520" s="5">
        <v>0</v>
      </c>
      <c r="J34520" s="5">
        <v>0</v>
      </c>
      <c r="K34520" s="5">
        <v>0</v>
      </c>
    </row>
    <row r="34521" spans="1:11" x14ac:dyDescent="0.25">
      <c r="A34521" s="5">
        <f>34514</f>
      </c>
      <c r="B34521" s="5" t="s">
        <v>34529</v>
      </c>
      <c r="C34521" s="5">
        <v>104.7</v>
      </c>
      <c r="D34521" s="5">
        <v>0.1</v>
      </c>
      <c r="E34521" s="5">
        <v>104.9</v>
      </c>
      <c r="F34521" s="5">
        <v>208.8</v>
      </c>
      <c r="G34521" s="5">
        <v>104.2</v>
      </c>
      <c r="H34521" s="5">
        <v>104.1</v>
      </c>
      <c r="I34521" s="5">
        <v>0</v>
      </c>
      <c r="J34521" s="5">
        <v>0</v>
      </c>
      <c r="K34521" s="5">
        <v>0</v>
      </c>
    </row>
    <row r="34522" spans="1:11" x14ac:dyDescent="0.25">
      <c r="A34522" s="5">
        <f>34515</f>
      </c>
      <c r="B34522" s="5" t="s">
        <v>34530</v>
      </c>
      <c r="C34522" s="5">
        <v>104.7</v>
      </c>
      <c r="D34522" s="5">
        <v>0.1</v>
      </c>
      <c r="E34522" s="5">
        <v>104.9</v>
      </c>
      <c r="F34522" s="5">
        <v>208.8</v>
      </c>
      <c r="G34522" s="5">
        <v>104.2</v>
      </c>
      <c r="H34522" s="5">
        <v>104.1</v>
      </c>
      <c r="I34522" s="5">
        <v>0</v>
      </c>
      <c r="J34522" s="5">
        <v>0</v>
      </c>
      <c r="K34522" s="5">
        <v>0</v>
      </c>
    </row>
    <row r="34523" spans="1:11" x14ac:dyDescent="0.25">
      <c r="A34523" s="5">
        <f>34516</f>
      </c>
      <c r="B34523" s="5" t="s">
        <v>34531</v>
      </c>
      <c r="C34523" s="5">
        <v>103.6</v>
      </c>
      <c r="D34523" s="5">
        <v>0.1</v>
      </c>
      <c r="E34523" s="5">
        <v>103.7</v>
      </c>
      <c r="F34523" s="5">
        <v>207.4</v>
      </c>
      <c r="G34523" s="5">
        <v>103.5</v>
      </c>
      <c r="H34523" s="5">
        <v>103.3</v>
      </c>
      <c r="I34523" s="5">
        <v>0</v>
      </c>
      <c r="J34523" s="5">
        <v>0</v>
      </c>
      <c r="K34523" s="5">
        <v>0</v>
      </c>
    </row>
    <row r="34524" spans="1:11" x14ac:dyDescent="0.25">
      <c r="A34524" s="5">
        <f>34517</f>
      </c>
      <c r="B34524" s="5" t="s">
        <v>34532</v>
      </c>
      <c r="C34524" s="5">
        <v>103.6</v>
      </c>
      <c r="D34524" s="5">
        <v>0.1</v>
      </c>
      <c r="E34524" s="5">
        <v>103.7</v>
      </c>
      <c r="F34524" s="5">
        <v>207.4</v>
      </c>
      <c r="G34524" s="5">
        <v>103.5</v>
      </c>
      <c r="H34524" s="5">
        <v>103.3</v>
      </c>
      <c r="I34524" s="5">
        <v>0</v>
      </c>
      <c r="J34524" s="5">
        <v>0</v>
      </c>
      <c r="K34524" s="5">
        <v>0</v>
      </c>
    </row>
    <row r="34525" spans="1:11" x14ac:dyDescent="0.25">
      <c r="A34525" s="5">
        <f>34518</f>
      </c>
      <c r="B34525" s="5" t="s">
        <v>34533</v>
      </c>
      <c r="C34525" s="5">
        <v>103.6</v>
      </c>
      <c r="D34525" s="5">
        <v>0.1</v>
      </c>
      <c r="E34525" s="5">
        <v>103.7</v>
      </c>
      <c r="F34525" s="5">
        <v>207.4</v>
      </c>
      <c r="G34525" s="5">
        <v>103.5</v>
      </c>
      <c r="H34525" s="5">
        <v>103.3</v>
      </c>
      <c r="I34525" s="5">
        <v>0</v>
      </c>
      <c r="J34525" s="5">
        <v>0</v>
      </c>
      <c r="K34525" s="5">
        <v>0</v>
      </c>
    </row>
    <row r="34526" spans="1:11" x14ac:dyDescent="0.25">
      <c r="A34526" s="5">
        <f>34519</f>
      </c>
      <c r="B34526" s="5" t="s">
        <v>34534</v>
      </c>
      <c r="C34526" s="5">
        <v>103.6</v>
      </c>
      <c r="D34526" s="5">
        <v>0.1</v>
      </c>
      <c r="E34526" s="5">
        <v>103.7</v>
      </c>
      <c r="F34526" s="5">
        <v>207.4</v>
      </c>
      <c r="G34526" s="5">
        <v>103.5</v>
      </c>
      <c r="H34526" s="5">
        <v>103.3</v>
      </c>
      <c r="I34526" s="5">
        <v>0</v>
      </c>
      <c r="J34526" s="5">
        <v>0</v>
      </c>
      <c r="K34526" s="5">
        <v>0</v>
      </c>
    </row>
    <row r="34527" spans="1:11" x14ac:dyDescent="0.25">
      <c r="A34527" s="5">
        <f>34520</f>
      </c>
      <c r="B34527" s="5" t="s">
        <v>34535</v>
      </c>
      <c r="C34527" s="5">
        <v>102.4</v>
      </c>
      <c r="D34527" s="5">
        <v>0.1</v>
      </c>
      <c r="E34527" s="5">
        <v>102.6</v>
      </c>
      <c r="F34527" s="5">
        <v>204.5</v>
      </c>
      <c r="G34527" s="5">
        <v>102.1</v>
      </c>
      <c r="H34527" s="5">
        <v>101.9</v>
      </c>
      <c r="I34527" s="5">
        <v>0</v>
      </c>
      <c r="J34527" s="5">
        <v>0</v>
      </c>
      <c r="K34527" s="5">
        <v>0</v>
      </c>
    </row>
    <row r="34528" spans="1:11" x14ac:dyDescent="0.25">
      <c r="A34528" s="5">
        <f>34521</f>
      </c>
      <c r="B34528" s="5" t="s">
        <v>34536</v>
      </c>
      <c r="C34528" s="5">
        <v>102.4</v>
      </c>
      <c r="D34528" s="5">
        <v>0.1</v>
      </c>
      <c r="E34528" s="5">
        <v>102.6</v>
      </c>
      <c r="F34528" s="5">
        <v>204.5</v>
      </c>
      <c r="G34528" s="5">
        <v>102.1</v>
      </c>
      <c r="H34528" s="5">
        <v>101.9</v>
      </c>
      <c r="I34528" s="5">
        <v>0</v>
      </c>
      <c r="J34528" s="5">
        <v>0</v>
      </c>
      <c r="K34528" s="5">
        <v>0</v>
      </c>
    </row>
    <row r="34529" spans="1:11" x14ac:dyDescent="0.25">
      <c r="A34529" s="5">
        <f>34522</f>
      </c>
      <c r="B34529" s="5" t="s">
        <v>34537</v>
      </c>
      <c r="C34529" s="5">
        <v>103.4</v>
      </c>
      <c r="D34529" s="5">
        <v>0.1</v>
      </c>
      <c r="E34529" s="5">
        <v>103.6</v>
      </c>
      <c r="F34529" s="5">
        <v>205.5</v>
      </c>
      <c r="G34529" s="5">
        <v>102.5</v>
      </c>
      <c r="H34529" s="5">
        <v>102.4</v>
      </c>
      <c r="I34529" s="5">
        <v>0</v>
      </c>
      <c r="J34529" s="5">
        <v>0</v>
      </c>
      <c r="K34529" s="5">
        <v>0</v>
      </c>
    </row>
    <row r="34530" spans="1:11" x14ac:dyDescent="0.25">
      <c r="A34530" s="5">
        <f>34523</f>
      </c>
      <c r="B34530" s="5" t="s">
        <v>34538</v>
      </c>
      <c r="C34530" s="5">
        <v>103.4</v>
      </c>
      <c r="D34530" s="5">
        <v>0.1</v>
      </c>
      <c r="E34530" s="5">
        <v>103.6</v>
      </c>
      <c r="F34530" s="5">
        <v>205.5</v>
      </c>
      <c r="G34530" s="5">
        <v>102.5</v>
      </c>
      <c r="H34530" s="5">
        <v>102.4</v>
      </c>
      <c r="I34530" s="5">
        <v>0</v>
      </c>
      <c r="J34530" s="5">
        <v>0</v>
      </c>
      <c r="K34530" s="5">
        <v>0</v>
      </c>
    </row>
    <row r="34531" spans="1:11" x14ac:dyDescent="0.25">
      <c r="A34531" s="5">
        <f>34524</f>
      </c>
      <c r="B34531" s="5" t="s">
        <v>34539</v>
      </c>
      <c r="C34531" s="5">
        <v>102.5</v>
      </c>
      <c r="D34531" s="5">
        <v>0.1</v>
      </c>
      <c r="E34531" s="5">
        <v>102.7</v>
      </c>
      <c r="F34531" s="5">
        <v>203</v>
      </c>
      <c r="G34531" s="5">
        <v>101.3</v>
      </c>
      <c r="H34531" s="5">
        <v>101.1</v>
      </c>
      <c r="I34531" s="5">
        <v>0</v>
      </c>
      <c r="J34531" s="5">
        <v>0</v>
      </c>
      <c r="K34531" s="5">
        <v>0</v>
      </c>
    </row>
    <row r="34532" spans="1:11" x14ac:dyDescent="0.25">
      <c r="A34532" s="5">
        <f>34525</f>
      </c>
      <c r="B34532" s="5" t="s">
        <v>34540</v>
      </c>
      <c r="C34532" s="5">
        <v>102.5</v>
      </c>
      <c r="D34532" s="5">
        <v>0.1</v>
      </c>
      <c r="E34532" s="5">
        <v>102.7</v>
      </c>
      <c r="F34532" s="5">
        <v>203</v>
      </c>
      <c r="G34532" s="5">
        <v>101.3</v>
      </c>
      <c r="H34532" s="5">
        <v>101.1</v>
      </c>
      <c r="I34532" s="5">
        <v>0</v>
      </c>
      <c r="J34532" s="5">
        <v>0</v>
      </c>
      <c r="K34532" s="5">
        <v>0</v>
      </c>
    </row>
    <row r="34533" spans="1:11" x14ac:dyDescent="0.25">
      <c r="A34533" s="5">
        <f>34526</f>
      </c>
      <c r="B34533" s="5" t="s">
        <v>34541</v>
      </c>
      <c r="C34533" s="5">
        <v>103.9</v>
      </c>
      <c r="D34533" s="5">
        <v>0.1</v>
      </c>
      <c r="E34533" s="5">
        <v>104</v>
      </c>
      <c r="F34533" s="5">
        <v>206</v>
      </c>
      <c r="G34533" s="5">
        <v>102.8</v>
      </c>
      <c r="H34533" s="5">
        <v>102.6</v>
      </c>
      <c r="I34533" s="5">
        <v>0</v>
      </c>
      <c r="J34533" s="5">
        <v>0</v>
      </c>
      <c r="K34533" s="5">
        <v>0</v>
      </c>
    </row>
    <row r="34534" spans="1:11" x14ac:dyDescent="0.25">
      <c r="A34534" s="5">
        <f>34527</f>
      </c>
      <c r="B34534" s="5" t="s">
        <v>34542</v>
      </c>
      <c r="C34534" s="5">
        <v>103.9</v>
      </c>
      <c r="D34534" s="5">
        <v>0.1</v>
      </c>
      <c r="E34534" s="5">
        <v>104</v>
      </c>
      <c r="F34534" s="5">
        <v>206</v>
      </c>
      <c r="G34534" s="5">
        <v>102.8</v>
      </c>
      <c r="H34534" s="5">
        <v>102.6</v>
      </c>
      <c r="I34534" s="5">
        <v>0</v>
      </c>
      <c r="J34534" s="5">
        <v>0</v>
      </c>
      <c r="K34534" s="5">
        <v>0</v>
      </c>
    </row>
    <row r="34535" spans="1:11" x14ac:dyDescent="0.25">
      <c r="A34535" s="5">
        <f>34528</f>
      </c>
      <c r="B34535" s="5" t="s">
        <v>34543</v>
      </c>
      <c r="C34535" s="5">
        <v>103.9</v>
      </c>
      <c r="D34535" s="5">
        <v>0.1</v>
      </c>
      <c r="E34535" s="5">
        <v>104</v>
      </c>
      <c r="F34535" s="5">
        <v>206</v>
      </c>
      <c r="G34535" s="5">
        <v>102.8</v>
      </c>
      <c r="H34535" s="5">
        <v>102.6</v>
      </c>
      <c r="I34535" s="5">
        <v>0</v>
      </c>
      <c r="J34535" s="5">
        <v>0</v>
      </c>
      <c r="K34535" s="5">
        <v>0</v>
      </c>
    </row>
    <row r="34536" spans="1:11" x14ac:dyDescent="0.25">
      <c r="A34536" s="5">
        <f>34529</f>
      </c>
      <c r="B34536" s="5" t="s">
        <v>34544</v>
      </c>
      <c r="C34536" s="5">
        <v>103.6</v>
      </c>
      <c r="D34536" s="5">
        <v>0.1</v>
      </c>
      <c r="E34536" s="5">
        <v>103.7</v>
      </c>
      <c r="F34536" s="5">
        <v>206.7</v>
      </c>
      <c r="G34536" s="5">
        <v>103.1</v>
      </c>
      <c r="H34536" s="5">
        <v>103</v>
      </c>
      <c r="I34536" s="5">
        <v>0</v>
      </c>
      <c r="J34536" s="5">
        <v>0</v>
      </c>
      <c r="K34536" s="5">
        <v>0</v>
      </c>
    </row>
    <row r="34537" spans="1:11" x14ac:dyDescent="0.25">
      <c r="A34537" s="5">
        <f>34530</f>
      </c>
      <c r="B34537" s="5" t="s">
        <v>34545</v>
      </c>
      <c r="C34537" s="5">
        <v>103.6</v>
      </c>
      <c r="D34537" s="5">
        <v>0.1</v>
      </c>
      <c r="E34537" s="5">
        <v>103.7</v>
      </c>
      <c r="F34537" s="5">
        <v>206.7</v>
      </c>
      <c r="G34537" s="5">
        <v>103.1</v>
      </c>
      <c r="H34537" s="5">
        <v>103</v>
      </c>
      <c r="I34537" s="5">
        <v>0</v>
      </c>
      <c r="J34537" s="5">
        <v>0</v>
      </c>
      <c r="K34537" s="5">
        <v>0</v>
      </c>
    </row>
    <row r="34538" spans="1:11" x14ac:dyDescent="0.25">
      <c r="A34538" s="5">
        <f>34531</f>
      </c>
      <c r="B34538" s="5" t="s">
        <v>34546</v>
      </c>
      <c r="C34538" s="5">
        <v>103.1</v>
      </c>
      <c r="D34538" s="5">
        <v>0.1</v>
      </c>
      <c r="E34538" s="5">
        <v>103.3</v>
      </c>
      <c r="F34538" s="5">
        <v>205.4</v>
      </c>
      <c r="G34538" s="5">
        <v>102.5</v>
      </c>
      <c r="H34538" s="5">
        <v>102.3</v>
      </c>
      <c r="I34538" s="5">
        <v>0</v>
      </c>
      <c r="J34538" s="5">
        <v>0</v>
      </c>
      <c r="K34538" s="5">
        <v>0</v>
      </c>
    </row>
    <row r="34539" spans="1:11" x14ac:dyDescent="0.25">
      <c r="A34539" s="5">
        <f>34532</f>
      </c>
      <c r="B34539" s="5" t="s">
        <v>34547</v>
      </c>
      <c r="C34539" s="5">
        <v>103.1</v>
      </c>
      <c r="D34539" s="5">
        <v>0.1</v>
      </c>
      <c r="E34539" s="5">
        <v>103.3</v>
      </c>
      <c r="F34539" s="5">
        <v>205.4</v>
      </c>
      <c r="G34539" s="5">
        <v>102.5</v>
      </c>
      <c r="H34539" s="5">
        <v>102.3</v>
      </c>
      <c r="I34539" s="5">
        <v>0</v>
      </c>
      <c r="J34539" s="5">
        <v>0</v>
      </c>
      <c r="K34539" s="5">
        <v>0</v>
      </c>
    </row>
    <row r="34540" spans="1:11" x14ac:dyDescent="0.25">
      <c r="A34540" s="5">
        <f>34533</f>
      </c>
      <c r="B34540" s="5" t="s">
        <v>34548</v>
      </c>
      <c r="C34540" s="5">
        <v>102.9</v>
      </c>
      <c r="D34540" s="5">
        <v>0.1</v>
      </c>
      <c r="E34540" s="5">
        <v>103</v>
      </c>
      <c r="F34540" s="5">
        <v>205.4</v>
      </c>
      <c r="G34540" s="5">
        <v>102.5</v>
      </c>
      <c r="H34540" s="5">
        <v>102.3</v>
      </c>
      <c r="I34540" s="5">
        <v>0</v>
      </c>
      <c r="J34540" s="5">
        <v>0</v>
      </c>
      <c r="K34540" s="5">
        <v>0</v>
      </c>
    </row>
    <row r="34541" spans="1:11" x14ac:dyDescent="0.25">
      <c r="A34541" s="5">
        <f>34534</f>
      </c>
      <c r="B34541" s="5" t="s">
        <v>34549</v>
      </c>
      <c r="C34541" s="5">
        <v>102.9</v>
      </c>
      <c r="D34541" s="5">
        <v>0.1</v>
      </c>
      <c r="E34541" s="5">
        <v>103</v>
      </c>
      <c r="F34541" s="5">
        <v>205.4</v>
      </c>
      <c r="G34541" s="5">
        <v>102.5</v>
      </c>
      <c r="H34541" s="5">
        <v>102.3</v>
      </c>
      <c r="I34541" s="5">
        <v>0</v>
      </c>
      <c r="J34541" s="5">
        <v>0</v>
      </c>
      <c r="K34541" s="5">
        <v>0</v>
      </c>
    </row>
    <row r="34542" spans="1:11" x14ac:dyDescent="0.25">
      <c r="A34542" s="5">
        <f>34535</f>
      </c>
      <c r="B34542" s="5" t="s">
        <v>34550</v>
      </c>
      <c r="C34542" s="5">
        <v>101.8</v>
      </c>
      <c r="D34542" s="5">
        <v>0.1</v>
      </c>
      <c r="E34542" s="5">
        <v>101.9</v>
      </c>
      <c r="F34542" s="5">
        <v>203.5</v>
      </c>
      <c r="G34542" s="5">
        <v>101.5</v>
      </c>
      <c r="H34542" s="5">
        <v>101.4</v>
      </c>
      <c r="I34542" s="5">
        <v>0</v>
      </c>
      <c r="J34542" s="5">
        <v>0</v>
      </c>
      <c r="K34542" s="5">
        <v>0</v>
      </c>
    </row>
    <row r="34543" spans="1:11" x14ac:dyDescent="0.25">
      <c r="A34543" s="5">
        <f>34536</f>
      </c>
      <c r="B34543" s="5" t="s">
        <v>34551</v>
      </c>
      <c r="C34543" s="5">
        <v>101.8</v>
      </c>
      <c r="D34543" s="5">
        <v>0.1</v>
      </c>
      <c r="E34543" s="5">
        <v>101.9</v>
      </c>
      <c r="F34543" s="5">
        <v>203.5</v>
      </c>
      <c r="G34543" s="5">
        <v>101.5</v>
      </c>
      <c r="H34543" s="5">
        <v>101.4</v>
      </c>
      <c r="I34543" s="5">
        <v>0</v>
      </c>
      <c r="J34543" s="5">
        <v>0</v>
      </c>
      <c r="K34543" s="5">
        <v>0</v>
      </c>
    </row>
    <row r="34544" spans="1:11" x14ac:dyDescent="0.25">
      <c r="A34544" s="5">
        <f>34537</f>
      </c>
      <c r="B34544" s="5" t="s">
        <v>34552</v>
      </c>
      <c r="C34544" s="5">
        <v>101.8</v>
      </c>
      <c r="D34544" s="5">
        <v>0.1</v>
      </c>
      <c r="E34544" s="5">
        <v>101.9</v>
      </c>
      <c r="F34544" s="5">
        <v>203.5</v>
      </c>
      <c r="G34544" s="5">
        <v>101.5</v>
      </c>
      <c r="H34544" s="5">
        <v>101.4</v>
      </c>
      <c r="I34544" s="5">
        <v>0</v>
      </c>
      <c r="J34544" s="5">
        <v>0</v>
      </c>
      <c r="K34544" s="5">
        <v>0</v>
      </c>
    </row>
    <row r="34545" spans="1:11" x14ac:dyDescent="0.25">
      <c r="A34545" s="5">
        <f>34538</f>
      </c>
      <c r="B34545" s="5" t="s">
        <v>34553</v>
      </c>
      <c r="C34545" s="5">
        <v>101.8</v>
      </c>
      <c r="D34545" s="5">
        <v>0.1</v>
      </c>
      <c r="E34545" s="5">
        <v>101.9</v>
      </c>
      <c r="F34545" s="5">
        <v>203.5</v>
      </c>
      <c r="G34545" s="5">
        <v>101.5</v>
      </c>
      <c r="H34545" s="5">
        <v>101.4</v>
      </c>
      <c r="I34545" s="5">
        <v>0</v>
      </c>
      <c r="J34545" s="5">
        <v>0</v>
      </c>
      <c r="K34545" s="5">
        <v>0</v>
      </c>
    </row>
    <row r="34546" spans="1:11" x14ac:dyDescent="0.25">
      <c r="A34546" s="5">
        <f>34539</f>
      </c>
      <c r="B34546" s="5" t="s">
        <v>34554</v>
      </c>
      <c r="C34546" s="5">
        <v>102.1</v>
      </c>
      <c r="D34546" s="5">
        <v>0.1</v>
      </c>
      <c r="E34546" s="5">
        <v>102.3</v>
      </c>
      <c r="F34546" s="5">
        <v>203.8</v>
      </c>
      <c r="G34546" s="5">
        <v>101.7</v>
      </c>
      <c r="H34546" s="5">
        <v>101.6</v>
      </c>
      <c r="I34546" s="5">
        <v>0</v>
      </c>
      <c r="J34546" s="5">
        <v>0</v>
      </c>
      <c r="K34546" s="5">
        <v>0</v>
      </c>
    </row>
    <row r="34547" spans="1:11" x14ac:dyDescent="0.25">
      <c r="A34547" s="5">
        <f>34540</f>
      </c>
      <c r="B34547" s="5" t="s">
        <v>34555</v>
      </c>
      <c r="C34547" s="5">
        <v>102.1</v>
      </c>
      <c r="D34547" s="5">
        <v>0.1</v>
      </c>
      <c r="E34547" s="5">
        <v>102.3</v>
      </c>
      <c r="F34547" s="5">
        <v>203.8</v>
      </c>
      <c r="G34547" s="5">
        <v>101.7</v>
      </c>
      <c r="H34547" s="5">
        <v>101.6</v>
      </c>
      <c r="I34547" s="5">
        <v>0</v>
      </c>
      <c r="J34547" s="5">
        <v>0</v>
      </c>
      <c r="K34547" s="5">
        <v>0</v>
      </c>
    </row>
    <row r="34548" spans="1:11" x14ac:dyDescent="0.25">
      <c r="A34548" s="5">
        <f>34541</f>
      </c>
      <c r="B34548" s="5" t="s">
        <v>34556</v>
      </c>
      <c r="C34548" s="5">
        <v>102.4</v>
      </c>
      <c r="D34548" s="5">
        <v>0.1</v>
      </c>
      <c r="E34548" s="5">
        <v>102.5</v>
      </c>
      <c r="F34548" s="5">
        <v>204.9</v>
      </c>
      <c r="G34548" s="5">
        <v>102.2</v>
      </c>
      <c r="H34548" s="5">
        <v>101.6</v>
      </c>
      <c r="I34548" s="5">
        <v>0</v>
      </c>
      <c r="J34548" s="5">
        <v>0</v>
      </c>
      <c r="K34548" s="5">
        <v>0</v>
      </c>
    </row>
    <row r="34549" spans="1:11" x14ac:dyDescent="0.25">
      <c r="A34549" s="5">
        <f>34542</f>
      </c>
      <c r="B34549" s="5" t="s">
        <v>34557</v>
      </c>
      <c r="C34549" s="5">
        <v>102.4</v>
      </c>
      <c r="D34549" s="5">
        <v>0.1</v>
      </c>
      <c r="E34549" s="5">
        <v>102.5</v>
      </c>
      <c r="F34549" s="5">
        <v>204.9</v>
      </c>
      <c r="G34549" s="5">
        <v>102.2</v>
      </c>
      <c r="H34549" s="5">
        <v>102.1</v>
      </c>
      <c r="I34549" s="5">
        <v>0</v>
      </c>
      <c r="J34549" s="5">
        <v>0</v>
      </c>
      <c r="K34549" s="5">
        <v>0</v>
      </c>
    </row>
    <row r="34550" spans="1:11" x14ac:dyDescent="0.25">
      <c r="A34550" s="5">
        <f>34543</f>
      </c>
      <c r="B34550" s="5" t="s">
        <v>34558</v>
      </c>
      <c r="C34550" s="5">
        <v>102.4</v>
      </c>
      <c r="D34550" s="5">
        <v>0.1</v>
      </c>
      <c r="E34550" s="5">
        <v>102.5</v>
      </c>
      <c r="F34550" s="5">
        <v>204.7</v>
      </c>
      <c r="G34550" s="5">
        <v>102.2</v>
      </c>
      <c r="H34550" s="5">
        <v>102.1</v>
      </c>
      <c r="I34550" s="5">
        <v>0</v>
      </c>
      <c r="J34550" s="5">
        <v>0</v>
      </c>
      <c r="K34550" s="5">
        <v>0</v>
      </c>
    </row>
    <row r="34551" spans="1:11" x14ac:dyDescent="0.25">
      <c r="A34551" s="5">
        <f>34544</f>
      </c>
      <c r="B34551" s="5" t="s">
        <v>34559</v>
      </c>
      <c r="C34551" s="5">
        <v>102.4</v>
      </c>
      <c r="D34551" s="5">
        <v>0.1</v>
      </c>
      <c r="E34551" s="5">
        <v>102.5</v>
      </c>
      <c r="F34551" s="5">
        <v>204.7</v>
      </c>
      <c r="G34551" s="5">
        <v>102.1</v>
      </c>
      <c r="H34551" s="5">
        <v>101.9</v>
      </c>
      <c r="I34551" s="5">
        <v>0</v>
      </c>
      <c r="J34551" s="5">
        <v>0</v>
      </c>
      <c r="K34551" s="5">
        <v>0</v>
      </c>
    </row>
    <row r="34552" spans="1:11" x14ac:dyDescent="0.25">
      <c r="A34552" s="5">
        <f>34545</f>
      </c>
      <c r="B34552" s="5" t="s">
        <v>34560</v>
      </c>
      <c r="C34552" s="5">
        <v>102.4</v>
      </c>
      <c r="D34552" s="5">
        <v>0.1</v>
      </c>
      <c r="E34552" s="5">
        <v>102.5</v>
      </c>
      <c r="F34552" s="5">
        <v>204.7</v>
      </c>
      <c r="G34552" s="5">
        <v>102.1</v>
      </c>
      <c r="H34552" s="5">
        <v>101.9</v>
      </c>
      <c r="I34552" s="5">
        <v>0</v>
      </c>
      <c r="J34552" s="5">
        <v>0</v>
      </c>
      <c r="K34552" s="5">
        <v>0</v>
      </c>
    </row>
    <row r="34553" spans="1:11" x14ac:dyDescent="0.25">
      <c r="A34553" s="5">
        <f>34546</f>
      </c>
      <c r="B34553" s="5" t="s">
        <v>34561</v>
      </c>
      <c r="C34553" s="5">
        <v>102.4</v>
      </c>
      <c r="D34553" s="5">
        <v>0.1</v>
      </c>
      <c r="E34553" s="5">
        <v>102.4</v>
      </c>
      <c r="F34553" s="5">
        <v>204.3</v>
      </c>
      <c r="G34553" s="5">
        <v>101.9</v>
      </c>
      <c r="H34553" s="5">
        <v>101.8</v>
      </c>
      <c r="I34553" s="5">
        <v>0</v>
      </c>
      <c r="J34553" s="5">
        <v>0</v>
      </c>
      <c r="K34553" s="5">
        <v>0</v>
      </c>
    </row>
    <row r="34554" spans="1:11" x14ac:dyDescent="0.25">
      <c r="A34554" s="5">
        <f>34547</f>
      </c>
      <c r="B34554" s="5" t="s">
        <v>34562</v>
      </c>
      <c r="C34554" s="5">
        <v>102.4</v>
      </c>
      <c r="D34554" s="5">
        <v>0.1</v>
      </c>
      <c r="E34554" s="5">
        <v>102.4</v>
      </c>
      <c r="F34554" s="5">
        <v>204.3</v>
      </c>
      <c r="G34554" s="5">
        <v>101.9</v>
      </c>
      <c r="H34554" s="5">
        <v>101.8</v>
      </c>
      <c r="I34554" s="5">
        <v>0</v>
      </c>
      <c r="J34554" s="5">
        <v>0</v>
      </c>
      <c r="K34554" s="5">
        <v>0</v>
      </c>
    </row>
    <row r="34555" spans="1:11" x14ac:dyDescent="0.25">
      <c r="A34555" s="5">
        <f>34548</f>
      </c>
      <c r="B34555" s="5" t="s">
        <v>34563</v>
      </c>
      <c r="C34555" s="5">
        <v>102.4</v>
      </c>
      <c r="D34555" s="5">
        <v>0.1</v>
      </c>
      <c r="E34555" s="5">
        <v>102.4</v>
      </c>
      <c r="F34555" s="5">
        <v>204.3</v>
      </c>
      <c r="G34555" s="5">
        <v>101.9</v>
      </c>
      <c r="H34555" s="5">
        <v>101.8</v>
      </c>
      <c r="I34555" s="5">
        <v>0</v>
      </c>
      <c r="J34555" s="5">
        <v>0</v>
      </c>
      <c r="K34555" s="5">
        <v>0</v>
      </c>
    </row>
    <row r="34556" spans="1:11" x14ac:dyDescent="0.25">
      <c r="A34556" s="5">
        <f>34549</f>
      </c>
      <c r="B34556" s="5" t="s">
        <v>34564</v>
      </c>
      <c r="C34556" s="5">
        <v>102.4</v>
      </c>
      <c r="D34556" s="5">
        <v>0.1</v>
      </c>
      <c r="E34556" s="5">
        <v>102.4</v>
      </c>
      <c r="F34556" s="5">
        <v>204.3</v>
      </c>
      <c r="G34556" s="5">
        <v>101.9</v>
      </c>
      <c r="H34556" s="5">
        <v>101.8</v>
      </c>
      <c r="I34556" s="5">
        <v>0</v>
      </c>
      <c r="J34556" s="5">
        <v>0</v>
      </c>
      <c r="K34556" s="5">
        <v>0</v>
      </c>
    </row>
    <row r="34557" spans="1:11" x14ac:dyDescent="0.25">
      <c r="A34557" s="5">
        <f>34550</f>
      </c>
      <c r="B34557" s="5" t="s">
        <v>34565</v>
      </c>
      <c r="C34557" s="5">
        <v>101.9</v>
      </c>
      <c r="D34557" s="5">
        <v>0.1</v>
      </c>
      <c r="E34557" s="5">
        <v>102.1</v>
      </c>
      <c r="F34557" s="5">
        <v>203.6</v>
      </c>
      <c r="G34557" s="5">
        <v>101.6</v>
      </c>
      <c r="H34557" s="5">
        <v>101.5</v>
      </c>
      <c r="I34557" s="5">
        <v>0</v>
      </c>
      <c r="J34557" s="5">
        <v>0</v>
      </c>
      <c r="K34557" s="5">
        <v>0</v>
      </c>
    </row>
    <row r="34558" spans="1:11" x14ac:dyDescent="0.25">
      <c r="A34558" s="5">
        <f>34551</f>
      </c>
      <c r="B34558" s="5" t="s">
        <v>34566</v>
      </c>
      <c r="C34558" s="5">
        <v>101.9</v>
      </c>
      <c r="D34558" s="5">
        <v>0.1</v>
      </c>
      <c r="E34558" s="5">
        <v>102.1</v>
      </c>
      <c r="F34558" s="5">
        <v>203.6</v>
      </c>
      <c r="G34558" s="5">
        <v>101.6</v>
      </c>
      <c r="H34558" s="5">
        <v>101.5</v>
      </c>
      <c r="I34558" s="5">
        <v>0</v>
      </c>
      <c r="J34558" s="5">
        <v>0</v>
      </c>
      <c r="K34558" s="5">
        <v>0</v>
      </c>
    </row>
    <row r="34559" spans="1:11" x14ac:dyDescent="0.25">
      <c r="A34559" s="5">
        <f>34552</f>
      </c>
      <c r="B34559" s="5" t="s">
        <v>34567</v>
      </c>
      <c r="C34559" s="5">
        <v>101.7</v>
      </c>
      <c r="D34559" s="5">
        <v>0.1</v>
      </c>
      <c r="E34559" s="5">
        <v>101.8</v>
      </c>
      <c r="F34559" s="5">
        <v>203.3</v>
      </c>
      <c r="G34559" s="5">
        <v>101.4</v>
      </c>
      <c r="H34559" s="5">
        <v>101.3</v>
      </c>
      <c r="I34559" s="5">
        <v>0</v>
      </c>
      <c r="J34559" s="5">
        <v>0</v>
      </c>
      <c r="K34559" s="5">
        <v>0</v>
      </c>
    </row>
    <row r="34560" spans="1:11" x14ac:dyDescent="0.25">
      <c r="A34560" s="5">
        <f>34553</f>
      </c>
      <c r="B34560" s="5" t="s">
        <v>34568</v>
      </c>
      <c r="C34560" s="5">
        <v>101.7</v>
      </c>
      <c r="D34560" s="5">
        <v>0.1</v>
      </c>
      <c r="E34560" s="5">
        <v>101.8</v>
      </c>
      <c r="F34560" s="5">
        <v>203.3</v>
      </c>
      <c r="G34560" s="5">
        <v>101.4</v>
      </c>
      <c r="H34560" s="5">
        <v>101.3</v>
      </c>
      <c r="I34560" s="5">
        <v>0</v>
      </c>
      <c r="J34560" s="5">
        <v>0</v>
      </c>
      <c r="K34560" s="5">
        <v>0</v>
      </c>
    </row>
    <row r="34561" spans="1:11" x14ac:dyDescent="0.25">
      <c r="A34561" s="5">
        <f>34554</f>
      </c>
      <c r="B34561" s="5" t="s">
        <v>34569</v>
      </c>
      <c r="C34561" s="5">
        <v>101.6</v>
      </c>
      <c r="D34561" s="5">
        <v>0.1</v>
      </c>
      <c r="E34561" s="5">
        <v>101.8</v>
      </c>
      <c r="F34561" s="5">
        <v>203.2</v>
      </c>
      <c r="G34561" s="5">
        <v>101.4</v>
      </c>
      <c r="H34561" s="5">
        <v>101.3</v>
      </c>
      <c r="I34561" s="5">
        <v>0</v>
      </c>
      <c r="J34561" s="5">
        <v>0</v>
      </c>
      <c r="K34561" s="5">
        <v>0</v>
      </c>
    </row>
    <row r="34562" spans="1:11" x14ac:dyDescent="0.25">
      <c r="A34562" s="5">
        <f>34555</f>
      </c>
      <c r="B34562" s="5" t="s">
        <v>34570</v>
      </c>
      <c r="C34562" s="5">
        <v>101.6</v>
      </c>
      <c r="D34562" s="5">
        <v>0.1</v>
      </c>
      <c r="E34562" s="5">
        <v>101.8</v>
      </c>
      <c r="F34562" s="5">
        <v>203.2</v>
      </c>
      <c r="G34562" s="5">
        <v>101.4</v>
      </c>
      <c r="H34562" s="5">
        <v>101.3</v>
      </c>
      <c r="I34562" s="5">
        <v>0</v>
      </c>
      <c r="J34562" s="5">
        <v>0</v>
      </c>
      <c r="K34562" s="5">
        <v>0</v>
      </c>
    </row>
    <row r="34563" spans="1:11" x14ac:dyDescent="0.25">
      <c r="A34563" s="5">
        <f>34556</f>
      </c>
      <c r="B34563" s="5" t="s">
        <v>34571</v>
      </c>
      <c r="C34563" s="5">
        <v>101.7</v>
      </c>
      <c r="D34563" s="5">
        <v>0.1</v>
      </c>
      <c r="E34563" s="5">
        <v>101.8</v>
      </c>
      <c r="F34563" s="5">
        <v>203.8</v>
      </c>
      <c r="G34563" s="5">
        <v>101.6</v>
      </c>
      <c r="H34563" s="5">
        <v>101.5</v>
      </c>
      <c r="I34563" s="5">
        <v>0</v>
      </c>
      <c r="J34563" s="5">
        <v>0</v>
      </c>
      <c r="K34563" s="5">
        <v>0</v>
      </c>
    </row>
    <row r="34564" spans="1:11" x14ac:dyDescent="0.25">
      <c r="A34564" s="5">
        <f>34557</f>
      </c>
      <c r="B34564" s="5" t="s">
        <v>34572</v>
      </c>
      <c r="C34564" s="5">
        <v>101.7</v>
      </c>
      <c r="D34564" s="5">
        <v>0.1</v>
      </c>
      <c r="E34564" s="5">
        <v>101.8</v>
      </c>
      <c r="F34564" s="5">
        <v>203.8</v>
      </c>
      <c r="G34564" s="5">
        <v>101.6</v>
      </c>
      <c r="H34564" s="5">
        <v>101.5</v>
      </c>
      <c r="I34564" s="5">
        <v>0</v>
      </c>
      <c r="J34564" s="5">
        <v>0</v>
      </c>
      <c r="K34564" s="5">
        <v>0</v>
      </c>
    </row>
    <row r="34565" spans="1:11" x14ac:dyDescent="0.25">
      <c r="A34565" s="5">
        <f>34558</f>
      </c>
      <c r="B34565" s="5" t="s">
        <v>34573</v>
      </c>
      <c r="C34565" s="5">
        <v>101.7</v>
      </c>
      <c r="D34565" s="5">
        <v>0.1</v>
      </c>
      <c r="E34565" s="5">
        <v>101.8</v>
      </c>
      <c r="F34565" s="5">
        <v>203.8</v>
      </c>
      <c r="G34565" s="5">
        <v>101.6</v>
      </c>
      <c r="H34565" s="5">
        <v>101.5</v>
      </c>
      <c r="I34565" s="5">
        <v>0</v>
      </c>
      <c r="J34565" s="5">
        <v>0</v>
      </c>
      <c r="K34565" s="5">
        <v>0</v>
      </c>
    </row>
    <row r="34566" spans="1:11" x14ac:dyDescent="0.25">
      <c r="A34566" s="5">
        <f>34559</f>
      </c>
      <c r="B34566" s="5" t="s">
        <v>34574</v>
      </c>
      <c r="C34566" s="5">
        <v>102.4</v>
      </c>
      <c r="D34566" s="5">
        <v>0.1</v>
      </c>
      <c r="E34566" s="5">
        <v>102.5</v>
      </c>
      <c r="F34566" s="5">
        <v>204.5</v>
      </c>
      <c r="G34566" s="5">
        <v>102</v>
      </c>
      <c r="H34566" s="5">
        <v>101.9</v>
      </c>
      <c r="I34566" s="5">
        <v>0</v>
      </c>
      <c r="J34566" s="5">
        <v>0</v>
      </c>
      <c r="K34566" s="5">
        <v>0</v>
      </c>
    </row>
    <row r="34567" spans="1:11" x14ac:dyDescent="0.25">
      <c r="A34567" s="5">
        <f>34560</f>
      </c>
      <c r="B34567" s="5" t="s">
        <v>34575</v>
      </c>
      <c r="C34567" s="5">
        <v>102.4</v>
      </c>
      <c r="D34567" s="5">
        <v>0.1</v>
      </c>
      <c r="E34567" s="5">
        <v>102.5</v>
      </c>
      <c r="F34567" s="5">
        <v>204.5</v>
      </c>
      <c r="G34567" s="5">
        <v>102</v>
      </c>
      <c r="H34567" s="5">
        <v>101.9</v>
      </c>
      <c r="I34567" s="5">
        <v>0</v>
      </c>
      <c r="J34567" s="5">
        <v>0</v>
      </c>
      <c r="K34567" s="5">
        <v>0</v>
      </c>
    </row>
    <row r="34568" spans="1:11" x14ac:dyDescent="0.25">
      <c r="A34568" s="5">
        <f>34561</f>
      </c>
      <c r="B34568" s="5" t="s">
        <v>34576</v>
      </c>
      <c r="C34568" s="5">
        <v>102.4</v>
      </c>
      <c r="D34568" s="5">
        <v>0.1</v>
      </c>
      <c r="E34568" s="5">
        <v>102.6</v>
      </c>
      <c r="F34568" s="5">
        <v>204.4</v>
      </c>
      <c r="G34568" s="5">
        <v>101.9</v>
      </c>
      <c r="H34568" s="5">
        <v>101.8</v>
      </c>
      <c r="I34568" s="5">
        <v>0</v>
      </c>
      <c r="J34568" s="5">
        <v>0</v>
      </c>
      <c r="K34568" s="5">
        <v>0</v>
      </c>
    </row>
    <row r="34569" spans="1:11" x14ac:dyDescent="0.25">
      <c r="A34569" s="5">
        <f>34562</f>
      </c>
      <c r="B34569" s="5" t="s">
        <v>34577</v>
      </c>
      <c r="C34569" s="5">
        <v>102.4</v>
      </c>
      <c r="D34569" s="5">
        <v>0.1</v>
      </c>
      <c r="E34569" s="5">
        <v>102.6</v>
      </c>
      <c r="F34569" s="5">
        <v>204.4</v>
      </c>
      <c r="G34569" s="5">
        <v>101.9</v>
      </c>
      <c r="H34569" s="5">
        <v>101.8</v>
      </c>
      <c r="I34569" s="5">
        <v>0</v>
      </c>
      <c r="J34569" s="5">
        <v>0</v>
      </c>
      <c r="K34569" s="5">
        <v>0</v>
      </c>
    </row>
    <row r="34570" spans="1:11" x14ac:dyDescent="0.25">
      <c r="A34570" s="5">
        <f>34563</f>
      </c>
      <c r="B34570" s="5" t="s">
        <v>34578</v>
      </c>
      <c r="C34570" s="5">
        <v>102.5</v>
      </c>
      <c r="D34570" s="5">
        <v>0.1</v>
      </c>
      <c r="E34570" s="5">
        <v>102.7</v>
      </c>
      <c r="F34570" s="5">
        <v>204.3</v>
      </c>
      <c r="G34570" s="5">
        <v>102</v>
      </c>
      <c r="H34570" s="5">
        <v>101.8</v>
      </c>
      <c r="I34570" s="5">
        <v>0</v>
      </c>
      <c r="J34570" s="5">
        <v>0</v>
      </c>
      <c r="K34570" s="5">
        <v>0</v>
      </c>
    </row>
    <row r="34571" spans="1:11" x14ac:dyDescent="0.25">
      <c r="A34571" s="5">
        <f>34564</f>
      </c>
      <c r="B34571" s="5" t="s">
        <v>34579</v>
      </c>
      <c r="C34571" s="5">
        <v>102.5</v>
      </c>
      <c r="D34571" s="5">
        <v>0.1</v>
      </c>
      <c r="E34571" s="5">
        <v>102.7</v>
      </c>
      <c r="F34571" s="5">
        <v>204.3</v>
      </c>
      <c r="G34571" s="5">
        <v>102</v>
      </c>
      <c r="H34571" s="5">
        <v>101.8</v>
      </c>
      <c r="I34571" s="5">
        <v>0</v>
      </c>
      <c r="J34571" s="5">
        <v>0</v>
      </c>
      <c r="K34571" s="5">
        <v>0</v>
      </c>
    </row>
    <row r="34572" spans="1:11" x14ac:dyDescent="0.25">
      <c r="A34572" s="5">
        <f>34565</f>
      </c>
      <c r="B34572" s="5" t="s">
        <v>34580</v>
      </c>
      <c r="C34572" s="5">
        <v>102.1</v>
      </c>
      <c r="D34572" s="5">
        <v>0.1</v>
      </c>
      <c r="E34572" s="5">
        <v>102.2</v>
      </c>
      <c r="F34572" s="5">
        <v>204</v>
      </c>
      <c r="G34572" s="5">
        <v>101.7</v>
      </c>
      <c r="H34572" s="5">
        <v>101.6</v>
      </c>
      <c r="I34572" s="5">
        <v>0</v>
      </c>
      <c r="J34572" s="5">
        <v>0</v>
      </c>
      <c r="K34572" s="5">
        <v>0</v>
      </c>
    </row>
    <row r="34573" spans="1:11" x14ac:dyDescent="0.25">
      <c r="A34573" s="5">
        <f>34566</f>
      </c>
      <c r="B34573" s="5" t="s">
        <v>34581</v>
      </c>
      <c r="C34573" s="5">
        <v>102.1</v>
      </c>
      <c r="D34573" s="5">
        <v>0.1</v>
      </c>
      <c r="E34573" s="5">
        <v>102.2</v>
      </c>
      <c r="F34573" s="5">
        <v>204</v>
      </c>
      <c r="G34573" s="5">
        <v>101.7</v>
      </c>
      <c r="H34573" s="5">
        <v>101.6</v>
      </c>
      <c r="I34573" s="5">
        <v>0</v>
      </c>
      <c r="J34573" s="5">
        <v>0</v>
      </c>
      <c r="K34573" s="5">
        <v>0</v>
      </c>
    </row>
    <row r="34574" spans="1:11" x14ac:dyDescent="0.25">
      <c r="A34574" s="5">
        <f>34567</f>
      </c>
      <c r="B34574" s="5" t="s">
        <v>34582</v>
      </c>
      <c r="C34574" s="5">
        <v>102.1</v>
      </c>
      <c r="D34574" s="5">
        <v>0.1</v>
      </c>
      <c r="E34574" s="5">
        <v>102.2</v>
      </c>
      <c r="F34574" s="5">
        <v>204</v>
      </c>
      <c r="G34574" s="5">
        <v>101.7</v>
      </c>
      <c r="H34574" s="5">
        <v>101.6</v>
      </c>
      <c r="I34574" s="5">
        <v>0</v>
      </c>
      <c r="J34574" s="5">
        <v>0</v>
      </c>
      <c r="K34574" s="5">
        <v>0</v>
      </c>
    </row>
    <row r="34575" spans="1:11" x14ac:dyDescent="0.25">
      <c r="A34575" s="5">
        <f>34568</f>
      </c>
      <c r="B34575" s="5" t="s">
        <v>34583</v>
      </c>
      <c r="C34575" s="5">
        <v>102.1</v>
      </c>
      <c r="D34575" s="5">
        <v>0.1</v>
      </c>
      <c r="E34575" s="5">
        <v>102.2</v>
      </c>
      <c r="F34575" s="5">
        <v>204</v>
      </c>
      <c r="G34575" s="5">
        <v>101.7</v>
      </c>
      <c r="H34575" s="5">
        <v>101.6</v>
      </c>
      <c r="I34575" s="5">
        <v>0</v>
      </c>
      <c r="J34575" s="5">
        <v>0</v>
      </c>
      <c r="K34575" s="5">
        <v>0</v>
      </c>
    </row>
    <row r="34576" spans="1:11" x14ac:dyDescent="0.25">
      <c r="A34576" s="5">
        <f>34569</f>
      </c>
      <c r="B34576" s="5" t="s">
        <v>34584</v>
      </c>
      <c r="C34576" s="5">
        <v>103.5</v>
      </c>
      <c r="D34576" s="5">
        <v>0.1</v>
      </c>
      <c r="E34576" s="5">
        <v>103.7</v>
      </c>
      <c r="F34576" s="5">
        <v>206.2</v>
      </c>
      <c r="G34576" s="5">
        <v>102.8</v>
      </c>
      <c r="H34576" s="5">
        <v>102.7</v>
      </c>
      <c r="I34576" s="5">
        <v>0</v>
      </c>
      <c r="J34576" s="5">
        <v>0</v>
      </c>
      <c r="K34576" s="5">
        <v>0</v>
      </c>
    </row>
    <row r="34577" spans="1:11" x14ac:dyDescent="0.25">
      <c r="A34577" s="5">
        <f>34570</f>
      </c>
      <c r="B34577" s="5" t="s">
        <v>34585</v>
      </c>
      <c r="C34577" s="5">
        <v>103.5</v>
      </c>
      <c r="D34577" s="5">
        <v>0.1</v>
      </c>
      <c r="E34577" s="5">
        <v>103.7</v>
      </c>
      <c r="F34577" s="5">
        <v>206.2</v>
      </c>
      <c r="G34577" s="5">
        <v>102.8</v>
      </c>
      <c r="H34577" s="5">
        <v>102.7</v>
      </c>
      <c r="I34577" s="5">
        <v>0</v>
      </c>
      <c r="J34577" s="5">
        <v>0</v>
      </c>
      <c r="K34577" s="5">
        <v>0</v>
      </c>
    </row>
    <row r="34578" spans="1:11" x14ac:dyDescent="0.25">
      <c r="A34578" s="5">
        <f>34571</f>
      </c>
      <c r="B34578" s="5" t="s">
        <v>34586</v>
      </c>
      <c r="C34578" s="5">
        <v>103.4</v>
      </c>
      <c r="D34578" s="5">
        <v>0.1</v>
      </c>
      <c r="E34578" s="5">
        <v>103.6</v>
      </c>
      <c r="F34578" s="5">
        <v>206.4</v>
      </c>
      <c r="G34578" s="5">
        <v>103</v>
      </c>
      <c r="H34578" s="5">
        <v>102.9</v>
      </c>
      <c r="I34578" s="5">
        <v>0</v>
      </c>
      <c r="J34578" s="5">
        <v>0</v>
      </c>
      <c r="K34578" s="5">
        <v>0</v>
      </c>
    </row>
    <row r="34579" spans="1:11" x14ac:dyDescent="0.25">
      <c r="A34579" s="5">
        <f>34572</f>
      </c>
      <c r="B34579" s="5" t="s">
        <v>34587</v>
      </c>
      <c r="C34579" s="5">
        <v>103.4</v>
      </c>
      <c r="D34579" s="5">
        <v>0.1</v>
      </c>
      <c r="E34579" s="5">
        <v>103.6</v>
      </c>
      <c r="F34579" s="5">
        <v>206.4</v>
      </c>
      <c r="G34579" s="5">
        <v>103</v>
      </c>
      <c r="H34579" s="5">
        <v>102.9</v>
      </c>
      <c r="I34579" s="5">
        <v>0</v>
      </c>
      <c r="J34579" s="5">
        <v>0</v>
      </c>
      <c r="K34579" s="5">
        <v>0</v>
      </c>
    </row>
    <row r="34580" spans="1:11" x14ac:dyDescent="0.25">
      <c r="A34580" s="5">
        <f>34573</f>
      </c>
      <c r="B34580" s="5" t="s">
        <v>34588</v>
      </c>
      <c r="C34580" s="5">
        <v>103.7</v>
      </c>
      <c r="D34580" s="5">
        <v>0.1</v>
      </c>
      <c r="E34580" s="5">
        <v>103.9</v>
      </c>
      <c r="F34580" s="5">
        <v>206.8</v>
      </c>
      <c r="G34580" s="5">
        <v>103.2</v>
      </c>
      <c r="H34580" s="5">
        <v>103.1</v>
      </c>
      <c r="I34580" s="5">
        <v>0</v>
      </c>
      <c r="J34580" s="5">
        <v>0</v>
      </c>
      <c r="K34580" s="5">
        <v>0</v>
      </c>
    </row>
    <row r="34581" spans="1:11" x14ac:dyDescent="0.25">
      <c r="A34581" s="5">
        <f>34574</f>
      </c>
      <c r="B34581" s="5" t="s">
        <v>34589</v>
      </c>
      <c r="C34581" s="5">
        <v>103.7</v>
      </c>
      <c r="D34581" s="5">
        <v>0.1</v>
      </c>
      <c r="E34581" s="5">
        <v>103.9</v>
      </c>
      <c r="F34581" s="5">
        <v>206.8</v>
      </c>
      <c r="G34581" s="5">
        <v>103.2</v>
      </c>
      <c r="H34581" s="5">
        <v>103.1</v>
      </c>
      <c r="I34581" s="5">
        <v>0</v>
      </c>
      <c r="J34581" s="5">
        <v>0</v>
      </c>
      <c r="K34581" s="5">
        <v>0</v>
      </c>
    </row>
    <row r="34582" spans="1:11" x14ac:dyDescent="0.25">
      <c r="A34582" s="5">
        <f>34575</f>
      </c>
      <c r="B34582" s="5" t="s">
        <v>34590</v>
      </c>
      <c r="C34582" s="5">
        <v>102.5</v>
      </c>
      <c r="D34582" s="5">
        <v>0.1</v>
      </c>
      <c r="E34582" s="5">
        <v>102.6</v>
      </c>
      <c r="F34582" s="5">
        <v>205.5</v>
      </c>
      <c r="G34582" s="5">
        <v>102.6</v>
      </c>
      <c r="H34582" s="5">
        <v>102.4</v>
      </c>
      <c r="I34582" s="5">
        <v>0</v>
      </c>
      <c r="J34582" s="5">
        <v>0</v>
      </c>
      <c r="K34582" s="5">
        <v>0</v>
      </c>
    </row>
    <row r="34583" spans="1:11" x14ac:dyDescent="0.25">
      <c r="A34583" s="5">
        <f>34576</f>
      </c>
      <c r="B34583" s="5" t="s">
        <v>34591</v>
      </c>
      <c r="C34583" s="5">
        <v>102.5</v>
      </c>
      <c r="D34583" s="5">
        <v>0.1</v>
      </c>
      <c r="E34583" s="5">
        <v>102.6</v>
      </c>
      <c r="F34583" s="5">
        <v>205.5</v>
      </c>
      <c r="G34583" s="5">
        <v>102.6</v>
      </c>
      <c r="H34583" s="5">
        <v>102.4</v>
      </c>
      <c r="I34583" s="5">
        <v>0</v>
      </c>
      <c r="J34583" s="5">
        <v>0</v>
      </c>
      <c r="K34583" s="5">
        <v>0</v>
      </c>
    </row>
    <row r="34584" spans="1:11" x14ac:dyDescent="0.25">
      <c r="A34584" s="5">
        <f>34577</f>
      </c>
      <c r="B34584" s="5" t="s">
        <v>34592</v>
      </c>
      <c r="C34584" s="5">
        <v>102.5</v>
      </c>
      <c r="D34584" s="5">
        <v>0.1</v>
      </c>
      <c r="E34584" s="5">
        <v>102.6</v>
      </c>
      <c r="F34584" s="5">
        <v>205.5</v>
      </c>
      <c r="G34584" s="5">
        <v>102.6</v>
      </c>
      <c r="H34584" s="5">
        <v>102.4</v>
      </c>
      <c r="I34584" s="5">
        <v>0</v>
      </c>
      <c r="J34584" s="5">
        <v>0</v>
      </c>
      <c r="K34584" s="5">
        <v>0</v>
      </c>
    </row>
    <row r="34585" spans="1:11" x14ac:dyDescent="0.25">
      <c r="A34585" s="5">
        <f>34578</f>
      </c>
      <c r="B34585" s="5" t="s">
        <v>34593</v>
      </c>
      <c r="C34585" s="5">
        <v>103</v>
      </c>
      <c r="D34585" s="5">
        <v>0.1</v>
      </c>
      <c r="E34585" s="5">
        <v>103.1</v>
      </c>
      <c r="F34585" s="5">
        <v>205.4</v>
      </c>
      <c r="G34585" s="5">
        <v>102.5</v>
      </c>
      <c r="H34585" s="5">
        <v>102.3</v>
      </c>
      <c r="I34585" s="5">
        <v>0</v>
      </c>
      <c r="J34585" s="5">
        <v>0</v>
      </c>
      <c r="K34585" s="5">
        <v>0</v>
      </c>
    </row>
    <row r="34586" spans="1:11" x14ac:dyDescent="0.25">
      <c r="A34586" s="5">
        <f>34579</f>
      </c>
      <c r="B34586" s="5" t="s">
        <v>34594</v>
      </c>
      <c r="C34586" s="5">
        <v>103</v>
      </c>
      <c r="D34586" s="5">
        <v>0.1</v>
      </c>
      <c r="E34586" s="5">
        <v>103.1</v>
      </c>
      <c r="F34586" s="5">
        <v>205.4</v>
      </c>
      <c r="G34586" s="5">
        <v>102.5</v>
      </c>
      <c r="H34586" s="5">
        <v>102.3</v>
      </c>
      <c r="I34586" s="5">
        <v>0</v>
      </c>
      <c r="J34586" s="5">
        <v>0</v>
      </c>
      <c r="K34586" s="5">
        <v>0</v>
      </c>
    </row>
    <row r="34587" spans="1:11" x14ac:dyDescent="0.25">
      <c r="A34587" s="5">
        <f>34580</f>
      </c>
      <c r="B34587" s="5" t="s">
        <v>34595</v>
      </c>
      <c r="C34587" s="5">
        <v>103.1</v>
      </c>
      <c r="D34587" s="5">
        <v>0.1</v>
      </c>
      <c r="E34587" s="5">
        <v>103.3</v>
      </c>
      <c r="F34587" s="5">
        <v>206.5</v>
      </c>
      <c r="G34587" s="5">
        <v>103.2</v>
      </c>
      <c r="H34587" s="5">
        <v>103</v>
      </c>
      <c r="I34587" s="5">
        <v>0</v>
      </c>
      <c r="J34587" s="5">
        <v>0</v>
      </c>
      <c r="K34587" s="5">
        <v>0</v>
      </c>
    </row>
    <row r="34588" spans="1:11" x14ac:dyDescent="0.25">
      <c r="A34588" s="5">
        <f>34581</f>
      </c>
      <c r="B34588" s="5" t="s">
        <v>34596</v>
      </c>
      <c r="C34588" s="5">
        <v>103.1</v>
      </c>
      <c r="D34588" s="5">
        <v>0.1</v>
      </c>
      <c r="E34588" s="5">
        <v>103.3</v>
      </c>
      <c r="F34588" s="5">
        <v>206.5</v>
      </c>
      <c r="G34588" s="5">
        <v>103.2</v>
      </c>
      <c r="H34588" s="5">
        <v>103</v>
      </c>
      <c r="I34588" s="5">
        <v>0</v>
      </c>
      <c r="J34588" s="5">
        <v>0</v>
      </c>
      <c r="K34588" s="5">
        <v>0</v>
      </c>
    </row>
    <row r="34589" spans="1:11" x14ac:dyDescent="0.25">
      <c r="A34589" s="5">
        <f>34582</f>
      </c>
      <c r="B34589" s="5" t="s">
        <v>34597</v>
      </c>
      <c r="C34589" s="5">
        <v>102.8</v>
      </c>
      <c r="D34589" s="5">
        <v>0.1</v>
      </c>
      <c r="E34589" s="5">
        <v>103</v>
      </c>
      <c r="F34589" s="5">
        <v>206</v>
      </c>
      <c r="G34589" s="5">
        <v>102.7</v>
      </c>
      <c r="H34589" s="5">
        <v>102.5</v>
      </c>
      <c r="I34589" s="5">
        <v>0</v>
      </c>
      <c r="J34589" s="5">
        <v>0</v>
      </c>
      <c r="K34589" s="5">
        <v>0</v>
      </c>
    </row>
    <row r="34590" spans="1:11" x14ac:dyDescent="0.25">
      <c r="A34590" s="5">
        <f>34583</f>
      </c>
      <c r="B34590" s="5" t="s">
        <v>34598</v>
      </c>
      <c r="C34590" s="5">
        <v>102.8</v>
      </c>
      <c r="D34590" s="5">
        <v>0.1</v>
      </c>
      <c r="E34590" s="5">
        <v>103</v>
      </c>
      <c r="F34590" s="5">
        <v>206</v>
      </c>
      <c r="G34590" s="5">
        <v>102.7</v>
      </c>
      <c r="H34590" s="5">
        <v>102.5</v>
      </c>
      <c r="I34590" s="5">
        <v>0</v>
      </c>
      <c r="J34590" s="5">
        <v>0</v>
      </c>
      <c r="K34590" s="5">
        <v>0</v>
      </c>
    </row>
    <row r="34591" spans="1:11" x14ac:dyDescent="0.25">
      <c r="A34591" s="5">
        <f>34584</f>
      </c>
      <c r="B34591" s="5" t="s">
        <v>34599</v>
      </c>
      <c r="C34591" s="5">
        <v>103.1</v>
      </c>
      <c r="D34591" s="5">
        <v>0.1</v>
      </c>
      <c r="E34591" s="5">
        <v>103.2</v>
      </c>
      <c r="F34591" s="5">
        <v>205.8</v>
      </c>
      <c r="G34591" s="5">
        <v>102.7</v>
      </c>
      <c r="H34591" s="5">
        <v>102.6</v>
      </c>
      <c r="I34591" s="5">
        <v>0</v>
      </c>
      <c r="J34591" s="5">
        <v>0</v>
      </c>
      <c r="K34591" s="5">
        <v>0</v>
      </c>
    </row>
    <row r="34592" spans="1:11" x14ac:dyDescent="0.25">
      <c r="A34592" s="5">
        <f>34585</f>
      </c>
      <c r="B34592" s="5" t="s">
        <v>34600</v>
      </c>
      <c r="C34592" s="5">
        <v>103.1</v>
      </c>
      <c r="D34592" s="5">
        <v>0.1</v>
      </c>
      <c r="E34592" s="5">
        <v>103.2</v>
      </c>
      <c r="F34592" s="5">
        <v>205.8</v>
      </c>
      <c r="G34592" s="5">
        <v>102.7</v>
      </c>
      <c r="H34592" s="5">
        <v>102.6</v>
      </c>
      <c r="I34592" s="5">
        <v>0</v>
      </c>
      <c r="J34592" s="5">
        <v>0</v>
      </c>
      <c r="K34592" s="5">
        <v>0</v>
      </c>
    </row>
    <row r="34593" spans="1:11" x14ac:dyDescent="0.25">
      <c r="A34593" s="5">
        <f>34586</f>
      </c>
      <c r="B34593" s="5" t="s">
        <v>34601</v>
      </c>
      <c r="C34593" s="5">
        <v>103.1</v>
      </c>
      <c r="D34593" s="5">
        <v>0.1</v>
      </c>
      <c r="E34593" s="5">
        <v>103.2</v>
      </c>
      <c r="F34593" s="5">
        <v>205.8</v>
      </c>
      <c r="G34593" s="5">
        <v>102.7</v>
      </c>
      <c r="H34593" s="5">
        <v>102.6</v>
      </c>
      <c r="I34593" s="5">
        <v>0</v>
      </c>
      <c r="J34593" s="5">
        <v>0</v>
      </c>
      <c r="K34593" s="5">
        <v>0</v>
      </c>
    </row>
    <row r="34594" spans="1:11" x14ac:dyDescent="0.25">
      <c r="A34594" s="5">
        <f>34587</f>
      </c>
      <c r="B34594" s="5" t="s">
        <v>34602</v>
      </c>
      <c r="C34594" s="5">
        <v>103.1</v>
      </c>
      <c r="D34594" s="5">
        <v>0.1</v>
      </c>
      <c r="E34594" s="5">
        <v>103.2</v>
      </c>
      <c r="F34594" s="5">
        <v>205.8</v>
      </c>
      <c r="G34594" s="5">
        <v>102.7</v>
      </c>
      <c r="H34594" s="5">
        <v>102.6</v>
      </c>
      <c r="I34594" s="5">
        <v>0</v>
      </c>
      <c r="J34594" s="5">
        <v>0</v>
      </c>
      <c r="K34594" s="5">
        <v>0</v>
      </c>
    </row>
    <row r="34595" spans="1:11" x14ac:dyDescent="0.25">
      <c r="A34595" s="5">
        <f>34588</f>
      </c>
      <c r="B34595" s="5" t="s">
        <v>34603</v>
      </c>
      <c r="C34595" s="5">
        <v>103.3</v>
      </c>
      <c r="D34595" s="5">
        <v>0.1</v>
      </c>
      <c r="E34595" s="5">
        <v>103.4</v>
      </c>
      <c r="F34595" s="5">
        <v>206.2</v>
      </c>
      <c r="G34595" s="5">
        <v>102.9</v>
      </c>
      <c r="H34595" s="5">
        <v>102.7</v>
      </c>
      <c r="I34595" s="5">
        <v>0</v>
      </c>
      <c r="J34595" s="5">
        <v>0</v>
      </c>
      <c r="K34595" s="5">
        <v>0</v>
      </c>
    </row>
    <row r="34596" spans="1:11" x14ac:dyDescent="0.25">
      <c r="A34596" s="5">
        <f>34589</f>
      </c>
      <c r="B34596" s="5" t="s">
        <v>34604</v>
      </c>
      <c r="C34596" s="5">
        <v>103.3</v>
      </c>
      <c r="D34596" s="5">
        <v>0.1</v>
      </c>
      <c r="E34596" s="5">
        <v>103.4</v>
      </c>
      <c r="F34596" s="5">
        <v>206.2</v>
      </c>
      <c r="G34596" s="5">
        <v>102.9</v>
      </c>
      <c r="H34596" s="5">
        <v>102.7</v>
      </c>
      <c r="I34596" s="5">
        <v>0</v>
      </c>
      <c r="J34596" s="5">
        <v>0</v>
      </c>
      <c r="K34596" s="5">
        <v>0</v>
      </c>
    </row>
    <row r="34597" spans="1:11" x14ac:dyDescent="0.25">
      <c r="A34597" s="5">
        <f>34590</f>
      </c>
      <c r="B34597" s="5" t="s">
        <v>34605</v>
      </c>
      <c r="C34597" s="5">
        <v>103.4</v>
      </c>
      <c r="D34597" s="5">
        <v>0.1</v>
      </c>
      <c r="E34597" s="5">
        <v>103.6</v>
      </c>
      <c r="F34597" s="5">
        <v>206.7</v>
      </c>
      <c r="G34597" s="5">
        <v>103.1</v>
      </c>
      <c r="H34597" s="5">
        <v>103</v>
      </c>
      <c r="I34597" s="5">
        <v>0</v>
      </c>
      <c r="J34597" s="5">
        <v>0</v>
      </c>
      <c r="K34597" s="5">
        <v>0</v>
      </c>
    </row>
    <row r="34598" spans="1:11" x14ac:dyDescent="0.25">
      <c r="A34598" s="5">
        <f>34591</f>
      </c>
      <c r="B34598" s="5" t="s">
        <v>34606</v>
      </c>
      <c r="C34598" s="5">
        <v>103.4</v>
      </c>
      <c r="D34598" s="5">
        <v>0.1</v>
      </c>
      <c r="E34598" s="5">
        <v>103.6</v>
      </c>
      <c r="F34598" s="5">
        <v>206.7</v>
      </c>
      <c r="G34598" s="5">
        <v>103.1</v>
      </c>
      <c r="H34598" s="5">
        <v>103</v>
      </c>
      <c r="I34598" s="5">
        <v>0</v>
      </c>
      <c r="J34598" s="5">
        <v>0</v>
      </c>
      <c r="K34598" s="5">
        <v>0</v>
      </c>
    </row>
    <row r="34599" spans="1:11" x14ac:dyDescent="0.25">
      <c r="A34599" s="5">
        <f>34592</f>
      </c>
      <c r="B34599" s="5" t="s">
        <v>34607</v>
      </c>
      <c r="C34599" s="5">
        <v>102.6</v>
      </c>
      <c r="D34599" s="5">
        <v>0.1</v>
      </c>
      <c r="E34599" s="5">
        <v>102.7</v>
      </c>
      <c r="F34599" s="5">
        <v>205.6</v>
      </c>
      <c r="G34599" s="5">
        <v>102.6</v>
      </c>
      <c r="H34599" s="5">
        <v>102.4</v>
      </c>
      <c r="I34599" s="5">
        <v>0</v>
      </c>
      <c r="J34599" s="5">
        <v>0</v>
      </c>
      <c r="K34599" s="5">
        <v>0</v>
      </c>
    </row>
    <row r="34600" spans="1:11" x14ac:dyDescent="0.25">
      <c r="A34600" s="5">
        <f>34593</f>
      </c>
      <c r="B34600" s="5" t="s">
        <v>34608</v>
      </c>
      <c r="C34600" s="5">
        <v>102.6</v>
      </c>
      <c r="D34600" s="5">
        <v>0.1</v>
      </c>
      <c r="E34600" s="5">
        <v>102.7</v>
      </c>
      <c r="F34600" s="5">
        <v>205.6</v>
      </c>
      <c r="G34600" s="5">
        <v>102.6</v>
      </c>
      <c r="H34600" s="5">
        <v>102.4</v>
      </c>
      <c r="I34600" s="5">
        <v>0</v>
      </c>
      <c r="J34600" s="5">
        <v>0</v>
      </c>
      <c r="K34600" s="5">
        <v>0</v>
      </c>
    </row>
    <row r="34601" spans="1:11" x14ac:dyDescent="0.25">
      <c r="A34601" s="5">
        <f>34594</f>
      </c>
      <c r="B34601" s="5" t="s">
        <v>34609</v>
      </c>
      <c r="C34601" s="5">
        <v>102.9</v>
      </c>
      <c r="D34601" s="5">
        <v>0.1</v>
      </c>
      <c r="E34601" s="5">
        <v>103.1</v>
      </c>
      <c r="F34601" s="5">
        <v>205.2</v>
      </c>
      <c r="G34601" s="5">
        <v>102.4</v>
      </c>
      <c r="H34601" s="5">
        <v>102.3</v>
      </c>
      <c r="I34601" s="5">
        <v>0</v>
      </c>
      <c r="J34601" s="5">
        <v>0</v>
      </c>
      <c r="K34601" s="5">
        <v>0</v>
      </c>
    </row>
    <row r="34602" spans="1:11" x14ac:dyDescent="0.25">
      <c r="A34602" s="5">
        <f>34595</f>
      </c>
      <c r="B34602" s="5" t="s">
        <v>34610</v>
      </c>
      <c r="C34602" s="5">
        <v>102.9</v>
      </c>
      <c r="D34602" s="5">
        <v>0.1</v>
      </c>
      <c r="E34602" s="5">
        <v>103.1</v>
      </c>
      <c r="F34602" s="5">
        <v>205.2</v>
      </c>
      <c r="G34602" s="5">
        <v>102.4</v>
      </c>
      <c r="H34602" s="5">
        <v>102.3</v>
      </c>
      <c r="I34602" s="5">
        <v>0</v>
      </c>
      <c r="J34602" s="5">
        <v>0</v>
      </c>
      <c r="K34602" s="5">
        <v>0</v>
      </c>
    </row>
    <row r="34603" spans="1:11" x14ac:dyDescent="0.25">
      <c r="A34603" s="5">
        <f>34596</f>
      </c>
      <c r="B34603" s="5" t="s">
        <v>34611</v>
      </c>
      <c r="C34603" s="5">
        <v>102.9</v>
      </c>
      <c r="D34603" s="5">
        <v>0.1</v>
      </c>
      <c r="E34603" s="5">
        <v>103.1</v>
      </c>
      <c r="F34603" s="5">
        <v>205.2</v>
      </c>
      <c r="G34603" s="5">
        <v>102.4</v>
      </c>
      <c r="H34603" s="5">
        <v>102.3</v>
      </c>
      <c r="I34603" s="5">
        <v>0</v>
      </c>
      <c r="J34603" s="5">
        <v>0</v>
      </c>
      <c r="K34603" s="5">
        <v>0</v>
      </c>
    </row>
    <row r="34604" spans="1:11" x14ac:dyDescent="0.25">
      <c r="A34604" s="5">
        <f>34597</f>
      </c>
      <c r="B34604" s="5" t="s">
        <v>34612</v>
      </c>
      <c r="C34604" s="5">
        <v>103</v>
      </c>
      <c r="D34604" s="5">
        <v>0.1</v>
      </c>
      <c r="E34604" s="5">
        <v>103.1</v>
      </c>
      <c r="F34604" s="5">
        <v>205.8</v>
      </c>
      <c r="G34604" s="5">
        <v>102.7</v>
      </c>
      <c r="H34604" s="5">
        <v>102.6</v>
      </c>
      <c r="I34604" s="5">
        <v>0</v>
      </c>
      <c r="J34604" s="5">
        <v>0</v>
      </c>
      <c r="K34604" s="5">
        <v>0</v>
      </c>
    </row>
    <row r="34605" spans="1:11" x14ac:dyDescent="0.25">
      <c r="A34605" s="5">
        <f>34598</f>
      </c>
      <c r="B34605" s="5" t="s">
        <v>34613</v>
      </c>
      <c r="C34605" s="5">
        <v>103</v>
      </c>
      <c r="D34605" s="5">
        <v>0.1</v>
      </c>
      <c r="E34605" s="5">
        <v>103.1</v>
      </c>
      <c r="F34605" s="5">
        <v>205.8</v>
      </c>
      <c r="G34605" s="5">
        <v>102.7</v>
      </c>
      <c r="H34605" s="5">
        <v>102.6</v>
      </c>
      <c r="I34605" s="5">
        <v>0</v>
      </c>
      <c r="J34605" s="5">
        <v>0</v>
      </c>
      <c r="K34605" s="5">
        <v>0</v>
      </c>
    </row>
    <row r="34606" spans="1:11" x14ac:dyDescent="0.25">
      <c r="A34606" s="5">
        <f>34599</f>
      </c>
      <c r="B34606" s="5" t="s">
        <v>34614</v>
      </c>
      <c r="C34606" s="5">
        <v>103.1</v>
      </c>
      <c r="D34606" s="5">
        <v>0.1</v>
      </c>
      <c r="E34606" s="5">
        <v>103.2</v>
      </c>
      <c r="F34606" s="5">
        <v>206.4</v>
      </c>
      <c r="G34606" s="5">
        <v>103</v>
      </c>
      <c r="H34606" s="5">
        <v>102.8</v>
      </c>
      <c r="I34606" s="5">
        <v>0</v>
      </c>
      <c r="J34606" s="5">
        <v>0</v>
      </c>
      <c r="K34606" s="5">
        <v>0</v>
      </c>
    </row>
    <row r="34607" spans="1:11" x14ac:dyDescent="0.25">
      <c r="A34607" s="5">
        <f>34600</f>
      </c>
      <c r="B34607" s="5" t="s">
        <v>34615</v>
      </c>
      <c r="C34607" s="5">
        <v>103.1</v>
      </c>
      <c r="D34607" s="5">
        <v>0.1</v>
      </c>
      <c r="E34607" s="5">
        <v>103.2</v>
      </c>
      <c r="F34607" s="5">
        <v>206.4</v>
      </c>
      <c r="G34607" s="5">
        <v>103</v>
      </c>
      <c r="H34607" s="5">
        <v>102.8</v>
      </c>
      <c r="I34607" s="5">
        <v>0</v>
      </c>
      <c r="J34607" s="5">
        <v>0</v>
      </c>
      <c r="K34607" s="5">
        <v>0</v>
      </c>
    </row>
    <row r="34608" spans="1:11" x14ac:dyDescent="0.25">
      <c r="A34608" s="5">
        <f>34601</f>
      </c>
      <c r="B34608" s="5" t="s">
        <v>34616</v>
      </c>
      <c r="C34608" s="5">
        <v>103.9</v>
      </c>
      <c r="D34608" s="5">
        <v>0.1</v>
      </c>
      <c r="E34608" s="5">
        <v>104</v>
      </c>
      <c r="F34608" s="5">
        <v>207.3</v>
      </c>
      <c r="G34608" s="5">
        <v>103.4</v>
      </c>
      <c r="H34608" s="5">
        <v>103.3</v>
      </c>
      <c r="I34608" s="5">
        <v>0</v>
      </c>
      <c r="J34608" s="5">
        <v>0</v>
      </c>
      <c r="K34608" s="5">
        <v>0</v>
      </c>
    </row>
    <row r="34609" spans="1:11" x14ac:dyDescent="0.25">
      <c r="A34609" s="5">
        <f>34602</f>
      </c>
      <c r="B34609" s="5" t="s">
        <v>34617</v>
      </c>
      <c r="C34609" s="5">
        <v>103.9</v>
      </c>
      <c r="D34609" s="5">
        <v>0.1</v>
      </c>
      <c r="E34609" s="5">
        <v>104</v>
      </c>
      <c r="F34609" s="5">
        <v>207.3</v>
      </c>
      <c r="G34609" s="5">
        <v>103.4</v>
      </c>
      <c r="H34609" s="5">
        <v>103.3</v>
      </c>
      <c r="I34609" s="5">
        <v>0</v>
      </c>
      <c r="J34609" s="5">
        <v>0</v>
      </c>
      <c r="K34609" s="5">
        <v>0</v>
      </c>
    </row>
    <row r="34610" spans="1:11" x14ac:dyDescent="0.25">
      <c r="A34610" s="5">
        <f>34603</f>
      </c>
      <c r="B34610" s="5" t="s">
        <v>34618</v>
      </c>
      <c r="C34610" s="5">
        <v>103.1</v>
      </c>
      <c r="D34610" s="5">
        <v>0.1</v>
      </c>
      <c r="E34610" s="5">
        <v>103.3</v>
      </c>
      <c r="F34610" s="5">
        <v>205.8</v>
      </c>
      <c r="G34610" s="5">
        <v>102.7</v>
      </c>
      <c r="H34610" s="5">
        <v>102.6</v>
      </c>
      <c r="I34610" s="5">
        <v>0</v>
      </c>
      <c r="J34610" s="5">
        <v>0</v>
      </c>
      <c r="K34610" s="5">
        <v>0</v>
      </c>
    </row>
    <row r="34611" spans="1:11" x14ac:dyDescent="0.25">
      <c r="A34611" s="5">
        <f>34604</f>
      </c>
      <c r="B34611" s="5" t="s">
        <v>34619</v>
      </c>
      <c r="C34611" s="5">
        <v>103.1</v>
      </c>
      <c r="D34611" s="5">
        <v>0.1</v>
      </c>
      <c r="E34611" s="5">
        <v>103.3</v>
      </c>
      <c r="F34611" s="5">
        <v>205.8</v>
      </c>
      <c r="G34611" s="5">
        <v>102.7</v>
      </c>
      <c r="H34611" s="5">
        <v>102.6</v>
      </c>
      <c r="I34611" s="5">
        <v>0</v>
      </c>
      <c r="J34611" s="5">
        <v>0</v>
      </c>
      <c r="K34611" s="5">
        <v>0</v>
      </c>
    </row>
    <row r="34612" spans="1:11" x14ac:dyDescent="0.25">
      <c r="A34612" s="5">
        <f>34605</f>
      </c>
      <c r="B34612" s="5" t="s">
        <v>34620</v>
      </c>
      <c r="C34612" s="5">
        <v>103.1</v>
      </c>
      <c r="D34612" s="5">
        <v>0.1</v>
      </c>
      <c r="E34612" s="5">
        <v>103.3</v>
      </c>
      <c r="F34612" s="5">
        <v>205.8</v>
      </c>
      <c r="G34612" s="5">
        <v>102.7</v>
      </c>
      <c r="H34612" s="5">
        <v>102.6</v>
      </c>
      <c r="I34612" s="5">
        <v>0</v>
      </c>
      <c r="J34612" s="5">
        <v>0</v>
      </c>
      <c r="K34612" s="5">
        <v>0</v>
      </c>
    </row>
    <row r="34613" spans="1:11" x14ac:dyDescent="0.25">
      <c r="A34613" s="5">
        <f>34606</f>
      </c>
      <c r="B34613" s="5" t="s">
        <v>34621</v>
      </c>
      <c r="C34613" s="5">
        <v>103.1</v>
      </c>
      <c r="D34613" s="5">
        <v>0.1</v>
      </c>
      <c r="E34613" s="5">
        <v>103.3</v>
      </c>
      <c r="F34613" s="5">
        <v>205.8</v>
      </c>
      <c r="G34613" s="5">
        <v>102.7</v>
      </c>
      <c r="H34613" s="5">
        <v>102.6</v>
      </c>
      <c r="I34613" s="5">
        <v>0</v>
      </c>
      <c r="J34613" s="5">
        <v>0</v>
      </c>
      <c r="K34613" s="5">
        <v>0</v>
      </c>
    </row>
    <row r="34614" spans="1:11" x14ac:dyDescent="0.25">
      <c r="A34614" s="5">
        <f>34607</f>
      </c>
      <c r="B34614" s="5" t="s">
        <v>34622</v>
      </c>
      <c r="C34614" s="5">
        <v>102.7</v>
      </c>
      <c r="D34614" s="5">
        <v>0.1</v>
      </c>
      <c r="E34614" s="5">
        <v>102.8</v>
      </c>
      <c r="F34614" s="5">
        <v>206.1</v>
      </c>
      <c r="G34614" s="5">
        <v>102.8</v>
      </c>
      <c r="H34614" s="5">
        <v>102.6</v>
      </c>
      <c r="I34614" s="5">
        <v>0</v>
      </c>
      <c r="J34614" s="5">
        <v>0</v>
      </c>
      <c r="K34614" s="5">
        <v>0</v>
      </c>
    </row>
    <row r="34615" spans="1:11" x14ac:dyDescent="0.25">
      <c r="A34615" s="5">
        <f>34608</f>
      </c>
      <c r="B34615" s="5" t="s">
        <v>34623</v>
      </c>
      <c r="C34615" s="5">
        <v>102.7</v>
      </c>
      <c r="D34615" s="5">
        <v>0.1</v>
      </c>
      <c r="E34615" s="5">
        <v>102.8</v>
      </c>
      <c r="F34615" s="5">
        <v>206.1</v>
      </c>
      <c r="G34615" s="5">
        <v>102.8</v>
      </c>
      <c r="H34615" s="5">
        <v>102.6</v>
      </c>
      <c r="I34615" s="5">
        <v>0</v>
      </c>
      <c r="J34615" s="5">
        <v>0</v>
      </c>
      <c r="K34615" s="5">
        <v>0</v>
      </c>
    </row>
    <row r="34616" spans="1:11" x14ac:dyDescent="0.25">
      <c r="A34616" s="5">
        <f>34609</f>
      </c>
      <c r="B34616" s="5" t="s">
        <v>34624</v>
      </c>
      <c r="C34616" s="5">
        <v>102.9</v>
      </c>
      <c r="D34616" s="5">
        <v>0.1</v>
      </c>
      <c r="E34616" s="5">
        <v>103.1</v>
      </c>
      <c r="F34616" s="5">
        <v>206.3</v>
      </c>
      <c r="G34616" s="5">
        <v>102.9</v>
      </c>
      <c r="H34616" s="5">
        <v>102.7</v>
      </c>
      <c r="I34616" s="5">
        <v>0</v>
      </c>
      <c r="J34616" s="5">
        <v>0</v>
      </c>
      <c r="K34616" s="5">
        <v>0</v>
      </c>
    </row>
    <row r="34617" spans="1:11" x14ac:dyDescent="0.25">
      <c r="A34617" s="5">
        <f>34610</f>
      </c>
      <c r="B34617" s="5" t="s">
        <v>34625</v>
      </c>
      <c r="C34617" s="5">
        <v>102.9</v>
      </c>
      <c r="D34617" s="5">
        <v>0.1</v>
      </c>
      <c r="E34617" s="5">
        <v>103.1</v>
      </c>
      <c r="F34617" s="5">
        <v>206.3</v>
      </c>
      <c r="G34617" s="5">
        <v>102.9</v>
      </c>
      <c r="H34617" s="5">
        <v>102.7</v>
      </c>
      <c r="I34617" s="5">
        <v>0</v>
      </c>
      <c r="J34617" s="5">
        <v>0</v>
      </c>
      <c r="K34617" s="5">
        <v>0</v>
      </c>
    </row>
    <row r="34618" spans="1:11" x14ac:dyDescent="0.25">
      <c r="A34618" s="5">
        <f>34611</f>
      </c>
      <c r="B34618" s="5" t="s">
        <v>34626</v>
      </c>
      <c r="C34618" s="5">
        <v>102.6</v>
      </c>
      <c r="D34618" s="5">
        <v>0.1</v>
      </c>
      <c r="E34618" s="5">
        <v>102.7</v>
      </c>
      <c r="F34618" s="5">
        <v>206</v>
      </c>
      <c r="G34618" s="5">
        <v>102.8</v>
      </c>
      <c r="H34618" s="5">
        <v>102.7</v>
      </c>
      <c r="I34618" s="5">
        <v>0</v>
      </c>
      <c r="J34618" s="5">
        <v>0</v>
      </c>
      <c r="K34618" s="5">
        <v>0</v>
      </c>
    </row>
    <row r="34619" spans="1:11" x14ac:dyDescent="0.25">
      <c r="A34619" s="5">
        <f>34612</f>
      </c>
      <c r="B34619" s="5" t="s">
        <v>34627</v>
      </c>
      <c r="C34619" s="5">
        <v>102.6</v>
      </c>
      <c r="D34619" s="5">
        <v>0.1</v>
      </c>
      <c r="E34619" s="5">
        <v>102.7</v>
      </c>
      <c r="F34619" s="5">
        <v>206</v>
      </c>
      <c r="G34619" s="5">
        <v>102.8</v>
      </c>
      <c r="H34619" s="5">
        <v>102.7</v>
      </c>
      <c r="I34619" s="5">
        <v>0</v>
      </c>
      <c r="J34619" s="5">
        <v>0</v>
      </c>
      <c r="K34619" s="5">
        <v>0</v>
      </c>
    </row>
    <row r="34620" spans="1:11" x14ac:dyDescent="0.25">
      <c r="A34620" s="5">
        <f>34613</f>
      </c>
      <c r="B34620" s="5" t="s">
        <v>34628</v>
      </c>
      <c r="C34620" s="5">
        <v>103.7</v>
      </c>
      <c r="D34620" s="5">
        <v>0.1</v>
      </c>
      <c r="E34620" s="5">
        <v>103.8</v>
      </c>
      <c r="F34620" s="5">
        <v>206.4</v>
      </c>
      <c r="G34620" s="5">
        <v>103</v>
      </c>
      <c r="H34620" s="5">
        <v>102.8</v>
      </c>
      <c r="I34620" s="5">
        <v>0</v>
      </c>
      <c r="J34620" s="5">
        <v>0</v>
      </c>
      <c r="K34620" s="5">
        <v>0</v>
      </c>
    </row>
    <row r="34621" spans="1:11" x14ac:dyDescent="0.25">
      <c r="A34621" s="5">
        <f>34614</f>
      </c>
      <c r="B34621" s="5" t="s">
        <v>34629</v>
      </c>
      <c r="C34621" s="5">
        <v>103.7</v>
      </c>
      <c r="D34621" s="5">
        <v>0.1</v>
      </c>
      <c r="E34621" s="5">
        <v>103.8</v>
      </c>
      <c r="F34621" s="5">
        <v>206.4</v>
      </c>
      <c r="G34621" s="5">
        <v>103</v>
      </c>
      <c r="H34621" s="5">
        <v>102.8</v>
      </c>
      <c r="I34621" s="5">
        <v>0</v>
      </c>
      <c r="J34621" s="5">
        <v>0</v>
      </c>
      <c r="K34621" s="5">
        <v>0</v>
      </c>
    </row>
    <row r="34622" spans="1:11" x14ac:dyDescent="0.25">
      <c r="A34622" s="5">
        <f>34615</f>
      </c>
      <c r="B34622" s="5" t="s">
        <v>34630</v>
      </c>
      <c r="C34622" s="5">
        <v>103.7</v>
      </c>
      <c r="D34622" s="5">
        <v>0.1</v>
      </c>
      <c r="E34622" s="5">
        <v>103.8</v>
      </c>
      <c r="F34622" s="5">
        <v>206.4</v>
      </c>
      <c r="G34622" s="5">
        <v>103</v>
      </c>
      <c r="H34622" s="5">
        <v>102.8</v>
      </c>
      <c r="I34622" s="5">
        <v>0</v>
      </c>
      <c r="J34622" s="5">
        <v>0</v>
      </c>
      <c r="K34622" s="5">
        <v>0</v>
      </c>
    </row>
    <row r="34623" spans="1:11" x14ac:dyDescent="0.25">
      <c r="A34623" s="5">
        <f>34616</f>
      </c>
      <c r="B34623" s="5" t="s">
        <v>34631</v>
      </c>
      <c r="C34623" s="5">
        <v>103.7</v>
      </c>
      <c r="D34623" s="5">
        <v>0.1</v>
      </c>
      <c r="E34623" s="5">
        <v>103.8</v>
      </c>
      <c r="F34623" s="5">
        <v>206.4</v>
      </c>
      <c r="G34623" s="5">
        <v>103</v>
      </c>
      <c r="H34623" s="5">
        <v>102.8</v>
      </c>
      <c r="I34623" s="5">
        <v>0</v>
      </c>
      <c r="J34623" s="5">
        <v>0</v>
      </c>
      <c r="K34623" s="5">
        <v>0</v>
      </c>
    </row>
    <row r="34624" spans="1:11" x14ac:dyDescent="0.25">
      <c r="A34624" s="5">
        <f>34617</f>
      </c>
      <c r="B34624" s="5" t="s">
        <v>34632</v>
      </c>
      <c r="C34624" s="5">
        <v>102.5</v>
      </c>
      <c r="D34624" s="5">
        <v>0.1</v>
      </c>
      <c r="E34624" s="5">
        <v>102.7</v>
      </c>
      <c r="F34624" s="5">
        <v>204.7</v>
      </c>
      <c r="G34624" s="5">
        <v>102.1</v>
      </c>
      <c r="H34624" s="5">
        <v>102.8</v>
      </c>
      <c r="I34624" s="5">
        <v>0</v>
      </c>
      <c r="J34624" s="5">
        <v>0</v>
      </c>
      <c r="K34624" s="5">
        <v>0</v>
      </c>
    </row>
    <row r="34625" spans="1:11" x14ac:dyDescent="0.25">
      <c r="A34625" s="5">
        <f>34618</f>
      </c>
      <c r="B34625" s="5" t="s">
        <v>34633</v>
      </c>
      <c r="C34625" s="5">
        <v>102.5</v>
      </c>
      <c r="D34625" s="5">
        <v>0.1</v>
      </c>
      <c r="E34625" s="5">
        <v>102.7</v>
      </c>
      <c r="F34625" s="5">
        <v>204.7</v>
      </c>
      <c r="G34625" s="5">
        <v>102.1</v>
      </c>
      <c r="H34625" s="5">
        <v>102</v>
      </c>
      <c r="I34625" s="5">
        <v>0</v>
      </c>
      <c r="J34625" s="5">
        <v>0</v>
      </c>
      <c r="K34625" s="5">
        <v>0</v>
      </c>
    </row>
    <row r="34626" spans="1:11" x14ac:dyDescent="0.25">
      <c r="A34626" s="5">
        <f>34619</f>
      </c>
      <c r="B34626" s="5" t="s">
        <v>34634</v>
      </c>
      <c r="C34626" s="5">
        <v>102.4</v>
      </c>
      <c r="D34626" s="5">
        <v>0.1</v>
      </c>
      <c r="E34626" s="5">
        <v>102.6</v>
      </c>
      <c r="F34626" s="5">
        <v>204.7</v>
      </c>
      <c r="G34626" s="5">
        <v>102.1</v>
      </c>
      <c r="H34626" s="5">
        <v>102</v>
      </c>
      <c r="I34626" s="5">
        <v>0</v>
      </c>
      <c r="J34626" s="5">
        <v>0</v>
      </c>
      <c r="K34626" s="5">
        <v>0</v>
      </c>
    </row>
    <row r="34627" spans="1:11" x14ac:dyDescent="0.25">
      <c r="A34627" s="5">
        <f>34620</f>
      </c>
      <c r="B34627" s="5" t="s">
        <v>34635</v>
      </c>
      <c r="C34627" s="5">
        <v>102.4</v>
      </c>
      <c r="D34627" s="5">
        <v>0.1</v>
      </c>
      <c r="E34627" s="5">
        <v>102.6</v>
      </c>
      <c r="F34627" s="5">
        <v>204.7</v>
      </c>
      <c r="G34627" s="5">
        <v>102.1</v>
      </c>
      <c r="H34627" s="5">
        <v>101.9</v>
      </c>
      <c r="I34627" s="5">
        <v>0</v>
      </c>
      <c r="J34627" s="5">
        <v>0</v>
      </c>
      <c r="K34627" s="5">
        <v>0</v>
      </c>
    </row>
    <row r="34628" spans="1:11" x14ac:dyDescent="0.25">
      <c r="A34628" s="5">
        <f>34621</f>
      </c>
      <c r="B34628" s="5" t="s">
        <v>34636</v>
      </c>
      <c r="C34628" s="5">
        <v>102.4</v>
      </c>
      <c r="D34628" s="5">
        <v>0.1</v>
      </c>
      <c r="E34628" s="5">
        <v>102.6</v>
      </c>
      <c r="F34628" s="5">
        <v>204.7</v>
      </c>
      <c r="G34628" s="5">
        <v>102.1</v>
      </c>
      <c r="H34628" s="5">
        <v>101.9</v>
      </c>
      <c r="I34628" s="5">
        <v>0</v>
      </c>
      <c r="J34628" s="5">
        <v>0</v>
      </c>
      <c r="K34628" s="5">
        <v>0</v>
      </c>
    </row>
    <row r="34629" spans="1:11" x14ac:dyDescent="0.25">
      <c r="A34629" s="5">
        <f>34622</f>
      </c>
      <c r="B34629" s="5" t="s">
        <v>34637</v>
      </c>
      <c r="C34629" s="5">
        <v>102.3</v>
      </c>
      <c r="D34629" s="5">
        <v>0.1</v>
      </c>
      <c r="E34629" s="5">
        <v>102.4</v>
      </c>
      <c r="F34629" s="5">
        <v>204.7</v>
      </c>
      <c r="G34629" s="5">
        <v>102.1</v>
      </c>
      <c r="H34629" s="5">
        <v>102</v>
      </c>
      <c r="I34629" s="5">
        <v>0</v>
      </c>
      <c r="J34629" s="5">
        <v>0</v>
      </c>
      <c r="K34629" s="5">
        <v>0</v>
      </c>
    </row>
    <row r="34630" spans="1:11" x14ac:dyDescent="0.25">
      <c r="A34630" s="5">
        <f>34623</f>
      </c>
      <c r="B34630" s="5" t="s">
        <v>34638</v>
      </c>
      <c r="C34630" s="5">
        <v>102.3</v>
      </c>
      <c r="D34630" s="5">
        <v>0.1</v>
      </c>
      <c r="E34630" s="5">
        <v>102.4</v>
      </c>
      <c r="F34630" s="5">
        <v>204.7</v>
      </c>
      <c r="G34630" s="5">
        <v>102.1</v>
      </c>
      <c r="H34630" s="5">
        <v>102</v>
      </c>
      <c r="I34630" s="5">
        <v>0</v>
      </c>
      <c r="J34630" s="5">
        <v>0</v>
      </c>
      <c r="K34630" s="5">
        <v>0</v>
      </c>
    </row>
    <row r="34631" spans="1:11" x14ac:dyDescent="0.25">
      <c r="A34631" s="5">
        <f>34624</f>
      </c>
      <c r="B34631" s="5" t="s">
        <v>34639</v>
      </c>
      <c r="C34631" s="5">
        <v>103</v>
      </c>
      <c r="D34631" s="5">
        <v>0.1</v>
      </c>
      <c r="E34631" s="5">
        <v>103.1</v>
      </c>
      <c r="F34631" s="5">
        <v>205.5</v>
      </c>
      <c r="G34631" s="5">
        <v>102.6</v>
      </c>
      <c r="H34631" s="5">
        <v>102.4</v>
      </c>
      <c r="I34631" s="5">
        <v>0</v>
      </c>
      <c r="J34631" s="5">
        <v>0</v>
      </c>
      <c r="K34631" s="5">
        <v>0</v>
      </c>
    </row>
    <row r="34632" spans="1:11" x14ac:dyDescent="0.25">
      <c r="A34632" s="5">
        <f>34625</f>
      </c>
      <c r="B34632" s="5" t="s">
        <v>34640</v>
      </c>
      <c r="C34632" s="5">
        <v>103</v>
      </c>
      <c r="D34632" s="5">
        <v>0.1</v>
      </c>
      <c r="E34632" s="5">
        <v>103.1</v>
      </c>
      <c r="F34632" s="5">
        <v>205.5</v>
      </c>
      <c r="G34632" s="5">
        <v>102.6</v>
      </c>
      <c r="H34632" s="5">
        <v>102.4</v>
      </c>
      <c r="I34632" s="5">
        <v>0</v>
      </c>
      <c r="J34632" s="5">
        <v>0</v>
      </c>
      <c r="K34632" s="5">
        <v>0</v>
      </c>
    </row>
    <row r="34633" spans="1:11" x14ac:dyDescent="0.25">
      <c r="A34633" s="5">
        <f>34626</f>
      </c>
      <c r="B34633" s="5" t="s">
        <v>34641</v>
      </c>
      <c r="C34633" s="5">
        <v>103</v>
      </c>
      <c r="D34633" s="5">
        <v>0.1</v>
      </c>
      <c r="E34633" s="5">
        <v>103.1</v>
      </c>
      <c r="F34633" s="5">
        <v>205.5</v>
      </c>
      <c r="G34633" s="5">
        <v>102.6</v>
      </c>
      <c r="H34633" s="5">
        <v>102.4</v>
      </c>
      <c r="I34633" s="5">
        <v>0</v>
      </c>
      <c r="J34633" s="5">
        <v>0</v>
      </c>
      <c r="K34633" s="5">
        <v>0</v>
      </c>
    </row>
    <row r="34634" spans="1:11" x14ac:dyDescent="0.25">
      <c r="A34634" s="5">
        <f>34627</f>
      </c>
      <c r="B34634" s="5" t="s">
        <v>34642</v>
      </c>
      <c r="C34634" s="5">
        <v>103</v>
      </c>
      <c r="D34634" s="5">
        <v>0.1</v>
      </c>
      <c r="E34634" s="5">
        <v>103.1</v>
      </c>
      <c r="F34634" s="5">
        <v>205.5</v>
      </c>
      <c r="G34634" s="5">
        <v>102.6</v>
      </c>
      <c r="H34634" s="5">
        <v>102.4</v>
      </c>
      <c r="I34634" s="5">
        <v>0</v>
      </c>
      <c r="J34634" s="5">
        <v>0</v>
      </c>
      <c r="K34634" s="5">
        <v>0</v>
      </c>
    </row>
    <row r="34635" spans="1:11" x14ac:dyDescent="0.25">
      <c r="A34635" s="5">
        <f>34628</f>
      </c>
      <c r="B34635" s="5" t="s">
        <v>34643</v>
      </c>
      <c r="C34635" s="5">
        <v>103</v>
      </c>
      <c r="D34635" s="5">
        <v>0.1</v>
      </c>
      <c r="E34635" s="5">
        <v>103.1</v>
      </c>
      <c r="F34635" s="5">
        <v>205.5</v>
      </c>
      <c r="G34635" s="5">
        <v>102.6</v>
      </c>
      <c r="H34635" s="5">
        <v>102.4</v>
      </c>
      <c r="I34635" s="5">
        <v>0</v>
      </c>
      <c r="J34635" s="5">
        <v>0</v>
      </c>
      <c r="K34635" s="5">
        <v>0</v>
      </c>
    </row>
    <row r="34636" spans="1:11" x14ac:dyDescent="0.25">
      <c r="A34636" s="5">
        <f>34629</f>
      </c>
      <c r="B34636" s="5" t="s">
        <v>34644</v>
      </c>
      <c r="C34636" s="5">
        <v>103</v>
      </c>
      <c r="D34636" s="5">
        <v>0.1</v>
      </c>
      <c r="E34636" s="5">
        <v>103.1</v>
      </c>
      <c r="F34636" s="5">
        <v>205.5</v>
      </c>
      <c r="G34636" s="5">
        <v>102.6</v>
      </c>
      <c r="H34636" s="5">
        <v>102.4</v>
      </c>
      <c r="I34636" s="5">
        <v>0</v>
      </c>
      <c r="J34636" s="5">
        <v>0</v>
      </c>
      <c r="K34636" s="5">
        <v>0</v>
      </c>
    </row>
    <row r="34637" spans="1:11" x14ac:dyDescent="0.25">
      <c r="A34637" s="5">
        <f>34630</f>
      </c>
      <c r="B34637" s="5" t="s">
        <v>34645</v>
      </c>
      <c r="C34637" s="5">
        <v>103</v>
      </c>
      <c r="D34637" s="5">
        <v>0.1</v>
      </c>
      <c r="E34637" s="5">
        <v>103.1</v>
      </c>
      <c r="F34637" s="5">
        <v>205.5</v>
      </c>
      <c r="G34637" s="5">
        <v>102.6</v>
      </c>
      <c r="H34637" s="5">
        <v>102.4</v>
      </c>
      <c r="I34637" s="5">
        <v>0</v>
      </c>
      <c r="J34637" s="5">
        <v>0</v>
      </c>
      <c r="K34637" s="5">
        <v>0</v>
      </c>
    </row>
    <row r="34638" spans="1:11" x14ac:dyDescent="0.25">
      <c r="A34638" s="5">
        <f>34631</f>
      </c>
      <c r="B34638" s="5" t="s">
        <v>34646</v>
      </c>
      <c r="C34638" s="5">
        <v>104.8</v>
      </c>
      <c r="D34638" s="5">
        <v>0.1</v>
      </c>
      <c r="E34638" s="5">
        <v>105</v>
      </c>
      <c r="F34638" s="5">
        <v>209.9</v>
      </c>
      <c r="G34638" s="5">
        <v>104.7</v>
      </c>
      <c r="H34638" s="5">
        <v>104.6</v>
      </c>
      <c r="I34638" s="5">
        <v>0</v>
      </c>
      <c r="J34638" s="5">
        <v>0</v>
      </c>
      <c r="K34638" s="5">
        <v>0</v>
      </c>
    </row>
    <row r="34639" spans="1:11" x14ac:dyDescent="0.25">
      <c r="A34639" s="5">
        <f>34632</f>
      </c>
      <c r="B34639" s="5" t="s">
        <v>34647</v>
      </c>
      <c r="C34639" s="5">
        <v>104.8</v>
      </c>
      <c r="D34639" s="5">
        <v>0.1</v>
      </c>
      <c r="E34639" s="5">
        <v>105</v>
      </c>
      <c r="F34639" s="5">
        <v>209.9</v>
      </c>
      <c r="G34639" s="5">
        <v>104.7</v>
      </c>
      <c r="H34639" s="5">
        <v>104.6</v>
      </c>
      <c r="I34639" s="5">
        <v>0</v>
      </c>
      <c r="J34639" s="5">
        <v>0</v>
      </c>
      <c r="K34639" s="5">
        <v>0</v>
      </c>
    </row>
    <row r="34640" spans="1:11" x14ac:dyDescent="0.25">
      <c r="A34640" s="5">
        <f>34633</f>
      </c>
      <c r="B34640" s="5" t="s">
        <v>34648</v>
      </c>
      <c r="C34640" s="5">
        <v>104.6</v>
      </c>
      <c r="D34640" s="5">
        <v>0.1</v>
      </c>
      <c r="E34640" s="5">
        <v>104.8</v>
      </c>
      <c r="F34640" s="5">
        <v>210</v>
      </c>
      <c r="G34640" s="5">
        <v>104.8</v>
      </c>
      <c r="H34640" s="5">
        <v>104.6</v>
      </c>
      <c r="I34640" s="5">
        <v>0</v>
      </c>
      <c r="J34640" s="5">
        <v>0</v>
      </c>
      <c r="K34640" s="5">
        <v>0</v>
      </c>
    </row>
    <row r="34641" spans="1:11" x14ac:dyDescent="0.25">
      <c r="A34641" s="5">
        <f>34634</f>
      </c>
      <c r="B34641" s="5" t="s">
        <v>34649</v>
      </c>
      <c r="C34641" s="5">
        <v>104.6</v>
      </c>
      <c r="D34641" s="5">
        <v>0.1</v>
      </c>
      <c r="E34641" s="5">
        <v>104.8</v>
      </c>
      <c r="F34641" s="5">
        <v>210</v>
      </c>
      <c r="G34641" s="5">
        <v>104.8</v>
      </c>
      <c r="H34641" s="5">
        <v>104.6</v>
      </c>
      <c r="I34641" s="5">
        <v>0</v>
      </c>
      <c r="J34641" s="5">
        <v>0</v>
      </c>
      <c r="K34641" s="5">
        <v>0</v>
      </c>
    </row>
    <row r="34642" spans="1:11" x14ac:dyDescent="0.25">
      <c r="A34642" s="5">
        <f>34635</f>
      </c>
      <c r="B34642" s="5" t="s">
        <v>34650</v>
      </c>
      <c r="C34642" s="5">
        <v>104.6</v>
      </c>
      <c r="D34642" s="5">
        <v>0.1</v>
      </c>
      <c r="E34642" s="5">
        <v>104.8</v>
      </c>
      <c r="F34642" s="5">
        <v>210</v>
      </c>
      <c r="G34642" s="5">
        <v>104.8</v>
      </c>
      <c r="H34642" s="5">
        <v>104.6</v>
      </c>
      <c r="I34642" s="5">
        <v>0</v>
      </c>
      <c r="J34642" s="5">
        <v>0</v>
      </c>
      <c r="K34642" s="5">
        <v>0</v>
      </c>
    </row>
    <row r="34643" spans="1:11" x14ac:dyDescent="0.25">
      <c r="A34643" s="5">
        <f>34636</f>
      </c>
      <c r="B34643" s="5" t="s">
        <v>34651</v>
      </c>
      <c r="C34643" s="5">
        <v>104.6</v>
      </c>
      <c r="D34643" s="5">
        <v>0.1</v>
      </c>
      <c r="E34643" s="5">
        <v>104.8</v>
      </c>
      <c r="F34643" s="5">
        <v>210</v>
      </c>
      <c r="G34643" s="5">
        <v>104.8</v>
      </c>
      <c r="H34643" s="5">
        <v>104.6</v>
      </c>
      <c r="I34643" s="5">
        <v>0</v>
      </c>
      <c r="J34643" s="5">
        <v>0</v>
      </c>
      <c r="K34643" s="5">
        <v>0</v>
      </c>
    </row>
    <row r="34644" spans="1:11" x14ac:dyDescent="0.25">
      <c r="A34644" s="5">
        <f>34637</f>
      </c>
      <c r="B34644" s="5" t="s">
        <v>34652</v>
      </c>
      <c r="C34644" s="5">
        <v>105.4</v>
      </c>
      <c r="D34644" s="5">
        <v>0.1</v>
      </c>
      <c r="E34644" s="5">
        <v>105.6</v>
      </c>
      <c r="F34644" s="5">
        <v>210.2</v>
      </c>
      <c r="G34644" s="5">
        <v>104.9</v>
      </c>
      <c r="H34644" s="5">
        <v>104.8</v>
      </c>
      <c r="I34644" s="5">
        <v>0</v>
      </c>
      <c r="J34644" s="5">
        <v>0</v>
      </c>
      <c r="K34644" s="5">
        <v>0</v>
      </c>
    </row>
    <row r="34645" spans="1:11" x14ac:dyDescent="0.25">
      <c r="A34645" s="5">
        <f>34638</f>
      </c>
      <c r="B34645" s="5" t="s">
        <v>34653</v>
      </c>
      <c r="C34645" s="5">
        <v>105.4</v>
      </c>
      <c r="D34645" s="5">
        <v>0.1</v>
      </c>
      <c r="E34645" s="5">
        <v>105.6</v>
      </c>
      <c r="F34645" s="5">
        <v>210.2</v>
      </c>
      <c r="G34645" s="5">
        <v>104.9</v>
      </c>
      <c r="H34645" s="5">
        <v>104.8</v>
      </c>
      <c r="I34645" s="5">
        <v>0</v>
      </c>
      <c r="J34645" s="5">
        <v>0</v>
      </c>
      <c r="K34645" s="5">
        <v>0</v>
      </c>
    </row>
    <row r="34646" spans="1:11" x14ac:dyDescent="0.25">
      <c r="A34646" s="5">
        <f>34639</f>
      </c>
      <c r="B34646" s="5" t="s">
        <v>34654</v>
      </c>
      <c r="C34646" s="5">
        <v>105.2</v>
      </c>
      <c r="D34646" s="5">
        <v>0.1</v>
      </c>
      <c r="E34646" s="5">
        <v>105.3</v>
      </c>
      <c r="F34646" s="5">
        <v>209.6</v>
      </c>
      <c r="G34646" s="5">
        <v>104.6</v>
      </c>
      <c r="H34646" s="5">
        <v>104.4</v>
      </c>
      <c r="I34646" s="5">
        <v>0</v>
      </c>
      <c r="J34646" s="5">
        <v>0</v>
      </c>
      <c r="K34646" s="5">
        <v>0</v>
      </c>
    </row>
    <row r="34647" spans="1:11" x14ac:dyDescent="0.25">
      <c r="A34647" s="5">
        <f>34640</f>
      </c>
      <c r="B34647" s="5" t="s">
        <v>34655</v>
      </c>
      <c r="C34647" s="5">
        <v>105.2</v>
      </c>
      <c r="D34647" s="5">
        <v>0.1</v>
      </c>
      <c r="E34647" s="5">
        <v>105.3</v>
      </c>
      <c r="F34647" s="5">
        <v>209.6</v>
      </c>
      <c r="G34647" s="5">
        <v>104.6</v>
      </c>
      <c r="H34647" s="5">
        <v>104.4</v>
      </c>
      <c r="I34647" s="5">
        <v>0</v>
      </c>
      <c r="J34647" s="5">
        <v>0</v>
      </c>
      <c r="K34647" s="5">
        <v>0</v>
      </c>
    </row>
    <row r="34648" spans="1:11" x14ac:dyDescent="0.25">
      <c r="A34648" s="5">
        <f>34641</f>
      </c>
      <c r="B34648" s="5" t="s">
        <v>34656</v>
      </c>
      <c r="C34648" s="5">
        <v>105</v>
      </c>
      <c r="D34648" s="5">
        <v>0.1</v>
      </c>
      <c r="E34648" s="5">
        <v>105.2</v>
      </c>
      <c r="F34648" s="5">
        <v>209.9</v>
      </c>
      <c r="G34648" s="5">
        <v>104.7</v>
      </c>
      <c r="H34648" s="5">
        <v>104.5</v>
      </c>
      <c r="I34648" s="5">
        <v>0</v>
      </c>
      <c r="J34648" s="5">
        <v>0</v>
      </c>
      <c r="K34648" s="5">
        <v>0</v>
      </c>
    </row>
    <row r="34649" spans="1:11" x14ac:dyDescent="0.25">
      <c r="A34649" s="5">
        <f>34642</f>
      </c>
      <c r="B34649" s="5" t="s">
        <v>34657</v>
      </c>
      <c r="C34649" s="5">
        <v>105</v>
      </c>
      <c r="D34649" s="5">
        <v>0.1</v>
      </c>
      <c r="E34649" s="5">
        <v>105.2</v>
      </c>
      <c r="F34649" s="5">
        <v>209.9</v>
      </c>
      <c r="G34649" s="5">
        <v>104.7</v>
      </c>
      <c r="H34649" s="5">
        <v>104.5</v>
      </c>
      <c r="I34649" s="5">
        <v>0</v>
      </c>
      <c r="J34649" s="5">
        <v>0</v>
      </c>
      <c r="K34649" s="5">
        <v>0</v>
      </c>
    </row>
    <row r="34650" spans="1:11" x14ac:dyDescent="0.25">
      <c r="A34650" s="5">
        <f>34643</f>
      </c>
      <c r="B34650" s="5" t="s">
        <v>34658</v>
      </c>
      <c r="C34650" s="5">
        <v>104.7</v>
      </c>
      <c r="D34650" s="5">
        <v>0.1</v>
      </c>
      <c r="E34650" s="5">
        <v>104.8</v>
      </c>
      <c r="F34650" s="5">
        <v>209.4</v>
      </c>
      <c r="G34650" s="5">
        <v>104.5</v>
      </c>
      <c r="H34650" s="5">
        <v>104.3</v>
      </c>
      <c r="I34650" s="5">
        <v>0</v>
      </c>
      <c r="J34650" s="5">
        <v>0</v>
      </c>
      <c r="K34650" s="5">
        <v>0</v>
      </c>
    </row>
    <row r="34651" spans="1:11" x14ac:dyDescent="0.25">
      <c r="A34651" s="5">
        <f>34644</f>
      </c>
      <c r="B34651" s="5" t="s">
        <v>34659</v>
      </c>
      <c r="C34651" s="5">
        <v>104.7</v>
      </c>
      <c r="D34651" s="5">
        <v>0.1</v>
      </c>
      <c r="E34651" s="5">
        <v>104.8</v>
      </c>
      <c r="F34651" s="5">
        <v>209.4</v>
      </c>
      <c r="G34651" s="5">
        <v>104.5</v>
      </c>
      <c r="H34651" s="5">
        <v>104.3</v>
      </c>
      <c r="I34651" s="5">
        <v>0</v>
      </c>
      <c r="J34651" s="5">
        <v>0</v>
      </c>
      <c r="K34651" s="5">
        <v>0</v>
      </c>
    </row>
    <row r="34652" spans="1:11" x14ac:dyDescent="0.25">
      <c r="A34652" s="5">
        <f>34645</f>
      </c>
      <c r="B34652" s="5" t="s">
        <v>34660</v>
      </c>
      <c r="C34652" s="5">
        <v>104.3</v>
      </c>
      <c r="D34652" s="5">
        <v>0.1</v>
      </c>
      <c r="E34652" s="5">
        <v>104.4</v>
      </c>
      <c r="F34652" s="5">
        <v>208.7</v>
      </c>
      <c r="G34652" s="5">
        <v>104.1</v>
      </c>
      <c r="H34652" s="5">
        <v>104</v>
      </c>
      <c r="I34652" s="5">
        <v>0</v>
      </c>
      <c r="J34652" s="5">
        <v>0</v>
      </c>
      <c r="K34652" s="5">
        <v>0</v>
      </c>
    </row>
    <row r="34653" spans="1:11" x14ac:dyDescent="0.25">
      <c r="A34653" s="5">
        <f>34646</f>
      </c>
      <c r="B34653" s="5" t="s">
        <v>34661</v>
      </c>
      <c r="C34653" s="5">
        <v>104.3</v>
      </c>
      <c r="D34653" s="5">
        <v>0.1</v>
      </c>
      <c r="E34653" s="5">
        <v>104.4</v>
      </c>
      <c r="F34653" s="5">
        <v>208.7</v>
      </c>
      <c r="G34653" s="5">
        <v>104.1</v>
      </c>
      <c r="H34653" s="5">
        <v>104</v>
      </c>
      <c r="I34653" s="5">
        <v>0</v>
      </c>
      <c r="J34653" s="5">
        <v>0</v>
      </c>
      <c r="K34653" s="5">
        <v>0</v>
      </c>
    </row>
    <row r="34654" spans="1:11" x14ac:dyDescent="0.25">
      <c r="A34654" s="5">
        <f>34647</f>
      </c>
      <c r="B34654" s="5" t="s">
        <v>34662</v>
      </c>
      <c r="C34654" s="5">
        <v>103.8</v>
      </c>
      <c r="D34654" s="5">
        <v>0.1</v>
      </c>
      <c r="E34654" s="5">
        <v>104</v>
      </c>
      <c r="F34654" s="5">
        <v>208.7</v>
      </c>
      <c r="G34654" s="5">
        <v>104</v>
      </c>
      <c r="H34654" s="5">
        <v>103.8</v>
      </c>
      <c r="I34654" s="5">
        <v>0</v>
      </c>
      <c r="J34654" s="5">
        <v>0</v>
      </c>
      <c r="K34654" s="5">
        <v>0</v>
      </c>
    </row>
    <row r="34655" spans="1:11" x14ac:dyDescent="0.25">
      <c r="A34655" s="5">
        <f>34648</f>
      </c>
      <c r="B34655" s="5" t="s">
        <v>34663</v>
      </c>
      <c r="C34655" s="5">
        <v>103.8</v>
      </c>
      <c r="D34655" s="5">
        <v>0.1</v>
      </c>
      <c r="E34655" s="5">
        <v>104</v>
      </c>
      <c r="F34655" s="5">
        <v>208.7</v>
      </c>
      <c r="G34655" s="5">
        <v>104</v>
      </c>
      <c r="H34655" s="5">
        <v>103.8</v>
      </c>
      <c r="I34655" s="5">
        <v>0</v>
      </c>
      <c r="J34655" s="5">
        <v>0</v>
      </c>
      <c r="K34655" s="5">
        <v>0</v>
      </c>
    </row>
    <row r="34656" spans="1:11" x14ac:dyDescent="0.25">
      <c r="A34656" s="5">
        <f>34649</f>
      </c>
      <c r="B34656" s="5" t="s">
        <v>34664</v>
      </c>
      <c r="C34656" s="5">
        <v>105.1</v>
      </c>
      <c r="D34656" s="5">
        <v>0.1</v>
      </c>
      <c r="E34656" s="5">
        <v>105.3</v>
      </c>
      <c r="F34656" s="5">
        <v>209.5</v>
      </c>
      <c r="G34656" s="5">
        <v>104.5</v>
      </c>
      <c r="H34656" s="5">
        <v>104.3</v>
      </c>
      <c r="I34656" s="5">
        <v>0</v>
      </c>
      <c r="J34656" s="5">
        <v>0</v>
      </c>
      <c r="K34656" s="5">
        <v>0</v>
      </c>
    </row>
    <row r="34657" spans="1:11" x14ac:dyDescent="0.25">
      <c r="A34657" s="5">
        <f>34650</f>
      </c>
      <c r="B34657" s="5" t="s">
        <v>34665</v>
      </c>
      <c r="C34657" s="5">
        <v>105.1</v>
      </c>
      <c r="D34657" s="5">
        <v>0.1</v>
      </c>
      <c r="E34657" s="5">
        <v>105.3</v>
      </c>
      <c r="F34657" s="5">
        <v>209.5</v>
      </c>
      <c r="G34657" s="5">
        <v>104.5</v>
      </c>
      <c r="H34657" s="5">
        <v>104.3</v>
      </c>
      <c r="I34657" s="5">
        <v>0</v>
      </c>
      <c r="J34657" s="5">
        <v>0</v>
      </c>
      <c r="K34657" s="5">
        <v>0</v>
      </c>
    </row>
    <row r="34658" spans="1:11" x14ac:dyDescent="0.25">
      <c r="A34658" s="5">
        <f>34651</f>
      </c>
      <c r="B34658" s="5" t="s">
        <v>34666</v>
      </c>
      <c r="C34658" s="5">
        <v>105</v>
      </c>
      <c r="D34658" s="5">
        <v>0.1</v>
      </c>
      <c r="E34658" s="5">
        <v>105.1</v>
      </c>
      <c r="F34658" s="5">
        <v>209.2</v>
      </c>
      <c r="G34658" s="5">
        <v>104.4</v>
      </c>
      <c r="H34658" s="5">
        <v>104.2</v>
      </c>
      <c r="I34658" s="5">
        <v>0</v>
      </c>
      <c r="J34658" s="5">
        <v>0</v>
      </c>
      <c r="K34658" s="5">
        <v>0</v>
      </c>
    </row>
    <row r="34659" spans="1:11" x14ac:dyDescent="0.25">
      <c r="A34659" s="5">
        <f>34652</f>
      </c>
      <c r="B34659" s="5" t="s">
        <v>34667</v>
      </c>
      <c r="C34659" s="5">
        <v>105</v>
      </c>
      <c r="D34659" s="5">
        <v>0.1</v>
      </c>
      <c r="E34659" s="5">
        <v>105.1</v>
      </c>
      <c r="F34659" s="5">
        <v>209.2</v>
      </c>
      <c r="G34659" s="5">
        <v>104.4</v>
      </c>
      <c r="H34659" s="5">
        <v>104.2</v>
      </c>
      <c r="I34659" s="5">
        <v>0</v>
      </c>
      <c r="J34659" s="5">
        <v>0</v>
      </c>
      <c r="K34659" s="5">
        <v>0</v>
      </c>
    </row>
    <row r="34660" spans="1:11" x14ac:dyDescent="0.25">
      <c r="A34660" s="5">
        <f>34653</f>
      </c>
      <c r="B34660" s="5" t="s">
        <v>34668</v>
      </c>
      <c r="C34660" s="5">
        <v>105</v>
      </c>
      <c r="D34660" s="5">
        <v>0.1</v>
      </c>
      <c r="E34660" s="5">
        <v>105.1</v>
      </c>
      <c r="F34660" s="5">
        <v>209.2</v>
      </c>
      <c r="G34660" s="5">
        <v>104.4</v>
      </c>
      <c r="H34660" s="5">
        <v>104.2</v>
      </c>
      <c r="I34660" s="5">
        <v>0</v>
      </c>
      <c r="J34660" s="5">
        <v>0</v>
      </c>
      <c r="K34660" s="5">
        <v>0</v>
      </c>
    </row>
    <row r="34661" spans="1:11" x14ac:dyDescent="0.25">
      <c r="A34661" s="5">
        <f>34654</f>
      </c>
      <c r="B34661" s="5" t="s">
        <v>34669</v>
      </c>
      <c r="C34661" s="5">
        <v>105</v>
      </c>
      <c r="D34661" s="5">
        <v>0.1</v>
      </c>
      <c r="E34661" s="5">
        <v>105.1</v>
      </c>
      <c r="F34661" s="5">
        <v>209.2</v>
      </c>
      <c r="G34661" s="5">
        <v>104.4</v>
      </c>
      <c r="H34661" s="5">
        <v>104.2</v>
      </c>
      <c r="I34661" s="5">
        <v>0</v>
      </c>
      <c r="J34661" s="5">
        <v>0</v>
      </c>
      <c r="K34661" s="5">
        <v>0</v>
      </c>
    </row>
    <row r="34662" spans="1:11" x14ac:dyDescent="0.25">
      <c r="A34662" s="5">
        <f>34655</f>
      </c>
      <c r="B34662" s="5" t="s">
        <v>34670</v>
      </c>
      <c r="C34662" s="5">
        <v>104.1</v>
      </c>
      <c r="D34662" s="5">
        <v>0.1</v>
      </c>
      <c r="E34662" s="5">
        <v>104.3</v>
      </c>
      <c r="F34662" s="5">
        <v>208.1</v>
      </c>
      <c r="G34662" s="5">
        <v>103.8</v>
      </c>
      <c r="H34662" s="5">
        <v>103.6</v>
      </c>
      <c r="I34662" s="5">
        <v>0</v>
      </c>
      <c r="J34662" s="5">
        <v>0</v>
      </c>
      <c r="K34662" s="5">
        <v>0</v>
      </c>
    </row>
    <row r="34663" spans="1:11" x14ac:dyDescent="0.25">
      <c r="A34663" s="5">
        <f>34656</f>
      </c>
      <c r="B34663" s="5" t="s">
        <v>34671</v>
      </c>
      <c r="C34663" s="5">
        <v>104.1</v>
      </c>
      <c r="D34663" s="5">
        <v>0.1</v>
      </c>
      <c r="E34663" s="5">
        <v>104.3</v>
      </c>
      <c r="F34663" s="5">
        <v>208.1</v>
      </c>
      <c r="G34663" s="5">
        <v>103.8</v>
      </c>
      <c r="H34663" s="5">
        <v>103.6</v>
      </c>
      <c r="I34663" s="5">
        <v>0</v>
      </c>
      <c r="J34663" s="5">
        <v>0</v>
      </c>
      <c r="K34663" s="5">
        <v>0</v>
      </c>
    </row>
    <row r="34664" spans="1:11" x14ac:dyDescent="0.25">
      <c r="A34664" s="5">
        <f>34657</f>
      </c>
      <c r="B34664" s="5" t="s">
        <v>34672</v>
      </c>
      <c r="C34664" s="5">
        <v>104.6</v>
      </c>
      <c r="D34664" s="5">
        <v>0.1</v>
      </c>
      <c r="E34664" s="5">
        <v>104.8</v>
      </c>
      <c r="F34664" s="5">
        <v>208.8</v>
      </c>
      <c r="G34664" s="5">
        <v>104.2</v>
      </c>
      <c r="H34664" s="5">
        <v>104</v>
      </c>
      <c r="I34664" s="5">
        <v>0</v>
      </c>
      <c r="J34664" s="5">
        <v>0</v>
      </c>
      <c r="K34664" s="5">
        <v>0</v>
      </c>
    </row>
    <row r="34665" spans="1:11" x14ac:dyDescent="0.25">
      <c r="A34665" s="5">
        <f>34658</f>
      </c>
      <c r="B34665" s="5" t="s">
        <v>34673</v>
      </c>
      <c r="C34665" s="5">
        <v>104.6</v>
      </c>
      <c r="D34665" s="5">
        <v>0.1</v>
      </c>
      <c r="E34665" s="5">
        <v>104.8</v>
      </c>
      <c r="F34665" s="5">
        <v>208.8</v>
      </c>
      <c r="G34665" s="5">
        <v>104.2</v>
      </c>
      <c r="H34665" s="5">
        <v>104</v>
      </c>
      <c r="I34665" s="5">
        <v>0</v>
      </c>
      <c r="J34665" s="5">
        <v>0</v>
      </c>
      <c r="K34665" s="5">
        <v>0</v>
      </c>
    </row>
    <row r="34666" spans="1:11" x14ac:dyDescent="0.25">
      <c r="A34666" s="5">
        <f>34659</f>
      </c>
      <c r="B34666" s="5" t="s">
        <v>34674</v>
      </c>
      <c r="C34666" s="5">
        <v>104.7</v>
      </c>
      <c r="D34666" s="5">
        <v>0.1</v>
      </c>
      <c r="E34666" s="5">
        <v>104.9</v>
      </c>
      <c r="F34666" s="5">
        <v>209.2</v>
      </c>
      <c r="G34666" s="5">
        <v>104.4</v>
      </c>
      <c r="H34666" s="5">
        <v>104.3</v>
      </c>
      <c r="I34666" s="5">
        <v>0</v>
      </c>
      <c r="J34666" s="5">
        <v>0</v>
      </c>
      <c r="K34666" s="5">
        <v>0</v>
      </c>
    </row>
    <row r="34667" spans="1:11" x14ac:dyDescent="0.25">
      <c r="A34667" s="5">
        <f>34660</f>
      </c>
      <c r="B34667" s="5" t="s">
        <v>34675</v>
      </c>
      <c r="C34667" s="5">
        <v>104.7</v>
      </c>
      <c r="D34667" s="5">
        <v>0.1</v>
      </c>
      <c r="E34667" s="5">
        <v>104.9</v>
      </c>
      <c r="F34667" s="5">
        <v>209.2</v>
      </c>
      <c r="G34667" s="5">
        <v>104.4</v>
      </c>
      <c r="H34667" s="5">
        <v>104.3</v>
      </c>
      <c r="I34667" s="5">
        <v>0</v>
      </c>
      <c r="J34667" s="5">
        <v>0</v>
      </c>
      <c r="K34667" s="5">
        <v>0</v>
      </c>
    </row>
    <row r="34668" spans="1:11" x14ac:dyDescent="0.25">
      <c r="A34668" s="5">
        <f>34661</f>
      </c>
      <c r="B34668" s="5" t="s">
        <v>34676</v>
      </c>
      <c r="C34668" s="5">
        <v>104.6</v>
      </c>
      <c r="D34668" s="5">
        <v>0.1</v>
      </c>
      <c r="E34668" s="5">
        <v>104.8</v>
      </c>
      <c r="F34668" s="5">
        <v>209.3</v>
      </c>
      <c r="G34668" s="5">
        <v>104.4</v>
      </c>
      <c r="H34668" s="5">
        <v>104.3</v>
      </c>
      <c r="I34668" s="5">
        <v>0</v>
      </c>
      <c r="J34668" s="5">
        <v>0</v>
      </c>
      <c r="K34668" s="5">
        <v>0</v>
      </c>
    </row>
    <row r="34669" spans="1:11" x14ac:dyDescent="0.25">
      <c r="A34669" s="5">
        <f>34662</f>
      </c>
      <c r="B34669" s="5" t="s">
        <v>34677</v>
      </c>
      <c r="C34669" s="5">
        <v>104.6</v>
      </c>
      <c r="D34669" s="5">
        <v>0.1</v>
      </c>
      <c r="E34669" s="5">
        <v>104.8</v>
      </c>
      <c r="F34669" s="5">
        <v>209.3</v>
      </c>
      <c r="G34669" s="5">
        <v>104.4</v>
      </c>
      <c r="H34669" s="5">
        <v>104.3</v>
      </c>
      <c r="I34669" s="5">
        <v>0</v>
      </c>
      <c r="J34669" s="5">
        <v>0</v>
      </c>
      <c r="K34669" s="5">
        <v>0</v>
      </c>
    </row>
    <row r="34670" spans="1:11" x14ac:dyDescent="0.25">
      <c r="A34670" s="5">
        <f>34663</f>
      </c>
      <c r="B34670" s="5" t="s">
        <v>34678</v>
      </c>
      <c r="C34670" s="5">
        <v>104.6</v>
      </c>
      <c r="D34670" s="5">
        <v>0.1</v>
      </c>
      <c r="E34670" s="5">
        <v>104.8</v>
      </c>
      <c r="F34670" s="5">
        <v>209.3</v>
      </c>
      <c r="G34670" s="5">
        <v>104.4</v>
      </c>
      <c r="H34670" s="5">
        <v>104.3</v>
      </c>
      <c r="I34670" s="5">
        <v>0</v>
      </c>
      <c r="J34670" s="5">
        <v>0</v>
      </c>
      <c r="K34670" s="5">
        <v>0</v>
      </c>
    </row>
    <row r="34671" spans="1:11" x14ac:dyDescent="0.25">
      <c r="A34671" s="5">
        <f>34664</f>
      </c>
      <c r="B34671" s="5" t="s">
        <v>34679</v>
      </c>
      <c r="C34671" s="5">
        <v>104.6</v>
      </c>
      <c r="D34671" s="5">
        <v>0.1</v>
      </c>
      <c r="E34671" s="5">
        <v>104.8</v>
      </c>
      <c r="F34671" s="5">
        <v>208.6</v>
      </c>
      <c r="G34671" s="5">
        <v>104</v>
      </c>
      <c r="H34671" s="5">
        <v>103.8</v>
      </c>
      <c r="I34671" s="5">
        <v>0</v>
      </c>
      <c r="J34671" s="5">
        <v>0</v>
      </c>
      <c r="K34671" s="5">
        <v>0</v>
      </c>
    </row>
    <row r="34672" spans="1:11" x14ac:dyDescent="0.25">
      <c r="A34672" s="5">
        <f>34665</f>
      </c>
      <c r="B34672" s="5" t="s">
        <v>34680</v>
      </c>
      <c r="C34672" s="5">
        <v>103.8</v>
      </c>
      <c r="D34672" s="5">
        <v>0.1</v>
      </c>
      <c r="E34672" s="5">
        <v>104</v>
      </c>
      <c r="F34672" s="5">
        <v>208.6</v>
      </c>
      <c r="G34672" s="5">
        <v>104</v>
      </c>
      <c r="H34672" s="5">
        <v>103.8</v>
      </c>
      <c r="I34672" s="5">
        <v>0</v>
      </c>
      <c r="J34672" s="5">
        <v>0</v>
      </c>
      <c r="K34672" s="5">
        <v>0</v>
      </c>
    </row>
    <row r="34673" spans="1:11" x14ac:dyDescent="0.25">
      <c r="A34673" s="5">
        <f>34666</f>
      </c>
      <c r="B34673" s="5" t="s">
        <v>34681</v>
      </c>
      <c r="C34673" s="5">
        <v>103.8</v>
      </c>
      <c r="D34673" s="5">
        <v>0.1</v>
      </c>
      <c r="E34673" s="5">
        <v>104</v>
      </c>
      <c r="F34673" s="5">
        <v>208.6</v>
      </c>
      <c r="G34673" s="5">
        <v>104</v>
      </c>
      <c r="H34673" s="5">
        <v>103.9</v>
      </c>
      <c r="I34673" s="5">
        <v>0</v>
      </c>
      <c r="J34673" s="5">
        <v>0</v>
      </c>
      <c r="K34673" s="5">
        <v>0</v>
      </c>
    </row>
    <row r="34674" spans="1:11" x14ac:dyDescent="0.25">
      <c r="A34674" s="5">
        <f>34667</f>
      </c>
      <c r="B34674" s="5" t="s">
        <v>34682</v>
      </c>
      <c r="C34674" s="5">
        <v>103.7</v>
      </c>
      <c r="D34674" s="5">
        <v>0.1</v>
      </c>
      <c r="E34674" s="5">
        <v>103.9</v>
      </c>
      <c r="F34674" s="5">
        <v>208.6</v>
      </c>
      <c r="G34674" s="5">
        <v>104</v>
      </c>
      <c r="H34674" s="5">
        <v>103.9</v>
      </c>
      <c r="I34674" s="5">
        <v>0</v>
      </c>
      <c r="J34674" s="5">
        <v>0</v>
      </c>
      <c r="K34674" s="5">
        <v>0</v>
      </c>
    </row>
    <row r="34675" spans="1:11" x14ac:dyDescent="0.25">
      <c r="A34675" s="5">
        <f>34668</f>
      </c>
      <c r="B34675" s="5" t="s">
        <v>34683</v>
      </c>
      <c r="C34675" s="5">
        <v>103.7</v>
      </c>
      <c r="D34675" s="5">
        <v>0.1</v>
      </c>
      <c r="E34675" s="5">
        <v>103.9</v>
      </c>
      <c r="F34675" s="5">
        <v>208.6</v>
      </c>
      <c r="G34675" s="5">
        <v>104</v>
      </c>
      <c r="H34675" s="5">
        <v>104.2</v>
      </c>
      <c r="I34675" s="5">
        <v>0</v>
      </c>
      <c r="J34675" s="5">
        <v>0</v>
      </c>
      <c r="K34675" s="5">
        <v>0</v>
      </c>
    </row>
    <row r="34676" spans="1:11" x14ac:dyDescent="0.25">
      <c r="A34676" s="5">
        <f>34669</f>
      </c>
      <c r="B34676" s="5" t="s">
        <v>34684</v>
      </c>
      <c r="C34676" s="5">
        <v>104.6</v>
      </c>
      <c r="D34676" s="5">
        <v>0.1</v>
      </c>
      <c r="E34676" s="5">
        <v>104.7</v>
      </c>
      <c r="F34676" s="5">
        <v>209.2</v>
      </c>
      <c r="G34676" s="5">
        <v>104.4</v>
      </c>
      <c r="H34676" s="5">
        <v>104.2</v>
      </c>
      <c r="I34676" s="5">
        <v>0</v>
      </c>
      <c r="J34676" s="5">
        <v>0</v>
      </c>
      <c r="K34676" s="5">
        <v>0</v>
      </c>
    </row>
    <row r="34677" spans="1:11" x14ac:dyDescent="0.25">
      <c r="A34677" s="5">
        <f>34670</f>
      </c>
      <c r="B34677" s="5" t="s">
        <v>34685</v>
      </c>
      <c r="C34677" s="5">
        <v>104.6</v>
      </c>
      <c r="D34677" s="5">
        <v>0.1</v>
      </c>
      <c r="E34677" s="5">
        <v>104.7</v>
      </c>
      <c r="F34677" s="5">
        <v>209.2</v>
      </c>
      <c r="G34677" s="5">
        <v>104.4</v>
      </c>
      <c r="H34677" s="5">
        <v>104.2</v>
      </c>
      <c r="I34677" s="5">
        <v>0</v>
      </c>
      <c r="J34677" s="5">
        <v>0</v>
      </c>
      <c r="K34677" s="5">
        <v>0</v>
      </c>
    </row>
    <row r="34678" spans="1:11" x14ac:dyDescent="0.25">
      <c r="A34678" s="5">
        <f>34671</f>
      </c>
      <c r="B34678" s="5" t="s">
        <v>34686</v>
      </c>
      <c r="C34678" s="5">
        <v>104.9</v>
      </c>
      <c r="D34678" s="5">
        <v>0.1</v>
      </c>
      <c r="E34678" s="5">
        <v>105</v>
      </c>
      <c r="F34678" s="5">
        <v>209.1</v>
      </c>
      <c r="G34678" s="5">
        <v>104.4</v>
      </c>
      <c r="H34678" s="5">
        <v>104.2</v>
      </c>
      <c r="I34678" s="5">
        <v>0</v>
      </c>
      <c r="J34678" s="5">
        <v>0</v>
      </c>
      <c r="K34678" s="5">
        <v>0</v>
      </c>
    </row>
    <row r="34679" spans="1:11" x14ac:dyDescent="0.25">
      <c r="A34679" s="5">
        <f>34672</f>
      </c>
      <c r="B34679" s="5" t="s">
        <v>34687</v>
      </c>
      <c r="C34679" s="5">
        <v>104.9</v>
      </c>
      <c r="D34679" s="5">
        <v>0.1</v>
      </c>
      <c r="E34679" s="5">
        <v>105</v>
      </c>
      <c r="F34679" s="5">
        <v>209.1</v>
      </c>
      <c r="G34679" s="5">
        <v>104.4</v>
      </c>
      <c r="H34679" s="5">
        <v>104.2</v>
      </c>
      <c r="I34679" s="5">
        <v>0</v>
      </c>
      <c r="J34679" s="5">
        <v>0</v>
      </c>
      <c r="K34679" s="5">
        <v>0</v>
      </c>
    </row>
    <row r="34680" spans="1:11" x14ac:dyDescent="0.25">
      <c r="A34680" s="5">
        <f>34673</f>
      </c>
      <c r="B34680" s="5" t="s">
        <v>34688</v>
      </c>
      <c r="C34680" s="5">
        <v>104.9</v>
      </c>
      <c r="D34680" s="5">
        <v>0.1</v>
      </c>
      <c r="E34680" s="5">
        <v>105</v>
      </c>
      <c r="F34680" s="5">
        <v>209.1</v>
      </c>
      <c r="G34680" s="5">
        <v>104.4</v>
      </c>
      <c r="H34680" s="5">
        <v>104.2</v>
      </c>
      <c r="I34680" s="5">
        <v>0</v>
      </c>
      <c r="J34680" s="5">
        <v>0</v>
      </c>
      <c r="K34680" s="5">
        <v>0</v>
      </c>
    </row>
    <row r="34681" spans="1:11" x14ac:dyDescent="0.25">
      <c r="A34681" s="5">
        <f>34674</f>
      </c>
      <c r="B34681" s="5" t="s">
        <v>34689</v>
      </c>
      <c r="C34681" s="5">
        <v>105</v>
      </c>
      <c r="D34681" s="5">
        <v>0.1</v>
      </c>
      <c r="E34681" s="5">
        <v>105.1</v>
      </c>
      <c r="F34681" s="5">
        <v>209.3</v>
      </c>
      <c r="G34681" s="5">
        <v>104.5</v>
      </c>
      <c r="H34681" s="5">
        <v>104.3</v>
      </c>
      <c r="I34681" s="5">
        <v>0</v>
      </c>
      <c r="J34681" s="5">
        <v>0</v>
      </c>
      <c r="K34681" s="5">
        <v>0</v>
      </c>
    </row>
    <row r="34682" spans="1:11" x14ac:dyDescent="0.25">
      <c r="A34682" s="5">
        <f>34675</f>
      </c>
      <c r="B34682" s="5" t="s">
        <v>34690</v>
      </c>
      <c r="C34682" s="5">
        <v>105</v>
      </c>
      <c r="D34682" s="5">
        <v>0.1</v>
      </c>
      <c r="E34682" s="5">
        <v>105.1</v>
      </c>
      <c r="F34682" s="5">
        <v>209.3</v>
      </c>
      <c r="G34682" s="5">
        <v>104.5</v>
      </c>
      <c r="H34682" s="5">
        <v>104.3</v>
      </c>
      <c r="I34682" s="5">
        <v>0</v>
      </c>
      <c r="J34682" s="5">
        <v>0</v>
      </c>
      <c r="K34682" s="5">
        <v>0</v>
      </c>
    </row>
    <row r="34683" spans="1:11" x14ac:dyDescent="0.25">
      <c r="A34683" s="5">
        <f>34676</f>
      </c>
      <c r="B34683" s="5" t="s">
        <v>34691</v>
      </c>
      <c r="C34683" s="5">
        <v>104.3</v>
      </c>
      <c r="D34683" s="5">
        <v>0.1</v>
      </c>
      <c r="E34683" s="5">
        <v>104.4</v>
      </c>
      <c r="F34683" s="5">
        <v>208.4</v>
      </c>
      <c r="G34683" s="5">
        <v>104</v>
      </c>
      <c r="H34683" s="5">
        <v>103.8</v>
      </c>
      <c r="I34683" s="5">
        <v>0</v>
      </c>
      <c r="J34683" s="5">
        <v>0</v>
      </c>
      <c r="K34683" s="5">
        <v>0</v>
      </c>
    </row>
    <row r="34684" spans="1:11" x14ac:dyDescent="0.25">
      <c r="A34684" s="5">
        <f>34677</f>
      </c>
      <c r="B34684" s="5" t="s">
        <v>34692</v>
      </c>
      <c r="C34684" s="5">
        <v>104.3</v>
      </c>
      <c r="D34684" s="5">
        <v>0.1</v>
      </c>
      <c r="E34684" s="5">
        <v>104.4</v>
      </c>
      <c r="F34684" s="5">
        <v>208.4</v>
      </c>
      <c r="G34684" s="5">
        <v>104</v>
      </c>
      <c r="H34684" s="5">
        <v>103.8</v>
      </c>
      <c r="I34684" s="5">
        <v>0</v>
      </c>
      <c r="J34684" s="5">
        <v>0</v>
      </c>
      <c r="K34684" s="5">
        <v>0</v>
      </c>
    </row>
    <row r="34685" spans="1:11" x14ac:dyDescent="0.25">
      <c r="A34685" s="5">
        <f>34678</f>
      </c>
      <c r="B34685" s="5" t="s">
        <v>34693</v>
      </c>
      <c r="C34685" s="5">
        <v>104.6</v>
      </c>
      <c r="D34685" s="5">
        <v>0.1</v>
      </c>
      <c r="E34685" s="5">
        <v>104.7</v>
      </c>
      <c r="F34685" s="5">
        <v>208.9</v>
      </c>
      <c r="G34685" s="5">
        <v>104.2</v>
      </c>
      <c r="H34685" s="5">
        <v>104.1</v>
      </c>
      <c r="I34685" s="5">
        <v>0</v>
      </c>
      <c r="J34685" s="5">
        <v>0</v>
      </c>
      <c r="K34685" s="5">
        <v>0</v>
      </c>
    </row>
    <row r="34686" spans="1:11" x14ac:dyDescent="0.25">
      <c r="A34686" s="5">
        <f>34679</f>
      </c>
      <c r="B34686" s="5" t="s">
        <v>34694</v>
      </c>
      <c r="C34686" s="5">
        <v>104.6</v>
      </c>
      <c r="D34686" s="5">
        <v>0.1</v>
      </c>
      <c r="E34686" s="5">
        <v>104.7</v>
      </c>
      <c r="F34686" s="5">
        <v>208.9</v>
      </c>
      <c r="G34686" s="5">
        <v>104.2</v>
      </c>
      <c r="H34686" s="5">
        <v>104.1</v>
      </c>
      <c r="I34686" s="5">
        <v>0</v>
      </c>
      <c r="J34686" s="5">
        <v>0</v>
      </c>
      <c r="K34686" s="5">
        <v>0</v>
      </c>
    </row>
    <row r="34687" spans="1:11" x14ac:dyDescent="0.25">
      <c r="A34687" s="5">
        <f>34680</f>
      </c>
      <c r="B34687" s="5" t="s">
        <v>34695</v>
      </c>
      <c r="C34687" s="5">
        <v>103.5</v>
      </c>
      <c r="D34687" s="5">
        <v>0.1</v>
      </c>
      <c r="E34687" s="5">
        <v>103.6</v>
      </c>
      <c r="F34687" s="5">
        <v>206.6</v>
      </c>
      <c r="G34687" s="5">
        <v>103.1</v>
      </c>
      <c r="H34687" s="5">
        <v>102.9</v>
      </c>
      <c r="I34687" s="5">
        <v>0</v>
      </c>
      <c r="J34687" s="5">
        <v>0</v>
      </c>
      <c r="K34687" s="5">
        <v>0</v>
      </c>
    </row>
    <row r="34688" spans="1:11" x14ac:dyDescent="0.25">
      <c r="A34688" s="5">
        <f>34681</f>
      </c>
      <c r="B34688" s="5" t="s">
        <v>34696</v>
      </c>
      <c r="C34688" s="5">
        <v>103.5</v>
      </c>
      <c r="D34688" s="5">
        <v>0.1</v>
      </c>
      <c r="E34688" s="5">
        <v>103.6</v>
      </c>
      <c r="F34688" s="5">
        <v>206.6</v>
      </c>
      <c r="G34688" s="5">
        <v>103.1</v>
      </c>
      <c r="H34688" s="5">
        <v>102.9</v>
      </c>
      <c r="I34688" s="5">
        <v>0</v>
      </c>
      <c r="J34688" s="5">
        <v>0</v>
      </c>
      <c r="K34688" s="5">
        <v>0</v>
      </c>
    </row>
    <row r="34689" spans="1:11" x14ac:dyDescent="0.25">
      <c r="A34689" s="5">
        <f>34682</f>
      </c>
      <c r="B34689" s="5" t="s">
        <v>34697</v>
      </c>
      <c r="C34689" s="5">
        <v>103.5</v>
      </c>
      <c r="D34689" s="5">
        <v>0.1</v>
      </c>
      <c r="E34689" s="5">
        <v>103.6</v>
      </c>
      <c r="F34689" s="5">
        <v>206.6</v>
      </c>
      <c r="G34689" s="5">
        <v>103.1</v>
      </c>
      <c r="H34689" s="5">
        <v>102.9</v>
      </c>
      <c r="I34689" s="5">
        <v>0</v>
      </c>
      <c r="J34689" s="5">
        <v>0</v>
      </c>
      <c r="K34689" s="5">
        <v>0</v>
      </c>
    </row>
    <row r="34690" spans="1:11" x14ac:dyDescent="0.25">
      <c r="A34690" s="5">
        <f>34683</f>
      </c>
      <c r="B34690" s="5" t="s">
        <v>34698</v>
      </c>
      <c r="C34690" s="5">
        <v>103.5</v>
      </c>
      <c r="D34690" s="5">
        <v>0.1</v>
      </c>
      <c r="E34690" s="5">
        <v>103.6</v>
      </c>
      <c r="F34690" s="5">
        <v>206.6</v>
      </c>
      <c r="G34690" s="5">
        <v>103.1</v>
      </c>
      <c r="H34690" s="5">
        <v>102.9</v>
      </c>
      <c r="I34690" s="5">
        <v>0</v>
      </c>
      <c r="J34690" s="5">
        <v>0</v>
      </c>
      <c r="K34690" s="5">
        <v>0</v>
      </c>
    </row>
    <row r="34691" spans="1:11" x14ac:dyDescent="0.25">
      <c r="A34691" s="5">
        <f>34684</f>
      </c>
      <c r="B34691" s="5" t="s">
        <v>34699</v>
      </c>
      <c r="C34691" s="5">
        <v>104.5</v>
      </c>
      <c r="D34691" s="5">
        <v>0.1</v>
      </c>
      <c r="E34691" s="5">
        <v>103.6</v>
      </c>
      <c r="F34691" s="5">
        <v>206.6</v>
      </c>
      <c r="G34691" s="5">
        <v>103.1</v>
      </c>
      <c r="H34691" s="5">
        <v>102.9</v>
      </c>
      <c r="I34691" s="5">
        <v>0</v>
      </c>
      <c r="J34691" s="5">
        <v>0</v>
      </c>
      <c r="K34691" s="5">
        <v>0</v>
      </c>
    </row>
    <row r="34692" spans="1:11" x14ac:dyDescent="0.25">
      <c r="A34692" s="5">
        <f>34685</f>
      </c>
      <c r="B34692" s="5" t="s">
        <v>34700</v>
      </c>
      <c r="C34692" s="5">
        <v>104.5</v>
      </c>
      <c r="D34692" s="5">
        <v>0.1</v>
      </c>
      <c r="E34692" s="5">
        <v>104.6</v>
      </c>
      <c r="F34692" s="5">
        <v>208.3</v>
      </c>
      <c r="G34692" s="5">
        <v>103.9</v>
      </c>
      <c r="H34692" s="5">
        <v>103.8</v>
      </c>
      <c r="I34692" s="5">
        <v>0</v>
      </c>
      <c r="J34692" s="5">
        <v>0</v>
      </c>
      <c r="K34692" s="5">
        <v>0</v>
      </c>
    </row>
    <row r="34693" spans="1:11" x14ac:dyDescent="0.25">
      <c r="A34693" s="5">
        <f>34686</f>
      </c>
      <c r="B34693" s="5" t="s">
        <v>34701</v>
      </c>
      <c r="C34693" s="5">
        <v>104.5</v>
      </c>
      <c r="D34693" s="5">
        <v>0.1</v>
      </c>
      <c r="E34693" s="5">
        <v>104.6</v>
      </c>
      <c r="F34693" s="5">
        <v>208.3</v>
      </c>
      <c r="G34693" s="5">
        <v>103.9</v>
      </c>
      <c r="H34693" s="5">
        <v>103.8</v>
      </c>
      <c r="I34693" s="5">
        <v>0</v>
      </c>
      <c r="J34693" s="5">
        <v>0</v>
      </c>
      <c r="K34693" s="5">
        <v>0</v>
      </c>
    </row>
    <row r="34694" spans="1:11" x14ac:dyDescent="0.25">
      <c r="A34694" s="5">
        <f>34687</f>
      </c>
      <c r="B34694" s="5" t="s">
        <v>34702</v>
      </c>
      <c r="C34694" s="5">
        <v>104.2</v>
      </c>
      <c r="D34694" s="5">
        <v>0.1</v>
      </c>
      <c r="E34694" s="5">
        <v>104.3</v>
      </c>
      <c r="F34694" s="5">
        <v>207.3</v>
      </c>
      <c r="G34694" s="5">
        <v>103.4</v>
      </c>
      <c r="H34694" s="5">
        <v>103.3</v>
      </c>
      <c r="I34694" s="5">
        <v>0</v>
      </c>
      <c r="J34694" s="5">
        <v>0</v>
      </c>
      <c r="K34694" s="5">
        <v>0</v>
      </c>
    </row>
    <row r="34695" spans="1:11" x14ac:dyDescent="0.25">
      <c r="A34695" s="5">
        <f>34688</f>
      </c>
      <c r="B34695" s="5" t="s">
        <v>34703</v>
      </c>
      <c r="C34695" s="5">
        <v>104.2</v>
      </c>
      <c r="D34695" s="5">
        <v>0.1</v>
      </c>
      <c r="E34695" s="5">
        <v>104.3</v>
      </c>
      <c r="F34695" s="5">
        <v>207.3</v>
      </c>
      <c r="G34695" s="5">
        <v>103.4</v>
      </c>
      <c r="H34695" s="5">
        <v>103.3</v>
      </c>
      <c r="I34695" s="5">
        <v>0</v>
      </c>
      <c r="J34695" s="5">
        <v>0</v>
      </c>
      <c r="K34695" s="5">
        <v>0</v>
      </c>
    </row>
    <row r="34696" spans="1:11" x14ac:dyDescent="0.25">
      <c r="A34696" s="5">
        <f>34689</f>
      </c>
      <c r="B34696" s="5" t="s">
        <v>34704</v>
      </c>
      <c r="C34696" s="5">
        <v>104.4</v>
      </c>
      <c r="D34696" s="5">
        <v>0.1</v>
      </c>
      <c r="E34696" s="5">
        <v>104.6</v>
      </c>
      <c r="F34696" s="5">
        <v>209.4</v>
      </c>
      <c r="G34696" s="5">
        <v>104.4</v>
      </c>
      <c r="H34696" s="5">
        <v>104.2</v>
      </c>
      <c r="I34696" s="5">
        <v>0</v>
      </c>
      <c r="J34696" s="5">
        <v>0</v>
      </c>
      <c r="K34696" s="5">
        <v>0</v>
      </c>
    </row>
    <row r="34697" spans="1:11" x14ac:dyDescent="0.25">
      <c r="A34697" s="5">
        <f>34690</f>
      </c>
      <c r="B34697" s="5" t="s">
        <v>34705</v>
      </c>
      <c r="C34697" s="5">
        <v>104.4</v>
      </c>
      <c r="D34697" s="5">
        <v>0.1</v>
      </c>
      <c r="E34697" s="5">
        <v>104.6</v>
      </c>
      <c r="F34697" s="5">
        <v>209.4</v>
      </c>
      <c r="G34697" s="5">
        <v>104.4</v>
      </c>
      <c r="H34697" s="5">
        <v>104.2</v>
      </c>
      <c r="I34697" s="5">
        <v>0</v>
      </c>
      <c r="J34697" s="5">
        <v>0</v>
      </c>
      <c r="K34697" s="5">
        <v>0</v>
      </c>
    </row>
    <row r="34698" spans="1:11" x14ac:dyDescent="0.25">
      <c r="A34698" s="5">
        <f>34691</f>
      </c>
      <c r="B34698" s="5" t="s">
        <v>34706</v>
      </c>
      <c r="C34698" s="5">
        <v>103.9</v>
      </c>
      <c r="D34698" s="5">
        <v>0.1</v>
      </c>
      <c r="E34698" s="5">
        <v>104</v>
      </c>
      <c r="F34698" s="5">
        <v>208.3</v>
      </c>
      <c r="G34698" s="5">
        <v>103.9</v>
      </c>
      <c r="H34698" s="5">
        <v>103.8</v>
      </c>
      <c r="I34698" s="5">
        <v>0</v>
      </c>
      <c r="J34698" s="5">
        <v>0</v>
      </c>
      <c r="K34698" s="5">
        <v>0</v>
      </c>
    </row>
    <row r="34699" spans="1:11" x14ac:dyDescent="0.25">
      <c r="A34699" s="5">
        <f>34692</f>
      </c>
      <c r="B34699" s="5" t="s">
        <v>34707</v>
      </c>
      <c r="C34699" s="5">
        <v>103.9</v>
      </c>
      <c r="D34699" s="5">
        <v>0.1</v>
      </c>
      <c r="E34699" s="5">
        <v>104</v>
      </c>
      <c r="F34699" s="5">
        <v>208.3</v>
      </c>
      <c r="G34699" s="5">
        <v>103.9</v>
      </c>
      <c r="H34699" s="5">
        <v>103.8</v>
      </c>
      <c r="I34699" s="5">
        <v>0</v>
      </c>
      <c r="J34699" s="5">
        <v>0</v>
      </c>
      <c r="K34699" s="5">
        <v>0</v>
      </c>
    </row>
    <row r="34700" spans="1:11" x14ac:dyDescent="0.25">
      <c r="A34700" s="5">
        <f>34693</f>
      </c>
      <c r="B34700" s="5" t="s">
        <v>34708</v>
      </c>
      <c r="C34700" s="5">
        <v>103.9</v>
      </c>
      <c r="D34700" s="5">
        <v>0.1</v>
      </c>
      <c r="E34700" s="5">
        <v>104</v>
      </c>
      <c r="F34700" s="5">
        <v>208.3</v>
      </c>
      <c r="G34700" s="5">
        <v>103.9</v>
      </c>
      <c r="H34700" s="5">
        <v>103.8</v>
      </c>
      <c r="I34700" s="5">
        <v>0</v>
      </c>
      <c r="J34700" s="5">
        <v>0</v>
      </c>
      <c r="K34700" s="5">
        <v>0</v>
      </c>
    </row>
    <row r="34701" spans="1:11" x14ac:dyDescent="0.25">
      <c r="A34701" s="5">
        <f>34694</f>
      </c>
      <c r="B34701" s="5" t="s">
        <v>34709</v>
      </c>
      <c r="C34701" s="5">
        <v>103.9</v>
      </c>
      <c r="D34701" s="5">
        <v>0.1</v>
      </c>
      <c r="E34701" s="5">
        <v>104</v>
      </c>
      <c r="F34701" s="5">
        <v>207</v>
      </c>
      <c r="G34701" s="5">
        <v>103.2</v>
      </c>
      <c r="H34701" s="5">
        <v>103.1</v>
      </c>
      <c r="I34701" s="5">
        <v>0</v>
      </c>
      <c r="J34701" s="5">
        <v>0</v>
      </c>
      <c r="K34701" s="5">
        <v>0</v>
      </c>
    </row>
    <row r="34702" spans="1:11" x14ac:dyDescent="0.25">
      <c r="A34702" s="5">
        <f>34695</f>
      </c>
      <c r="B34702" s="5" t="s">
        <v>34710</v>
      </c>
      <c r="C34702" s="5">
        <v>103.9</v>
      </c>
      <c r="D34702" s="5">
        <v>0.1</v>
      </c>
      <c r="E34702" s="5">
        <v>104</v>
      </c>
      <c r="F34702" s="5">
        <v>207</v>
      </c>
      <c r="G34702" s="5">
        <v>103.2</v>
      </c>
      <c r="H34702" s="5">
        <v>103.1</v>
      </c>
      <c r="I34702" s="5">
        <v>0</v>
      </c>
      <c r="J34702" s="5">
        <v>0</v>
      </c>
      <c r="K34702" s="5">
        <v>0</v>
      </c>
    </row>
    <row r="34703" spans="1:11" x14ac:dyDescent="0.25">
      <c r="A34703" s="5">
        <f>34696</f>
      </c>
      <c r="B34703" s="5" t="s">
        <v>34711</v>
      </c>
      <c r="C34703" s="5">
        <v>103.9</v>
      </c>
      <c r="D34703" s="5">
        <v>0.1</v>
      </c>
      <c r="E34703" s="5">
        <v>104.4</v>
      </c>
      <c r="F34703" s="5">
        <v>207.7</v>
      </c>
      <c r="G34703" s="5">
        <v>103.7</v>
      </c>
      <c r="H34703" s="5">
        <v>103.5</v>
      </c>
      <c r="I34703" s="5">
        <v>0</v>
      </c>
      <c r="J34703" s="5">
        <v>0</v>
      </c>
      <c r="K34703" s="5">
        <v>0</v>
      </c>
    </row>
    <row r="34704" spans="1:11" x14ac:dyDescent="0.25">
      <c r="A34704" s="5">
        <f>34697</f>
      </c>
      <c r="B34704" s="5" t="s">
        <v>34712</v>
      </c>
      <c r="C34704" s="5">
        <v>104.3</v>
      </c>
      <c r="D34704" s="5">
        <v>0.1</v>
      </c>
      <c r="E34704" s="5">
        <v>104.4</v>
      </c>
      <c r="F34704" s="5">
        <v>207.7</v>
      </c>
      <c r="G34704" s="5">
        <v>103.7</v>
      </c>
      <c r="H34704" s="5">
        <v>103.5</v>
      </c>
      <c r="I34704" s="5">
        <v>0</v>
      </c>
      <c r="J34704" s="5">
        <v>0</v>
      </c>
      <c r="K34704" s="5">
        <v>0</v>
      </c>
    </row>
    <row r="34705" spans="1:11" x14ac:dyDescent="0.25">
      <c r="A34705" s="5">
        <f>34698</f>
      </c>
      <c r="B34705" s="5" t="s">
        <v>34713</v>
      </c>
      <c r="C34705" s="5">
        <v>104.3</v>
      </c>
      <c r="D34705" s="5">
        <v>0.1</v>
      </c>
      <c r="E34705" s="5">
        <v>104.1</v>
      </c>
      <c r="F34705" s="5">
        <v>207.7</v>
      </c>
      <c r="G34705" s="5">
        <v>103.6</v>
      </c>
      <c r="H34705" s="5">
        <v>103.5</v>
      </c>
      <c r="I34705" s="5">
        <v>0</v>
      </c>
      <c r="J34705" s="5">
        <v>0</v>
      </c>
      <c r="K34705" s="5">
        <v>0</v>
      </c>
    </row>
    <row r="34706" spans="1:11" x14ac:dyDescent="0.25">
      <c r="A34706" s="5">
        <f>34699</f>
      </c>
      <c r="B34706" s="5" t="s">
        <v>34714</v>
      </c>
      <c r="C34706" s="5">
        <v>104</v>
      </c>
      <c r="D34706" s="5">
        <v>0.1</v>
      </c>
      <c r="E34706" s="5">
        <v>104.1</v>
      </c>
      <c r="F34706" s="5">
        <v>207.7</v>
      </c>
      <c r="G34706" s="5">
        <v>103.6</v>
      </c>
      <c r="H34706" s="5">
        <v>103.5</v>
      </c>
      <c r="I34706" s="5">
        <v>0</v>
      </c>
      <c r="J34706" s="5">
        <v>0</v>
      </c>
      <c r="K34706" s="5">
        <v>0</v>
      </c>
    </row>
    <row r="34707" spans="1:11" x14ac:dyDescent="0.25">
      <c r="A34707" s="5">
        <f>34700</f>
      </c>
      <c r="B34707" s="5" t="s">
        <v>34715</v>
      </c>
      <c r="C34707" s="5">
        <v>104</v>
      </c>
      <c r="D34707" s="5">
        <v>0.1</v>
      </c>
      <c r="E34707" s="5">
        <v>102.6</v>
      </c>
      <c r="F34707" s="5">
        <v>205.1</v>
      </c>
      <c r="G34707" s="5">
        <v>102.3</v>
      </c>
      <c r="H34707" s="5">
        <v>102.2</v>
      </c>
      <c r="I34707" s="5">
        <v>0</v>
      </c>
      <c r="J34707" s="5">
        <v>0</v>
      </c>
      <c r="K34707" s="5">
        <v>0</v>
      </c>
    </row>
    <row r="34708" spans="1:11" x14ac:dyDescent="0.25">
      <c r="A34708" s="5">
        <f>34701</f>
      </c>
      <c r="B34708" s="5" t="s">
        <v>34716</v>
      </c>
      <c r="C34708" s="5">
        <v>102.4</v>
      </c>
      <c r="D34708" s="5">
        <v>0.1</v>
      </c>
      <c r="E34708" s="5">
        <v>102.6</v>
      </c>
      <c r="F34708" s="5">
        <v>205.1</v>
      </c>
      <c r="G34708" s="5">
        <v>102.3</v>
      </c>
      <c r="H34708" s="5">
        <v>102.2</v>
      </c>
      <c r="I34708" s="5">
        <v>0</v>
      </c>
      <c r="J34708" s="5">
        <v>0</v>
      </c>
      <c r="K34708" s="5">
        <v>0</v>
      </c>
    </row>
    <row r="34709" spans="1:11" x14ac:dyDescent="0.25">
      <c r="A34709" s="5">
        <f>34702</f>
      </c>
      <c r="B34709" s="5" t="s">
        <v>34717</v>
      </c>
      <c r="C34709" s="5">
        <v>102.4</v>
      </c>
      <c r="D34709" s="5">
        <v>0.1</v>
      </c>
      <c r="E34709" s="5">
        <v>102.6</v>
      </c>
      <c r="F34709" s="5">
        <v>205.1</v>
      </c>
      <c r="G34709" s="5">
        <v>102.3</v>
      </c>
      <c r="H34709" s="5">
        <v>102.2</v>
      </c>
      <c r="I34709" s="5">
        <v>0</v>
      </c>
      <c r="J34709" s="5">
        <v>0</v>
      </c>
      <c r="K34709" s="5">
        <v>0</v>
      </c>
    </row>
    <row r="34710" spans="1:11" x14ac:dyDescent="0.25">
      <c r="A34710" s="5">
        <f>34703</f>
      </c>
      <c r="B34710" s="5" t="s">
        <v>34718</v>
      </c>
      <c r="C34710" s="5">
        <v>102.4</v>
      </c>
      <c r="D34710" s="5">
        <v>0.1</v>
      </c>
      <c r="E34710" s="5">
        <v>102.6</v>
      </c>
      <c r="F34710" s="5">
        <v>205.1</v>
      </c>
      <c r="G34710" s="5">
        <v>102.3</v>
      </c>
      <c r="H34710" s="5">
        <v>102.2</v>
      </c>
      <c r="I34710" s="5">
        <v>0</v>
      </c>
      <c r="J34710" s="5">
        <v>0</v>
      </c>
      <c r="K34710" s="5">
        <v>0</v>
      </c>
    </row>
    <row r="34711" spans="1:11" x14ac:dyDescent="0.25">
      <c r="A34711" s="5">
        <f>34704</f>
      </c>
      <c r="B34711" s="5" t="s">
        <v>34719</v>
      </c>
      <c r="C34711" s="5">
        <v>101.5</v>
      </c>
      <c r="D34711" s="5">
        <v>0.1</v>
      </c>
      <c r="E34711" s="5">
        <v>101.7</v>
      </c>
      <c r="F34711" s="5">
        <v>202.4</v>
      </c>
      <c r="G34711" s="5">
        <v>101</v>
      </c>
      <c r="H34711" s="5">
        <v>100.8</v>
      </c>
      <c r="I34711" s="5">
        <v>0</v>
      </c>
      <c r="J34711" s="5">
        <v>0</v>
      </c>
      <c r="K34711" s="5">
        <v>0</v>
      </c>
    </row>
    <row r="34712" spans="1:11" x14ac:dyDescent="0.25">
      <c r="A34712" s="5">
        <f>34705</f>
      </c>
      <c r="B34712" s="5" t="s">
        <v>34720</v>
      </c>
      <c r="C34712" s="5">
        <v>101.5</v>
      </c>
      <c r="D34712" s="5">
        <v>0.1</v>
      </c>
      <c r="E34712" s="5">
        <v>101.7</v>
      </c>
      <c r="F34712" s="5">
        <v>202.4</v>
      </c>
      <c r="G34712" s="5">
        <v>101</v>
      </c>
      <c r="H34712" s="5">
        <v>100.8</v>
      </c>
      <c r="I34712" s="5">
        <v>0</v>
      </c>
      <c r="J34712" s="5">
        <v>0</v>
      </c>
      <c r="K34712" s="5">
        <v>0</v>
      </c>
    </row>
    <row r="34713" spans="1:11" x14ac:dyDescent="0.25">
      <c r="A34713" s="5">
        <f>34706</f>
      </c>
      <c r="B34713" s="5" t="s">
        <v>34721</v>
      </c>
      <c r="C34713" s="5">
        <v>101.3</v>
      </c>
      <c r="D34713" s="5">
        <v>0.1</v>
      </c>
      <c r="E34713" s="5">
        <v>101.5</v>
      </c>
      <c r="F34713" s="5">
        <v>201.8</v>
      </c>
      <c r="G34713" s="5">
        <v>100.5</v>
      </c>
      <c r="H34713" s="5">
        <v>100.5</v>
      </c>
      <c r="I34713" s="5">
        <v>0</v>
      </c>
      <c r="J34713" s="5">
        <v>0</v>
      </c>
      <c r="K34713" s="5">
        <v>0</v>
      </c>
    </row>
    <row r="34714" spans="1:11" x14ac:dyDescent="0.25">
      <c r="A34714" s="5">
        <f>34707</f>
      </c>
      <c r="B34714" s="5" t="s">
        <v>34722</v>
      </c>
      <c r="C34714" s="5">
        <v>101.3</v>
      </c>
      <c r="D34714" s="5">
        <v>0.1</v>
      </c>
      <c r="E34714" s="5">
        <v>101.5</v>
      </c>
      <c r="F34714" s="5">
        <v>201.8</v>
      </c>
      <c r="G34714" s="5">
        <v>100.5</v>
      </c>
      <c r="H34714" s="5">
        <v>100.5</v>
      </c>
      <c r="I34714" s="5">
        <v>0</v>
      </c>
      <c r="J34714" s="5">
        <v>0</v>
      </c>
      <c r="K34714" s="5">
        <v>0</v>
      </c>
    </row>
    <row r="34715" spans="1:11" x14ac:dyDescent="0.25">
      <c r="A34715" s="5">
        <f>34708</f>
      </c>
      <c r="B34715" s="5" t="s">
        <v>34723</v>
      </c>
      <c r="C34715" s="5">
        <v>101.2</v>
      </c>
      <c r="D34715" s="5">
        <v>0.1</v>
      </c>
      <c r="E34715" s="5">
        <v>101.4</v>
      </c>
      <c r="F34715" s="5">
        <v>202.3</v>
      </c>
      <c r="G34715" s="5">
        <v>101</v>
      </c>
      <c r="H34715" s="5">
        <v>100.9</v>
      </c>
      <c r="I34715" s="5">
        <v>0</v>
      </c>
      <c r="J34715" s="5">
        <v>0</v>
      </c>
      <c r="K34715" s="5">
        <v>0</v>
      </c>
    </row>
    <row r="34716" spans="1:11" x14ac:dyDescent="0.25">
      <c r="A34716" s="5">
        <f>34709</f>
      </c>
      <c r="B34716" s="5" t="s">
        <v>34724</v>
      </c>
      <c r="C34716" s="5">
        <v>101.2</v>
      </c>
      <c r="D34716" s="5">
        <v>0.1</v>
      </c>
      <c r="E34716" s="5">
        <v>101.4</v>
      </c>
      <c r="F34716" s="5">
        <v>202.3</v>
      </c>
      <c r="G34716" s="5">
        <v>101</v>
      </c>
      <c r="H34716" s="5">
        <v>100.9</v>
      </c>
      <c r="I34716" s="5">
        <v>0</v>
      </c>
      <c r="J34716" s="5">
        <v>0</v>
      </c>
      <c r="K34716" s="5">
        <v>0</v>
      </c>
    </row>
    <row r="34717" spans="1:11" x14ac:dyDescent="0.25">
      <c r="A34717" s="5">
        <f>34710</f>
      </c>
      <c r="B34717" s="5" t="s">
        <v>34725</v>
      </c>
      <c r="C34717" s="5">
        <v>101.4</v>
      </c>
      <c r="D34717" s="5">
        <v>0.1</v>
      </c>
      <c r="E34717" s="5">
        <v>101.5</v>
      </c>
      <c r="F34717" s="5">
        <v>203</v>
      </c>
      <c r="G34717" s="5">
        <v>101.3</v>
      </c>
      <c r="H34717" s="5">
        <v>101.1</v>
      </c>
      <c r="I34717" s="5">
        <v>0</v>
      </c>
      <c r="J34717" s="5">
        <v>0</v>
      </c>
      <c r="K34717" s="5">
        <v>0</v>
      </c>
    </row>
    <row r="34718" spans="1:11" x14ac:dyDescent="0.25">
      <c r="A34718" s="5">
        <f>34711</f>
      </c>
      <c r="B34718" s="5" t="s">
        <v>34726</v>
      </c>
      <c r="C34718" s="5">
        <v>101.4</v>
      </c>
      <c r="D34718" s="5">
        <v>0.1</v>
      </c>
      <c r="E34718" s="5">
        <v>101.5</v>
      </c>
      <c r="F34718" s="5">
        <v>203</v>
      </c>
      <c r="G34718" s="5">
        <v>101.3</v>
      </c>
      <c r="H34718" s="5">
        <v>101.1</v>
      </c>
      <c r="I34718" s="5">
        <v>0</v>
      </c>
      <c r="J34718" s="5">
        <v>0</v>
      </c>
      <c r="K34718" s="5">
        <v>0</v>
      </c>
    </row>
    <row r="34719" spans="1:11" x14ac:dyDescent="0.25">
      <c r="A34719" s="5">
        <f>34712</f>
      </c>
      <c r="B34719" s="5" t="s">
        <v>34727</v>
      </c>
      <c r="C34719" s="5">
        <v>101.4</v>
      </c>
      <c r="D34719" s="5">
        <v>0.1</v>
      </c>
      <c r="E34719" s="5">
        <v>101.5</v>
      </c>
      <c r="F34719" s="5">
        <v>203</v>
      </c>
      <c r="G34719" s="5">
        <v>101.3</v>
      </c>
      <c r="H34719" s="5">
        <v>101.1</v>
      </c>
      <c r="I34719" s="5">
        <v>0</v>
      </c>
      <c r="J34719" s="5">
        <v>0</v>
      </c>
      <c r="K34719" s="5">
        <v>0</v>
      </c>
    </row>
    <row r="34720" spans="1:11" x14ac:dyDescent="0.25">
      <c r="A34720" s="5">
        <f>34713</f>
      </c>
      <c r="B34720" s="5" t="s">
        <v>34728</v>
      </c>
      <c r="C34720" s="5">
        <v>101.4</v>
      </c>
      <c r="D34720" s="5">
        <v>0.1</v>
      </c>
      <c r="E34720" s="5">
        <v>101.5</v>
      </c>
      <c r="F34720" s="5">
        <v>203</v>
      </c>
      <c r="G34720" s="5">
        <v>101.3</v>
      </c>
      <c r="H34720" s="5">
        <v>101.1</v>
      </c>
      <c r="I34720" s="5">
        <v>0</v>
      </c>
      <c r="J34720" s="5">
        <v>0</v>
      </c>
      <c r="K34720" s="5">
        <v>0</v>
      </c>
    </row>
    <row r="34721" spans="1:11" x14ac:dyDescent="0.25">
      <c r="A34721" s="5">
        <f>34714</f>
      </c>
      <c r="B34721" s="5" t="s">
        <v>34729</v>
      </c>
      <c r="C34721" s="5">
        <v>101.2</v>
      </c>
      <c r="D34721" s="5">
        <v>0.1</v>
      </c>
      <c r="E34721" s="5">
        <v>101.4</v>
      </c>
      <c r="F34721" s="5">
        <v>202.8</v>
      </c>
      <c r="G34721" s="5">
        <v>101.2</v>
      </c>
      <c r="H34721" s="5">
        <v>101.1</v>
      </c>
      <c r="I34721" s="5">
        <v>0</v>
      </c>
      <c r="J34721" s="5">
        <v>0</v>
      </c>
      <c r="K34721" s="5">
        <v>0</v>
      </c>
    </row>
    <row r="34722" spans="1:11" x14ac:dyDescent="0.25">
      <c r="A34722" s="5">
        <f>34715</f>
      </c>
      <c r="B34722" s="5" t="s">
        <v>34730</v>
      </c>
      <c r="C34722" s="5">
        <v>101.2</v>
      </c>
      <c r="D34722" s="5">
        <v>0.1</v>
      </c>
      <c r="E34722" s="5">
        <v>101.4</v>
      </c>
      <c r="F34722" s="5">
        <v>202.8</v>
      </c>
      <c r="G34722" s="5">
        <v>101.2</v>
      </c>
      <c r="H34722" s="5">
        <v>101.1</v>
      </c>
      <c r="I34722" s="5">
        <v>0</v>
      </c>
      <c r="J34722" s="5">
        <v>0</v>
      </c>
      <c r="K34722" s="5">
        <v>0</v>
      </c>
    </row>
    <row r="34723" spans="1:11" x14ac:dyDescent="0.25">
      <c r="A34723" s="5">
        <f>34716</f>
      </c>
      <c r="B34723" s="5" t="s">
        <v>34731</v>
      </c>
      <c r="C34723" s="5">
        <v>100.6</v>
      </c>
      <c r="D34723" s="5">
        <v>0.1</v>
      </c>
      <c r="E34723" s="5">
        <v>100.8</v>
      </c>
      <c r="F34723" s="5">
        <v>200.9</v>
      </c>
      <c r="G34723" s="5">
        <v>100.3</v>
      </c>
      <c r="H34723" s="5">
        <v>100.2</v>
      </c>
      <c r="I34723" s="5">
        <v>0</v>
      </c>
      <c r="J34723" s="5">
        <v>0</v>
      </c>
      <c r="K34723" s="5">
        <v>0</v>
      </c>
    </row>
    <row r="34724" spans="1:11" x14ac:dyDescent="0.25">
      <c r="A34724" s="5">
        <f>34717</f>
      </c>
      <c r="B34724" s="5" t="s">
        <v>34732</v>
      </c>
      <c r="C34724" s="5">
        <v>100.6</v>
      </c>
      <c r="D34724" s="5">
        <v>0.1</v>
      </c>
      <c r="E34724" s="5">
        <v>100.8</v>
      </c>
      <c r="F34724" s="5">
        <v>200.9</v>
      </c>
      <c r="G34724" s="5">
        <v>100.3</v>
      </c>
      <c r="H34724" s="5">
        <v>100.2</v>
      </c>
      <c r="I34724" s="5">
        <v>0</v>
      </c>
      <c r="J34724" s="5">
        <v>0</v>
      </c>
      <c r="K34724" s="5">
        <v>0</v>
      </c>
    </row>
    <row r="34725" spans="1:11" x14ac:dyDescent="0.25">
      <c r="A34725" s="5">
        <f>34718</f>
      </c>
      <c r="B34725" s="5" t="s">
        <v>34733</v>
      </c>
      <c r="C34725" s="5">
        <v>101.8</v>
      </c>
      <c r="D34725" s="5">
        <v>0.1</v>
      </c>
      <c r="E34725" s="5">
        <v>101.9</v>
      </c>
      <c r="F34725" s="5">
        <v>203.8</v>
      </c>
      <c r="G34725" s="5">
        <v>101.6</v>
      </c>
      <c r="H34725" s="5">
        <v>101.5</v>
      </c>
      <c r="I34725" s="5">
        <v>0</v>
      </c>
      <c r="J34725" s="5">
        <v>0</v>
      </c>
      <c r="K34725" s="5">
        <v>0</v>
      </c>
    </row>
    <row r="34726" spans="1:11" x14ac:dyDescent="0.25">
      <c r="A34726" s="5">
        <f>34719</f>
      </c>
      <c r="B34726" s="5" t="s">
        <v>34734</v>
      </c>
      <c r="C34726" s="5">
        <v>101.8</v>
      </c>
      <c r="D34726" s="5">
        <v>0.1</v>
      </c>
      <c r="E34726" s="5">
        <v>101.9</v>
      </c>
      <c r="F34726" s="5">
        <v>203.8</v>
      </c>
      <c r="G34726" s="5">
        <v>101.6</v>
      </c>
      <c r="H34726" s="5">
        <v>101.5</v>
      </c>
      <c r="I34726" s="5">
        <v>0</v>
      </c>
      <c r="J34726" s="5">
        <v>0</v>
      </c>
      <c r="K34726" s="5">
        <v>0</v>
      </c>
    </row>
    <row r="34727" spans="1:11" x14ac:dyDescent="0.25">
      <c r="A34727" s="5">
        <f>34720</f>
      </c>
      <c r="B34727" s="5" t="s">
        <v>34735</v>
      </c>
      <c r="C34727" s="5">
        <v>101.6</v>
      </c>
      <c r="D34727" s="5">
        <v>0.1</v>
      </c>
      <c r="E34727" s="5">
        <v>101.8</v>
      </c>
      <c r="F34727" s="5">
        <v>203.2</v>
      </c>
      <c r="G34727" s="5">
        <v>101.4</v>
      </c>
      <c r="H34727" s="5">
        <v>101.2</v>
      </c>
      <c r="I34727" s="5">
        <v>0</v>
      </c>
      <c r="J34727" s="5">
        <v>0</v>
      </c>
      <c r="K34727" s="5">
        <v>0</v>
      </c>
    </row>
    <row r="34728" spans="1:11" x14ac:dyDescent="0.25">
      <c r="A34728" s="5">
        <f>34721</f>
      </c>
      <c r="B34728" s="5" t="s">
        <v>34736</v>
      </c>
      <c r="C34728" s="5">
        <v>101.6</v>
      </c>
      <c r="D34728" s="5">
        <v>0.1</v>
      </c>
      <c r="E34728" s="5">
        <v>101.8</v>
      </c>
      <c r="F34728" s="5">
        <v>203.2</v>
      </c>
      <c r="G34728" s="5">
        <v>101.4</v>
      </c>
      <c r="H34728" s="5">
        <v>101.2</v>
      </c>
      <c r="I34728" s="5">
        <v>0</v>
      </c>
      <c r="J34728" s="5">
        <v>0</v>
      </c>
      <c r="K34728" s="5">
        <v>0</v>
      </c>
    </row>
    <row r="34729" spans="1:11" x14ac:dyDescent="0.25">
      <c r="A34729" s="5">
        <f>34722</f>
      </c>
      <c r="B34729" s="5" t="s">
        <v>34737</v>
      </c>
      <c r="C34729" s="5">
        <v>101.6</v>
      </c>
      <c r="D34729" s="5">
        <v>0.1</v>
      </c>
      <c r="E34729" s="5">
        <v>101.8</v>
      </c>
      <c r="F34729" s="5">
        <v>203.2</v>
      </c>
      <c r="G34729" s="5">
        <v>101.4</v>
      </c>
      <c r="H34729" s="5">
        <v>101.2</v>
      </c>
      <c r="I34729" s="5">
        <v>0</v>
      </c>
      <c r="J34729" s="5">
        <v>0</v>
      </c>
      <c r="K34729" s="5">
        <v>0</v>
      </c>
    </row>
    <row r="34730" spans="1:11" x14ac:dyDescent="0.25">
      <c r="A34730" s="5">
        <f>34723</f>
      </c>
      <c r="B34730" s="5" t="s">
        <v>34738</v>
      </c>
      <c r="C34730" s="5">
        <v>101.6</v>
      </c>
      <c r="D34730" s="5">
        <v>0.1</v>
      </c>
      <c r="E34730" s="5">
        <v>101.8</v>
      </c>
      <c r="F34730" s="5">
        <v>203.2</v>
      </c>
      <c r="G34730" s="5">
        <v>101.4</v>
      </c>
      <c r="H34730" s="5">
        <v>101.2</v>
      </c>
      <c r="I34730" s="5">
        <v>0</v>
      </c>
      <c r="J34730" s="5">
        <v>0</v>
      </c>
      <c r="K34730" s="5">
        <v>0</v>
      </c>
    </row>
    <row r="34731" spans="1:11" x14ac:dyDescent="0.25">
      <c r="A34731" s="5">
        <f>34724</f>
      </c>
      <c r="B34731" s="5" t="s">
        <v>34739</v>
      </c>
      <c r="C34731" s="5">
        <v>101.3</v>
      </c>
      <c r="D34731" s="5">
        <v>0.1</v>
      </c>
      <c r="E34731" s="5">
        <v>101.5</v>
      </c>
      <c r="F34731" s="5">
        <v>203.2</v>
      </c>
      <c r="G34731" s="5">
        <v>101.3</v>
      </c>
      <c r="H34731" s="5">
        <v>101.2</v>
      </c>
      <c r="I34731" s="5">
        <v>0</v>
      </c>
      <c r="J34731" s="5">
        <v>0</v>
      </c>
      <c r="K34731" s="5">
        <v>0</v>
      </c>
    </row>
    <row r="34732" spans="1:11" x14ac:dyDescent="0.25">
      <c r="A34732" s="5">
        <f>34725</f>
      </c>
      <c r="B34732" s="5" t="s">
        <v>34740</v>
      </c>
      <c r="C34732" s="5">
        <v>101.3</v>
      </c>
      <c r="D34732" s="5">
        <v>0.1</v>
      </c>
      <c r="E34732" s="5">
        <v>101.5</v>
      </c>
      <c r="F34732" s="5">
        <v>203.2</v>
      </c>
      <c r="G34732" s="5">
        <v>101.3</v>
      </c>
      <c r="H34732" s="5">
        <v>101.2</v>
      </c>
      <c r="I34732" s="5">
        <v>0</v>
      </c>
      <c r="J34732" s="5">
        <v>0</v>
      </c>
      <c r="K34732" s="5">
        <v>0</v>
      </c>
    </row>
    <row r="34733" spans="1:11" x14ac:dyDescent="0.25">
      <c r="A34733" s="5">
        <f>34726</f>
      </c>
      <c r="B34733" s="5" t="s">
        <v>34741</v>
      </c>
      <c r="C34733" s="5">
        <v>101.4</v>
      </c>
      <c r="D34733" s="5">
        <v>0.1</v>
      </c>
      <c r="E34733" s="5">
        <v>101.5</v>
      </c>
      <c r="F34733" s="5">
        <v>202.9</v>
      </c>
      <c r="G34733" s="5">
        <v>101.2</v>
      </c>
      <c r="H34733" s="5">
        <v>101.1</v>
      </c>
      <c r="I34733" s="5">
        <v>0</v>
      </c>
      <c r="J34733" s="5">
        <v>0</v>
      </c>
      <c r="K34733" s="5">
        <v>0</v>
      </c>
    </row>
    <row r="34734" spans="1:11" x14ac:dyDescent="0.25">
      <c r="A34734" s="5">
        <f>34727</f>
      </c>
      <c r="B34734" s="5" t="s">
        <v>34742</v>
      </c>
      <c r="C34734" s="5">
        <v>101.4</v>
      </c>
      <c r="D34734" s="5">
        <v>0.1</v>
      </c>
      <c r="E34734" s="5">
        <v>101.5</v>
      </c>
      <c r="F34734" s="5">
        <v>202.9</v>
      </c>
      <c r="G34734" s="5">
        <v>101.2</v>
      </c>
      <c r="H34734" s="5">
        <v>101.1</v>
      </c>
      <c r="I34734" s="5">
        <v>0</v>
      </c>
      <c r="J34734" s="5">
        <v>0</v>
      </c>
      <c r="K34734" s="5">
        <v>0</v>
      </c>
    </row>
    <row r="34735" spans="1:11" x14ac:dyDescent="0.25">
      <c r="A34735" s="5">
        <f>34728</f>
      </c>
      <c r="B34735" s="5" t="s">
        <v>34743</v>
      </c>
      <c r="C34735" s="5">
        <v>101.4</v>
      </c>
      <c r="D34735" s="5">
        <v>0.1</v>
      </c>
      <c r="E34735" s="5">
        <v>101.5</v>
      </c>
      <c r="F34735" s="5">
        <v>202.9</v>
      </c>
      <c r="G34735" s="5">
        <v>101.2</v>
      </c>
      <c r="H34735" s="5">
        <v>101.1</v>
      </c>
      <c r="I34735" s="5">
        <v>0</v>
      </c>
      <c r="J34735" s="5">
        <v>0</v>
      </c>
      <c r="K34735" s="5">
        <v>0</v>
      </c>
    </row>
    <row r="34736" spans="1:11" x14ac:dyDescent="0.25">
      <c r="A34736" s="5">
        <f>34729</f>
      </c>
      <c r="B34736" s="5" t="s">
        <v>34744</v>
      </c>
      <c r="C34736" s="5">
        <v>101.4</v>
      </c>
      <c r="D34736" s="5">
        <v>0.1</v>
      </c>
      <c r="E34736" s="5">
        <v>101.5</v>
      </c>
      <c r="F34736" s="5">
        <v>202.9</v>
      </c>
      <c r="G34736" s="5">
        <v>101.2</v>
      </c>
      <c r="H34736" s="5">
        <v>101.1</v>
      </c>
      <c r="I34736" s="5">
        <v>0</v>
      </c>
      <c r="J34736" s="5">
        <v>0</v>
      </c>
      <c r="K34736" s="5">
        <v>0</v>
      </c>
    </row>
    <row r="34737" spans="1:11" x14ac:dyDescent="0.25">
      <c r="A34737" s="5">
        <f>34730</f>
      </c>
      <c r="B34737" s="5" t="s">
        <v>34745</v>
      </c>
      <c r="C34737" s="5">
        <v>101.8</v>
      </c>
      <c r="D34737" s="5">
        <v>0.1</v>
      </c>
      <c r="E34737" s="5">
        <v>102</v>
      </c>
      <c r="F34737" s="5">
        <v>203.8</v>
      </c>
      <c r="G34737" s="5">
        <v>101.7</v>
      </c>
      <c r="H34737" s="5">
        <v>101.5</v>
      </c>
      <c r="I34737" s="5">
        <v>0</v>
      </c>
      <c r="J34737" s="5">
        <v>0</v>
      </c>
      <c r="K34737" s="5">
        <v>0</v>
      </c>
    </row>
    <row r="34738" spans="1:11" x14ac:dyDescent="0.25">
      <c r="A34738" s="5">
        <f>34731</f>
      </c>
      <c r="B34738" s="5" t="s">
        <v>34746</v>
      </c>
      <c r="C34738" s="5">
        <v>101.8</v>
      </c>
      <c r="D34738" s="5">
        <v>0.1</v>
      </c>
      <c r="E34738" s="5">
        <v>102</v>
      </c>
      <c r="F34738" s="5">
        <v>203.8</v>
      </c>
      <c r="G34738" s="5">
        <v>101.7</v>
      </c>
      <c r="H34738" s="5">
        <v>101.5</v>
      </c>
      <c r="I34738" s="5">
        <v>0</v>
      </c>
      <c r="J34738" s="5">
        <v>0</v>
      </c>
      <c r="K34738" s="5">
        <v>0</v>
      </c>
    </row>
    <row r="34739" spans="1:11" x14ac:dyDescent="0.25">
      <c r="A34739" s="5">
        <f>34732</f>
      </c>
      <c r="B34739" s="5" t="s">
        <v>34747</v>
      </c>
      <c r="C34739" s="5">
        <v>101.8</v>
      </c>
      <c r="D34739" s="5">
        <v>0.1</v>
      </c>
      <c r="E34739" s="5">
        <v>102</v>
      </c>
      <c r="F34739" s="5">
        <v>203.8</v>
      </c>
      <c r="G34739" s="5">
        <v>101.7</v>
      </c>
      <c r="H34739" s="5">
        <v>101.5</v>
      </c>
      <c r="I34739" s="5">
        <v>0</v>
      </c>
      <c r="J34739" s="5">
        <v>0</v>
      </c>
      <c r="K34739" s="5">
        <v>0</v>
      </c>
    </row>
    <row r="34740" spans="1:11" x14ac:dyDescent="0.25">
      <c r="A34740" s="5">
        <f>34733</f>
      </c>
      <c r="B34740" s="5" t="s">
        <v>34748</v>
      </c>
      <c r="C34740" s="5">
        <v>101.8</v>
      </c>
      <c r="D34740" s="5">
        <v>0.1</v>
      </c>
      <c r="E34740" s="5">
        <v>102</v>
      </c>
      <c r="F34740" s="5">
        <v>203.8</v>
      </c>
      <c r="G34740" s="5">
        <v>101.7</v>
      </c>
      <c r="H34740" s="5">
        <v>101.5</v>
      </c>
      <c r="I34740" s="5">
        <v>0</v>
      </c>
      <c r="J34740" s="5">
        <v>0</v>
      </c>
      <c r="K34740" s="5">
        <v>0</v>
      </c>
    </row>
    <row r="34741" spans="1:11" x14ac:dyDescent="0.25">
      <c r="A34741" s="5">
        <f>34734</f>
      </c>
      <c r="B34741" s="5" t="s">
        <v>34749</v>
      </c>
      <c r="C34741" s="5">
        <v>100.8</v>
      </c>
      <c r="D34741" s="5">
        <v>0.1</v>
      </c>
      <c r="E34741" s="5">
        <v>101</v>
      </c>
      <c r="F34741" s="5">
        <v>201.4</v>
      </c>
      <c r="G34741" s="5">
        <v>100.5</v>
      </c>
      <c r="H34741" s="5">
        <v>100.3</v>
      </c>
      <c r="I34741" s="5">
        <v>0</v>
      </c>
      <c r="J34741" s="5">
        <v>0</v>
      </c>
      <c r="K34741" s="5">
        <v>0</v>
      </c>
    </row>
    <row r="34742" spans="1:11" x14ac:dyDescent="0.25">
      <c r="A34742" s="5">
        <f>34735</f>
      </c>
      <c r="B34742" s="5" t="s">
        <v>34750</v>
      </c>
      <c r="C34742" s="5">
        <v>100.8</v>
      </c>
      <c r="D34742" s="5">
        <v>0.1</v>
      </c>
      <c r="E34742" s="5">
        <v>101</v>
      </c>
      <c r="F34742" s="5">
        <v>201.4</v>
      </c>
      <c r="G34742" s="5">
        <v>100.5</v>
      </c>
      <c r="H34742" s="5">
        <v>100.3</v>
      </c>
      <c r="I34742" s="5">
        <v>0</v>
      </c>
      <c r="J34742" s="5">
        <v>0</v>
      </c>
      <c r="K34742" s="5">
        <v>0</v>
      </c>
    </row>
    <row r="34743" spans="1:11" x14ac:dyDescent="0.25">
      <c r="A34743" s="5">
        <f>34736</f>
      </c>
      <c r="B34743" s="5" t="s">
        <v>34751</v>
      </c>
      <c r="C34743" s="5">
        <v>101.8</v>
      </c>
      <c r="D34743" s="5">
        <v>0.1</v>
      </c>
      <c r="E34743" s="5">
        <v>101.9</v>
      </c>
      <c r="F34743" s="5">
        <v>202</v>
      </c>
      <c r="G34743" s="5">
        <v>100.8</v>
      </c>
      <c r="H34743" s="5">
        <v>100.7</v>
      </c>
      <c r="I34743" s="5">
        <v>0</v>
      </c>
      <c r="J34743" s="5">
        <v>0</v>
      </c>
      <c r="K34743" s="5">
        <v>0</v>
      </c>
    </row>
    <row r="34744" spans="1:11" x14ac:dyDescent="0.25">
      <c r="A34744" s="5">
        <f>34737</f>
      </c>
      <c r="B34744" s="5" t="s">
        <v>34752</v>
      </c>
      <c r="C34744" s="5">
        <v>101.8</v>
      </c>
      <c r="D34744" s="5">
        <v>0.1</v>
      </c>
      <c r="E34744" s="5">
        <v>101.9</v>
      </c>
      <c r="F34744" s="5">
        <v>202</v>
      </c>
      <c r="G34744" s="5">
        <v>100.8</v>
      </c>
      <c r="H34744" s="5">
        <v>100.7</v>
      </c>
      <c r="I34744" s="5">
        <v>0</v>
      </c>
      <c r="J34744" s="5">
        <v>0</v>
      </c>
      <c r="K34744" s="5">
        <v>0</v>
      </c>
    </row>
    <row r="34745" spans="1:11" x14ac:dyDescent="0.25">
      <c r="A34745" s="5">
        <f>34738</f>
      </c>
      <c r="B34745" s="5" t="s">
        <v>34753</v>
      </c>
      <c r="C34745" s="5">
        <v>101.3</v>
      </c>
      <c r="D34745" s="5">
        <v>0.1</v>
      </c>
      <c r="E34745" s="5">
        <v>101.5</v>
      </c>
      <c r="F34745" s="5">
        <v>202.3</v>
      </c>
      <c r="G34745" s="5">
        <v>100.9</v>
      </c>
      <c r="H34745" s="5">
        <v>100.8</v>
      </c>
      <c r="I34745" s="5">
        <v>0</v>
      </c>
      <c r="J34745" s="5">
        <v>0</v>
      </c>
      <c r="K34745" s="5">
        <v>0</v>
      </c>
    </row>
    <row r="34746" spans="1:11" x14ac:dyDescent="0.25">
      <c r="A34746" s="5">
        <f>34739</f>
      </c>
      <c r="B34746" s="5" t="s">
        <v>34754</v>
      </c>
      <c r="C34746" s="5">
        <v>101.3</v>
      </c>
      <c r="D34746" s="5">
        <v>0.1</v>
      </c>
      <c r="E34746" s="5">
        <v>101.5</v>
      </c>
      <c r="F34746" s="5">
        <v>202.3</v>
      </c>
      <c r="G34746" s="5">
        <v>100.9</v>
      </c>
      <c r="H34746" s="5">
        <v>100.8</v>
      </c>
      <c r="I34746" s="5">
        <v>0</v>
      </c>
      <c r="J34746" s="5">
        <v>0</v>
      </c>
      <c r="K34746" s="5">
        <v>0</v>
      </c>
    </row>
    <row r="34747" spans="1:11" x14ac:dyDescent="0.25">
      <c r="A34747" s="5">
        <f>34740</f>
      </c>
      <c r="B34747" s="5" t="s">
        <v>34755</v>
      </c>
      <c r="C34747" s="5">
        <v>101.6</v>
      </c>
      <c r="D34747" s="5">
        <v>0.1</v>
      </c>
      <c r="E34747" s="5">
        <v>101.7</v>
      </c>
      <c r="F34747" s="5">
        <v>201.9</v>
      </c>
      <c r="G34747" s="5">
        <v>100.7</v>
      </c>
      <c r="H34747" s="5">
        <v>100.6</v>
      </c>
      <c r="I34747" s="5">
        <v>0</v>
      </c>
      <c r="J34747" s="5">
        <v>0</v>
      </c>
      <c r="K34747" s="5">
        <v>0</v>
      </c>
    </row>
    <row r="34748" spans="1:11" x14ac:dyDescent="0.25">
      <c r="A34748" s="5">
        <f>34741</f>
      </c>
      <c r="B34748" s="5" t="s">
        <v>34756</v>
      </c>
      <c r="C34748" s="5">
        <v>101.6</v>
      </c>
      <c r="D34748" s="5">
        <v>0.1</v>
      </c>
      <c r="E34748" s="5">
        <v>101.7</v>
      </c>
      <c r="F34748" s="5">
        <v>201.9</v>
      </c>
      <c r="G34748" s="5">
        <v>100.7</v>
      </c>
      <c r="H34748" s="5">
        <v>100.6</v>
      </c>
      <c r="I34748" s="5">
        <v>0</v>
      </c>
      <c r="J34748" s="5">
        <v>0</v>
      </c>
      <c r="K34748" s="5">
        <v>0</v>
      </c>
    </row>
    <row r="34749" spans="1:11" x14ac:dyDescent="0.25">
      <c r="A34749" s="5">
        <f>34742</f>
      </c>
      <c r="B34749" s="5" t="s">
        <v>34757</v>
      </c>
      <c r="C34749" s="5">
        <v>101.6</v>
      </c>
      <c r="D34749" s="5">
        <v>0.1</v>
      </c>
      <c r="E34749" s="5">
        <v>101.7</v>
      </c>
      <c r="F34749" s="5">
        <v>201.9</v>
      </c>
      <c r="G34749" s="5">
        <v>100.7</v>
      </c>
      <c r="H34749" s="5">
        <v>100.6</v>
      </c>
      <c r="I34749" s="5">
        <v>0</v>
      </c>
      <c r="J34749" s="5">
        <v>0</v>
      </c>
      <c r="K34749" s="5">
        <v>0</v>
      </c>
    </row>
    <row r="34750" spans="1:11" x14ac:dyDescent="0.25">
      <c r="A34750" s="5">
        <f>34743</f>
      </c>
      <c r="B34750" s="5" t="s">
        <v>34758</v>
      </c>
      <c r="C34750" s="5">
        <v>101.6</v>
      </c>
      <c r="D34750" s="5">
        <v>0.1</v>
      </c>
      <c r="E34750" s="5">
        <v>101.7</v>
      </c>
      <c r="F34750" s="5">
        <v>201.9</v>
      </c>
      <c r="G34750" s="5">
        <v>100.7</v>
      </c>
      <c r="H34750" s="5">
        <v>100.6</v>
      </c>
      <c r="I34750" s="5">
        <v>0</v>
      </c>
      <c r="J34750" s="5">
        <v>0</v>
      </c>
      <c r="K34750" s="5">
        <v>0</v>
      </c>
    </row>
    <row r="34751" spans="1:11" x14ac:dyDescent="0.25">
      <c r="A34751" s="5">
        <f>34744</f>
      </c>
      <c r="B34751" s="5" t="s">
        <v>34759</v>
      </c>
      <c r="C34751" s="5">
        <v>102.1</v>
      </c>
      <c r="D34751" s="5">
        <v>0.1</v>
      </c>
      <c r="E34751" s="5">
        <v>102.3</v>
      </c>
      <c r="F34751" s="5">
        <v>203.5</v>
      </c>
      <c r="G34751" s="5">
        <v>101.5</v>
      </c>
      <c r="H34751" s="5">
        <v>101.4</v>
      </c>
      <c r="I34751" s="5">
        <v>0</v>
      </c>
      <c r="J34751" s="5">
        <v>0</v>
      </c>
      <c r="K34751" s="5">
        <v>0</v>
      </c>
    </row>
    <row r="34752" spans="1:11" x14ac:dyDescent="0.25">
      <c r="A34752" s="5">
        <f>34745</f>
      </c>
      <c r="B34752" s="5" t="s">
        <v>34760</v>
      </c>
      <c r="C34752" s="5">
        <v>102.1</v>
      </c>
      <c r="D34752" s="5">
        <v>0.1</v>
      </c>
      <c r="E34752" s="5">
        <v>102.3</v>
      </c>
      <c r="F34752" s="5">
        <v>203.5</v>
      </c>
      <c r="G34752" s="5">
        <v>101.5</v>
      </c>
      <c r="H34752" s="5">
        <v>101.4</v>
      </c>
      <c r="I34752" s="5">
        <v>0</v>
      </c>
      <c r="J34752" s="5">
        <v>0</v>
      </c>
      <c r="K34752" s="5">
        <v>0</v>
      </c>
    </row>
    <row r="34753" spans="1:11" x14ac:dyDescent="0.25">
      <c r="A34753" s="5">
        <f>34746</f>
      </c>
      <c r="B34753" s="5" t="s">
        <v>34761</v>
      </c>
      <c r="C34753" s="5">
        <v>102.1</v>
      </c>
      <c r="D34753" s="5">
        <v>0.1</v>
      </c>
      <c r="E34753" s="5">
        <v>102.2</v>
      </c>
      <c r="F34753" s="5">
        <v>203.3</v>
      </c>
      <c r="G34753" s="5">
        <v>101.4</v>
      </c>
      <c r="H34753" s="5">
        <v>101.3</v>
      </c>
      <c r="I34753" s="5">
        <v>0</v>
      </c>
      <c r="J34753" s="5">
        <v>0</v>
      </c>
      <c r="K34753" s="5">
        <v>0</v>
      </c>
    </row>
    <row r="34754" spans="1:11" x14ac:dyDescent="0.25">
      <c r="A34754" s="5">
        <f>34747</f>
      </c>
      <c r="B34754" s="5" t="s">
        <v>34762</v>
      </c>
      <c r="C34754" s="5">
        <v>102.1</v>
      </c>
      <c r="D34754" s="5">
        <v>0.1</v>
      </c>
      <c r="E34754" s="5">
        <v>102.2</v>
      </c>
      <c r="F34754" s="5">
        <v>203.3</v>
      </c>
      <c r="G34754" s="5">
        <v>101.4</v>
      </c>
      <c r="H34754" s="5">
        <v>101.3</v>
      </c>
      <c r="I34754" s="5">
        <v>0</v>
      </c>
      <c r="J34754" s="5">
        <v>0</v>
      </c>
      <c r="K34754" s="5">
        <v>0</v>
      </c>
    </row>
    <row r="34755" spans="1:11" x14ac:dyDescent="0.25">
      <c r="A34755" s="5">
        <f>34748</f>
      </c>
      <c r="B34755" s="5" t="s">
        <v>34763</v>
      </c>
      <c r="C34755" s="5">
        <v>101.7</v>
      </c>
      <c r="D34755" s="5">
        <v>0.1</v>
      </c>
      <c r="E34755" s="5">
        <v>101.8</v>
      </c>
      <c r="F34755" s="5">
        <v>203.4</v>
      </c>
      <c r="G34755" s="5">
        <v>101.5</v>
      </c>
      <c r="H34755" s="5">
        <v>101.3</v>
      </c>
      <c r="I34755" s="5">
        <v>0</v>
      </c>
      <c r="J34755" s="5">
        <v>0</v>
      </c>
      <c r="K34755" s="5">
        <v>0</v>
      </c>
    </row>
    <row r="34756" spans="1:11" x14ac:dyDescent="0.25">
      <c r="A34756" s="5">
        <f>34749</f>
      </c>
      <c r="B34756" s="5" t="s">
        <v>34764</v>
      </c>
      <c r="C34756" s="5">
        <v>101.7</v>
      </c>
      <c r="D34756" s="5">
        <v>0.1</v>
      </c>
      <c r="E34756" s="5">
        <v>101.8</v>
      </c>
      <c r="F34756" s="5">
        <v>203.4</v>
      </c>
      <c r="G34756" s="5">
        <v>101.5</v>
      </c>
      <c r="H34756" s="5">
        <v>101.3</v>
      </c>
      <c r="I34756" s="5">
        <v>0</v>
      </c>
      <c r="J34756" s="5">
        <v>0</v>
      </c>
      <c r="K34756" s="5">
        <v>0</v>
      </c>
    </row>
    <row r="34757" spans="1:11" x14ac:dyDescent="0.25">
      <c r="A34757" s="5">
        <f>34750</f>
      </c>
      <c r="B34757" s="5" t="s">
        <v>34765</v>
      </c>
      <c r="C34757" s="5">
        <v>102.4</v>
      </c>
      <c r="D34757" s="5">
        <v>0.1</v>
      </c>
      <c r="E34757" s="5">
        <v>102.6</v>
      </c>
      <c r="F34757" s="5">
        <v>203.8</v>
      </c>
      <c r="G34757" s="5">
        <v>101.7</v>
      </c>
      <c r="H34757" s="5">
        <v>101.6</v>
      </c>
      <c r="I34757" s="5">
        <v>0</v>
      </c>
      <c r="J34757" s="5">
        <v>0</v>
      </c>
      <c r="K34757" s="5">
        <v>0</v>
      </c>
    </row>
    <row r="34758" spans="1:11" x14ac:dyDescent="0.25">
      <c r="A34758" s="5">
        <f>34751</f>
      </c>
      <c r="B34758" s="5" t="s">
        <v>34766</v>
      </c>
      <c r="C34758" s="5">
        <v>102.4</v>
      </c>
      <c r="D34758" s="5">
        <v>0.1</v>
      </c>
      <c r="E34758" s="5">
        <v>102.6</v>
      </c>
      <c r="F34758" s="5">
        <v>203.8</v>
      </c>
      <c r="G34758" s="5">
        <v>101.7</v>
      </c>
      <c r="H34758" s="5">
        <v>101.6</v>
      </c>
      <c r="I34758" s="5">
        <v>0</v>
      </c>
      <c r="J34758" s="5">
        <v>0</v>
      </c>
      <c r="K34758" s="5">
        <v>0</v>
      </c>
    </row>
    <row r="34759" spans="1:11" x14ac:dyDescent="0.25">
      <c r="A34759" s="5">
        <f>34752</f>
      </c>
      <c r="B34759" s="5" t="s">
        <v>34767</v>
      </c>
      <c r="C34759" s="5">
        <v>102.4</v>
      </c>
      <c r="D34759" s="5">
        <v>0.1</v>
      </c>
      <c r="E34759" s="5">
        <v>102.6</v>
      </c>
      <c r="F34759" s="5">
        <v>203.8</v>
      </c>
      <c r="G34759" s="5">
        <v>101.7</v>
      </c>
      <c r="H34759" s="5">
        <v>101.6</v>
      </c>
      <c r="I34759" s="5">
        <v>0</v>
      </c>
      <c r="J34759" s="5">
        <v>0</v>
      </c>
      <c r="K34759" s="5">
        <v>0</v>
      </c>
    </row>
    <row r="34760" spans="1:11" x14ac:dyDescent="0.25">
      <c r="A34760" s="5">
        <f>34753</f>
      </c>
      <c r="B34760" s="5" t="s">
        <v>34768</v>
      </c>
      <c r="C34760" s="5">
        <v>102.4</v>
      </c>
      <c r="D34760" s="5">
        <v>0.1</v>
      </c>
      <c r="E34760" s="5">
        <v>102.6</v>
      </c>
      <c r="F34760" s="5">
        <v>203.8</v>
      </c>
      <c r="G34760" s="5">
        <v>101.7</v>
      </c>
      <c r="H34760" s="5">
        <v>101.6</v>
      </c>
      <c r="I34760" s="5">
        <v>0</v>
      </c>
      <c r="J34760" s="5">
        <v>0</v>
      </c>
      <c r="K34760" s="5">
        <v>0</v>
      </c>
    </row>
    <row r="34761" spans="1:11" x14ac:dyDescent="0.25">
      <c r="A34761" s="5">
        <f>34754</f>
      </c>
      <c r="B34761" s="5" t="s">
        <v>34769</v>
      </c>
      <c r="C34761" s="5">
        <v>102.4</v>
      </c>
      <c r="D34761" s="5">
        <v>0.1</v>
      </c>
      <c r="E34761" s="5">
        <v>102.6</v>
      </c>
      <c r="F34761" s="5">
        <v>203.8</v>
      </c>
      <c r="G34761" s="5">
        <v>101.7</v>
      </c>
      <c r="H34761" s="5">
        <v>101.6</v>
      </c>
      <c r="I34761" s="5">
        <v>0</v>
      </c>
      <c r="J34761" s="5">
        <v>0</v>
      </c>
      <c r="K34761" s="5">
        <v>0</v>
      </c>
    </row>
    <row r="34762" spans="1:11" x14ac:dyDescent="0.25">
      <c r="A34762" s="5">
        <f>34755</f>
      </c>
      <c r="B34762" s="5" t="s">
        <v>34770</v>
      </c>
      <c r="C34762" s="5">
        <v>101.9</v>
      </c>
      <c r="D34762" s="5">
        <v>0.1</v>
      </c>
      <c r="E34762" s="5">
        <v>102.1</v>
      </c>
      <c r="F34762" s="5">
        <v>203.7</v>
      </c>
      <c r="G34762" s="5">
        <v>101.6</v>
      </c>
      <c r="H34762" s="5">
        <v>101.5</v>
      </c>
      <c r="I34762" s="5">
        <v>0</v>
      </c>
      <c r="J34762" s="5">
        <v>0</v>
      </c>
      <c r="K34762" s="5">
        <v>0</v>
      </c>
    </row>
    <row r="34763" spans="1:11" x14ac:dyDescent="0.25">
      <c r="A34763" s="5">
        <f>34756</f>
      </c>
      <c r="B34763" s="5" t="s">
        <v>34771</v>
      </c>
      <c r="C34763" s="5">
        <v>101.9</v>
      </c>
      <c r="D34763" s="5">
        <v>0.1</v>
      </c>
      <c r="E34763" s="5">
        <v>102.1</v>
      </c>
      <c r="F34763" s="5">
        <v>203.7</v>
      </c>
      <c r="G34763" s="5">
        <v>101.6</v>
      </c>
      <c r="H34763" s="5">
        <v>101.5</v>
      </c>
      <c r="I34763" s="5">
        <v>0</v>
      </c>
      <c r="J34763" s="5">
        <v>0</v>
      </c>
      <c r="K34763" s="5">
        <v>0</v>
      </c>
    </row>
    <row r="34764" spans="1:11" x14ac:dyDescent="0.25">
      <c r="A34764" s="5">
        <f>34757</f>
      </c>
      <c r="B34764" s="5" t="s">
        <v>34772</v>
      </c>
      <c r="C34764" s="5">
        <v>102.1</v>
      </c>
      <c r="D34764" s="5">
        <v>0.1</v>
      </c>
      <c r="E34764" s="5">
        <v>102.2</v>
      </c>
      <c r="F34764" s="5">
        <v>204.3</v>
      </c>
      <c r="G34764" s="5">
        <v>101.9</v>
      </c>
      <c r="H34764" s="5">
        <v>101.8</v>
      </c>
      <c r="I34764" s="5">
        <v>0</v>
      </c>
      <c r="J34764" s="5">
        <v>0</v>
      </c>
      <c r="K34764" s="5">
        <v>0</v>
      </c>
    </row>
    <row r="34765" spans="1:11" x14ac:dyDescent="0.25">
      <c r="A34765" s="5">
        <f>34758</f>
      </c>
      <c r="B34765" s="5" t="s">
        <v>34773</v>
      </c>
      <c r="C34765" s="5">
        <v>102.1</v>
      </c>
      <c r="D34765" s="5">
        <v>0.1</v>
      </c>
      <c r="E34765" s="5">
        <v>102.2</v>
      </c>
      <c r="F34765" s="5">
        <v>204.3</v>
      </c>
      <c r="G34765" s="5">
        <v>101.9</v>
      </c>
      <c r="H34765" s="5">
        <v>101.8</v>
      </c>
      <c r="I34765" s="5">
        <v>0</v>
      </c>
      <c r="J34765" s="5">
        <v>0</v>
      </c>
      <c r="K34765" s="5">
        <v>0</v>
      </c>
    </row>
    <row r="34766" spans="1:11" x14ac:dyDescent="0.25">
      <c r="A34766" s="5">
        <f>34759</f>
      </c>
      <c r="B34766" s="5" t="s">
        <v>34774</v>
      </c>
      <c r="C34766" s="5">
        <v>102.1</v>
      </c>
      <c r="D34766" s="5">
        <v>0.1</v>
      </c>
      <c r="E34766" s="5">
        <v>102.2</v>
      </c>
      <c r="F34766" s="5">
        <v>204.3</v>
      </c>
      <c r="G34766" s="5">
        <v>101.9</v>
      </c>
      <c r="H34766" s="5">
        <v>101.8</v>
      </c>
      <c r="I34766" s="5">
        <v>0</v>
      </c>
      <c r="J34766" s="5">
        <v>0</v>
      </c>
      <c r="K34766" s="5">
        <v>0</v>
      </c>
    </row>
    <row r="34767" spans="1:11" x14ac:dyDescent="0.25">
      <c r="A34767" s="5">
        <f>34760</f>
      </c>
      <c r="B34767" s="5" t="s">
        <v>34775</v>
      </c>
      <c r="C34767" s="5">
        <v>102.1</v>
      </c>
      <c r="D34767" s="5">
        <v>0.1</v>
      </c>
      <c r="E34767" s="5">
        <v>102.2</v>
      </c>
      <c r="F34767" s="5">
        <v>204.3</v>
      </c>
      <c r="G34767" s="5">
        <v>101.9</v>
      </c>
      <c r="H34767" s="5">
        <v>101.8</v>
      </c>
      <c r="I34767" s="5">
        <v>0</v>
      </c>
      <c r="J34767" s="5">
        <v>0</v>
      </c>
      <c r="K34767" s="5">
        <v>0</v>
      </c>
    </row>
    <row r="34768" spans="1:11" x14ac:dyDescent="0.25">
      <c r="A34768" s="5">
        <f>34761</f>
      </c>
      <c r="B34768" s="5" t="s">
        <v>34776</v>
      </c>
      <c r="C34768" s="5">
        <v>101.8</v>
      </c>
      <c r="D34768" s="5">
        <v>0.1</v>
      </c>
      <c r="E34768" s="5">
        <v>101.9</v>
      </c>
      <c r="F34768" s="5">
        <v>203.1</v>
      </c>
      <c r="G34768" s="5">
        <v>101.4</v>
      </c>
      <c r="H34768" s="5">
        <v>101.2</v>
      </c>
      <c r="I34768" s="5">
        <v>0</v>
      </c>
      <c r="J34768" s="5">
        <v>0</v>
      </c>
      <c r="K34768" s="5">
        <v>0</v>
      </c>
    </row>
    <row r="34769" spans="1:11" x14ac:dyDescent="0.25">
      <c r="A34769" s="5">
        <f>34762</f>
      </c>
      <c r="B34769" s="5" t="s">
        <v>34777</v>
      </c>
      <c r="C34769" s="5">
        <v>101.8</v>
      </c>
      <c r="D34769" s="5">
        <v>0.1</v>
      </c>
      <c r="E34769" s="5">
        <v>101.9</v>
      </c>
      <c r="F34769" s="5">
        <v>203.1</v>
      </c>
      <c r="G34769" s="5">
        <v>101.4</v>
      </c>
      <c r="H34769" s="5">
        <v>101.2</v>
      </c>
      <c r="I34769" s="5">
        <v>0</v>
      </c>
      <c r="J34769" s="5">
        <v>0</v>
      </c>
      <c r="K34769" s="5">
        <v>0</v>
      </c>
    </row>
    <row r="34770" spans="1:11" x14ac:dyDescent="0.25">
      <c r="A34770" s="5">
        <f>34763</f>
      </c>
      <c r="B34770" s="5" t="s">
        <v>34778</v>
      </c>
      <c r="C34770" s="5">
        <v>101.9</v>
      </c>
      <c r="D34770" s="5">
        <v>0.1</v>
      </c>
      <c r="E34770" s="5">
        <v>102.1</v>
      </c>
      <c r="F34770" s="5">
        <v>203.8</v>
      </c>
      <c r="G34770" s="5">
        <v>101.7</v>
      </c>
      <c r="H34770" s="5">
        <v>101.6</v>
      </c>
      <c r="I34770" s="5">
        <v>0</v>
      </c>
      <c r="J34770" s="5">
        <v>0</v>
      </c>
      <c r="K34770" s="5">
        <v>0</v>
      </c>
    </row>
    <row r="34771" spans="1:11" x14ac:dyDescent="0.25">
      <c r="A34771" s="5">
        <f>34764</f>
      </c>
      <c r="B34771" s="5" t="s">
        <v>34779</v>
      </c>
      <c r="C34771" s="5">
        <v>101.9</v>
      </c>
      <c r="D34771" s="5">
        <v>0.1</v>
      </c>
      <c r="E34771" s="5">
        <v>102.1</v>
      </c>
      <c r="F34771" s="5">
        <v>203.8</v>
      </c>
      <c r="G34771" s="5">
        <v>101.7</v>
      </c>
      <c r="H34771" s="5">
        <v>101.6</v>
      </c>
      <c r="I34771" s="5">
        <v>0</v>
      </c>
      <c r="J34771" s="5">
        <v>0</v>
      </c>
      <c r="K34771" s="5">
        <v>0</v>
      </c>
    </row>
    <row r="34772" spans="1:11" x14ac:dyDescent="0.25">
      <c r="A34772" s="5">
        <f>34765</f>
      </c>
      <c r="B34772" s="5" t="s">
        <v>34780</v>
      </c>
      <c r="C34772" s="5">
        <v>102.4</v>
      </c>
      <c r="D34772" s="5">
        <v>0.1</v>
      </c>
      <c r="E34772" s="5">
        <v>102.4</v>
      </c>
      <c r="F34772" s="5">
        <v>204.5</v>
      </c>
      <c r="G34772" s="5">
        <v>102</v>
      </c>
      <c r="H34772" s="5">
        <v>101.9</v>
      </c>
      <c r="I34772" s="5">
        <v>0</v>
      </c>
      <c r="J34772" s="5">
        <v>0</v>
      </c>
      <c r="K34772" s="5">
        <v>0</v>
      </c>
    </row>
    <row r="34773" spans="1:11" x14ac:dyDescent="0.25">
      <c r="A34773" s="5">
        <f>34766</f>
      </c>
      <c r="B34773" s="5" t="s">
        <v>34781</v>
      </c>
      <c r="C34773" s="5">
        <v>102.4</v>
      </c>
      <c r="D34773" s="5">
        <v>0.1</v>
      </c>
      <c r="E34773" s="5">
        <v>102.4</v>
      </c>
      <c r="F34773" s="5">
        <v>204.5</v>
      </c>
      <c r="G34773" s="5">
        <v>102</v>
      </c>
      <c r="H34773" s="5">
        <v>101.9</v>
      </c>
      <c r="I34773" s="5">
        <v>0</v>
      </c>
      <c r="J34773" s="5">
        <v>0</v>
      </c>
      <c r="K34773" s="5">
        <v>0</v>
      </c>
    </row>
    <row r="34774" spans="1:11" x14ac:dyDescent="0.25">
      <c r="A34774" s="5">
        <f>34767</f>
      </c>
      <c r="B34774" s="5" t="s">
        <v>34782</v>
      </c>
      <c r="C34774" s="5">
        <v>101.5</v>
      </c>
      <c r="D34774" s="5">
        <v>0.1</v>
      </c>
      <c r="E34774" s="5">
        <v>101.6</v>
      </c>
      <c r="F34774" s="5">
        <v>202.9</v>
      </c>
      <c r="G34774" s="5">
        <v>101.2</v>
      </c>
      <c r="H34774" s="5">
        <v>101.1</v>
      </c>
      <c r="I34774" s="5">
        <v>0</v>
      </c>
      <c r="J34774" s="5">
        <v>0</v>
      </c>
      <c r="K34774" s="5">
        <v>0</v>
      </c>
    </row>
    <row r="34775" spans="1:11" x14ac:dyDescent="0.25">
      <c r="A34775" s="5">
        <f>34768</f>
      </c>
      <c r="B34775" s="5" t="s">
        <v>34783</v>
      </c>
      <c r="C34775" s="5">
        <v>101.5</v>
      </c>
      <c r="D34775" s="5">
        <v>0.1</v>
      </c>
      <c r="E34775" s="5">
        <v>101.6</v>
      </c>
      <c r="F34775" s="5">
        <v>202.9</v>
      </c>
      <c r="G34775" s="5">
        <v>101.2</v>
      </c>
      <c r="H34775" s="5">
        <v>101.1</v>
      </c>
      <c r="I34775" s="5">
        <v>0</v>
      </c>
      <c r="J34775" s="5">
        <v>0</v>
      </c>
      <c r="K34775" s="5">
        <v>0</v>
      </c>
    </row>
    <row r="34776" spans="1:11" x14ac:dyDescent="0.25">
      <c r="A34776" s="5">
        <f>34769</f>
      </c>
      <c r="B34776" s="5" t="s">
        <v>34784</v>
      </c>
      <c r="C34776" s="5">
        <v>101.5</v>
      </c>
      <c r="D34776" s="5">
        <v>0.1</v>
      </c>
      <c r="E34776" s="5">
        <v>101.6</v>
      </c>
      <c r="F34776" s="5">
        <v>202.9</v>
      </c>
      <c r="G34776" s="5">
        <v>101.2</v>
      </c>
      <c r="H34776" s="5">
        <v>101.1</v>
      </c>
      <c r="I34776" s="5">
        <v>0</v>
      </c>
      <c r="J34776" s="5">
        <v>0</v>
      </c>
      <c r="K34776" s="5">
        <v>0</v>
      </c>
    </row>
    <row r="34777" spans="1:11" x14ac:dyDescent="0.25">
      <c r="A34777" s="5">
        <f>34770</f>
      </c>
      <c r="B34777" s="5" t="s">
        <v>34785</v>
      </c>
      <c r="C34777" s="5">
        <v>101.5</v>
      </c>
      <c r="D34777" s="5">
        <v>0.1</v>
      </c>
      <c r="E34777" s="5">
        <v>101.6</v>
      </c>
      <c r="F34777" s="5">
        <v>202.9</v>
      </c>
      <c r="G34777" s="5">
        <v>101.2</v>
      </c>
      <c r="H34777" s="5">
        <v>101.1</v>
      </c>
      <c r="I34777" s="5">
        <v>0</v>
      </c>
      <c r="J34777" s="5">
        <v>0</v>
      </c>
      <c r="K34777" s="5">
        <v>0</v>
      </c>
    </row>
    <row r="34778" spans="1:11" x14ac:dyDescent="0.25">
      <c r="A34778" s="5">
        <f>34771</f>
      </c>
      <c r="B34778" s="5" t="s">
        <v>34786</v>
      </c>
      <c r="C34778" s="5">
        <v>100.4</v>
      </c>
      <c r="D34778" s="5">
        <v>0.1</v>
      </c>
      <c r="E34778" s="5">
        <v>100.5</v>
      </c>
      <c r="F34778" s="5">
        <v>200.9</v>
      </c>
      <c r="G34778" s="5">
        <v>100.2</v>
      </c>
      <c r="H34778" s="5">
        <v>100.1</v>
      </c>
      <c r="I34778" s="5">
        <v>0</v>
      </c>
      <c r="J34778" s="5">
        <v>0</v>
      </c>
      <c r="K34778" s="5">
        <v>0</v>
      </c>
    </row>
    <row r="34779" spans="1:11" x14ac:dyDescent="0.25">
      <c r="A34779" s="5">
        <f>34772</f>
      </c>
      <c r="B34779" s="5" t="s">
        <v>34787</v>
      </c>
      <c r="C34779" s="5">
        <v>100.4</v>
      </c>
      <c r="D34779" s="5">
        <v>0.1</v>
      </c>
      <c r="E34779" s="5">
        <v>100.5</v>
      </c>
      <c r="F34779" s="5">
        <v>200.9</v>
      </c>
      <c r="G34779" s="5">
        <v>100.2</v>
      </c>
      <c r="H34779" s="5">
        <v>100.1</v>
      </c>
      <c r="I34779" s="5">
        <v>0</v>
      </c>
      <c r="J34779" s="5">
        <v>0</v>
      </c>
      <c r="K34779" s="5">
        <v>0</v>
      </c>
    </row>
    <row r="34780" spans="1:11" x14ac:dyDescent="0.25">
      <c r="A34780" s="5">
        <f>34773</f>
      </c>
      <c r="B34780" s="5" t="s">
        <v>34788</v>
      </c>
      <c r="C34780" s="5">
        <v>100.4</v>
      </c>
      <c r="D34780" s="5">
        <v>0.1</v>
      </c>
      <c r="E34780" s="5">
        <v>100.5</v>
      </c>
      <c r="F34780" s="5">
        <v>200.8</v>
      </c>
      <c r="G34780" s="5">
        <v>100.1</v>
      </c>
      <c r="H34780" s="5">
        <v>100</v>
      </c>
      <c r="I34780" s="5">
        <v>0</v>
      </c>
      <c r="J34780" s="5">
        <v>0</v>
      </c>
      <c r="K34780" s="5">
        <v>0</v>
      </c>
    </row>
    <row r="34781" spans="1:11" x14ac:dyDescent="0.25">
      <c r="A34781" s="5">
        <f>34774</f>
      </c>
      <c r="B34781" s="5" t="s">
        <v>34789</v>
      </c>
      <c r="C34781" s="5">
        <v>100.4</v>
      </c>
      <c r="D34781" s="5">
        <v>0.1</v>
      </c>
      <c r="E34781" s="5">
        <v>100.5</v>
      </c>
      <c r="F34781" s="5">
        <v>200.8</v>
      </c>
      <c r="G34781" s="5">
        <v>100.1</v>
      </c>
      <c r="H34781" s="5">
        <v>100</v>
      </c>
      <c r="I34781" s="5">
        <v>0</v>
      </c>
      <c r="J34781" s="5">
        <v>0</v>
      </c>
      <c r="K34781" s="5">
        <v>0</v>
      </c>
    </row>
    <row r="34782" spans="1:11" x14ac:dyDescent="0.25">
      <c r="A34782" s="5">
        <f>34775</f>
      </c>
      <c r="B34782" s="5" t="s">
        <v>34790</v>
      </c>
      <c r="C34782" s="5">
        <v>99.6</v>
      </c>
      <c r="D34782" s="5">
        <v>0.1</v>
      </c>
      <c r="E34782" s="5">
        <v>99.8</v>
      </c>
      <c r="F34782" s="5">
        <v>197.9</v>
      </c>
      <c r="G34782" s="5">
        <v>98.8</v>
      </c>
      <c r="H34782" s="5">
        <v>98.7</v>
      </c>
      <c r="I34782" s="5">
        <v>0</v>
      </c>
      <c r="J34782" s="5">
        <v>0</v>
      </c>
      <c r="K34782" s="5">
        <v>0</v>
      </c>
    </row>
    <row r="34783" spans="1:11" x14ac:dyDescent="0.25">
      <c r="A34783" s="5">
        <f>34776</f>
      </c>
      <c r="B34783" s="5" t="s">
        <v>34791</v>
      </c>
      <c r="C34783" s="5">
        <v>99.6</v>
      </c>
      <c r="D34783" s="5">
        <v>0.1</v>
      </c>
      <c r="E34783" s="5">
        <v>99.8</v>
      </c>
      <c r="F34783" s="5">
        <v>197.9</v>
      </c>
      <c r="G34783" s="5">
        <v>98.8</v>
      </c>
      <c r="H34783" s="5">
        <v>98.7</v>
      </c>
      <c r="I34783" s="5">
        <v>0</v>
      </c>
      <c r="J34783" s="5">
        <v>0</v>
      </c>
      <c r="K34783" s="5">
        <v>0</v>
      </c>
    </row>
    <row r="34784" spans="1:11" x14ac:dyDescent="0.25">
      <c r="A34784" s="5">
        <f>34777</f>
      </c>
      <c r="B34784" s="5" t="s">
        <v>34792</v>
      </c>
      <c r="C34784" s="5">
        <v>101.8</v>
      </c>
      <c r="D34784" s="5">
        <v>0.1</v>
      </c>
      <c r="E34784" s="5">
        <v>101.8</v>
      </c>
      <c r="F34784" s="5">
        <v>202.6</v>
      </c>
      <c r="G34784" s="5">
        <v>101.1</v>
      </c>
      <c r="H34784" s="5">
        <v>100.9</v>
      </c>
      <c r="I34784" s="5">
        <v>0</v>
      </c>
      <c r="J34784" s="5">
        <v>0</v>
      </c>
      <c r="K34784" s="5">
        <v>0</v>
      </c>
    </row>
    <row r="34785" spans="1:11" x14ac:dyDescent="0.25">
      <c r="A34785" s="5">
        <f>34778</f>
      </c>
      <c r="B34785" s="5" t="s">
        <v>34793</v>
      </c>
      <c r="C34785" s="5">
        <v>101.8</v>
      </c>
      <c r="D34785" s="5">
        <v>0.1</v>
      </c>
      <c r="E34785" s="5">
        <v>101.8</v>
      </c>
      <c r="F34785" s="5">
        <v>202.6</v>
      </c>
      <c r="G34785" s="5">
        <v>101.1</v>
      </c>
      <c r="H34785" s="5">
        <v>100.9</v>
      </c>
      <c r="I34785" s="5">
        <v>0</v>
      </c>
      <c r="J34785" s="5">
        <v>0</v>
      </c>
      <c r="K34785" s="5">
        <v>0</v>
      </c>
    </row>
    <row r="34786" spans="1:11" x14ac:dyDescent="0.25">
      <c r="A34786" s="5">
        <f>34779</f>
      </c>
      <c r="B34786" s="5" t="s">
        <v>34794</v>
      </c>
      <c r="C34786" s="5">
        <v>101.8</v>
      </c>
      <c r="D34786" s="5">
        <v>0.1</v>
      </c>
      <c r="E34786" s="5">
        <v>101.8</v>
      </c>
      <c r="F34786" s="5">
        <v>202.6</v>
      </c>
      <c r="G34786" s="5">
        <v>101.1</v>
      </c>
      <c r="H34786" s="5">
        <v>100.9</v>
      </c>
      <c r="I34786" s="5">
        <v>0</v>
      </c>
      <c r="J34786" s="5">
        <v>0</v>
      </c>
      <c r="K34786" s="5">
        <v>0</v>
      </c>
    </row>
    <row r="34787" spans="1:11" x14ac:dyDescent="0.25">
      <c r="A34787" s="5">
        <f>34780</f>
      </c>
      <c r="B34787" s="5" t="s">
        <v>34795</v>
      </c>
      <c r="C34787" s="5">
        <v>101.8</v>
      </c>
      <c r="D34787" s="5">
        <v>0.1</v>
      </c>
      <c r="E34787" s="5">
        <v>101.8</v>
      </c>
      <c r="F34787" s="5">
        <v>202.6</v>
      </c>
      <c r="G34787" s="5">
        <v>101.1</v>
      </c>
      <c r="H34787" s="5">
        <v>100.9</v>
      </c>
      <c r="I34787" s="5">
        <v>0</v>
      </c>
      <c r="J34787" s="5">
        <v>0</v>
      </c>
      <c r="K34787" s="5">
        <v>0</v>
      </c>
    </row>
    <row r="34788" spans="1:11" x14ac:dyDescent="0.25">
      <c r="A34788" s="5">
        <f>34781</f>
      </c>
      <c r="B34788" s="5" t="s">
        <v>34796</v>
      </c>
      <c r="C34788" s="5">
        <v>100.9</v>
      </c>
      <c r="D34788" s="5">
        <v>0.1</v>
      </c>
      <c r="E34788" s="5">
        <v>101</v>
      </c>
      <c r="F34788" s="5">
        <v>201.5</v>
      </c>
      <c r="G34788" s="5">
        <v>100.6</v>
      </c>
      <c r="H34788" s="5">
        <v>100.4</v>
      </c>
      <c r="I34788" s="5">
        <v>0</v>
      </c>
      <c r="J34788" s="5">
        <v>0</v>
      </c>
      <c r="K34788" s="5">
        <v>0</v>
      </c>
    </row>
    <row r="34789" spans="1:11" x14ac:dyDescent="0.25">
      <c r="A34789" s="5">
        <f>34782</f>
      </c>
      <c r="B34789" s="5" t="s">
        <v>34797</v>
      </c>
      <c r="C34789" s="5">
        <v>100.9</v>
      </c>
      <c r="D34789" s="5">
        <v>0.1</v>
      </c>
      <c r="E34789" s="5">
        <v>101</v>
      </c>
      <c r="F34789" s="5">
        <v>201.5</v>
      </c>
      <c r="G34789" s="5">
        <v>100.6</v>
      </c>
      <c r="H34789" s="5">
        <v>100.4</v>
      </c>
      <c r="I34789" s="5">
        <v>0</v>
      </c>
      <c r="J34789" s="5">
        <v>0</v>
      </c>
      <c r="K34789" s="5">
        <v>0</v>
      </c>
    </row>
    <row r="34790" spans="1:11" x14ac:dyDescent="0.25">
      <c r="A34790" s="5">
        <f>34783</f>
      </c>
      <c r="B34790" s="5" t="s">
        <v>34798</v>
      </c>
      <c r="C34790" s="5">
        <v>102.2</v>
      </c>
      <c r="D34790" s="5">
        <v>0.1</v>
      </c>
      <c r="E34790" s="5">
        <v>102.4</v>
      </c>
      <c r="F34790" s="5">
        <v>203.2</v>
      </c>
      <c r="G34790" s="5">
        <v>101.4</v>
      </c>
      <c r="H34790" s="5">
        <v>101.3</v>
      </c>
      <c r="I34790" s="5">
        <v>0</v>
      </c>
      <c r="J34790" s="5">
        <v>0</v>
      </c>
      <c r="K34790" s="5">
        <v>0</v>
      </c>
    </row>
    <row r="34791" spans="1:11" x14ac:dyDescent="0.25">
      <c r="A34791" s="5">
        <f>34784</f>
      </c>
      <c r="B34791" s="5" t="s">
        <v>34799</v>
      </c>
      <c r="C34791" s="5">
        <v>102.2</v>
      </c>
      <c r="D34791" s="5">
        <v>0.1</v>
      </c>
      <c r="E34791" s="5">
        <v>102.4</v>
      </c>
      <c r="F34791" s="5">
        <v>203.2</v>
      </c>
      <c r="G34791" s="5">
        <v>101.4</v>
      </c>
      <c r="H34791" s="5">
        <v>101.3</v>
      </c>
      <c r="I34791" s="5">
        <v>0</v>
      </c>
      <c r="J34791" s="5">
        <v>0</v>
      </c>
      <c r="K34791" s="5">
        <v>0</v>
      </c>
    </row>
    <row r="34792" spans="1:11" x14ac:dyDescent="0.25">
      <c r="A34792" s="5">
        <f>34785</f>
      </c>
      <c r="B34792" s="5" t="s">
        <v>34800</v>
      </c>
      <c r="C34792" s="5">
        <v>101.5</v>
      </c>
      <c r="D34792" s="5">
        <v>0.1</v>
      </c>
      <c r="E34792" s="5">
        <v>101.6</v>
      </c>
      <c r="F34792" s="5">
        <v>202.3</v>
      </c>
      <c r="G34792" s="5">
        <v>101</v>
      </c>
      <c r="H34792" s="5">
        <v>100.8</v>
      </c>
      <c r="I34792" s="5">
        <v>0</v>
      </c>
      <c r="J34792" s="5">
        <v>0</v>
      </c>
      <c r="K34792" s="5">
        <v>0</v>
      </c>
    </row>
    <row r="34793" spans="1:11" x14ac:dyDescent="0.25">
      <c r="A34793" s="5">
        <f>34786</f>
      </c>
      <c r="B34793" s="5" t="s">
        <v>34801</v>
      </c>
      <c r="C34793" s="5">
        <v>101.5</v>
      </c>
      <c r="D34793" s="5">
        <v>0.1</v>
      </c>
      <c r="E34793" s="5">
        <v>101.6</v>
      </c>
      <c r="F34793" s="5">
        <v>202.3</v>
      </c>
      <c r="G34793" s="5">
        <v>101</v>
      </c>
      <c r="H34793" s="5">
        <v>100.8</v>
      </c>
      <c r="I34793" s="5">
        <v>0</v>
      </c>
      <c r="J34793" s="5">
        <v>0</v>
      </c>
      <c r="K34793" s="5">
        <v>0</v>
      </c>
    </row>
    <row r="34794" spans="1:11" x14ac:dyDescent="0.25">
      <c r="A34794" s="5">
        <f>34787</f>
      </c>
      <c r="B34794" s="5" t="s">
        <v>34802</v>
      </c>
      <c r="C34794" s="5">
        <v>102.7</v>
      </c>
      <c r="D34794" s="5">
        <v>0.1</v>
      </c>
      <c r="E34794" s="5">
        <v>102.8</v>
      </c>
      <c r="F34794" s="5">
        <v>204.8</v>
      </c>
      <c r="G34794" s="5">
        <v>102.2</v>
      </c>
      <c r="H34794" s="5">
        <v>102.1</v>
      </c>
      <c r="I34794" s="5">
        <v>0</v>
      </c>
      <c r="J34794" s="5">
        <v>0</v>
      </c>
      <c r="K34794" s="5">
        <v>0</v>
      </c>
    </row>
    <row r="34795" spans="1:11" x14ac:dyDescent="0.25">
      <c r="A34795" s="5">
        <f>34788</f>
      </c>
      <c r="B34795" s="5" t="s">
        <v>34803</v>
      </c>
      <c r="C34795" s="5">
        <v>102.7</v>
      </c>
      <c r="D34795" s="5">
        <v>0.1</v>
      </c>
      <c r="E34795" s="5">
        <v>102.8</v>
      </c>
      <c r="F34795" s="5">
        <v>204.8</v>
      </c>
      <c r="G34795" s="5">
        <v>102.2</v>
      </c>
      <c r="H34795" s="5">
        <v>102.1</v>
      </c>
      <c r="I34795" s="5">
        <v>0</v>
      </c>
      <c r="J34795" s="5">
        <v>0</v>
      </c>
      <c r="K34795" s="5">
        <v>0</v>
      </c>
    </row>
    <row r="34796" spans="1:11" x14ac:dyDescent="0.25">
      <c r="A34796" s="5">
        <f>34789</f>
      </c>
      <c r="B34796" s="5" t="s">
        <v>34804</v>
      </c>
      <c r="C34796" s="5">
        <v>102.7</v>
      </c>
      <c r="D34796" s="5">
        <v>0.1</v>
      </c>
      <c r="E34796" s="5">
        <v>102.8</v>
      </c>
      <c r="F34796" s="5">
        <v>204.8</v>
      </c>
      <c r="G34796" s="5">
        <v>102.2</v>
      </c>
      <c r="H34796" s="5">
        <v>102.1</v>
      </c>
      <c r="I34796" s="5">
        <v>0</v>
      </c>
      <c r="J34796" s="5">
        <v>0</v>
      </c>
      <c r="K34796" s="5">
        <v>0</v>
      </c>
    </row>
    <row r="34797" spans="1:11" x14ac:dyDescent="0.25">
      <c r="A34797" s="5">
        <f>34790</f>
      </c>
      <c r="B34797" s="5" t="s">
        <v>34805</v>
      </c>
      <c r="C34797" s="5">
        <v>102.7</v>
      </c>
      <c r="D34797" s="5">
        <v>0.1</v>
      </c>
      <c r="E34797" s="5">
        <v>104.9</v>
      </c>
      <c r="F34797" s="5">
        <v>208.7</v>
      </c>
      <c r="G34797" s="5">
        <v>104.2</v>
      </c>
      <c r="H34797" s="5">
        <v>104.1</v>
      </c>
      <c r="I34797" s="5">
        <v>0</v>
      </c>
      <c r="J34797" s="5">
        <v>0</v>
      </c>
      <c r="K34797" s="5">
        <v>0</v>
      </c>
    </row>
    <row r="34798" spans="1:11" x14ac:dyDescent="0.25">
      <c r="A34798" s="5">
        <f>34791</f>
      </c>
      <c r="B34798" s="5" t="s">
        <v>34806</v>
      </c>
      <c r="C34798" s="5">
        <v>104.7</v>
      </c>
      <c r="D34798" s="5">
        <v>0.1</v>
      </c>
      <c r="E34798" s="5">
        <v>104.9</v>
      </c>
      <c r="F34798" s="5">
        <v>208.7</v>
      </c>
      <c r="G34798" s="5">
        <v>104.2</v>
      </c>
      <c r="H34798" s="5">
        <v>104.1</v>
      </c>
      <c r="I34798" s="5">
        <v>0</v>
      </c>
      <c r="J34798" s="5">
        <v>0</v>
      </c>
      <c r="K34798" s="5">
        <v>0</v>
      </c>
    </row>
    <row r="34799" spans="1:11" x14ac:dyDescent="0.25">
      <c r="A34799" s="5">
        <f>34792</f>
      </c>
      <c r="B34799" s="5" t="s">
        <v>34807</v>
      </c>
      <c r="C34799" s="5">
        <v>104.7</v>
      </c>
      <c r="D34799" s="5">
        <v>0.1</v>
      </c>
      <c r="E34799" s="5">
        <v>105</v>
      </c>
      <c r="F34799" s="5">
        <v>209.8</v>
      </c>
      <c r="G34799" s="5">
        <v>104.7</v>
      </c>
      <c r="H34799" s="5">
        <v>104.5</v>
      </c>
      <c r="I34799" s="5">
        <v>0</v>
      </c>
      <c r="J34799" s="5">
        <v>0</v>
      </c>
      <c r="K34799" s="5">
        <v>0</v>
      </c>
    </row>
    <row r="34800" spans="1:11" x14ac:dyDescent="0.25">
      <c r="A34800" s="5">
        <f>34793</f>
      </c>
      <c r="B34800" s="5" t="s">
        <v>34808</v>
      </c>
      <c r="C34800" s="5">
        <v>104.8</v>
      </c>
      <c r="D34800" s="5">
        <v>0.1</v>
      </c>
      <c r="E34800" s="5">
        <v>105</v>
      </c>
      <c r="F34800" s="5">
        <v>209.8</v>
      </c>
      <c r="G34800" s="5">
        <v>104.7</v>
      </c>
      <c r="H34800" s="5">
        <v>104.5</v>
      </c>
      <c r="I34800" s="5">
        <v>0</v>
      </c>
      <c r="J34800" s="5">
        <v>0</v>
      </c>
      <c r="K34800" s="5">
        <v>0</v>
      </c>
    </row>
    <row r="34801" spans="1:11" x14ac:dyDescent="0.25">
      <c r="A34801" s="5">
        <f>34794</f>
      </c>
      <c r="B34801" s="5" t="s">
        <v>34809</v>
      </c>
      <c r="C34801" s="5">
        <v>104.8</v>
      </c>
      <c r="D34801" s="5">
        <v>0.1</v>
      </c>
      <c r="E34801" s="5">
        <v>105</v>
      </c>
      <c r="F34801" s="5">
        <v>209.8</v>
      </c>
      <c r="G34801" s="5">
        <v>104.7</v>
      </c>
      <c r="H34801" s="5">
        <v>104.4</v>
      </c>
      <c r="I34801" s="5">
        <v>0</v>
      </c>
      <c r="J34801" s="5">
        <v>0</v>
      </c>
      <c r="K34801" s="5">
        <v>0</v>
      </c>
    </row>
    <row r="34802" spans="1:11" x14ac:dyDescent="0.25">
      <c r="A34802" s="5">
        <f>34795</f>
      </c>
      <c r="B34802" s="5" t="s">
        <v>34810</v>
      </c>
      <c r="C34802" s="5">
        <v>104.9</v>
      </c>
      <c r="D34802" s="5">
        <v>0.1</v>
      </c>
      <c r="E34802" s="5">
        <v>105</v>
      </c>
      <c r="F34802" s="5">
        <v>209.4</v>
      </c>
      <c r="G34802" s="5">
        <v>104.5</v>
      </c>
      <c r="H34802" s="5">
        <v>104.4</v>
      </c>
      <c r="I34802" s="5">
        <v>0</v>
      </c>
      <c r="J34802" s="5">
        <v>0</v>
      </c>
      <c r="K34802" s="5">
        <v>0</v>
      </c>
    </row>
    <row r="34803" spans="1:11" x14ac:dyDescent="0.25">
      <c r="A34803" s="5">
        <f>34796</f>
      </c>
      <c r="B34803" s="5" t="s">
        <v>34811</v>
      </c>
      <c r="C34803" s="5">
        <v>104.9</v>
      </c>
      <c r="D34803" s="5">
        <v>0.1</v>
      </c>
      <c r="E34803" s="5">
        <v>105</v>
      </c>
      <c r="F34803" s="5">
        <v>209.4</v>
      </c>
      <c r="G34803" s="5">
        <v>104.5</v>
      </c>
      <c r="H34803" s="5">
        <v>104.4</v>
      </c>
      <c r="I34803" s="5">
        <v>0</v>
      </c>
      <c r="J34803" s="5">
        <v>0</v>
      </c>
      <c r="K34803" s="5">
        <v>0</v>
      </c>
    </row>
    <row r="34804" spans="1:11" x14ac:dyDescent="0.25">
      <c r="A34804" s="5">
        <f>34797</f>
      </c>
      <c r="B34804" s="5" t="s">
        <v>34812</v>
      </c>
      <c r="C34804" s="5">
        <v>104.8</v>
      </c>
      <c r="D34804" s="5">
        <v>0.1</v>
      </c>
      <c r="E34804" s="5">
        <v>105</v>
      </c>
      <c r="F34804" s="5">
        <v>209.4</v>
      </c>
      <c r="G34804" s="5">
        <v>104.5</v>
      </c>
      <c r="H34804" s="5">
        <v>104.3</v>
      </c>
      <c r="I34804" s="5">
        <v>0</v>
      </c>
      <c r="J34804" s="5">
        <v>0</v>
      </c>
      <c r="K34804" s="5">
        <v>0</v>
      </c>
    </row>
    <row r="34805" spans="1:11" x14ac:dyDescent="0.25">
      <c r="A34805" s="5">
        <f>34798</f>
      </c>
      <c r="B34805" s="5" t="s">
        <v>34813</v>
      </c>
      <c r="C34805" s="5">
        <v>104.8</v>
      </c>
      <c r="D34805" s="5">
        <v>0.1</v>
      </c>
      <c r="E34805" s="5">
        <v>105</v>
      </c>
      <c r="F34805" s="5">
        <v>209.4</v>
      </c>
      <c r="G34805" s="5">
        <v>104.5</v>
      </c>
      <c r="H34805" s="5">
        <v>104.3</v>
      </c>
      <c r="I34805" s="5">
        <v>0</v>
      </c>
      <c r="J34805" s="5">
        <v>0</v>
      </c>
      <c r="K34805" s="5">
        <v>0</v>
      </c>
    </row>
    <row r="34806" spans="1:11" x14ac:dyDescent="0.25">
      <c r="A34806" s="5">
        <f>34799</f>
      </c>
      <c r="B34806" s="5" t="s">
        <v>34814</v>
      </c>
      <c r="C34806" s="5">
        <v>104.8</v>
      </c>
      <c r="D34806" s="5">
        <v>0.1</v>
      </c>
      <c r="E34806" s="5">
        <v>105</v>
      </c>
      <c r="F34806" s="5">
        <v>209.4</v>
      </c>
      <c r="G34806" s="5">
        <v>104.5</v>
      </c>
      <c r="H34806" s="5">
        <v>104.3</v>
      </c>
      <c r="I34806" s="5">
        <v>0</v>
      </c>
      <c r="J34806" s="5">
        <v>0</v>
      </c>
      <c r="K34806" s="5">
        <v>0</v>
      </c>
    </row>
    <row r="34807" spans="1:11" x14ac:dyDescent="0.25">
      <c r="A34807" s="5">
        <f>34800</f>
      </c>
      <c r="B34807" s="5" t="s">
        <v>34815</v>
      </c>
      <c r="C34807" s="5">
        <v>104.9</v>
      </c>
      <c r="D34807" s="5">
        <v>0.1</v>
      </c>
      <c r="E34807" s="5">
        <v>105</v>
      </c>
      <c r="F34807" s="5">
        <v>209.6</v>
      </c>
      <c r="G34807" s="5">
        <v>104.6</v>
      </c>
      <c r="H34807" s="5">
        <v>104.4</v>
      </c>
      <c r="I34807" s="5">
        <v>0</v>
      </c>
      <c r="J34807" s="5">
        <v>0</v>
      </c>
      <c r="K34807" s="5">
        <v>0</v>
      </c>
    </row>
    <row r="34808" spans="1:11" x14ac:dyDescent="0.25">
      <c r="A34808" s="5">
        <f>34801</f>
      </c>
      <c r="B34808" s="5" t="s">
        <v>34816</v>
      </c>
      <c r="C34808" s="5">
        <v>104.9</v>
      </c>
      <c r="D34808" s="5">
        <v>0.1</v>
      </c>
      <c r="E34808" s="5">
        <v>105</v>
      </c>
      <c r="F34808" s="5">
        <v>209.6</v>
      </c>
      <c r="G34808" s="5">
        <v>104.6</v>
      </c>
      <c r="H34808" s="5">
        <v>104.4</v>
      </c>
      <c r="I34808" s="5">
        <v>0</v>
      </c>
      <c r="J34808" s="5">
        <v>0</v>
      </c>
      <c r="K34808" s="5">
        <v>0</v>
      </c>
    </row>
    <row r="34809" spans="1:11" x14ac:dyDescent="0.25">
      <c r="A34809" s="5">
        <f>34802</f>
      </c>
      <c r="B34809" s="5" t="s">
        <v>34817</v>
      </c>
      <c r="C34809" s="5">
        <v>104.8</v>
      </c>
      <c r="D34809" s="5">
        <v>0.1</v>
      </c>
      <c r="E34809" s="5">
        <v>104.9</v>
      </c>
      <c r="F34809" s="5">
        <v>209</v>
      </c>
      <c r="G34809" s="5">
        <v>104.6</v>
      </c>
      <c r="H34809" s="5">
        <v>104.4</v>
      </c>
      <c r="I34809" s="5">
        <v>0</v>
      </c>
      <c r="J34809" s="5">
        <v>0</v>
      </c>
      <c r="K34809" s="5">
        <v>0</v>
      </c>
    </row>
    <row r="34810" spans="1:11" x14ac:dyDescent="0.25">
      <c r="A34810" s="5">
        <f>34803</f>
      </c>
      <c r="B34810" s="5" t="s">
        <v>34818</v>
      </c>
      <c r="C34810" s="5">
        <v>104.8</v>
      </c>
      <c r="D34810" s="5">
        <v>0.1</v>
      </c>
      <c r="E34810" s="5">
        <v>104.9</v>
      </c>
      <c r="F34810" s="5">
        <v>209</v>
      </c>
      <c r="G34810" s="5">
        <v>104.3</v>
      </c>
      <c r="H34810" s="5">
        <v>104.1</v>
      </c>
      <c r="I34810" s="5">
        <v>0</v>
      </c>
      <c r="J34810" s="5">
        <v>0</v>
      </c>
      <c r="K34810" s="5">
        <v>0</v>
      </c>
    </row>
    <row r="34811" spans="1:11" x14ac:dyDescent="0.25">
      <c r="A34811" s="5">
        <f>34804</f>
      </c>
      <c r="B34811" s="5" t="s">
        <v>34819</v>
      </c>
      <c r="C34811" s="5">
        <v>104.6</v>
      </c>
      <c r="D34811" s="5">
        <v>0.1</v>
      </c>
      <c r="E34811" s="5">
        <v>104.9</v>
      </c>
      <c r="F34811" s="5">
        <v>209</v>
      </c>
      <c r="G34811" s="5">
        <v>104.3</v>
      </c>
      <c r="H34811" s="5">
        <v>104.1</v>
      </c>
      <c r="I34811" s="5">
        <v>0</v>
      </c>
      <c r="J34811" s="5">
        <v>0</v>
      </c>
      <c r="K34811" s="5">
        <v>0</v>
      </c>
    </row>
    <row r="34812" spans="1:11" x14ac:dyDescent="0.25">
      <c r="A34812" s="5">
        <f>34805</f>
      </c>
      <c r="B34812" s="5" t="s">
        <v>34820</v>
      </c>
      <c r="C34812" s="5">
        <v>104.6</v>
      </c>
      <c r="D34812" s="5">
        <v>0.1</v>
      </c>
      <c r="E34812" s="5">
        <v>104.8</v>
      </c>
      <c r="F34812" s="5">
        <v>209.3</v>
      </c>
      <c r="G34812" s="5">
        <v>104.4</v>
      </c>
      <c r="H34812" s="5">
        <v>104.3</v>
      </c>
      <c r="I34812" s="5">
        <v>0</v>
      </c>
      <c r="J34812" s="5">
        <v>0</v>
      </c>
      <c r="K34812" s="5">
        <v>0</v>
      </c>
    </row>
    <row r="34813" spans="1:11" x14ac:dyDescent="0.25">
      <c r="A34813" s="5">
        <f>34806</f>
      </c>
      <c r="B34813" s="5" t="s">
        <v>34821</v>
      </c>
      <c r="C34813" s="5">
        <v>104.6</v>
      </c>
      <c r="D34813" s="5">
        <v>0.1</v>
      </c>
      <c r="E34813" s="5">
        <v>104.8</v>
      </c>
      <c r="F34813" s="5">
        <v>209.3</v>
      </c>
      <c r="G34813" s="5">
        <v>104.4</v>
      </c>
      <c r="H34813" s="5">
        <v>104.3</v>
      </c>
      <c r="I34813" s="5">
        <v>0</v>
      </c>
      <c r="J34813" s="5">
        <v>0</v>
      </c>
      <c r="K34813" s="5">
        <v>0</v>
      </c>
    </row>
    <row r="34814" spans="1:11" x14ac:dyDescent="0.25">
      <c r="A34814" s="5">
        <f>34807</f>
      </c>
      <c r="B34814" s="5" t="s">
        <v>34822</v>
      </c>
      <c r="C34814" s="5">
        <v>105.1</v>
      </c>
      <c r="D34814" s="5">
        <v>0.1</v>
      </c>
      <c r="E34814" s="5">
        <v>105.3</v>
      </c>
      <c r="F34814" s="5">
        <v>209.8</v>
      </c>
      <c r="G34814" s="5">
        <v>104.7</v>
      </c>
      <c r="H34814" s="5">
        <v>104.5</v>
      </c>
      <c r="I34814" s="5">
        <v>0</v>
      </c>
      <c r="J34814" s="5">
        <v>0</v>
      </c>
      <c r="K34814" s="5">
        <v>0</v>
      </c>
    </row>
    <row r="34815" spans="1:11" x14ac:dyDescent="0.25">
      <c r="A34815" s="5">
        <f>34808</f>
      </c>
      <c r="B34815" s="5" t="s">
        <v>34823</v>
      </c>
      <c r="C34815" s="5">
        <v>105.1</v>
      </c>
      <c r="D34815" s="5">
        <v>0.1</v>
      </c>
      <c r="E34815" s="5">
        <v>105.3</v>
      </c>
      <c r="F34815" s="5">
        <v>209.8</v>
      </c>
      <c r="G34815" s="5">
        <v>104.7</v>
      </c>
      <c r="H34815" s="5">
        <v>104.5</v>
      </c>
      <c r="I34815" s="5">
        <v>0</v>
      </c>
      <c r="J34815" s="5">
        <v>0</v>
      </c>
      <c r="K34815" s="5">
        <v>0</v>
      </c>
    </row>
    <row r="34816" spans="1:11" x14ac:dyDescent="0.25">
      <c r="A34816" s="5">
        <f>34809</f>
      </c>
      <c r="B34816" s="5" t="s">
        <v>34824</v>
      </c>
      <c r="C34816" s="5">
        <v>105.1</v>
      </c>
      <c r="D34816" s="5">
        <v>0.1</v>
      </c>
      <c r="E34816" s="5">
        <v>105.3</v>
      </c>
      <c r="F34816" s="5">
        <v>209.8</v>
      </c>
      <c r="G34816" s="5">
        <v>104.7</v>
      </c>
      <c r="H34816" s="5">
        <v>104.5</v>
      </c>
      <c r="I34816" s="5">
        <v>0</v>
      </c>
      <c r="J34816" s="5">
        <v>0</v>
      </c>
      <c r="K34816" s="5">
        <v>0</v>
      </c>
    </row>
    <row r="34817" spans="1:11" x14ac:dyDescent="0.25">
      <c r="A34817" s="5">
        <f>34810</f>
      </c>
      <c r="B34817" s="5" t="s">
        <v>34825</v>
      </c>
      <c r="C34817" s="5">
        <v>105.1</v>
      </c>
      <c r="D34817" s="5">
        <v>0.1</v>
      </c>
      <c r="E34817" s="5">
        <v>105.3</v>
      </c>
      <c r="F34817" s="5">
        <v>209.8</v>
      </c>
      <c r="G34817" s="5">
        <v>104.7</v>
      </c>
      <c r="H34817" s="5">
        <v>104.5</v>
      </c>
      <c r="I34817" s="5">
        <v>0</v>
      </c>
      <c r="J34817" s="5">
        <v>0</v>
      </c>
      <c r="K34817" s="5">
        <v>0</v>
      </c>
    </row>
    <row r="34818" spans="1:11" x14ac:dyDescent="0.25">
      <c r="A34818" s="5">
        <f>34811</f>
      </c>
      <c r="B34818" s="5" t="s">
        <v>34826</v>
      </c>
      <c r="C34818" s="5">
        <v>104.3</v>
      </c>
      <c r="D34818" s="5">
        <v>0.1</v>
      </c>
      <c r="E34818" s="5">
        <v>104.4</v>
      </c>
      <c r="F34818" s="5">
        <v>208.6</v>
      </c>
      <c r="G34818" s="5">
        <v>104</v>
      </c>
      <c r="H34818" s="5">
        <v>103.9</v>
      </c>
      <c r="I34818" s="5">
        <v>0</v>
      </c>
      <c r="J34818" s="5">
        <v>0</v>
      </c>
      <c r="K34818" s="5">
        <v>0</v>
      </c>
    </row>
    <row r="34819" spans="1:11" x14ac:dyDescent="0.25">
      <c r="A34819" s="5">
        <f>34812</f>
      </c>
      <c r="B34819" s="5" t="s">
        <v>34827</v>
      </c>
      <c r="C34819" s="5">
        <v>104.3</v>
      </c>
      <c r="D34819" s="5">
        <v>0.1</v>
      </c>
      <c r="E34819" s="5">
        <v>104.4</v>
      </c>
      <c r="F34819" s="5">
        <v>208.6</v>
      </c>
      <c r="G34819" s="5">
        <v>104</v>
      </c>
      <c r="H34819" s="5">
        <v>103.9</v>
      </c>
      <c r="I34819" s="5">
        <v>0</v>
      </c>
      <c r="J34819" s="5">
        <v>0</v>
      </c>
      <c r="K34819" s="5">
        <v>0</v>
      </c>
    </row>
    <row r="34820" spans="1:11" x14ac:dyDescent="0.25">
      <c r="A34820" s="5">
        <f>34813</f>
      </c>
      <c r="B34820" s="5" t="s">
        <v>34828</v>
      </c>
      <c r="C34820" s="5">
        <v>104.6</v>
      </c>
      <c r="D34820" s="5">
        <v>0.1</v>
      </c>
      <c r="E34820" s="5">
        <v>104.8</v>
      </c>
      <c r="F34820" s="5">
        <v>208.6</v>
      </c>
      <c r="G34820" s="5">
        <v>104.1</v>
      </c>
      <c r="H34820" s="5">
        <v>104</v>
      </c>
      <c r="I34820" s="5">
        <v>0</v>
      </c>
      <c r="J34820" s="5">
        <v>0</v>
      </c>
      <c r="K34820" s="5">
        <v>0</v>
      </c>
    </row>
    <row r="34821" spans="1:11" x14ac:dyDescent="0.25">
      <c r="A34821" s="5">
        <f>34814</f>
      </c>
      <c r="B34821" s="5" t="s">
        <v>34829</v>
      </c>
      <c r="C34821" s="5">
        <v>104.6</v>
      </c>
      <c r="D34821" s="5">
        <v>0.1</v>
      </c>
      <c r="E34821" s="5">
        <v>104.8</v>
      </c>
      <c r="F34821" s="5">
        <v>208.6</v>
      </c>
      <c r="G34821" s="5">
        <v>104.1</v>
      </c>
      <c r="H34821" s="5">
        <v>104</v>
      </c>
      <c r="I34821" s="5">
        <v>0</v>
      </c>
      <c r="J34821" s="5">
        <v>0</v>
      </c>
      <c r="K34821" s="5">
        <v>0</v>
      </c>
    </row>
    <row r="34822" spans="1:11" x14ac:dyDescent="0.25">
      <c r="A34822" s="5">
        <f>34815</f>
      </c>
      <c r="B34822" s="5" t="s">
        <v>34830</v>
      </c>
      <c r="C34822" s="5">
        <v>104.4</v>
      </c>
      <c r="D34822" s="5">
        <v>0.1</v>
      </c>
      <c r="E34822" s="5">
        <v>104.6</v>
      </c>
      <c r="F34822" s="5">
        <v>208.8</v>
      </c>
      <c r="G34822" s="5">
        <v>104.1</v>
      </c>
      <c r="H34822" s="5">
        <v>104</v>
      </c>
      <c r="I34822" s="5">
        <v>0</v>
      </c>
      <c r="J34822" s="5">
        <v>0</v>
      </c>
      <c r="K34822" s="5">
        <v>0</v>
      </c>
    </row>
    <row r="34823" spans="1:11" x14ac:dyDescent="0.25">
      <c r="A34823" s="5">
        <f>34816</f>
      </c>
      <c r="B34823" s="5" t="s">
        <v>34831</v>
      </c>
      <c r="C34823" s="5">
        <v>104.4</v>
      </c>
      <c r="D34823" s="5">
        <v>0.1</v>
      </c>
      <c r="E34823" s="5">
        <v>104.6</v>
      </c>
      <c r="F34823" s="5">
        <v>208.8</v>
      </c>
      <c r="G34823" s="5">
        <v>104.1</v>
      </c>
      <c r="H34823" s="5">
        <v>104</v>
      </c>
      <c r="I34823" s="5">
        <v>0</v>
      </c>
      <c r="J34823" s="5">
        <v>0</v>
      </c>
      <c r="K34823" s="5">
        <v>0</v>
      </c>
    </row>
    <row r="34824" spans="1:11" x14ac:dyDescent="0.25">
      <c r="A34824" s="5">
        <f>34817</f>
      </c>
      <c r="B34824" s="5" t="s">
        <v>34832</v>
      </c>
      <c r="C34824" s="5">
        <v>104.7</v>
      </c>
      <c r="D34824" s="5">
        <v>0.1</v>
      </c>
      <c r="E34824" s="5">
        <v>104.9</v>
      </c>
      <c r="F34824" s="5">
        <v>208.7</v>
      </c>
      <c r="G34824" s="5">
        <v>104.2</v>
      </c>
      <c r="H34824" s="5">
        <v>104</v>
      </c>
      <c r="I34824" s="5">
        <v>0</v>
      </c>
      <c r="J34824" s="5">
        <v>0</v>
      </c>
      <c r="K34824" s="5">
        <v>0</v>
      </c>
    </row>
    <row r="34825" spans="1:11" x14ac:dyDescent="0.25">
      <c r="A34825" s="5">
        <f>34818</f>
      </c>
      <c r="B34825" s="5" t="s">
        <v>34833</v>
      </c>
      <c r="C34825" s="5">
        <v>104.7</v>
      </c>
      <c r="D34825" s="5">
        <v>0.1</v>
      </c>
      <c r="E34825" s="5">
        <v>104.9</v>
      </c>
      <c r="F34825" s="5">
        <v>208.7</v>
      </c>
      <c r="G34825" s="5">
        <v>104.2</v>
      </c>
      <c r="H34825" s="5">
        <v>104</v>
      </c>
      <c r="I34825" s="5">
        <v>0</v>
      </c>
      <c r="J34825" s="5">
        <v>0</v>
      </c>
      <c r="K34825" s="5">
        <v>0</v>
      </c>
    </row>
    <row r="34826" spans="1:11" x14ac:dyDescent="0.25">
      <c r="A34826" s="5">
        <f>34819</f>
      </c>
      <c r="B34826" s="5" t="s">
        <v>34834</v>
      </c>
      <c r="C34826" s="5">
        <v>104.7</v>
      </c>
      <c r="D34826" s="5">
        <v>0.1</v>
      </c>
      <c r="E34826" s="5">
        <v>104.9</v>
      </c>
      <c r="F34826" s="5">
        <v>208.7</v>
      </c>
      <c r="G34826" s="5">
        <v>104.2</v>
      </c>
      <c r="H34826" s="5">
        <v>104</v>
      </c>
      <c r="I34826" s="5">
        <v>0</v>
      </c>
      <c r="J34826" s="5">
        <v>0</v>
      </c>
      <c r="K34826" s="5">
        <v>0</v>
      </c>
    </row>
    <row r="34827" spans="1:11" x14ac:dyDescent="0.25">
      <c r="A34827" s="5">
        <f>34820</f>
      </c>
      <c r="B34827" s="5" t="s">
        <v>34835</v>
      </c>
      <c r="C34827" s="5">
        <v>104.6</v>
      </c>
      <c r="D34827" s="5">
        <v>0.1</v>
      </c>
      <c r="E34827" s="5">
        <v>104.7</v>
      </c>
      <c r="F34827" s="5">
        <v>209.1</v>
      </c>
      <c r="G34827" s="5">
        <v>104.4</v>
      </c>
      <c r="H34827" s="5">
        <v>104.3</v>
      </c>
      <c r="I34827" s="5">
        <v>0</v>
      </c>
      <c r="J34827" s="5">
        <v>0</v>
      </c>
      <c r="K34827" s="5">
        <v>0</v>
      </c>
    </row>
    <row r="34828" spans="1:11" x14ac:dyDescent="0.25">
      <c r="A34828" s="5">
        <f>34821</f>
      </c>
      <c r="B34828" s="5" t="s">
        <v>34836</v>
      </c>
      <c r="C34828" s="5">
        <v>104.6</v>
      </c>
      <c r="D34828" s="5">
        <v>0.1</v>
      </c>
      <c r="E34828" s="5">
        <v>104.7</v>
      </c>
      <c r="F34828" s="5">
        <v>209.1</v>
      </c>
      <c r="G34828" s="5">
        <v>104.4</v>
      </c>
      <c r="H34828" s="5">
        <v>104.3</v>
      </c>
      <c r="I34828" s="5">
        <v>0</v>
      </c>
      <c r="J34828" s="5">
        <v>0</v>
      </c>
      <c r="K34828" s="5">
        <v>0</v>
      </c>
    </row>
    <row r="34829" spans="1:11" x14ac:dyDescent="0.25">
      <c r="A34829" s="5">
        <f>34822</f>
      </c>
      <c r="B34829" s="5" t="s">
        <v>34837</v>
      </c>
      <c r="C34829" s="5">
        <v>103.9</v>
      </c>
      <c r="D34829" s="5">
        <v>0.1</v>
      </c>
      <c r="E34829" s="5">
        <v>104</v>
      </c>
      <c r="F34829" s="5">
        <v>207.5</v>
      </c>
      <c r="G34829" s="5">
        <v>103.5</v>
      </c>
      <c r="H34829" s="5">
        <v>103.4</v>
      </c>
      <c r="I34829" s="5">
        <v>0</v>
      </c>
      <c r="J34829" s="5">
        <v>0</v>
      </c>
      <c r="K34829" s="5">
        <v>0</v>
      </c>
    </row>
    <row r="34830" spans="1:11" x14ac:dyDescent="0.25">
      <c r="A34830" s="5">
        <f>34823</f>
      </c>
      <c r="B34830" s="5" t="s">
        <v>34838</v>
      </c>
      <c r="C34830" s="5">
        <v>103.9</v>
      </c>
      <c r="D34830" s="5">
        <v>0.1</v>
      </c>
      <c r="E34830" s="5">
        <v>104</v>
      </c>
      <c r="F34830" s="5">
        <v>207.5</v>
      </c>
      <c r="G34830" s="5">
        <v>103.5</v>
      </c>
      <c r="H34830" s="5">
        <v>103.4</v>
      </c>
      <c r="I34830" s="5">
        <v>0</v>
      </c>
      <c r="J34830" s="5">
        <v>0</v>
      </c>
      <c r="K34830" s="5">
        <v>0</v>
      </c>
    </row>
    <row r="34831" spans="1:11" x14ac:dyDescent="0.25">
      <c r="A34831" s="5">
        <f>34824</f>
      </c>
      <c r="B34831" s="5" t="s">
        <v>34839</v>
      </c>
      <c r="C34831" s="5">
        <v>104.3</v>
      </c>
      <c r="D34831" s="5">
        <v>0.1</v>
      </c>
      <c r="E34831" s="5">
        <v>104.4</v>
      </c>
      <c r="F34831" s="5">
        <v>207.9</v>
      </c>
      <c r="G34831" s="5">
        <v>103.7</v>
      </c>
      <c r="H34831" s="5">
        <v>103.6</v>
      </c>
      <c r="I34831" s="5">
        <v>0</v>
      </c>
      <c r="J34831" s="5">
        <v>0</v>
      </c>
      <c r="K34831" s="5">
        <v>0</v>
      </c>
    </row>
    <row r="34832" spans="1:11" x14ac:dyDescent="0.25">
      <c r="A34832" s="5">
        <f>34825</f>
      </c>
      <c r="B34832" s="5" t="s">
        <v>34840</v>
      </c>
      <c r="C34832" s="5">
        <v>104.3</v>
      </c>
      <c r="D34832" s="5">
        <v>0.1</v>
      </c>
      <c r="E34832" s="5">
        <v>104.4</v>
      </c>
      <c r="F34832" s="5">
        <v>207.9</v>
      </c>
      <c r="G34832" s="5">
        <v>103.7</v>
      </c>
      <c r="H34832" s="5">
        <v>103.6</v>
      </c>
      <c r="I34832" s="5">
        <v>0</v>
      </c>
      <c r="J34832" s="5">
        <v>0</v>
      </c>
      <c r="K34832" s="5">
        <v>0</v>
      </c>
    </row>
    <row r="34833" spans="1:11" x14ac:dyDescent="0.25">
      <c r="A34833" s="5">
        <f>34826</f>
      </c>
      <c r="B34833" s="5" t="s">
        <v>34841</v>
      </c>
      <c r="C34833" s="5">
        <v>104.5</v>
      </c>
      <c r="D34833" s="5">
        <v>0.1</v>
      </c>
      <c r="E34833" s="5">
        <v>104.6</v>
      </c>
      <c r="F34833" s="5">
        <v>208.5</v>
      </c>
      <c r="G34833" s="5">
        <v>104.1</v>
      </c>
      <c r="H34833" s="5">
        <v>103.9</v>
      </c>
      <c r="I34833" s="5">
        <v>0</v>
      </c>
      <c r="J34833" s="5">
        <v>0</v>
      </c>
      <c r="K34833" s="5">
        <v>0</v>
      </c>
    </row>
    <row r="34834" spans="1:11" x14ac:dyDescent="0.25">
      <c r="A34834" s="5">
        <f>34827</f>
      </c>
      <c r="B34834" s="5" t="s">
        <v>34842</v>
      </c>
      <c r="C34834" s="5">
        <v>104.5</v>
      </c>
      <c r="D34834" s="5">
        <v>0.1</v>
      </c>
      <c r="E34834" s="5">
        <v>104.6</v>
      </c>
      <c r="F34834" s="5">
        <v>208.5</v>
      </c>
      <c r="G34834" s="5">
        <v>104.1</v>
      </c>
      <c r="H34834" s="5">
        <v>103.9</v>
      </c>
      <c r="I34834" s="5">
        <v>0</v>
      </c>
      <c r="J34834" s="5">
        <v>0</v>
      </c>
      <c r="K34834" s="5">
        <v>0</v>
      </c>
    </row>
    <row r="34835" spans="1:11" x14ac:dyDescent="0.25">
      <c r="A34835" s="5">
        <f>34828</f>
      </c>
      <c r="B34835" s="5" t="s">
        <v>34843</v>
      </c>
      <c r="C34835" s="5">
        <v>104.5</v>
      </c>
      <c r="D34835" s="5">
        <v>0.1</v>
      </c>
      <c r="E34835" s="5">
        <v>104.6</v>
      </c>
      <c r="F34835" s="5">
        <v>208.5</v>
      </c>
      <c r="G34835" s="5">
        <v>104.1</v>
      </c>
      <c r="H34835" s="5">
        <v>103.9</v>
      </c>
      <c r="I34835" s="5">
        <v>0</v>
      </c>
      <c r="J34835" s="5">
        <v>0</v>
      </c>
      <c r="K34835" s="5">
        <v>0</v>
      </c>
    </row>
    <row r="34836" spans="1:11" x14ac:dyDescent="0.25">
      <c r="A34836" s="5">
        <f>34829</f>
      </c>
      <c r="B34836" s="5" t="s">
        <v>34844</v>
      </c>
      <c r="C34836" s="5">
        <v>104.5</v>
      </c>
      <c r="D34836" s="5">
        <v>0.1</v>
      </c>
      <c r="E34836" s="5">
        <v>104.6</v>
      </c>
      <c r="F34836" s="5">
        <v>208.5</v>
      </c>
      <c r="G34836" s="5">
        <v>104.1</v>
      </c>
      <c r="H34836" s="5">
        <v>103.9</v>
      </c>
      <c r="I34836" s="5">
        <v>0</v>
      </c>
      <c r="J34836" s="5">
        <v>0</v>
      </c>
      <c r="K34836" s="5">
        <v>0</v>
      </c>
    </row>
    <row r="34837" spans="1:11" x14ac:dyDescent="0.25">
      <c r="A34837" s="5">
        <f>34830</f>
      </c>
      <c r="B34837" s="5" t="s">
        <v>34845</v>
      </c>
      <c r="C34837" s="5">
        <v>104.3</v>
      </c>
      <c r="D34837" s="5">
        <v>0.1</v>
      </c>
      <c r="E34837" s="5">
        <v>104.3</v>
      </c>
      <c r="F34837" s="5">
        <v>208.3</v>
      </c>
      <c r="G34837" s="5">
        <v>103.9</v>
      </c>
      <c r="H34837" s="5">
        <v>103.8</v>
      </c>
      <c r="I34837" s="5">
        <v>0</v>
      </c>
      <c r="J34837" s="5">
        <v>0</v>
      </c>
      <c r="K34837" s="5">
        <v>0</v>
      </c>
    </row>
    <row r="34838" spans="1:11" x14ac:dyDescent="0.25">
      <c r="A34838" s="5">
        <f>34831</f>
      </c>
      <c r="B34838" s="5" t="s">
        <v>34846</v>
      </c>
      <c r="C34838" s="5">
        <v>104.3</v>
      </c>
      <c r="D34838" s="5">
        <v>0.1</v>
      </c>
      <c r="E34838" s="5">
        <v>104.3</v>
      </c>
      <c r="F34838" s="5">
        <v>208.3</v>
      </c>
      <c r="G34838" s="5">
        <v>103.9</v>
      </c>
      <c r="H34838" s="5">
        <v>103.8</v>
      </c>
      <c r="I34838" s="5">
        <v>0</v>
      </c>
      <c r="J34838" s="5">
        <v>0</v>
      </c>
      <c r="K34838" s="5">
        <v>0</v>
      </c>
    </row>
    <row r="34839" spans="1:11" x14ac:dyDescent="0.25">
      <c r="A34839" s="5">
        <f>34832</f>
      </c>
      <c r="B34839" s="5" t="s">
        <v>34847</v>
      </c>
      <c r="C34839" s="5">
        <v>104.4</v>
      </c>
      <c r="D34839" s="5">
        <v>0.1</v>
      </c>
      <c r="E34839" s="5">
        <v>104.6</v>
      </c>
      <c r="F34839" s="5">
        <v>209.3</v>
      </c>
      <c r="G34839" s="5">
        <v>104.4</v>
      </c>
      <c r="H34839" s="5">
        <v>104.3</v>
      </c>
      <c r="I34839" s="5">
        <v>0</v>
      </c>
      <c r="J34839" s="5">
        <v>0</v>
      </c>
      <c r="K34839" s="5">
        <v>0</v>
      </c>
    </row>
    <row r="34840" spans="1:11" x14ac:dyDescent="0.25">
      <c r="A34840" s="5">
        <f>34833</f>
      </c>
      <c r="B34840" s="5" t="s">
        <v>34848</v>
      </c>
      <c r="C34840" s="5">
        <v>104.4</v>
      </c>
      <c r="D34840" s="5">
        <v>0.1</v>
      </c>
      <c r="E34840" s="5">
        <v>104.6</v>
      </c>
      <c r="F34840" s="5">
        <v>209.3</v>
      </c>
      <c r="G34840" s="5">
        <v>104.4</v>
      </c>
      <c r="H34840" s="5">
        <v>104.3</v>
      </c>
      <c r="I34840" s="5">
        <v>0</v>
      </c>
      <c r="J34840" s="5">
        <v>0</v>
      </c>
      <c r="K34840" s="5">
        <v>0</v>
      </c>
    </row>
    <row r="34841" spans="1:11" x14ac:dyDescent="0.25">
      <c r="A34841" s="5">
        <f>34834</f>
      </c>
      <c r="B34841" s="5" t="s">
        <v>34849</v>
      </c>
      <c r="C34841" s="5">
        <v>104.6</v>
      </c>
      <c r="D34841" s="5">
        <v>0.1</v>
      </c>
      <c r="E34841" s="5">
        <v>104.8</v>
      </c>
      <c r="F34841" s="5">
        <v>209</v>
      </c>
      <c r="G34841" s="5">
        <v>104.4</v>
      </c>
      <c r="H34841" s="5">
        <v>104.2</v>
      </c>
      <c r="I34841" s="5">
        <v>0</v>
      </c>
      <c r="J34841" s="5">
        <v>0</v>
      </c>
      <c r="K34841" s="5">
        <v>0</v>
      </c>
    </row>
    <row r="34842" spans="1:11" x14ac:dyDescent="0.25">
      <c r="A34842" s="5">
        <f>34835</f>
      </c>
      <c r="B34842" s="5" t="s">
        <v>34850</v>
      </c>
      <c r="C34842" s="5">
        <v>104.6</v>
      </c>
      <c r="D34842" s="5">
        <v>0.1</v>
      </c>
      <c r="E34842" s="5">
        <v>104.8</v>
      </c>
      <c r="F34842" s="5">
        <v>209</v>
      </c>
      <c r="G34842" s="5">
        <v>104.4</v>
      </c>
      <c r="H34842" s="5">
        <v>104.2</v>
      </c>
      <c r="I34842" s="5">
        <v>0</v>
      </c>
      <c r="J34842" s="5">
        <v>0</v>
      </c>
      <c r="K34842" s="5">
        <v>0</v>
      </c>
    </row>
    <row r="34843" spans="1:11" x14ac:dyDescent="0.25">
      <c r="A34843" s="5">
        <f>34836</f>
      </c>
      <c r="B34843" s="5" t="s">
        <v>34851</v>
      </c>
      <c r="C34843" s="5">
        <v>103.5</v>
      </c>
      <c r="D34843" s="5">
        <v>0.1</v>
      </c>
      <c r="E34843" s="5">
        <v>103.6</v>
      </c>
      <c r="F34843" s="5">
        <v>206.9</v>
      </c>
      <c r="G34843" s="5">
        <v>103.2</v>
      </c>
      <c r="H34843" s="5">
        <v>103</v>
      </c>
      <c r="I34843" s="5">
        <v>0</v>
      </c>
      <c r="J34843" s="5">
        <v>0</v>
      </c>
      <c r="K34843" s="5">
        <v>0</v>
      </c>
    </row>
    <row r="34844" spans="1:11" x14ac:dyDescent="0.25">
      <c r="A34844" s="5">
        <f>34837</f>
      </c>
      <c r="B34844" s="5" t="s">
        <v>34852</v>
      </c>
      <c r="C34844" s="5">
        <v>103.5</v>
      </c>
      <c r="D34844" s="5">
        <v>0.1</v>
      </c>
      <c r="E34844" s="5">
        <v>103.6</v>
      </c>
      <c r="F34844" s="5">
        <v>206.9</v>
      </c>
      <c r="G34844" s="5">
        <v>103.2</v>
      </c>
      <c r="H34844" s="5">
        <v>103</v>
      </c>
      <c r="I34844" s="5">
        <v>0</v>
      </c>
      <c r="J34844" s="5">
        <v>0</v>
      </c>
      <c r="K34844" s="5">
        <v>0</v>
      </c>
    </row>
    <row r="34845" spans="1:11" x14ac:dyDescent="0.25">
      <c r="A34845" s="5">
        <f>34838</f>
      </c>
      <c r="B34845" s="5" t="s">
        <v>34853</v>
      </c>
      <c r="C34845" s="5">
        <v>103.5</v>
      </c>
      <c r="D34845" s="5">
        <v>0.1</v>
      </c>
      <c r="E34845" s="5">
        <v>103.6</v>
      </c>
      <c r="F34845" s="5">
        <v>206.9</v>
      </c>
      <c r="G34845" s="5">
        <v>103.2</v>
      </c>
      <c r="H34845" s="5">
        <v>103</v>
      </c>
      <c r="I34845" s="5">
        <v>0</v>
      </c>
      <c r="J34845" s="5">
        <v>0</v>
      </c>
      <c r="K34845" s="5">
        <v>0</v>
      </c>
    </row>
    <row r="34846" spans="1:11" x14ac:dyDescent="0.25">
      <c r="A34846" s="5">
        <f>34839</f>
      </c>
      <c r="B34846" s="5" t="s">
        <v>34854</v>
      </c>
      <c r="C34846" s="5">
        <v>103.5</v>
      </c>
      <c r="D34846" s="5">
        <v>0.1</v>
      </c>
      <c r="E34846" s="5">
        <v>103.6</v>
      </c>
      <c r="F34846" s="5">
        <v>206.9</v>
      </c>
      <c r="G34846" s="5">
        <v>103.2</v>
      </c>
      <c r="H34846" s="5">
        <v>103</v>
      </c>
      <c r="I34846" s="5">
        <v>0</v>
      </c>
      <c r="J34846" s="5">
        <v>0</v>
      </c>
      <c r="K34846" s="5">
        <v>0</v>
      </c>
    </row>
    <row r="34847" spans="1:11" x14ac:dyDescent="0.25">
      <c r="A34847" s="5">
        <f>34840</f>
      </c>
      <c r="B34847" s="5" t="s">
        <v>34855</v>
      </c>
      <c r="C34847" s="5">
        <v>103.5</v>
      </c>
      <c r="D34847" s="5">
        <v>0.1</v>
      </c>
      <c r="E34847" s="5">
        <v>103.7</v>
      </c>
      <c r="F34847" s="5">
        <v>207.1</v>
      </c>
      <c r="G34847" s="5">
        <v>103.3</v>
      </c>
      <c r="H34847" s="5">
        <v>103.2</v>
      </c>
      <c r="I34847" s="5">
        <v>0</v>
      </c>
      <c r="J34847" s="5">
        <v>0</v>
      </c>
      <c r="K34847" s="5">
        <v>0</v>
      </c>
    </row>
    <row r="34848" spans="1:11" x14ac:dyDescent="0.25">
      <c r="A34848" s="5">
        <f>34841</f>
      </c>
      <c r="B34848" s="5" t="s">
        <v>34856</v>
      </c>
      <c r="C34848" s="5">
        <v>103.5</v>
      </c>
      <c r="D34848" s="5">
        <v>0.1</v>
      </c>
      <c r="E34848" s="5">
        <v>103.7</v>
      </c>
      <c r="F34848" s="5">
        <v>207.1</v>
      </c>
      <c r="G34848" s="5">
        <v>103.3</v>
      </c>
      <c r="H34848" s="5">
        <v>103.2</v>
      </c>
      <c r="I34848" s="5">
        <v>0</v>
      </c>
      <c r="J34848" s="5">
        <v>0</v>
      </c>
      <c r="K34848" s="5">
        <v>0</v>
      </c>
    </row>
    <row r="34849" spans="1:11" x14ac:dyDescent="0.25">
      <c r="A34849" s="5">
        <f>34842</f>
      </c>
      <c r="B34849" s="5" t="s">
        <v>34857</v>
      </c>
      <c r="C34849" s="5">
        <v>103.5</v>
      </c>
      <c r="D34849" s="5">
        <v>0.1</v>
      </c>
      <c r="E34849" s="5">
        <v>103.7</v>
      </c>
      <c r="F34849" s="5">
        <v>207.1</v>
      </c>
      <c r="G34849" s="5">
        <v>103.3</v>
      </c>
      <c r="H34849" s="5">
        <v>103.2</v>
      </c>
      <c r="I34849" s="5">
        <v>0</v>
      </c>
      <c r="J34849" s="5">
        <v>0</v>
      </c>
      <c r="K34849" s="5">
        <v>0</v>
      </c>
    </row>
    <row r="34850" spans="1:11" x14ac:dyDescent="0.25">
      <c r="A34850" s="5">
        <f>34843</f>
      </c>
      <c r="B34850" s="5" t="s">
        <v>34858</v>
      </c>
      <c r="C34850" s="5">
        <v>103.5</v>
      </c>
      <c r="D34850" s="5">
        <v>0.1</v>
      </c>
      <c r="E34850" s="5">
        <v>103.7</v>
      </c>
      <c r="F34850" s="5">
        <v>207.1</v>
      </c>
      <c r="G34850" s="5">
        <v>103.3</v>
      </c>
      <c r="H34850" s="5">
        <v>103.2</v>
      </c>
      <c r="I34850" s="5">
        <v>0</v>
      </c>
      <c r="J34850" s="5">
        <v>0</v>
      </c>
      <c r="K34850" s="5">
        <v>0</v>
      </c>
    </row>
    <row r="34851" spans="1:11" x14ac:dyDescent="0.25">
      <c r="A34851" s="5">
        <f>34844</f>
      </c>
      <c r="B34851" s="5" t="s">
        <v>34859</v>
      </c>
      <c r="C34851" s="5">
        <v>103.5</v>
      </c>
      <c r="D34851" s="5">
        <v>0.1</v>
      </c>
      <c r="E34851" s="5">
        <v>103.7</v>
      </c>
      <c r="F34851" s="5">
        <v>207.2</v>
      </c>
      <c r="G34851" s="5">
        <v>103.3</v>
      </c>
      <c r="H34851" s="5">
        <v>103</v>
      </c>
      <c r="I34851" s="5">
        <v>0</v>
      </c>
      <c r="J34851" s="5">
        <v>0</v>
      </c>
      <c r="K34851" s="5">
        <v>0</v>
      </c>
    </row>
    <row r="34852" spans="1:11" x14ac:dyDescent="0.25">
      <c r="A34852" s="5">
        <f>34845</f>
      </c>
      <c r="B34852" s="5" t="s">
        <v>34860</v>
      </c>
      <c r="C34852" s="5">
        <v>103.5</v>
      </c>
      <c r="D34852" s="5">
        <v>0.1</v>
      </c>
      <c r="E34852" s="5">
        <v>103.7</v>
      </c>
      <c r="F34852" s="5">
        <v>207.2</v>
      </c>
      <c r="G34852" s="5">
        <v>103.3</v>
      </c>
      <c r="H34852" s="5">
        <v>103</v>
      </c>
      <c r="I34852" s="5">
        <v>0</v>
      </c>
      <c r="J34852" s="5">
        <v>0</v>
      </c>
      <c r="K34852" s="5">
        <v>0</v>
      </c>
    </row>
    <row r="34853" spans="1:11" x14ac:dyDescent="0.25">
      <c r="A34853" s="5">
        <f>34846</f>
      </c>
      <c r="B34853" s="5" t="s">
        <v>34861</v>
      </c>
      <c r="C34853" s="5">
        <v>103.5</v>
      </c>
      <c r="D34853" s="5">
        <v>0.1</v>
      </c>
      <c r="E34853" s="5">
        <v>103.7</v>
      </c>
      <c r="F34853" s="5">
        <v>207.2</v>
      </c>
      <c r="G34853" s="5">
        <v>103.3</v>
      </c>
      <c r="H34853" s="5">
        <v>103</v>
      </c>
      <c r="I34853" s="5">
        <v>0</v>
      </c>
      <c r="J34853" s="5">
        <v>0</v>
      </c>
      <c r="K34853" s="5">
        <v>0</v>
      </c>
    </row>
    <row r="34854" spans="1:11" x14ac:dyDescent="0.25">
      <c r="A34854" s="5">
        <f>34847</f>
      </c>
      <c r="B34854" s="5" t="s">
        <v>34862</v>
      </c>
      <c r="C34854" s="5">
        <v>103.5</v>
      </c>
      <c r="D34854" s="5">
        <v>0.1</v>
      </c>
      <c r="E34854" s="5">
        <v>103.7</v>
      </c>
      <c r="F34854" s="5">
        <v>207.2</v>
      </c>
      <c r="G34854" s="5">
        <v>103.3</v>
      </c>
      <c r="H34854" s="5">
        <v>103</v>
      </c>
      <c r="I34854" s="5">
        <v>0</v>
      </c>
      <c r="J34854" s="5">
        <v>0</v>
      </c>
      <c r="K34854" s="5">
        <v>0</v>
      </c>
    </row>
    <row r="34855" spans="1:11" x14ac:dyDescent="0.25">
      <c r="A34855" s="5">
        <f>34848</f>
      </c>
      <c r="B34855" s="5" t="s">
        <v>34863</v>
      </c>
      <c r="C34855" s="5">
        <v>103.5</v>
      </c>
      <c r="D34855" s="5">
        <v>0.1</v>
      </c>
      <c r="E34855" s="5">
        <v>103.7</v>
      </c>
      <c r="F34855" s="5">
        <v>207.2</v>
      </c>
      <c r="G34855" s="5">
        <v>103.3</v>
      </c>
      <c r="H34855" s="5">
        <v>103</v>
      </c>
      <c r="I34855" s="5">
        <v>0</v>
      </c>
      <c r="J34855" s="5">
        <v>0</v>
      </c>
      <c r="K34855" s="5">
        <v>0</v>
      </c>
    </row>
    <row r="34856" spans="1:11" x14ac:dyDescent="0.25">
      <c r="A34856" s="5">
        <f>34849</f>
      </c>
      <c r="B34856" s="5" t="s">
        <v>34864</v>
      </c>
      <c r="C34856" s="5">
        <v>103.5</v>
      </c>
      <c r="D34856" s="5">
        <v>0.1</v>
      </c>
      <c r="E34856" s="5">
        <v>103.7</v>
      </c>
      <c r="F34856" s="5">
        <v>207.2</v>
      </c>
      <c r="G34856" s="5">
        <v>103.3</v>
      </c>
      <c r="H34856" s="5">
        <v>103</v>
      </c>
      <c r="I34856" s="5">
        <v>0</v>
      </c>
      <c r="J34856" s="5">
        <v>0</v>
      </c>
      <c r="K34856" s="5">
        <v>0</v>
      </c>
    </row>
    <row r="34857" spans="1:11" x14ac:dyDescent="0.25">
      <c r="A34857" s="5">
        <f>34850</f>
      </c>
      <c r="B34857" s="5" t="s">
        <v>34865</v>
      </c>
      <c r="C34857" s="5">
        <v>101.8</v>
      </c>
      <c r="D34857" s="5">
        <v>0.1</v>
      </c>
      <c r="E34857" s="5">
        <v>102</v>
      </c>
      <c r="F34857" s="5">
        <v>203.6</v>
      </c>
      <c r="G34857" s="5">
        <v>101.6</v>
      </c>
      <c r="H34857" s="5">
        <v>101.5</v>
      </c>
      <c r="I34857" s="5">
        <v>0</v>
      </c>
      <c r="J34857" s="5">
        <v>0</v>
      </c>
      <c r="K34857" s="5">
        <v>0</v>
      </c>
    </row>
    <row r="34858" spans="1:11" x14ac:dyDescent="0.25">
      <c r="A34858" s="5">
        <f>34851</f>
      </c>
      <c r="B34858" s="5" t="s">
        <v>34866</v>
      </c>
      <c r="C34858" s="5">
        <v>101.8</v>
      </c>
      <c r="D34858" s="5">
        <v>0.1</v>
      </c>
      <c r="E34858" s="5">
        <v>102</v>
      </c>
      <c r="F34858" s="5">
        <v>203.6</v>
      </c>
      <c r="G34858" s="5">
        <v>101.6</v>
      </c>
      <c r="H34858" s="5">
        <v>101.5</v>
      </c>
      <c r="I34858" s="5">
        <v>0</v>
      </c>
      <c r="J34858" s="5">
        <v>0</v>
      </c>
      <c r="K34858" s="5">
        <v>0</v>
      </c>
    </row>
    <row r="34859" spans="1:11" x14ac:dyDescent="0.25">
      <c r="A34859" s="5">
        <f>34852</f>
      </c>
      <c r="B34859" s="5" t="s">
        <v>34867</v>
      </c>
      <c r="C34859" s="5">
        <v>102.3</v>
      </c>
      <c r="D34859" s="5">
        <v>0.1</v>
      </c>
      <c r="E34859" s="5">
        <v>102.4</v>
      </c>
      <c r="F34859" s="5">
        <v>204.7</v>
      </c>
      <c r="G34859" s="5">
        <v>102.1</v>
      </c>
      <c r="H34859" s="5">
        <v>102</v>
      </c>
      <c r="I34859" s="5">
        <v>0</v>
      </c>
      <c r="J34859" s="5">
        <v>0</v>
      </c>
      <c r="K34859" s="5">
        <v>0</v>
      </c>
    </row>
    <row r="34860" spans="1:11" x14ac:dyDescent="0.25">
      <c r="A34860" s="5">
        <f>34853</f>
      </c>
      <c r="B34860" s="5" t="s">
        <v>34868</v>
      </c>
      <c r="C34860" s="5">
        <v>102.3</v>
      </c>
      <c r="D34860" s="5">
        <v>0.1</v>
      </c>
      <c r="E34860" s="5">
        <v>102.4</v>
      </c>
      <c r="F34860" s="5">
        <v>204.7</v>
      </c>
      <c r="G34860" s="5">
        <v>102.1</v>
      </c>
      <c r="H34860" s="5">
        <v>102</v>
      </c>
      <c r="I34860" s="5">
        <v>0</v>
      </c>
      <c r="J34860" s="5">
        <v>0</v>
      </c>
      <c r="K34860" s="5">
        <v>0</v>
      </c>
    </row>
    <row r="34861" spans="1:11" x14ac:dyDescent="0.25">
      <c r="A34861" s="5">
        <f>34854</f>
      </c>
      <c r="B34861" s="5" t="s">
        <v>34869</v>
      </c>
      <c r="C34861" s="5">
        <v>102.4</v>
      </c>
      <c r="D34861" s="5">
        <v>0.1</v>
      </c>
      <c r="E34861" s="5">
        <v>102.6</v>
      </c>
      <c r="F34861" s="5">
        <v>204.2</v>
      </c>
      <c r="G34861" s="5">
        <v>101.9</v>
      </c>
      <c r="H34861" s="5">
        <v>101.7</v>
      </c>
      <c r="I34861" s="5">
        <v>0</v>
      </c>
      <c r="J34861" s="5">
        <v>0</v>
      </c>
      <c r="K34861" s="5">
        <v>0</v>
      </c>
    </row>
    <row r="34862" spans="1:11" x14ac:dyDescent="0.25">
      <c r="A34862" s="5">
        <f>34855</f>
      </c>
      <c r="B34862" s="5" t="s">
        <v>34870</v>
      </c>
      <c r="C34862" s="5">
        <v>102.4</v>
      </c>
      <c r="D34862" s="5">
        <v>0.1</v>
      </c>
      <c r="E34862" s="5">
        <v>102.6</v>
      </c>
      <c r="F34862" s="5">
        <v>204.2</v>
      </c>
      <c r="G34862" s="5">
        <v>101.9</v>
      </c>
      <c r="H34862" s="5">
        <v>101.7</v>
      </c>
      <c r="I34862" s="5">
        <v>0</v>
      </c>
      <c r="J34862" s="5">
        <v>0</v>
      </c>
      <c r="K34862" s="5">
        <v>0</v>
      </c>
    </row>
    <row r="34863" spans="1:11" x14ac:dyDescent="0.25">
      <c r="A34863" s="5">
        <f>34856</f>
      </c>
      <c r="B34863" s="5" t="s">
        <v>34871</v>
      </c>
      <c r="C34863" s="5">
        <v>102.2</v>
      </c>
      <c r="D34863" s="5">
        <v>0.1</v>
      </c>
      <c r="E34863" s="5">
        <v>102.4</v>
      </c>
      <c r="F34863" s="5">
        <v>204.2</v>
      </c>
      <c r="G34863" s="5">
        <v>101.9</v>
      </c>
      <c r="H34863" s="5">
        <v>101.7</v>
      </c>
      <c r="I34863" s="5">
        <v>0</v>
      </c>
      <c r="J34863" s="5">
        <v>0</v>
      </c>
      <c r="K34863" s="5">
        <v>0</v>
      </c>
    </row>
    <row r="34864" spans="1:11" x14ac:dyDescent="0.25">
      <c r="A34864" s="5">
        <f>34857</f>
      </c>
      <c r="B34864" s="5" t="s">
        <v>34872</v>
      </c>
      <c r="C34864" s="5">
        <v>102.2</v>
      </c>
      <c r="D34864" s="5">
        <v>0.1</v>
      </c>
      <c r="E34864" s="5">
        <v>102.4</v>
      </c>
      <c r="F34864" s="5">
        <v>204.2</v>
      </c>
      <c r="G34864" s="5">
        <v>101.9</v>
      </c>
      <c r="H34864" s="5">
        <v>101.7</v>
      </c>
      <c r="I34864" s="5">
        <v>0</v>
      </c>
      <c r="J34864" s="5">
        <v>0</v>
      </c>
      <c r="K34864" s="5">
        <v>0</v>
      </c>
    </row>
    <row r="34865" spans="1:11" x14ac:dyDescent="0.25">
      <c r="A34865" s="5">
        <f>34858</f>
      </c>
      <c r="B34865" s="5" t="s">
        <v>34873</v>
      </c>
      <c r="C34865" s="5">
        <v>102.2</v>
      </c>
      <c r="D34865" s="5">
        <v>0.1</v>
      </c>
      <c r="E34865" s="5">
        <v>102.4</v>
      </c>
      <c r="F34865" s="5">
        <v>204.2</v>
      </c>
      <c r="G34865" s="5">
        <v>101.9</v>
      </c>
      <c r="H34865" s="5">
        <v>101.7</v>
      </c>
      <c r="I34865" s="5">
        <v>0</v>
      </c>
      <c r="J34865" s="5">
        <v>0</v>
      </c>
      <c r="K34865" s="5">
        <v>0</v>
      </c>
    </row>
    <row r="34866" spans="1:11" x14ac:dyDescent="0.25">
      <c r="A34866" s="5">
        <f>34859</f>
      </c>
      <c r="B34866" s="5" t="s">
        <v>34874</v>
      </c>
      <c r="C34866" s="5">
        <v>102.2</v>
      </c>
      <c r="D34866" s="5">
        <v>0.1</v>
      </c>
      <c r="E34866" s="5">
        <v>102.4</v>
      </c>
      <c r="F34866" s="5">
        <v>204.2</v>
      </c>
      <c r="G34866" s="5">
        <v>101.9</v>
      </c>
      <c r="H34866" s="5">
        <v>101.7</v>
      </c>
      <c r="I34866" s="5">
        <v>0</v>
      </c>
      <c r="J34866" s="5">
        <v>0</v>
      </c>
      <c r="K34866" s="5">
        <v>0</v>
      </c>
    </row>
    <row r="34867" spans="1:11" x14ac:dyDescent="0.25">
      <c r="A34867" s="5">
        <f>34860</f>
      </c>
      <c r="B34867" s="5" t="s">
        <v>34875</v>
      </c>
      <c r="C34867" s="5">
        <v>102.6</v>
      </c>
      <c r="D34867" s="5">
        <v>0.1</v>
      </c>
      <c r="E34867" s="5">
        <v>102.7</v>
      </c>
      <c r="F34867" s="5">
        <v>205.6</v>
      </c>
      <c r="G34867" s="5">
        <v>102.6</v>
      </c>
      <c r="H34867" s="5">
        <v>102.4</v>
      </c>
      <c r="I34867" s="5">
        <v>0</v>
      </c>
      <c r="J34867" s="5">
        <v>0</v>
      </c>
      <c r="K34867" s="5">
        <v>0</v>
      </c>
    </row>
    <row r="34868" spans="1:11" x14ac:dyDescent="0.25">
      <c r="A34868" s="5">
        <f>34861</f>
      </c>
      <c r="B34868" s="5" t="s">
        <v>34876</v>
      </c>
      <c r="C34868" s="5">
        <v>102.6</v>
      </c>
      <c r="D34868" s="5">
        <v>0.1</v>
      </c>
      <c r="E34868" s="5">
        <v>102.7</v>
      </c>
      <c r="F34868" s="5">
        <v>205.6</v>
      </c>
      <c r="G34868" s="5">
        <v>102.6</v>
      </c>
      <c r="H34868" s="5">
        <v>102.4</v>
      </c>
      <c r="I34868" s="5">
        <v>0</v>
      </c>
      <c r="J34868" s="5">
        <v>0</v>
      </c>
      <c r="K34868" s="5">
        <v>0</v>
      </c>
    </row>
    <row r="34869" spans="1:11" x14ac:dyDescent="0.25">
      <c r="A34869" s="5">
        <f>34862</f>
      </c>
      <c r="B34869" s="5" t="s">
        <v>34877</v>
      </c>
      <c r="C34869" s="5">
        <v>100.8</v>
      </c>
      <c r="D34869" s="5">
        <v>0.1</v>
      </c>
      <c r="E34869" s="5">
        <v>101</v>
      </c>
      <c r="F34869" s="5">
        <v>201.4</v>
      </c>
      <c r="G34869" s="5">
        <v>100.4</v>
      </c>
      <c r="H34869" s="5">
        <v>100.3</v>
      </c>
      <c r="I34869" s="5">
        <v>0</v>
      </c>
      <c r="J34869" s="5">
        <v>0</v>
      </c>
      <c r="K34869" s="5">
        <v>0</v>
      </c>
    </row>
    <row r="34870" spans="1:11" x14ac:dyDescent="0.25">
      <c r="A34870" s="5">
        <f>34863</f>
      </c>
      <c r="B34870" s="5" t="s">
        <v>34878</v>
      </c>
      <c r="C34870" s="5">
        <v>100.8</v>
      </c>
      <c r="D34870" s="5">
        <v>0.1</v>
      </c>
      <c r="E34870" s="5">
        <v>101</v>
      </c>
      <c r="F34870" s="5">
        <v>201.4</v>
      </c>
      <c r="G34870" s="5">
        <v>100.4</v>
      </c>
      <c r="H34870" s="5">
        <v>100.3</v>
      </c>
      <c r="I34870" s="5">
        <v>0</v>
      </c>
      <c r="J34870" s="5">
        <v>0</v>
      </c>
      <c r="K34870" s="5">
        <v>0</v>
      </c>
    </row>
    <row r="34871" spans="1:11" x14ac:dyDescent="0.25">
      <c r="A34871" s="5">
        <f>34864</f>
      </c>
      <c r="B34871" s="5" t="s">
        <v>34879</v>
      </c>
      <c r="C34871" s="5">
        <v>99.2</v>
      </c>
      <c r="D34871" s="5">
        <v>0.1</v>
      </c>
      <c r="E34871" s="5">
        <v>99.3</v>
      </c>
      <c r="F34871" s="5">
        <v>201.1</v>
      </c>
      <c r="G34871" s="5">
        <v>100.3</v>
      </c>
      <c r="H34871" s="5">
        <v>100.2</v>
      </c>
      <c r="I34871" s="5">
        <v>0</v>
      </c>
      <c r="J34871" s="5">
        <v>0</v>
      </c>
      <c r="K34871" s="5">
        <v>0</v>
      </c>
    </row>
    <row r="34872" spans="1:11" x14ac:dyDescent="0.25">
      <c r="A34872" s="5">
        <f>34865</f>
      </c>
      <c r="B34872" s="5" t="s">
        <v>34880</v>
      </c>
      <c r="C34872" s="5">
        <v>99.2</v>
      </c>
      <c r="D34872" s="5">
        <v>0.1</v>
      </c>
      <c r="E34872" s="5">
        <v>99.3</v>
      </c>
      <c r="F34872" s="5">
        <v>201.1</v>
      </c>
      <c r="G34872" s="5">
        <v>100.3</v>
      </c>
      <c r="H34872" s="5">
        <v>100.2</v>
      </c>
      <c r="I34872" s="5">
        <v>0</v>
      </c>
      <c r="J34872" s="5">
        <v>0</v>
      </c>
      <c r="K34872" s="5">
        <v>0</v>
      </c>
    </row>
    <row r="34873" spans="1:11" x14ac:dyDescent="0.25">
      <c r="A34873" s="5">
        <f>34866</f>
      </c>
      <c r="B34873" s="5" t="s">
        <v>34881</v>
      </c>
      <c r="C34873" s="5">
        <v>99.3</v>
      </c>
      <c r="D34873" s="5">
        <v>0.1</v>
      </c>
      <c r="E34873" s="5">
        <v>99.5</v>
      </c>
      <c r="F34873" s="5">
        <v>197.8</v>
      </c>
      <c r="G34873" s="5">
        <v>98.7</v>
      </c>
      <c r="H34873" s="5">
        <v>98.6</v>
      </c>
      <c r="I34873" s="5">
        <v>0</v>
      </c>
      <c r="J34873" s="5">
        <v>0</v>
      </c>
      <c r="K34873" s="5">
        <v>0</v>
      </c>
    </row>
    <row r="34874" spans="1:11" x14ac:dyDescent="0.25">
      <c r="A34874" s="5">
        <f>34867</f>
      </c>
      <c r="B34874" s="5" t="s">
        <v>34882</v>
      </c>
      <c r="C34874" s="5">
        <v>99.3</v>
      </c>
      <c r="D34874" s="5">
        <v>0.1</v>
      </c>
      <c r="E34874" s="5">
        <v>99.5</v>
      </c>
      <c r="F34874" s="5">
        <v>197.8</v>
      </c>
      <c r="G34874" s="5">
        <v>98.7</v>
      </c>
      <c r="H34874" s="5">
        <v>98.6</v>
      </c>
      <c r="I34874" s="5">
        <v>0</v>
      </c>
      <c r="J34874" s="5">
        <v>0</v>
      </c>
      <c r="K34874" s="5">
        <v>0</v>
      </c>
    </row>
    <row r="34875" spans="1:11" x14ac:dyDescent="0.25">
      <c r="A34875" s="5">
        <f>34868</f>
      </c>
      <c r="B34875" s="5" t="s">
        <v>34883</v>
      </c>
      <c r="C34875" s="5">
        <v>99.3</v>
      </c>
      <c r="D34875" s="5">
        <v>0.1</v>
      </c>
      <c r="E34875" s="5">
        <v>99.5</v>
      </c>
      <c r="F34875" s="5">
        <v>197.8</v>
      </c>
      <c r="G34875" s="5">
        <v>98.7</v>
      </c>
      <c r="H34875" s="5">
        <v>98.6</v>
      </c>
      <c r="I34875" s="5">
        <v>0</v>
      </c>
      <c r="J34875" s="5">
        <v>0</v>
      </c>
      <c r="K34875" s="5">
        <v>0</v>
      </c>
    </row>
    <row r="34876" spans="1:11" x14ac:dyDescent="0.25">
      <c r="A34876" s="5">
        <f>34869</f>
      </c>
      <c r="B34876" s="5" t="s">
        <v>34884</v>
      </c>
      <c r="C34876" s="5">
        <v>99.3</v>
      </c>
      <c r="D34876" s="5">
        <v>0.1</v>
      </c>
      <c r="E34876" s="5">
        <v>99.5</v>
      </c>
      <c r="F34876" s="5">
        <v>197.8</v>
      </c>
      <c r="G34876" s="5">
        <v>98.7</v>
      </c>
      <c r="H34876" s="5">
        <v>98.6</v>
      </c>
      <c r="I34876" s="5">
        <v>0</v>
      </c>
      <c r="J34876" s="5">
        <v>0</v>
      </c>
      <c r="K34876" s="5">
        <v>0</v>
      </c>
    </row>
    <row r="34877" spans="1:11" x14ac:dyDescent="0.25">
      <c r="A34877" s="5">
        <f>34870</f>
      </c>
      <c r="B34877" s="5" t="s">
        <v>34885</v>
      </c>
      <c r="C34877" s="5">
        <v>98</v>
      </c>
      <c r="D34877" s="5">
        <v>0.1</v>
      </c>
      <c r="E34877" s="5">
        <v>98.2</v>
      </c>
      <c r="F34877" s="5">
        <v>195.8</v>
      </c>
      <c r="G34877" s="5">
        <v>97.7</v>
      </c>
      <c r="H34877" s="5">
        <v>97.6</v>
      </c>
      <c r="I34877" s="5">
        <v>0</v>
      </c>
      <c r="J34877" s="5">
        <v>0</v>
      </c>
      <c r="K34877" s="5">
        <v>0</v>
      </c>
    </row>
    <row r="34878" spans="1:11" x14ac:dyDescent="0.25">
      <c r="A34878" s="5">
        <f>34871</f>
      </c>
      <c r="B34878" s="5" t="s">
        <v>34886</v>
      </c>
      <c r="C34878" s="5">
        <v>98</v>
      </c>
      <c r="D34878" s="5">
        <v>0.1</v>
      </c>
      <c r="E34878" s="5">
        <v>98.2</v>
      </c>
      <c r="F34878" s="5">
        <v>195.8</v>
      </c>
      <c r="G34878" s="5">
        <v>97.7</v>
      </c>
      <c r="H34878" s="5">
        <v>97.6</v>
      </c>
      <c r="I34878" s="5">
        <v>0</v>
      </c>
      <c r="J34878" s="5">
        <v>0</v>
      </c>
      <c r="K34878" s="5">
        <v>0</v>
      </c>
    </row>
    <row r="34879" spans="1:11" x14ac:dyDescent="0.25">
      <c r="A34879" s="5">
        <f>34872</f>
      </c>
      <c r="B34879" s="5" t="s">
        <v>34887</v>
      </c>
      <c r="C34879" s="5">
        <v>99.8</v>
      </c>
      <c r="D34879" s="5">
        <v>0.1</v>
      </c>
      <c r="E34879" s="5">
        <v>99.9</v>
      </c>
      <c r="F34879" s="5">
        <v>199.8</v>
      </c>
      <c r="G34879" s="5">
        <v>99.7</v>
      </c>
      <c r="H34879" s="5">
        <v>99.6</v>
      </c>
      <c r="I34879" s="5">
        <v>0</v>
      </c>
      <c r="J34879" s="5">
        <v>0</v>
      </c>
      <c r="K34879" s="5">
        <v>0</v>
      </c>
    </row>
    <row r="34880" spans="1:11" x14ac:dyDescent="0.25">
      <c r="A34880" s="5">
        <f>34873</f>
      </c>
      <c r="B34880" s="5" t="s">
        <v>34888</v>
      </c>
      <c r="C34880" s="5">
        <v>99.8</v>
      </c>
      <c r="D34880" s="5">
        <v>0.1</v>
      </c>
      <c r="E34880" s="5">
        <v>99.9</v>
      </c>
      <c r="F34880" s="5">
        <v>199.8</v>
      </c>
      <c r="G34880" s="5">
        <v>99.7</v>
      </c>
      <c r="H34880" s="5">
        <v>99.6</v>
      </c>
      <c r="I34880" s="5">
        <v>0</v>
      </c>
      <c r="J34880" s="5">
        <v>0</v>
      </c>
      <c r="K34880" s="5">
        <v>0</v>
      </c>
    </row>
    <row r="34881" spans="1:11" x14ac:dyDescent="0.25">
      <c r="A34881" s="5">
        <f>34874</f>
      </c>
      <c r="B34881" s="5" t="s">
        <v>34889</v>
      </c>
      <c r="C34881" s="5">
        <v>98.1</v>
      </c>
      <c r="D34881" s="5">
        <v>0.1</v>
      </c>
      <c r="E34881" s="5">
        <v>98.3</v>
      </c>
      <c r="F34881" s="5">
        <v>196.9</v>
      </c>
      <c r="G34881" s="5">
        <v>98.3</v>
      </c>
      <c r="H34881" s="5">
        <v>98.1</v>
      </c>
      <c r="I34881" s="5">
        <v>0</v>
      </c>
      <c r="J34881" s="5">
        <v>0</v>
      </c>
      <c r="K34881" s="5">
        <v>0</v>
      </c>
    </row>
    <row r="34882" spans="1:11" x14ac:dyDescent="0.25">
      <c r="A34882" s="5">
        <f>34875</f>
      </c>
      <c r="B34882" s="5" t="s">
        <v>34890</v>
      </c>
      <c r="C34882" s="5">
        <v>98.1</v>
      </c>
      <c r="D34882" s="5">
        <v>0.1</v>
      </c>
      <c r="E34882" s="5">
        <v>98.3</v>
      </c>
      <c r="F34882" s="5">
        <v>196.9</v>
      </c>
      <c r="G34882" s="5">
        <v>98.3</v>
      </c>
      <c r="H34882" s="5">
        <v>98.1</v>
      </c>
      <c r="I34882" s="5">
        <v>0</v>
      </c>
      <c r="J34882" s="5">
        <v>0</v>
      </c>
      <c r="K34882" s="5">
        <v>0</v>
      </c>
    </row>
    <row r="34883" spans="1:11" x14ac:dyDescent="0.25">
      <c r="A34883" s="5">
        <f>34876</f>
      </c>
      <c r="B34883" s="5" t="s">
        <v>34891</v>
      </c>
      <c r="C34883" s="5">
        <v>98.6</v>
      </c>
      <c r="D34883" s="5">
        <v>0.1</v>
      </c>
      <c r="E34883" s="5">
        <v>98.7</v>
      </c>
      <c r="F34883" s="5">
        <v>196.9</v>
      </c>
      <c r="G34883" s="5">
        <v>98.3</v>
      </c>
      <c r="H34883" s="5">
        <v>98.1</v>
      </c>
      <c r="I34883" s="5">
        <v>0</v>
      </c>
      <c r="J34883" s="5">
        <v>0</v>
      </c>
      <c r="K34883" s="5">
        <v>0</v>
      </c>
    </row>
    <row r="34884" spans="1:11" x14ac:dyDescent="0.25">
      <c r="A34884" s="5">
        <f>34877</f>
      </c>
      <c r="B34884" s="5" t="s">
        <v>34892</v>
      </c>
      <c r="C34884" s="5">
        <v>98.6</v>
      </c>
      <c r="D34884" s="5">
        <v>0.1</v>
      </c>
      <c r="E34884" s="5">
        <v>98.7</v>
      </c>
      <c r="F34884" s="5">
        <v>196.9</v>
      </c>
      <c r="G34884" s="5">
        <v>98.3</v>
      </c>
      <c r="H34884" s="5">
        <v>98.1</v>
      </c>
      <c r="I34884" s="5">
        <v>0</v>
      </c>
      <c r="J34884" s="5">
        <v>0</v>
      </c>
      <c r="K34884" s="5">
        <v>0</v>
      </c>
    </row>
    <row r="34885" spans="1:11" x14ac:dyDescent="0.25">
      <c r="A34885" s="5">
        <f>34878</f>
      </c>
      <c r="B34885" s="5" t="s">
        <v>34893</v>
      </c>
      <c r="C34885" s="5">
        <v>98.6</v>
      </c>
      <c r="D34885" s="5">
        <v>0.1</v>
      </c>
      <c r="E34885" s="5">
        <v>98.7</v>
      </c>
      <c r="F34885" s="5">
        <v>196.9</v>
      </c>
      <c r="G34885" s="5">
        <v>98.3</v>
      </c>
      <c r="H34885" s="5">
        <v>98.1</v>
      </c>
      <c r="I34885" s="5">
        <v>0</v>
      </c>
      <c r="J34885" s="5">
        <v>0</v>
      </c>
      <c r="K34885" s="5">
        <v>0</v>
      </c>
    </row>
    <row r="34886" spans="1:11" x14ac:dyDescent="0.25">
      <c r="A34886" s="5">
        <f>34879</f>
      </c>
      <c r="B34886" s="5" t="s">
        <v>34894</v>
      </c>
      <c r="C34886" s="5">
        <v>98.6</v>
      </c>
      <c r="D34886" s="5">
        <v>0.1</v>
      </c>
      <c r="E34886" s="5">
        <v>98.7</v>
      </c>
      <c r="F34886" s="5">
        <v>196.9</v>
      </c>
      <c r="G34886" s="5">
        <v>98.3</v>
      </c>
      <c r="H34886" s="5">
        <v>98.1</v>
      </c>
      <c r="I34886" s="5">
        <v>0</v>
      </c>
      <c r="J34886" s="5">
        <v>0</v>
      </c>
      <c r="K34886" s="5">
        <v>0</v>
      </c>
    </row>
    <row r="34887" spans="1:11" x14ac:dyDescent="0.25">
      <c r="A34887" s="5">
        <f>34880</f>
      </c>
      <c r="B34887" s="5" t="s">
        <v>34895</v>
      </c>
      <c r="C34887" s="5">
        <v>99.2</v>
      </c>
      <c r="D34887" s="5">
        <v>0.1</v>
      </c>
      <c r="E34887" s="5">
        <v>99.3</v>
      </c>
      <c r="F34887" s="5">
        <v>198.6</v>
      </c>
      <c r="G34887" s="5">
        <v>99.1</v>
      </c>
      <c r="H34887" s="5">
        <v>99</v>
      </c>
      <c r="I34887" s="5">
        <v>0</v>
      </c>
      <c r="J34887" s="5">
        <v>0</v>
      </c>
      <c r="K34887" s="5">
        <v>0</v>
      </c>
    </row>
    <row r="34888" spans="1:11" x14ac:dyDescent="0.25">
      <c r="A34888" s="5">
        <f>34881</f>
      </c>
      <c r="B34888" s="5" t="s">
        <v>34896</v>
      </c>
      <c r="C34888" s="5">
        <v>99.2</v>
      </c>
      <c r="D34888" s="5">
        <v>0.1</v>
      </c>
      <c r="E34888" s="5">
        <v>99.3</v>
      </c>
      <c r="F34888" s="5">
        <v>198.6</v>
      </c>
      <c r="G34888" s="5">
        <v>99.1</v>
      </c>
      <c r="H34888" s="5">
        <v>99</v>
      </c>
      <c r="I34888" s="5">
        <v>0</v>
      </c>
      <c r="J34888" s="5">
        <v>0</v>
      </c>
      <c r="K34888" s="5">
        <v>0</v>
      </c>
    </row>
    <row r="34889" spans="1:11" x14ac:dyDescent="0.25">
      <c r="A34889" s="5">
        <f>34882</f>
      </c>
      <c r="B34889" s="5" t="s">
        <v>34897</v>
      </c>
      <c r="C34889" s="5">
        <v>100</v>
      </c>
      <c r="D34889" s="5">
        <v>0.1</v>
      </c>
      <c r="E34889" s="5">
        <v>100.2</v>
      </c>
      <c r="F34889" s="5">
        <v>199.3</v>
      </c>
      <c r="G34889" s="5">
        <v>99.5</v>
      </c>
      <c r="H34889" s="5">
        <v>99.5</v>
      </c>
      <c r="I34889" s="5">
        <v>0</v>
      </c>
      <c r="J34889" s="5">
        <v>0</v>
      </c>
      <c r="K34889" s="5">
        <v>0</v>
      </c>
    </row>
    <row r="34890" spans="1:11" x14ac:dyDescent="0.25">
      <c r="A34890" s="5">
        <f>34883</f>
      </c>
      <c r="B34890" s="5" t="s">
        <v>34898</v>
      </c>
      <c r="C34890" s="5">
        <v>100</v>
      </c>
      <c r="D34890" s="5">
        <v>0.1</v>
      </c>
      <c r="E34890" s="5">
        <v>100.2</v>
      </c>
      <c r="F34890" s="5">
        <v>199.3</v>
      </c>
      <c r="G34890" s="5">
        <v>99.5</v>
      </c>
      <c r="H34890" s="5">
        <v>99.5</v>
      </c>
      <c r="I34890" s="5">
        <v>0</v>
      </c>
      <c r="J34890" s="5">
        <v>0</v>
      </c>
      <c r="K34890" s="5">
        <v>0</v>
      </c>
    </row>
    <row r="34891" spans="1:11" x14ac:dyDescent="0.25">
      <c r="A34891" s="5">
        <f>34884</f>
      </c>
      <c r="B34891" s="5" t="s">
        <v>34899</v>
      </c>
      <c r="C34891" s="5">
        <v>100.2</v>
      </c>
      <c r="D34891" s="5">
        <v>0.1</v>
      </c>
      <c r="E34891" s="5">
        <v>100.2</v>
      </c>
      <c r="F34891" s="5">
        <v>201.3</v>
      </c>
      <c r="G34891" s="5">
        <v>100.4</v>
      </c>
      <c r="H34891" s="5">
        <v>100.2</v>
      </c>
      <c r="I34891" s="5">
        <v>0</v>
      </c>
      <c r="J34891" s="5">
        <v>0</v>
      </c>
      <c r="K34891" s="5">
        <v>0</v>
      </c>
    </row>
    <row r="34892" spans="1:11" x14ac:dyDescent="0.25">
      <c r="A34892" s="5">
        <f>34885</f>
      </c>
      <c r="B34892" s="5" t="s">
        <v>34900</v>
      </c>
      <c r="C34892" s="5">
        <v>100.2</v>
      </c>
      <c r="D34892" s="5">
        <v>0.1</v>
      </c>
      <c r="E34892" s="5">
        <v>100.2</v>
      </c>
      <c r="F34892" s="5">
        <v>201.3</v>
      </c>
      <c r="G34892" s="5">
        <v>100.4</v>
      </c>
      <c r="H34892" s="5">
        <v>100.2</v>
      </c>
      <c r="I34892" s="5">
        <v>0</v>
      </c>
      <c r="J34892" s="5">
        <v>0</v>
      </c>
      <c r="K34892" s="5">
        <v>0</v>
      </c>
    </row>
    <row r="34893" spans="1:11" x14ac:dyDescent="0.25">
      <c r="A34893" s="5">
        <f>34886</f>
      </c>
      <c r="B34893" s="5" t="s">
        <v>34901</v>
      </c>
      <c r="C34893" s="5">
        <v>101.4</v>
      </c>
      <c r="D34893" s="5">
        <v>0.1</v>
      </c>
      <c r="E34893" s="5">
        <v>101.5</v>
      </c>
      <c r="F34893" s="5">
        <v>202.4</v>
      </c>
      <c r="G34893" s="5">
        <v>101</v>
      </c>
      <c r="H34893" s="5">
        <v>100.9</v>
      </c>
      <c r="I34893" s="5">
        <v>0</v>
      </c>
      <c r="J34893" s="5">
        <v>0</v>
      </c>
      <c r="K34893" s="5">
        <v>0</v>
      </c>
    </row>
    <row r="34894" spans="1:11" x14ac:dyDescent="0.25">
      <c r="A34894" s="5">
        <f>34887</f>
      </c>
      <c r="B34894" s="5" t="s">
        <v>34902</v>
      </c>
      <c r="C34894" s="5">
        <v>101.4</v>
      </c>
      <c r="D34894" s="5">
        <v>0.1</v>
      </c>
      <c r="E34894" s="5">
        <v>101.5</v>
      </c>
      <c r="F34894" s="5">
        <v>202.4</v>
      </c>
      <c r="G34894" s="5">
        <v>101</v>
      </c>
      <c r="H34894" s="5">
        <v>100.9</v>
      </c>
      <c r="I34894" s="5">
        <v>0</v>
      </c>
      <c r="J34894" s="5">
        <v>0</v>
      </c>
      <c r="K34894" s="5">
        <v>0</v>
      </c>
    </row>
    <row r="34895" spans="1:11" x14ac:dyDescent="0.25">
      <c r="A34895" s="5">
        <f>34888</f>
      </c>
      <c r="B34895" s="5" t="s">
        <v>34903</v>
      </c>
      <c r="C34895" s="5">
        <v>101.4</v>
      </c>
      <c r="D34895" s="5">
        <v>0.1</v>
      </c>
      <c r="E34895" s="5">
        <v>101.5</v>
      </c>
      <c r="F34895" s="5">
        <v>202.4</v>
      </c>
      <c r="G34895" s="5">
        <v>101</v>
      </c>
      <c r="H34895" s="5">
        <v>100.9</v>
      </c>
      <c r="I34895" s="5">
        <v>0</v>
      </c>
      <c r="J34895" s="5">
        <v>0</v>
      </c>
      <c r="K34895" s="5">
        <v>0</v>
      </c>
    </row>
    <row r="34896" spans="1:11" x14ac:dyDescent="0.25">
      <c r="A34896" s="5">
        <f>34889</f>
      </c>
      <c r="B34896" s="5" t="s">
        <v>34904</v>
      </c>
      <c r="C34896" s="5">
        <v>100.4</v>
      </c>
      <c r="D34896" s="5">
        <v>0.1</v>
      </c>
      <c r="E34896" s="5">
        <v>100.5</v>
      </c>
      <c r="F34896" s="5">
        <v>201.5</v>
      </c>
      <c r="G34896" s="5">
        <v>100.5</v>
      </c>
      <c r="H34896" s="5">
        <v>100.3</v>
      </c>
      <c r="I34896" s="5">
        <v>0</v>
      </c>
      <c r="J34896" s="5">
        <v>0</v>
      </c>
      <c r="K34896" s="5">
        <v>0</v>
      </c>
    </row>
    <row r="34897" spans="1:11" x14ac:dyDescent="0.25">
      <c r="A34897" s="5">
        <f>34890</f>
      </c>
      <c r="B34897" s="5" t="s">
        <v>34905</v>
      </c>
      <c r="C34897" s="5">
        <v>100.4</v>
      </c>
      <c r="D34897" s="5">
        <v>0.1</v>
      </c>
      <c r="E34897" s="5">
        <v>100.5</v>
      </c>
      <c r="F34897" s="5">
        <v>201.5</v>
      </c>
      <c r="G34897" s="5">
        <v>100.5</v>
      </c>
      <c r="H34897" s="5">
        <v>100.3</v>
      </c>
      <c r="I34897" s="5">
        <v>0</v>
      </c>
      <c r="J34897" s="5">
        <v>0</v>
      </c>
      <c r="K34897" s="5">
        <v>0</v>
      </c>
    </row>
    <row r="34898" spans="1:11" x14ac:dyDescent="0.25">
      <c r="A34898" s="5">
        <f>34891</f>
      </c>
      <c r="B34898" s="5" t="s">
        <v>34906</v>
      </c>
      <c r="C34898" s="5">
        <v>100.8</v>
      </c>
      <c r="D34898" s="5">
        <v>0.1</v>
      </c>
      <c r="E34898" s="5">
        <v>100.8</v>
      </c>
      <c r="F34898" s="5">
        <v>201.5</v>
      </c>
      <c r="G34898" s="5">
        <v>100.6</v>
      </c>
      <c r="H34898" s="5">
        <v>100.4</v>
      </c>
      <c r="I34898" s="5">
        <v>0</v>
      </c>
      <c r="J34898" s="5">
        <v>0</v>
      </c>
      <c r="K34898" s="5">
        <v>0</v>
      </c>
    </row>
    <row r="34899" spans="1:11" x14ac:dyDescent="0.25">
      <c r="A34899" s="5">
        <f>34892</f>
      </c>
      <c r="B34899" s="5" t="s">
        <v>34907</v>
      </c>
      <c r="C34899" s="5">
        <v>100.8</v>
      </c>
      <c r="D34899" s="5">
        <v>0.1</v>
      </c>
      <c r="E34899" s="5">
        <v>100.8</v>
      </c>
      <c r="F34899" s="5">
        <v>201.5</v>
      </c>
      <c r="G34899" s="5">
        <v>100.6</v>
      </c>
      <c r="H34899" s="5">
        <v>100.4</v>
      </c>
      <c r="I34899" s="5">
        <v>0</v>
      </c>
      <c r="J34899" s="5">
        <v>0</v>
      </c>
      <c r="K34899" s="5">
        <v>0</v>
      </c>
    </row>
    <row r="34900" spans="1:11" x14ac:dyDescent="0.25">
      <c r="A34900" s="5">
        <f>34893</f>
      </c>
      <c r="B34900" s="5" t="s">
        <v>34908</v>
      </c>
      <c r="C34900" s="5">
        <v>100.8</v>
      </c>
      <c r="D34900" s="5">
        <v>0.1</v>
      </c>
      <c r="E34900" s="5">
        <v>101</v>
      </c>
      <c r="F34900" s="5">
        <v>201.3</v>
      </c>
      <c r="G34900" s="5">
        <v>100.5</v>
      </c>
      <c r="H34900" s="5">
        <v>100.3</v>
      </c>
      <c r="I34900" s="5">
        <v>0</v>
      </c>
      <c r="J34900" s="5">
        <v>0</v>
      </c>
      <c r="K34900" s="5">
        <v>0</v>
      </c>
    </row>
    <row r="34901" spans="1:11" x14ac:dyDescent="0.25">
      <c r="A34901" s="5">
        <f>34894</f>
      </c>
      <c r="B34901" s="5" t="s">
        <v>34909</v>
      </c>
      <c r="C34901" s="5">
        <v>100.8</v>
      </c>
      <c r="D34901" s="5">
        <v>0.1</v>
      </c>
      <c r="E34901" s="5">
        <v>101</v>
      </c>
      <c r="F34901" s="5">
        <v>201.3</v>
      </c>
      <c r="G34901" s="5">
        <v>100.5</v>
      </c>
      <c r="H34901" s="5">
        <v>100.3</v>
      </c>
      <c r="I34901" s="5">
        <v>0</v>
      </c>
      <c r="J34901" s="5">
        <v>0</v>
      </c>
      <c r="K34901" s="5">
        <v>0</v>
      </c>
    </row>
    <row r="34902" spans="1:11" x14ac:dyDescent="0.25">
      <c r="A34902" s="5">
        <f>34895</f>
      </c>
      <c r="B34902" s="5" t="s">
        <v>34910</v>
      </c>
      <c r="C34902" s="5">
        <v>101.1</v>
      </c>
      <c r="D34902" s="5">
        <v>0.1</v>
      </c>
      <c r="E34902" s="5">
        <v>101.2</v>
      </c>
      <c r="F34902" s="5">
        <v>201.6</v>
      </c>
      <c r="G34902" s="5">
        <v>100.6</v>
      </c>
      <c r="H34902" s="5">
        <v>100.5</v>
      </c>
      <c r="I34902" s="5">
        <v>0</v>
      </c>
      <c r="J34902" s="5">
        <v>0</v>
      </c>
      <c r="K34902" s="5">
        <v>0</v>
      </c>
    </row>
    <row r="34903" spans="1:11" x14ac:dyDescent="0.25">
      <c r="A34903" s="5">
        <f>34896</f>
      </c>
      <c r="B34903" s="5" t="s">
        <v>34911</v>
      </c>
      <c r="C34903" s="5">
        <v>101.1</v>
      </c>
      <c r="D34903" s="5">
        <v>0.1</v>
      </c>
      <c r="E34903" s="5">
        <v>101.2</v>
      </c>
      <c r="F34903" s="5">
        <v>201.6</v>
      </c>
      <c r="G34903" s="5">
        <v>100.6</v>
      </c>
      <c r="H34903" s="5">
        <v>100.5</v>
      </c>
      <c r="I34903" s="5">
        <v>0</v>
      </c>
      <c r="J34903" s="5">
        <v>0</v>
      </c>
      <c r="K34903" s="5">
        <v>0</v>
      </c>
    </row>
    <row r="34904" spans="1:11" x14ac:dyDescent="0.25">
      <c r="A34904" s="5">
        <f>34897</f>
      </c>
      <c r="B34904" s="5" t="s">
        <v>34912</v>
      </c>
      <c r="C34904" s="5">
        <v>101.1</v>
      </c>
      <c r="D34904" s="5">
        <v>0.1</v>
      </c>
      <c r="E34904" s="5">
        <v>101.2</v>
      </c>
      <c r="F34904" s="5">
        <v>201.6</v>
      </c>
      <c r="G34904" s="5">
        <v>100.6</v>
      </c>
      <c r="H34904" s="5">
        <v>100.5</v>
      </c>
      <c r="I34904" s="5">
        <v>0</v>
      </c>
      <c r="J34904" s="5">
        <v>0</v>
      </c>
      <c r="K34904" s="5">
        <v>0</v>
      </c>
    </row>
    <row r="34905" spans="1:11" x14ac:dyDescent="0.25">
      <c r="A34905" s="5">
        <f>34898</f>
      </c>
      <c r="B34905" s="5" t="s">
        <v>34913</v>
      </c>
      <c r="C34905" s="5">
        <v>101.1</v>
      </c>
      <c r="D34905" s="5">
        <v>0.1</v>
      </c>
      <c r="E34905" s="5">
        <v>101.2</v>
      </c>
      <c r="F34905" s="5">
        <v>201.6</v>
      </c>
      <c r="G34905" s="5">
        <v>100.6</v>
      </c>
      <c r="H34905" s="5">
        <v>100.5</v>
      </c>
      <c r="I34905" s="5">
        <v>0</v>
      </c>
      <c r="J34905" s="5">
        <v>0</v>
      </c>
      <c r="K34905" s="5">
        <v>0</v>
      </c>
    </row>
    <row r="34906" spans="1:11" x14ac:dyDescent="0.25">
      <c r="A34906" s="5">
        <f>34899</f>
      </c>
      <c r="B34906" s="5" t="s">
        <v>34914</v>
      </c>
      <c r="C34906" s="5">
        <v>100.7</v>
      </c>
      <c r="D34906" s="5">
        <v>0.1</v>
      </c>
      <c r="E34906" s="5">
        <v>100.8</v>
      </c>
      <c r="F34906" s="5">
        <v>200.8</v>
      </c>
      <c r="G34906" s="5">
        <v>100.2</v>
      </c>
      <c r="H34906" s="5">
        <v>100.1</v>
      </c>
      <c r="I34906" s="5">
        <v>0</v>
      </c>
      <c r="J34906" s="5">
        <v>0</v>
      </c>
      <c r="K34906" s="5">
        <v>0</v>
      </c>
    </row>
    <row r="34907" spans="1:11" x14ac:dyDescent="0.25">
      <c r="A34907" s="5">
        <f>34900</f>
      </c>
      <c r="B34907" s="5" t="s">
        <v>34915</v>
      </c>
      <c r="C34907" s="5">
        <v>100.7</v>
      </c>
      <c r="D34907" s="5">
        <v>0.1</v>
      </c>
      <c r="E34907" s="5">
        <v>100.8</v>
      </c>
      <c r="F34907" s="5">
        <v>200.8</v>
      </c>
      <c r="G34907" s="5">
        <v>100.2</v>
      </c>
      <c r="H34907" s="5">
        <v>100.1</v>
      </c>
      <c r="I34907" s="5">
        <v>0</v>
      </c>
      <c r="J34907" s="5">
        <v>0</v>
      </c>
      <c r="K34907" s="5">
        <v>0</v>
      </c>
    </row>
    <row r="34908" spans="1:11" x14ac:dyDescent="0.25">
      <c r="A34908" s="5">
        <f>34901</f>
      </c>
      <c r="B34908" s="5" t="s">
        <v>34916</v>
      </c>
      <c r="C34908" s="5">
        <v>100.8</v>
      </c>
      <c r="D34908" s="5">
        <v>0.1</v>
      </c>
      <c r="E34908" s="5">
        <v>101</v>
      </c>
      <c r="F34908" s="5">
        <v>201.8</v>
      </c>
      <c r="G34908" s="5">
        <v>100.6</v>
      </c>
      <c r="H34908" s="5">
        <v>100.5</v>
      </c>
      <c r="I34908" s="5">
        <v>0</v>
      </c>
      <c r="J34908" s="5">
        <v>0</v>
      </c>
      <c r="K34908" s="5">
        <v>0</v>
      </c>
    </row>
    <row r="34909" spans="1:11" x14ac:dyDescent="0.25">
      <c r="A34909" s="5">
        <f>34902</f>
      </c>
      <c r="B34909" s="5" t="s">
        <v>34917</v>
      </c>
      <c r="C34909" s="5">
        <v>100.8</v>
      </c>
      <c r="D34909" s="5">
        <v>0.1</v>
      </c>
      <c r="E34909" s="5">
        <v>101</v>
      </c>
      <c r="F34909" s="5">
        <v>201.8</v>
      </c>
      <c r="G34909" s="5">
        <v>100.6</v>
      </c>
      <c r="H34909" s="5">
        <v>100.5</v>
      </c>
      <c r="I34909" s="5">
        <v>0</v>
      </c>
      <c r="J34909" s="5">
        <v>0</v>
      </c>
      <c r="K34909" s="5">
        <v>0</v>
      </c>
    </row>
    <row r="34910" spans="1:11" x14ac:dyDescent="0.25">
      <c r="A34910" s="5">
        <f>34903</f>
      </c>
      <c r="B34910" s="5" t="s">
        <v>34918</v>
      </c>
      <c r="C34910" s="5">
        <v>100.2</v>
      </c>
      <c r="D34910" s="5">
        <v>0.1</v>
      </c>
      <c r="E34910" s="5">
        <v>100.4</v>
      </c>
      <c r="F34910" s="5">
        <v>200.2</v>
      </c>
      <c r="G34910" s="5">
        <v>99.9</v>
      </c>
      <c r="H34910" s="5">
        <v>100.5</v>
      </c>
      <c r="I34910" s="5">
        <v>0</v>
      </c>
      <c r="J34910" s="5">
        <v>0</v>
      </c>
      <c r="K34910" s="5">
        <v>0</v>
      </c>
    </row>
    <row r="34911" spans="1:11" x14ac:dyDescent="0.25">
      <c r="A34911" s="5">
        <f>34904</f>
      </c>
      <c r="B34911" s="5" t="s">
        <v>34919</v>
      </c>
      <c r="C34911" s="5">
        <v>100.2</v>
      </c>
      <c r="D34911" s="5">
        <v>0.1</v>
      </c>
      <c r="E34911" s="5">
        <v>100.4</v>
      </c>
      <c r="F34911" s="5">
        <v>200.2</v>
      </c>
      <c r="G34911" s="5">
        <v>99.9</v>
      </c>
      <c r="H34911" s="5">
        <v>99.7</v>
      </c>
      <c r="I34911" s="5">
        <v>0</v>
      </c>
      <c r="J34911" s="5">
        <v>0</v>
      </c>
      <c r="K34911" s="5">
        <v>0</v>
      </c>
    </row>
    <row r="34912" spans="1:11" x14ac:dyDescent="0.25">
      <c r="A34912" s="5">
        <f>34905</f>
      </c>
      <c r="B34912" s="5" t="s">
        <v>34920</v>
      </c>
      <c r="C34912" s="5">
        <v>100.2</v>
      </c>
      <c r="D34912" s="5">
        <v>0.1</v>
      </c>
      <c r="E34912" s="5">
        <v>100.4</v>
      </c>
      <c r="F34912" s="5">
        <v>200.2</v>
      </c>
      <c r="G34912" s="5">
        <v>99.9</v>
      </c>
      <c r="H34912" s="5">
        <v>99.7</v>
      </c>
      <c r="I34912" s="5">
        <v>0</v>
      </c>
      <c r="J34912" s="5">
        <v>0</v>
      </c>
      <c r="K34912" s="5">
        <v>0</v>
      </c>
    </row>
    <row r="34913" spans="1:11" x14ac:dyDescent="0.25">
      <c r="A34913" s="5">
        <f>34906</f>
      </c>
      <c r="B34913" s="5" t="s">
        <v>34921</v>
      </c>
      <c r="C34913" s="5">
        <v>100.2</v>
      </c>
      <c r="D34913" s="5">
        <v>0.1</v>
      </c>
      <c r="E34913" s="5">
        <v>100.3</v>
      </c>
      <c r="F34913" s="5">
        <v>199.9</v>
      </c>
      <c r="G34913" s="5">
        <v>99.7</v>
      </c>
      <c r="H34913" s="5">
        <v>99.6</v>
      </c>
      <c r="I34913" s="5">
        <v>0</v>
      </c>
      <c r="J34913" s="5">
        <v>0</v>
      </c>
      <c r="K34913" s="5">
        <v>0</v>
      </c>
    </row>
    <row r="34914" spans="1:11" x14ac:dyDescent="0.25">
      <c r="A34914" s="5">
        <f>34907</f>
      </c>
      <c r="B34914" s="5" t="s">
        <v>34922</v>
      </c>
      <c r="C34914" s="5">
        <v>100.2</v>
      </c>
      <c r="D34914" s="5">
        <v>0.1</v>
      </c>
      <c r="E34914" s="5">
        <v>100.3</v>
      </c>
      <c r="F34914" s="5">
        <v>199.9</v>
      </c>
      <c r="G34914" s="5">
        <v>99.7</v>
      </c>
      <c r="H34914" s="5">
        <v>99.6</v>
      </c>
      <c r="I34914" s="5">
        <v>0</v>
      </c>
      <c r="J34914" s="5">
        <v>0</v>
      </c>
      <c r="K34914" s="5">
        <v>0</v>
      </c>
    </row>
    <row r="34915" spans="1:11" x14ac:dyDescent="0.25">
      <c r="A34915" s="5">
        <f>34908</f>
      </c>
      <c r="B34915" s="5" t="s">
        <v>34923</v>
      </c>
      <c r="C34915" s="5">
        <v>100.2</v>
      </c>
      <c r="D34915" s="5">
        <v>0.1</v>
      </c>
      <c r="E34915" s="5">
        <v>100.3</v>
      </c>
      <c r="F34915" s="5">
        <v>199.9</v>
      </c>
      <c r="G34915" s="5">
        <v>99.7</v>
      </c>
      <c r="H34915" s="5">
        <v>99.6</v>
      </c>
      <c r="I34915" s="5">
        <v>0</v>
      </c>
      <c r="J34915" s="5">
        <v>0</v>
      </c>
      <c r="K34915" s="5">
        <v>0</v>
      </c>
    </row>
    <row r="34916" spans="1:11" x14ac:dyDescent="0.25">
      <c r="A34916" s="5">
        <f>34909</f>
      </c>
      <c r="B34916" s="5" t="s">
        <v>34924</v>
      </c>
      <c r="C34916" s="5">
        <v>100.2</v>
      </c>
      <c r="D34916" s="5">
        <v>0.1</v>
      </c>
      <c r="E34916" s="5">
        <v>100.3</v>
      </c>
      <c r="F34916" s="5">
        <v>199.9</v>
      </c>
      <c r="G34916" s="5">
        <v>99.7</v>
      </c>
      <c r="H34916" s="5">
        <v>100.8</v>
      </c>
      <c r="I34916" s="5">
        <v>0</v>
      </c>
      <c r="J34916" s="5">
        <v>0</v>
      </c>
      <c r="K34916" s="5">
        <v>0</v>
      </c>
    </row>
    <row r="34917" spans="1:11" x14ac:dyDescent="0.25">
      <c r="A34917" s="5">
        <f>34910</f>
      </c>
      <c r="B34917" s="5" t="s">
        <v>34925</v>
      </c>
      <c r="C34917" s="5">
        <v>101.5</v>
      </c>
      <c r="D34917" s="5">
        <v>0.1</v>
      </c>
      <c r="E34917" s="5">
        <v>101.5</v>
      </c>
      <c r="F34917" s="5">
        <v>202.3</v>
      </c>
      <c r="G34917" s="5">
        <v>100.9</v>
      </c>
      <c r="H34917" s="5">
        <v>100.8</v>
      </c>
      <c r="I34917" s="5">
        <v>0</v>
      </c>
      <c r="J34917" s="5">
        <v>0</v>
      </c>
      <c r="K34917" s="5">
        <v>0</v>
      </c>
    </row>
    <row r="34918" spans="1:11" x14ac:dyDescent="0.25">
      <c r="A34918" s="5">
        <f>34911</f>
      </c>
      <c r="B34918" s="5" t="s">
        <v>34926</v>
      </c>
      <c r="C34918" s="5">
        <v>101.5</v>
      </c>
      <c r="D34918" s="5">
        <v>0.1</v>
      </c>
      <c r="E34918" s="5">
        <v>101.5</v>
      </c>
      <c r="F34918" s="5">
        <v>202.3</v>
      </c>
      <c r="G34918" s="5">
        <v>100.9</v>
      </c>
      <c r="H34918" s="5">
        <v>100.7</v>
      </c>
      <c r="I34918" s="5">
        <v>0</v>
      </c>
      <c r="J34918" s="5">
        <v>0</v>
      </c>
      <c r="K34918" s="5">
        <v>0</v>
      </c>
    </row>
    <row r="34919" spans="1:11" x14ac:dyDescent="0.25">
      <c r="A34919" s="5">
        <f>34912</f>
      </c>
      <c r="B34919" s="5" t="s">
        <v>34927</v>
      </c>
      <c r="C34919" s="5">
        <v>101.3</v>
      </c>
      <c r="D34919" s="5">
        <v>0.1</v>
      </c>
      <c r="E34919" s="5">
        <v>101.5</v>
      </c>
      <c r="F34919" s="5">
        <v>202.3</v>
      </c>
      <c r="G34919" s="5">
        <v>100.9</v>
      </c>
      <c r="H34919" s="5">
        <v>100.7</v>
      </c>
      <c r="I34919" s="5">
        <v>0</v>
      </c>
      <c r="J34919" s="5">
        <v>0</v>
      </c>
      <c r="K34919" s="5">
        <v>0</v>
      </c>
    </row>
    <row r="34920" spans="1:11" x14ac:dyDescent="0.25">
      <c r="A34920" s="5">
        <f>34913</f>
      </c>
      <c r="B34920" s="5" t="s">
        <v>34928</v>
      </c>
      <c r="C34920" s="5">
        <v>101.3</v>
      </c>
      <c r="D34920" s="5">
        <v>0.1</v>
      </c>
      <c r="E34920" s="5">
        <v>101.5</v>
      </c>
      <c r="F34920" s="5">
        <v>202.3</v>
      </c>
      <c r="G34920" s="5">
        <v>100.9</v>
      </c>
      <c r="H34920" s="5">
        <v>100.7</v>
      </c>
      <c r="I34920" s="5">
        <v>0</v>
      </c>
      <c r="J34920" s="5">
        <v>0</v>
      </c>
      <c r="K34920" s="5">
        <v>0</v>
      </c>
    </row>
    <row r="34921" spans="1:11" x14ac:dyDescent="0.25">
      <c r="A34921" s="5">
        <f>34914</f>
      </c>
      <c r="B34921" s="5" t="s">
        <v>34929</v>
      </c>
      <c r="C34921" s="5">
        <v>99.9</v>
      </c>
      <c r="D34921" s="5">
        <v>0.1</v>
      </c>
      <c r="E34921" s="5">
        <v>100</v>
      </c>
      <c r="F34921" s="5">
        <v>199.7</v>
      </c>
      <c r="G34921" s="5">
        <v>99.7</v>
      </c>
      <c r="H34921" s="5">
        <v>99.6</v>
      </c>
      <c r="I34921" s="5">
        <v>0</v>
      </c>
      <c r="J34921" s="5">
        <v>0</v>
      </c>
      <c r="K34921" s="5">
        <v>0</v>
      </c>
    </row>
    <row r="34922" spans="1:11" x14ac:dyDescent="0.25">
      <c r="A34922" s="5">
        <f>34915</f>
      </c>
      <c r="B34922" s="5" t="s">
        <v>34930</v>
      </c>
      <c r="C34922" s="5">
        <v>99.9</v>
      </c>
      <c r="D34922" s="5">
        <v>0.1</v>
      </c>
      <c r="E34922" s="5">
        <v>100</v>
      </c>
      <c r="F34922" s="5">
        <v>199.7</v>
      </c>
      <c r="G34922" s="5">
        <v>99.7</v>
      </c>
      <c r="H34922" s="5">
        <v>99.6</v>
      </c>
      <c r="I34922" s="5">
        <v>0</v>
      </c>
      <c r="J34922" s="5">
        <v>0</v>
      </c>
      <c r="K34922" s="5">
        <v>0</v>
      </c>
    </row>
    <row r="34923" spans="1:11" x14ac:dyDescent="0.25">
      <c r="A34923" s="5">
        <f>34916</f>
      </c>
      <c r="B34923" s="5" t="s">
        <v>34931</v>
      </c>
      <c r="C34923" s="5">
        <v>101.1</v>
      </c>
      <c r="D34923" s="5">
        <v>0.1</v>
      </c>
      <c r="E34923" s="5">
        <v>101.2</v>
      </c>
      <c r="F34923" s="5">
        <v>202</v>
      </c>
      <c r="G34923" s="5">
        <v>100.8</v>
      </c>
      <c r="H34923" s="5">
        <v>100.7</v>
      </c>
      <c r="I34923" s="5">
        <v>0</v>
      </c>
      <c r="J34923" s="5">
        <v>0</v>
      </c>
      <c r="K34923" s="5">
        <v>0</v>
      </c>
    </row>
    <row r="34924" spans="1:11" x14ac:dyDescent="0.25">
      <c r="A34924" s="5">
        <f>34917</f>
      </c>
      <c r="B34924" s="5" t="s">
        <v>34932</v>
      </c>
      <c r="C34924" s="5">
        <v>101.1</v>
      </c>
      <c r="D34924" s="5">
        <v>0.1</v>
      </c>
      <c r="E34924" s="5">
        <v>101.2</v>
      </c>
      <c r="F34924" s="5">
        <v>202</v>
      </c>
      <c r="G34924" s="5">
        <v>100.8</v>
      </c>
      <c r="H34924" s="5">
        <v>100.7</v>
      </c>
      <c r="I34924" s="5">
        <v>0</v>
      </c>
      <c r="J34924" s="5">
        <v>0</v>
      </c>
      <c r="K34924" s="5">
        <v>0</v>
      </c>
    </row>
    <row r="34925" spans="1:11" x14ac:dyDescent="0.25">
      <c r="A34925" s="5">
        <f>34918</f>
      </c>
      <c r="B34925" s="5" t="s">
        <v>34933</v>
      </c>
      <c r="C34925" s="5">
        <v>101.1</v>
      </c>
      <c r="D34925" s="5">
        <v>0.1</v>
      </c>
      <c r="E34925" s="5">
        <v>101.2</v>
      </c>
      <c r="F34925" s="5">
        <v>202</v>
      </c>
      <c r="G34925" s="5">
        <v>100.8</v>
      </c>
      <c r="H34925" s="5">
        <v>100.7</v>
      </c>
      <c r="I34925" s="5">
        <v>0</v>
      </c>
      <c r="J34925" s="5">
        <v>0</v>
      </c>
      <c r="K34925" s="5">
        <v>0</v>
      </c>
    </row>
    <row r="34926" spans="1:11" x14ac:dyDescent="0.25">
      <c r="A34926" s="5">
        <f>34919</f>
      </c>
      <c r="B34926" s="5" t="s">
        <v>34934</v>
      </c>
      <c r="C34926" s="5">
        <v>101.4</v>
      </c>
      <c r="D34926" s="5">
        <v>0.1</v>
      </c>
      <c r="E34926" s="5">
        <v>101.5</v>
      </c>
      <c r="F34926" s="5">
        <v>202.1</v>
      </c>
      <c r="G34926" s="5">
        <v>100.8</v>
      </c>
      <c r="H34926" s="5">
        <v>100.7</v>
      </c>
      <c r="I34926" s="5">
        <v>0</v>
      </c>
      <c r="J34926" s="5">
        <v>0</v>
      </c>
      <c r="K34926" s="5">
        <v>0</v>
      </c>
    </row>
    <row r="34927" spans="1:11" x14ac:dyDescent="0.25">
      <c r="A34927" s="5">
        <f>34920</f>
      </c>
      <c r="B34927" s="5" t="s">
        <v>34935</v>
      </c>
      <c r="C34927" s="5">
        <v>101.4</v>
      </c>
      <c r="D34927" s="5">
        <v>0.1</v>
      </c>
      <c r="E34927" s="5">
        <v>101.5</v>
      </c>
      <c r="F34927" s="5">
        <v>202.1</v>
      </c>
      <c r="G34927" s="5">
        <v>100.8</v>
      </c>
      <c r="H34927" s="5">
        <v>100.7</v>
      </c>
      <c r="I34927" s="5">
        <v>0</v>
      </c>
      <c r="J34927" s="5">
        <v>0</v>
      </c>
      <c r="K34927" s="5">
        <v>0</v>
      </c>
    </row>
    <row r="34928" spans="1:11" x14ac:dyDescent="0.25">
      <c r="A34928" s="5">
        <f>34921</f>
      </c>
      <c r="B34928" s="5" t="s">
        <v>34936</v>
      </c>
      <c r="C34928" s="5">
        <v>101.4</v>
      </c>
      <c r="D34928" s="5">
        <v>0.1</v>
      </c>
      <c r="E34928" s="5">
        <v>101.5</v>
      </c>
      <c r="F34928" s="5">
        <v>202.6</v>
      </c>
      <c r="G34928" s="5">
        <v>101.1</v>
      </c>
      <c r="H34928" s="5">
        <v>101</v>
      </c>
      <c r="I34928" s="5">
        <v>0</v>
      </c>
      <c r="J34928" s="5">
        <v>0</v>
      </c>
      <c r="K34928" s="5">
        <v>0</v>
      </c>
    </row>
    <row r="34929" spans="1:11" x14ac:dyDescent="0.25">
      <c r="A34929" s="5">
        <f>34922</f>
      </c>
      <c r="B34929" s="5" t="s">
        <v>34937</v>
      </c>
      <c r="C34929" s="5">
        <v>101.4</v>
      </c>
      <c r="D34929" s="5">
        <v>0.1</v>
      </c>
      <c r="E34929" s="5">
        <v>101.5</v>
      </c>
      <c r="F34929" s="5">
        <v>202.6</v>
      </c>
      <c r="G34929" s="5">
        <v>101.1</v>
      </c>
      <c r="H34929" s="5">
        <v>101</v>
      </c>
      <c r="I34929" s="5">
        <v>0</v>
      </c>
      <c r="J34929" s="5">
        <v>0</v>
      </c>
      <c r="K34929" s="5">
        <v>0</v>
      </c>
    </row>
    <row r="34930" spans="1:11" x14ac:dyDescent="0.25">
      <c r="A34930" s="5">
        <f>34923</f>
      </c>
      <c r="B34930" s="5" t="s">
        <v>34938</v>
      </c>
      <c r="C34930" s="5">
        <v>100.8</v>
      </c>
      <c r="D34930" s="5">
        <v>0.1</v>
      </c>
      <c r="E34930" s="5">
        <v>101</v>
      </c>
      <c r="F34930" s="5">
        <v>201.2</v>
      </c>
      <c r="G34930" s="5">
        <v>100.4</v>
      </c>
      <c r="H34930" s="5">
        <v>100.3</v>
      </c>
      <c r="I34930" s="5">
        <v>0</v>
      </c>
      <c r="J34930" s="5">
        <v>0</v>
      </c>
      <c r="K34930" s="5">
        <v>0</v>
      </c>
    </row>
    <row r="34931" spans="1:11" x14ac:dyDescent="0.25">
      <c r="A34931" s="5">
        <f>34924</f>
      </c>
      <c r="B34931" s="5" t="s">
        <v>34939</v>
      </c>
      <c r="C34931" s="5">
        <v>100.8</v>
      </c>
      <c r="D34931" s="5">
        <v>0.1</v>
      </c>
      <c r="E34931" s="5">
        <v>101</v>
      </c>
      <c r="F34931" s="5">
        <v>201.2</v>
      </c>
      <c r="G34931" s="5">
        <v>100.4</v>
      </c>
      <c r="H34931" s="5">
        <v>100.3</v>
      </c>
      <c r="I34931" s="5">
        <v>0</v>
      </c>
      <c r="J34931" s="5">
        <v>0</v>
      </c>
      <c r="K34931" s="5">
        <v>0</v>
      </c>
    </row>
    <row r="34932" spans="1:11" x14ac:dyDescent="0.25">
      <c r="A34932" s="5">
        <f>34925</f>
      </c>
      <c r="B34932" s="5" t="s">
        <v>34940</v>
      </c>
      <c r="C34932" s="5">
        <v>100.8</v>
      </c>
      <c r="D34932" s="5">
        <v>0.1</v>
      </c>
      <c r="E34932" s="5">
        <v>100.9</v>
      </c>
      <c r="F34932" s="5">
        <v>201.9</v>
      </c>
      <c r="G34932" s="5">
        <v>100.7</v>
      </c>
      <c r="H34932" s="5">
        <v>100.6</v>
      </c>
      <c r="I34932" s="5">
        <v>0</v>
      </c>
      <c r="J34932" s="5">
        <v>0</v>
      </c>
      <c r="K34932" s="5">
        <v>0</v>
      </c>
    </row>
    <row r="34933" spans="1:11" x14ac:dyDescent="0.25">
      <c r="A34933" s="5">
        <f>34926</f>
      </c>
      <c r="B34933" s="5" t="s">
        <v>34941</v>
      </c>
      <c r="C34933" s="5">
        <v>100.8</v>
      </c>
      <c r="D34933" s="5">
        <v>0.1</v>
      </c>
      <c r="E34933" s="5">
        <v>100.9</v>
      </c>
      <c r="F34933" s="5">
        <v>201.9</v>
      </c>
      <c r="G34933" s="5">
        <v>100.7</v>
      </c>
      <c r="H34933" s="5">
        <v>100.6</v>
      </c>
      <c r="I34933" s="5">
        <v>0</v>
      </c>
      <c r="J34933" s="5">
        <v>0</v>
      </c>
      <c r="K34933" s="5">
        <v>0</v>
      </c>
    </row>
    <row r="34934" spans="1:11" x14ac:dyDescent="0.25">
      <c r="A34934" s="5">
        <f>34927</f>
      </c>
      <c r="B34934" s="5" t="s">
        <v>34942</v>
      </c>
      <c r="C34934" s="5">
        <v>100.8</v>
      </c>
      <c r="D34934" s="5">
        <v>0.1</v>
      </c>
      <c r="E34934" s="5">
        <v>100.9</v>
      </c>
      <c r="F34934" s="5">
        <v>201.9</v>
      </c>
      <c r="G34934" s="5">
        <v>100.7</v>
      </c>
      <c r="H34934" s="5">
        <v>100.6</v>
      </c>
      <c r="I34934" s="5">
        <v>0</v>
      </c>
      <c r="J34934" s="5">
        <v>0</v>
      </c>
      <c r="K34934" s="5">
        <v>0</v>
      </c>
    </row>
    <row r="34935" spans="1:11" x14ac:dyDescent="0.25">
      <c r="A34935" s="5">
        <f>34928</f>
      </c>
      <c r="B34935" s="5" t="s">
        <v>34943</v>
      </c>
      <c r="C34935" s="5">
        <v>100.8</v>
      </c>
      <c r="D34935" s="5">
        <v>0.1</v>
      </c>
      <c r="E34935" s="5">
        <v>100.9</v>
      </c>
      <c r="F34935" s="5">
        <v>201.9</v>
      </c>
      <c r="G34935" s="5">
        <v>100.7</v>
      </c>
      <c r="H34935" s="5">
        <v>100.6</v>
      </c>
      <c r="I34935" s="5">
        <v>0</v>
      </c>
      <c r="J34935" s="5">
        <v>0</v>
      </c>
      <c r="K34935" s="5">
        <v>0</v>
      </c>
    </row>
    <row r="34936" spans="1:11" x14ac:dyDescent="0.25">
      <c r="A34936" s="5">
        <f>34929</f>
      </c>
      <c r="B34936" s="5" t="s">
        <v>34944</v>
      </c>
      <c r="C34936" s="5">
        <v>100.4</v>
      </c>
      <c r="D34936" s="5">
        <v>0.1</v>
      </c>
      <c r="E34936" s="5">
        <v>100.5</v>
      </c>
      <c r="F34936" s="5">
        <v>200.4</v>
      </c>
      <c r="G34936" s="5">
        <v>100</v>
      </c>
      <c r="H34936" s="5">
        <v>99.9</v>
      </c>
      <c r="I34936" s="5">
        <v>0</v>
      </c>
      <c r="J34936" s="5">
        <v>0</v>
      </c>
      <c r="K34936" s="5">
        <v>0</v>
      </c>
    </row>
    <row r="34937" spans="1:11" x14ac:dyDescent="0.25">
      <c r="A34937" s="5">
        <f>34930</f>
      </c>
      <c r="B34937" s="5" t="s">
        <v>34945</v>
      </c>
      <c r="C34937" s="5">
        <v>100.4</v>
      </c>
      <c r="D34937" s="5">
        <v>0.1</v>
      </c>
      <c r="E34937" s="5">
        <v>100.5</v>
      </c>
      <c r="F34937" s="5">
        <v>200.4</v>
      </c>
      <c r="G34937" s="5">
        <v>100</v>
      </c>
      <c r="H34937" s="5">
        <v>99.9</v>
      </c>
      <c r="I34937" s="5">
        <v>0</v>
      </c>
      <c r="J34937" s="5">
        <v>0</v>
      </c>
      <c r="K34937" s="5">
        <v>0</v>
      </c>
    </row>
    <row r="34938" spans="1:11" x14ac:dyDescent="0.25">
      <c r="A34938" s="5">
        <f>34931</f>
      </c>
      <c r="B34938" s="5" t="s">
        <v>34946</v>
      </c>
      <c r="C34938" s="5">
        <v>98.5</v>
      </c>
      <c r="D34938" s="5">
        <v>0.1</v>
      </c>
      <c r="E34938" s="5">
        <v>98.6</v>
      </c>
      <c r="F34938" s="5">
        <v>196.6</v>
      </c>
      <c r="G34938" s="5">
        <v>98.1</v>
      </c>
      <c r="H34938" s="5">
        <v>98</v>
      </c>
      <c r="I34938" s="5">
        <v>0</v>
      </c>
      <c r="J34938" s="5">
        <v>0</v>
      </c>
      <c r="K34938" s="5">
        <v>0</v>
      </c>
    </row>
    <row r="34939" spans="1:11" x14ac:dyDescent="0.25">
      <c r="A34939" s="5">
        <f>34932</f>
      </c>
      <c r="B34939" s="5" t="s">
        <v>34947</v>
      </c>
      <c r="C34939" s="5">
        <v>98.5</v>
      </c>
      <c r="D34939" s="5">
        <v>0.1</v>
      </c>
      <c r="E34939" s="5">
        <v>98.6</v>
      </c>
      <c r="F34939" s="5">
        <v>196.6</v>
      </c>
      <c r="G34939" s="5">
        <v>98.1</v>
      </c>
      <c r="H34939" s="5">
        <v>98</v>
      </c>
      <c r="I34939" s="5">
        <v>0</v>
      </c>
      <c r="J34939" s="5">
        <v>0</v>
      </c>
      <c r="K34939" s="5">
        <v>0</v>
      </c>
    </row>
    <row r="34940" spans="1:11" x14ac:dyDescent="0.25">
      <c r="A34940" s="5">
        <f>34933</f>
      </c>
      <c r="B34940" s="5" t="s">
        <v>34948</v>
      </c>
      <c r="C34940" s="5">
        <v>99.6</v>
      </c>
      <c r="D34940" s="5">
        <v>0.1</v>
      </c>
      <c r="E34940" s="5">
        <v>99.8</v>
      </c>
      <c r="F34940" s="5">
        <v>198.7</v>
      </c>
      <c r="G34940" s="5">
        <v>99.2</v>
      </c>
      <c r="H34940" s="5">
        <v>99.1</v>
      </c>
      <c r="I34940" s="5">
        <v>0</v>
      </c>
      <c r="J34940" s="5">
        <v>0</v>
      </c>
      <c r="K34940" s="5">
        <v>0</v>
      </c>
    </row>
    <row r="34941" spans="1:11" x14ac:dyDescent="0.25">
      <c r="A34941" s="5">
        <f>34934</f>
      </c>
      <c r="B34941" s="5" t="s">
        <v>34949</v>
      </c>
      <c r="C34941" s="5">
        <v>99.6</v>
      </c>
      <c r="D34941" s="5">
        <v>0.1</v>
      </c>
      <c r="E34941" s="5">
        <v>99.8</v>
      </c>
      <c r="F34941" s="5">
        <v>198.7</v>
      </c>
      <c r="G34941" s="5">
        <v>99.2</v>
      </c>
      <c r="H34941" s="5">
        <v>99.1</v>
      </c>
      <c r="I34941" s="5">
        <v>0</v>
      </c>
      <c r="J34941" s="5">
        <v>0</v>
      </c>
      <c r="K34941" s="5">
        <v>0</v>
      </c>
    </row>
    <row r="34942" spans="1:11" x14ac:dyDescent="0.25">
      <c r="A34942" s="5">
        <f>34935</f>
      </c>
      <c r="B34942" s="5" t="s">
        <v>34950</v>
      </c>
      <c r="C34942" s="5">
        <v>99.2</v>
      </c>
      <c r="D34942" s="5">
        <v>0.1</v>
      </c>
      <c r="E34942" s="5">
        <v>99.3</v>
      </c>
      <c r="F34942" s="5">
        <v>198.3</v>
      </c>
      <c r="G34942" s="5">
        <v>99</v>
      </c>
      <c r="H34942" s="5">
        <v>98.8</v>
      </c>
      <c r="I34942" s="5">
        <v>0</v>
      </c>
      <c r="J34942" s="5">
        <v>0</v>
      </c>
      <c r="K34942" s="5">
        <v>0</v>
      </c>
    </row>
    <row r="34943" spans="1:11" x14ac:dyDescent="0.25">
      <c r="A34943" s="5">
        <f>34936</f>
      </c>
      <c r="B34943" s="5" t="s">
        <v>34951</v>
      </c>
      <c r="C34943" s="5">
        <v>99.2</v>
      </c>
      <c r="D34943" s="5">
        <v>0.1</v>
      </c>
      <c r="E34943" s="5">
        <v>99.3</v>
      </c>
      <c r="F34943" s="5">
        <v>198.3</v>
      </c>
      <c r="G34943" s="5">
        <v>99</v>
      </c>
      <c r="H34943" s="5">
        <v>98.8</v>
      </c>
      <c r="I34943" s="5">
        <v>0</v>
      </c>
      <c r="J34943" s="5">
        <v>0</v>
      </c>
      <c r="K34943" s="5">
        <v>0</v>
      </c>
    </row>
    <row r="34944" spans="1:11" x14ac:dyDescent="0.25">
      <c r="A34944" s="5">
        <f>34937</f>
      </c>
      <c r="B34944" s="5" t="s">
        <v>34952</v>
      </c>
      <c r="C34944" s="5">
        <v>99.2</v>
      </c>
      <c r="D34944" s="5">
        <v>0.1</v>
      </c>
      <c r="E34944" s="5">
        <v>99.3</v>
      </c>
      <c r="F34944" s="5">
        <v>198.3</v>
      </c>
      <c r="G34944" s="5">
        <v>99</v>
      </c>
      <c r="H34944" s="5">
        <v>98.8</v>
      </c>
      <c r="I34944" s="5">
        <v>0</v>
      </c>
      <c r="J34944" s="5">
        <v>0</v>
      </c>
      <c r="K34944" s="5">
        <v>0</v>
      </c>
    </row>
    <row r="34945" spans="1:11" x14ac:dyDescent="0.25">
      <c r="A34945" s="5">
        <f>34938</f>
      </c>
      <c r="B34945" s="5" t="s">
        <v>34953</v>
      </c>
      <c r="C34945" s="5">
        <v>99.2</v>
      </c>
      <c r="D34945" s="5">
        <v>0.1</v>
      </c>
      <c r="E34945" s="5">
        <v>99.3</v>
      </c>
      <c r="F34945" s="5">
        <v>198.3</v>
      </c>
      <c r="G34945" s="5">
        <v>99</v>
      </c>
      <c r="H34945" s="5">
        <v>98.8</v>
      </c>
      <c r="I34945" s="5">
        <v>0</v>
      </c>
      <c r="J34945" s="5">
        <v>0</v>
      </c>
      <c r="K34945" s="5">
        <v>0</v>
      </c>
    </row>
    <row r="34946" spans="1:11" x14ac:dyDescent="0.25">
      <c r="A34946" s="5">
        <f>34939</f>
      </c>
      <c r="B34946" s="5" t="s">
        <v>34954</v>
      </c>
      <c r="C34946" s="5">
        <v>99.9</v>
      </c>
      <c r="D34946" s="5">
        <v>0.1</v>
      </c>
      <c r="E34946" s="5">
        <v>99.9</v>
      </c>
      <c r="F34946" s="5">
        <v>199.1</v>
      </c>
      <c r="G34946" s="5">
        <v>99.3</v>
      </c>
      <c r="H34946" s="5">
        <v>99</v>
      </c>
      <c r="I34946" s="5">
        <v>0</v>
      </c>
      <c r="J34946" s="5">
        <v>0</v>
      </c>
      <c r="K34946" s="5">
        <v>0</v>
      </c>
    </row>
    <row r="34947" spans="1:11" x14ac:dyDescent="0.25">
      <c r="A34947" s="5">
        <f>34940</f>
      </c>
      <c r="B34947" s="5" t="s">
        <v>34955</v>
      </c>
      <c r="C34947" s="5">
        <v>99.9</v>
      </c>
      <c r="D34947" s="5">
        <v>0.1</v>
      </c>
      <c r="E34947" s="5">
        <v>99.9</v>
      </c>
      <c r="F34947" s="5">
        <v>199.1</v>
      </c>
      <c r="G34947" s="5">
        <v>99.3</v>
      </c>
      <c r="H34947" s="5">
        <v>99</v>
      </c>
      <c r="I34947" s="5">
        <v>0</v>
      </c>
      <c r="J34947" s="5">
        <v>0</v>
      </c>
      <c r="K34947" s="5">
        <v>0</v>
      </c>
    </row>
    <row r="34948" spans="1:11" x14ac:dyDescent="0.25">
      <c r="A34948" s="5">
        <f>34941</f>
      </c>
      <c r="B34948" s="5" t="s">
        <v>34956</v>
      </c>
      <c r="C34948" s="5">
        <v>98.6</v>
      </c>
      <c r="D34948" s="5">
        <v>0.1</v>
      </c>
      <c r="E34948" s="5">
        <v>98.8</v>
      </c>
      <c r="F34948" s="5">
        <v>196.7</v>
      </c>
      <c r="G34948" s="5">
        <v>98.2</v>
      </c>
      <c r="H34948" s="5">
        <v>98.1</v>
      </c>
      <c r="I34948" s="5">
        <v>0</v>
      </c>
      <c r="J34948" s="5">
        <v>0</v>
      </c>
      <c r="K34948" s="5">
        <v>0</v>
      </c>
    </row>
    <row r="34949" spans="1:11" x14ac:dyDescent="0.25">
      <c r="A34949" s="5">
        <f>34942</f>
      </c>
      <c r="B34949" s="5" t="s">
        <v>34957</v>
      </c>
      <c r="C34949" s="5">
        <v>98.6</v>
      </c>
      <c r="D34949" s="5">
        <v>0.1</v>
      </c>
      <c r="E34949" s="5">
        <v>98.8</v>
      </c>
      <c r="F34949" s="5">
        <v>196.7</v>
      </c>
      <c r="G34949" s="5">
        <v>98.2</v>
      </c>
      <c r="H34949" s="5">
        <v>98.1</v>
      </c>
      <c r="I34949" s="5">
        <v>0</v>
      </c>
      <c r="J34949" s="5">
        <v>0</v>
      </c>
      <c r="K34949" s="5">
        <v>0</v>
      </c>
    </row>
    <row r="34950" spans="1:11" x14ac:dyDescent="0.25">
      <c r="A34950" s="5">
        <f>34943</f>
      </c>
      <c r="B34950" s="5" t="s">
        <v>34958</v>
      </c>
      <c r="C34950" s="5">
        <v>97.7</v>
      </c>
      <c r="D34950" s="5">
        <v>0.1</v>
      </c>
      <c r="E34950" s="5">
        <v>97.9</v>
      </c>
      <c r="F34950" s="5">
        <v>195.2</v>
      </c>
      <c r="G34950" s="5">
        <v>97.4</v>
      </c>
      <c r="H34950" s="5">
        <v>97.3</v>
      </c>
      <c r="I34950" s="5">
        <v>0</v>
      </c>
      <c r="J34950" s="5">
        <v>0</v>
      </c>
      <c r="K34950" s="5">
        <v>0</v>
      </c>
    </row>
    <row r="34951" spans="1:11" x14ac:dyDescent="0.25">
      <c r="A34951" s="5">
        <f>34944</f>
      </c>
      <c r="B34951" s="5" t="s">
        <v>34959</v>
      </c>
      <c r="C34951" s="5">
        <v>97.7</v>
      </c>
      <c r="D34951" s="5">
        <v>0.1</v>
      </c>
      <c r="E34951" s="5">
        <v>97.9</v>
      </c>
      <c r="F34951" s="5">
        <v>195.2</v>
      </c>
      <c r="G34951" s="5">
        <v>97.4</v>
      </c>
      <c r="H34951" s="5">
        <v>97.3</v>
      </c>
      <c r="I34951" s="5">
        <v>0</v>
      </c>
      <c r="J34951" s="5">
        <v>0</v>
      </c>
      <c r="K34951" s="5">
        <v>0</v>
      </c>
    </row>
    <row r="34952" spans="1:11" x14ac:dyDescent="0.25">
      <c r="A34952" s="5">
        <f>34945</f>
      </c>
      <c r="B34952" s="5" t="s">
        <v>34960</v>
      </c>
      <c r="C34952" s="5">
        <v>98.6</v>
      </c>
      <c r="D34952" s="5">
        <v>0.1</v>
      </c>
      <c r="E34952" s="5">
        <v>98.7</v>
      </c>
      <c r="F34952" s="5">
        <v>197.1</v>
      </c>
      <c r="G34952" s="5">
        <v>98.3</v>
      </c>
      <c r="H34952" s="5">
        <v>98.2</v>
      </c>
      <c r="I34952" s="5">
        <v>0</v>
      </c>
      <c r="J34952" s="5">
        <v>0</v>
      </c>
      <c r="K34952" s="5">
        <v>0</v>
      </c>
    </row>
    <row r="34953" spans="1:11" x14ac:dyDescent="0.25">
      <c r="A34953" s="5">
        <f>34946</f>
      </c>
      <c r="B34953" s="5" t="s">
        <v>34961</v>
      </c>
      <c r="C34953" s="5">
        <v>98.6</v>
      </c>
      <c r="D34953" s="5">
        <v>0.1</v>
      </c>
      <c r="E34953" s="5">
        <v>98.7</v>
      </c>
      <c r="F34953" s="5">
        <v>197.1</v>
      </c>
      <c r="G34953" s="5">
        <v>98.3</v>
      </c>
      <c r="H34953" s="5">
        <v>98.2</v>
      </c>
      <c r="I34953" s="5">
        <v>0</v>
      </c>
      <c r="J34953" s="5">
        <v>0</v>
      </c>
      <c r="K34953" s="5">
        <v>0</v>
      </c>
    </row>
    <row r="34954" spans="1:11" x14ac:dyDescent="0.25">
      <c r="A34954" s="5">
        <f>34947</f>
      </c>
      <c r="B34954" s="5" t="s">
        <v>34962</v>
      </c>
      <c r="C34954" s="5">
        <v>98.6</v>
      </c>
      <c r="D34954" s="5">
        <v>0.1</v>
      </c>
      <c r="E34954" s="5">
        <v>98.7</v>
      </c>
      <c r="F34954" s="5">
        <v>197.1</v>
      </c>
      <c r="G34954" s="5">
        <v>98.3</v>
      </c>
      <c r="H34954" s="5">
        <v>98.2</v>
      </c>
      <c r="I34954" s="5">
        <v>0</v>
      </c>
      <c r="J34954" s="5">
        <v>0</v>
      </c>
      <c r="K34954" s="5">
        <v>0</v>
      </c>
    </row>
    <row r="34955" spans="1:11" x14ac:dyDescent="0.25">
      <c r="A34955" s="5">
        <f>34948</f>
      </c>
      <c r="B34955" s="5" t="s">
        <v>34963</v>
      </c>
      <c r="C34955" s="5">
        <v>98.6</v>
      </c>
      <c r="D34955" s="5">
        <v>0.1</v>
      </c>
      <c r="E34955" s="5">
        <v>98.7</v>
      </c>
      <c r="F34955" s="5">
        <v>197.1</v>
      </c>
      <c r="G34955" s="5">
        <v>98.3</v>
      </c>
      <c r="H34955" s="5">
        <v>98.2</v>
      </c>
      <c r="I34955" s="5">
        <v>0</v>
      </c>
      <c r="J34955" s="5">
        <v>0</v>
      </c>
      <c r="K34955" s="5">
        <v>0</v>
      </c>
    </row>
    <row r="34956" spans="1:11" x14ac:dyDescent="0.25">
      <c r="A34956" s="5">
        <f>34949</f>
      </c>
      <c r="B34956" s="5" t="s">
        <v>34964</v>
      </c>
      <c r="C34956" s="5">
        <v>102.1</v>
      </c>
      <c r="D34956" s="5">
        <v>0.1</v>
      </c>
      <c r="E34956" s="5">
        <v>102.3</v>
      </c>
      <c r="F34956" s="5">
        <v>203.6</v>
      </c>
      <c r="G34956" s="5">
        <v>101.6</v>
      </c>
      <c r="H34956" s="5">
        <v>101.6</v>
      </c>
      <c r="I34956" s="5">
        <v>0</v>
      </c>
      <c r="J34956" s="5">
        <v>0</v>
      </c>
      <c r="K34956" s="5">
        <v>0</v>
      </c>
    </row>
    <row r="34957" spans="1:11" x14ac:dyDescent="0.25">
      <c r="A34957" s="5">
        <f>34950</f>
      </c>
      <c r="B34957" s="5" t="s">
        <v>34965</v>
      </c>
      <c r="C34957" s="5">
        <v>102.1</v>
      </c>
      <c r="D34957" s="5">
        <v>0.1</v>
      </c>
      <c r="E34957" s="5">
        <v>102.3</v>
      </c>
      <c r="F34957" s="5">
        <v>203.6</v>
      </c>
      <c r="G34957" s="5">
        <v>101.6</v>
      </c>
      <c r="H34957" s="5">
        <v>101.6</v>
      </c>
      <c r="I34957" s="5">
        <v>0</v>
      </c>
      <c r="J34957" s="5">
        <v>0</v>
      </c>
      <c r="K34957" s="5">
        <v>0</v>
      </c>
    </row>
    <row r="34958" spans="1:11" x14ac:dyDescent="0.25">
      <c r="A34958" s="5">
        <f>34951</f>
      </c>
      <c r="B34958" s="5" t="s">
        <v>34966</v>
      </c>
      <c r="C34958" s="5">
        <v>101.5</v>
      </c>
      <c r="D34958" s="5">
        <v>0.1</v>
      </c>
      <c r="E34958" s="5">
        <v>101.7</v>
      </c>
      <c r="F34958" s="5">
        <v>202.9</v>
      </c>
      <c r="G34958" s="5">
        <v>101.2</v>
      </c>
      <c r="H34958" s="5">
        <v>101.1</v>
      </c>
      <c r="I34958" s="5">
        <v>0</v>
      </c>
      <c r="J34958" s="5">
        <v>0</v>
      </c>
      <c r="K34958" s="5">
        <v>0</v>
      </c>
    </row>
    <row r="34959" spans="1:11" x14ac:dyDescent="0.25">
      <c r="A34959" s="5">
        <f>34952</f>
      </c>
      <c r="B34959" s="5" t="s">
        <v>34967</v>
      </c>
      <c r="C34959" s="5">
        <v>101.5</v>
      </c>
      <c r="D34959" s="5">
        <v>0.1</v>
      </c>
      <c r="E34959" s="5">
        <v>101.7</v>
      </c>
      <c r="F34959" s="5">
        <v>202.9</v>
      </c>
      <c r="G34959" s="5">
        <v>101.2</v>
      </c>
      <c r="H34959" s="5">
        <v>101.1</v>
      </c>
      <c r="I34959" s="5">
        <v>0</v>
      </c>
      <c r="J34959" s="5">
        <v>0</v>
      </c>
      <c r="K34959" s="5">
        <v>0</v>
      </c>
    </row>
    <row r="34960" spans="1:11" x14ac:dyDescent="0.25">
      <c r="A34960" s="5">
        <f>34953</f>
      </c>
      <c r="B34960" s="5" t="s">
        <v>34968</v>
      </c>
      <c r="C34960" s="5">
        <v>102</v>
      </c>
      <c r="D34960" s="5">
        <v>0.1</v>
      </c>
      <c r="E34960" s="5">
        <v>102.1</v>
      </c>
      <c r="F34960" s="5">
        <v>203.7</v>
      </c>
      <c r="G34960" s="5">
        <v>101.6</v>
      </c>
      <c r="H34960" s="5">
        <v>101.5</v>
      </c>
      <c r="I34960" s="5">
        <v>0</v>
      </c>
      <c r="J34960" s="5">
        <v>0</v>
      </c>
      <c r="K34960" s="5">
        <v>0</v>
      </c>
    </row>
    <row r="34961" spans="1:11" x14ac:dyDescent="0.25">
      <c r="A34961" s="5">
        <f>34954</f>
      </c>
      <c r="B34961" s="5" t="s">
        <v>34969</v>
      </c>
      <c r="C34961" s="5">
        <v>102</v>
      </c>
      <c r="D34961" s="5">
        <v>0.1</v>
      </c>
      <c r="E34961" s="5">
        <v>102.1</v>
      </c>
      <c r="F34961" s="5">
        <v>203.7</v>
      </c>
      <c r="G34961" s="5">
        <v>101.6</v>
      </c>
      <c r="H34961" s="5">
        <v>101.5</v>
      </c>
      <c r="I34961" s="5">
        <v>0</v>
      </c>
      <c r="J34961" s="5">
        <v>0</v>
      </c>
      <c r="K34961" s="5">
        <v>0</v>
      </c>
    </row>
    <row r="34962" spans="1:11" x14ac:dyDescent="0.25">
      <c r="A34962" s="5">
        <f>34955</f>
      </c>
      <c r="B34962" s="5" t="s">
        <v>34970</v>
      </c>
      <c r="C34962" s="5">
        <v>102.2</v>
      </c>
      <c r="D34962" s="5">
        <v>0.1</v>
      </c>
      <c r="E34962" s="5">
        <v>102.4</v>
      </c>
      <c r="F34962" s="5">
        <v>204.5</v>
      </c>
      <c r="G34962" s="5">
        <v>102</v>
      </c>
      <c r="H34962" s="5">
        <v>101.8</v>
      </c>
      <c r="I34962" s="5">
        <v>0</v>
      </c>
      <c r="J34962" s="5">
        <v>0</v>
      </c>
      <c r="K34962" s="5">
        <v>0</v>
      </c>
    </row>
    <row r="34963" spans="1:11" x14ac:dyDescent="0.25">
      <c r="A34963" s="5">
        <f>34956</f>
      </c>
      <c r="B34963" s="5" t="s">
        <v>34971</v>
      </c>
      <c r="C34963" s="5">
        <v>102.2</v>
      </c>
      <c r="D34963" s="5">
        <v>0.1</v>
      </c>
      <c r="E34963" s="5">
        <v>102.4</v>
      </c>
      <c r="F34963" s="5">
        <v>204.5</v>
      </c>
      <c r="G34963" s="5">
        <v>102</v>
      </c>
      <c r="H34963" s="5">
        <v>101.8</v>
      </c>
      <c r="I34963" s="5">
        <v>0</v>
      </c>
      <c r="J34963" s="5">
        <v>0</v>
      </c>
      <c r="K34963" s="5">
        <v>0</v>
      </c>
    </row>
    <row r="34964" spans="1:11" x14ac:dyDescent="0.25">
      <c r="A34964" s="5">
        <f>34957</f>
      </c>
      <c r="B34964" s="5" t="s">
        <v>34972</v>
      </c>
      <c r="C34964" s="5">
        <v>102.2</v>
      </c>
      <c r="D34964" s="5">
        <v>0.1</v>
      </c>
      <c r="E34964" s="5">
        <v>102.4</v>
      </c>
      <c r="F34964" s="5">
        <v>204.5</v>
      </c>
      <c r="G34964" s="5">
        <v>102</v>
      </c>
      <c r="H34964" s="5">
        <v>101.8</v>
      </c>
      <c r="I34964" s="5">
        <v>0</v>
      </c>
      <c r="J34964" s="5">
        <v>0</v>
      </c>
      <c r="K34964" s="5">
        <v>0</v>
      </c>
    </row>
    <row r="34965" spans="1:11" x14ac:dyDescent="0.25">
      <c r="A34965" s="5">
        <f>34958</f>
      </c>
      <c r="B34965" s="5" t="s">
        <v>34973</v>
      </c>
      <c r="C34965" s="5">
        <v>102.2</v>
      </c>
      <c r="D34965" s="5">
        <v>0.1</v>
      </c>
      <c r="E34965" s="5">
        <v>102.4</v>
      </c>
      <c r="F34965" s="5">
        <v>204.5</v>
      </c>
      <c r="G34965" s="5">
        <v>102</v>
      </c>
      <c r="H34965" s="5">
        <v>101.8</v>
      </c>
      <c r="I34965" s="5">
        <v>0</v>
      </c>
      <c r="J34965" s="5">
        <v>0</v>
      </c>
      <c r="K34965" s="5">
        <v>0</v>
      </c>
    </row>
    <row r="34966" spans="1:11" x14ac:dyDescent="0.25">
      <c r="A34966" s="5">
        <f>34959</f>
      </c>
      <c r="B34966" s="5" t="s">
        <v>34974</v>
      </c>
      <c r="C34966" s="5">
        <v>101.9</v>
      </c>
      <c r="D34966" s="5">
        <v>0.1</v>
      </c>
      <c r="E34966" s="5">
        <v>102</v>
      </c>
      <c r="F34966" s="5">
        <v>203.6</v>
      </c>
      <c r="G34966" s="5">
        <v>101.4</v>
      </c>
      <c r="H34966" s="5">
        <v>101.3</v>
      </c>
      <c r="I34966" s="5">
        <v>0</v>
      </c>
      <c r="J34966" s="5">
        <v>0</v>
      </c>
      <c r="K34966" s="5">
        <v>0</v>
      </c>
    </row>
    <row r="34967" spans="1:11" x14ac:dyDescent="0.25">
      <c r="A34967" s="5">
        <f>34960</f>
      </c>
      <c r="B34967" s="5" t="s">
        <v>34975</v>
      </c>
      <c r="C34967" s="5">
        <v>101.9</v>
      </c>
      <c r="D34967" s="5">
        <v>0.1</v>
      </c>
      <c r="E34967" s="5">
        <v>102</v>
      </c>
      <c r="F34967" s="5">
        <v>203.6</v>
      </c>
      <c r="G34967" s="5">
        <v>101.4</v>
      </c>
      <c r="H34967" s="5">
        <v>101.3</v>
      </c>
      <c r="I34967" s="5">
        <v>0</v>
      </c>
      <c r="J34967" s="5">
        <v>0</v>
      </c>
      <c r="K34967" s="5">
        <v>0</v>
      </c>
    </row>
    <row r="34968" spans="1:11" x14ac:dyDescent="0.25">
      <c r="A34968" s="5">
        <f>34961</f>
      </c>
      <c r="B34968" s="5" t="s">
        <v>34976</v>
      </c>
      <c r="C34968" s="5">
        <v>102.7</v>
      </c>
      <c r="D34968" s="5">
        <v>0.1</v>
      </c>
      <c r="E34968" s="5">
        <v>102.9</v>
      </c>
      <c r="F34968" s="5">
        <v>205</v>
      </c>
      <c r="G34968" s="5">
        <v>102.3</v>
      </c>
      <c r="H34968" s="5">
        <v>102.2</v>
      </c>
      <c r="I34968" s="5">
        <v>0</v>
      </c>
      <c r="J34968" s="5">
        <v>0</v>
      </c>
      <c r="K34968" s="5">
        <v>0</v>
      </c>
    </row>
    <row r="34969" spans="1:11" x14ac:dyDescent="0.25">
      <c r="A34969" s="5">
        <f>34962</f>
      </c>
      <c r="B34969" s="5" t="s">
        <v>34977</v>
      </c>
      <c r="C34969" s="5">
        <v>102.7</v>
      </c>
      <c r="D34969" s="5">
        <v>0.1</v>
      </c>
      <c r="E34969" s="5">
        <v>102.9</v>
      </c>
      <c r="F34969" s="5">
        <v>205</v>
      </c>
      <c r="G34969" s="5">
        <v>102.3</v>
      </c>
      <c r="H34969" s="5">
        <v>102.2</v>
      </c>
      <c r="I34969" s="5">
        <v>0</v>
      </c>
      <c r="J34969" s="5">
        <v>0</v>
      </c>
      <c r="K34969" s="5">
        <v>0</v>
      </c>
    </row>
    <row r="34970" spans="1:11" x14ac:dyDescent="0.25">
      <c r="A34970" s="5">
        <f>34963</f>
      </c>
      <c r="B34970" s="5" t="s">
        <v>34978</v>
      </c>
      <c r="C34970" s="5">
        <v>101.9</v>
      </c>
      <c r="D34970" s="5">
        <v>0.1</v>
      </c>
      <c r="E34970" s="5">
        <v>102.1</v>
      </c>
      <c r="F34970" s="5">
        <v>204</v>
      </c>
      <c r="G34970" s="5">
        <v>101.7</v>
      </c>
      <c r="H34970" s="5">
        <v>101.6</v>
      </c>
      <c r="I34970" s="5">
        <v>0</v>
      </c>
      <c r="J34970" s="5">
        <v>0</v>
      </c>
      <c r="K34970" s="5">
        <v>0</v>
      </c>
    </row>
    <row r="34971" spans="1:11" x14ac:dyDescent="0.25">
      <c r="A34971" s="5">
        <f>34964</f>
      </c>
      <c r="B34971" s="5" t="s">
        <v>34979</v>
      </c>
      <c r="C34971" s="5">
        <v>101.9</v>
      </c>
      <c r="D34971" s="5">
        <v>0.1</v>
      </c>
      <c r="E34971" s="5">
        <v>102.1</v>
      </c>
      <c r="F34971" s="5">
        <v>204</v>
      </c>
      <c r="G34971" s="5">
        <v>101.7</v>
      </c>
      <c r="H34971" s="5">
        <v>101.6</v>
      </c>
      <c r="I34971" s="5">
        <v>0</v>
      </c>
      <c r="J34971" s="5">
        <v>0</v>
      </c>
      <c r="K34971" s="5">
        <v>0</v>
      </c>
    </row>
    <row r="34972" spans="1:11" x14ac:dyDescent="0.25">
      <c r="A34972" s="5">
        <f>34965</f>
      </c>
      <c r="B34972" s="5" t="s">
        <v>34980</v>
      </c>
      <c r="C34972" s="5">
        <v>101.7</v>
      </c>
      <c r="D34972" s="5">
        <v>0.1</v>
      </c>
      <c r="E34972" s="5">
        <v>101.8</v>
      </c>
      <c r="F34972" s="5">
        <v>203.6</v>
      </c>
      <c r="G34972" s="5">
        <v>101.6</v>
      </c>
      <c r="H34972" s="5">
        <v>101.4</v>
      </c>
      <c r="I34972" s="5">
        <v>0</v>
      </c>
      <c r="J34972" s="5">
        <v>0</v>
      </c>
      <c r="K34972" s="5">
        <v>0</v>
      </c>
    </row>
    <row r="34973" spans="1:11" x14ac:dyDescent="0.25">
      <c r="A34973" s="5">
        <f>34966</f>
      </c>
      <c r="B34973" s="5" t="s">
        <v>34981</v>
      </c>
      <c r="C34973" s="5">
        <v>101.7</v>
      </c>
      <c r="D34973" s="5">
        <v>0.1</v>
      </c>
      <c r="E34973" s="5">
        <v>101.8</v>
      </c>
      <c r="F34973" s="5">
        <v>203.6</v>
      </c>
      <c r="G34973" s="5">
        <v>101.6</v>
      </c>
      <c r="H34973" s="5">
        <v>101.4</v>
      </c>
      <c r="I34973" s="5">
        <v>0</v>
      </c>
      <c r="J34973" s="5">
        <v>0</v>
      </c>
      <c r="K34973" s="5">
        <v>0</v>
      </c>
    </row>
    <row r="34974" spans="1:11" x14ac:dyDescent="0.25">
      <c r="A34974" s="5">
        <f>34967</f>
      </c>
      <c r="B34974" s="5" t="s">
        <v>34982</v>
      </c>
      <c r="C34974" s="5">
        <v>101.7</v>
      </c>
      <c r="D34974" s="5">
        <v>0.1</v>
      </c>
      <c r="E34974" s="5">
        <v>101.8</v>
      </c>
      <c r="F34974" s="5">
        <v>203.6</v>
      </c>
      <c r="G34974" s="5">
        <v>101.6</v>
      </c>
      <c r="H34974" s="5">
        <v>101.4</v>
      </c>
      <c r="I34974" s="5">
        <v>0</v>
      </c>
      <c r="J34974" s="5">
        <v>0</v>
      </c>
      <c r="K34974" s="5">
        <v>0</v>
      </c>
    </row>
    <row r="34975" spans="1:11" x14ac:dyDescent="0.25">
      <c r="A34975" s="5">
        <f>34968</f>
      </c>
      <c r="B34975" s="5" t="s">
        <v>34983</v>
      </c>
      <c r="C34975" s="5">
        <v>101.7</v>
      </c>
      <c r="D34975" s="5">
        <v>0.1</v>
      </c>
      <c r="E34975" s="5">
        <v>101.8</v>
      </c>
      <c r="F34975" s="5">
        <v>203.6</v>
      </c>
      <c r="G34975" s="5">
        <v>101.6</v>
      </c>
      <c r="H34975" s="5">
        <v>101.4</v>
      </c>
      <c r="I34975" s="5">
        <v>0</v>
      </c>
      <c r="J34975" s="5">
        <v>0</v>
      </c>
      <c r="K34975" s="5">
        <v>0</v>
      </c>
    </row>
    <row r="34976" spans="1:11" x14ac:dyDescent="0.25">
      <c r="A34976" s="5">
        <f>34969</f>
      </c>
      <c r="B34976" s="5" t="s">
        <v>34984</v>
      </c>
      <c r="C34976" s="5">
        <v>100.9</v>
      </c>
      <c r="D34976" s="5">
        <v>0.1</v>
      </c>
      <c r="E34976" s="5">
        <v>101.1</v>
      </c>
      <c r="F34976" s="5">
        <v>203</v>
      </c>
      <c r="G34976" s="5">
        <v>101.3</v>
      </c>
      <c r="H34976" s="5">
        <v>101.3</v>
      </c>
      <c r="I34976" s="5">
        <v>0</v>
      </c>
      <c r="J34976" s="5">
        <v>0</v>
      </c>
      <c r="K34976" s="5">
        <v>0</v>
      </c>
    </row>
    <row r="34977" spans="1:11" x14ac:dyDescent="0.25">
      <c r="A34977" s="5">
        <f>34970</f>
      </c>
      <c r="B34977" s="5" t="s">
        <v>34985</v>
      </c>
      <c r="C34977" s="5">
        <v>100.9</v>
      </c>
      <c r="D34977" s="5">
        <v>0.1</v>
      </c>
      <c r="E34977" s="5">
        <v>101.1</v>
      </c>
      <c r="F34977" s="5">
        <v>203</v>
      </c>
      <c r="G34977" s="5">
        <v>101.3</v>
      </c>
      <c r="H34977" s="5">
        <v>101.3</v>
      </c>
      <c r="I34977" s="5">
        <v>0</v>
      </c>
      <c r="J34977" s="5">
        <v>0</v>
      </c>
      <c r="K34977" s="5">
        <v>0</v>
      </c>
    </row>
    <row r="34978" spans="1:11" x14ac:dyDescent="0.25">
      <c r="A34978" s="5">
        <f>34971</f>
      </c>
      <c r="B34978" s="5" t="s">
        <v>34986</v>
      </c>
      <c r="C34978" s="5">
        <v>102.2</v>
      </c>
      <c r="D34978" s="5">
        <v>0.1</v>
      </c>
      <c r="E34978" s="5">
        <v>102.4</v>
      </c>
      <c r="F34978" s="5">
        <v>204.2</v>
      </c>
      <c r="G34978" s="5">
        <v>101.9</v>
      </c>
      <c r="H34978" s="5">
        <v>101.8</v>
      </c>
      <c r="I34978" s="5">
        <v>0</v>
      </c>
      <c r="J34978" s="5">
        <v>0</v>
      </c>
      <c r="K34978" s="5">
        <v>0</v>
      </c>
    </row>
    <row r="34979" spans="1:11" x14ac:dyDescent="0.25">
      <c r="A34979" s="5">
        <f>34972</f>
      </c>
      <c r="B34979" s="5" t="s">
        <v>34987</v>
      </c>
      <c r="C34979" s="5">
        <v>102.2</v>
      </c>
      <c r="D34979" s="5">
        <v>0.1</v>
      </c>
      <c r="E34979" s="5">
        <v>102.4</v>
      </c>
      <c r="F34979" s="5">
        <v>204.2</v>
      </c>
      <c r="G34979" s="5">
        <v>101.9</v>
      </c>
      <c r="H34979" s="5">
        <v>101.8</v>
      </c>
      <c r="I34979" s="5">
        <v>0</v>
      </c>
      <c r="J34979" s="5">
        <v>0</v>
      </c>
      <c r="K34979" s="5">
        <v>0</v>
      </c>
    </row>
    <row r="34980" spans="1:11" x14ac:dyDescent="0.25">
      <c r="A34980" s="5">
        <f>34973</f>
      </c>
      <c r="B34980" s="5" t="s">
        <v>34988</v>
      </c>
      <c r="C34980" s="5">
        <v>101.8</v>
      </c>
      <c r="D34980" s="5">
        <v>0.1</v>
      </c>
      <c r="E34980" s="5">
        <v>101.8</v>
      </c>
      <c r="F34980" s="5">
        <v>203.4</v>
      </c>
      <c r="G34980" s="5">
        <v>101.4</v>
      </c>
      <c r="H34980" s="5">
        <v>101.2</v>
      </c>
      <c r="I34980" s="5">
        <v>0</v>
      </c>
      <c r="J34980" s="5">
        <v>0</v>
      </c>
      <c r="K34980" s="5">
        <v>0</v>
      </c>
    </row>
    <row r="34981" spans="1:11" x14ac:dyDescent="0.25">
      <c r="A34981" s="5">
        <f>34974</f>
      </c>
      <c r="B34981" s="5" t="s">
        <v>34989</v>
      </c>
      <c r="C34981" s="5">
        <v>101.8</v>
      </c>
      <c r="D34981" s="5">
        <v>0.1</v>
      </c>
      <c r="E34981" s="5">
        <v>101.8</v>
      </c>
      <c r="F34981" s="5">
        <v>203.4</v>
      </c>
      <c r="G34981" s="5">
        <v>101.4</v>
      </c>
      <c r="H34981" s="5">
        <v>101.2</v>
      </c>
      <c r="I34981" s="5">
        <v>0</v>
      </c>
      <c r="J34981" s="5">
        <v>0</v>
      </c>
      <c r="K34981" s="5">
        <v>0</v>
      </c>
    </row>
    <row r="34982" spans="1:11" x14ac:dyDescent="0.25">
      <c r="A34982" s="5">
        <f>34975</f>
      </c>
      <c r="B34982" s="5" t="s">
        <v>34990</v>
      </c>
      <c r="C34982" s="5">
        <v>103.1</v>
      </c>
      <c r="D34982" s="5">
        <v>0.1</v>
      </c>
      <c r="E34982" s="5">
        <v>103.3</v>
      </c>
      <c r="F34982" s="5">
        <v>206.9</v>
      </c>
      <c r="G34982" s="5">
        <v>103.2</v>
      </c>
      <c r="H34982" s="5">
        <v>103</v>
      </c>
      <c r="I34982" s="5">
        <v>0</v>
      </c>
      <c r="J34982" s="5">
        <v>0</v>
      </c>
      <c r="K34982" s="5">
        <v>0</v>
      </c>
    </row>
    <row r="34983" spans="1:11" x14ac:dyDescent="0.25">
      <c r="A34983" s="5">
        <f>34976</f>
      </c>
      <c r="B34983" s="5" t="s">
        <v>34991</v>
      </c>
      <c r="C34983" s="5">
        <v>103.1</v>
      </c>
      <c r="D34983" s="5">
        <v>0.1</v>
      </c>
      <c r="E34983" s="5">
        <v>103.3</v>
      </c>
      <c r="F34983" s="5">
        <v>206.9</v>
      </c>
      <c r="G34983" s="5">
        <v>103.2</v>
      </c>
      <c r="H34983" s="5">
        <v>103</v>
      </c>
      <c r="I34983" s="5">
        <v>0</v>
      </c>
      <c r="J34983" s="5">
        <v>0</v>
      </c>
      <c r="K34983" s="5">
        <v>0</v>
      </c>
    </row>
    <row r="34984" spans="1:11" x14ac:dyDescent="0.25">
      <c r="A34984" s="5">
        <f>34977</f>
      </c>
      <c r="B34984" s="5" t="s">
        <v>34992</v>
      </c>
      <c r="C34984" s="5">
        <v>103.1</v>
      </c>
      <c r="D34984" s="5">
        <v>0.1</v>
      </c>
      <c r="E34984" s="5">
        <v>103.3</v>
      </c>
      <c r="F34984" s="5">
        <v>206.9</v>
      </c>
      <c r="G34984" s="5">
        <v>103.2</v>
      </c>
      <c r="H34984" s="5">
        <v>103</v>
      </c>
      <c r="I34984" s="5">
        <v>0</v>
      </c>
      <c r="J34984" s="5">
        <v>0</v>
      </c>
      <c r="K34984" s="5">
        <v>0</v>
      </c>
    </row>
    <row r="34985" spans="1:11" x14ac:dyDescent="0.25">
      <c r="A34985" s="5">
        <f>34978</f>
      </c>
      <c r="B34985" s="5" t="s">
        <v>34993</v>
      </c>
      <c r="C34985" s="5">
        <v>103.1</v>
      </c>
      <c r="D34985" s="5">
        <v>0.1</v>
      </c>
      <c r="E34985" s="5">
        <v>103.3</v>
      </c>
      <c r="F34985" s="5">
        <v>206.9</v>
      </c>
      <c r="G34985" s="5">
        <v>103.2</v>
      </c>
      <c r="H34985" s="5">
        <v>103</v>
      </c>
      <c r="I34985" s="5">
        <v>0</v>
      </c>
      <c r="J34985" s="5">
        <v>0</v>
      </c>
      <c r="K34985" s="5">
        <v>0</v>
      </c>
    </row>
    <row r="34986" spans="1:11" x14ac:dyDescent="0.25">
      <c r="A34986" s="5">
        <f>34979</f>
      </c>
      <c r="B34986" s="5" t="s">
        <v>34994</v>
      </c>
      <c r="C34986" s="5">
        <v>102.7</v>
      </c>
      <c r="D34986" s="5">
        <v>0.1</v>
      </c>
      <c r="E34986" s="5">
        <v>102.9</v>
      </c>
      <c r="F34986" s="5">
        <v>205.9</v>
      </c>
      <c r="G34986" s="5">
        <v>102.7</v>
      </c>
      <c r="H34986" s="5">
        <v>102.6</v>
      </c>
      <c r="I34986" s="5">
        <v>0</v>
      </c>
      <c r="J34986" s="5">
        <v>0</v>
      </c>
      <c r="K34986" s="5">
        <v>0</v>
      </c>
    </row>
    <row r="34987" spans="1:11" x14ac:dyDescent="0.25">
      <c r="A34987" s="5">
        <f>34980</f>
      </c>
      <c r="B34987" s="5" t="s">
        <v>34995</v>
      </c>
      <c r="C34987" s="5">
        <v>102.7</v>
      </c>
      <c r="D34987" s="5">
        <v>0.1</v>
      </c>
      <c r="E34987" s="5">
        <v>102.9</v>
      </c>
      <c r="F34987" s="5">
        <v>205.9</v>
      </c>
      <c r="G34987" s="5">
        <v>102.7</v>
      </c>
      <c r="H34987" s="5">
        <v>102.6</v>
      </c>
      <c r="I34987" s="5">
        <v>0</v>
      </c>
      <c r="J34987" s="5">
        <v>0</v>
      </c>
      <c r="K34987" s="5">
        <v>0</v>
      </c>
    </row>
    <row r="34988" spans="1:11" x14ac:dyDescent="0.25">
      <c r="A34988" s="5">
        <f>34981</f>
      </c>
      <c r="B34988" s="5" t="s">
        <v>34996</v>
      </c>
      <c r="C34988" s="5">
        <v>103.7</v>
      </c>
      <c r="D34988" s="5">
        <v>0.1</v>
      </c>
      <c r="E34988" s="5">
        <v>103.8</v>
      </c>
      <c r="F34988" s="5">
        <v>207.1</v>
      </c>
      <c r="G34988" s="5">
        <v>103.4</v>
      </c>
      <c r="H34988" s="5">
        <v>103.2</v>
      </c>
      <c r="I34988" s="5">
        <v>0</v>
      </c>
      <c r="J34988" s="5">
        <v>0</v>
      </c>
      <c r="K34988" s="5">
        <v>0</v>
      </c>
    </row>
    <row r="34989" spans="1:11" x14ac:dyDescent="0.25">
      <c r="A34989" s="5">
        <f>34982</f>
      </c>
      <c r="B34989" s="5" t="s">
        <v>34997</v>
      </c>
      <c r="C34989" s="5">
        <v>103.7</v>
      </c>
      <c r="D34989" s="5">
        <v>0.1</v>
      </c>
      <c r="E34989" s="5">
        <v>103.8</v>
      </c>
      <c r="F34989" s="5">
        <v>207.1</v>
      </c>
      <c r="G34989" s="5">
        <v>103.4</v>
      </c>
      <c r="H34989" s="5">
        <v>103.2</v>
      </c>
      <c r="I34989" s="5">
        <v>0</v>
      </c>
      <c r="J34989" s="5">
        <v>0</v>
      </c>
      <c r="K34989" s="5">
        <v>0</v>
      </c>
    </row>
    <row r="34990" spans="1:11" x14ac:dyDescent="0.25">
      <c r="A34990" s="5">
        <f>34983</f>
      </c>
      <c r="B34990" s="5" t="s">
        <v>34998</v>
      </c>
      <c r="C34990" s="5">
        <v>102.9</v>
      </c>
      <c r="D34990" s="5">
        <v>0.1</v>
      </c>
      <c r="E34990" s="5">
        <v>103.1</v>
      </c>
      <c r="F34990" s="5">
        <v>206.1</v>
      </c>
      <c r="G34990" s="5">
        <v>102.8</v>
      </c>
      <c r="H34990" s="5">
        <v>102.8</v>
      </c>
      <c r="I34990" s="5">
        <v>0</v>
      </c>
      <c r="J34990" s="5">
        <v>0</v>
      </c>
      <c r="K34990" s="5">
        <v>0</v>
      </c>
    </row>
    <row r="34991" spans="1:11" x14ac:dyDescent="0.25">
      <c r="A34991" s="5">
        <f>34984</f>
      </c>
      <c r="B34991" s="5" t="s">
        <v>34999</v>
      </c>
      <c r="C34991" s="5">
        <v>102.9</v>
      </c>
      <c r="D34991" s="5">
        <v>0.1</v>
      </c>
      <c r="E34991" s="5">
        <v>103.1</v>
      </c>
      <c r="F34991" s="5">
        <v>206.1</v>
      </c>
      <c r="G34991" s="5">
        <v>102.8</v>
      </c>
      <c r="H34991" s="5">
        <v>102.8</v>
      </c>
      <c r="I34991" s="5">
        <v>0</v>
      </c>
      <c r="J34991" s="5">
        <v>0</v>
      </c>
      <c r="K34991" s="5">
        <v>0</v>
      </c>
    </row>
    <row r="34992" spans="1:11" x14ac:dyDescent="0.25">
      <c r="A34992" s="5">
        <f>34985</f>
      </c>
      <c r="B34992" s="5" t="s">
        <v>35000</v>
      </c>
      <c r="C34992" s="5">
        <v>103.8</v>
      </c>
      <c r="D34992" s="5">
        <v>0.1</v>
      </c>
      <c r="E34992" s="5">
        <v>104</v>
      </c>
      <c r="F34992" s="5">
        <v>207.3</v>
      </c>
      <c r="G34992" s="5">
        <v>103.4</v>
      </c>
      <c r="H34992" s="5">
        <v>103.2</v>
      </c>
      <c r="I34992" s="5">
        <v>0</v>
      </c>
      <c r="J34992" s="5">
        <v>0</v>
      </c>
      <c r="K34992" s="5">
        <v>0</v>
      </c>
    </row>
    <row r="34993" spans="1:11" x14ac:dyDescent="0.25">
      <c r="A34993" s="5">
        <f>34986</f>
      </c>
      <c r="B34993" s="5" t="s">
        <v>35001</v>
      </c>
      <c r="C34993" s="5">
        <v>103.8</v>
      </c>
      <c r="D34993" s="5">
        <v>0.1</v>
      </c>
      <c r="E34993" s="5">
        <v>104</v>
      </c>
      <c r="F34993" s="5">
        <v>207.3</v>
      </c>
      <c r="G34993" s="5">
        <v>103.4</v>
      </c>
      <c r="H34993" s="5">
        <v>103.2</v>
      </c>
      <c r="I34993" s="5">
        <v>0</v>
      </c>
      <c r="J34993" s="5">
        <v>0</v>
      </c>
      <c r="K34993" s="5">
        <v>0</v>
      </c>
    </row>
    <row r="34994" spans="1:11" x14ac:dyDescent="0.25">
      <c r="A34994" s="5">
        <f>34987</f>
      </c>
      <c r="B34994" s="5" t="s">
        <v>35002</v>
      </c>
      <c r="C34994" s="5">
        <v>103.8</v>
      </c>
      <c r="D34994" s="5">
        <v>0.1</v>
      </c>
      <c r="E34994" s="5">
        <v>104</v>
      </c>
      <c r="F34994" s="5">
        <v>207.3</v>
      </c>
      <c r="G34994" s="5">
        <v>103.4</v>
      </c>
      <c r="H34994" s="5">
        <v>103.2</v>
      </c>
      <c r="I34994" s="5">
        <v>0</v>
      </c>
      <c r="J34994" s="5">
        <v>0</v>
      </c>
      <c r="K34994" s="5">
        <v>0</v>
      </c>
    </row>
    <row r="34995" spans="1:11" x14ac:dyDescent="0.25">
      <c r="A34995" s="5">
        <f>34988</f>
      </c>
      <c r="B34995" s="5" t="s">
        <v>35003</v>
      </c>
      <c r="C34995" s="5">
        <v>103.8</v>
      </c>
      <c r="D34995" s="5">
        <v>0.1</v>
      </c>
      <c r="E34995" s="5">
        <v>104</v>
      </c>
      <c r="F34995" s="5">
        <v>207.3</v>
      </c>
      <c r="G34995" s="5">
        <v>103.4</v>
      </c>
      <c r="H34995" s="5">
        <v>103.2</v>
      </c>
      <c r="I34995" s="5">
        <v>0</v>
      </c>
      <c r="J34995" s="5">
        <v>0</v>
      </c>
      <c r="K34995" s="5">
        <v>0</v>
      </c>
    </row>
    <row r="34996" spans="1:11" x14ac:dyDescent="0.25">
      <c r="A34996" s="5">
        <f>34989</f>
      </c>
      <c r="B34996" s="5" t="s">
        <v>35004</v>
      </c>
      <c r="C34996" s="5">
        <v>102.1</v>
      </c>
      <c r="D34996" s="5">
        <v>0.1</v>
      </c>
      <c r="E34996" s="5">
        <v>102.2</v>
      </c>
      <c r="F34996" s="5">
        <v>204.7</v>
      </c>
      <c r="G34996" s="5">
        <v>102.1</v>
      </c>
      <c r="H34996" s="5">
        <v>101.9</v>
      </c>
      <c r="I34996" s="5">
        <v>0</v>
      </c>
      <c r="J34996" s="5">
        <v>0</v>
      </c>
      <c r="K34996" s="5">
        <v>0</v>
      </c>
    </row>
    <row r="34997" spans="1:11" x14ac:dyDescent="0.25">
      <c r="A34997" s="5">
        <f>34990</f>
      </c>
      <c r="B34997" s="5" t="s">
        <v>35005</v>
      </c>
      <c r="C34997" s="5">
        <v>102.1</v>
      </c>
      <c r="D34997" s="5">
        <v>0.1</v>
      </c>
      <c r="E34997" s="5">
        <v>102.2</v>
      </c>
      <c r="F34997" s="5">
        <v>204.7</v>
      </c>
      <c r="G34997" s="5">
        <v>102.1</v>
      </c>
      <c r="H34997" s="5">
        <v>101.9</v>
      </c>
      <c r="I34997" s="5">
        <v>0</v>
      </c>
      <c r="J34997" s="5">
        <v>0</v>
      </c>
      <c r="K34997" s="5">
        <v>0</v>
      </c>
    </row>
    <row r="34998" spans="1:11" x14ac:dyDescent="0.25">
      <c r="A34998" s="5">
        <f>34991</f>
      </c>
      <c r="B34998" s="5" t="s">
        <v>35006</v>
      </c>
      <c r="C34998" s="5">
        <v>102.4</v>
      </c>
      <c r="D34998" s="5">
        <v>0.1</v>
      </c>
      <c r="E34998" s="5">
        <v>102.6</v>
      </c>
      <c r="F34998" s="5">
        <v>204.9</v>
      </c>
      <c r="G34998" s="5">
        <v>102.2</v>
      </c>
      <c r="H34998" s="5">
        <v>102.1</v>
      </c>
      <c r="I34998" s="5">
        <v>0</v>
      </c>
      <c r="J34998" s="5">
        <v>0</v>
      </c>
      <c r="K34998" s="5">
        <v>0</v>
      </c>
    </row>
    <row r="34999" spans="1:11" x14ac:dyDescent="0.25">
      <c r="A34999" s="5">
        <f>34992</f>
      </c>
      <c r="B34999" s="5" t="s">
        <v>35007</v>
      </c>
      <c r="C34999" s="5">
        <v>103.2</v>
      </c>
      <c r="D34999" s="5">
        <v>0.1</v>
      </c>
      <c r="E34999" s="5">
        <v>103.4</v>
      </c>
      <c r="F34999" s="5">
        <v>206.5</v>
      </c>
      <c r="G34999" s="5">
        <v>103</v>
      </c>
      <c r="H34999" s="5">
        <v>102.9</v>
      </c>
      <c r="I34999" s="5">
        <v>0</v>
      </c>
      <c r="J34999" s="5">
        <v>0</v>
      </c>
      <c r="K34999" s="5">
        <v>0</v>
      </c>
    </row>
    <row r="35000" spans="1:11" x14ac:dyDescent="0.25">
      <c r="A35000" s="5">
        <f>34993</f>
      </c>
      <c r="B35000" s="5" t="s">
        <v>35008</v>
      </c>
      <c r="C35000" s="5">
        <v>103.2</v>
      </c>
      <c r="D35000" s="5">
        <v>0.1</v>
      </c>
      <c r="E35000" s="5">
        <v>102.8</v>
      </c>
      <c r="F35000" s="5">
        <v>206.1</v>
      </c>
      <c r="G35000" s="5">
        <v>102.8</v>
      </c>
      <c r="H35000" s="5">
        <v>102.6</v>
      </c>
      <c r="I35000" s="5">
        <v>0</v>
      </c>
      <c r="J35000" s="5">
        <v>0</v>
      </c>
      <c r="K35000" s="5">
        <v>0</v>
      </c>
    </row>
    <row r="35001" spans="1:11" x14ac:dyDescent="0.25">
      <c r="A35001" s="5">
        <f>34994</f>
      </c>
      <c r="B35001" s="5" t="s">
        <v>35009</v>
      </c>
      <c r="C35001" s="5">
        <v>102.7</v>
      </c>
      <c r="D35001" s="5">
        <v>0.1</v>
      </c>
      <c r="E35001" s="5">
        <v>102.8</v>
      </c>
      <c r="F35001" s="5">
        <v>206.1</v>
      </c>
      <c r="G35001" s="5">
        <v>102.8</v>
      </c>
      <c r="H35001" s="5">
        <v>102.6</v>
      </c>
      <c r="I35001" s="5">
        <v>0</v>
      </c>
      <c r="J35001" s="5">
        <v>0</v>
      </c>
      <c r="K35001" s="5">
        <v>0</v>
      </c>
    </row>
    <row r="35002" spans="1:11" x14ac:dyDescent="0.25">
      <c r="A35002" s="5">
        <f>34995</f>
      </c>
      <c r="B35002" s="5" t="s">
        <v>35010</v>
      </c>
      <c r="C35002" s="5">
        <v>102.7</v>
      </c>
      <c r="D35002" s="5">
        <v>0.1</v>
      </c>
      <c r="E35002" s="5">
        <v>102.8</v>
      </c>
      <c r="F35002" s="5">
        <v>206.1</v>
      </c>
      <c r="G35002" s="5">
        <v>102.8</v>
      </c>
      <c r="H35002" s="5">
        <v>102.6</v>
      </c>
      <c r="I35002" s="5">
        <v>0</v>
      </c>
      <c r="J35002" s="5">
        <v>0</v>
      </c>
      <c r="K35002" s="5">
        <v>0</v>
      </c>
    </row>
    <row r="35003" spans="1:11" x14ac:dyDescent="0.25">
      <c r="A35003" s="5">
        <f>34996</f>
      </c>
      <c r="B35003" s="5" t="s">
        <v>35011</v>
      </c>
      <c r="C35003" s="5">
        <v>102.7</v>
      </c>
      <c r="D35003" s="5">
        <v>0.1</v>
      </c>
      <c r="E35003" s="5">
        <v>102.8</v>
      </c>
      <c r="F35003" s="5">
        <v>206.1</v>
      </c>
      <c r="G35003" s="5">
        <v>102.8</v>
      </c>
      <c r="H35003" s="5">
        <v>102.6</v>
      </c>
      <c r="I35003" s="5">
        <v>0</v>
      </c>
      <c r="J35003" s="5">
        <v>0</v>
      </c>
      <c r="K35003" s="5">
        <v>0</v>
      </c>
    </row>
    <row r="35004" spans="1:11" x14ac:dyDescent="0.25">
      <c r="A35004" s="5">
        <f>34997</f>
      </c>
      <c r="B35004" s="5" t="s">
        <v>35012</v>
      </c>
      <c r="C35004" s="5">
        <v>103.3</v>
      </c>
      <c r="D35004" s="5">
        <v>0.1</v>
      </c>
      <c r="E35004" s="5">
        <v>103.4</v>
      </c>
      <c r="F35004" s="5">
        <v>205.3</v>
      </c>
      <c r="G35004" s="5">
        <v>102.5</v>
      </c>
      <c r="H35004" s="5">
        <v>102.4</v>
      </c>
      <c r="I35004" s="5">
        <v>0</v>
      </c>
      <c r="J35004" s="5">
        <v>0</v>
      </c>
      <c r="K35004" s="5">
        <v>0</v>
      </c>
    </row>
    <row r="35005" spans="1:11" x14ac:dyDescent="0.25">
      <c r="A35005" s="5">
        <f>34998</f>
      </c>
      <c r="B35005" s="5" t="s">
        <v>35013</v>
      </c>
      <c r="C35005" s="5">
        <v>103.3</v>
      </c>
      <c r="D35005" s="5">
        <v>0.1</v>
      </c>
      <c r="E35005" s="5">
        <v>103.4</v>
      </c>
      <c r="F35005" s="5">
        <v>205.3</v>
      </c>
      <c r="G35005" s="5">
        <v>102.5</v>
      </c>
      <c r="H35005" s="5">
        <v>102.4</v>
      </c>
      <c r="I35005" s="5">
        <v>0</v>
      </c>
      <c r="J35005" s="5">
        <v>0</v>
      </c>
      <c r="K35005" s="5">
        <v>0</v>
      </c>
    </row>
    <row r="35006" spans="1:11" x14ac:dyDescent="0.25">
      <c r="A35006" s="5">
        <f>34999</f>
      </c>
      <c r="B35006" s="5" t="s">
        <v>35014</v>
      </c>
      <c r="C35006" s="5">
        <v>102.4</v>
      </c>
      <c r="D35006" s="5">
        <v>0.1</v>
      </c>
      <c r="E35006" s="5">
        <v>102.4</v>
      </c>
      <c r="F35006" s="5">
        <v>203.8</v>
      </c>
      <c r="G35006" s="5">
        <v>101.7</v>
      </c>
      <c r="H35006" s="5">
        <v>101.6</v>
      </c>
      <c r="I35006" s="5">
        <v>0</v>
      </c>
      <c r="J35006" s="5">
        <v>0</v>
      </c>
      <c r="K35006" s="5">
        <v>0</v>
      </c>
    </row>
    <row r="35007" spans="1:11" x14ac:dyDescent="0.25">
      <c r="A35007" s="5">
        <f>35000</f>
      </c>
      <c r="B35007" s="5" t="s">
        <v>35015</v>
      </c>
      <c r="C35007" s="5">
        <v>102.4</v>
      </c>
      <c r="D35007" s="5">
        <v>0.1</v>
      </c>
      <c r="E35007" s="5">
        <v>102.4</v>
      </c>
      <c r="F35007" s="5">
        <v>203.8</v>
      </c>
      <c r="G35007" s="5">
        <v>101.7</v>
      </c>
      <c r="H35007" s="5">
        <v>101.6</v>
      </c>
      <c r="I35007" s="5">
        <v>0</v>
      </c>
      <c r="J35007" s="5">
        <v>0</v>
      </c>
      <c r="K35007" s="5">
        <v>0</v>
      </c>
    </row>
    <row r="35008" spans="1:11" x14ac:dyDescent="0.25">
      <c r="A35008" s="5">
        <f>35001</f>
      </c>
      <c r="B35008" s="5" t="s">
        <v>35016</v>
      </c>
      <c r="C35008" s="5">
        <v>102.6</v>
      </c>
      <c r="D35008" s="5">
        <v>0.1</v>
      </c>
      <c r="E35008" s="5">
        <v>102.7</v>
      </c>
      <c r="F35008" s="5">
        <v>204.6</v>
      </c>
      <c r="G35008" s="5">
        <v>102.1</v>
      </c>
      <c r="H35008" s="5">
        <v>101.9</v>
      </c>
      <c r="I35008" s="5">
        <v>0</v>
      </c>
      <c r="J35008" s="5">
        <v>0</v>
      </c>
      <c r="K35008" s="5">
        <v>0</v>
      </c>
    </row>
    <row r="35009" spans="1:11" x14ac:dyDescent="0.25">
      <c r="A35009" s="5">
        <f>35002</f>
      </c>
      <c r="B35009" s="5" t="s">
        <v>35017</v>
      </c>
      <c r="C35009" s="5">
        <v>102.6</v>
      </c>
      <c r="D35009" s="5">
        <v>0.1</v>
      </c>
      <c r="E35009" s="5">
        <v>102.7</v>
      </c>
      <c r="F35009" s="5">
        <v>204.6</v>
      </c>
      <c r="G35009" s="5">
        <v>102.1</v>
      </c>
      <c r="H35009" s="5">
        <v>101.9</v>
      </c>
      <c r="I35009" s="5">
        <v>0</v>
      </c>
      <c r="J35009" s="5">
        <v>0</v>
      </c>
      <c r="K35009" s="5">
        <v>0</v>
      </c>
    </row>
    <row r="35010" spans="1:11" x14ac:dyDescent="0.25">
      <c r="A35010" s="5">
        <f>35003</f>
      </c>
      <c r="B35010" s="5" t="s">
        <v>35018</v>
      </c>
      <c r="C35010" s="5">
        <v>102.4</v>
      </c>
      <c r="D35010" s="5">
        <v>0.1</v>
      </c>
      <c r="E35010" s="5">
        <v>102.5</v>
      </c>
      <c r="F35010" s="5">
        <v>204.4</v>
      </c>
      <c r="G35010" s="5">
        <v>102</v>
      </c>
      <c r="H35010" s="5">
        <v>101.8</v>
      </c>
      <c r="I35010" s="5">
        <v>0</v>
      </c>
      <c r="J35010" s="5">
        <v>0</v>
      </c>
      <c r="K35010" s="5">
        <v>0</v>
      </c>
    </row>
    <row r="35011" spans="1:11" x14ac:dyDescent="0.25">
      <c r="A35011" s="5">
        <f>35004</f>
      </c>
      <c r="B35011" s="5" t="s">
        <v>35019</v>
      </c>
      <c r="C35011" s="5">
        <v>102.4</v>
      </c>
      <c r="D35011" s="5">
        <v>0.1</v>
      </c>
      <c r="E35011" s="5">
        <v>102.5</v>
      </c>
      <c r="F35011" s="5">
        <v>204.4</v>
      </c>
      <c r="G35011" s="5">
        <v>102</v>
      </c>
      <c r="H35011" s="5">
        <v>101.8</v>
      </c>
      <c r="I35011" s="5">
        <v>0</v>
      </c>
      <c r="J35011" s="5">
        <v>0</v>
      </c>
      <c r="K35011" s="5">
        <v>0</v>
      </c>
    </row>
    <row r="35012" spans="1:11" x14ac:dyDescent="0.25">
      <c r="A35012" s="5">
        <f>35005</f>
      </c>
      <c r="B35012" s="5" t="s">
        <v>35020</v>
      </c>
      <c r="C35012" s="5">
        <v>102.4</v>
      </c>
      <c r="D35012" s="5">
        <v>0.1</v>
      </c>
      <c r="E35012" s="5">
        <v>102.5</v>
      </c>
      <c r="F35012" s="5">
        <v>204.4</v>
      </c>
      <c r="G35012" s="5">
        <v>102</v>
      </c>
      <c r="H35012" s="5">
        <v>101.8</v>
      </c>
      <c r="I35012" s="5">
        <v>0</v>
      </c>
      <c r="J35012" s="5">
        <v>0</v>
      </c>
      <c r="K35012" s="5">
        <v>0</v>
      </c>
    </row>
    <row r="35013" spans="1:11" x14ac:dyDescent="0.25">
      <c r="A35013" s="5">
        <f>35006</f>
      </c>
      <c r="B35013" s="5" t="s">
        <v>35021</v>
      </c>
      <c r="C35013" s="5">
        <v>103.5</v>
      </c>
      <c r="D35013" s="5">
        <v>0.1</v>
      </c>
      <c r="E35013" s="5">
        <v>103.7</v>
      </c>
      <c r="F35013" s="5">
        <v>206.9</v>
      </c>
      <c r="G35013" s="5">
        <v>103.3</v>
      </c>
      <c r="H35013" s="5">
        <v>103.1</v>
      </c>
      <c r="I35013" s="5">
        <v>0</v>
      </c>
      <c r="J35013" s="5">
        <v>0</v>
      </c>
      <c r="K35013" s="5">
        <v>0</v>
      </c>
    </row>
    <row r="35014" spans="1:11" x14ac:dyDescent="0.25">
      <c r="A35014" s="5">
        <f>35007</f>
      </c>
      <c r="B35014" s="5" t="s">
        <v>35022</v>
      </c>
      <c r="C35014" s="5">
        <v>102.8</v>
      </c>
      <c r="D35014" s="5">
        <v>0.1</v>
      </c>
      <c r="E35014" s="5">
        <v>103</v>
      </c>
      <c r="F35014" s="5">
        <v>205.6</v>
      </c>
      <c r="G35014" s="5">
        <v>102.6</v>
      </c>
      <c r="H35014" s="5">
        <v>102.5</v>
      </c>
      <c r="I35014" s="5">
        <v>0</v>
      </c>
      <c r="J35014" s="5">
        <v>0</v>
      </c>
      <c r="K35014" s="5">
        <v>0</v>
      </c>
    </row>
    <row r="35015" spans="1:11" x14ac:dyDescent="0.25">
      <c r="A35015" s="5">
        <f>35008</f>
      </c>
      <c r="B35015" s="5" t="s">
        <v>35023</v>
      </c>
      <c r="C35015" s="5">
        <v>102.8</v>
      </c>
      <c r="D35015" s="5">
        <v>0.1</v>
      </c>
      <c r="E35015" s="5">
        <v>103</v>
      </c>
      <c r="F35015" s="5">
        <v>205.6</v>
      </c>
      <c r="G35015" s="5">
        <v>102.6</v>
      </c>
      <c r="H35015" s="5">
        <v>102.5</v>
      </c>
      <c r="I35015" s="5">
        <v>0</v>
      </c>
      <c r="J35015" s="5">
        <v>0</v>
      </c>
      <c r="K35015" s="5">
        <v>0</v>
      </c>
    </row>
    <row r="35016" spans="1:11" x14ac:dyDescent="0.25">
      <c r="A35016" s="5">
        <f>35009</f>
      </c>
      <c r="B35016" s="5" t="s">
        <v>35024</v>
      </c>
      <c r="C35016" s="5">
        <v>103</v>
      </c>
      <c r="D35016" s="5">
        <v>0.1</v>
      </c>
      <c r="E35016" s="5">
        <v>103.1</v>
      </c>
      <c r="F35016" s="5">
        <v>206.9</v>
      </c>
      <c r="G35016" s="5">
        <v>103.2</v>
      </c>
      <c r="H35016" s="5">
        <v>103</v>
      </c>
      <c r="I35016" s="5">
        <v>0</v>
      </c>
      <c r="J35016" s="5">
        <v>0</v>
      </c>
      <c r="K35016" s="5">
        <v>0</v>
      </c>
    </row>
    <row r="35017" spans="1:11" x14ac:dyDescent="0.25">
      <c r="A35017" s="5">
        <f>35010</f>
      </c>
      <c r="B35017" s="5" t="s">
        <v>35025</v>
      </c>
      <c r="C35017" s="5">
        <v>103</v>
      </c>
      <c r="D35017" s="5">
        <v>0.1</v>
      </c>
      <c r="E35017" s="5">
        <v>103.1</v>
      </c>
      <c r="F35017" s="5">
        <v>206.9</v>
      </c>
      <c r="G35017" s="5">
        <v>103.2</v>
      </c>
      <c r="H35017" s="5">
        <v>103</v>
      </c>
      <c r="I35017" s="5">
        <v>0</v>
      </c>
      <c r="J35017" s="5">
        <v>0</v>
      </c>
      <c r="K35017" s="5">
        <v>0</v>
      </c>
    </row>
    <row r="35018" spans="1:11" x14ac:dyDescent="0.25">
      <c r="A35018" s="5">
        <f>35011</f>
      </c>
      <c r="B35018" s="5" t="s">
        <v>35026</v>
      </c>
      <c r="C35018" s="5">
        <v>103.2</v>
      </c>
      <c r="D35018" s="5">
        <v>0.1</v>
      </c>
      <c r="E35018" s="5">
        <v>103.4</v>
      </c>
      <c r="F35018" s="5">
        <v>206.2</v>
      </c>
      <c r="G35018" s="5">
        <v>102.9</v>
      </c>
      <c r="H35018" s="5">
        <v>102.8</v>
      </c>
      <c r="I35018" s="5">
        <v>0</v>
      </c>
      <c r="J35018" s="5">
        <v>0</v>
      </c>
      <c r="K35018" s="5">
        <v>0</v>
      </c>
    </row>
    <row r="35019" spans="1:11" x14ac:dyDescent="0.25">
      <c r="A35019" s="5">
        <f>35012</f>
      </c>
      <c r="B35019" s="5" t="s">
        <v>35027</v>
      </c>
      <c r="C35019" s="5">
        <v>103.2</v>
      </c>
      <c r="D35019" s="5">
        <v>0.1</v>
      </c>
      <c r="E35019" s="5">
        <v>103.4</v>
      </c>
      <c r="F35019" s="5">
        <v>206.2</v>
      </c>
      <c r="G35019" s="5">
        <v>102.9</v>
      </c>
      <c r="H35019" s="5">
        <v>102.8</v>
      </c>
      <c r="I35019" s="5">
        <v>0</v>
      </c>
      <c r="J35019" s="5">
        <v>0</v>
      </c>
      <c r="K35019" s="5">
        <v>0</v>
      </c>
    </row>
    <row r="35020" spans="1:11" x14ac:dyDescent="0.25">
      <c r="A35020" s="5">
        <f>35013</f>
      </c>
      <c r="B35020" s="5" t="s">
        <v>35028</v>
      </c>
      <c r="C35020" s="5">
        <v>103.2</v>
      </c>
      <c r="D35020" s="5">
        <v>0.1</v>
      </c>
      <c r="E35020" s="5">
        <v>103.4</v>
      </c>
      <c r="F35020" s="5">
        <v>206.2</v>
      </c>
      <c r="G35020" s="5">
        <v>102.9</v>
      </c>
      <c r="H35020" s="5">
        <v>102.8</v>
      </c>
      <c r="I35020" s="5">
        <v>0</v>
      </c>
      <c r="J35020" s="5">
        <v>0</v>
      </c>
      <c r="K35020" s="5">
        <v>0</v>
      </c>
    </row>
    <row r="35021" spans="1:11" x14ac:dyDescent="0.25">
      <c r="A35021" s="5">
        <f>35014</f>
      </c>
      <c r="B35021" s="5" t="s">
        <v>35029</v>
      </c>
      <c r="C35021" s="5">
        <v>103.2</v>
      </c>
      <c r="D35021" s="5">
        <v>0.1</v>
      </c>
      <c r="E35021" s="5">
        <v>103.4</v>
      </c>
      <c r="F35021" s="5">
        <v>206.2</v>
      </c>
      <c r="G35021" s="5">
        <v>102.9</v>
      </c>
      <c r="H35021" s="5">
        <v>102.8</v>
      </c>
      <c r="I35021" s="5">
        <v>0</v>
      </c>
      <c r="J35021" s="5">
        <v>0</v>
      </c>
      <c r="K35021" s="5">
        <v>0</v>
      </c>
    </row>
    <row r="35022" spans="1:11" x14ac:dyDescent="0.25">
      <c r="A35022" s="5">
        <f>35015</f>
      </c>
      <c r="B35022" s="5" t="s">
        <v>35030</v>
      </c>
      <c r="C35022" s="5">
        <v>103.8</v>
      </c>
      <c r="D35022" s="5">
        <v>0.1</v>
      </c>
      <c r="E35022" s="5">
        <v>103.9</v>
      </c>
      <c r="F35022" s="5">
        <v>206.6</v>
      </c>
      <c r="G35022" s="5">
        <v>103.1</v>
      </c>
      <c r="H35022" s="5">
        <v>102.9</v>
      </c>
      <c r="I35022" s="5">
        <v>0</v>
      </c>
      <c r="J35022" s="5">
        <v>0</v>
      </c>
      <c r="K35022" s="5">
        <v>0</v>
      </c>
    </row>
    <row r="35023" spans="1:11" x14ac:dyDescent="0.25">
      <c r="A35023" s="5">
        <f>35016</f>
      </c>
      <c r="B35023" s="5" t="s">
        <v>35031</v>
      </c>
      <c r="C35023" s="5">
        <v>101.9</v>
      </c>
      <c r="D35023" s="5">
        <v>0.1</v>
      </c>
      <c r="E35023" s="5">
        <v>102</v>
      </c>
      <c r="F35023" s="5">
        <v>203.1</v>
      </c>
      <c r="G35023" s="5">
        <v>101.3</v>
      </c>
      <c r="H35023" s="5">
        <v>101.2</v>
      </c>
      <c r="I35023" s="5">
        <v>0</v>
      </c>
      <c r="J35023" s="5">
        <v>0</v>
      </c>
      <c r="K35023" s="5">
        <v>0</v>
      </c>
    </row>
    <row r="35024" spans="1:11" x14ac:dyDescent="0.25">
      <c r="A35024" s="5">
        <f>35017</f>
      </c>
      <c r="B35024" s="5" t="s">
        <v>35032</v>
      </c>
      <c r="C35024" s="5">
        <v>101.9</v>
      </c>
      <c r="D35024" s="5">
        <v>0.1</v>
      </c>
      <c r="E35024" s="5">
        <v>102</v>
      </c>
      <c r="F35024" s="5">
        <v>203.1</v>
      </c>
      <c r="G35024" s="5">
        <v>101.3</v>
      </c>
      <c r="H35024" s="5">
        <v>101.2</v>
      </c>
      <c r="I35024" s="5">
        <v>0</v>
      </c>
      <c r="J35024" s="5">
        <v>0</v>
      </c>
      <c r="K35024" s="5">
        <v>0</v>
      </c>
    </row>
    <row r="35025" spans="1:11" x14ac:dyDescent="0.25">
      <c r="A35025" s="5">
        <f>35018</f>
      </c>
      <c r="B35025" s="5" t="s">
        <v>35033</v>
      </c>
      <c r="C35025" s="5">
        <v>101.1</v>
      </c>
      <c r="D35025" s="5">
        <v>0.1</v>
      </c>
      <c r="E35025" s="5">
        <v>101.2</v>
      </c>
      <c r="F35025" s="5">
        <v>201.8</v>
      </c>
      <c r="G35025" s="5">
        <v>100.7</v>
      </c>
      <c r="H35025" s="5">
        <v>100.6</v>
      </c>
      <c r="I35025" s="5">
        <v>0</v>
      </c>
      <c r="J35025" s="5">
        <v>0</v>
      </c>
      <c r="K35025" s="5">
        <v>0</v>
      </c>
    </row>
    <row r="35026" spans="1:11" x14ac:dyDescent="0.25">
      <c r="A35026" s="5">
        <f>35019</f>
      </c>
      <c r="B35026" s="5" t="s">
        <v>35034</v>
      </c>
      <c r="C35026" s="5">
        <v>101.1</v>
      </c>
      <c r="D35026" s="5">
        <v>0.1</v>
      </c>
      <c r="E35026" s="5">
        <v>101.2</v>
      </c>
      <c r="F35026" s="5">
        <v>201.8</v>
      </c>
      <c r="G35026" s="5">
        <v>100.7</v>
      </c>
      <c r="H35026" s="5">
        <v>100.6</v>
      </c>
      <c r="I35026" s="5">
        <v>0</v>
      </c>
      <c r="J35026" s="5">
        <v>0</v>
      </c>
      <c r="K35026" s="5">
        <v>0</v>
      </c>
    </row>
    <row r="35027" spans="1:11" x14ac:dyDescent="0.25">
      <c r="A35027" s="5">
        <f>35020</f>
      </c>
      <c r="B35027" s="5" t="s">
        <v>35035</v>
      </c>
      <c r="C35027" s="5">
        <v>101.1</v>
      </c>
      <c r="D35027" s="5">
        <v>0.1</v>
      </c>
      <c r="E35027" s="5">
        <v>101.2</v>
      </c>
      <c r="F35027" s="5">
        <v>201.8</v>
      </c>
      <c r="G35027" s="5">
        <v>100.7</v>
      </c>
      <c r="H35027" s="5">
        <v>100.6</v>
      </c>
      <c r="I35027" s="5">
        <v>0</v>
      </c>
      <c r="J35027" s="5">
        <v>0</v>
      </c>
      <c r="K35027" s="5">
        <v>0</v>
      </c>
    </row>
    <row r="35028" spans="1:11" x14ac:dyDescent="0.25">
      <c r="A35028" s="5">
        <f>35021</f>
      </c>
      <c r="B35028" s="5" t="s">
        <v>35036</v>
      </c>
      <c r="C35028" s="5">
        <v>101.1</v>
      </c>
      <c r="D35028" s="5">
        <v>0.1</v>
      </c>
      <c r="E35028" s="5">
        <v>101.2</v>
      </c>
      <c r="F35028" s="5">
        <v>201.8</v>
      </c>
      <c r="G35028" s="5">
        <v>100.7</v>
      </c>
      <c r="H35028" s="5">
        <v>100.6</v>
      </c>
      <c r="I35028" s="5">
        <v>0</v>
      </c>
      <c r="J35028" s="5">
        <v>0</v>
      </c>
      <c r="K35028" s="5">
        <v>0</v>
      </c>
    </row>
    <row r="35029" spans="1:11" x14ac:dyDescent="0.25">
      <c r="A35029" s="5">
        <f>35022</f>
      </c>
      <c r="B35029" s="5" t="s">
        <v>35037</v>
      </c>
      <c r="C35029" s="5">
        <v>102.6</v>
      </c>
      <c r="D35029" s="5">
        <v>0.1</v>
      </c>
      <c r="E35029" s="5">
        <v>102.7</v>
      </c>
      <c r="F35029" s="5">
        <v>204</v>
      </c>
      <c r="G35029" s="5">
        <v>101.8</v>
      </c>
      <c r="H35029" s="5">
        <v>101.6</v>
      </c>
      <c r="I35029" s="5">
        <v>0</v>
      </c>
      <c r="J35029" s="5">
        <v>0</v>
      </c>
      <c r="K35029" s="5">
        <v>0</v>
      </c>
    </row>
    <row r="35030" spans="1:11" x14ac:dyDescent="0.25">
      <c r="A35030" s="5">
        <f>35023</f>
      </c>
      <c r="B35030" s="5" t="s">
        <v>35038</v>
      </c>
      <c r="C35030" s="5">
        <v>102.6</v>
      </c>
      <c r="D35030" s="5">
        <v>0.1</v>
      </c>
      <c r="E35030" s="5">
        <v>102.7</v>
      </c>
      <c r="F35030" s="5">
        <v>204</v>
      </c>
      <c r="G35030" s="5">
        <v>101.8</v>
      </c>
      <c r="H35030" s="5">
        <v>101.6</v>
      </c>
      <c r="I35030" s="5">
        <v>0</v>
      </c>
      <c r="J35030" s="5">
        <v>0</v>
      </c>
      <c r="K35030" s="5">
        <v>0</v>
      </c>
    </row>
    <row r="35031" spans="1:11" x14ac:dyDescent="0.25">
      <c r="A35031" s="5">
        <f>35024</f>
      </c>
      <c r="B35031" s="5" t="s">
        <v>35039</v>
      </c>
      <c r="C35031" s="5">
        <v>101.9</v>
      </c>
      <c r="D35031" s="5">
        <v>0.1</v>
      </c>
      <c r="E35031" s="5">
        <v>102.1</v>
      </c>
      <c r="F35031" s="5">
        <v>203.4</v>
      </c>
      <c r="G35031" s="5">
        <v>101.5</v>
      </c>
      <c r="H35031" s="5">
        <v>101.4</v>
      </c>
      <c r="I35031" s="5">
        <v>0</v>
      </c>
      <c r="J35031" s="5">
        <v>0</v>
      </c>
      <c r="K35031" s="5">
        <v>0</v>
      </c>
    </row>
    <row r="35032" spans="1:11" x14ac:dyDescent="0.25">
      <c r="A35032" s="5">
        <f>35025</f>
      </c>
      <c r="B35032" s="5" t="s">
        <v>35040</v>
      </c>
      <c r="C35032" s="5">
        <v>101.9</v>
      </c>
      <c r="D35032" s="5">
        <v>0.1</v>
      </c>
      <c r="E35032" s="5">
        <v>102.1</v>
      </c>
      <c r="F35032" s="5">
        <v>203.4</v>
      </c>
      <c r="G35032" s="5">
        <v>101.5</v>
      </c>
      <c r="H35032" s="5">
        <v>101.4</v>
      </c>
      <c r="I35032" s="5">
        <v>0</v>
      </c>
      <c r="J35032" s="5">
        <v>0</v>
      </c>
      <c r="K35032" s="5">
        <v>0</v>
      </c>
    </row>
    <row r="35033" spans="1:11" x14ac:dyDescent="0.25">
      <c r="A35033" s="5">
        <f>35026</f>
      </c>
      <c r="B35033" s="5" t="s">
        <v>35041</v>
      </c>
      <c r="C35033" s="5">
        <v>100.6</v>
      </c>
      <c r="D35033" s="5">
        <v>0.1</v>
      </c>
      <c r="E35033" s="5">
        <v>100.7</v>
      </c>
      <c r="F35033" s="5">
        <v>201.8</v>
      </c>
      <c r="G35033" s="5">
        <v>100.6</v>
      </c>
      <c r="H35033" s="5">
        <v>100.4</v>
      </c>
      <c r="I35033" s="5">
        <v>0</v>
      </c>
      <c r="J35033" s="5">
        <v>0</v>
      </c>
      <c r="K35033" s="5">
        <v>0</v>
      </c>
    </row>
    <row r="35034" spans="1:11" x14ac:dyDescent="0.25">
      <c r="A35034" s="5">
        <f>35027</f>
      </c>
      <c r="B35034" s="5" t="s">
        <v>35042</v>
      </c>
      <c r="C35034" s="5">
        <v>100.6</v>
      </c>
      <c r="D35034" s="5">
        <v>0.1</v>
      </c>
      <c r="E35034" s="5">
        <v>100.7</v>
      </c>
      <c r="F35034" s="5">
        <v>201.8</v>
      </c>
      <c r="G35034" s="5">
        <v>100.6</v>
      </c>
      <c r="H35034" s="5">
        <v>100.4</v>
      </c>
      <c r="I35034" s="5">
        <v>0</v>
      </c>
      <c r="J35034" s="5">
        <v>0</v>
      </c>
      <c r="K35034" s="5">
        <v>0</v>
      </c>
    </row>
    <row r="35035" spans="1:11" x14ac:dyDescent="0.25">
      <c r="A35035" s="5">
        <f>35028</f>
      </c>
      <c r="B35035" s="5" t="s">
        <v>35043</v>
      </c>
      <c r="C35035" s="5">
        <v>101.1</v>
      </c>
      <c r="D35035" s="5">
        <v>0.1</v>
      </c>
      <c r="E35035" s="5">
        <v>101.3</v>
      </c>
      <c r="F35035" s="5">
        <v>202.2</v>
      </c>
      <c r="G35035" s="5">
        <v>100.9</v>
      </c>
      <c r="H35035" s="5">
        <v>100.7</v>
      </c>
      <c r="I35035" s="5">
        <v>0</v>
      </c>
      <c r="J35035" s="5">
        <v>0</v>
      </c>
      <c r="K35035" s="5">
        <v>0</v>
      </c>
    </row>
    <row r="35036" spans="1:11" x14ac:dyDescent="0.25">
      <c r="A35036" s="5">
        <f>35029</f>
      </c>
      <c r="B35036" s="5" t="s">
        <v>35044</v>
      </c>
      <c r="C35036" s="5">
        <v>101.1</v>
      </c>
      <c r="D35036" s="5">
        <v>0.1</v>
      </c>
      <c r="E35036" s="5">
        <v>101.3</v>
      </c>
      <c r="F35036" s="5">
        <v>202.2</v>
      </c>
      <c r="G35036" s="5">
        <v>100.9</v>
      </c>
      <c r="H35036" s="5">
        <v>100.7</v>
      </c>
      <c r="I35036" s="5">
        <v>0</v>
      </c>
      <c r="J35036" s="5">
        <v>0</v>
      </c>
      <c r="K35036" s="5">
        <v>0</v>
      </c>
    </row>
    <row r="35037" spans="1:11" x14ac:dyDescent="0.25">
      <c r="A35037" s="5">
        <f>35030</f>
      </c>
      <c r="B35037" s="5" t="s">
        <v>35045</v>
      </c>
      <c r="C35037" s="5">
        <v>101.1</v>
      </c>
      <c r="D35037" s="5">
        <v>0.1</v>
      </c>
      <c r="E35037" s="5">
        <v>101.3</v>
      </c>
      <c r="F35037" s="5">
        <v>202.2</v>
      </c>
      <c r="G35037" s="5">
        <v>100.9</v>
      </c>
      <c r="H35037" s="5">
        <v>100.7</v>
      </c>
      <c r="I35037" s="5">
        <v>0</v>
      </c>
      <c r="J35037" s="5">
        <v>0</v>
      </c>
      <c r="K35037" s="5">
        <v>0</v>
      </c>
    </row>
    <row r="35038" spans="1:11" x14ac:dyDescent="0.25">
      <c r="A35038" s="5">
        <f>35031</f>
      </c>
      <c r="B35038" s="5" t="s">
        <v>35046</v>
      </c>
      <c r="C35038" s="5">
        <v>101.5</v>
      </c>
      <c r="D35038" s="5">
        <v>0.1</v>
      </c>
      <c r="E35038" s="5">
        <v>101.7</v>
      </c>
      <c r="F35038" s="5">
        <v>201.9</v>
      </c>
      <c r="G35038" s="5">
        <v>100.7</v>
      </c>
      <c r="H35038" s="5">
        <v>100.9</v>
      </c>
      <c r="I35038" s="5">
        <v>0</v>
      </c>
      <c r="J35038" s="5">
        <v>0</v>
      </c>
      <c r="K35038" s="5">
        <v>0</v>
      </c>
    </row>
    <row r="35039" spans="1:11" x14ac:dyDescent="0.25">
      <c r="A35039" s="5">
        <f>35032</f>
      </c>
      <c r="B35039" s="5" t="s">
        <v>35047</v>
      </c>
      <c r="C35039" s="5">
        <v>101.5</v>
      </c>
      <c r="D35039" s="5">
        <v>0.1</v>
      </c>
      <c r="E35039" s="5">
        <v>101.7</v>
      </c>
      <c r="F35039" s="5">
        <v>201.9</v>
      </c>
      <c r="G35039" s="5">
        <v>100.7</v>
      </c>
      <c r="H35039" s="5">
        <v>100.9</v>
      </c>
      <c r="I35039" s="5">
        <v>0</v>
      </c>
      <c r="J35039" s="5">
        <v>0</v>
      </c>
      <c r="K35039" s="5">
        <v>0</v>
      </c>
    </row>
    <row r="35040" spans="1:11" x14ac:dyDescent="0.25">
      <c r="A35040" s="5">
        <f>35033</f>
      </c>
      <c r="B35040" s="5" t="s">
        <v>35048</v>
      </c>
      <c r="C35040" s="5">
        <v>101.1</v>
      </c>
      <c r="D35040" s="5">
        <v>0.1</v>
      </c>
      <c r="E35040" s="5">
        <v>101.3</v>
      </c>
      <c r="F35040" s="5">
        <v>202</v>
      </c>
      <c r="G35040" s="5">
        <v>100.7</v>
      </c>
      <c r="H35040" s="5">
        <v>100.6</v>
      </c>
      <c r="I35040" s="5">
        <v>0</v>
      </c>
      <c r="J35040" s="5">
        <v>0</v>
      </c>
      <c r="K35040" s="5">
        <v>0</v>
      </c>
    </row>
    <row r="35041" spans="1:11" x14ac:dyDescent="0.25">
      <c r="A35041" s="5">
        <f>35034</f>
      </c>
      <c r="B35041" s="5" t="s">
        <v>35049</v>
      </c>
      <c r="C35041" s="5">
        <v>101.1</v>
      </c>
      <c r="D35041" s="5">
        <v>0.1</v>
      </c>
      <c r="E35041" s="5">
        <v>101.3</v>
      </c>
      <c r="F35041" s="5">
        <v>202</v>
      </c>
      <c r="G35041" s="5">
        <v>100.7</v>
      </c>
      <c r="H35041" s="5">
        <v>100.6</v>
      </c>
      <c r="I35041" s="5">
        <v>0</v>
      </c>
      <c r="J35041" s="5">
        <v>0</v>
      </c>
      <c r="K35041" s="5">
        <v>0</v>
      </c>
    </row>
    <row r="35042" spans="1:11" x14ac:dyDescent="0.25">
      <c r="A35042" s="5">
        <f>35035</f>
      </c>
      <c r="B35042" s="5" t="s">
        <v>35050</v>
      </c>
      <c r="C35042" s="5">
        <v>101.8</v>
      </c>
      <c r="D35042" s="5">
        <v>0.1</v>
      </c>
      <c r="E35042" s="5">
        <v>101.8</v>
      </c>
      <c r="F35042" s="5">
        <v>203.1</v>
      </c>
      <c r="G35042" s="5">
        <v>101.3</v>
      </c>
      <c r="H35042" s="5">
        <v>101.2</v>
      </c>
      <c r="I35042" s="5">
        <v>0</v>
      </c>
      <c r="J35042" s="5">
        <v>0</v>
      </c>
      <c r="K35042" s="5">
        <v>0</v>
      </c>
    </row>
    <row r="35043" spans="1:11" x14ac:dyDescent="0.25">
      <c r="A35043" s="5">
        <f>35036</f>
      </c>
      <c r="B35043" s="5" t="s">
        <v>35051</v>
      </c>
      <c r="C35043" s="5">
        <v>101.8</v>
      </c>
      <c r="D35043" s="5">
        <v>0.1</v>
      </c>
      <c r="E35043" s="5">
        <v>101.8</v>
      </c>
      <c r="F35043" s="5">
        <v>203.1</v>
      </c>
      <c r="G35043" s="5">
        <v>101.3</v>
      </c>
      <c r="H35043" s="5">
        <v>101.2</v>
      </c>
      <c r="I35043" s="5">
        <v>0</v>
      </c>
      <c r="J35043" s="5">
        <v>0</v>
      </c>
      <c r="K35043" s="5">
        <v>0</v>
      </c>
    </row>
    <row r="35044" spans="1:11" x14ac:dyDescent="0.25">
      <c r="A35044" s="5">
        <f>35037</f>
      </c>
      <c r="B35044" s="5" t="s">
        <v>35052</v>
      </c>
      <c r="C35044" s="5">
        <v>100.8</v>
      </c>
      <c r="D35044" s="5">
        <v>0.1</v>
      </c>
      <c r="E35044" s="5">
        <v>100.8</v>
      </c>
      <c r="F35044" s="5">
        <v>202</v>
      </c>
      <c r="G35044" s="5">
        <v>100.7</v>
      </c>
      <c r="H35044" s="5">
        <v>100.6</v>
      </c>
      <c r="I35044" s="5">
        <v>0</v>
      </c>
      <c r="J35044" s="5">
        <v>0</v>
      </c>
      <c r="K35044" s="5">
        <v>0</v>
      </c>
    </row>
    <row r="35045" spans="1:11" x14ac:dyDescent="0.25">
      <c r="A35045" s="5">
        <f>35038</f>
      </c>
      <c r="B35045" s="5" t="s">
        <v>35053</v>
      </c>
      <c r="C35045" s="5">
        <v>100.8</v>
      </c>
      <c r="D35045" s="5">
        <v>0.1</v>
      </c>
      <c r="E35045" s="5">
        <v>100.8</v>
      </c>
      <c r="F35045" s="5">
        <v>202</v>
      </c>
      <c r="G35045" s="5">
        <v>100.7</v>
      </c>
      <c r="H35045" s="5">
        <v>100.6</v>
      </c>
      <c r="I35045" s="5">
        <v>0</v>
      </c>
      <c r="J35045" s="5">
        <v>0</v>
      </c>
      <c r="K35045" s="5">
        <v>0</v>
      </c>
    </row>
    <row r="35046" spans="1:11" x14ac:dyDescent="0.25">
      <c r="A35046" s="5">
        <f>35039</f>
      </c>
      <c r="B35046" s="5" t="s">
        <v>35054</v>
      </c>
      <c r="C35046" s="5">
        <v>100.8</v>
      </c>
      <c r="D35046" s="5">
        <v>0.1</v>
      </c>
      <c r="E35046" s="5">
        <v>100.8</v>
      </c>
      <c r="F35046" s="5">
        <v>202</v>
      </c>
      <c r="G35046" s="5">
        <v>100.7</v>
      </c>
      <c r="H35046" s="5">
        <v>100.6</v>
      </c>
      <c r="I35046" s="5">
        <v>0</v>
      </c>
      <c r="J35046" s="5">
        <v>0</v>
      </c>
      <c r="K35046" s="5">
        <v>0</v>
      </c>
    </row>
    <row r="35047" spans="1:11" x14ac:dyDescent="0.25">
      <c r="A35047" s="5">
        <f>35040</f>
      </c>
      <c r="B35047" s="5" t="s">
        <v>35055</v>
      </c>
      <c r="C35047" s="5">
        <v>100.8</v>
      </c>
      <c r="D35047" s="5">
        <v>0.1</v>
      </c>
      <c r="E35047" s="5">
        <v>100.8</v>
      </c>
      <c r="F35047" s="5">
        <v>202</v>
      </c>
      <c r="G35047" s="5">
        <v>100.7</v>
      </c>
      <c r="H35047" s="5">
        <v>100.6</v>
      </c>
      <c r="I35047" s="5">
        <v>0</v>
      </c>
      <c r="J35047" s="5">
        <v>0</v>
      </c>
      <c r="K35047" s="5">
        <v>0</v>
      </c>
    </row>
    <row r="35048" spans="1:11" x14ac:dyDescent="0.25">
      <c r="A35048" s="5">
        <f>35041</f>
      </c>
      <c r="B35048" s="5" t="s">
        <v>35056</v>
      </c>
      <c r="C35048" s="5">
        <v>101.2</v>
      </c>
      <c r="D35048" s="5">
        <v>0.1</v>
      </c>
      <c r="E35048" s="5">
        <v>101.3</v>
      </c>
      <c r="F35048" s="5">
        <v>202.2</v>
      </c>
      <c r="G35048" s="5">
        <v>100.9</v>
      </c>
      <c r="H35048" s="5">
        <v>100.7</v>
      </c>
      <c r="I35048" s="5">
        <v>0</v>
      </c>
      <c r="J35048" s="5">
        <v>0</v>
      </c>
      <c r="K35048" s="5">
        <v>0</v>
      </c>
    </row>
    <row r="35049" spans="1:11" x14ac:dyDescent="0.25">
      <c r="A35049" s="5">
        <f>35042</f>
      </c>
      <c r="B35049" s="5" t="s">
        <v>35057</v>
      </c>
      <c r="C35049" s="5">
        <v>101.2</v>
      </c>
      <c r="D35049" s="5">
        <v>0.1</v>
      </c>
      <c r="E35049" s="5">
        <v>101.3</v>
      </c>
      <c r="F35049" s="5">
        <v>202.2</v>
      </c>
      <c r="G35049" s="5">
        <v>100.9</v>
      </c>
      <c r="H35049" s="5">
        <v>100.7</v>
      </c>
      <c r="I35049" s="5">
        <v>0</v>
      </c>
      <c r="J35049" s="5">
        <v>0</v>
      </c>
      <c r="K35049" s="5">
        <v>0</v>
      </c>
    </row>
    <row r="35050" spans="1:11" x14ac:dyDescent="0.25">
      <c r="A35050" s="5">
        <f>35043</f>
      </c>
      <c r="B35050" s="5" t="s">
        <v>35058</v>
      </c>
      <c r="C35050" s="5">
        <v>102.3</v>
      </c>
      <c r="D35050" s="5">
        <v>0.1</v>
      </c>
      <c r="E35050" s="5">
        <v>102.4</v>
      </c>
      <c r="F35050" s="5">
        <v>204.1</v>
      </c>
      <c r="G35050" s="5">
        <v>101.8</v>
      </c>
      <c r="H35050" s="5">
        <v>101.7</v>
      </c>
      <c r="I35050" s="5">
        <v>0</v>
      </c>
      <c r="J35050" s="5">
        <v>0</v>
      </c>
      <c r="K35050" s="5">
        <v>0</v>
      </c>
    </row>
    <row r="35051" spans="1:11" x14ac:dyDescent="0.25">
      <c r="A35051" s="5">
        <f>35044</f>
      </c>
      <c r="B35051" s="5" t="s">
        <v>35059</v>
      </c>
      <c r="C35051" s="5">
        <v>102.3</v>
      </c>
      <c r="D35051" s="5">
        <v>0.1</v>
      </c>
      <c r="E35051" s="5">
        <v>102.4</v>
      </c>
      <c r="F35051" s="5">
        <v>204.1</v>
      </c>
      <c r="G35051" s="5">
        <v>101.8</v>
      </c>
      <c r="H35051" s="5">
        <v>101.7</v>
      </c>
      <c r="I35051" s="5">
        <v>0</v>
      </c>
      <c r="J35051" s="5">
        <v>0</v>
      </c>
      <c r="K35051" s="5">
        <v>0</v>
      </c>
    </row>
    <row r="35052" spans="1:11" x14ac:dyDescent="0.25">
      <c r="A35052" s="5">
        <f>35045</f>
      </c>
      <c r="B35052" s="5" t="s">
        <v>35060</v>
      </c>
      <c r="C35052" s="5">
        <v>101.6</v>
      </c>
      <c r="D35052" s="5">
        <v>0.1</v>
      </c>
      <c r="E35052" s="5">
        <v>101.8</v>
      </c>
      <c r="F35052" s="5">
        <v>203.6</v>
      </c>
      <c r="G35052" s="5">
        <v>101.5</v>
      </c>
      <c r="H35052" s="5">
        <v>101.3</v>
      </c>
      <c r="I35052" s="5">
        <v>0</v>
      </c>
      <c r="J35052" s="5">
        <v>0</v>
      </c>
      <c r="K35052" s="5">
        <v>0</v>
      </c>
    </row>
    <row r="35053" spans="1:11" x14ac:dyDescent="0.25">
      <c r="A35053" s="5">
        <f>35046</f>
      </c>
      <c r="B35053" s="5" t="s">
        <v>35061</v>
      </c>
      <c r="C35053" s="5">
        <v>101.6</v>
      </c>
      <c r="D35053" s="5">
        <v>0.1</v>
      </c>
      <c r="E35053" s="5">
        <v>101.8</v>
      </c>
      <c r="F35053" s="5">
        <v>203.6</v>
      </c>
      <c r="G35053" s="5">
        <v>101.5</v>
      </c>
      <c r="H35053" s="5">
        <v>101.3</v>
      </c>
      <c r="I35053" s="5">
        <v>0</v>
      </c>
      <c r="J35053" s="5">
        <v>0</v>
      </c>
      <c r="K35053" s="5">
        <v>0</v>
      </c>
    </row>
    <row r="35054" spans="1:11" x14ac:dyDescent="0.25">
      <c r="A35054" s="5">
        <f>35047</f>
      </c>
      <c r="B35054" s="5" t="s">
        <v>35062</v>
      </c>
      <c r="C35054" s="5">
        <v>102.2</v>
      </c>
      <c r="D35054" s="5">
        <v>0.1</v>
      </c>
      <c r="E35054" s="5">
        <v>102.4</v>
      </c>
      <c r="F35054" s="5">
        <v>203.2</v>
      </c>
      <c r="G35054" s="5">
        <v>101.4</v>
      </c>
      <c r="H35054" s="5">
        <v>101.3</v>
      </c>
      <c r="I35054" s="5">
        <v>0</v>
      </c>
      <c r="J35054" s="5">
        <v>0</v>
      </c>
      <c r="K35054" s="5">
        <v>0</v>
      </c>
    </row>
    <row r="35055" spans="1:11" x14ac:dyDescent="0.25">
      <c r="A35055" s="5">
        <f>35048</f>
      </c>
      <c r="B35055" s="5" t="s">
        <v>35063</v>
      </c>
      <c r="C35055" s="5">
        <v>102.2</v>
      </c>
      <c r="D35055" s="5">
        <v>0.1</v>
      </c>
      <c r="E35055" s="5">
        <v>102.4</v>
      </c>
      <c r="F35055" s="5">
        <v>203.2</v>
      </c>
      <c r="G35055" s="5">
        <v>101.4</v>
      </c>
      <c r="H35055" s="5">
        <v>101.3</v>
      </c>
      <c r="I35055" s="5">
        <v>0</v>
      </c>
      <c r="J35055" s="5">
        <v>0</v>
      </c>
      <c r="K35055" s="5">
        <v>0</v>
      </c>
    </row>
    <row r="35056" spans="1:11" x14ac:dyDescent="0.25">
      <c r="A35056" s="5">
        <f>35049</f>
      </c>
      <c r="B35056" s="5" t="s">
        <v>35064</v>
      </c>
      <c r="C35056" s="5">
        <v>102.2</v>
      </c>
      <c r="D35056" s="5">
        <v>0.1</v>
      </c>
      <c r="E35056" s="5">
        <v>102.4</v>
      </c>
      <c r="F35056" s="5">
        <v>203.2</v>
      </c>
      <c r="G35056" s="5">
        <v>101.4</v>
      </c>
      <c r="H35056" s="5">
        <v>101.3</v>
      </c>
      <c r="I35056" s="5">
        <v>0</v>
      </c>
      <c r="J35056" s="5">
        <v>0</v>
      </c>
      <c r="K35056" s="5">
        <v>0</v>
      </c>
    </row>
    <row r="35057" spans="1:11" x14ac:dyDescent="0.25">
      <c r="A35057" s="5">
        <f>35050</f>
      </c>
      <c r="B35057" s="5" t="s">
        <v>35065</v>
      </c>
      <c r="C35057" s="5">
        <v>102.2</v>
      </c>
      <c r="D35057" s="5">
        <v>0.1</v>
      </c>
      <c r="E35057" s="5">
        <v>102.4</v>
      </c>
      <c r="F35057" s="5">
        <v>203.2</v>
      </c>
      <c r="G35057" s="5">
        <v>101.4</v>
      </c>
      <c r="H35057" s="5">
        <v>101.3</v>
      </c>
      <c r="I35057" s="5">
        <v>0</v>
      </c>
      <c r="J35057" s="5">
        <v>0</v>
      </c>
      <c r="K35057" s="5">
        <v>0</v>
      </c>
    </row>
    <row r="35058" spans="1:11" x14ac:dyDescent="0.25">
      <c r="A35058" s="5">
        <f>35051</f>
      </c>
      <c r="B35058" s="5" t="s">
        <v>35066</v>
      </c>
      <c r="C35058" s="5">
        <v>101.8</v>
      </c>
      <c r="D35058" s="5">
        <v>0.1</v>
      </c>
      <c r="E35058" s="5">
        <v>101.9</v>
      </c>
      <c r="F35058" s="5">
        <v>203.3</v>
      </c>
      <c r="G35058" s="5">
        <v>101.4</v>
      </c>
      <c r="H35058" s="5">
        <v>101.4</v>
      </c>
      <c r="I35058" s="5">
        <v>0</v>
      </c>
      <c r="J35058" s="5">
        <v>0</v>
      </c>
      <c r="K35058" s="5">
        <v>0</v>
      </c>
    </row>
    <row r="35059" spans="1:11" x14ac:dyDescent="0.25">
      <c r="A35059" s="5">
        <f>35052</f>
      </c>
      <c r="B35059" s="5" t="s">
        <v>35067</v>
      </c>
      <c r="C35059" s="5">
        <v>101.8</v>
      </c>
      <c r="D35059" s="5">
        <v>0.1</v>
      </c>
      <c r="E35059" s="5">
        <v>101.9</v>
      </c>
      <c r="F35059" s="5">
        <v>203.3</v>
      </c>
      <c r="G35059" s="5">
        <v>101.4</v>
      </c>
      <c r="H35059" s="5">
        <v>101.4</v>
      </c>
      <c r="I35059" s="5">
        <v>0</v>
      </c>
      <c r="J35059" s="5">
        <v>0</v>
      </c>
      <c r="K35059" s="5">
        <v>0</v>
      </c>
    </row>
    <row r="35060" spans="1:11" x14ac:dyDescent="0.25">
      <c r="A35060" s="5">
        <f>35053</f>
      </c>
      <c r="B35060" s="5" t="s">
        <v>35068</v>
      </c>
      <c r="C35060" s="5">
        <v>101.5</v>
      </c>
      <c r="D35060" s="5">
        <v>0.1</v>
      </c>
      <c r="E35060" s="5">
        <v>101.5</v>
      </c>
      <c r="F35060" s="5">
        <v>202.4</v>
      </c>
      <c r="G35060" s="5">
        <v>100.9</v>
      </c>
      <c r="H35060" s="5">
        <v>100.8</v>
      </c>
      <c r="I35060" s="5">
        <v>0</v>
      </c>
      <c r="J35060" s="5">
        <v>0</v>
      </c>
      <c r="K35060" s="5">
        <v>0</v>
      </c>
    </row>
    <row r="35061" spans="1:11" x14ac:dyDescent="0.25">
      <c r="A35061" s="5">
        <f>35054</f>
      </c>
      <c r="B35061" s="5" t="s">
        <v>35069</v>
      </c>
      <c r="C35061" s="5">
        <v>101.5</v>
      </c>
      <c r="D35061" s="5">
        <v>0.1</v>
      </c>
      <c r="E35061" s="5">
        <v>101.5</v>
      </c>
      <c r="F35061" s="5">
        <v>202.4</v>
      </c>
      <c r="G35061" s="5">
        <v>100.9</v>
      </c>
      <c r="H35061" s="5">
        <v>100.8</v>
      </c>
      <c r="I35061" s="5">
        <v>0</v>
      </c>
      <c r="J35061" s="5">
        <v>0</v>
      </c>
      <c r="K35061" s="5">
        <v>0</v>
      </c>
    </row>
    <row r="35062" spans="1:11" x14ac:dyDescent="0.25">
      <c r="A35062" s="5">
        <f>35055</f>
      </c>
      <c r="B35062" s="5" t="s">
        <v>35070</v>
      </c>
      <c r="C35062" s="5">
        <v>101.8</v>
      </c>
      <c r="D35062" s="5">
        <v>0.1</v>
      </c>
      <c r="E35062" s="5">
        <v>102</v>
      </c>
      <c r="F35062" s="5">
        <v>203.2</v>
      </c>
      <c r="G35062" s="5">
        <v>101.3</v>
      </c>
      <c r="H35062" s="5">
        <v>100.8</v>
      </c>
      <c r="I35062" s="5">
        <v>0</v>
      </c>
      <c r="J35062" s="5">
        <v>0</v>
      </c>
      <c r="K35062" s="5">
        <v>0</v>
      </c>
    </row>
    <row r="35063" spans="1:11" x14ac:dyDescent="0.25">
      <c r="A35063" s="5">
        <f>35056</f>
      </c>
      <c r="B35063" s="5" t="s">
        <v>35071</v>
      </c>
      <c r="C35063" s="5">
        <v>101.8</v>
      </c>
      <c r="D35063" s="5">
        <v>0.1</v>
      </c>
      <c r="E35063" s="5">
        <v>102</v>
      </c>
      <c r="F35063" s="5">
        <v>203.2</v>
      </c>
      <c r="G35063" s="5">
        <v>101.3</v>
      </c>
      <c r="H35063" s="5">
        <v>101.1</v>
      </c>
      <c r="I35063" s="5">
        <v>0</v>
      </c>
      <c r="J35063" s="5">
        <v>0</v>
      </c>
      <c r="K35063" s="5">
        <v>0</v>
      </c>
    </row>
    <row r="35064" spans="1:11" x14ac:dyDescent="0.25">
      <c r="A35064" s="5">
        <f>35057</f>
      </c>
      <c r="B35064" s="5" t="s">
        <v>35072</v>
      </c>
      <c r="C35064" s="5">
        <v>101.5</v>
      </c>
      <c r="D35064" s="5">
        <v>0.1</v>
      </c>
      <c r="E35064" s="5">
        <v>101.7</v>
      </c>
      <c r="F35064" s="5">
        <v>203.2</v>
      </c>
      <c r="G35064" s="5">
        <v>101.3</v>
      </c>
      <c r="H35064" s="5">
        <v>101.1</v>
      </c>
      <c r="I35064" s="5">
        <v>0</v>
      </c>
      <c r="J35064" s="5">
        <v>0</v>
      </c>
      <c r="K35064" s="5">
        <v>0</v>
      </c>
    </row>
    <row r="35065" spans="1:11" x14ac:dyDescent="0.25">
      <c r="A35065" s="5">
        <f>35058</f>
      </c>
      <c r="B35065" s="5" t="s">
        <v>35073</v>
      </c>
      <c r="C35065" s="5">
        <v>101.5</v>
      </c>
      <c r="D35065" s="5">
        <v>0.1</v>
      </c>
      <c r="E35065" s="5">
        <v>101.7</v>
      </c>
      <c r="F35065" s="5">
        <v>202.2</v>
      </c>
      <c r="G35065" s="5">
        <v>100.9</v>
      </c>
      <c r="H35065" s="5">
        <v>100.8</v>
      </c>
      <c r="I35065" s="5">
        <v>0</v>
      </c>
      <c r="J35065" s="5">
        <v>0</v>
      </c>
      <c r="K35065" s="5">
        <v>0</v>
      </c>
    </row>
    <row r="35066" spans="1:11" x14ac:dyDescent="0.25">
      <c r="A35066" s="5">
        <f>35059</f>
      </c>
      <c r="B35066" s="5" t="s">
        <v>35074</v>
      </c>
      <c r="C35066" s="5">
        <v>101.5</v>
      </c>
      <c r="D35066" s="5">
        <v>0.1</v>
      </c>
      <c r="E35066" s="5">
        <v>101.7</v>
      </c>
      <c r="F35066" s="5">
        <v>202.2</v>
      </c>
      <c r="G35066" s="5">
        <v>100.9</v>
      </c>
      <c r="H35066" s="5">
        <v>100.8</v>
      </c>
      <c r="I35066" s="5">
        <v>0</v>
      </c>
      <c r="J35066" s="5">
        <v>0</v>
      </c>
      <c r="K35066" s="5">
        <v>0</v>
      </c>
    </row>
    <row r="35067" spans="1:11" x14ac:dyDescent="0.25">
      <c r="A35067" s="5">
        <f>35060</f>
      </c>
      <c r="B35067" s="5" t="s">
        <v>35075</v>
      </c>
      <c r="C35067" s="5">
        <v>101.5</v>
      </c>
      <c r="D35067" s="5">
        <v>0.1</v>
      </c>
      <c r="E35067" s="5">
        <v>101.7</v>
      </c>
      <c r="F35067" s="5">
        <v>202.2</v>
      </c>
      <c r="G35067" s="5">
        <v>100.9</v>
      </c>
      <c r="H35067" s="5">
        <v>100.8</v>
      </c>
      <c r="I35067" s="5">
        <v>0</v>
      </c>
      <c r="J35067" s="5">
        <v>0</v>
      </c>
      <c r="K35067" s="5">
        <v>0</v>
      </c>
    </row>
    <row r="35068" spans="1:11" x14ac:dyDescent="0.25">
      <c r="A35068" s="5">
        <f>35061</f>
      </c>
      <c r="B35068" s="5" t="s">
        <v>35076</v>
      </c>
      <c r="C35068" s="5">
        <v>101.1</v>
      </c>
      <c r="D35068" s="5">
        <v>0.1</v>
      </c>
      <c r="E35068" s="5">
        <v>101.2</v>
      </c>
      <c r="F35068" s="5">
        <v>201.6</v>
      </c>
      <c r="G35068" s="5">
        <v>100.6</v>
      </c>
      <c r="H35068" s="5">
        <v>100.5</v>
      </c>
      <c r="I35068" s="5">
        <v>0</v>
      </c>
      <c r="J35068" s="5">
        <v>0</v>
      </c>
      <c r="K35068" s="5">
        <v>0</v>
      </c>
    </row>
    <row r="35069" spans="1:11" x14ac:dyDescent="0.25">
      <c r="A35069" s="5">
        <f>35062</f>
      </c>
      <c r="B35069" s="5" t="s">
        <v>35077</v>
      </c>
      <c r="C35069" s="5">
        <v>101.1</v>
      </c>
      <c r="D35069" s="5">
        <v>0.1</v>
      </c>
      <c r="E35069" s="5">
        <v>101.2</v>
      </c>
      <c r="F35069" s="5">
        <v>201.6</v>
      </c>
      <c r="G35069" s="5">
        <v>100.6</v>
      </c>
      <c r="H35069" s="5">
        <v>100.5</v>
      </c>
      <c r="I35069" s="5">
        <v>0</v>
      </c>
      <c r="J35069" s="5">
        <v>0</v>
      </c>
      <c r="K35069" s="5">
        <v>0</v>
      </c>
    </row>
    <row r="35070" spans="1:11" x14ac:dyDescent="0.25">
      <c r="A35070" s="5">
        <f>35063</f>
      </c>
      <c r="B35070" s="5" t="s">
        <v>35078</v>
      </c>
      <c r="C35070" s="5">
        <v>101.4</v>
      </c>
      <c r="D35070" s="5">
        <v>0.1</v>
      </c>
      <c r="E35070" s="5">
        <v>101.5</v>
      </c>
      <c r="F35070" s="5">
        <v>202.6</v>
      </c>
      <c r="G35070" s="5">
        <v>101.1</v>
      </c>
      <c r="H35070" s="5">
        <v>101</v>
      </c>
      <c r="I35070" s="5">
        <v>0</v>
      </c>
      <c r="J35070" s="5">
        <v>0</v>
      </c>
      <c r="K35070" s="5">
        <v>0</v>
      </c>
    </row>
    <row r="35071" spans="1:11" x14ac:dyDescent="0.25">
      <c r="A35071" s="5">
        <f>35064</f>
      </c>
      <c r="B35071" s="5" t="s">
        <v>35079</v>
      </c>
      <c r="C35071" s="5">
        <v>101.4</v>
      </c>
      <c r="D35071" s="5">
        <v>0.1</v>
      </c>
      <c r="E35071" s="5">
        <v>101.5</v>
      </c>
      <c r="F35071" s="5">
        <v>202.6</v>
      </c>
      <c r="G35071" s="5">
        <v>101.1</v>
      </c>
      <c r="H35071" s="5">
        <v>101</v>
      </c>
      <c r="I35071" s="5">
        <v>0</v>
      </c>
      <c r="J35071" s="5">
        <v>0</v>
      </c>
      <c r="K35071" s="5">
        <v>0</v>
      </c>
    </row>
    <row r="35072" spans="1:11" x14ac:dyDescent="0.25">
      <c r="A35072" s="5">
        <f>35065</f>
      </c>
      <c r="B35072" s="5" t="s">
        <v>35080</v>
      </c>
      <c r="C35072" s="5">
        <v>101.8</v>
      </c>
      <c r="D35072" s="5">
        <v>0.1</v>
      </c>
      <c r="E35072" s="5">
        <v>101.9</v>
      </c>
      <c r="F35072" s="5">
        <v>203.1</v>
      </c>
      <c r="G35072" s="5">
        <v>101.3</v>
      </c>
      <c r="H35072" s="5">
        <v>101.1</v>
      </c>
      <c r="I35072" s="5">
        <v>0</v>
      </c>
      <c r="J35072" s="5">
        <v>0</v>
      </c>
      <c r="K35072" s="5">
        <v>0</v>
      </c>
    </row>
    <row r="35073" spans="1:11" x14ac:dyDescent="0.25">
      <c r="A35073" s="5">
        <f>35066</f>
      </c>
      <c r="B35073" s="5" t="s">
        <v>35081</v>
      </c>
      <c r="C35073" s="5">
        <v>101.8</v>
      </c>
      <c r="D35073" s="5">
        <v>0.1</v>
      </c>
      <c r="E35073" s="5">
        <v>101.9</v>
      </c>
      <c r="F35073" s="5">
        <v>203.1</v>
      </c>
      <c r="G35073" s="5">
        <v>101.3</v>
      </c>
      <c r="H35073" s="5">
        <v>101.1</v>
      </c>
      <c r="I35073" s="5">
        <v>0</v>
      </c>
      <c r="J35073" s="5">
        <v>0</v>
      </c>
      <c r="K35073" s="5">
        <v>0</v>
      </c>
    </row>
    <row r="35074" spans="1:11" x14ac:dyDescent="0.25">
      <c r="A35074" s="5">
        <f>35067</f>
      </c>
      <c r="B35074" s="5" t="s">
        <v>35082</v>
      </c>
      <c r="C35074" s="5">
        <v>101.5</v>
      </c>
      <c r="D35074" s="5">
        <v>0.1</v>
      </c>
      <c r="E35074" s="5">
        <v>101.7</v>
      </c>
      <c r="F35074" s="5">
        <v>202.5</v>
      </c>
      <c r="G35074" s="5">
        <v>101.1</v>
      </c>
      <c r="H35074" s="5">
        <v>101</v>
      </c>
      <c r="I35074" s="5">
        <v>0</v>
      </c>
      <c r="J35074" s="5">
        <v>0</v>
      </c>
      <c r="K35074" s="5">
        <v>0</v>
      </c>
    </row>
    <row r="35075" spans="1:11" x14ac:dyDescent="0.25">
      <c r="A35075" s="5">
        <f>35068</f>
      </c>
      <c r="B35075" s="5" t="s">
        <v>35083</v>
      </c>
      <c r="C35075" s="5">
        <v>101.5</v>
      </c>
      <c r="D35075" s="5">
        <v>0.1</v>
      </c>
      <c r="E35075" s="5">
        <v>101.7</v>
      </c>
      <c r="F35075" s="5">
        <v>202.5</v>
      </c>
      <c r="G35075" s="5">
        <v>101.1</v>
      </c>
      <c r="H35075" s="5">
        <v>101</v>
      </c>
      <c r="I35075" s="5">
        <v>0</v>
      </c>
      <c r="J35075" s="5">
        <v>0</v>
      </c>
      <c r="K35075" s="5">
        <v>0</v>
      </c>
    </row>
    <row r="35076" spans="1:11" x14ac:dyDescent="0.25">
      <c r="A35076" s="5">
        <f>35069</f>
      </c>
      <c r="B35076" s="5" t="s">
        <v>35084</v>
      </c>
      <c r="C35076" s="5">
        <v>101.5</v>
      </c>
      <c r="D35076" s="5">
        <v>0.1</v>
      </c>
      <c r="E35076" s="5">
        <v>101.7</v>
      </c>
      <c r="F35076" s="5">
        <v>202.5</v>
      </c>
      <c r="G35076" s="5">
        <v>101.1</v>
      </c>
      <c r="H35076" s="5">
        <v>101</v>
      </c>
      <c r="I35076" s="5">
        <v>0</v>
      </c>
      <c r="J35076" s="5">
        <v>0</v>
      </c>
      <c r="K35076" s="5">
        <v>0</v>
      </c>
    </row>
    <row r="35077" spans="1:11" x14ac:dyDescent="0.25">
      <c r="A35077" s="5">
        <f>35070</f>
      </c>
      <c r="B35077" s="5" t="s">
        <v>35085</v>
      </c>
      <c r="C35077" s="5">
        <v>101.5</v>
      </c>
      <c r="D35077" s="5">
        <v>0.1</v>
      </c>
      <c r="E35077" s="5">
        <v>101.7</v>
      </c>
      <c r="F35077" s="5">
        <v>202.5</v>
      </c>
      <c r="G35077" s="5">
        <v>101.1</v>
      </c>
      <c r="H35077" s="5">
        <v>101</v>
      </c>
      <c r="I35077" s="5">
        <v>0</v>
      </c>
      <c r="J35077" s="5">
        <v>0</v>
      </c>
      <c r="K35077" s="5">
        <v>0</v>
      </c>
    </row>
    <row r="35078" spans="1:11" x14ac:dyDescent="0.25">
      <c r="A35078" s="5">
        <f>35071</f>
      </c>
      <c r="B35078" s="5" t="s">
        <v>35086</v>
      </c>
      <c r="C35078" s="5">
        <v>98.2</v>
      </c>
      <c r="D35078" s="5">
        <v>0.1</v>
      </c>
      <c r="E35078" s="5">
        <v>98.3</v>
      </c>
      <c r="F35078" s="5">
        <v>196.1</v>
      </c>
      <c r="G35078" s="5">
        <v>97.2</v>
      </c>
      <c r="H35078" s="5">
        <v>96.7</v>
      </c>
      <c r="I35078" s="5">
        <v>0</v>
      </c>
      <c r="J35078" s="5">
        <v>0</v>
      </c>
      <c r="K35078" s="5">
        <v>0</v>
      </c>
    </row>
    <row r="35079" spans="1:11" x14ac:dyDescent="0.25">
      <c r="A35079" s="5">
        <f>35072</f>
      </c>
      <c r="B35079" s="5" t="s">
        <v>35087</v>
      </c>
      <c r="C35079" s="5">
        <v>98.2</v>
      </c>
      <c r="D35079" s="5">
        <v>0.1</v>
      </c>
      <c r="E35079" s="5">
        <v>98.3</v>
      </c>
      <c r="F35079" s="5">
        <v>196.1</v>
      </c>
      <c r="G35079" s="5">
        <v>97.2</v>
      </c>
      <c r="H35079" s="5">
        <v>96.7</v>
      </c>
      <c r="I35079" s="5">
        <v>0</v>
      </c>
      <c r="J35079" s="5">
        <v>0</v>
      </c>
      <c r="K35079" s="5">
        <v>0</v>
      </c>
    </row>
    <row r="35080" spans="1:11" x14ac:dyDescent="0.25">
      <c r="A35080" s="5">
        <f>35073</f>
      </c>
      <c r="B35080" s="5" t="s">
        <v>35088</v>
      </c>
      <c r="C35080" s="5">
        <v>101.1</v>
      </c>
      <c r="D35080" s="5">
        <v>0.1</v>
      </c>
      <c r="E35080" s="5">
        <v>101.2</v>
      </c>
      <c r="F35080" s="5">
        <v>201.6</v>
      </c>
      <c r="G35080" s="5">
        <v>100.6</v>
      </c>
      <c r="H35080" s="5">
        <v>100.5</v>
      </c>
      <c r="I35080" s="5">
        <v>0</v>
      </c>
      <c r="J35080" s="5">
        <v>0</v>
      </c>
      <c r="K35080" s="5">
        <v>0</v>
      </c>
    </row>
    <row r="35081" spans="1:11" x14ac:dyDescent="0.25">
      <c r="A35081" s="5">
        <f>35074</f>
      </c>
      <c r="B35081" s="5" t="s">
        <v>35089</v>
      </c>
      <c r="C35081" s="5">
        <v>101.1</v>
      </c>
      <c r="D35081" s="5">
        <v>0.1</v>
      </c>
      <c r="E35081" s="5">
        <v>101.2</v>
      </c>
      <c r="F35081" s="5">
        <v>201.6</v>
      </c>
      <c r="G35081" s="5">
        <v>100.6</v>
      </c>
      <c r="H35081" s="5">
        <v>100.5</v>
      </c>
      <c r="I35081" s="5">
        <v>0</v>
      </c>
      <c r="J35081" s="5">
        <v>0</v>
      </c>
      <c r="K35081" s="5">
        <v>0</v>
      </c>
    </row>
    <row r="35082" spans="1:11" x14ac:dyDescent="0.25">
      <c r="A35082" s="5">
        <f>35075</f>
      </c>
      <c r="B35082" s="5" t="s">
        <v>35090</v>
      </c>
      <c r="C35082" s="5">
        <v>98.3</v>
      </c>
      <c r="D35082" s="5">
        <v>0.1</v>
      </c>
      <c r="E35082" s="5">
        <v>98.3</v>
      </c>
      <c r="F35082" s="5">
        <v>196.3</v>
      </c>
      <c r="G35082" s="5">
        <v>98</v>
      </c>
      <c r="H35082" s="5">
        <v>97.9</v>
      </c>
      <c r="I35082" s="5">
        <v>0</v>
      </c>
      <c r="J35082" s="5">
        <v>0</v>
      </c>
      <c r="K35082" s="5">
        <v>0</v>
      </c>
    </row>
    <row r="35083" spans="1:11" x14ac:dyDescent="0.25">
      <c r="A35083" s="5">
        <f>35076</f>
      </c>
      <c r="B35083" s="5" t="s">
        <v>35091</v>
      </c>
      <c r="C35083" s="5">
        <v>98.3</v>
      </c>
      <c r="D35083" s="5">
        <v>0.1</v>
      </c>
      <c r="E35083" s="5">
        <v>98.3</v>
      </c>
      <c r="F35083" s="5">
        <v>196.3</v>
      </c>
      <c r="G35083" s="5">
        <v>98</v>
      </c>
      <c r="H35083" s="5">
        <v>97.9</v>
      </c>
      <c r="I35083" s="5">
        <v>0</v>
      </c>
      <c r="J35083" s="5">
        <v>0</v>
      </c>
      <c r="K35083" s="5">
        <v>0</v>
      </c>
    </row>
    <row r="35084" spans="1:11" x14ac:dyDescent="0.25">
      <c r="A35084" s="5">
        <f>35077</f>
      </c>
      <c r="B35084" s="5" t="s">
        <v>35092</v>
      </c>
      <c r="C35084" s="5">
        <v>94.5</v>
      </c>
      <c r="D35084" s="5">
        <v>0.1</v>
      </c>
      <c r="E35084" s="5">
        <v>94.6</v>
      </c>
      <c r="F35084" s="5">
        <v>193.5</v>
      </c>
      <c r="G35084" s="5">
        <v>96.4</v>
      </c>
      <c r="H35084" s="5">
        <v>96.5</v>
      </c>
      <c r="I35084" s="5">
        <v>0</v>
      </c>
      <c r="J35084" s="5">
        <v>0</v>
      </c>
      <c r="K35084" s="5">
        <v>0</v>
      </c>
    </row>
    <row r="35085" spans="1:11" x14ac:dyDescent="0.25">
      <c r="A35085" s="5">
        <f>35078</f>
      </c>
      <c r="B35085" s="5" t="s">
        <v>35093</v>
      </c>
      <c r="C35085" s="5">
        <v>94.5</v>
      </c>
      <c r="D35085" s="5">
        <v>0.1</v>
      </c>
      <c r="E35085" s="5">
        <v>94.6</v>
      </c>
      <c r="F35085" s="5">
        <v>193.5</v>
      </c>
      <c r="G35085" s="5">
        <v>96.4</v>
      </c>
      <c r="H35085" s="5">
        <v>96.5</v>
      </c>
      <c r="I35085" s="5">
        <v>0</v>
      </c>
      <c r="J35085" s="5">
        <v>0</v>
      </c>
      <c r="K35085" s="5">
        <v>0</v>
      </c>
    </row>
    <row r="35086" spans="1:11" x14ac:dyDescent="0.25">
      <c r="A35086" s="5">
        <f>35079</f>
      </c>
      <c r="B35086" s="5" t="s">
        <v>35094</v>
      </c>
      <c r="C35086" s="5">
        <v>94.5</v>
      </c>
      <c r="D35086" s="5">
        <v>0.1</v>
      </c>
      <c r="E35086" s="5">
        <v>94.6</v>
      </c>
      <c r="F35086" s="5">
        <v>193.5</v>
      </c>
      <c r="G35086" s="5">
        <v>96.4</v>
      </c>
      <c r="H35086" s="5">
        <v>96.5</v>
      </c>
      <c r="I35086" s="5">
        <v>0</v>
      </c>
      <c r="J35086" s="5">
        <v>0</v>
      </c>
      <c r="K35086" s="5">
        <v>0</v>
      </c>
    </row>
    <row r="35087" spans="1:11" x14ac:dyDescent="0.25">
      <c r="A35087" s="5">
        <f>35080</f>
      </c>
      <c r="B35087" s="5" t="s">
        <v>35095</v>
      </c>
      <c r="C35087" s="5">
        <v>94.5</v>
      </c>
      <c r="D35087" s="5">
        <v>0.1</v>
      </c>
      <c r="E35087" s="5">
        <v>94.6</v>
      </c>
      <c r="F35087" s="5">
        <v>193.5</v>
      </c>
      <c r="G35087" s="5">
        <v>96.4</v>
      </c>
      <c r="H35087" s="5">
        <v>96.5</v>
      </c>
      <c r="I35087" s="5">
        <v>0</v>
      </c>
      <c r="J35087" s="5">
        <v>0</v>
      </c>
      <c r="K35087" s="5">
        <v>0</v>
      </c>
    </row>
    <row r="35088" spans="1:11" x14ac:dyDescent="0.25">
      <c r="A35088" s="5">
        <f>35081</f>
      </c>
      <c r="B35088" s="5" t="s">
        <v>35096</v>
      </c>
      <c r="C35088" s="5">
        <v>104</v>
      </c>
      <c r="D35088" s="5">
        <v>0.1</v>
      </c>
      <c r="E35088" s="5">
        <v>104.1</v>
      </c>
      <c r="F35088" s="5">
        <v>207.2</v>
      </c>
      <c r="G35088" s="5">
        <v>103.7</v>
      </c>
      <c r="H35088" s="5">
        <v>103.5</v>
      </c>
      <c r="I35088" s="5">
        <v>0</v>
      </c>
      <c r="J35088" s="5">
        <v>0</v>
      </c>
      <c r="K35088" s="5">
        <v>0</v>
      </c>
    </row>
    <row r="35089" spans="1:11" x14ac:dyDescent="0.25">
      <c r="A35089" s="5">
        <f>35082</f>
      </c>
      <c r="B35089" s="5" t="s">
        <v>35097</v>
      </c>
      <c r="C35089" s="5">
        <v>104</v>
      </c>
      <c r="D35089" s="5">
        <v>0.1</v>
      </c>
      <c r="E35089" s="5">
        <v>104.1</v>
      </c>
      <c r="F35089" s="5">
        <v>207.2</v>
      </c>
      <c r="G35089" s="5">
        <v>103.7</v>
      </c>
      <c r="H35089" s="5">
        <v>103.5</v>
      </c>
      <c r="I35089" s="5">
        <v>0</v>
      </c>
      <c r="J35089" s="5">
        <v>0</v>
      </c>
      <c r="K35089" s="5">
        <v>0</v>
      </c>
    </row>
    <row r="35090" spans="1:11" x14ac:dyDescent="0.25">
      <c r="A35090" s="5">
        <f>35083</f>
      </c>
      <c r="B35090" s="5" t="s">
        <v>35098</v>
      </c>
      <c r="C35090" s="5">
        <v>101.8</v>
      </c>
      <c r="D35090" s="5">
        <v>0.1</v>
      </c>
      <c r="E35090" s="5">
        <v>101.9</v>
      </c>
      <c r="F35090" s="5">
        <v>203.5</v>
      </c>
      <c r="G35090" s="5">
        <v>101.6</v>
      </c>
      <c r="H35090" s="5">
        <v>101.5</v>
      </c>
      <c r="I35090" s="5">
        <v>0</v>
      </c>
      <c r="J35090" s="5">
        <v>0</v>
      </c>
      <c r="K35090" s="5">
        <v>0</v>
      </c>
    </row>
    <row r="35091" spans="1:11" x14ac:dyDescent="0.25">
      <c r="A35091" s="5">
        <f>35084</f>
      </c>
      <c r="B35091" s="5" t="s">
        <v>35099</v>
      </c>
      <c r="C35091" s="5">
        <v>101.8</v>
      </c>
      <c r="D35091" s="5">
        <v>0.1</v>
      </c>
      <c r="E35091" s="5">
        <v>101.9</v>
      </c>
      <c r="F35091" s="5">
        <v>203.5</v>
      </c>
      <c r="G35091" s="5">
        <v>101.6</v>
      </c>
      <c r="H35091" s="5">
        <v>101.5</v>
      </c>
      <c r="I35091" s="5">
        <v>0</v>
      </c>
      <c r="J35091" s="5">
        <v>0</v>
      </c>
      <c r="K35091" s="5">
        <v>0</v>
      </c>
    </row>
    <row r="35092" spans="1:11" x14ac:dyDescent="0.25">
      <c r="A35092" s="5">
        <f>35085</f>
      </c>
      <c r="B35092" s="5" t="s">
        <v>35100</v>
      </c>
      <c r="C35092" s="5">
        <v>93.6</v>
      </c>
      <c r="D35092" s="5">
        <v>0.1</v>
      </c>
      <c r="E35092" s="5">
        <v>93.8</v>
      </c>
      <c r="F35092" s="5">
        <v>188.3</v>
      </c>
      <c r="G35092" s="5">
        <v>93.6</v>
      </c>
      <c r="H35092" s="5">
        <v>93.5</v>
      </c>
      <c r="I35092" s="5">
        <v>0</v>
      </c>
      <c r="J35092" s="5">
        <v>0</v>
      </c>
      <c r="K35092" s="5">
        <v>0</v>
      </c>
    </row>
    <row r="35093" spans="1:11" x14ac:dyDescent="0.25">
      <c r="A35093" s="5">
        <f>35086</f>
      </c>
      <c r="B35093" s="5" t="s">
        <v>35101</v>
      </c>
      <c r="C35093" s="5">
        <v>93.6</v>
      </c>
      <c r="D35093" s="5">
        <v>0.1</v>
      </c>
      <c r="E35093" s="5">
        <v>93.8</v>
      </c>
      <c r="F35093" s="5">
        <v>188.3</v>
      </c>
      <c r="G35093" s="5">
        <v>93.6</v>
      </c>
      <c r="H35093" s="5">
        <v>93.5</v>
      </c>
      <c r="I35093" s="5">
        <v>0</v>
      </c>
      <c r="J35093" s="5">
        <v>0</v>
      </c>
      <c r="K35093" s="5">
        <v>0</v>
      </c>
    </row>
    <row r="35094" spans="1:11" x14ac:dyDescent="0.25">
      <c r="A35094" s="5">
        <f>35087</f>
      </c>
      <c r="B35094" s="5" t="s">
        <v>35102</v>
      </c>
      <c r="C35094" s="5">
        <v>97.8</v>
      </c>
      <c r="D35094" s="5">
        <v>0.1</v>
      </c>
      <c r="E35094" s="5">
        <v>98</v>
      </c>
      <c r="F35094" s="5">
        <v>199.7</v>
      </c>
      <c r="G35094" s="5">
        <v>98.6</v>
      </c>
      <c r="H35094" s="5">
        <v>97.5</v>
      </c>
      <c r="I35094" s="5">
        <v>0</v>
      </c>
      <c r="J35094" s="5">
        <v>0</v>
      </c>
      <c r="K35094" s="5">
        <v>0</v>
      </c>
    </row>
    <row r="35095" spans="1:11" x14ac:dyDescent="0.25">
      <c r="A35095" s="5">
        <f>35088</f>
      </c>
      <c r="B35095" s="5" t="s">
        <v>35103</v>
      </c>
      <c r="C35095" s="5">
        <v>97.8</v>
      </c>
      <c r="D35095" s="5">
        <v>0.1</v>
      </c>
      <c r="E35095" s="5">
        <v>98</v>
      </c>
      <c r="F35095" s="5">
        <v>199.7</v>
      </c>
      <c r="G35095" s="5">
        <v>98.6</v>
      </c>
      <c r="H35095" s="5">
        <v>97.5</v>
      </c>
      <c r="I35095" s="5">
        <v>0</v>
      </c>
      <c r="J35095" s="5">
        <v>0</v>
      </c>
      <c r="K35095" s="5">
        <v>0</v>
      </c>
    </row>
    <row r="35096" spans="1:11" x14ac:dyDescent="0.25">
      <c r="A35096" s="5">
        <f>35089</f>
      </c>
      <c r="B35096" s="5" t="s">
        <v>35104</v>
      </c>
      <c r="C35096" s="5">
        <v>97.8</v>
      </c>
      <c r="D35096" s="5">
        <v>0.1</v>
      </c>
      <c r="E35096" s="5">
        <v>98</v>
      </c>
      <c r="F35096" s="5">
        <v>199.7</v>
      </c>
      <c r="G35096" s="5">
        <v>98.6</v>
      </c>
      <c r="H35096" s="5">
        <v>97.5</v>
      </c>
      <c r="I35096" s="5">
        <v>0</v>
      </c>
      <c r="J35096" s="5">
        <v>0</v>
      </c>
      <c r="K35096" s="5">
        <v>0</v>
      </c>
    </row>
    <row r="35097" spans="1:11" x14ac:dyDescent="0.25">
      <c r="A35097" s="5">
        <f>35090</f>
      </c>
      <c r="B35097" s="5" t="s">
        <v>35105</v>
      </c>
      <c r="C35097" s="5">
        <v>97.8</v>
      </c>
      <c r="D35097" s="5">
        <v>0.1</v>
      </c>
      <c r="E35097" s="5">
        <v>98</v>
      </c>
      <c r="F35097" s="5">
        <v>199.7</v>
      </c>
      <c r="G35097" s="5">
        <v>98.6</v>
      </c>
      <c r="H35097" s="5">
        <v>97.5</v>
      </c>
      <c r="I35097" s="5">
        <v>0</v>
      </c>
      <c r="J35097" s="5">
        <v>0</v>
      </c>
      <c r="K35097" s="5">
        <v>0</v>
      </c>
    </row>
    <row r="35098" spans="1:11" x14ac:dyDescent="0.25">
      <c r="A35098" s="5">
        <f>35091</f>
      </c>
      <c r="B35098" s="5" t="s">
        <v>35106</v>
      </c>
      <c r="C35098" s="5">
        <v>102.9</v>
      </c>
      <c r="D35098" s="5">
        <v>0.1</v>
      </c>
      <c r="E35098" s="5">
        <v>103.1</v>
      </c>
      <c r="F35098" s="5">
        <v>204.9</v>
      </c>
      <c r="G35098" s="5">
        <v>102.1</v>
      </c>
      <c r="H35098" s="5">
        <v>102.3</v>
      </c>
      <c r="I35098" s="5">
        <v>0</v>
      </c>
      <c r="J35098" s="5">
        <v>0</v>
      </c>
      <c r="K35098" s="5">
        <v>0</v>
      </c>
    </row>
    <row r="35099" spans="1:11" x14ac:dyDescent="0.25">
      <c r="A35099" s="5">
        <f>35092</f>
      </c>
      <c r="B35099" s="5" t="s">
        <v>35107</v>
      </c>
      <c r="C35099" s="5">
        <v>102.9</v>
      </c>
      <c r="D35099" s="5">
        <v>0.1</v>
      </c>
      <c r="E35099" s="5">
        <v>103.1</v>
      </c>
      <c r="F35099" s="5">
        <v>204.9</v>
      </c>
      <c r="G35099" s="5">
        <v>102.1</v>
      </c>
      <c r="H35099" s="5">
        <v>102.3</v>
      </c>
      <c r="I35099" s="5">
        <v>0</v>
      </c>
      <c r="J35099" s="5">
        <v>0</v>
      </c>
      <c r="K35099" s="5">
        <v>0</v>
      </c>
    </row>
    <row r="35100" spans="1:11" x14ac:dyDescent="0.25">
      <c r="A35100" s="5">
        <f>35093</f>
      </c>
      <c r="B35100" s="5" t="s">
        <v>35108</v>
      </c>
      <c r="C35100" s="5">
        <v>104.8</v>
      </c>
      <c r="D35100" s="5">
        <v>0.1</v>
      </c>
      <c r="E35100" s="5">
        <v>104.9</v>
      </c>
      <c r="F35100" s="5">
        <v>209.1</v>
      </c>
      <c r="G35100" s="5">
        <v>104.4</v>
      </c>
      <c r="H35100" s="5">
        <v>104.2</v>
      </c>
      <c r="I35100" s="5">
        <v>0</v>
      </c>
      <c r="J35100" s="5">
        <v>0</v>
      </c>
      <c r="K35100" s="5">
        <v>0</v>
      </c>
    </row>
    <row r="35101" spans="1:11" x14ac:dyDescent="0.25">
      <c r="A35101" s="5">
        <f>35094</f>
      </c>
      <c r="B35101" s="5" t="s">
        <v>35109</v>
      </c>
      <c r="C35101" s="5">
        <v>104.8</v>
      </c>
      <c r="D35101" s="5">
        <v>0.1</v>
      </c>
      <c r="E35101" s="5">
        <v>104.9</v>
      </c>
      <c r="F35101" s="5">
        <v>209.1</v>
      </c>
      <c r="G35101" s="5">
        <v>104.4</v>
      </c>
      <c r="H35101" s="5">
        <v>104.2</v>
      </c>
      <c r="I35101" s="5">
        <v>0</v>
      </c>
      <c r="J35101" s="5">
        <v>0</v>
      </c>
      <c r="K35101" s="5">
        <v>0</v>
      </c>
    </row>
    <row r="35102" spans="1:11" x14ac:dyDescent="0.25">
      <c r="A35102" s="5">
        <f>35095</f>
      </c>
      <c r="B35102" s="5" t="s">
        <v>35110</v>
      </c>
      <c r="C35102" s="5">
        <v>101.3</v>
      </c>
      <c r="D35102" s="5">
        <v>0.1</v>
      </c>
      <c r="E35102" s="5">
        <v>101.5</v>
      </c>
      <c r="F35102" s="5">
        <v>203.2</v>
      </c>
      <c r="G35102" s="5">
        <v>101.4</v>
      </c>
      <c r="H35102" s="5">
        <v>101.3</v>
      </c>
      <c r="I35102" s="5">
        <v>0</v>
      </c>
      <c r="J35102" s="5">
        <v>0</v>
      </c>
      <c r="K35102" s="5">
        <v>0</v>
      </c>
    </row>
    <row r="35103" spans="1:11" x14ac:dyDescent="0.25">
      <c r="A35103" s="5">
        <f>35096</f>
      </c>
      <c r="B35103" s="5" t="s">
        <v>35111</v>
      </c>
      <c r="C35103" s="5">
        <v>101.3</v>
      </c>
      <c r="D35103" s="5">
        <v>0.1</v>
      </c>
      <c r="E35103" s="5">
        <v>101.5</v>
      </c>
      <c r="F35103" s="5">
        <v>203.2</v>
      </c>
      <c r="G35103" s="5">
        <v>101.4</v>
      </c>
      <c r="H35103" s="5">
        <v>101.3</v>
      </c>
      <c r="I35103" s="5">
        <v>0</v>
      </c>
      <c r="J35103" s="5">
        <v>0</v>
      </c>
      <c r="K35103" s="5">
        <v>0</v>
      </c>
    </row>
    <row r="35104" spans="1:11" x14ac:dyDescent="0.25">
      <c r="A35104" s="5">
        <f>35097</f>
      </c>
      <c r="B35104" s="5" t="s">
        <v>35112</v>
      </c>
      <c r="C35104" s="5">
        <v>101.8</v>
      </c>
      <c r="D35104" s="5">
        <v>0.1</v>
      </c>
      <c r="E35104" s="5">
        <v>101.9</v>
      </c>
      <c r="F35104" s="5">
        <v>203.4</v>
      </c>
      <c r="G35104" s="5">
        <v>101.4</v>
      </c>
      <c r="H35104" s="5">
        <v>101.3</v>
      </c>
      <c r="I35104" s="5">
        <v>0</v>
      </c>
      <c r="J35104" s="5">
        <v>0</v>
      </c>
      <c r="K35104" s="5">
        <v>0</v>
      </c>
    </row>
    <row r="35105" spans="1:11" x14ac:dyDescent="0.25">
      <c r="A35105" s="5">
        <f>35098</f>
      </c>
      <c r="B35105" s="5" t="s">
        <v>35113</v>
      </c>
      <c r="C35105" s="5">
        <v>101.8</v>
      </c>
      <c r="D35105" s="5">
        <v>0.1</v>
      </c>
      <c r="E35105" s="5">
        <v>101.9</v>
      </c>
      <c r="F35105" s="5">
        <v>203.4</v>
      </c>
      <c r="G35105" s="5">
        <v>101.4</v>
      </c>
      <c r="H35105" s="5">
        <v>101.3</v>
      </c>
      <c r="I35105" s="5">
        <v>0</v>
      </c>
      <c r="J35105" s="5">
        <v>0</v>
      </c>
      <c r="K35105" s="5">
        <v>0</v>
      </c>
    </row>
    <row r="35106" spans="1:11" x14ac:dyDescent="0.25">
      <c r="A35106" s="5">
        <f>35099</f>
      </c>
      <c r="B35106" s="5" t="s">
        <v>35114</v>
      </c>
      <c r="C35106" s="5">
        <v>101.8</v>
      </c>
      <c r="D35106" s="5">
        <v>0.1</v>
      </c>
      <c r="E35106" s="5">
        <v>101.9</v>
      </c>
      <c r="F35106" s="5">
        <v>203.4</v>
      </c>
      <c r="G35106" s="5">
        <v>101.4</v>
      </c>
      <c r="H35106" s="5">
        <v>101.3</v>
      </c>
      <c r="I35106" s="5">
        <v>0</v>
      </c>
      <c r="J35106" s="5">
        <v>0</v>
      </c>
      <c r="K35106" s="5">
        <v>0</v>
      </c>
    </row>
    <row r="35107" spans="1:11" x14ac:dyDescent="0.25">
      <c r="A35107" s="5">
        <f>35100</f>
      </c>
      <c r="B35107" s="5" t="s">
        <v>35115</v>
      </c>
      <c r="C35107" s="5">
        <v>101.8</v>
      </c>
      <c r="D35107" s="5">
        <v>0.1</v>
      </c>
      <c r="E35107" s="5">
        <v>101.9</v>
      </c>
      <c r="F35107" s="5">
        <v>203.4</v>
      </c>
      <c r="G35107" s="5">
        <v>101.4</v>
      </c>
      <c r="H35107" s="5">
        <v>101.3</v>
      </c>
      <c r="I35107" s="5">
        <v>0</v>
      </c>
      <c r="J35107" s="5">
        <v>0</v>
      </c>
      <c r="K35107" s="5">
        <v>0</v>
      </c>
    </row>
    <row r="35108" spans="1:11" x14ac:dyDescent="0.25">
      <c r="A35108" s="5">
        <f>35101</f>
      </c>
      <c r="B35108" s="5" t="s">
        <v>35116</v>
      </c>
      <c r="C35108" s="5">
        <v>101.8</v>
      </c>
      <c r="D35108" s="5">
        <v>0.1</v>
      </c>
      <c r="E35108" s="5">
        <v>102</v>
      </c>
      <c r="F35108" s="5">
        <v>204</v>
      </c>
      <c r="G35108" s="5">
        <v>101.8</v>
      </c>
      <c r="H35108" s="5">
        <v>101.6</v>
      </c>
      <c r="I35108" s="5">
        <v>0</v>
      </c>
      <c r="J35108" s="5">
        <v>0</v>
      </c>
      <c r="K35108" s="5">
        <v>0</v>
      </c>
    </row>
    <row r="35109" spans="1:11" x14ac:dyDescent="0.25">
      <c r="A35109" s="5">
        <f>35102</f>
      </c>
      <c r="B35109" s="5" t="s">
        <v>35117</v>
      </c>
      <c r="C35109" s="5">
        <v>101.8</v>
      </c>
      <c r="D35109" s="5">
        <v>0.1</v>
      </c>
      <c r="E35109" s="5">
        <v>102</v>
      </c>
      <c r="F35109" s="5">
        <v>204</v>
      </c>
      <c r="G35109" s="5">
        <v>101.8</v>
      </c>
      <c r="H35109" s="5">
        <v>101.6</v>
      </c>
      <c r="I35109" s="5">
        <v>0</v>
      </c>
      <c r="J35109" s="5">
        <v>0</v>
      </c>
      <c r="K35109" s="5">
        <v>0</v>
      </c>
    </row>
    <row r="35110" spans="1:11" x14ac:dyDescent="0.25">
      <c r="A35110" s="5">
        <f>35103</f>
      </c>
      <c r="B35110" s="5" t="s">
        <v>35118</v>
      </c>
      <c r="C35110" s="5">
        <v>101.9</v>
      </c>
      <c r="D35110" s="5">
        <v>0.1</v>
      </c>
      <c r="E35110" s="5">
        <v>102.1</v>
      </c>
      <c r="F35110" s="5">
        <v>203.3</v>
      </c>
      <c r="G35110" s="5">
        <v>101.5</v>
      </c>
      <c r="H35110" s="5">
        <v>101.3</v>
      </c>
      <c r="I35110" s="5">
        <v>0</v>
      </c>
      <c r="J35110" s="5">
        <v>0</v>
      </c>
      <c r="K35110" s="5">
        <v>0</v>
      </c>
    </row>
    <row r="35111" spans="1:11" x14ac:dyDescent="0.25">
      <c r="A35111" s="5">
        <f>35104</f>
      </c>
      <c r="B35111" s="5" t="s">
        <v>35119</v>
      </c>
      <c r="C35111" s="5">
        <v>101.9</v>
      </c>
      <c r="D35111" s="5">
        <v>0.1</v>
      </c>
      <c r="E35111" s="5">
        <v>102.1</v>
      </c>
      <c r="F35111" s="5">
        <v>203.3</v>
      </c>
      <c r="G35111" s="5">
        <v>101.5</v>
      </c>
      <c r="H35111" s="5">
        <v>101.3</v>
      </c>
      <c r="I35111" s="5">
        <v>0</v>
      </c>
      <c r="J35111" s="5">
        <v>0</v>
      </c>
      <c r="K35111" s="5">
        <v>0</v>
      </c>
    </row>
    <row r="35112" spans="1:11" x14ac:dyDescent="0.25">
      <c r="A35112" s="5">
        <f>35105</f>
      </c>
      <c r="B35112" s="5" t="s">
        <v>35120</v>
      </c>
      <c r="C35112" s="5">
        <v>100.9</v>
      </c>
      <c r="D35112" s="5">
        <v>0.1</v>
      </c>
      <c r="E35112" s="5">
        <v>101.1</v>
      </c>
      <c r="F35112" s="5">
        <v>202.8</v>
      </c>
      <c r="G35112" s="5">
        <v>101.2</v>
      </c>
      <c r="H35112" s="5">
        <v>101</v>
      </c>
      <c r="I35112" s="5">
        <v>0</v>
      </c>
      <c r="J35112" s="5">
        <v>0</v>
      </c>
      <c r="K35112" s="5">
        <v>0</v>
      </c>
    </row>
    <row r="35113" spans="1:11" x14ac:dyDescent="0.25">
      <c r="A35113" s="5">
        <f>35106</f>
      </c>
      <c r="B35113" s="5" t="s">
        <v>35121</v>
      </c>
      <c r="C35113" s="5">
        <v>100.9</v>
      </c>
      <c r="D35113" s="5">
        <v>0.1</v>
      </c>
      <c r="E35113" s="5">
        <v>101.1</v>
      </c>
      <c r="F35113" s="5">
        <v>202.8</v>
      </c>
      <c r="G35113" s="5">
        <v>101.2</v>
      </c>
      <c r="H35113" s="5">
        <v>101</v>
      </c>
      <c r="I35113" s="5">
        <v>0</v>
      </c>
      <c r="J35113" s="5">
        <v>0</v>
      </c>
      <c r="K35113" s="5">
        <v>0</v>
      </c>
    </row>
    <row r="35114" spans="1:11" x14ac:dyDescent="0.25">
      <c r="A35114" s="5">
        <f>35107</f>
      </c>
      <c r="B35114" s="5" t="s">
        <v>35122</v>
      </c>
      <c r="C35114" s="5">
        <v>101.5</v>
      </c>
      <c r="D35114" s="5">
        <v>0.1</v>
      </c>
      <c r="E35114" s="5">
        <v>101.6</v>
      </c>
      <c r="F35114" s="5">
        <v>202.6</v>
      </c>
      <c r="G35114" s="5">
        <v>101.1</v>
      </c>
      <c r="H35114" s="5">
        <v>101.1</v>
      </c>
      <c r="I35114" s="5">
        <v>0</v>
      </c>
      <c r="J35114" s="5">
        <v>0</v>
      </c>
      <c r="K35114" s="5">
        <v>0</v>
      </c>
    </row>
    <row r="35115" spans="1:11" x14ac:dyDescent="0.25">
      <c r="A35115" s="5">
        <f>35108</f>
      </c>
      <c r="B35115" s="5" t="s">
        <v>35123</v>
      </c>
      <c r="C35115" s="5">
        <v>101.5</v>
      </c>
      <c r="D35115" s="5">
        <v>0.1</v>
      </c>
      <c r="E35115" s="5">
        <v>101.6</v>
      </c>
      <c r="F35115" s="5">
        <v>202.6</v>
      </c>
      <c r="G35115" s="5">
        <v>101.1</v>
      </c>
      <c r="H35115" s="5">
        <v>101.1</v>
      </c>
      <c r="I35115" s="5">
        <v>0</v>
      </c>
      <c r="J35115" s="5">
        <v>0</v>
      </c>
      <c r="K35115" s="5">
        <v>0</v>
      </c>
    </row>
    <row r="35116" spans="1:11" x14ac:dyDescent="0.25">
      <c r="A35116" s="5">
        <f>35109</f>
      </c>
      <c r="B35116" s="5" t="s">
        <v>35124</v>
      </c>
      <c r="C35116" s="5">
        <v>101.5</v>
      </c>
      <c r="D35116" s="5">
        <v>0.1</v>
      </c>
      <c r="E35116" s="5">
        <v>101.6</v>
      </c>
      <c r="F35116" s="5">
        <v>202.6</v>
      </c>
      <c r="G35116" s="5">
        <v>101.1</v>
      </c>
      <c r="H35116" s="5">
        <v>101.1</v>
      </c>
      <c r="I35116" s="5">
        <v>0</v>
      </c>
      <c r="J35116" s="5">
        <v>0</v>
      </c>
      <c r="K35116" s="5">
        <v>0</v>
      </c>
    </row>
    <row r="35117" spans="1:11" x14ac:dyDescent="0.25">
      <c r="A35117" s="5">
        <f>35110</f>
      </c>
      <c r="B35117" s="5" t="s">
        <v>35125</v>
      </c>
      <c r="C35117" s="5">
        <v>99.6</v>
      </c>
      <c r="D35117" s="5">
        <v>0.1</v>
      </c>
      <c r="E35117" s="5">
        <v>101.6</v>
      </c>
      <c r="F35117" s="5">
        <v>202.6</v>
      </c>
      <c r="G35117" s="5">
        <v>101.1</v>
      </c>
      <c r="H35117" s="5">
        <v>101.1</v>
      </c>
      <c r="I35117" s="5">
        <v>0</v>
      </c>
      <c r="J35117" s="5">
        <v>0</v>
      </c>
      <c r="K35117" s="5">
        <v>0</v>
      </c>
    </row>
    <row r="35118" spans="1:11" x14ac:dyDescent="0.25">
      <c r="A35118" s="5">
        <f>35111</f>
      </c>
      <c r="B35118" s="5" t="s">
        <v>35126</v>
      </c>
      <c r="C35118" s="5">
        <v>99.6</v>
      </c>
      <c r="D35118" s="5">
        <v>0.1</v>
      </c>
      <c r="E35118" s="5">
        <v>99.8</v>
      </c>
      <c r="F35118" s="5">
        <v>199</v>
      </c>
      <c r="G35118" s="5">
        <v>99.3</v>
      </c>
      <c r="H35118" s="5">
        <v>99.2</v>
      </c>
      <c r="I35118" s="5">
        <v>0</v>
      </c>
      <c r="J35118" s="5">
        <v>0</v>
      </c>
      <c r="K35118" s="5">
        <v>0</v>
      </c>
    </row>
    <row r="35119" spans="1:11" x14ac:dyDescent="0.25">
      <c r="A35119" s="5">
        <f>35112</f>
      </c>
      <c r="B35119" s="5" t="s">
        <v>35127</v>
      </c>
      <c r="C35119" s="5">
        <v>99.6</v>
      </c>
      <c r="D35119" s="5">
        <v>0.1</v>
      </c>
      <c r="E35119" s="5">
        <v>99.8</v>
      </c>
      <c r="F35119" s="5">
        <v>199</v>
      </c>
      <c r="G35119" s="5">
        <v>99.3</v>
      </c>
      <c r="H35119" s="5">
        <v>99.2</v>
      </c>
      <c r="I35119" s="5">
        <v>0</v>
      </c>
      <c r="J35119" s="5">
        <v>0</v>
      </c>
      <c r="K35119" s="5">
        <v>0</v>
      </c>
    </row>
    <row r="35120" spans="1:11" x14ac:dyDescent="0.25">
      <c r="A35120" s="5">
        <f>35113</f>
      </c>
      <c r="B35120" s="5" t="s">
        <v>35128</v>
      </c>
      <c r="C35120" s="5">
        <v>103.1</v>
      </c>
      <c r="D35120" s="5">
        <v>0.1</v>
      </c>
      <c r="E35120" s="5">
        <v>103.3</v>
      </c>
      <c r="F35120" s="5">
        <v>206.2</v>
      </c>
      <c r="G35120" s="5">
        <v>102.8</v>
      </c>
      <c r="H35120" s="5">
        <v>102.6</v>
      </c>
      <c r="I35120" s="5">
        <v>0</v>
      </c>
      <c r="J35120" s="5">
        <v>0</v>
      </c>
      <c r="K35120" s="5">
        <v>0</v>
      </c>
    </row>
    <row r="35121" spans="1:11" x14ac:dyDescent="0.25">
      <c r="A35121" s="5">
        <f>35114</f>
      </c>
      <c r="B35121" s="5" t="s">
        <v>35129</v>
      </c>
      <c r="C35121" s="5">
        <v>103.1</v>
      </c>
      <c r="D35121" s="5">
        <v>0.1</v>
      </c>
      <c r="E35121" s="5">
        <v>103.3</v>
      </c>
      <c r="F35121" s="5">
        <v>206.2</v>
      </c>
      <c r="G35121" s="5">
        <v>102.8</v>
      </c>
      <c r="H35121" s="5">
        <v>102.6</v>
      </c>
      <c r="I35121" s="5">
        <v>0</v>
      </c>
      <c r="J35121" s="5">
        <v>0</v>
      </c>
      <c r="K35121" s="5">
        <v>0</v>
      </c>
    </row>
    <row r="35122" spans="1:11" x14ac:dyDescent="0.25">
      <c r="A35122" s="5">
        <f>35115</f>
      </c>
      <c r="B35122" s="5" t="s">
        <v>35130</v>
      </c>
      <c r="C35122" s="5">
        <v>93</v>
      </c>
      <c r="D35122" s="5">
        <v>0.1</v>
      </c>
      <c r="E35122" s="5">
        <v>93.1</v>
      </c>
      <c r="F35122" s="5">
        <v>191.3</v>
      </c>
      <c r="G35122" s="5">
        <v>94.9</v>
      </c>
      <c r="H35122" s="5">
        <v>94.3</v>
      </c>
      <c r="I35122" s="5">
        <v>0</v>
      </c>
      <c r="J35122" s="5">
        <v>0</v>
      </c>
      <c r="K35122" s="5">
        <v>0</v>
      </c>
    </row>
    <row r="35123" spans="1:11" x14ac:dyDescent="0.25">
      <c r="A35123" s="5">
        <f>35116</f>
      </c>
      <c r="B35123" s="5" t="s">
        <v>35131</v>
      </c>
      <c r="C35123" s="5">
        <v>93</v>
      </c>
      <c r="D35123" s="5">
        <v>0.1</v>
      </c>
      <c r="E35123" s="5">
        <v>93.1</v>
      </c>
      <c r="F35123" s="5">
        <v>191.3</v>
      </c>
      <c r="G35123" s="5">
        <v>94.9</v>
      </c>
      <c r="H35123" s="5">
        <v>94.3</v>
      </c>
      <c r="I35123" s="5">
        <v>0</v>
      </c>
      <c r="J35123" s="5">
        <v>0</v>
      </c>
      <c r="K35123" s="5">
        <v>0</v>
      </c>
    </row>
    <row r="35124" spans="1:11" x14ac:dyDescent="0.25">
      <c r="A35124" s="5">
        <f>35117</f>
      </c>
      <c r="B35124" s="5" t="s">
        <v>35132</v>
      </c>
      <c r="C35124" s="5">
        <v>95.8</v>
      </c>
      <c r="D35124" s="5">
        <v>0.1</v>
      </c>
      <c r="E35124" s="5">
        <v>96</v>
      </c>
      <c r="F35124" s="5">
        <v>191.6</v>
      </c>
      <c r="G35124" s="5">
        <v>95.6</v>
      </c>
      <c r="H35124" s="5">
        <v>95.5</v>
      </c>
      <c r="I35124" s="5">
        <v>0</v>
      </c>
      <c r="J35124" s="5">
        <v>0</v>
      </c>
      <c r="K35124" s="5">
        <v>0</v>
      </c>
    </row>
    <row r="35125" spans="1:11" x14ac:dyDescent="0.25">
      <c r="A35125" s="5">
        <f>35118</f>
      </c>
      <c r="B35125" s="5" t="s">
        <v>35133</v>
      </c>
      <c r="C35125" s="5">
        <v>95.8</v>
      </c>
      <c r="D35125" s="5">
        <v>0.1</v>
      </c>
      <c r="E35125" s="5">
        <v>96</v>
      </c>
      <c r="F35125" s="5">
        <v>191.6</v>
      </c>
      <c r="G35125" s="5">
        <v>95.6</v>
      </c>
      <c r="H35125" s="5">
        <v>95.5</v>
      </c>
      <c r="I35125" s="5">
        <v>0</v>
      </c>
      <c r="J35125" s="5">
        <v>0</v>
      </c>
      <c r="K35125" s="5">
        <v>0</v>
      </c>
    </row>
    <row r="35126" spans="1:11" x14ac:dyDescent="0.25">
      <c r="A35126" s="5">
        <f>35119</f>
      </c>
      <c r="B35126" s="5" t="s">
        <v>35134</v>
      </c>
      <c r="C35126" s="5">
        <v>95.8</v>
      </c>
      <c r="D35126" s="5">
        <v>0.1</v>
      </c>
      <c r="E35126" s="5">
        <v>96</v>
      </c>
      <c r="F35126" s="5">
        <v>191.6</v>
      </c>
      <c r="G35126" s="5">
        <v>95.6</v>
      </c>
      <c r="H35126" s="5">
        <v>95.5</v>
      </c>
      <c r="I35126" s="5">
        <v>0</v>
      </c>
      <c r="J35126" s="5">
        <v>0</v>
      </c>
      <c r="K35126" s="5">
        <v>0</v>
      </c>
    </row>
    <row r="35127" spans="1:11" x14ac:dyDescent="0.25">
      <c r="A35127" s="5">
        <f>35120</f>
      </c>
      <c r="B35127" s="5" t="s">
        <v>35135</v>
      </c>
      <c r="C35127" s="5">
        <v>95.8</v>
      </c>
      <c r="D35127" s="5">
        <v>0.1</v>
      </c>
      <c r="E35127" s="5">
        <v>96</v>
      </c>
      <c r="F35127" s="5">
        <v>191.6</v>
      </c>
      <c r="G35127" s="5">
        <v>95.6</v>
      </c>
      <c r="H35127" s="5">
        <v>95.5</v>
      </c>
      <c r="I35127" s="5">
        <v>0</v>
      </c>
      <c r="J35127" s="5">
        <v>0</v>
      </c>
      <c r="K35127" s="5">
        <v>0</v>
      </c>
    </row>
    <row r="35128" spans="1:11" x14ac:dyDescent="0.25">
      <c r="A35128" s="5">
        <f>35121</f>
      </c>
      <c r="B35128" s="5" t="s">
        <v>35136</v>
      </c>
      <c r="C35128" s="5">
        <v>98.7</v>
      </c>
      <c r="D35128" s="5">
        <v>0.1</v>
      </c>
      <c r="E35128" s="5">
        <v>98.9</v>
      </c>
      <c r="F35128" s="5">
        <v>193.5</v>
      </c>
      <c r="G35128" s="5">
        <v>96.6</v>
      </c>
      <c r="H35128" s="5">
        <v>96.1</v>
      </c>
      <c r="I35128" s="5">
        <v>0</v>
      </c>
      <c r="J35128" s="5">
        <v>0</v>
      </c>
      <c r="K35128" s="5">
        <v>0</v>
      </c>
    </row>
    <row r="35129" spans="1:11" x14ac:dyDescent="0.25">
      <c r="A35129" s="5">
        <f>35122</f>
      </c>
      <c r="B35129" s="5" t="s">
        <v>35137</v>
      </c>
      <c r="C35129" s="5">
        <v>98.7</v>
      </c>
      <c r="D35129" s="5">
        <v>0.1</v>
      </c>
      <c r="E35129" s="5">
        <v>98.9</v>
      </c>
      <c r="F35129" s="5">
        <v>193.5</v>
      </c>
      <c r="G35129" s="5">
        <v>96.6</v>
      </c>
      <c r="H35129" s="5">
        <v>96.1</v>
      </c>
      <c r="I35129" s="5">
        <v>0</v>
      </c>
      <c r="J35129" s="5">
        <v>0</v>
      </c>
      <c r="K35129" s="5">
        <v>0</v>
      </c>
    </row>
    <row r="35130" spans="1:11" x14ac:dyDescent="0.25">
      <c r="A35130" s="5">
        <f>35123</f>
      </c>
      <c r="B35130" s="5" t="s">
        <v>35138</v>
      </c>
      <c r="C35130" s="5">
        <v>102.4</v>
      </c>
      <c r="D35130" s="5">
        <v>0.1</v>
      </c>
      <c r="E35130" s="5">
        <v>102.6</v>
      </c>
      <c r="F35130" s="5">
        <v>204.2</v>
      </c>
      <c r="G35130" s="5">
        <v>101.7</v>
      </c>
      <c r="H35130" s="5">
        <v>101.3</v>
      </c>
      <c r="I35130" s="5">
        <v>0</v>
      </c>
      <c r="J35130" s="5">
        <v>0</v>
      </c>
      <c r="K35130" s="5">
        <v>0</v>
      </c>
    </row>
    <row r="35131" spans="1:11" x14ac:dyDescent="0.25">
      <c r="A35131" s="5">
        <f>35124</f>
      </c>
      <c r="B35131" s="5" t="s">
        <v>35139</v>
      </c>
      <c r="C35131" s="5">
        <v>102.4</v>
      </c>
      <c r="D35131" s="5">
        <v>0.1</v>
      </c>
      <c r="E35131" s="5">
        <v>102.6</v>
      </c>
      <c r="F35131" s="5">
        <v>204.2</v>
      </c>
      <c r="G35131" s="5">
        <v>101.7</v>
      </c>
      <c r="H35131" s="5">
        <v>101.3</v>
      </c>
      <c r="I35131" s="5">
        <v>0</v>
      </c>
      <c r="J35131" s="5">
        <v>0</v>
      </c>
      <c r="K35131" s="5">
        <v>0</v>
      </c>
    </row>
    <row r="35132" spans="1:11" x14ac:dyDescent="0.25">
      <c r="A35132" s="5">
        <f>35125</f>
      </c>
      <c r="B35132" s="5" t="s">
        <v>35140</v>
      </c>
      <c r="C35132" s="5">
        <v>102.9</v>
      </c>
      <c r="D35132" s="5">
        <v>0.1</v>
      </c>
      <c r="E35132" s="5">
        <v>103.1</v>
      </c>
      <c r="F35132" s="5">
        <v>205.4</v>
      </c>
      <c r="G35132" s="5">
        <v>102.5</v>
      </c>
      <c r="H35132" s="5">
        <v>102.3</v>
      </c>
      <c r="I35132" s="5">
        <v>0</v>
      </c>
      <c r="J35132" s="5">
        <v>0</v>
      </c>
      <c r="K35132" s="5">
        <v>0</v>
      </c>
    </row>
    <row r="35133" spans="1:11" x14ac:dyDescent="0.25">
      <c r="A35133" s="5">
        <f>35126</f>
      </c>
      <c r="B35133" s="5" t="s">
        <v>35141</v>
      </c>
      <c r="C35133" s="5">
        <v>102.9</v>
      </c>
      <c r="D35133" s="5">
        <v>0.1</v>
      </c>
      <c r="E35133" s="5">
        <v>103.1</v>
      </c>
      <c r="F35133" s="5">
        <v>205.4</v>
      </c>
      <c r="G35133" s="5">
        <v>102.5</v>
      </c>
      <c r="H35133" s="5">
        <v>102.3</v>
      </c>
      <c r="I35133" s="5">
        <v>0</v>
      </c>
      <c r="J35133" s="5">
        <v>0</v>
      </c>
      <c r="K35133" s="5">
        <v>0</v>
      </c>
    </row>
    <row r="35134" spans="1:11" x14ac:dyDescent="0.25">
      <c r="A35134" s="5">
        <f>35127</f>
      </c>
      <c r="B35134" s="5" t="s">
        <v>35142</v>
      </c>
      <c r="C35134" s="5">
        <v>103.4</v>
      </c>
      <c r="D35134" s="5">
        <v>0.1</v>
      </c>
      <c r="E35134" s="5">
        <v>103.5</v>
      </c>
      <c r="F35134" s="5">
        <v>206.5</v>
      </c>
      <c r="G35134" s="5">
        <v>103</v>
      </c>
      <c r="H35134" s="5">
        <v>102.9</v>
      </c>
      <c r="I35134" s="5">
        <v>0</v>
      </c>
      <c r="J35134" s="5">
        <v>0</v>
      </c>
      <c r="K35134" s="5">
        <v>0</v>
      </c>
    </row>
    <row r="35135" spans="1:11" x14ac:dyDescent="0.25">
      <c r="A35135" s="5">
        <f>35128</f>
      </c>
      <c r="B35135" s="5" t="s">
        <v>35143</v>
      </c>
      <c r="C35135" s="5">
        <v>103.4</v>
      </c>
      <c r="D35135" s="5">
        <v>0.1</v>
      </c>
      <c r="E35135" s="5">
        <v>103.5</v>
      </c>
      <c r="F35135" s="5">
        <v>206.5</v>
      </c>
      <c r="G35135" s="5">
        <v>103</v>
      </c>
      <c r="H35135" s="5">
        <v>102.9</v>
      </c>
      <c r="I35135" s="5">
        <v>0</v>
      </c>
      <c r="J35135" s="5">
        <v>0</v>
      </c>
      <c r="K35135" s="5">
        <v>0</v>
      </c>
    </row>
    <row r="35136" spans="1:11" x14ac:dyDescent="0.25">
      <c r="A35136" s="5">
        <f>35129</f>
      </c>
      <c r="B35136" s="5" t="s">
        <v>35144</v>
      </c>
      <c r="C35136" s="5">
        <v>103.4</v>
      </c>
      <c r="D35136" s="5">
        <v>0.1</v>
      </c>
      <c r="E35136" s="5">
        <v>103.5</v>
      </c>
      <c r="F35136" s="5">
        <v>206.5</v>
      </c>
      <c r="G35136" s="5">
        <v>103</v>
      </c>
      <c r="H35136" s="5">
        <v>102.9</v>
      </c>
      <c r="I35136" s="5">
        <v>0</v>
      </c>
      <c r="J35136" s="5">
        <v>0</v>
      </c>
      <c r="K35136" s="5">
        <v>0</v>
      </c>
    </row>
    <row r="35137" spans="1:11" x14ac:dyDescent="0.25">
      <c r="A35137" s="5">
        <f>35130</f>
      </c>
      <c r="B35137" s="5" t="s">
        <v>35145</v>
      </c>
      <c r="C35137" s="5">
        <v>103.4</v>
      </c>
      <c r="D35137" s="5">
        <v>0.1</v>
      </c>
      <c r="E35137" s="5">
        <v>103.5</v>
      </c>
      <c r="F35137" s="5">
        <v>206.5</v>
      </c>
      <c r="G35137" s="5">
        <v>103</v>
      </c>
      <c r="H35137" s="5">
        <v>102.9</v>
      </c>
      <c r="I35137" s="5">
        <v>0</v>
      </c>
      <c r="J35137" s="5">
        <v>0</v>
      </c>
      <c r="K35137" s="5">
        <v>0</v>
      </c>
    </row>
    <row r="35138" spans="1:11" x14ac:dyDescent="0.25">
      <c r="A35138" s="5">
        <f>35131</f>
      </c>
      <c r="B35138" s="5" t="s">
        <v>35146</v>
      </c>
      <c r="C35138" s="5">
        <v>99.2</v>
      </c>
      <c r="D35138" s="5">
        <v>0.1</v>
      </c>
      <c r="E35138" s="5">
        <v>99.4</v>
      </c>
      <c r="F35138" s="5">
        <v>194.9</v>
      </c>
      <c r="G35138" s="5">
        <v>97.2</v>
      </c>
      <c r="H35138" s="5">
        <v>97.1</v>
      </c>
      <c r="I35138" s="5">
        <v>0</v>
      </c>
      <c r="J35138" s="5">
        <v>0</v>
      </c>
      <c r="K35138" s="5">
        <v>0</v>
      </c>
    </row>
    <row r="35139" spans="1:11" x14ac:dyDescent="0.25">
      <c r="A35139" s="5">
        <f>35132</f>
      </c>
      <c r="B35139" s="5" t="s">
        <v>35147</v>
      </c>
      <c r="C35139" s="5">
        <v>99.2</v>
      </c>
      <c r="D35139" s="5">
        <v>0.1</v>
      </c>
      <c r="E35139" s="5">
        <v>99.4</v>
      </c>
      <c r="F35139" s="5">
        <v>194.9</v>
      </c>
      <c r="G35139" s="5">
        <v>97.2</v>
      </c>
      <c r="H35139" s="5">
        <v>97.1</v>
      </c>
      <c r="I35139" s="5">
        <v>0</v>
      </c>
      <c r="J35139" s="5">
        <v>0</v>
      </c>
      <c r="K35139" s="5">
        <v>0</v>
      </c>
    </row>
    <row r="35140" spans="1:11" x14ac:dyDescent="0.25">
      <c r="A35140" s="5">
        <f>35133</f>
      </c>
      <c r="B35140" s="5" t="s">
        <v>35148</v>
      </c>
      <c r="C35140" s="5">
        <v>96.3</v>
      </c>
      <c r="D35140" s="5">
        <v>0.1</v>
      </c>
      <c r="E35140" s="5">
        <v>96.4</v>
      </c>
      <c r="F35140" s="5">
        <v>192.1</v>
      </c>
      <c r="G35140" s="5">
        <v>95.9</v>
      </c>
      <c r="H35140" s="5">
        <v>95.7</v>
      </c>
      <c r="I35140" s="5">
        <v>0</v>
      </c>
      <c r="J35140" s="5">
        <v>0</v>
      </c>
      <c r="K35140" s="5">
        <v>0</v>
      </c>
    </row>
    <row r="35141" spans="1:11" x14ac:dyDescent="0.25">
      <c r="A35141" s="5">
        <f>35134</f>
      </c>
      <c r="B35141" s="5" t="s">
        <v>35149</v>
      </c>
      <c r="C35141" s="5">
        <v>96.3</v>
      </c>
      <c r="D35141" s="5">
        <v>0.1</v>
      </c>
      <c r="E35141" s="5">
        <v>96.4</v>
      </c>
      <c r="F35141" s="5">
        <v>192.1</v>
      </c>
      <c r="G35141" s="5">
        <v>95.9</v>
      </c>
      <c r="H35141" s="5">
        <v>95.7</v>
      </c>
      <c r="I35141" s="5">
        <v>0</v>
      </c>
      <c r="J35141" s="5">
        <v>0</v>
      </c>
      <c r="K35141" s="5">
        <v>0</v>
      </c>
    </row>
    <row r="35142" spans="1:11" x14ac:dyDescent="0.25">
      <c r="A35142" s="5">
        <f>35135</f>
      </c>
      <c r="B35142" s="5" t="s">
        <v>35150</v>
      </c>
      <c r="C35142" s="5">
        <v>98.8</v>
      </c>
      <c r="D35142" s="5">
        <v>0.1</v>
      </c>
      <c r="E35142" s="5">
        <v>98.9</v>
      </c>
      <c r="F35142" s="5">
        <v>194.7</v>
      </c>
      <c r="G35142" s="5">
        <v>97.3</v>
      </c>
      <c r="H35142" s="5">
        <v>97.4</v>
      </c>
      <c r="I35142" s="5">
        <v>0</v>
      </c>
      <c r="J35142" s="5">
        <v>0</v>
      </c>
      <c r="K35142" s="5">
        <v>0</v>
      </c>
    </row>
    <row r="35143" spans="1:11" x14ac:dyDescent="0.25">
      <c r="A35143" s="5">
        <f>35136</f>
      </c>
      <c r="B35143" s="5" t="s">
        <v>35151</v>
      </c>
      <c r="C35143" s="5">
        <v>98.8</v>
      </c>
      <c r="D35143" s="5">
        <v>0.1</v>
      </c>
      <c r="E35143" s="5">
        <v>98.9</v>
      </c>
      <c r="F35143" s="5">
        <v>194.7</v>
      </c>
      <c r="G35143" s="5">
        <v>97.3</v>
      </c>
      <c r="H35143" s="5">
        <v>97.4</v>
      </c>
      <c r="I35143" s="5">
        <v>0</v>
      </c>
      <c r="J35143" s="5">
        <v>0</v>
      </c>
      <c r="K35143" s="5">
        <v>0</v>
      </c>
    </row>
    <row r="35144" spans="1:11" x14ac:dyDescent="0.25">
      <c r="A35144" s="5">
        <f>35137</f>
      </c>
      <c r="B35144" s="5" t="s">
        <v>35152</v>
      </c>
      <c r="C35144" s="5">
        <v>96.4</v>
      </c>
      <c r="D35144" s="5">
        <v>0.1</v>
      </c>
      <c r="E35144" s="5">
        <v>96.5</v>
      </c>
      <c r="F35144" s="5">
        <v>193.9</v>
      </c>
      <c r="G35144" s="5">
        <v>96.7</v>
      </c>
      <c r="H35144" s="5">
        <v>96.5</v>
      </c>
      <c r="I35144" s="5">
        <v>0</v>
      </c>
      <c r="J35144" s="5">
        <v>0</v>
      </c>
      <c r="K35144" s="5">
        <v>0</v>
      </c>
    </row>
    <row r="35145" spans="1:11" x14ac:dyDescent="0.25">
      <c r="A35145" s="5">
        <f>35138</f>
      </c>
      <c r="B35145" s="5" t="s">
        <v>35153</v>
      </c>
      <c r="C35145" s="5">
        <v>96.4</v>
      </c>
      <c r="D35145" s="5">
        <v>0.1</v>
      </c>
      <c r="E35145" s="5">
        <v>96.5</v>
      </c>
      <c r="F35145" s="5">
        <v>193.9</v>
      </c>
      <c r="G35145" s="5">
        <v>96.7</v>
      </c>
      <c r="H35145" s="5">
        <v>96.5</v>
      </c>
      <c r="I35145" s="5">
        <v>0</v>
      </c>
      <c r="J35145" s="5">
        <v>0</v>
      </c>
      <c r="K35145" s="5">
        <v>0</v>
      </c>
    </row>
    <row r="35146" spans="1:11" x14ac:dyDescent="0.25">
      <c r="A35146" s="5">
        <f>35139</f>
      </c>
      <c r="B35146" s="5" t="s">
        <v>35154</v>
      </c>
      <c r="C35146" s="5">
        <v>96.4</v>
      </c>
      <c r="D35146" s="5">
        <v>0.1</v>
      </c>
      <c r="E35146" s="5">
        <v>96.5</v>
      </c>
      <c r="F35146" s="5">
        <v>193.9</v>
      </c>
      <c r="G35146" s="5">
        <v>96.7</v>
      </c>
      <c r="H35146" s="5">
        <v>96.5</v>
      </c>
      <c r="I35146" s="5">
        <v>0</v>
      </c>
      <c r="J35146" s="5">
        <v>0</v>
      </c>
      <c r="K35146" s="5">
        <v>0</v>
      </c>
    </row>
    <row r="35147" spans="1:11" x14ac:dyDescent="0.25">
      <c r="A35147" s="5">
        <f>35140</f>
      </c>
      <c r="B35147" s="5" t="s">
        <v>35155</v>
      </c>
      <c r="C35147" s="5">
        <v>98.6</v>
      </c>
      <c r="D35147" s="5">
        <v>0.1</v>
      </c>
      <c r="E35147" s="5">
        <v>98.8</v>
      </c>
      <c r="F35147" s="5">
        <v>196.7</v>
      </c>
      <c r="G35147" s="5">
        <v>98.1</v>
      </c>
      <c r="H35147" s="5">
        <v>98</v>
      </c>
      <c r="I35147" s="5">
        <v>0</v>
      </c>
      <c r="J35147" s="5">
        <v>0</v>
      </c>
      <c r="K35147" s="5">
        <v>0</v>
      </c>
    </row>
    <row r="35148" spans="1:11" x14ac:dyDescent="0.25">
      <c r="A35148" s="5">
        <f>35141</f>
      </c>
      <c r="B35148" s="5" t="s">
        <v>35156</v>
      </c>
      <c r="C35148" s="5">
        <v>98.6</v>
      </c>
      <c r="D35148" s="5">
        <v>0.1</v>
      </c>
      <c r="E35148" s="5">
        <v>98.8</v>
      </c>
      <c r="F35148" s="5">
        <v>196.7</v>
      </c>
      <c r="G35148" s="5">
        <v>98.1</v>
      </c>
      <c r="H35148" s="5">
        <v>98</v>
      </c>
      <c r="I35148" s="5">
        <v>0</v>
      </c>
      <c r="J35148" s="5">
        <v>0</v>
      </c>
      <c r="K35148" s="5">
        <v>0</v>
      </c>
    </row>
    <row r="35149" spans="1:11" x14ac:dyDescent="0.25">
      <c r="A35149" s="5">
        <f>35142</f>
      </c>
      <c r="B35149" s="5" t="s">
        <v>35157</v>
      </c>
      <c r="C35149" s="5">
        <v>97</v>
      </c>
      <c r="D35149" s="5">
        <v>0.1</v>
      </c>
      <c r="E35149" s="5">
        <v>97.2</v>
      </c>
      <c r="F35149" s="5">
        <v>193.5</v>
      </c>
      <c r="G35149" s="5">
        <v>96.6</v>
      </c>
      <c r="H35149" s="5">
        <v>96.5</v>
      </c>
      <c r="I35149" s="5">
        <v>0</v>
      </c>
      <c r="J35149" s="5">
        <v>0</v>
      </c>
      <c r="K35149" s="5">
        <v>0</v>
      </c>
    </row>
    <row r="35150" spans="1:11" x14ac:dyDescent="0.25">
      <c r="A35150" s="5">
        <f>35143</f>
      </c>
      <c r="B35150" s="5" t="s">
        <v>35158</v>
      </c>
      <c r="C35150" s="5">
        <v>97</v>
      </c>
      <c r="D35150" s="5">
        <v>0.1</v>
      </c>
      <c r="E35150" s="5">
        <v>97.2</v>
      </c>
      <c r="F35150" s="5">
        <v>193.5</v>
      </c>
      <c r="G35150" s="5">
        <v>96.6</v>
      </c>
      <c r="H35150" s="5">
        <v>96.5</v>
      </c>
      <c r="I35150" s="5">
        <v>0</v>
      </c>
      <c r="J35150" s="5">
        <v>0</v>
      </c>
      <c r="K35150" s="5">
        <v>0</v>
      </c>
    </row>
    <row r="35151" spans="1:11" x14ac:dyDescent="0.25">
      <c r="A35151" s="5">
        <f>35144</f>
      </c>
      <c r="B35151" s="5" t="s">
        <v>35159</v>
      </c>
      <c r="C35151" s="5">
        <v>99.1</v>
      </c>
      <c r="D35151" s="5">
        <v>0.1</v>
      </c>
      <c r="E35151" s="5">
        <v>99.2</v>
      </c>
      <c r="F35151" s="5">
        <v>203.7</v>
      </c>
      <c r="G35151" s="5">
        <v>101.2</v>
      </c>
      <c r="H35151" s="5">
        <v>100.7</v>
      </c>
      <c r="I35151" s="5">
        <v>0</v>
      </c>
      <c r="J35151" s="5">
        <v>0</v>
      </c>
      <c r="K35151" s="5">
        <v>0</v>
      </c>
    </row>
    <row r="35152" spans="1:11" x14ac:dyDescent="0.25">
      <c r="A35152" s="5">
        <f>35145</f>
      </c>
      <c r="B35152" s="5" t="s">
        <v>35160</v>
      </c>
      <c r="C35152" s="5">
        <v>99.1</v>
      </c>
      <c r="D35152" s="5">
        <v>0.1</v>
      </c>
      <c r="E35152" s="5">
        <v>99.2</v>
      </c>
      <c r="F35152" s="5">
        <v>203.7</v>
      </c>
      <c r="G35152" s="5">
        <v>101.2</v>
      </c>
      <c r="H35152" s="5">
        <v>100.7</v>
      </c>
      <c r="I35152" s="5">
        <v>0</v>
      </c>
      <c r="J35152" s="5">
        <v>0</v>
      </c>
      <c r="K35152" s="5">
        <v>0</v>
      </c>
    </row>
    <row r="35153" spans="1:11" x14ac:dyDescent="0.25">
      <c r="A35153" s="5">
        <f>35146</f>
      </c>
      <c r="B35153" s="5" t="s">
        <v>35161</v>
      </c>
      <c r="C35153" s="5">
        <v>103.7</v>
      </c>
      <c r="D35153" s="5">
        <v>0.1</v>
      </c>
      <c r="E35153" s="5">
        <v>103.8</v>
      </c>
      <c r="F35153" s="5">
        <v>206.9</v>
      </c>
      <c r="G35153" s="5">
        <v>103.2</v>
      </c>
      <c r="H35153" s="5">
        <v>103.1</v>
      </c>
      <c r="I35153" s="5">
        <v>0</v>
      </c>
      <c r="J35153" s="5">
        <v>0</v>
      </c>
      <c r="K35153" s="5">
        <v>0</v>
      </c>
    </row>
    <row r="35154" spans="1:11" x14ac:dyDescent="0.25">
      <c r="A35154" s="5">
        <f>35147</f>
      </c>
      <c r="B35154" s="5" t="s">
        <v>35162</v>
      </c>
      <c r="C35154" s="5">
        <v>103.7</v>
      </c>
      <c r="D35154" s="5">
        <v>0.1</v>
      </c>
      <c r="E35154" s="5">
        <v>103.8</v>
      </c>
      <c r="F35154" s="5">
        <v>206.9</v>
      </c>
      <c r="G35154" s="5">
        <v>103.2</v>
      </c>
      <c r="H35154" s="5">
        <v>103.1</v>
      </c>
      <c r="I35154" s="5">
        <v>0</v>
      </c>
      <c r="J35154" s="5">
        <v>0</v>
      </c>
      <c r="K35154" s="5">
        <v>0</v>
      </c>
    </row>
    <row r="35155" spans="1:11" x14ac:dyDescent="0.25">
      <c r="A35155" s="5">
        <f>35148</f>
      </c>
      <c r="B35155" s="5" t="s">
        <v>35163</v>
      </c>
      <c r="C35155" s="5">
        <v>103.7</v>
      </c>
      <c r="D35155" s="5">
        <v>0.1</v>
      </c>
      <c r="E35155" s="5">
        <v>103.8</v>
      </c>
      <c r="F35155" s="5">
        <v>206.9</v>
      </c>
      <c r="G35155" s="5">
        <v>103.2</v>
      </c>
      <c r="H35155" s="5">
        <v>103.1</v>
      </c>
      <c r="I35155" s="5">
        <v>0</v>
      </c>
      <c r="J35155" s="5">
        <v>0</v>
      </c>
      <c r="K35155" s="5">
        <v>0</v>
      </c>
    </row>
    <row r="35156" spans="1:11" x14ac:dyDescent="0.25">
      <c r="A35156" s="5">
        <f>35149</f>
      </c>
      <c r="B35156" s="5" t="s">
        <v>35164</v>
      </c>
      <c r="C35156" s="5">
        <v>103.7</v>
      </c>
      <c r="D35156" s="5">
        <v>0.1</v>
      </c>
      <c r="E35156" s="5">
        <v>103.8</v>
      </c>
      <c r="F35156" s="5">
        <v>206.9</v>
      </c>
      <c r="G35156" s="5">
        <v>103.2</v>
      </c>
      <c r="H35156" s="5">
        <v>103.1</v>
      </c>
      <c r="I35156" s="5">
        <v>0</v>
      </c>
      <c r="J35156" s="5">
        <v>0</v>
      </c>
      <c r="K35156" s="5">
        <v>0</v>
      </c>
    </row>
    <row r="35157" spans="1:11" x14ac:dyDescent="0.25">
      <c r="A35157" s="5">
        <f>35150</f>
      </c>
      <c r="B35157" s="5" t="s">
        <v>35165</v>
      </c>
      <c r="C35157" s="5">
        <v>104.5</v>
      </c>
      <c r="D35157" s="5">
        <v>0.1</v>
      </c>
      <c r="E35157" s="5">
        <v>104.6</v>
      </c>
      <c r="F35157" s="5">
        <v>208.4</v>
      </c>
      <c r="G35157" s="5">
        <v>104</v>
      </c>
      <c r="H35157" s="5">
        <v>103.9</v>
      </c>
      <c r="I35157" s="5">
        <v>0</v>
      </c>
      <c r="J35157" s="5">
        <v>0</v>
      </c>
      <c r="K35157" s="5">
        <v>0</v>
      </c>
    </row>
    <row r="35158" spans="1:11" x14ac:dyDescent="0.25">
      <c r="A35158" s="5">
        <f>35151</f>
      </c>
      <c r="B35158" s="5" t="s">
        <v>35166</v>
      </c>
      <c r="C35158" s="5">
        <v>104.5</v>
      </c>
      <c r="D35158" s="5">
        <v>0.1</v>
      </c>
      <c r="E35158" s="5">
        <v>104.6</v>
      </c>
      <c r="F35158" s="5">
        <v>208.4</v>
      </c>
      <c r="G35158" s="5">
        <v>104</v>
      </c>
      <c r="H35158" s="5">
        <v>103.9</v>
      </c>
      <c r="I35158" s="5">
        <v>0</v>
      </c>
      <c r="J35158" s="5">
        <v>0</v>
      </c>
      <c r="K35158" s="5">
        <v>0</v>
      </c>
    </row>
    <row r="35159" spans="1:11" x14ac:dyDescent="0.25">
      <c r="A35159" s="5">
        <f>35152</f>
      </c>
      <c r="B35159" s="5" t="s">
        <v>35167</v>
      </c>
      <c r="C35159" s="5">
        <v>104.1</v>
      </c>
      <c r="D35159" s="5">
        <v>0.1</v>
      </c>
      <c r="E35159" s="5">
        <v>104.3</v>
      </c>
      <c r="F35159" s="5">
        <v>207.8</v>
      </c>
      <c r="G35159" s="5">
        <v>103.7</v>
      </c>
      <c r="H35159" s="5">
        <v>103.9</v>
      </c>
      <c r="I35159" s="5">
        <v>0</v>
      </c>
      <c r="J35159" s="5">
        <v>0</v>
      </c>
      <c r="K35159" s="5">
        <v>0</v>
      </c>
    </row>
    <row r="35160" spans="1:11" x14ac:dyDescent="0.25">
      <c r="A35160" s="5">
        <f>35153</f>
      </c>
      <c r="B35160" s="5" t="s">
        <v>35168</v>
      </c>
      <c r="C35160" s="5">
        <v>104.1</v>
      </c>
      <c r="D35160" s="5">
        <v>0.1</v>
      </c>
      <c r="E35160" s="5">
        <v>104.3</v>
      </c>
      <c r="F35160" s="5">
        <v>207.8</v>
      </c>
      <c r="G35160" s="5">
        <v>103.7</v>
      </c>
      <c r="H35160" s="5">
        <v>103.6</v>
      </c>
      <c r="I35160" s="5">
        <v>0</v>
      </c>
      <c r="J35160" s="5">
        <v>0</v>
      </c>
      <c r="K35160" s="5">
        <v>0</v>
      </c>
    </row>
    <row r="35161" spans="1:11" x14ac:dyDescent="0.25">
      <c r="A35161" s="5">
        <f>35154</f>
      </c>
      <c r="B35161" s="5" t="s">
        <v>35169</v>
      </c>
      <c r="C35161" s="5">
        <v>104</v>
      </c>
      <c r="D35161" s="5">
        <v>0.1</v>
      </c>
      <c r="E35161" s="5">
        <v>104.2</v>
      </c>
      <c r="F35161" s="5">
        <v>208.2</v>
      </c>
      <c r="G35161" s="5">
        <v>103.8</v>
      </c>
      <c r="H35161" s="5">
        <v>103.6</v>
      </c>
      <c r="I35161" s="5">
        <v>0</v>
      </c>
      <c r="J35161" s="5">
        <v>0</v>
      </c>
      <c r="K35161" s="5">
        <v>0</v>
      </c>
    </row>
    <row r="35162" spans="1:11" x14ac:dyDescent="0.25">
      <c r="A35162" s="5">
        <f>35155</f>
      </c>
      <c r="B35162" s="5" t="s">
        <v>35170</v>
      </c>
      <c r="C35162" s="5">
        <v>104</v>
      </c>
      <c r="D35162" s="5">
        <v>0.1</v>
      </c>
      <c r="E35162" s="5">
        <v>104.2</v>
      </c>
      <c r="F35162" s="5">
        <v>208.2</v>
      </c>
      <c r="G35162" s="5">
        <v>103.8</v>
      </c>
      <c r="H35162" s="5">
        <v>103.7</v>
      </c>
      <c r="I35162" s="5">
        <v>0</v>
      </c>
      <c r="J35162" s="5">
        <v>0</v>
      </c>
      <c r="K35162" s="5">
        <v>0</v>
      </c>
    </row>
    <row r="35163" spans="1:11" x14ac:dyDescent="0.25">
      <c r="A35163" s="5">
        <f>35156</f>
      </c>
      <c r="B35163" s="5" t="s">
        <v>35171</v>
      </c>
      <c r="C35163" s="5">
        <v>104.6</v>
      </c>
      <c r="D35163" s="5">
        <v>0.1</v>
      </c>
      <c r="E35163" s="5">
        <v>104.8</v>
      </c>
      <c r="F35163" s="5">
        <v>208.6</v>
      </c>
      <c r="G35163" s="5">
        <v>103.8</v>
      </c>
      <c r="H35163" s="5">
        <v>103.7</v>
      </c>
      <c r="I35163" s="5">
        <v>0</v>
      </c>
      <c r="J35163" s="5">
        <v>0</v>
      </c>
      <c r="K35163" s="5">
        <v>0</v>
      </c>
    </row>
    <row r="35164" spans="1:11" x14ac:dyDescent="0.25">
      <c r="A35164" s="5">
        <f>35157</f>
      </c>
      <c r="B35164" s="5" t="s">
        <v>35172</v>
      </c>
      <c r="C35164" s="5">
        <v>104.6</v>
      </c>
      <c r="D35164" s="5">
        <v>0.1</v>
      </c>
      <c r="E35164" s="5">
        <v>104.8</v>
      </c>
      <c r="F35164" s="5">
        <v>208.6</v>
      </c>
      <c r="G35164" s="5">
        <v>104.1</v>
      </c>
      <c r="H35164" s="5">
        <v>103.9</v>
      </c>
      <c r="I35164" s="5">
        <v>0</v>
      </c>
      <c r="J35164" s="5">
        <v>0</v>
      </c>
      <c r="K35164" s="5">
        <v>0</v>
      </c>
    </row>
    <row r="35165" spans="1:11" x14ac:dyDescent="0.25">
      <c r="A35165" s="5">
        <f>35158</f>
      </c>
      <c r="B35165" s="5" t="s">
        <v>35173</v>
      </c>
      <c r="C35165" s="5">
        <v>104.6</v>
      </c>
      <c r="D35165" s="5">
        <v>0.1</v>
      </c>
      <c r="E35165" s="5">
        <v>104.8</v>
      </c>
      <c r="F35165" s="5">
        <v>208.6</v>
      </c>
      <c r="G35165" s="5">
        <v>104.1</v>
      </c>
      <c r="H35165" s="5">
        <v>103.9</v>
      </c>
      <c r="I35165" s="5">
        <v>0</v>
      </c>
      <c r="J35165" s="5">
        <v>0</v>
      </c>
      <c r="K35165" s="5">
        <v>0</v>
      </c>
    </row>
    <row r="35166" spans="1:11" x14ac:dyDescent="0.25">
      <c r="A35166" s="5">
        <f>35159</f>
      </c>
      <c r="B35166" s="5" t="s">
        <v>35174</v>
      </c>
      <c r="C35166" s="5">
        <v>104.6</v>
      </c>
      <c r="D35166" s="5">
        <v>0.1</v>
      </c>
      <c r="E35166" s="5">
        <v>104.8</v>
      </c>
      <c r="F35166" s="5">
        <v>208.6</v>
      </c>
      <c r="G35166" s="5">
        <v>104.1</v>
      </c>
      <c r="H35166" s="5">
        <v>103.9</v>
      </c>
      <c r="I35166" s="5">
        <v>0</v>
      </c>
      <c r="J35166" s="5">
        <v>0</v>
      </c>
      <c r="K35166" s="5">
        <v>0</v>
      </c>
    </row>
    <row r="35167" spans="1:11" x14ac:dyDescent="0.25">
      <c r="A35167" s="5">
        <f>35160</f>
      </c>
      <c r="B35167" s="5" t="s">
        <v>35175</v>
      </c>
      <c r="C35167" s="5">
        <v>104.6</v>
      </c>
      <c r="D35167" s="5">
        <v>0.1</v>
      </c>
      <c r="E35167" s="5">
        <v>104.8</v>
      </c>
      <c r="F35167" s="5">
        <v>208.6</v>
      </c>
      <c r="G35167" s="5">
        <v>104.1</v>
      </c>
      <c r="H35167" s="5">
        <v>103.9</v>
      </c>
      <c r="I35167" s="5">
        <v>0</v>
      </c>
      <c r="J35167" s="5">
        <v>0</v>
      </c>
      <c r="K35167" s="5">
        <v>0</v>
      </c>
    </row>
    <row r="35168" spans="1:11" x14ac:dyDescent="0.25">
      <c r="A35168" s="5">
        <f>35161</f>
      </c>
      <c r="B35168" s="5" t="s">
        <v>35176</v>
      </c>
      <c r="C35168" s="5">
        <v>104.1</v>
      </c>
      <c r="D35168" s="5">
        <v>0.1</v>
      </c>
      <c r="E35168" s="5">
        <v>104.3</v>
      </c>
      <c r="F35168" s="5">
        <v>208.5</v>
      </c>
      <c r="G35168" s="5">
        <v>104</v>
      </c>
      <c r="H35168" s="5">
        <v>103.7</v>
      </c>
      <c r="I35168" s="5">
        <v>0</v>
      </c>
      <c r="J35168" s="5">
        <v>0</v>
      </c>
      <c r="K35168" s="5">
        <v>0</v>
      </c>
    </row>
    <row r="35169" spans="1:11" x14ac:dyDescent="0.25">
      <c r="A35169" s="5">
        <f>35162</f>
      </c>
      <c r="B35169" s="5" t="s">
        <v>35177</v>
      </c>
      <c r="C35169" s="5">
        <v>104.1</v>
      </c>
      <c r="D35169" s="5">
        <v>0.1</v>
      </c>
      <c r="E35169" s="5">
        <v>104.3</v>
      </c>
      <c r="F35169" s="5">
        <v>208.5</v>
      </c>
      <c r="G35169" s="5">
        <v>104</v>
      </c>
      <c r="H35169" s="5">
        <v>103.7</v>
      </c>
      <c r="I35169" s="5">
        <v>0</v>
      </c>
      <c r="J35169" s="5">
        <v>0</v>
      </c>
      <c r="K35169" s="5">
        <v>0</v>
      </c>
    </row>
    <row r="35170" spans="1:11" x14ac:dyDescent="0.25">
      <c r="A35170" s="5">
        <f>35163</f>
      </c>
      <c r="B35170" s="5" t="s">
        <v>35178</v>
      </c>
      <c r="C35170" s="5">
        <v>104.3</v>
      </c>
      <c r="D35170" s="5">
        <v>0.1</v>
      </c>
      <c r="E35170" s="5">
        <v>104.4</v>
      </c>
      <c r="F35170" s="5">
        <v>208.3</v>
      </c>
      <c r="G35170" s="5">
        <v>104</v>
      </c>
      <c r="H35170" s="5">
        <v>103.9</v>
      </c>
      <c r="I35170" s="5">
        <v>0</v>
      </c>
      <c r="J35170" s="5">
        <v>0</v>
      </c>
      <c r="K35170" s="5">
        <v>0</v>
      </c>
    </row>
    <row r="35171" spans="1:11" x14ac:dyDescent="0.25">
      <c r="A35171" s="5">
        <f>35164</f>
      </c>
      <c r="B35171" s="5" t="s">
        <v>35179</v>
      </c>
      <c r="C35171" s="5">
        <v>104.3</v>
      </c>
      <c r="D35171" s="5">
        <v>0.1</v>
      </c>
      <c r="E35171" s="5">
        <v>104.4</v>
      </c>
      <c r="F35171" s="5">
        <v>208.3</v>
      </c>
      <c r="G35171" s="5">
        <v>104</v>
      </c>
      <c r="H35171" s="5">
        <v>103.9</v>
      </c>
      <c r="I35171" s="5">
        <v>0</v>
      </c>
      <c r="J35171" s="5">
        <v>0</v>
      </c>
      <c r="K35171" s="5">
        <v>0</v>
      </c>
    </row>
    <row r="35172" spans="1:11" x14ac:dyDescent="0.25">
      <c r="A35172" s="5">
        <f>35165</f>
      </c>
      <c r="B35172" s="5" t="s">
        <v>35180</v>
      </c>
      <c r="C35172" s="5">
        <v>103.9</v>
      </c>
      <c r="D35172" s="5">
        <v>0.1</v>
      </c>
      <c r="E35172" s="5">
        <v>104</v>
      </c>
      <c r="F35172" s="5">
        <v>207.6</v>
      </c>
      <c r="G35172" s="5">
        <v>103.6</v>
      </c>
      <c r="H35172" s="5">
        <v>103.4</v>
      </c>
      <c r="I35172" s="5">
        <v>0</v>
      </c>
      <c r="J35172" s="5">
        <v>0</v>
      </c>
      <c r="K35172" s="5">
        <v>0</v>
      </c>
    </row>
    <row r="35173" spans="1:11" x14ac:dyDescent="0.25">
      <c r="A35173" s="5">
        <f>35166</f>
      </c>
      <c r="B35173" s="5" t="s">
        <v>35181</v>
      </c>
      <c r="C35173" s="5">
        <v>103.9</v>
      </c>
      <c r="D35173" s="5">
        <v>0.1</v>
      </c>
      <c r="E35173" s="5">
        <v>104</v>
      </c>
      <c r="F35173" s="5">
        <v>207.6</v>
      </c>
      <c r="G35173" s="5">
        <v>103.6</v>
      </c>
      <c r="H35173" s="5">
        <v>103.4</v>
      </c>
      <c r="I35173" s="5">
        <v>0</v>
      </c>
      <c r="J35173" s="5">
        <v>0</v>
      </c>
      <c r="K35173" s="5">
        <v>0</v>
      </c>
    </row>
    <row r="35174" spans="1:11" x14ac:dyDescent="0.25">
      <c r="A35174" s="5">
        <f>35167</f>
      </c>
      <c r="B35174" s="5" t="s">
        <v>35182</v>
      </c>
      <c r="C35174" s="5">
        <v>104.2</v>
      </c>
      <c r="D35174" s="5">
        <v>0.1</v>
      </c>
      <c r="E35174" s="5">
        <v>104.3</v>
      </c>
      <c r="F35174" s="5">
        <v>208.4</v>
      </c>
      <c r="G35174" s="5">
        <v>104</v>
      </c>
      <c r="H35174" s="5">
        <v>103.8</v>
      </c>
      <c r="I35174" s="5">
        <v>0</v>
      </c>
      <c r="J35174" s="5">
        <v>0</v>
      </c>
      <c r="K35174" s="5">
        <v>0</v>
      </c>
    </row>
    <row r="35175" spans="1:11" x14ac:dyDescent="0.25">
      <c r="A35175" s="5">
        <f>35168</f>
      </c>
      <c r="B35175" s="5" t="s">
        <v>35183</v>
      </c>
      <c r="C35175" s="5">
        <v>104.2</v>
      </c>
      <c r="D35175" s="5">
        <v>0.1</v>
      </c>
      <c r="E35175" s="5">
        <v>104.3</v>
      </c>
      <c r="F35175" s="5">
        <v>208.4</v>
      </c>
      <c r="G35175" s="5">
        <v>104</v>
      </c>
      <c r="H35175" s="5">
        <v>103.8</v>
      </c>
      <c r="I35175" s="5">
        <v>0</v>
      </c>
      <c r="J35175" s="5">
        <v>0</v>
      </c>
      <c r="K35175" s="5">
        <v>0</v>
      </c>
    </row>
    <row r="35176" spans="1:11" x14ac:dyDescent="0.25">
      <c r="A35176" s="5">
        <f>35169</f>
      </c>
      <c r="B35176" s="5" t="s">
        <v>35184</v>
      </c>
      <c r="C35176" s="5">
        <v>104.2</v>
      </c>
      <c r="D35176" s="5">
        <v>0.1</v>
      </c>
      <c r="E35176" s="5">
        <v>104.3</v>
      </c>
      <c r="F35176" s="5">
        <v>208.4</v>
      </c>
      <c r="G35176" s="5">
        <v>104</v>
      </c>
      <c r="H35176" s="5">
        <v>103.8</v>
      </c>
      <c r="I35176" s="5">
        <v>0</v>
      </c>
      <c r="J35176" s="5">
        <v>0</v>
      </c>
      <c r="K35176" s="5">
        <v>0</v>
      </c>
    </row>
    <row r="35177" spans="1:11" x14ac:dyDescent="0.25">
      <c r="A35177" s="5">
        <f>35170</f>
      </c>
      <c r="B35177" s="5" t="s">
        <v>35185</v>
      </c>
      <c r="C35177" s="5">
        <v>104.3</v>
      </c>
      <c r="D35177" s="5">
        <v>0.1</v>
      </c>
      <c r="E35177" s="5">
        <v>104.3</v>
      </c>
      <c r="F35177" s="5">
        <v>208.2</v>
      </c>
      <c r="G35177" s="5">
        <v>103.9</v>
      </c>
      <c r="H35177" s="5">
        <v>103.7</v>
      </c>
      <c r="I35177" s="5">
        <v>0</v>
      </c>
      <c r="J35177" s="5">
        <v>0</v>
      </c>
      <c r="K35177" s="5">
        <v>0</v>
      </c>
    </row>
    <row r="35178" spans="1:11" x14ac:dyDescent="0.25">
      <c r="A35178" s="5">
        <f>35171</f>
      </c>
      <c r="B35178" s="5" t="s">
        <v>35186</v>
      </c>
      <c r="C35178" s="5">
        <v>104.3</v>
      </c>
      <c r="D35178" s="5">
        <v>0.1</v>
      </c>
      <c r="E35178" s="5">
        <v>104.3</v>
      </c>
      <c r="F35178" s="5">
        <v>208.2</v>
      </c>
      <c r="G35178" s="5">
        <v>103.9</v>
      </c>
      <c r="H35178" s="5">
        <v>103.7</v>
      </c>
      <c r="I35178" s="5">
        <v>0</v>
      </c>
      <c r="J35178" s="5">
        <v>0</v>
      </c>
      <c r="K35178" s="5">
        <v>0</v>
      </c>
    </row>
    <row r="35179" spans="1:11" x14ac:dyDescent="0.25">
      <c r="A35179" s="5">
        <f>35172</f>
      </c>
      <c r="B35179" s="5" t="s">
        <v>35187</v>
      </c>
      <c r="C35179" s="5">
        <v>104.1</v>
      </c>
      <c r="D35179" s="5">
        <v>0.1</v>
      </c>
      <c r="E35179" s="5">
        <v>104.2</v>
      </c>
      <c r="F35179" s="5">
        <v>207.9</v>
      </c>
      <c r="G35179" s="5">
        <v>103.8</v>
      </c>
      <c r="H35179" s="5">
        <v>103.6</v>
      </c>
      <c r="I35179" s="5">
        <v>0</v>
      </c>
      <c r="J35179" s="5">
        <v>0</v>
      </c>
      <c r="K35179" s="5">
        <v>0</v>
      </c>
    </row>
    <row r="35180" spans="1:11" x14ac:dyDescent="0.25">
      <c r="A35180" s="5">
        <f>35173</f>
      </c>
      <c r="B35180" s="5" t="s">
        <v>35188</v>
      </c>
      <c r="C35180" s="5">
        <v>104.1</v>
      </c>
      <c r="D35180" s="5">
        <v>0.1</v>
      </c>
      <c r="E35180" s="5">
        <v>104.2</v>
      </c>
      <c r="F35180" s="5">
        <v>207.9</v>
      </c>
      <c r="G35180" s="5">
        <v>103.8</v>
      </c>
      <c r="H35180" s="5">
        <v>103.6</v>
      </c>
      <c r="I35180" s="5">
        <v>0</v>
      </c>
      <c r="J35180" s="5">
        <v>0</v>
      </c>
      <c r="K35180" s="5">
        <v>0</v>
      </c>
    </row>
    <row r="35181" spans="1:11" x14ac:dyDescent="0.25">
      <c r="A35181" s="5">
        <f>35174</f>
      </c>
      <c r="B35181" s="5" t="s">
        <v>35189</v>
      </c>
      <c r="C35181" s="5">
        <v>104.1</v>
      </c>
      <c r="D35181" s="5">
        <v>0.1</v>
      </c>
      <c r="E35181" s="5">
        <v>105.1</v>
      </c>
      <c r="F35181" s="5">
        <v>209.3</v>
      </c>
      <c r="G35181" s="5">
        <v>104.4</v>
      </c>
      <c r="H35181" s="5">
        <v>104.3</v>
      </c>
      <c r="I35181" s="5">
        <v>0</v>
      </c>
      <c r="J35181" s="5">
        <v>0</v>
      </c>
      <c r="K35181" s="5">
        <v>0</v>
      </c>
    </row>
    <row r="35182" spans="1:11" x14ac:dyDescent="0.25">
      <c r="A35182" s="5">
        <f>35175</f>
      </c>
      <c r="B35182" s="5" t="s">
        <v>35190</v>
      </c>
      <c r="C35182" s="5">
        <v>105</v>
      </c>
      <c r="D35182" s="5">
        <v>0.1</v>
      </c>
      <c r="E35182" s="5">
        <v>105.1</v>
      </c>
      <c r="F35182" s="5">
        <v>209.3</v>
      </c>
      <c r="G35182" s="5">
        <v>104.4</v>
      </c>
      <c r="H35182" s="5">
        <v>104.3</v>
      </c>
      <c r="I35182" s="5">
        <v>0</v>
      </c>
      <c r="J35182" s="5">
        <v>0</v>
      </c>
      <c r="K35182" s="5">
        <v>0</v>
      </c>
    </row>
    <row r="35183" spans="1:11" x14ac:dyDescent="0.25">
      <c r="A35183" s="5">
        <f>35176</f>
      </c>
      <c r="B35183" s="5" t="s">
        <v>35191</v>
      </c>
      <c r="C35183" s="5">
        <v>105</v>
      </c>
      <c r="D35183" s="5">
        <v>0.1</v>
      </c>
      <c r="E35183" s="5">
        <v>104.3</v>
      </c>
      <c r="F35183" s="5">
        <v>207.8</v>
      </c>
      <c r="G35183" s="5">
        <v>103.7</v>
      </c>
      <c r="H35183" s="5">
        <v>103.5</v>
      </c>
      <c r="I35183" s="5">
        <v>0</v>
      </c>
      <c r="J35183" s="5">
        <v>0</v>
      </c>
      <c r="K35183" s="5">
        <v>0</v>
      </c>
    </row>
    <row r="35184" spans="1:11" x14ac:dyDescent="0.25">
      <c r="A35184" s="5">
        <f>35177</f>
      </c>
      <c r="B35184" s="5" t="s">
        <v>35192</v>
      </c>
      <c r="C35184" s="5">
        <v>104.1</v>
      </c>
      <c r="D35184" s="5">
        <v>0.1</v>
      </c>
      <c r="E35184" s="5">
        <v>104.3</v>
      </c>
      <c r="F35184" s="5">
        <v>207.8</v>
      </c>
      <c r="G35184" s="5">
        <v>103.7</v>
      </c>
      <c r="H35184" s="5">
        <v>103.5</v>
      </c>
      <c r="I35184" s="5">
        <v>0</v>
      </c>
      <c r="J35184" s="5">
        <v>0</v>
      </c>
      <c r="K35184" s="5">
        <v>0</v>
      </c>
    </row>
    <row r="35185" spans="1:11" x14ac:dyDescent="0.25">
      <c r="A35185" s="5">
        <f>35178</f>
      </c>
      <c r="B35185" s="5" t="s">
        <v>35193</v>
      </c>
      <c r="C35185" s="5">
        <v>104.1</v>
      </c>
      <c r="D35185" s="5">
        <v>0.1</v>
      </c>
      <c r="E35185" s="5">
        <v>104.3</v>
      </c>
      <c r="F35185" s="5">
        <v>207.8</v>
      </c>
      <c r="G35185" s="5">
        <v>103.7</v>
      </c>
      <c r="H35185" s="5">
        <v>103.5</v>
      </c>
      <c r="I35185" s="5">
        <v>0</v>
      </c>
      <c r="J35185" s="5">
        <v>0</v>
      </c>
      <c r="K35185" s="5">
        <v>0</v>
      </c>
    </row>
    <row r="35186" spans="1:11" x14ac:dyDescent="0.25">
      <c r="A35186" s="5">
        <f>35179</f>
      </c>
      <c r="B35186" s="5" t="s">
        <v>35194</v>
      </c>
      <c r="C35186" s="5">
        <v>104.1</v>
      </c>
      <c r="D35186" s="5">
        <v>0.1</v>
      </c>
      <c r="E35186" s="5">
        <v>104.3</v>
      </c>
      <c r="F35186" s="5">
        <v>207.8</v>
      </c>
      <c r="G35186" s="5">
        <v>103.7</v>
      </c>
      <c r="H35186" s="5">
        <v>103.5</v>
      </c>
      <c r="I35186" s="5">
        <v>0</v>
      </c>
      <c r="J35186" s="5">
        <v>0</v>
      </c>
      <c r="K35186" s="5">
        <v>0</v>
      </c>
    </row>
    <row r="35187" spans="1:11" x14ac:dyDescent="0.25">
      <c r="A35187" s="5">
        <f>35180</f>
      </c>
      <c r="B35187" s="5" t="s">
        <v>35195</v>
      </c>
      <c r="C35187" s="5">
        <v>103.1</v>
      </c>
      <c r="D35187" s="5">
        <v>0.1</v>
      </c>
      <c r="E35187" s="5">
        <v>103.2</v>
      </c>
      <c r="F35187" s="5">
        <v>206.4</v>
      </c>
      <c r="G35187" s="5">
        <v>102.9</v>
      </c>
      <c r="H35187" s="5">
        <v>102.8</v>
      </c>
      <c r="I35187" s="5">
        <v>0</v>
      </c>
      <c r="J35187" s="5">
        <v>0</v>
      </c>
      <c r="K35187" s="5">
        <v>0</v>
      </c>
    </row>
    <row r="35188" spans="1:11" x14ac:dyDescent="0.25">
      <c r="A35188" s="5">
        <f>35181</f>
      </c>
      <c r="B35188" s="5" t="s">
        <v>35196</v>
      </c>
      <c r="C35188" s="5">
        <v>103.1</v>
      </c>
      <c r="D35188" s="5">
        <v>0.1</v>
      </c>
      <c r="E35188" s="5">
        <v>103.2</v>
      </c>
      <c r="F35188" s="5">
        <v>206.4</v>
      </c>
      <c r="G35188" s="5">
        <v>102.9</v>
      </c>
      <c r="H35188" s="5">
        <v>102.8</v>
      </c>
      <c r="I35188" s="5">
        <v>0</v>
      </c>
      <c r="J35188" s="5">
        <v>0</v>
      </c>
      <c r="K35188" s="5">
        <v>0</v>
      </c>
    </row>
    <row r="35189" spans="1:11" x14ac:dyDescent="0.25">
      <c r="A35189" s="5">
        <f>35182</f>
      </c>
      <c r="B35189" s="5" t="s">
        <v>35197</v>
      </c>
      <c r="C35189" s="5">
        <v>103.1</v>
      </c>
      <c r="D35189" s="5">
        <v>0.1</v>
      </c>
      <c r="E35189" s="5">
        <v>103.3</v>
      </c>
      <c r="F35189" s="5">
        <v>206.7</v>
      </c>
      <c r="G35189" s="5">
        <v>103.2</v>
      </c>
      <c r="H35189" s="5">
        <v>103</v>
      </c>
      <c r="I35189" s="5">
        <v>0</v>
      </c>
      <c r="J35189" s="5">
        <v>0</v>
      </c>
      <c r="K35189" s="5">
        <v>0</v>
      </c>
    </row>
    <row r="35190" spans="1:11" x14ac:dyDescent="0.25">
      <c r="A35190" s="5">
        <f>35183</f>
      </c>
      <c r="B35190" s="5" t="s">
        <v>35198</v>
      </c>
      <c r="C35190" s="5">
        <v>103.1</v>
      </c>
      <c r="D35190" s="5">
        <v>0.1</v>
      </c>
      <c r="E35190" s="5">
        <v>103.3</v>
      </c>
      <c r="F35190" s="5">
        <v>206.7</v>
      </c>
      <c r="G35190" s="5">
        <v>103.2</v>
      </c>
      <c r="H35190" s="5">
        <v>103</v>
      </c>
      <c r="I35190" s="5">
        <v>0</v>
      </c>
      <c r="J35190" s="5">
        <v>0</v>
      </c>
      <c r="K35190" s="5">
        <v>0</v>
      </c>
    </row>
    <row r="35191" spans="1:11" x14ac:dyDescent="0.25">
      <c r="A35191" s="5">
        <f>35184</f>
      </c>
      <c r="B35191" s="5" t="s">
        <v>35199</v>
      </c>
      <c r="C35191" s="5">
        <v>102.7</v>
      </c>
      <c r="D35191" s="5">
        <v>0.1</v>
      </c>
      <c r="E35191" s="5">
        <v>102.9</v>
      </c>
      <c r="F35191" s="5">
        <v>205.5</v>
      </c>
      <c r="G35191" s="5">
        <v>102.6</v>
      </c>
      <c r="H35191" s="5">
        <v>102.4</v>
      </c>
      <c r="I35191" s="5">
        <v>0</v>
      </c>
      <c r="J35191" s="5">
        <v>0</v>
      </c>
      <c r="K35191" s="5">
        <v>0</v>
      </c>
    </row>
    <row r="35192" spans="1:11" x14ac:dyDescent="0.25">
      <c r="A35192" s="5">
        <f>35185</f>
      </c>
      <c r="B35192" s="5" t="s">
        <v>35200</v>
      </c>
      <c r="C35192" s="5">
        <v>102.7</v>
      </c>
      <c r="D35192" s="5">
        <v>0.1</v>
      </c>
      <c r="E35192" s="5">
        <v>102.9</v>
      </c>
      <c r="F35192" s="5">
        <v>205.5</v>
      </c>
      <c r="G35192" s="5">
        <v>102.6</v>
      </c>
      <c r="H35192" s="5">
        <v>102.4</v>
      </c>
      <c r="I35192" s="5">
        <v>0</v>
      </c>
      <c r="J35192" s="5">
        <v>0</v>
      </c>
      <c r="K35192" s="5">
        <v>0</v>
      </c>
    </row>
    <row r="35193" spans="1:11" x14ac:dyDescent="0.25">
      <c r="A35193" s="5">
        <f>35186</f>
      </c>
      <c r="B35193" s="5" t="s">
        <v>35201</v>
      </c>
      <c r="C35193" s="5">
        <v>103.1</v>
      </c>
      <c r="D35193" s="5">
        <v>0.1</v>
      </c>
      <c r="E35193" s="5">
        <v>103.2</v>
      </c>
      <c r="F35193" s="5">
        <v>205.8</v>
      </c>
      <c r="G35193" s="5">
        <v>102.6</v>
      </c>
      <c r="H35193" s="5">
        <v>102.5</v>
      </c>
      <c r="I35193" s="5">
        <v>0</v>
      </c>
      <c r="J35193" s="5">
        <v>0</v>
      </c>
      <c r="K35193" s="5">
        <v>0</v>
      </c>
    </row>
    <row r="35194" spans="1:11" x14ac:dyDescent="0.25">
      <c r="A35194" s="5">
        <f>35187</f>
      </c>
      <c r="B35194" s="5" t="s">
        <v>35202</v>
      </c>
      <c r="C35194" s="5">
        <v>103.1</v>
      </c>
      <c r="D35194" s="5">
        <v>0.1</v>
      </c>
      <c r="E35194" s="5">
        <v>103.2</v>
      </c>
      <c r="F35194" s="5">
        <v>205.8</v>
      </c>
      <c r="G35194" s="5">
        <v>102.6</v>
      </c>
      <c r="H35194" s="5">
        <v>102.5</v>
      </c>
      <c r="I35194" s="5">
        <v>0</v>
      </c>
      <c r="J35194" s="5">
        <v>0</v>
      </c>
      <c r="K35194" s="5">
        <v>0</v>
      </c>
    </row>
    <row r="35195" spans="1:11" x14ac:dyDescent="0.25">
      <c r="A35195" s="5">
        <f>35188</f>
      </c>
      <c r="B35195" s="5" t="s">
        <v>35203</v>
      </c>
      <c r="C35195" s="5">
        <v>103.1</v>
      </c>
      <c r="D35195" s="5">
        <v>0.1</v>
      </c>
      <c r="E35195" s="5">
        <v>103.2</v>
      </c>
      <c r="F35195" s="5">
        <v>205.8</v>
      </c>
      <c r="G35195" s="5">
        <v>102.6</v>
      </c>
      <c r="H35195" s="5">
        <v>102.5</v>
      </c>
      <c r="I35195" s="5">
        <v>0</v>
      </c>
      <c r="J35195" s="5">
        <v>0</v>
      </c>
      <c r="K35195" s="5">
        <v>0</v>
      </c>
    </row>
    <row r="35196" spans="1:11" x14ac:dyDescent="0.25">
      <c r="A35196" s="5">
        <f>35189</f>
      </c>
      <c r="B35196" s="5" t="s">
        <v>35204</v>
      </c>
      <c r="C35196" s="5">
        <v>103.1</v>
      </c>
      <c r="D35196" s="5">
        <v>0.1</v>
      </c>
      <c r="E35196" s="5">
        <v>103.2</v>
      </c>
      <c r="F35196" s="5">
        <v>205.8</v>
      </c>
      <c r="G35196" s="5">
        <v>102.6</v>
      </c>
      <c r="H35196" s="5">
        <v>102.5</v>
      </c>
      <c r="I35196" s="5">
        <v>0</v>
      </c>
      <c r="J35196" s="5">
        <v>0</v>
      </c>
      <c r="K35196" s="5">
        <v>0</v>
      </c>
    </row>
    <row r="35197" spans="1:11" x14ac:dyDescent="0.25">
      <c r="A35197" s="5">
        <f>35190</f>
      </c>
      <c r="B35197" s="5" t="s">
        <v>35205</v>
      </c>
      <c r="C35197" s="5">
        <v>102.1</v>
      </c>
      <c r="D35197" s="5">
        <v>0.1</v>
      </c>
      <c r="E35197" s="5">
        <v>102.2</v>
      </c>
      <c r="F35197" s="5">
        <v>203.3</v>
      </c>
      <c r="G35197" s="5">
        <v>101.4</v>
      </c>
      <c r="H35197" s="5">
        <v>101.3</v>
      </c>
      <c r="I35197" s="5">
        <v>0</v>
      </c>
      <c r="J35197" s="5">
        <v>0</v>
      </c>
      <c r="K35197" s="5">
        <v>0</v>
      </c>
    </row>
    <row r="35198" spans="1:11" x14ac:dyDescent="0.25">
      <c r="A35198" s="5">
        <f>35191</f>
      </c>
      <c r="B35198" s="5" t="s">
        <v>35206</v>
      </c>
      <c r="C35198" s="5">
        <v>102.1</v>
      </c>
      <c r="D35198" s="5">
        <v>0.1</v>
      </c>
      <c r="E35198" s="5">
        <v>102.2</v>
      </c>
      <c r="F35198" s="5">
        <v>203.3</v>
      </c>
      <c r="G35198" s="5">
        <v>101.4</v>
      </c>
      <c r="H35198" s="5">
        <v>101.3</v>
      </c>
      <c r="I35198" s="5">
        <v>0</v>
      </c>
      <c r="J35198" s="5">
        <v>0</v>
      </c>
      <c r="K35198" s="5">
        <v>0</v>
      </c>
    </row>
    <row r="35199" spans="1:11" x14ac:dyDescent="0.25">
      <c r="A35199" s="5">
        <f>35192</f>
      </c>
      <c r="B35199" s="5" t="s">
        <v>35207</v>
      </c>
      <c r="C35199" s="5">
        <v>101.8</v>
      </c>
      <c r="D35199" s="5">
        <v>0.1</v>
      </c>
      <c r="E35199" s="5">
        <v>102</v>
      </c>
      <c r="F35199" s="5">
        <v>203.3</v>
      </c>
      <c r="G35199" s="5">
        <v>101.4</v>
      </c>
      <c r="H35199" s="5">
        <v>101.3</v>
      </c>
      <c r="I35199" s="5">
        <v>0</v>
      </c>
      <c r="J35199" s="5">
        <v>0</v>
      </c>
      <c r="K35199" s="5">
        <v>0</v>
      </c>
    </row>
    <row r="35200" spans="1:11" x14ac:dyDescent="0.25">
      <c r="A35200" s="5">
        <f>35193</f>
      </c>
      <c r="B35200" s="5" t="s">
        <v>35208</v>
      </c>
      <c r="C35200" s="5">
        <v>101.8</v>
      </c>
      <c r="D35200" s="5">
        <v>0.1</v>
      </c>
      <c r="E35200" s="5">
        <v>102</v>
      </c>
      <c r="F35200" s="5">
        <v>203.3</v>
      </c>
      <c r="G35200" s="5">
        <v>101.4</v>
      </c>
      <c r="H35200" s="5">
        <v>101.3</v>
      </c>
      <c r="I35200" s="5">
        <v>0</v>
      </c>
      <c r="J35200" s="5">
        <v>0</v>
      </c>
      <c r="K35200" s="5">
        <v>0</v>
      </c>
    </row>
    <row r="35201" spans="1:11" x14ac:dyDescent="0.25">
      <c r="A35201" s="5">
        <f>35194</f>
      </c>
      <c r="B35201" s="5" t="s">
        <v>35209</v>
      </c>
      <c r="C35201" s="5">
        <v>101.3</v>
      </c>
      <c r="D35201" s="5">
        <v>0.1</v>
      </c>
      <c r="E35201" s="5">
        <v>101.4</v>
      </c>
      <c r="F35201" s="5">
        <v>202</v>
      </c>
      <c r="G35201" s="5">
        <v>100.7</v>
      </c>
      <c r="H35201" s="5">
        <v>100.5</v>
      </c>
      <c r="I35201" s="5">
        <v>0</v>
      </c>
      <c r="J35201" s="5">
        <v>0</v>
      </c>
      <c r="K35201" s="5">
        <v>0</v>
      </c>
    </row>
    <row r="35202" spans="1:11" x14ac:dyDescent="0.25">
      <c r="A35202" s="5">
        <f>35195</f>
      </c>
      <c r="B35202" s="5" t="s">
        <v>35210</v>
      </c>
      <c r="C35202" s="5">
        <v>101.3</v>
      </c>
      <c r="D35202" s="5">
        <v>0.1</v>
      </c>
      <c r="E35202" s="5">
        <v>101.4</v>
      </c>
      <c r="F35202" s="5">
        <v>202</v>
      </c>
      <c r="G35202" s="5">
        <v>100.7</v>
      </c>
      <c r="H35202" s="5">
        <v>100.5</v>
      </c>
      <c r="I35202" s="5">
        <v>0</v>
      </c>
      <c r="J35202" s="5">
        <v>0</v>
      </c>
      <c r="K35202" s="5">
        <v>0</v>
      </c>
    </row>
    <row r="35203" spans="1:11" x14ac:dyDescent="0.25">
      <c r="A35203" s="5">
        <f>35196</f>
      </c>
      <c r="B35203" s="5" t="s">
        <v>35211</v>
      </c>
      <c r="C35203" s="5">
        <v>99.6</v>
      </c>
      <c r="D35203" s="5">
        <v>0.1</v>
      </c>
      <c r="E35203" s="5">
        <v>99.8</v>
      </c>
      <c r="F35203" s="5">
        <v>194.4</v>
      </c>
      <c r="G35203" s="5">
        <v>97.7</v>
      </c>
      <c r="H35203" s="5">
        <v>98.1</v>
      </c>
      <c r="I35203" s="5">
        <v>0</v>
      </c>
      <c r="J35203" s="5">
        <v>0</v>
      </c>
      <c r="K35203" s="5">
        <v>0</v>
      </c>
    </row>
    <row r="35204" spans="1:11" x14ac:dyDescent="0.25">
      <c r="A35204" s="5">
        <f>35197</f>
      </c>
      <c r="B35204" s="5" t="s">
        <v>35212</v>
      </c>
      <c r="C35204" s="5">
        <v>99.6</v>
      </c>
      <c r="D35204" s="5">
        <v>0.1</v>
      </c>
      <c r="E35204" s="5">
        <v>99.8</v>
      </c>
      <c r="F35204" s="5">
        <v>194.4</v>
      </c>
      <c r="G35204" s="5">
        <v>97.7</v>
      </c>
      <c r="H35204" s="5">
        <v>98.1</v>
      </c>
      <c r="I35204" s="5">
        <v>0</v>
      </c>
      <c r="J35204" s="5">
        <v>0</v>
      </c>
      <c r="K35204" s="5">
        <v>0</v>
      </c>
    </row>
    <row r="35205" spans="1:11" x14ac:dyDescent="0.25">
      <c r="A35205" s="5">
        <f>35198</f>
      </c>
      <c r="B35205" s="5" t="s">
        <v>35213</v>
      </c>
      <c r="C35205" s="5">
        <v>99.6</v>
      </c>
      <c r="D35205" s="5">
        <v>0.1</v>
      </c>
      <c r="E35205" s="5">
        <v>99.8</v>
      </c>
      <c r="F35205" s="5">
        <v>194.4</v>
      </c>
      <c r="G35205" s="5">
        <v>97.7</v>
      </c>
      <c r="H35205" s="5">
        <v>98.1</v>
      </c>
      <c r="I35205" s="5">
        <v>0</v>
      </c>
      <c r="J35205" s="5">
        <v>0</v>
      </c>
      <c r="K35205" s="5">
        <v>0</v>
      </c>
    </row>
    <row r="35206" spans="1:11" x14ac:dyDescent="0.25">
      <c r="A35206" s="5">
        <f>35199</f>
      </c>
      <c r="B35206" s="5" t="s">
        <v>35214</v>
      </c>
      <c r="C35206" s="5">
        <v>99.6</v>
      </c>
      <c r="D35206" s="5">
        <v>0.1</v>
      </c>
      <c r="E35206" s="5">
        <v>99.8</v>
      </c>
      <c r="F35206" s="5">
        <v>194.4</v>
      </c>
      <c r="G35206" s="5">
        <v>97.7</v>
      </c>
      <c r="H35206" s="5">
        <v>98.1</v>
      </c>
      <c r="I35206" s="5">
        <v>0</v>
      </c>
      <c r="J35206" s="5">
        <v>0</v>
      </c>
      <c r="K35206" s="5">
        <v>0</v>
      </c>
    </row>
    <row r="35207" spans="1:11" x14ac:dyDescent="0.25">
      <c r="A35207" s="5">
        <f>35200</f>
      </c>
      <c r="B35207" s="5" t="s">
        <v>35215</v>
      </c>
      <c r="C35207" s="5">
        <v>103.8</v>
      </c>
      <c r="D35207" s="5">
        <v>0.1</v>
      </c>
      <c r="E35207" s="5">
        <v>104</v>
      </c>
      <c r="F35207" s="5">
        <v>206.7</v>
      </c>
      <c r="G35207" s="5">
        <v>103.6</v>
      </c>
      <c r="H35207" s="5">
        <v>103.4</v>
      </c>
      <c r="I35207" s="5">
        <v>0</v>
      </c>
      <c r="J35207" s="5">
        <v>0</v>
      </c>
      <c r="K35207" s="5">
        <v>0</v>
      </c>
    </row>
    <row r="35208" spans="1:11" x14ac:dyDescent="0.25">
      <c r="A35208" s="5">
        <f>35201</f>
      </c>
      <c r="B35208" s="5" t="s">
        <v>35216</v>
      </c>
      <c r="C35208" s="5">
        <v>103.8</v>
      </c>
      <c r="D35208" s="5">
        <v>0.1</v>
      </c>
      <c r="E35208" s="5">
        <v>104</v>
      </c>
      <c r="F35208" s="5">
        <v>206.7</v>
      </c>
      <c r="G35208" s="5">
        <v>103.6</v>
      </c>
      <c r="H35208" s="5">
        <v>103.4</v>
      </c>
      <c r="I35208" s="5">
        <v>0</v>
      </c>
      <c r="J35208" s="5">
        <v>0</v>
      </c>
      <c r="K35208" s="5">
        <v>0</v>
      </c>
    </row>
    <row r="35209" spans="1:11" x14ac:dyDescent="0.25">
      <c r="A35209" s="5">
        <f>35202</f>
      </c>
      <c r="B35209" s="5" t="s">
        <v>35217</v>
      </c>
      <c r="C35209" s="5">
        <v>103.2</v>
      </c>
      <c r="D35209" s="5">
        <v>0.1</v>
      </c>
      <c r="E35209" s="5">
        <v>103.4</v>
      </c>
      <c r="F35209" s="5">
        <v>206.6</v>
      </c>
      <c r="G35209" s="5">
        <v>103.1</v>
      </c>
      <c r="H35209" s="5">
        <v>103</v>
      </c>
      <c r="I35209" s="5">
        <v>0</v>
      </c>
      <c r="J35209" s="5">
        <v>0</v>
      </c>
      <c r="K35209" s="5">
        <v>0</v>
      </c>
    </row>
    <row r="35210" spans="1:11" x14ac:dyDescent="0.25">
      <c r="A35210" s="5">
        <f>35203</f>
      </c>
      <c r="B35210" s="5" t="s">
        <v>35218</v>
      </c>
      <c r="C35210" s="5">
        <v>103.2</v>
      </c>
      <c r="D35210" s="5">
        <v>0.1</v>
      </c>
      <c r="E35210" s="5">
        <v>103.4</v>
      </c>
      <c r="F35210" s="5">
        <v>206.6</v>
      </c>
      <c r="G35210" s="5">
        <v>103.1</v>
      </c>
      <c r="H35210" s="5">
        <v>103</v>
      </c>
      <c r="I35210" s="5">
        <v>0</v>
      </c>
      <c r="J35210" s="5">
        <v>0</v>
      </c>
      <c r="K35210" s="5">
        <v>0</v>
      </c>
    </row>
    <row r="35211" spans="1:11" x14ac:dyDescent="0.25">
      <c r="A35211" s="5">
        <f>35204</f>
      </c>
      <c r="B35211" s="5" t="s">
        <v>35219</v>
      </c>
      <c r="C35211" s="5">
        <v>101.8</v>
      </c>
      <c r="D35211" s="5">
        <v>0.1</v>
      </c>
      <c r="E35211" s="5">
        <v>101.9</v>
      </c>
      <c r="F35211" s="5">
        <v>203</v>
      </c>
      <c r="G35211" s="5">
        <v>101.3</v>
      </c>
      <c r="H35211" s="5">
        <v>101.1</v>
      </c>
      <c r="I35211" s="5">
        <v>0</v>
      </c>
      <c r="J35211" s="5">
        <v>0</v>
      </c>
      <c r="K35211" s="5">
        <v>0</v>
      </c>
    </row>
    <row r="35212" spans="1:11" x14ac:dyDescent="0.25">
      <c r="A35212" s="5">
        <f>35205</f>
      </c>
      <c r="B35212" s="5" t="s">
        <v>35220</v>
      </c>
      <c r="C35212" s="5">
        <v>101.8</v>
      </c>
      <c r="D35212" s="5">
        <v>0.1</v>
      </c>
      <c r="E35212" s="5">
        <v>101.9</v>
      </c>
      <c r="F35212" s="5">
        <v>203</v>
      </c>
      <c r="G35212" s="5">
        <v>101.3</v>
      </c>
      <c r="H35212" s="5">
        <v>101.1</v>
      </c>
      <c r="I35212" s="5">
        <v>0</v>
      </c>
      <c r="J35212" s="5">
        <v>0</v>
      </c>
      <c r="K35212" s="5">
        <v>0</v>
      </c>
    </row>
    <row r="35213" spans="1:11" x14ac:dyDescent="0.25">
      <c r="A35213" s="5">
        <f>35206</f>
      </c>
      <c r="B35213" s="5" t="s">
        <v>35221</v>
      </c>
      <c r="C35213" s="5">
        <v>104</v>
      </c>
      <c r="D35213" s="5">
        <v>0.1</v>
      </c>
      <c r="E35213" s="5">
        <v>104</v>
      </c>
      <c r="F35213" s="5">
        <v>207.6</v>
      </c>
      <c r="G35213" s="5">
        <v>103.5</v>
      </c>
      <c r="H35213" s="5">
        <v>103.3</v>
      </c>
      <c r="I35213" s="5">
        <v>0</v>
      </c>
      <c r="J35213" s="5">
        <v>0</v>
      </c>
      <c r="K35213" s="5">
        <v>0</v>
      </c>
    </row>
    <row r="35214" spans="1:11" x14ac:dyDescent="0.25">
      <c r="A35214" s="5">
        <f>35207</f>
      </c>
      <c r="B35214" s="5" t="s">
        <v>35222</v>
      </c>
      <c r="C35214" s="5">
        <v>104</v>
      </c>
      <c r="D35214" s="5">
        <v>0.1</v>
      </c>
      <c r="E35214" s="5">
        <v>104</v>
      </c>
      <c r="F35214" s="5">
        <v>207.6</v>
      </c>
      <c r="G35214" s="5">
        <v>103.5</v>
      </c>
      <c r="H35214" s="5">
        <v>103.3</v>
      </c>
      <c r="I35214" s="5">
        <v>0</v>
      </c>
      <c r="J35214" s="5">
        <v>0</v>
      </c>
      <c r="K35214" s="5">
        <v>0</v>
      </c>
    </row>
    <row r="35215" spans="1:11" x14ac:dyDescent="0.25">
      <c r="A35215" s="5">
        <f>35208</f>
      </c>
      <c r="B35215" s="5" t="s">
        <v>35223</v>
      </c>
      <c r="C35215" s="5">
        <v>104</v>
      </c>
      <c r="D35215" s="5">
        <v>0.1</v>
      </c>
      <c r="E35215" s="5">
        <v>104</v>
      </c>
      <c r="F35215" s="5">
        <v>207.6</v>
      </c>
      <c r="G35215" s="5">
        <v>103.5</v>
      </c>
      <c r="H35215" s="5">
        <v>103.3</v>
      </c>
      <c r="I35215" s="5">
        <v>0</v>
      </c>
      <c r="J35215" s="5">
        <v>0</v>
      </c>
      <c r="K35215" s="5">
        <v>0</v>
      </c>
    </row>
    <row r="35216" spans="1:11" x14ac:dyDescent="0.25">
      <c r="A35216" s="5">
        <f>35209</f>
      </c>
      <c r="B35216" s="5" t="s">
        <v>35224</v>
      </c>
      <c r="C35216" s="5">
        <v>104</v>
      </c>
      <c r="D35216" s="5">
        <v>0.1</v>
      </c>
      <c r="E35216" s="5">
        <v>104</v>
      </c>
      <c r="F35216" s="5">
        <v>207.6</v>
      </c>
      <c r="G35216" s="5">
        <v>103.5</v>
      </c>
      <c r="H35216" s="5">
        <v>103.3</v>
      </c>
      <c r="I35216" s="5">
        <v>0</v>
      </c>
      <c r="J35216" s="5">
        <v>0</v>
      </c>
      <c r="K35216" s="5">
        <v>0</v>
      </c>
    </row>
    <row r="35217" spans="1:11" x14ac:dyDescent="0.25">
      <c r="A35217" s="5">
        <f>35210</f>
      </c>
      <c r="B35217" s="5" t="s">
        <v>35225</v>
      </c>
      <c r="C35217" s="5">
        <v>103.2</v>
      </c>
      <c r="D35217" s="5">
        <v>0.1</v>
      </c>
      <c r="E35217" s="5">
        <v>103.3</v>
      </c>
      <c r="F35217" s="5">
        <v>205.8</v>
      </c>
      <c r="G35217" s="5">
        <v>102.6</v>
      </c>
      <c r="H35217" s="5">
        <v>102.3</v>
      </c>
      <c r="I35217" s="5">
        <v>0</v>
      </c>
      <c r="J35217" s="5">
        <v>0</v>
      </c>
      <c r="K35217" s="5">
        <v>0</v>
      </c>
    </row>
    <row r="35218" spans="1:11" x14ac:dyDescent="0.25">
      <c r="A35218" s="5">
        <f>35211</f>
      </c>
      <c r="B35218" s="5" t="s">
        <v>35226</v>
      </c>
      <c r="C35218" s="5">
        <v>103.2</v>
      </c>
      <c r="D35218" s="5">
        <v>0.1</v>
      </c>
      <c r="E35218" s="5">
        <v>103.3</v>
      </c>
      <c r="F35218" s="5">
        <v>205.8</v>
      </c>
      <c r="G35218" s="5">
        <v>102.6</v>
      </c>
      <c r="H35218" s="5">
        <v>102.3</v>
      </c>
      <c r="I35218" s="5">
        <v>0</v>
      </c>
      <c r="J35218" s="5">
        <v>0</v>
      </c>
      <c r="K35218" s="5">
        <v>0</v>
      </c>
    </row>
    <row r="35219" spans="1:11" x14ac:dyDescent="0.25">
      <c r="A35219" s="5">
        <f>35212</f>
      </c>
      <c r="B35219" s="5" t="s">
        <v>35227</v>
      </c>
      <c r="C35219" s="5">
        <v>103.7</v>
      </c>
      <c r="D35219" s="5">
        <v>0.1</v>
      </c>
      <c r="E35219" s="5">
        <v>103.8</v>
      </c>
      <c r="F35219" s="5">
        <v>204.8</v>
      </c>
      <c r="G35219" s="5">
        <v>103.3</v>
      </c>
      <c r="H35219" s="5">
        <v>103.1</v>
      </c>
      <c r="I35219" s="5">
        <v>0</v>
      </c>
      <c r="J35219" s="5">
        <v>0</v>
      </c>
      <c r="K35219" s="5">
        <v>0</v>
      </c>
    </row>
    <row r="35220" spans="1:11" x14ac:dyDescent="0.25">
      <c r="A35220" s="5">
        <f>35213</f>
      </c>
      <c r="B35220" s="5" t="s">
        <v>35228</v>
      </c>
      <c r="C35220" s="5">
        <v>103.7</v>
      </c>
      <c r="D35220" s="5">
        <v>0.1</v>
      </c>
      <c r="E35220" s="5">
        <v>103.8</v>
      </c>
      <c r="F35220" s="5">
        <v>204.8</v>
      </c>
      <c r="G35220" s="5">
        <v>103.3</v>
      </c>
      <c r="H35220" s="5">
        <v>103.1</v>
      </c>
      <c r="I35220" s="5">
        <v>0</v>
      </c>
      <c r="J35220" s="5">
        <v>0</v>
      </c>
      <c r="K35220" s="5">
        <v>0</v>
      </c>
    </row>
    <row r="35221" spans="1:11" x14ac:dyDescent="0.25">
      <c r="A35221" s="5">
        <f>35214</f>
      </c>
      <c r="B35221" s="5" t="s">
        <v>35229</v>
      </c>
      <c r="C35221" s="5">
        <v>103.1</v>
      </c>
      <c r="D35221" s="5">
        <v>0.1</v>
      </c>
      <c r="E35221" s="5">
        <v>103.1</v>
      </c>
      <c r="F35221" s="5">
        <v>203.1</v>
      </c>
      <c r="G35221" s="5">
        <v>101.7</v>
      </c>
      <c r="H35221" s="5">
        <v>101.8</v>
      </c>
      <c r="I35221" s="5">
        <v>0</v>
      </c>
      <c r="J35221" s="5">
        <v>0</v>
      </c>
      <c r="K35221" s="5">
        <v>0</v>
      </c>
    </row>
    <row r="35222" spans="1:11" x14ac:dyDescent="0.25">
      <c r="A35222" s="5">
        <f>35215</f>
      </c>
      <c r="B35222" s="5" t="s">
        <v>35230</v>
      </c>
      <c r="C35222" s="5">
        <v>103.1</v>
      </c>
      <c r="D35222" s="5">
        <v>0.1</v>
      </c>
      <c r="E35222" s="5">
        <v>103.1</v>
      </c>
      <c r="F35222" s="5">
        <v>203.1</v>
      </c>
      <c r="G35222" s="5">
        <v>101.7</v>
      </c>
      <c r="H35222" s="5">
        <v>101.8</v>
      </c>
      <c r="I35222" s="5">
        <v>0</v>
      </c>
      <c r="J35222" s="5">
        <v>0</v>
      </c>
      <c r="K35222" s="5">
        <v>0</v>
      </c>
    </row>
    <row r="35223" spans="1:11" x14ac:dyDescent="0.25">
      <c r="A35223" s="5">
        <f>35216</f>
      </c>
      <c r="B35223" s="5" t="s">
        <v>35231</v>
      </c>
      <c r="C35223" s="5">
        <v>99.5</v>
      </c>
      <c r="D35223" s="5">
        <v>0.1</v>
      </c>
      <c r="E35223" s="5">
        <v>99.7</v>
      </c>
      <c r="F35223" s="5">
        <v>200.8</v>
      </c>
      <c r="G35223" s="5">
        <v>99.3</v>
      </c>
      <c r="H35223" s="5">
        <v>99.8</v>
      </c>
      <c r="I35223" s="5">
        <v>0</v>
      </c>
      <c r="J35223" s="5">
        <v>0</v>
      </c>
      <c r="K35223" s="5">
        <v>0</v>
      </c>
    </row>
    <row r="35224" spans="1:11" x14ac:dyDescent="0.25">
      <c r="A35224" s="5">
        <f>35217</f>
      </c>
      <c r="B35224" s="5" t="s">
        <v>35232</v>
      </c>
      <c r="C35224" s="5">
        <v>99.5</v>
      </c>
      <c r="D35224" s="5">
        <v>0.1</v>
      </c>
      <c r="E35224" s="5">
        <v>99.7</v>
      </c>
      <c r="F35224" s="5">
        <v>200.8</v>
      </c>
      <c r="G35224" s="5">
        <v>99.3</v>
      </c>
      <c r="H35224" s="5">
        <v>99.8</v>
      </c>
      <c r="I35224" s="5">
        <v>0</v>
      </c>
      <c r="J35224" s="5">
        <v>0</v>
      </c>
      <c r="K35224" s="5">
        <v>0</v>
      </c>
    </row>
    <row r="35225" spans="1:11" x14ac:dyDescent="0.25">
      <c r="A35225" s="5">
        <f>35218</f>
      </c>
      <c r="B35225" s="5" t="s">
        <v>35233</v>
      </c>
      <c r="C35225" s="5">
        <v>99.5</v>
      </c>
      <c r="D35225" s="5">
        <v>0.1</v>
      </c>
      <c r="E35225" s="5">
        <v>99.7</v>
      </c>
      <c r="F35225" s="5">
        <v>200.8</v>
      </c>
      <c r="G35225" s="5">
        <v>99.3</v>
      </c>
      <c r="H35225" s="5">
        <v>99.8</v>
      </c>
      <c r="I35225" s="5">
        <v>0</v>
      </c>
      <c r="J35225" s="5">
        <v>0</v>
      </c>
      <c r="K35225" s="5">
        <v>0</v>
      </c>
    </row>
    <row r="35226" spans="1:11" x14ac:dyDescent="0.25">
      <c r="A35226" s="5">
        <f>35219</f>
      </c>
      <c r="B35226" s="5" t="s">
        <v>35234</v>
      </c>
      <c r="C35226" s="5">
        <v>99.5</v>
      </c>
      <c r="D35226" s="5">
        <v>0.1</v>
      </c>
      <c r="E35226" s="5">
        <v>99.7</v>
      </c>
      <c r="F35226" s="5">
        <v>200.8</v>
      </c>
      <c r="G35226" s="5">
        <v>99.3</v>
      </c>
      <c r="H35226" s="5">
        <v>99.8</v>
      </c>
      <c r="I35226" s="5">
        <v>0</v>
      </c>
      <c r="J35226" s="5">
        <v>0</v>
      </c>
      <c r="K35226" s="5">
        <v>0</v>
      </c>
    </row>
    <row r="35227" spans="1:11" x14ac:dyDescent="0.25">
      <c r="A35227" s="5">
        <f>35220</f>
      </c>
      <c r="B35227" s="5" t="s">
        <v>35235</v>
      </c>
      <c r="C35227" s="5">
        <v>102.3</v>
      </c>
      <c r="D35227" s="5">
        <v>0.1</v>
      </c>
      <c r="E35227" s="5">
        <v>102.4</v>
      </c>
      <c r="F35227" s="5">
        <v>204.2</v>
      </c>
      <c r="G35227" s="5">
        <v>101.9</v>
      </c>
      <c r="H35227" s="5">
        <v>101.9</v>
      </c>
      <c r="I35227" s="5">
        <v>0</v>
      </c>
      <c r="J35227" s="5">
        <v>0</v>
      </c>
      <c r="K35227" s="5">
        <v>0</v>
      </c>
    </row>
    <row r="35228" spans="1:11" x14ac:dyDescent="0.25">
      <c r="A35228" s="5">
        <f>35221</f>
      </c>
      <c r="B35228" s="5" t="s">
        <v>35236</v>
      </c>
      <c r="C35228" s="5">
        <v>102.3</v>
      </c>
      <c r="D35228" s="5">
        <v>0.1</v>
      </c>
      <c r="E35228" s="5">
        <v>102.4</v>
      </c>
      <c r="F35228" s="5">
        <v>204.2</v>
      </c>
      <c r="G35228" s="5">
        <v>101.9</v>
      </c>
      <c r="H35228" s="5">
        <v>101.9</v>
      </c>
      <c r="I35228" s="5">
        <v>0</v>
      </c>
      <c r="J35228" s="5">
        <v>0</v>
      </c>
      <c r="K35228" s="5">
        <v>0</v>
      </c>
    </row>
    <row r="35229" spans="1:11" x14ac:dyDescent="0.25">
      <c r="A35229" s="5">
        <f>35222</f>
      </c>
      <c r="B35229" s="5" t="s">
        <v>35237</v>
      </c>
      <c r="C35229" s="5">
        <v>104.2</v>
      </c>
      <c r="D35229" s="5">
        <v>0.1</v>
      </c>
      <c r="E35229" s="5">
        <v>97.9</v>
      </c>
      <c r="F35229" s="5">
        <v>205.7</v>
      </c>
      <c r="G35229" s="5">
        <v>102.9</v>
      </c>
      <c r="H35229" s="5">
        <v>101.3</v>
      </c>
      <c r="I35229" s="5">
        <v>0</v>
      </c>
      <c r="J35229" s="5">
        <v>0</v>
      </c>
      <c r="K35229" s="5">
        <v>0</v>
      </c>
    </row>
    <row r="35230" spans="1:11" x14ac:dyDescent="0.25">
      <c r="A35230" s="5">
        <f>35223</f>
      </c>
      <c r="B35230" s="5" t="s">
        <v>35238</v>
      </c>
      <c r="C35230" s="5">
        <v>104.2</v>
      </c>
      <c r="D35230" s="5">
        <v>0.1</v>
      </c>
      <c r="E35230" s="5">
        <v>97.9</v>
      </c>
      <c r="F35230" s="5">
        <v>205.7</v>
      </c>
      <c r="G35230" s="5">
        <v>102.9</v>
      </c>
      <c r="H35230" s="5">
        <v>101.3</v>
      </c>
      <c r="I35230" s="5">
        <v>0</v>
      </c>
      <c r="J35230" s="5">
        <v>0</v>
      </c>
      <c r="K35230" s="5">
        <v>0</v>
      </c>
    </row>
    <row r="35231" spans="1:11" x14ac:dyDescent="0.25">
      <c r="A35231" s="5">
        <f>35224</f>
      </c>
      <c r="B35231" s="5" t="s">
        <v>35239</v>
      </c>
      <c r="C35231" s="5">
        <v>96.8</v>
      </c>
      <c r="D35231" s="5">
        <v>0.1</v>
      </c>
      <c r="E35231" s="5">
        <v>97</v>
      </c>
      <c r="F35231" s="5">
        <v>193.2</v>
      </c>
      <c r="G35231" s="5">
        <v>96.5</v>
      </c>
      <c r="H35231" s="5">
        <v>96.4</v>
      </c>
      <c r="I35231" s="5">
        <v>0</v>
      </c>
      <c r="J35231" s="5">
        <v>0</v>
      </c>
      <c r="K35231" s="5">
        <v>0</v>
      </c>
    </row>
    <row r="35232" spans="1:11" x14ac:dyDescent="0.25">
      <c r="A35232" s="5">
        <f>35225</f>
      </c>
      <c r="B35232" s="5" t="s">
        <v>35240</v>
      </c>
      <c r="C35232" s="5">
        <v>96.8</v>
      </c>
      <c r="D35232" s="5">
        <v>0.1</v>
      </c>
      <c r="E35232" s="5">
        <v>97</v>
      </c>
      <c r="F35232" s="5">
        <v>193.2</v>
      </c>
      <c r="G35232" s="5">
        <v>96.5</v>
      </c>
      <c r="H35232" s="5">
        <v>96.4</v>
      </c>
      <c r="I35232" s="5">
        <v>0</v>
      </c>
      <c r="J35232" s="5">
        <v>0</v>
      </c>
      <c r="K35232" s="5">
        <v>0</v>
      </c>
    </row>
    <row r="35233" spans="1:11" x14ac:dyDescent="0.25">
      <c r="A35233" s="5">
        <f>35226</f>
      </c>
      <c r="B35233" s="5" t="s">
        <v>35241</v>
      </c>
      <c r="C35233" s="5">
        <v>95.2</v>
      </c>
      <c r="D35233" s="5">
        <v>0.1</v>
      </c>
      <c r="E35233" s="5">
        <v>95.4</v>
      </c>
      <c r="F35233" s="5">
        <v>191.7</v>
      </c>
      <c r="G35233" s="5">
        <v>96.2</v>
      </c>
      <c r="H35233" s="5">
        <v>96.7</v>
      </c>
      <c r="I35233" s="5">
        <v>0</v>
      </c>
      <c r="J35233" s="5">
        <v>0</v>
      </c>
      <c r="K35233" s="5">
        <v>0</v>
      </c>
    </row>
    <row r="35234" spans="1:11" x14ac:dyDescent="0.25">
      <c r="A35234" s="5">
        <f>35227</f>
      </c>
      <c r="B35234" s="5" t="s">
        <v>35242</v>
      </c>
      <c r="C35234" s="5">
        <v>95.2</v>
      </c>
      <c r="D35234" s="5">
        <v>0.1</v>
      </c>
      <c r="E35234" s="5">
        <v>95.4</v>
      </c>
      <c r="F35234" s="5">
        <v>191.7</v>
      </c>
      <c r="G35234" s="5">
        <v>96.2</v>
      </c>
      <c r="H35234" s="5">
        <v>96.7</v>
      </c>
      <c r="I35234" s="5">
        <v>0</v>
      </c>
      <c r="J35234" s="5">
        <v>0</v>
      </c>
      <c r="K35234" s="5">
        <v>0</v>
      </c>
    </row>
    <row r="35235" spans="1:11" x14ac:dyDescent="0.25">
      <c r="A35235" s="5">
        <f>35228</f>
      </c>
      <c r="B35235" s="5" t="s">
        <v>35243</v>
      </c>
      <c r="C35235" s="5">
        <v>95.2</v>
      </c>
      <c r="D35235" s="5">
        <v>0.1</v>
      </c>
      <c r="E35235" s="5">
        <v>95.4</v>
      </c>
      <c r="F35235" s="5">
        <v>191.7</v>
      </c>
      <c r="G35235" s="5">
        <v>96.2</v>
      </c>
      <c r="H35235" s="5">
        <v>96.7</v>
      </c>
      <c r="I35235" s="5">
        <v>0</v>
      </c>
      <c r="J35235" s="5">
        <v>0</v>
      </c>
      <c r="K35235" s="5">
        <v>0</v>
      </c>
    </row>
    <row r="35236" spans="1:11" x14ac:dyDescent="0.25">
      <c r="A35236" s="5">
        <f>35229</f>
      </c>
      <c r="B35236" s="5" t="s">
        <v>35244</v>
      </c>
      <c r="C35236" s="5">
        <v>95.2</v>
      </c>
      <c r="D35236" s="5">
        <v>0.1</v>
      </c>
      <c r="E35236" s="5">
        <v>95.4</v>
      </c>
      <c r="F35236" s="5">
        <v>191.7</v>
      </c>
      <c r="G35236" s="5">
        <v>96.2</v>
      </c>
      <c r="H35236" s="5">
        <v>96.7</v>
      </c>
      <c r="I35236" s="5">
        <v>0</v>
      </c>
      <c r="J35236" s="5">
        <v>0</v>
      </c>
      <c r="K35236" s="5">
        <v>0</v>
      </c>
    </row>
    <row r="35237" spans="1:11" x14ac:dyDescent="0.25">
      <c r="A35237" s="5">
        <f>35230</f>
      </c>
      <c r="B35237" s="5" t="s">
        <v>35245</v>
      </c>
      <c r="C35237" s="5">
        <v>101.6</v>
      </c>
      <c r="D35237" s="5">
        <v>0.1</v>
      </c>
      <c r="E35237" s="5">
        <v>101.7</v>
      </c>
      <c r="F35237" s="5">
        <v>203</v>
      </c>
      <c r="G35237" s="5">
        <v>101.3</v>
      </c>
      <c r="H35237" s="5">
        <v>101.1</v>
      </c>
      <c r="I35237" s="5">
        <v>0</v>
      </c>
      <c r="J35237" s="5">
        <v>0</v>
      </c>
      <c r="K35237" s="5">
        <v>0</v>
      </c>
    </row>
    <row r="35238" spans="1:11" x14ac:dyDescent="0.25">
      <c r="A35238" s="5">
        <f>35231</f>
      </c>
      <c r="B35238" s="5" t="s">
        <v>35246</v>
      </c>
      <c r="C35238" s="5">
        <v>101.6</v>
      </c>
      <c r="D35238" s="5">
        <v>0.1</v>
      </c>
      <c r="E35238" s="5">
        <v>101.7</v>
      </c>
      <c r="F35238" s="5">
        <v>203</v>
      </c>
      <c r="G35238" s="5">
        <v>101.3</v>
      </c>
      <c r="H35238" s="5">
        <v>101.1</v>
      </c>
      <c r="I35238" s="5">
        <v>0</v>
      </c>
      <c r="J35238" s="5">
        <v>0</v>
      </c>
      <c r="K35238" s="5">
        <v>0</v>
      </c>
    </row>
    <row r="35239" spans="1:11" x14ac:dyDescent="0.25">
      <c r="A35239" s="5">
        <f>35232</f>
      </c>
      <c r="B35239" s="5" t="s">
        <v>35247</v>
      </c>
      <c r="C35239" s="5">
        <v>101.8</v>
      </c>
      <c r="D35239" s="5">
        <v>0.1</v>
      </c>
      <c r="E35239" s="5">
        <v>101.9</v>
      </c>
      <c r="F35239" s="5">
        <v>203.5</v>
      </c>
      <c r="G35239" s="5">
        <v>101.5</v>
      </c>
      <c r="H35239" s="5">
        <v>101.5</v>
      </c>
      <c r="I35239" s="5">
        <v>0</v>
      </c>
      <c r="J35239" s="5">
        <v>0</v>
      </c>
      <c r="K35239" s="5">
        <v>0</v>
      </c>
    </row>
    <row r="35240" spans="1:11" x14ac:dyDescent="0.25">
      <c r="A35240" s="5">
        <f>35233</f>
      </c>
      <c r="B35240" s="5" t="s">
        <v>35248</v>
      </c>
      <c r="C35240" s="5">
        <v>101.8</v>
      </c>
      <c r="D35240" s="5">
        <v>0.1</v>
      </c>
      <c r="E35240" s="5">
        <v>101.9</v>
      </c>
      <c r="F35240" s="5">
        <v>203.5</v>
      </c>
      <c r="G35240" s="5">
        <v>101.5</v>
      </c>
      <c r="H35240" s="5">
        <v>101.5</v>
      </c>
      <c r="I35240" s="5">
        <v>0</v>
      </c>
      <c r="J35240" s="5">
        <v>0</v>
      </c>
      <c r="K35240" s="5">
        <v>0</v>
      </c>
    </row>
    <row r="35241" spans="1:11" x14ac:dyDescent="0.25">
      <c r="A35241" s="5">
        <f>35234</f>
      </c>
      <c r="B35241" s="5" t="s">
        <v>35249</v>
      </c>
      <c r="C35241" s="5">
        <v>101.8</v>
      </c>
      <c r="D35241" s="5">
        <v>0.1</v>
      </c>
      <c r="E35241" s="5">
        <v>102</v>
      </c>
      <c r="F35241" s="5">
        <v>203.7</v>
      </c>
      <c r="G35241" s="5">
        <v>101.6</v>
      </c>
      <c r="H35241" s="5">
        <v>101.5</v>
      </c>
      <c r="I35241" s="5">
        <v>0</v>
      </c>
      <c r="J35241" s="5">
        <v>0</v>
      </c>
      <c r="K35241" s="5">
        <v>0</v>
      </c>
    </row>
    <row r="35242" spans="1:11" x14ac:dyDescent="0.25">
      <c r="A35242" s="5">
        <f>35235</f>
      </c>
      <c r="B35242" s="5" t="s">
        <v>35250</v>
      </c>
      <c r="C35242" s="5">
        <v>101.8</v>
      </c>
      <c r="D35242" s="5">
        <v>0.1</v>
      </c>
      <c r="E35242" s="5">
        <v>102</v>
      </c>
      <c r="F35242" s="5">
        <v>203.7</v>
      </c>
      <c r="G35242" s="5">
        <v>101.6</v>
      </c>
      <c r="H35242" s="5">
        <v>101.5</v>
      </c>
      <c r="I35242" s="5">
        <v>0</v>
      </c>
      <c r="J35242" s="5">
        <v>0</v>
      </c>
      <c r="K35242" s="5">
        <v>0</v>
      </c>
    </row>
    <row r="35243" spans="1:11" x14ac:dyDescent="0.25">
      <c r="A35243" s="5">
        <f>35236</f>
      </c>
      <c r="B35243" s="5" t="s">
        <v>35251</v>
      </c>
      <c r="C35243" s="5">
        <v>103.4</v>
      </c>
      <c r="D35243" s="5">
        <v>0.1</v>
      </c>
      <c r="E35243" s="5">
        <v>103.5</v>
      </c>
      <c r="F35243" s="5">
        <v>204.1</v>
      </c>
      <c r="G35243" s="5">
        <v>102</v>
      </c>
      <c r="H35243" s="5">
        <v>100.7</v>
      </c>
      <c r="I35243" s="5">
        <v>0</v>
      </c>
      <c r="J35243" s="5">
        <v>0</v>
      </c>
      <c r="K35243" s="5">
        <v>0</v>
      </c>
    </row>
    <row r="35244" spans="1:11" x14ac:dyDescent="0.25">
      <c r="A35244" s="5">
        <f>35237</f>
      </c>
      <c r="B35244" s="5" t="s">
        <v>35252</v>
      </c>
      <c r="C35244" s="5">
        <v>103.4</v>
      </c>
      <c r="D35244" s="5">
        <v>0.1</v>
      </c>
      <c r="E35244" s="5">
        <v>103.5</v>
      </c>
      <c r="F35244" s="5">
        <v>204.1</v>
      </c>
      <c r="G35244" s="5">
        <v>102</v>
      </c>
      <c r="H35244" s="5">
        <v>100.7</v>
      </c>
      <c r="I35244" s="5">
        <v>0</v>
      </c>
      <c r="J35244" s="5">
        <v>0</v>
      </c>
      <c r="K35244" s="5">
        <v>0</v>
      </c>
    </row>
    <row r="35245" spans="1:11" x14ac:dyDescent="0.25">
      <c r="A35245" s="5">
        <f>35238</f>
      </c>
      <c r="B35245" s="5" t="s">
        <v>35253</v>
      </c>
      <c r="C35245" s="5">
        <v>103.4</v>
      </c>
      <c r="D35245" s="5">
        <v>0.1</v>
      </c>
      <c r="E35245" s="5">
        <v>103.5</v>
      </c>
      <c r="F35245" s="5">
        <v>204.1</v>
      </c>
      <c r="G35245" s="5">
        <v>102</v>
      </c>
      <c r="H35245" s="5">
        <v>100.7</v>
      </c>
      <c r="I35245" s="5">
        <v>0</v>
      </c>
      <c r="J35245" s="5">
        <v>0</v>
      </c>
      <c r="K35245" s="5">
        <v>0</v>
      </c>
    </row>
    <row r="35246" spans="1:11" x14ac:dyDescent="0.25">
      <c r="A35246" s="5">
        <f>35239</f>
      </c>
      <c r="B35246" s="5" t="s">
        <v>35254</v>
      </c>
      <c r="C35246" s="5">
        <v>103.4</v>
      </c>
      <c r="D35246" s="5">
        <v>0.1</v>
      </c>
      <c r="E35246" s="5">
        <v>103.5</v>
      </c>
      <c r="F35246" s="5">
        <v>204.1</v>
      </c>
      <c r="G35246" s="5">
        <v>102</v>
      </c>
      <c r="H35246" s="5">
        <v>100.7</v>
      </c>
      <c r="I35246" s="5">
        <v>0</v>
      </c>
      <c r="J35246" s="5">
        <v>0</v>
      </c>
      <c r="K35246" s="5">
        <v>0</v>
      </c>
    </row>
    <row r="35247" spans="1:11" x14ac:dyDescent="0.25">
      <c r="A35247" s="5">
        <f>35240</f>
      </c>
      <c r="B35247" s="5" t="s">
        <v>35255</v>
      </c>
      <c r="C35247" s="5">
        <v>97.8</v>
      </c>
      <c r="D35247" s="5">
        <v>0.1</v>
      </c>
      <c r="E35247" s="5">
        <v>98</v>
      </c>
      <c r="F35247" s="5">
        <v>194.1</v>
      </c>
      <c r="G35247" s="5">
        <v>96.1</v>
      </c>
      <c r="H35247" s="5">
        <v>95</v>
      </c>
      <c r="I35247" s="5">
        <v>0</v>
      </c>
      <c r="J35247" s="5">
        <v>0</v>
      </c>
      <c r="K35247" s="5">
        <v>0</v>
      </c>
    </row>
    <row r="35248" spans="1:11" x14ac:dyDescent="0.25">
      <c r="A35248" s="5">
        <f>35241</f>
      </c>
      <c r="B35248" s="5" t="s">
        <v>35256</v>
      </c>
      <c r="C35248" s="5">
        <v>97.8</v>
      </c>
      <c r="D35248" s="5">
        <v>0.1</v>
      </c>
      <c r="E35248" s="5">
        <v>98</v>
      </c>
      <c r="F35248" s="5">
        <v>194.1</v>
      </c>
      <c r="G35248" s="5">
        <v>96.1</v>
      </c>
      <c r="H35248" s="5">
        <v>95</v>
      </c>
      <c r="I35248" s="5">
        <v>0</v>
      </c>
      <c r="J35248" s="5">
        <v>0</v>
      </c>
      <c r="K35248" s="5">
        <v>0</v>
      </c>
    </row>
    <row r="35249" spans="1:11" x14ac:dyDescent="0.25">
      <c r="A35249" s="5">
        <f>35242</f>
      </c>
      <c r="B35249" s="5" t="s">
        <v>35257</v>
      </c>
      <c r="C35249" s="5">
        <v>94.8</v>
      </c>
      <c r="D35249" s="5">
        <v>0.1</v>
      </c>
      <c r="E35249" s="5">
        <v>94.9</v>
      </c>
      <c r="F35249" s="5">
        <v>189.8</v>
      </c>
      <c r="G35249" s="5">
        <v>94.7</v>
      </c>
      <c r="H35249" s="5">
        <v>94.5</v>
      </c>
      <c r="I35249" s="5">
        <v>0</v>
      </c>
      <c r="J35249" s="5">
        <v>0</v>
      </c>
      <c r="K35249" s="5">
        <v>0</v>
      </c>
    </row>
    <row r="35250" spans="1:11" x14ac:dyDescent="0.25">
      <c r="A35250" s="5">
        <f>35243</f>
      </c>
      <c r="B35250" s="5" t="s">
        <v>35258</v>
      </c>
      <c r="C35250" s="5">
        <v>94.8</v>
      </c>
      <c r="D35250" s="5">
        <v>0.1</v>
      </c>
      <c r="E35250" s="5">
        <v>94.9</v>
      </c>
      <c r="F35250" s="5">
        <v>189.8</v>
      </c>
      <c r="G35250" s="5">
        <v>94.7</v>
      </c>
      <c r="H35250" s="5">
        <v>94.5</v>
      </c>
      <c r="I35250" s="5">
        <v>0</v>
      </c>
      <c r="J35250" s="5">
        <v>0</v>
      </c>
      <c r="K35250" s="5">
        <v>0</v>
      </c>
    </row>
    <row r="35251" spans="1:11" x14ac:dyDescent="0.25">
      <c r="A35251" s="5">
        <f>35244</f>
      </c>
      <c r="B35251" s="5" t="s">
        <v>35259</v>
      </c>
      <c r="C35251" s="5">
        <v>94.8</v>
      </c>
      <c r="D35251" s="5">
        <v>0.1</v>
      </c>
      <c r="E35251" s="5">
        <v>94.9</v>
      </c>
      <c r="F35251" s="5">
        <v>188.6</v>
      </c>
      <c r="G35251" s="5">
        <v>94.1</v>
      </c>
      <c r="H35251" s="5">
        <v>94</v>
      </c>
      <c r="I35251" s="5">
        <v>0</v>
      </c>
      <c r="J35251" s="5">
        <v>0</v>
      </c>
      <c r="K35251" s="5">
        <v>0</v>
      </c>
    </row>
    <row r="35252" spans="1:11" x14ac:dyDescent="0.25">
      <c r="A35252" s="5">
        <f>35245</f>
      </c>
      <c r="B35252" s="5" t="s">
        <v>35260</v>
      </c>
      <c r="C35252" s="5">
        <v>94.8</v>
      </c>
      <c r="D35252" s="5">
        <v>0.1</v>
      </c>
      <c r="E35252" s="5">
        <v>94.9</v>
      </c>
      <c r="F35252" s="5">
        <v>188.6</v>
      </c>
      <c r="G35252" s="5">
        <v>94.1</v>
      </c>
      <c r="H35252" s="5">
        <v>94</v>
      </c>
      <c r="I35252" s="5">
        <v>0</v>
      </c>
      <c r="J35252" s="5">
        <v>0</v>
      </c>
      <c r="K35252" s="5">
        <v>0</v>
      </c>
    </row>
    <row r="35253" spans="1:11" x14ac:dyDescent="0.25">
      <c r="A35253" s="5">
        <f>35246</f>
      </c>
      <c r="B35253" s="5" t="s">
        <v>35261</v>
      </c>
      <c r="C35253" s="5">
        <v>95.4</v>
      </c>
      <c r="D35253" s="5">
        <v>0.1</v>
      </c>
      <c r="E35253" s="5">
        <v>95.6</v>
      </c>
      <c r="F35253" s="5">
        <v>190.6</v>
      </c>
      <c r="G35253" s="5">
        <v>95.1</v>
      </c>
      <c r="H35253" s="5">
        <v>95</v>
      </c>
      <c r="I35253" s="5">
        <v>0</v>
      </c>
      <c r="J35253" s="5">
        <v>0</v>
      </c>
      <c r="K35253" s="5">
        <v>0</v>
      </c>
    </row>
    <row r="35254" spans="1:11" x14ac:dyDescent="0.25">
      <c r="A35254" s="5">
        <f>35247</f>
      </c>
      <c r="B35254" s="5" t="s">
        <v>35262</v>
      </c>
      <c r="C35254" s="5">
        <v>95.4</v>
      </c>
      <c r="D35254" s="5">
        <v>0.1</v>
      </c>
      <c r="E35254" s="5">
        <v>95.6</v>
      </c>
      <c r="F35254" s="5">
        <v>190.6</v>
      </c>
      <c r="G35254" s="5">
        <v>95.1</v>
      </c>
      <c r="H35254" s="5">
        <v>95</v>
      </c>
      <c r="I35254" s="5">
        <v>0</v>
      </c>
      <c r="J35254" s="5">
        <v>0</v>
      </c>
      <c r="K35254" s="5">
        <v>0</v>
      </c>
    </row>
    <row r="35255" spans="1:11" x14ac:dyDescent="0.25">
      <c r="A35255" s="5">
        <f>35248</f>
      </c>
      <c r="B35255" s="5" t="s">
        <v>35263</v>
      </c>
      <c r="C35255" s="5">
        <v>95.4</v>
      </c>
      <c r="D35255" s="5">
        <v>0.1</v>
      </c>
      <c r="E35255" s="5">
        <v>95.6</v>
      </c>
      <c r="F35255" s="5">
        <v>190.6</v>
      </c>
      <c r="G35255" s="5">
        <v>95.1</v>
      </c>
      <c r="H35255" s="5">
        <v>95</v>
      </c>
      <c r="I35255" s="5">
        <v>0</v>
      </c>
      <c r="J35255" s="5">
        <v>0</v>
      </c>
      <c r="K35255" s="5">
        <v>0</v>
      </c>
    </row>
    <row r="35256" spans="1:11" x14ac:dyDescent="0.25">
      <c r="A35256" s="5">
        <f>35249</f>
      </c>
      <c r="B35256" s="5" t="s">
        <v>35264</v>
      </c>
      <c r="C35256" s="5">
        <v>95.4</v>
      </c>
      <c r="D35256" s="5">
        <v>0.1</v>
      </c>
      <c r="E35256" s="5">
        <v>95.4</v>
      </c>
      <c r="F35256" s="5">
        <v>190.2</v>
      </c>
      <c r="G35256" s="5">
        <v>95</v>
      </c>
      <c r="H35256" s="5">
        <v>95</v>
      </c>
      <c r="I35256" s="5">
        <v>0</v>
      </c>
      <c r="J35256" s="5">
        <v>0</v>
      </c>
      <c r="K35256" s="5">
        <v>0</v>
      </c>
    </row>
    <row r="35257" spans="1:11" x14ac:dyDescent="0.25">
      <c r="A35257" s="5">
        <f>35250</f>
      </c>
      <c r="B35257" s="5" t="s">
        <v>35265</v>
      </c>
      <c r="C35257" s="5">
        <v>95.4</v>
      </c>
      <c r="D35257" s="5">
        <v>0.1</v>
      </c>
      <c r="E35257" s="5">
        <v>95.4</v>
      </c>
      <c r="F35257" s="5">
        <v>190.2</v>
      </c>
      <c r="G35257" s="5">
        <v>95</v>
      </c>
      <c r="H35257" s="5">
        <v>94.8</v>
      </c>
      <c r="I35257" s="5">
        <v>0</v>
      </c>
      <c r="J35257" s="5">
        <v>0</v>
      </c>
      <c r="K35257" s="5">
        <v>0</v>
      </c>
    </row>
    <row r="35258" spans="1:11" x14ac:dyDescent="0.25">
      <c r="A35258" s="5">
        <f>35251</f>
      </c>
      <c r="B35258" s="5" t="s">
        <v>35266</v>
      </c>
      <c r="C35258" s="5">
        <v>95.4</v>
      </c>
      <c r="D35258" s="5">
        <v>0.1</v>
      </c>
      <c r="E35258" s="5">
        <v>96.1</v>
      </c>
      <c r="F35258" s="5">
        <v>192.4</v>
      </c>
      <c r="G35258" s="5">
        <v>96.7</v>
      </c>
      <c r="H35258" s="5">
        <v>94.8</v>
      </c>
      <c r="I35258" s="5">
        <v>0</v>
      </c>
      <c r="J35258" s="5">
        <v>0</v>
      </c>
      <c r="K35258" s="5">
        <v>0</v>
      </c>
    </row>
    <row r="35259" spans="1:11" x14ac:dyDescent="0.25">
      <c r="A35259" s="5">
        <f>35252</f>
      </c>
      <c r="B35259" s="5" t="s">
        <v>35267</v>
      </c>
      <c r="C35259" s="5">
        <v>96</v>
      </c>
      <c r="D35259" s="5">
        <v>0.1</v>
      </c>
      <c r="E35259" s="5">
        <v>96.1</v>
      </c>
      <c r="F35259" s="5">
        <v>192.4</v>
      </c>
      <c r="G35259" s="5">
        <v>96.7</v>
      </c>
      <c r="H35259" s="5">
        <v>97.4</v>
      </c>
      <c r="I35259" s="5">
        <v>0</v>
      </c>
      <c r="J35259" s="5">
        <v>0</v>
      </c>
      <c r="K35259" s="5">
        <v>0</v>
      </c>
    </row>
    <row r="35260" spans="1:11" x14ac:dyDescent="0.25">
      <c r="A35260" s="5">
        <f>35253</f>
      </c>
      <c r="B35260" s="5" t="s">
        <v>35268</v>
      </c>
      <c r="C35260" s="5">
        <v>96</v>
      </c>
      <c r="D35260" s="5">
        <v>0.1</v>
      </c>
      <c r="E35260" s="5">
        <v>96.1</v>
      </c>
      <c r="F35260" s="5">
        <v>192.4</v>
      </c>
      <c r="G35260" s="5">
        <v>96.7</v>
      </c>
      <c r="H35260" s="5">
        <v>97.4</v>
      </c>
      <c r="I35260" s="5">
        <v>0</v>
      </c>
      <c r="J35260" s="5">
        <v>0</v>
      </c>
      <c r="K35260" s="5">
        <v>0</v>
      </c>
    </row>
    <row r="35261" spans="1:11" x14ac:dyDescent="0.25">
      <c r="A35261" s="5">
        <f>35254</f>
      </c>
      <c r="B35261" s="5" t="s">
        <v>35269</v>
      </c>
      <c r="C35261" s="5">
        <v>102.9</v>
      </c>
      <c r="D35261" s="5">
        <v>0.1</v>
      </c>
      <c r="E35261" s="5">
        <v>103.1</v>
      </c>
      <c r="F35261" s="5">
        <v>205.9</v>
      </c>
      <c r="G35261" s="5">
        <v>102.7</v>
      </c>
      <c r="H35261" s="5">
        <v>102.5</v>
      </c>
      <c r="I35261" s="5">
        <v>0</v>
      </c>
      <c r="J35261" s="5">
        <v>0</v>
      </c>
      <c r="K35261" s="5">
        <v>0</v>
      </c>
    </row>
    <row r="35262" spans="1:11" x14ac:dyDescent="0.25">
      <c r="A35262" s="5">
        <f>35255</f>
      </c>
      <c r="B35262" s="5" t="s">
        <v>35270</v>
      </c>
      <c r="C35262" s="5">
        <v>102.9</v>
      </c>
      <c r="D35262" s="5">
        <v>0.1</v>
      </c>
      <c r="E35262" s="5">
        <v>103.1</v>
      </c>
      <c r="F35262" s="5">
        <v>205.9</v>
      </c>
      <c r="G35262" s="5">
        <v>102.7</v>
      </c>
      <c r="H35262" s="5">
        <v>102.5</v>
      </c>
      <c r="I35262" s="5">
        <v>0</v>
      </c>
      <c r="J35262" s="5">
        <v>0</v>
      </c>
      <c r="K35262" s="5">
        <v>0</v>
      </c>
    </row>
    <row r="35263" spans="1:11" x14ac:dyDescent="0.25">
      <c r="A35263" s="5">
        <f>35256</f>
      </c>
      <c r="B35263" s="5" t="s">
        <v>35271</v>
      </c>
      <c r="C35263" s="5">
        <v>102.9</v>
      </c>
      <c r="D35263" s="5">
        <v>0.1</v>
      </c>
      <c r="E35263" s="5">
        <v>103.1</v>
      </c>
      <c r="F35263" s="5">
        <v>205.3</v>
      </c>
      <c r="G35263" s="5">
        <v>102.5</v>
      </c>
      <c r="H35263" s="5">
        <v>102.3</v>
      </c>
      <c r="I35263" s="5">
        <v>0</v>
      </c>
      <c r="J35263" s="5">
        <v>0</v>
      </c>
      <c r="K35263" s="5">
        <v>0</v>
      </c>
    </row>
    <row r="35264" spans="1:11" x14ac:dyDescent="0.25">
      <c r="A35264" s="5">
        <f>35257</f>
      </c>
      <c r="B35264" s="5" t="s">
        <v>35272</v>
      </c>
      <c r="C35264" s="5">
        <v>102.9</v>
      </c>
      <c r="D35264" s="5">
        <v>0.1</v>
      </c>
      <c r="E35264" s="5">
        <v>103.1</v>
      </c>
      <c r="F35264" s="5">
        <v>205.3</v>
      </c>
      <c r="G35264" s="5">
        <v>102.5</v>
      </c>
      <c r="H35264" s="5">
        <v>102.3</v>
      </c>
      <c r="I35264" s="5">
        <v>0</v>
      </c>
      <c r="J35264" s="5">
        <v>0</v>
      </c>
      <c r="K35264" s="5">
        <v>0</v>
      </c>
    </row>
    <row r="35265" spans="1:11" x14ac:dyDescent="0.25">
      <c r="A35265" s="5">
        <f>35258</f>
      </c>
      <c r="B35265" s="5" t="s">
        <v>35273</v>
      </c>
      <c r="C35265" s="5">
        <v>102.9</v>
      </c>
      <c r="D35265" s="5">
        <v>0.1</v>
      </c>
      <c r="E35265" s="5">
        <v>103.1</v>
      </c>
      <c r="F35265" s="5">
        <v>205.3</v>
      </c>
      <c r="G35265" s="5">
        <v>102.5</v>
      </c>
      <c r="H35265" s="5">
        <v>102.3</v>
      </c>
      <c r="I35265" s="5">
        <v>0</v>
      </c>
      <c r="J35265" s="5">
        <v>0</v>
      </c>
      <c r="K35265" s="5">
        <v>0</v>
      </c>
    </row>
    <row r="35266" spans="1:11" x14ac:dyDescent="0.25">
      <c r="A35266" s="5">
        <f>35259</f>
      </c>
      <c r="B35266" s="5" t="s">
        <v>35274</v>
      </c>
      <c r="C35266" s="5">
        <v>102.7</v>
      </c>
      <c r="D35266" s="5">
        <v>0.1</v>
      </c>
      <c r="E35266" s="5">
        <v>103.1</v>
      </c>
      <c r="F35266" s="5">
        <v>205.3</v>
      </c>
      <c r="G35266" s="5">
        <v>102.5</v>
      </c>
      <c r="H35266" s="5">
        <v>102.3</v>
      </c>
      <c r="I35266" s="5">
        <v>0</v>
      </c>
      <c r="J35266" s="5">
        <v>0</v>
      </c>
      <c r="K35266" s="5">
        <v>0</v>
      </c>
    </row>
    <row r="35267" spans="1:11" x14ac:dyDescent="0.25">
      <c r="A35267" s="5">
        <f>35260</f>
      </c>
      <c r="B35267" s="5" t="s">
        <v>35275</v>
      </c>
      <c r="C35267" s="5">
        <v>102.7</v>
      </c>
      <c r="D35267" s="5">
        <v>0.1</v>
      </c>
      <c r="E35267" s="5">
        <v>102.9</v>
      </c>
      <c r="F35267" s="5">
        <v>205.3</v>
      </c>
      <c r="G35267" s="5">
        <v>102.5</v>
      </c>
      <c r="H35267" s="5">
        <v>102.2</v>
      </c>
      <c r="I35267" s="5">
        <v>0</v>
      </c>
      <c r="J35267" s="5">
        <v>0</v>
      </c>
      <c r="K35267" s="5">
        <v>0</v>
      </c>
    </row>
    <row r="35268" spans="1:11" x14ac:dyDescent="0.25">
      <c r="A35268" s="5">
        <f>35261</f>
      </c>
      <c r="B35268" s="5" t="s">
        <v>35276</v>
      </c>
      <c r="C35268" s="5">
        <v>102.7</v>
      </c>
      <c r="D35268" s="5">
        <v>0.1</v>
      </c>
      <c r="E35268" s="5">
        <v>102.9</v>
      </c>
      <c r="F35268" s="5">
        <v>205.3</v>
      </c>
      <c r="G35268" s="5">
        <v>102.5</v>
      </c>
      <c r="H35268" s="5">
        <v>102.2</v>
      </c>
      <c r="I35268" s="5">
        <v>0</v>
      </c>
      <c r="J35268" s="5">
        <v>0</v>
      </c>
      <c r="K35268" s="5">
        <v>0</v>
      </c>
    </row>
    <row r="35269" spans="1:11" x14ac:dyDescent="0.25">
      <c r="A35269" s="5">
        <f>35262</f>
      </c>
      <c r="B35269" s="5" t="s">
        <v>35277</v>
      </c>
      <c r="C35269" s="5">
        <v>99.2</v>
      </c>
      <c r="D35269" s="5">
        <v>0.1</v>
      </c>
      <c r="E35269" s="5">
        <v>99.3</v>
      </c>
      <c r="F35269" s="5">
        <v>195.5</v>
      </c>
      <c r="G35269" s="5">
        <v>98.2</v>
      </c>
      <c r="H35269" s="5">
        <v>98.6</v>
      </c>
      <c r="I35269" s="5">
        <v>0</v>
      </c>
      <c r="J35269" s="5">
        <v>0</v>
      </c>
      <c r="K35269" s="5">
        <v>0</v>
      </c>
    </row>
    <row r="35270" spans="1:11" x14ac:dyDescent="0.25">
      <c r="A35270" s="5">
        <f>35263</f>
      </c>
      <c r="B35270" s="5" t="s">
        <v>35278</v>
      </c>
      <c r="C35270" s="5">
        <v>99.2</v>
      </c>
      <c r="D35270" s="5">
        <v>0.1</v>
      </c>
      <c r="E35270" s="5">
        <v>99.3</v>
      </c>
      <c r="F35270" s="5">
        <v>195.5</v>
      </c>
      <c r="G35270" s="5">
        <v>98.2</v>
      </c>
      <c r="H35270" s="5">
        <v>98.6</v>
      </c>
      <c r="I35270" s="5">
        <v>0</v>
      </c>
      <c r="J35270" s="5">
        <v>0</v>
      </c>
      <c r="K35270" s="5">
        <v>0</v>
      </c>
    </row>
    <row r="35271" spans="1:11" x14ac:dyDescent="0.25">
      <c r="A35271" s="5">
        <f>35264</f>
      </c>
      <c r="B35271" s="5" t="s">
        <v>35279</v>
      </c>
      <c r="C35271" s="5">
        <v>95.7</v>
      </c>
      <c r="D35271" s="5">
        <v>0.1</v>
      </c>
      <c r="E35271" s="5">
        <v>95.8</v>
      </c>
      <c r="F35271" s="5">
        <v>190.3</v>
      </c>
      <c r="G35271" s="5">
        <v>95</v>
      </c>
      <c r="H35271" s="5">
        <v>94.9</v>
      </c>
      <c r="I35271" s="5">
        <v>0</v>
      </c>
      <c r="J35271" s="5">
        <v>0</v>
      </c>
      <c r="K35271" s="5">
        <v>0</v>
      </c>
    </row>
    <row r="35272" spans="1:11" x14ac:dyDescent="0.25">
      <c r="A35272" s="5">
        <f>35265</f>
      </c>
      <c r="B35272" s="5" t="s">
        <v>35280</v>
      </c>
      <c r="C35272" s="5">
        <v>95.7</v>
      </c>
      <c r="D35272" s="5">
        <v>0.1</v>
      </c>
      <c r="E35272" s="5">
        <v>95.8</v>
      </c>
      <c r="F35272" s="5">
        <v>190.3</v>
      </c>
      <c r="G35272" s="5">
        <v>95</v>
      </c>
      <c r="H35272" s="5">
        <v>94.9</v>
      </c>
      <c r="I35272" s="5">
        <v>0</v>
      </c>
      <c r="J35272" s="5">
        <v>0</v>
      </c>
      <c r="K35272" s="5">
        <v>0</v>
      </c>
    </row>
    <row r="35273" spans="1:11" x14ac:dyDescent="0.25">
      <c r="A35273" s="5">
        <f>35266</f>
      </c>
      <c r="B35273" s="5" t="s">
        <v>35281</v>
      </c>
      <c r="C35273" s="5">
        <v>95.6</v>
      </c>
      <c r="D35273" s="5">
        <v>0.1</v>
      </c>
      <c r="E35273" s="5">
        <v>95.7</v>
      </c>
      <c r="F35273" s="5">
        <v>191.8</v>
      </c>
      <c r="G35273" s="5">
        <v>95.6</v>
      </c>
      <c r="H35273" s="5">
        <v>95.4</v>
      </c>
      <c r="I35273" s="5">
        <v>0</v>
      </c>
      <c r="J35273" s="5">
        <v>0</v>
      </c>
      <c r="K35273" s="5">
        <v>0</v>
      </c>
    </row>
    <row r="35274" spans="1:11" x14ac:dyDescent="0.25">
      <c r="A35274" s="5">
        <f>35267</f>
      </c>
      <c r="B35274" s="5" t="s">
        <v>35282</v>
      </c>
      <c r="C35274" s="5">
        <v>95.6</v>
      </c>
      <c r="D35274" s="5">
        <v>0.1</v>
      </c>
      <c r="E35274" s="5">
        <v>95.7</v>
      </c>
      <c r="F35274" s="5">
        <v>191.8</v>
      </c>
      <c r="G35274" s="5">
        <v>95.6</v>
      </c>
      <c r="H35274" s="5">
        <v>95.4</v>
      </c>
      <c r="I35274" s="5">
        <v>0</v>
      </c>
      <c r="J35274" s="5">
        <v>0</v>
      </c>
      <c r="K35274" s="5">
        <v>0</v>
      </c>
    </row>
    <row r="35275" spans="1:11" x14ac:dyDescent="0.25">
      <c r="A35275" s="5">
        <f>35268</f>
      </c>
      <c r="B35275" s="5" t="s">
        <v>35283</v>
      </c>
      <c r="C35275" s="5">
        <v>95.6</v>
      </c>
      <c r="D35275" s="5">
        <v>0.1</v>
      </c>
      <c r="E35275" s="5">
        <v>95.7</v>
      </c>
      <c r="F35275" s="5">
        <v>191.8</v>
      </c>
      <c r="G35275" s="5">
        <v>95.6</v>
      </c>
      <c r="H35275" s="5">
        <v>95.4</v>
      </c>
      <c r="I35275" s="5">
        <v>0</v>
      </c>
      <c r="J35275" s="5">
        <v>0</v>
      </c>
      <c r="K35275" s="5">
        <v>0</v>
      </c>
    </row>
    <row r="35276" spans="1:11" x14ac:dyDescent="0.25">
      <c r="A35276" s="5">
        <f>35269</f>
      </c>
      <c r="B35276" s="5" t="s">
        <v>35284</v>
      </c>
      <c r="C35276" s="5">
        <v>95.6</v>
      </c>
      <c r="D35276" s="5">
        <v>0.1</v>
      </c>
      <c r="E35276" s="5">
        <v>95.7</v>
      </c>
      <c r="F35276" s="5">
        <v>191.8</v>
      </c>
      <c r="G35276" s="5">
        <v>95.6</v>
      </c>
      <c r="H35276" s="5">
        <v>95.4</v>
      </c>
      <c r="I35276" s="5">
        <v>0</v>
      </c>
      <c r="J35276" s="5">
        <v>0</v>
      </c>
      <c r="K35276" s="5">
        <v>0</v>
      </c>
    </row>
    <row r="35277" spans="1:11" x14ac:dyDescent="0.25">
      <c r="A35277" s="5">
        <f>35270</f>
      </c>
      <c r="B35277" s="5" t="s">
        <v>35285</v>
      </c>
      <c r="C35277" s="5">
        <v>94.8</v>
      </c>
      <c r="D35277" s="5">
        <v>0.1</v>
      </c>
      <c r="E35277" s="5">
        <v>94.8</v>
      </c>
      <c r="F35277" s="5">
        <v>191.3</v>
      </c>
      <c r="G35277" s="5">
        <v>94.8</v>
      </c>
      <c r="H35277" s="5">
        <v>94.6</v>
      </c>
      <c r="I35277" s="5">
        <v>0</v>
      </c>
      <c r="J35277" s="5">
        <v>0</v>
      </c>
      <c r="K35277" s="5">
        <v>0</v>
      </c>
    </row>
    <row r="35278" spans="1:11" x14ac:dyDescent="0.25">
      <c r="A35278" s="5">
        <f>35271</f>
      </c>
      <c r="B35278" s="5" t="s">
        <v>35286</v>
      </c>
      <c r="C35278" s="5">
        <v>94.8</v>
      </c>
      <c r="D35278" s="5">
        <v>0.1</v>
      </c>
      <c r="E35278" s="5">
        <v>94.8</v>
      </c>
      <c r="F35278" s="5">
        <v>191.3</v>
      </c>
      <c r="G35278" s="5">
        <v>94.8</v>
      </c>
      <c r="H35278" s="5">
        <v>94.6</v>
      </c>
      <c r="I35278" s="5">
        <v>0</v>
      </c>
      <c r="J35278" s="5">
        <v>0</v>
      </c>
      <c r="K35278" s="5">
        <v>0</v>
      </c>
    </row>
    <row r="35279" spans="1:11" x14ac:dyDescent="0.25">
      <c r="A35279" s="5">
        <f>35272</f>
      </c>
      <c r="B35279" s="5" t="s">
        <v>35287</v>
      </c>
      <c r="C35279" s="5">
        <v>96.4</v>
      </c>
      <c r="D35279" s="5">
        <v>0.1</v>
      </c>
      <c r="E35279" s="5">
        <v>96.6</v>
      </c>
      <c r="F35279" s="5">
        <v>194</v>
      </c>
      <c r="G35279" s="5">
        <v>96.6</v>
      </c>
      <c r="H35279" s="5">
        <v>96.3</v>
      </c>
      <c r="I35279" s="5">
        <v>0</v>
      </c>
      <c r="J35279" s="5">
        <v>0</v>
      </c>
      <c r="K35279" s="5">
        <v>0</v>
      </c>
    </row>
    <row r="35280" spans="1:11" x14ac:dyDescent="0.25">
      <c r="A35280" s="5">
        <f>35273</f>
      </c>
      <c r="B35280" s="5" t="s">
        <v>35288</v>
      </c>
      <c r="C35280" s="5">
        <v>96.4</v>
      </c>
      <c r="D35280" s="5">
        <v>0.1</v>
      </c>
      <c r="E35280" s="5">
        <v>96.6</v>
      </c>
      <c r="F35280" s="5">
        <v>194</v>
      </c>
      <c r="G35280" s="5">
        <v>96.6</v>
      </c>
      <c r="H35280" s="5">
        <v>96.3</v>
      </c>
      <c r="I35280" s="5">
        <v>0</v>
      </c>
      <c r="J35280" s="5">
        <v>0</v>
      </c>
      <c r="K35280" s="5">
        <v>0</v>
      </c>
    </row>
    <row r="35281" spans="1:11" x14ac:dyDescent="0.25">
      <c r="A35281" s="5">
        <f>35274</f>
      </c>
      <c r="B35281" s="5" t="s">
        <v>35289</v>
      </c>
      <c r="C35281" s="5">
        <v>96.7</v>
      </c>
      <c r="D35281" s="5">
        <v>0.1</v>
      </c>
      <c r="E35281" s="5">
        <v>96.8</v>
      </c>
      <c r="F35281" s="5">
        <v>193.2</v>
      </c>
      <c r="G35281" s="5">
        <v>95.7</v>
      </c>
      <c r="H35281" s="5">
        <v>95.5</v>
      </c>
      <c r="I35281" s="5">
        <v>0</v>
      </c>
      <c r="J35281" s="5">
        <v>0</v>
      </c>
      <c r="K35281" s="5">
        <v>0</v>
      </c>
    </row>
    <row r="35282" spans="1:11" x14ac:dyDescent="0.25">
      <c r="A35282" s="5">
        <f>35275</f>
      </c>
      <c r="B35282" s="5" t="s">
        <v>35290</v>
      </c>
      <c r="C35282" s="5">
        <v>96.7</v>
      </c>
      <c r="D35282" s="5">
        <v>0.1</v>
      </c>
      <c r="E35282" s="5">
        <v>96.8</v>
      </c>
      <c r="F35282" s="5">
        <v>193.2</v>
      </c>
      <c r="G35282" s="5">
        <v>95.7</v>
      </c>
      <c r="H35282" s="5">
        <v>95.5</v>
      </c>
      <c r="I35282" s="5">
        <v>0</v>
      </c>
      <c r="J35282" s="5">
        <v>0</v>
      </c>
      <c r="K35282" s="5">
        <v>0</v>
      </c>
    </row>
    <row r="35283" spans="1:11" x14ac:dyDescent="0.25">
      <c r="A35283" s="5">
        <f>35276</f>
      </c>
      <c r="B35283" s="5" t="s">
        <v>35291</v>
      </c>
      <c r="C35283" s="5">
        <v>97.2</v>
      </c>
      <c r="D35283" s="5">
        <v>0.1</v>
      </c>
      <c r="E35283" s="5">
        <v>97.3</v>
      </c>
      <c r="F35283" s="5">
        <v>193.9</v>
      </c>
      <c r="G35283" s="5">
        <v>96.8</v>
      </c>
      <c r="H35283" s="5">
        <v>96.6</v>
      </c>
      <c r="I35283" s="5">
        <v>0</v>
      </c>
      <c r="J35283" s="5">
        <v>0</v>
      </c>
      <c r="K35283" s="5">
        <v>0</v>
      </c>
    </row>
    <row r="35284" spans="1:11" x14ac:dyDescent="0.25">
      <c r="A35284" s="5">
        <f>35277</f>
      </c>
      <c r="B35284" s="5" t="s">
        <v>35292</v>
      </c>
      <c r="C35284" s="5">
        <v>97.2</v>
      </c>
      <c r="D35284" s="5">
        <v>0.1</v>
      </c>
      <c r="E35284" s="5">
        <v>97.3</v>
      </c>
      <c r="F35284" s="5">
        <v>193.9</v>
      </c>
      <c r="G35284" s="5">
        <v>96.8</v>
      </c>
      <c r="H35284" s="5">
        <v>96.6</v>
      </c>
      <c r="I35284" s="5">
        <v>0</v>
      </c>
      <c r="J35284" s="5">
        <v>0</v>
      </c>
      <c r="K35284" s="5">
        <v>0</v>
      </c>
    </row>
    <row r="35285" spans="1:11" x14ac:dyDescent="0.25">
      <c r="A35285" s="5">
        <f>35278</f>
      </c>
      <c r="B35285" s="5" t="s">
        <v>35293</v>
      </c>
      <c r="C35285" s="5">
        <v>97.2</v>
      </c>
      <c r="D35285" s="5">
        <v>0.1</v>
      </c>
      <c r="E35285" s="5">
        <v>97.3</v>
      </c>
      <c r="F35285" s="5">
        <v>193.9</v>
      </c>
      <c r="G35285" s="5">
        <v>96.8</v>
      </c>
      <c r="H35285" s="5">
        <v>96.6</v>
      </c>
      <c r="I35285" s="5">
        <v>0</v>
      </c>
      <c r="J35285" s="5">
        <v>0</v>
      </c>
      <c r="K35285" s="5">
        <v>0</v>
      </c>
    </row>
    <row r="35286" spans="1:11" x14ac:dyDescent="0.25">
      <c r="A35286" s="5">
        <f>35279</f>
      </c>
      <c r="B35286" s="5" t="s">
        <v>35294</v>
      </c>
      <c r="C35286" s="5">
        <v>102.8</v>
      </c>
      <c r="D35286" s="5">
        <v>0.1</v>
      </c>
      <c r="E35286" s="5">
        <v>103</v>
      </c>
      <c r="F35286" s="5">
        <v>203.6</v>
      </c>
      <c r="G35286" s="5">
        <v>100.9</v>
      </c>
      <c r="H35286" s="5">
        <v>100</v>
      </c>
      <c r="I35286" s="5">
        <v>0</v>
      </c>
      <c r="J35286" s="5">
        <v>0</v>
      </c>
      <c r="K35286" s="5">
        <v>0</v>
      </c>
    </row>
    <row r="35287" spans="1:11" x14ac:dyDescent="0.25">
      <c r="A35287" s="5">
        <f>35280</f>
      </c>
      <c r="B35287" s="5" t="s">
        <v>35295</v>
      </c>
      <c r="C35287" s="5">
        <v>102.8</v>
      </c>
      <c r="D35287" s="5">
        <v>0.1</v>
      </c>
      <c r="E35287" s="5">
        <v>103</v>
      </c>
      <c r="F35287" s="5">
        <v>203.6</v>
      </c>
      <c r="G35287" s="5">
        <v>100.9</v>
      </c>
      <c r="H35287" s="5">
        <v>100</v>
      </c>
      <c r="I35287" s="5">
        <v>0</v>
      </c>
      <c r="J35287" s="5">
        <v>0</v>
      </c>
      <c r="K35287" s="5">
        <v>0</v>
      </c>
    </row>
    <row r="35288" spans="1:11" x14ac:dyDescent="0.25">
      <c r="A35288" s="5">
        <f>35281</f>
      </c>
      <c r="B35288" s="5" t="s">
        <v>35296</v>
      </c>
      <c r="C35288" s="5">
        <v>101.9</v>
      </c>
      <c r="D35288" s="5">
        <v>0.1</v>
      </c>
      <c r="E35288" s="5">
        <v>102.1</v>
      </c>
      <c r="F35288" s="5">
        <v>202.6</v>
      </c>
      <c r="G35288" s="5">
        <v>101.2</v>
      </c>
      <c r="H35288" s="5">
        <v>100.8</v>
      </c>
      <c r="I35288" s="5">
        <v>0</v>
      </c>
      <c r="J35288" s="5">
        <v>0</v>
      </c>
      <c r="K35288" s="5">
        <v>0</v>
      </c>
    </row>
    <row r="35289" spans="1:11" x14ac:dyDescent="0.25">
      <c r="A35289" s="5">
        <f>35282</f>
      </c>
      <c r="B35289" s="5" t="s">
        <v>35297</v>
      </c>
      <c r="C35289" s="5">
        <v>101.9</v>
      </c>
      <c r="D35289" s="5">
        <v>0.1</v>
      </c>
      <c r="E35289" s="5">
        <v>102.1</v>
      </c>
      <c r="F35289" s="5">
        <v>202.6</v>
      </c>
      <c r="G35289" s="5">
        <v>101.2</v>
      </c>
      <c r="H35289" s="5">
        <v>100.8</v>
      </c>
      <c r="I35289" s="5">
        <v>0</v>
      </c>
      <c r="J35289" s="5">
        <v>0</v>
      </c>
      <c r="K35289" s="5">
        <v>0</v>
      </c>
    </row>
    <row r="35290" spans="1:11" x14ac:dyDescent="0.25">
      <c r="A35290" s="5">
        <f>35283</f>
      </c>
      <c r="B35290" s="5" t="s">
        <v>35298</v>
      </c>
      <c r="C35290" s="5">
        <v>101.9</v>
      </c>
      <c r="D35290" s="5">
        <v>0.1</v>
      </c>
      <c r="E35290" s="5">
        <v>94.5</v>
      </c>
      <c r="F35290" s="5">
        <v>187.6</v>
      </c>
      <c r="G35290" s="5">
        <v>93.8</v>
      </c>
      <c r="H35290" s="5">
        <v>93.8</v>
      </c>
      <c r="I35290" s="5">
        <v>0</v>
      </c>
      <c r="J35290" s="5">
        <v>0</v>
      </c>
      <c r="K35290" s="5">
        <v>0</v>
      </c>
    </row>
    <row r="35291" spans="1:11" x14ac:dyDescent="0.25">
      <c r="A35291" s="5">
        <f>35284</f>
      </c>
      <c r="B35291" s="5" t="s">
        <v>35299</v>
      </c>
      <c r="C35291" s="5">
        <v>94.3</v>
      </c>
      <c r="D35291" s="5">
        <v>0.1</v>
      </c>
      <c r="E35291" s="5">
        <v>94.5</v>
      </c>
      <c r="F35291" s="5">
        <v>187.6</v>
      </c>
      <c r="G35291" s="5">
        <v>93.8</v>
      </c>
      <c r="H35291" s="5">
        <v>93.8</v>
      </c>
      <c r="I35291" s="5">
        <v>0</v>
      </c>
      <c r="J35291" s="5">
        <v>0</v>
      </c>
      <c r="K35291" s="5">
        <v>0</v>
      </c>
    </row>
    <row r="35292" spans="1:11" x14ac:dyDescent="0.25">
      <c r="A35292" s="5">
        <f>35285</f>
      </c>
      <c r="B35292" s="5" t="s">
        <v>35300</v>
      </c>
      <c r="C35292" s="5">
        <v>94.3</v>
      </c>
      <c r="D35292" s="5">
        <v>0.1</v>
      </c>
      <c r="E35292" s="5">
        <v>94</v>
      </c>
      <c r="F35292" s="5">
        <v>186.5</v>
      </c>
      <c r="G35292" s="5">
        <v>93.1</v>
      </c>
      <c r="H35292" s="5">
        <v>93</v>
      </c>
      <c r="I35292" s="5">
        <v>0</v>
      </c>
      <c r="J35292" s="5">
        <v>0</v>
      </c>
      <c r="K35292" s="5">
        <v>0</v>
      </c>
    </row>
    <row r="35293" spans="1:11" x14ac:dyDescent="0.25">
      <c r="A35293" s="5">
        <f>35286</f>
      </c>
      <c r="B35293" s="5" t="s">
        <v>35301</v>
      </c>
      <c r="C35293" s="5">
        <v>93.8</v>
      </c>
      <c r="D35293" s="5">
        <v>0.1</v>
      </c>
      <c r="E35293" s="5">
        <v>94</v>
      </c>
      <c r="F35293" s="5">
        <v>186.5</v>
      </c>
      <c r="G35293" s="5">
        <v>93.1</v>
      </c>
      <c r="H35293" s="5">
        <v>93</v>
      </c>
      <c r="I35293" s="5">
        <v>0</v>
      </c>
      <c r="J35293" s="5">
        <v>0</v>
      </c>
      <c r="K35293" s="5">
        <v>0</v>
      </c>
    </row>
    <row r="35294" spans="1:11" x14ac:dyDescent="0.25">
      <c r="A35294" s="5">
        <f>35287</f>
      </c>
      <c r="B35294" s="5" t="s">
        <v>35302</v>
      </c>
      <c r="C35294" s="5">
        <v>93.8</v>
      </c>
      <c r="D35294" s="5">
        <v>0.1</v>
      </c>
      <c r="E35294" s="5">
        <v>94</v>
      </c>
      <c r="F35294" s="5">
        <v>186.5</v>
      </c>
      <c r="G35294" s="5">
        <v>93.1</v>
      </c>
      <c r="H35294" s="5">
        <v>93</v>
      </c>
      <c r="I35294" s="5">
        <v>0</v>
      </c>
      <c r="J35294" s="5">
        <v>0</v>
      </c>
      <c r="K35294" s="5">
        <v>0</v>
      </c>
    </row>
    <row r="35295" spans="1:11" x14ac:dyDescent="0.25">
      <c r="A35295" s="5">
        <f>35288</f>
      </c>
      <c r="B35295" s="5" t="s">
        <v>35303</v>
      </c>
      <c r="C35295" s="5">
        <v>93.8</v>
      </c>
      <c r="D35295" s="5">
        <v>0.1</v>
      </c>
      <c r="E35295" s="5">
        <v>94</v>
      </c>
      <c r="F35295" s="5">
        <v>186.5</v>
      </c>
      <c r="G35295" s="5">
        <v>93.1</v>
      </c>
      <c r="H35295" s="5">
        <v>93</v>
      </c>
      <c r="I35295" s="5">
        <v>0</v>
      </c>
      <c r="J35295" s="5">
        <v>0</v>
      </c>
      <c r="K35295" s="5">
        <v>0</v>
      </c>
    </row>
    <row r="35296" spans="1:11" x14ac:dyDescent="0.25">
      <c r="A35296" s="5">
        <f>35289</f>
      </c>
      <c r="B35296" s="5" t="s">
        <v>35304</v>
      </c>
      <c r="C35296" s="5">
        <v>97.8</v>
      </c>
      <c r="D35296" s="5">
        <v>0.1</v>
      </c>
      <c r="E35296" s="5">
        <v>98</v>
      </c>
      <c r="F35296" s="5">
        <v>201.9</v>
      </c>
      <c r="G35296" s="5">
        <v>101.5</v>
      </c>
      <c r="H35296" s="5">
        <v>101.1</v>
      </c>
      <c r="I35296" s="5">
        <v>0</v>
      </c>
      <c r="J35296" s="5">
        <v>0</v>
      </c>
      <c r="K35296" s="5">
        <v>0</v>
      </c>
    </row>
    <row r="35297" spans="1:11" x14ac:dyDescent="0.25">
      <c r="A35297" s="5">
        <f>35290</f>
      </c>
      <c r="B35297" s="5" t="s">
        <v>35305</v>
      </c>
      <c r="C35297" s="5">
        <v>97.8</v>
      </c>
      <c r="D35297" s="5">
        <v>0.1</v>
      </c>
      <c r="E35297" s="5">
        <v>98</v>
      </c>
      <c r="F35297" s="5">
        <v>201.9</v>
      </c>
      <c r="G35297" s="5">
        <v>101.5</v>
      </c>
      <c r="H35297" s="5">
        <v>101.1</v>
      </c>
      <c r="I35297" s="5">
        <v>0</v>
      </c>
      <c r="J35297" s="5">
        <v>0</v>
      </c>
      <c r="K35297" s="5">
        <v>0</v>
      </c>
    </row>
    <row r="35298" spans="1:11" x14ac:dyDescent="0.25">
      <c r="A35298" s="5">
        <f>35291</f>
      </c>
      <c r="B35298" s="5" t="s">
        <v>35306</v>
      </c>
      <c r="C35298" s="5">
        <v>95.6</v>
      </c>
      <c r="D35298" s="5">
        <v>0.1</v>
      </c>
      <c r="E35298" s="5">
        <v>95.7</v>
      </c>
      <c r="F35298" s="5">
        <v>190.4</v>
      </c>
      <c r="G35298" s="5">
        <v>95.3</v>
      </c>
      <c r="H35298" s="5">
        <v>98.7</v>
      </c>
      <c r="I35298" s="5">
        <v>0</v>
      </c>
      <c r="J35298" s="5">
        <v>0</v>
      </c>
      <c r="K35298" s="5">
        <v>0</v>
      </c>
    </row>
    <row r="35299" spans="1:11" x14ac:dyDescent="0.25">
      <c r="A35299" s="5">
        <f>35292</f>
      </c>
      <c r="B35299" s="5" t="s">
        <v>35307</v>
      </c>
      <c r="C35299" s="5">
        <v>95.6</v>
      </c>
      <c r="D35299" s="5">
        <v>0.1</v>
      </c>
      <c r="E35299" s="5">
        <v>95.7</v>
      </c>
      <c r="F35299" s="5">
        <v>190.4</v>
      </c>
      <c r="G35299" s="5">
        <v>95.3</v>
      </c>
      <c r="H35299" s="5">
        <v>98.7</v>
      </c>
      <c r="I35299" s="5">
        <v>0</v>
      </c>
      <c r="J35299" s="5">
        <v>0</v>
      </c>
      <c r="K35299" s="5">
        <v>0</v>
      </c>
    </row>
    <row r="35300" spans="1:11" x14ac:dyDescent="0.25">
      <c r="A35300" s="5">
        <f>35293</f>
      </c>
      <c r="B35300" s="5" t="s">
        <v>35308</v>
      </c>
      <c r="C35300" s="5">
        <v>102.6</v>
      </c>
      <c r="D35300" s="5">
        <v>0.1</v>
      </c>
      <c r="E35300" s="5">
        <v>102.7</v>
      </c>
      <c r="F35300" s="5">
        <v>204.9</v>
      </c>
      <c r="G35300" s="5">
        <v>102.2</v>
      </c>
      <c r="H35300" s="5">
        <v>102.5</v>
      </c>
      <c r="I35300" s="5">
        <v>0</v>
      </c>
      <c r="J35300" s="5">
        <v>0</v>
      </c>
      <c r="K35300" s="5">
        <v>0</v>
      </c>
    </row>
    <row r="35301" spans="1:11" x14ac:dyDescent="0.25">
      <c r="A35301" s="5">
        <f>35294</f>
      </c>
      <c r="B35301" s="5" t="s">
        <v>35309</v>
      </c>
      <c r="C35301" s="5">
        <v>102.6</v>
      </c>
      <c r="D35301" s="5">
        <v>0.1</v>
      </c>
      <c r="E35301" s="5">
        <v>102.7</v>
      </c>
      <c r="F35301" s="5">
        <v>204.9</v>
      </c>
      <c r="G35301" s="5">
        <v>102.2</v>
      </c>
      <c r="H35301" s="5">
        <v>102.5</v>
      </c>
      <c r="I35301" s="5">
        <v>0</v>
      </c>
      <c r="J35301" s="5">
        <v>0</v>
      </c>
      <c r="K35301" s="5">
        <v>0</v>
      </c>
    </row>
    <row r="35302" spans="1:11" x14ac:dyDescent="0.25">
      <c r="A35302" s="5">
        <f>35295</f>
      </c>
      <c r="B35302" s="5" t="s">
        <v>35310</v>
      </c>
      <c r="C35302" s="5">
        <v>104.3</v>
      </c>
      <c r="D35302" s="5">
        <v>0.1</v>
      </c>
      <c r="E35302" s="5">
        <v>104.5</v>
      </c>
      <c r="F35302" s="5">
        <v>208.4</v>
      </c>
      <c r="G35302" s="5">
        <v>104</v>
      </c>
      <c r="H35302" s="5">
        <v>103.5</v>
      </c>
      <c r="I35302" s="5">
        <v>0</v>
      </c>
      <c r="J35302" s="5">
        <v>0</v>
      </c>
      <c r="K35302" s="5">
        <v>0</v>
      </c>
    </row>
    <row r="35303" spans="1:11" x14ac:dyDescent="0.25">
      <c r="A35303" s="5">
        <f>35296</f>
      </c>
      <c r="B35303" s="5" t="s">
        <v>35311</v>
      </c>
      <c r="C35303" s="5">
        <v>104.3</v>
      </c>
      <c r="D35303" s="5">
        <v>0.1</v>
      </c>
      <c r="E35303" s="5">
        <v>104.5</v>
      </c>
      <c r="F35303" s="5">
        <v>208.4</v>
      </c>
      <c r="G35303" s="5">
        <v>104</v>
      </c>
      <c r="H35303" s="5">
        <v>103.5</v>
      </c>
      <c r="I35303" s="5">
        <v>0</v>
      </c>
      <c r="J35303" s="5">
        <v>0</v>
      </c>
      <c r="K35303" s="5">
        <v>0</v>
      </c>
    </row>
    <row r="35304" spans="1:11" x14ac:dyDescent="0.25">
      <c r="A35304" s="5">
        <f>35297</f>
      </c>
      <c r="B35304" s="5" t="s">
        <v>35312</v>
      </c>
      <c r="C35304" s="5">
        <v>104.3</v>
      </c>
      <c r="D35304" s="5">
        <v>0.1</v>
      </c>
      <c r="E35304" s="5">
        <v>104.5</v>
      </c>
      <c r="F35304" s="5">
        <v>208.4</v>
      </c>
      <c r="G35304" s="5">
        <v>104</v>
      </c>
      <c r="H35304" s="5">
        <v>103.5</v>
      </c>
      <c r="I35304" s="5">
        <v>0</v>
      </c>
      <c r="J35304" s="5">
        <v>0</v>
      </c>
      <c r="K35304" s="5">
        <v>0</v>
      </c>
    </row>
    <row r="35305" spans="1:11" x14ac:dyDescent="0.25">
      <c r="A35305" s="5">
        <f>35298</f>
      </c>
      <c r="B35305" s="5" t="s">
        <v>35313</v>
      </c>
      <c r="C35305" s="5">
        <v>104.3</v>
      </c>
      <c r="D35305" s="5">
        <v>0.1</v>
      </c>
      <c r="E35305" s="5">
        <v>104.5</v>
      </c>
      <c r="F35305" s="5">
        <v>208.4</v>
      </c>
      <c r="G35305" s="5">
        <v>104</v>
      </c>
      <c r="H35305" s="5">
        <v>103.5</v>
      </c>
      <c r="I35305" s="5">
        <v>0</v>
      </c>
      <c r="J35305" s="5">
        <v>0</v>
      </c>
      <c r="K35305" s="5">
        <v>0</v>
      </c>
    </row>
    <row r="35306" spans="1:11" x14ac:dyDescent="0.25">
      <c r="A35306" s="5">
        <f>35299</f>
      </c>
      <c r="B35306" s="5" t="s">
        <v>35314</v>
      </c>
      <c r="C35306" s="5">
        <v>95.9</v>
      </c>
      <c r="D35306" s="5">
        <v>0.1</v>
      </c>
      <c r="E35306" s="5">
        <v>96</v>
      </c>
      <c r="F35306" s="5">
        <v>193</v>
      </c>
      <c r="G35306" s="5">
        <v>96.3</v>
      </c>
      <c r="H35306" s="5">
        <v>95.3</v>
      </c>
      <c r="I35306" s="5">
        <v>0</v>
      </c>
      <c r="J35306" s="5">
        <v>0</v>
      </c>
      <c r="K35306" s="5">
        <v>0</v>
      </c>
    </row>
    <row r="35307" spans="1:11" x14ac:dyDescent="0.25">
      <c r="A35307" s="5">
        <f>35300</f>
      </c>
      <c r="B35307" s="5" t="s">
        <v>35315</v>
      </c>
      <c r="C35307" s="5">
        <v>95.9</v>
      </c>
      <c r="D35307" s="5">
        <v>0.1</v>
      </c>
      <c r="E35307" s="5">
        <v>96</v>
      </c>
      <c r="F35307" s="5">
        <v>193</v>
      </c>
      <c r="G35307" s="5">
        <v>96.3</v>
      </c>
      <c r="H35307" s="5">
        <v>95.3</v>
      </c>
      <c r="I35307" s="5">
        <v>0</v>
      </c>
      <c r="J35307" s="5">
        <v>0</v>
      </c>
      <c r="K35307" s="5">
        <v>0</v>
      </c>
    </row>
    <row r="35308" spans="1:11" x14ac:dyDescent="0.25">
      <c r="A35308" s="5">
        <f>35301</f>
      </c>
      <c r="B35308" s="5" t="s">
        <v>35316</v>
      </c>
      <c r="C35308" s="5">
        <v>95.1</v>
      </c>
      <c r="D35308" s="5">
        <v>0.1</v>
      </c>
      <c r="E35308" s="5">
        <v>95.1</v>
      </c>
      <c r="F35308" s="5">
        <v>189.1</v>
      </c>
      <c r="G35308" s="5">
        <v>94</v>
      </c>
      <c r="H35308" s="5">
        <v>93.6</v>
      </c>
      <c r="I35308" s="5">
        <v>0</v>
      </c>
      <c r="J35308" s="5">
        <v>0</v>
      </c>
      <c r="K35308" s="5">
        <v>0</v>
      </c>
    </row>
    <row r="35309" spans="1:11" x14ac:dyDescent="0.25">
      <c r="A35309" s="5">
        <f>35302</f>
      </c>
      <c r="B35309" s="5" t="s">
        <v>35317</v>
      </c>
      <c r="C35309" s="5">
        <v>95.1</v>
      </c>
      <c r="D35309" s="5">
        <v>0.1</v>
      </c>
      <c r="E35309" s="5">
        <v>95.1</v>
      </c>
      <c r="F35309" s="5">
        <v>189.1</v>
      </c>
      <c r="G35309" s="5">
        <v>94</v>
      </c>
      <c r="H35309" s="5">
        <v>93.6</v>
      </c>
      <c r="I35309" s="5">
        <v>0</v>
      </c>
      <c r="J35309" s="5">
        <v>0</v>
      </c>
      <c r="K35309" s="5">
        <v>0</v>
      </c>
    </row>
    <row r="35310" spans="1:11" x14ac:dyDescent="0.25">
      <c r="A35310" s="5">
        <f>35303</f>
      </c>
      <c r="B35310" s="5" t="s">
        <v>35318</v>
      </c>
      <c r="C35310" s="5">
        <v>96.4</v>
      </c>
      <c r="D35310" s="5">
        <v>0.1</v>
      </c>
      <c r="E35310" s="5">
        <v>96.5</v>
      </c>
      <c r="F35310" s="5">
        <v>195.8</v>
      </c>
      <c r="G35310" s="5">
        <v>97.7</v>
      </c>
      <c r="H35310" s="5">
        <v>93.6</v>
      </c>
      <c r="I35310" s="5">
        <v>0</v>
      </c>
      <c r="J35310" s="5">
        <v>0</v>
      </c>
      <c r="K35310" s="5">
        <v>0</v>
      </c>
    </row>
    <row r="35311" spans="1:11" x14ac:dyDescent="0.25">
      <c r="A35311" s="5">
        <f>35304</f>
      </c>
      <c r="B35311" s="5" t="s">
        <v>35319</v>
      </c>
      <c r="C35311" s="5">
        <v>96.4</v>
      </c>
      <c r="D35311" s="5">
        <v>0.1</v>
      </c>
      <c r="E35311" s="5">
        <v>96.5</v>
      </c>
      <c r="F35311" s="5">
        <v>195.8</v>
      </c>
      <c r="G35311" s="5">
        <v>97.7</v>
      </c>
      <c r="H35311" s="5">
        <v>97.4</v>
      </c>
      <c r="I35311" s="5">
        <v>0</v>
      </c>
      <c r="J35311" s="5">
        <v>0</v>
      </c>
      <c r="K35311" s="5">
        <v>0</v>
      </c>
    </row>
    <row r="35312" spans="1:11" x14ac:dyDescent="0.25">
      <c r="A35312" s="5">
        <f>35305</f>
      </c>
      <c r="B35312" s="5" t="s">
        <v>35320</v>
      </c>
      <c r="C35312" s="5">
        <v>96.5</v>
      </c>
      <c r="D35312" s="5">
        <v>0.1</v>
      </c>
      <c r="E35312" s="5">
        <v>96.7</v>
      </c>
      <c r="F35312" s="5">
        <v>194.4</v>
      </c>
      <c r="G35312" s="5">
        <v>96.9</v>
      </c>
      <c r="H35312" s="5">
        <v>97.4</v>
      </c>
      <c r="I35312" s="5">
        <v>0</v>
      </c>
      <c r="J35312" s="5">
        <v>0</v>
      </c>
      <c r="K35312" s="5">
        <v>0</v>
      </c>
    </row>
    <row r="35313" spans="1:11" x14ac:dyDescent="0.25">
      <c r="A35313" s="5">
        <f>35306</f>
      </c>
      <c r="B35313" s="5" t="s">
        <v>35321</v>
      </c>
      <c r="C35313" s="5">
        <v>96.5</v>
      </c>
      <c r="D35313" s="5">
        <v>0.1</v>
      </c>
      <c r="E35313" s="5">
        <v>96.7</v>
      </c>
      <c r="F35313" s="5">
        <v>194.4</v>
      </c>
      <c r="G35313" s="5">
        <v>96.9</v>
      </c>
      <c r="H35313" s="5">
        <v>96.7</v>
      </c>
      <c r="I35313" s="5">
        <v>0</v>
      </c>
      <c r="J35313" s="5">
        <v>0</v>
      </c>
      <c r="K35313" s="5">
        <v>0</v>
      </c>
    </row>
    <row r="35314" spans="1:11" x14ac:dyDescent="0.25">
      <c r="A35314" s="5">
        <f>35307</f>
      </c>
      <c r="B35314" s="5" t="s">
        <v>35322</v>
      </c>
      <c r="C35314" s="5">
        <v>96.5</v>
      </c>
      <c r="D35314" s="5">
        <v>0.1</v>
      </c>
      <c r="E35314" s="5">
        <v>96.7</v>
      </c>
      <c r="F35314" s="5">
        <v>194.4</v>
      </c>
      <c r="G35314" s="5">
        <v>96.9</v>
      </c>
      <c r="H35314" s="5">
        <v>96.7</v>
      </c>
      <c r="I35314" s="5">
        <v>0</v>
      </c>
      <c r="J35314" s="5">
        <v>0</v>
      </c>
      <c r="K35314" s="5">
        <v>0</v>
      </c>
    </row>
    <row r="35315" spans="1:11" x14ac:dyDescent="0.25">
      <c r="A35315" s="5">
        <f>35308</f>
      </c>
      <c r="B35315" s="5" t="s">
        <v>35323</v>
      </c>
      <c r="C35315" s="5">
        <v>96.5</v>
      </c>
      <c r="D35315" s="5">
        <v>0.1</v>
      </c>
      <c r="E35315" s="5">
        <v>96.7</v>
      </c>
      <c r="F35315" s="5">
        <v>194.4</v>
      </c>
      <c r="G35315" s="5">
        <v>96.9</v>
      </c>
      <c r="H35315" s="5">
        <v>96.7</v>
      </c>
      <c r="I35315" s="5">
        <v>0</v>
      </c>
      <c r="J35315" s="5">
        <v>0</v>
      </c>
      <c r="K35315" s="5">
        <v>0</v>
      </c>
    </row>
    <row r="35316" spans="1:11" x14ac:dyDescent="0.25">
      <c r="A35316" s="5">
        <f>35309</f>
      </c>
      <c r="B35316" s="5" t="s">
        <v>35324</v>
      </c>
      <c r="C35316" s="5">
        <v>96.7</v>
      </c>
      <c r="D35316" s="5">
        <v>0.1</v>
      </c>
      <c r="E35316" s="5">
        <v>96.8</v>
      </c>
      <c r="F35316" s="5">
        <v>201.4</v>
      </c>
      <c r="G35316" s="5">
        <v>101.4</v>
      </c>
      <c r="H35316" s="5">
        <v>101.1</v>
      </c>
      <c r="I35316" s="5">
        <v>0</v>
      </c>
      <c r="J35316" s="5">
        <v>0</v>
      </c>
      <c r="K35316" s="5">
        <v>0</v>
      </c>
    </row>
    <row r="35317" spans="1:11" x14ac:dyDescent="0.25">
      <c r="A35317" s="5">
        <f>35310</f>
      </c>
      <c r="B35317" s="5" t="s">
        <v>35325</v>
      </c>
      <c r="C35317" s="5">
        <v>96.7</v>
      </c>
      <c r="D35317" s="5">
        <v>0.1</v>
      </c>
      <c r="E35317" s="5">
        <v>96.8</v>
      </c>
      <c r="F35317" s="5">
        <v>201.4</v>
      </c>
      <c r="G35317" s="5">
        <v>101.4</v>
      </c>
      <c r="H35317" s="5">
        <v>101.1</v>
      </c>
      <c r="I35317" s="5">
        <v>0</v>
      </c>
      <c r="J35317" s="5">
        <v>0</v>
      </c>
      <c r="K35317" s="5">
        <v>0</v>
      </c>
    </row>
    <row r="35318" spans="1:11" x14ac:dyDescent="0.25">
      <c r="A35318" s="5">
        <f>35311</f>
      </c>
      <c r="B35318" s="5" t="s">
        <v>35326</v>
      </c>
      <c r="C35318" s="5">
        <v>103.1</v>
      </c>
      <c r="D35318" s="5">
        <v>0.1</v>
      </c>
      <c r="E35318" s="5">
        <v>103.3</v>
      </c>
      <c r="F35318" s="5">
        <v>196.9</v>
      </c>
      <c r="G35318" s="5">
        <v>98.7</v>
      </c>
      <c r="H35318" s="5">
        <v>101.8</v>
      </c>
      <c r="I35318" s="5">
        <v>0</v>
      </c>
      <c r="J35318" s="5">
        <v>0</v>
      </c>
      <c r="K35318" s="5">
        <v>0</v>
      </c>
    </row>
    <row r="35319" spans="1:11" x14ac:dyDescent="0.25">
      <c r="A35319" s="5">
        <f>35312</f>
      </c>
      <c r="B35319" s="5" t="s">
        <v>35327</v>
      </c>
      <c r="C35319" s="5">
        <v>103.1</v>
      </c>
      <c r="D35319" s="5">
        <v>0.1</v>
      </c>
      <c r="E35319" s="5">
        <v>103.3</v>
      </c>
      <c r="F35319" s="5">
        <v>196.9</v>
      </c>
      <c r="G35319" s="5">
        <v>98.7</v>
      </c>
      <c r="H35319" s="5">
        <v>101.8</v>
      </c>
      <c r="I35319" s="5">
        <v>0</v>
      </c>
      <c r="J35319" s="5">
        <v>0</v>
      </c>
      <c r="K35319" s="5">
        <v>0</v>
      </c>
    </row>
    <row r="35320" spans="1:11" x14ac:dyDescent="0.25">
      <c r="A35320" s="5">
        <f>35313</f>
      </c>
      <c r="B35320" s="5" t="s">
        <v>35328</v>
      </c>
      <c r="C35320" s="5">
        <v>103.1</v>
      </c>
      <c r="D35320" s="5">
        <v>0.1</v>
      </c>
      <c r="E35320" s="5">
        <v>103.2</v>
      </c>
      <c r="F35320" s="5">
        <v>205.1</v>
      </c>
      <c r="G35320" s="5">
        <v>102.2</v>
      </c>
      <c r="H35320" s="5">
        <v>102</v>
      </c>
      <c r="I35320" s="5">
        <v>0</v>
      </c>
      <c r="J35320" s="5">
        <v>0</v>
      </c>
      <c r="K35320" s="5">
        <v>0</v>
      </c>
    </row>
    <row r="35321" spans="1:11" x14ac:dyDescent="0.25">
      <c r="A35321" s="5">
        <f>35314</f>
      </c>
      <c r="B35321" s="5" t="s">
        <v>35329</v>
      </c>
      <c r="C35321" s="5">
        <v>103.1</v>
      </c>
      <c r="D35321" s="5">
        <v>0.1</v>
      </c>
      <c r="E35321" s="5">
        <v>103.2</v>
      </c>
      <c r="F35321" s="5">
        <v>205.1</v>
      </c>
      <c r="G35321" s="5">
        <v>102.2</v>
      </c>
      <c r="H35321" s="5">
        <v>102</v>
      </c>
      <c r="I35321" s="5">
        <v>0</v>
      </c>
      <c r="J35321" s="5">
        <v>0</v>
      </c>
      <c r="K35321" s="5">
        <v>0</v>
      </c>
    </row>
    <row r="35322" spans="1:11" x14ac:dyDescent="0.25">
      <c r="A35322" s="5">
        <f>35315</f>
      </c>
      <c r="B35322" s="5" t="s">
        <v>35330</v>
      </c>
      <c r="C35322" s="5">
        <v>104</v>
      </c>
      <c r="D35322" s="5">
        <v>0.1</v>
      </c>
      <c r="E35322" s="5">
        <v>104.1</v>
      </c>
      <c r="F35322" s="5">
        <v>207.5</v>
      </c>
      <c r="G35322" s="5">
        <v>103.5</v>
      </c>
      <c r="H35322" s="5">
        <v>103.3</v>
      </c>
      <c r="I35322" s="5">
        <v>0</v>
      </c>
      <c r="J35322" s="5">
        <v>0</v>
      </c>
      <c r="K35322" s="5">
        <v>0</v>
      </c>
    </row>
    <row r="35323" spans="1:11" x14ac:dyDescent="0.25">
      <c r="A35323" s="5">
        <f>35316</f>
      </c>
      <c r="B35323" s="5" t="s">
        <v>35331</v>
      </c>
      <c r="C35323" s="5">
        <v>104</v>
      </c>
      <c r="D35323" s="5">
        <v>0.1</v>
      </c>
      <c r="E35323" s="5">
        <v>104.1</v>
      </c>
      <c r="F35323" s="5">
        <v>207.5</v>
      </c>
      <c r="G35323" s="5">
        <v>103.5</v>
      </c>
      <c r="H35323" s="5">
        <v>103.3</v>
      </c>
      <c r="I35323" s="5">
        <v>0</v>
      </c>
      <c r="J35323" s="5">
        <v>0</v>
      </c>
      <c r="K35323" s="5">
        <v>0</v>
      </c>
    </row>
    <row r="35324" spans="1:11" x14ac:dyDescent="0.25">
      <c r="A35324" s="5">
        <f>35317</f>
      </c>
      <c r="B35324" s="5" t="s">
        <v>35332</v>
      </c>
      <c r="C35324" s="5">
        <v>104</v>
      </c>
      <c r="D35324" s="5">
        <v>0.1</v>
      </c>
      <c r="E35324" s="5">
        <v>104.1</v>
      </c>
      <c r="F35324" s="5">
        <v>207.5</v>
      </c>
      <c r="G35324" s="5">
        <v>103.5</v>
      </c>
      <c r="H35324" s="5">
        <v>103.3</v>
      </c>
      <c r="I35324" s="5">
        <v>0</v>
      </c>
      <c r="J35324" s="5">
        <v>0</v>
      </c>
      <c r="K35324" s="5">
        <v>0</v>
      </c>
    </row>
    <row r="35325" spans="1:11" x14ac:dyDescent="0.25">
      <c r="A35325" s="5">
        <f>35318</f>
      </c>
      <c r="B35325" s="5" t="s">
        <v>35333</v>
      </c>
      <c r="C35325" s="5">
        <v>104</v>
      </c>
      <c r="D35325" s="5">
        <v>0.1</v>
      </c>
      <c r="E35325" s="5">
        <v>104.1</v>
      </c>
      <c r="F35325" s="5">
        <v>207.5</v>
      </c>
      <c r="G35325" s="5">
        <v>103.5</v>
      </c>
      <c r="H35325" s="5">
        <v>103.3</v>
      </c>
      <c r="I35325" s="5">
        <v>0</v>
      </c>
      <c r="J35325" s="5">
        <v>0</v>
      </c>
      <c r="K35325" s="5">
        <v>0</v>
      </c>
    </row>
    <row r="35326" spans="1:11" x14ac:dyDescent="0.25">
      <c r="A35326" s="5">
        <f>35319</f>
      </c>
      <c r="B35326" s="5" t="s">
        <v>35334</v>
      </c>
      <c r="C35326" s="5">
        <v>96.6</v>
      </c>
      <c r="D35326" s="5">
        <v>0.1</v>
      </c>
      <c r="E35326" s="5">
        <v>96.7</v>
      </c>
      <c r="F35326" s="5">
        <v>189.6</v>
      </c>
      <c r="G35326" s="5">
        <v>94.4</v>
      </c>
      <c r="H35326" s="5">
        <v>94.2</v>
      </c>
      <c r="I35326" s="5">
        <v>0</v>
      </c>
      <c r="J35326" s="5">
        <v>0</v>
      </c>
      <c r="K35326" s="5">
        <v>0</v>
      </c>
    </row>
    <row r="35327" spans="1:11" x14ac:dyDescent="0.25">
      <c r="A35327" s="5">
        <f>35320</f>
      </c>
      <c r="B35327" s="5" t="s">
        <v>35335</v>
      </c>
      <c r="C35327" s="5">
        <v>96.6</v>
      </c>
      <c r="D35327" s="5">
        <v>0.1</v>
      </c>
      <c r="E35327" s="5">
        <v>96.7</v>
      </c>
      <c r="F35327" s="5">
        <v>189.6</v>
      </c>
      <c r="G35327" s="5">
        <v>94.4</v>
      </c>
      <c r="H35327" s="5">
        <v>94.2</v>
      </c>
      <c r="I35327" s="5">
        <v>0</v>
      </c>
      <c r="J35327" s="5">
        <v>0</v>
      </c>
      <c r="K35327" s="5">
        <v>0</v>
      </c>
    </row>
    <row r="35328" spans="1:11" x14ac:dyDescent="0.25">
      <c r="A35328" s="5">
        <f>35321</f>
      </c>
      <c r="B35328" s="5" t="s">
        <v>35336</v>
      </c>
      <c r="C35328" s="5">
        <v>95.4</v>
      </c>
      <c r="D35328" s="5">
        <v>0.1</v>
      </c>
      <c r="E35328" s="5">
        <v>95.5</v>
      </c>
      <c r="F35328" s="5">
        <v>191.6</v>
      </c>
      <c r="G35328" s="5">
        <v>95.6</v>
      </c>
      <c r="H35328" s="5">
        <v>95.3</v>
      </c>
      <c r="I35328" s="5">
        <v>0</v>
      </c>
      <c r="J35328" s="5">
        <v>0</v>
      </c>
      <c r="K35328" s="5">
        <v>0</v>
      </c>
    </row>
    <row r="35329" spans="1:11" x14ac:dyDescent="0.25">
      <c r="A35329" s="5">
        <f>35322</f>
      </c>
      <c r="B35329" s="5" t="s">
        <v>35337</v>
      </c>
      <c r="C35329" s="5">
        <v>95.4</v>
      </c>
      <c r="D35329" s="5">
        <v>0.1</v>
      </c>
      <c r="E35329" s="5">
        <v>95.5</v>
      </c>
      <c r="F35329" s="5">
        <v>191.6</v>
      </c>
      <c r="G35329" s="5">
        <v>95.6</v>
      </c>
      <c r="H35329" s="5">
        <v>95.3</v>
      </c>
      <c r="I35329" s="5">
        <v>0</v>
      </c>
      <c r="J35329" s="5">
        <v>0</v>
      </c>
      <c r="K35329" s="5">
        <v>0</v>
      </c>
    </row>
    <row r="35330" spans="1:11" x14ac:dyDescent="0.25">
      <c r="A35330" s="5">
        <f>35323</f>
      </c>
      <c r="B35330" s="5" t="s">
        <v>35338</v>
      </c>
      <c r="C35330" s="5">
        <v>97.1</v>
      </c>
      <c r="D35330" s="5">
        <v>0.1</v>
      </c>
      <c r="E35330" s="5">
        <v>97.3</v>
      </c>
      <c r="F35330" s="5">
        <v>195.5</v>
      </c>
      <c r="G35330" s="5">
        <v>96.8</v>
      </c>
      <c r="H35330" s="5">
        <v>96.1</v>
      </c>
      <c r="I35330" s="5">
        <v>0</v>
      </c>
      <c r="J35330" s="5">
        <v>0</v>
      </c>
      <c r="K35330" s="5">
        <v>0</v>
      </c>
    </row>
    <row r="35331" spans="1:11" x14ac:dyDescent="0.25">
      <c r="A35331" s="5">
        <f>35324</f>
      </c>
      <c r="B35331" s="5" t="s">
        <v>35339</v>
      </c>
      <c r="C35331" s="5">
        <v>97.1</v>
      </c>
      <c r="D35331" s="5">
        <v>0.1</v>
      </c>
      <c r="E35331" s="5">
        <v>97.3</v>
      </c>
      <c r="F35331" s="5">
        <v>195.5</v>
      </c>
      <c r="G35331" s="5">
        <v>96.8</v>
      </c>
      <c r="H35331" s="5">
        <v>96.1</v>
      </c>
      <c r="I35331" s="5">
        <v>0</v>
      </c>
      <c r="J35331" s="5">
        <v>0</v>
      </c>
      <c r="K35331" s="5">
        <v>0</v>
      </c>
    </row>
    <row r="35332" spans="1:11" x14ac:dyDescent="0.25">
      <c r="A35332" s="5">
        <f>35325</f>
      </c>
      <c r="B35332" s="5" t="s">
        <v>35340</v>
      </c>
      <c r="C35332" s="5">
        <v>104.2</v>
      </c>
      <c r="D35332" s="5">
        <v>0.1</v>
      </c>
      <c r="E35332" s="5">
        <v>104.3</v>
      </c>
      <c r="F35332" s="5">
        <v>208.2</v>
      </c>
      <c r="G35332" s="5">
        <v>104</v>
      </c>
      <c r="H35332" s="5">
        <v>103.9</v>
      </c>
      <c r="I35332" s="5">
        <v>0</v>
      </c>
      <c r="J35332" s="5">
        <v>0</v>
      </c>
      <c r="K35332" s="5">
        <v>0</v>
      </c>
    </row>
    <row r="35333" spans="1:11" x14ac:dyDescent="0.25">
      <c r="A35333" s="5">
        <f>35326</f>
      </c>
      <c r="B35333" s="5" t="s">
        <v>35341</v>
      </c>
      <c r="C35333" s="5">
        <v>104.2</v>
      </c>
      <c r="D35333" s="5">
        <v>0.1</v>
      </c>
      <c r="E35333" s="5">
        <v>104.3</v>
      </c>
      <c r="F35333" s="5">
        <v>208.2</v>
      </c>
      <c r="G35333" s="5">
        <v>104</v>
      </c>
      <c r="H35333" s="5">
        <v>103.9</v>
      </c>
      <c r="I35333" s="5">
        <v>0</v>
      </c>
      <c r="J35333" s="5">
        <v>0</v>
      </c>
      <c r="K35333" s="5">
        <v>0</v>
      </c>
    </row>
    <row r="35334" spans="1:11" x14ac:dyDescent="0.25">
      <c r="A35334" s="5">
        <f>35327</f>
      </c>
      <c r="B35334" s="5" t="s">
        <v>35342</v>
      </c>
      <c r="C35334" s="5">
        <v>104.2</v>
      </c>
      <c r="D35334" s="5">
        <v>0.1</v>
      </c>
      <c r="E35334" s="5">
        <v>104.3</v>
      </c>
      <c r="F35334" s="5">
        <v>208.2</v>
      </c>
      <c r="G35334" s="5">
        <v>104</v>
      </c>
      <c r="H35334" s="5">
        <v>103.9</v>
      </c>
      <c r="I35334" s="5">
        <v>0</v>
      </c>
      <c r="J35334" s="5">
        <v>0</v>
      </c>
      <c r="K35334" s="5">
        <v>0</v>
      </c>
    </row>
    <row r="35335" spans="1:11" x14ac:dyDescent="0.25">
      <c r="A35335" s="5">
        <f>35328</f>
      </c>
      <c r="B35335" s="5" t="s">
        <v>35343</v>
      </c>
      <c r="C35335" s="5">
        <v>104.2</v>
      </c>
      <c r="D35335" s="5">
        <v>0.1</v>
      </c>
      <c r="E35335" s="5">
        <v>104.3</v>
      </c>
      <c r="F35335" s="5">
        <v>208.2</v>
      </c>
      <c r="G35335" s="5">
        <v>104</v>
      </c>
      <c r="H35335" s="5">
        <v>103.9</v>
      </c>
      <c r="I35335" s="5">
        <v>0</v>
      </c>
      <c r="J35335" s="5">
        <v>0</v>
      </c>
      <c r="K35335" s="5">
        <v>0</v>
      </c>
    </row>
    <row r="35336" spans="1:11" x14ac:dyDescent="0.25">
      <c r="A35336" s="5">
        <f>35329</f>
      </c>
      <c r="B35336" s="5" t="s">
        <v>35344</v>
      </c>
      <c r="C35336" s="5">
        <v>95.9</v>
      </c>
      <c r="D35336" s="5">
        <v>0.1</v>
      </c>
      <c r="E35336" s="5">
        <v>96</v>
      </c>
      <c r="F35336" s="5">
        <v>189.7</v>
      </c>
      <c r="G35336" s="5">
        <v>94.3</v>
      </c>
      <c r="H35336" s="5">
        <v>94.3</v>
      </c>
      <c r="I35336" s="5">
        <v>0</v>
      </c>
      <c r="J35336" s="5">
        <v>0</v>
      </c>
      <c r="K35336" s="5">
        <v>0</v>
      </c>
    </row>
    <row r="35337" spans="1:11" x14ac:dyDescent="0.25">
      <c r="A35337" s="5">
        <f>35330</f>
      </c>
      <c r="B35337" s="5" t="s">
        <v>35345</v>
      </c>
      <c r="C35337" s="5">
        <v>95.9</v>
      </c>
      <c r="D35337" s="5">
        <v>0.1</v>
      </c>
      <c r="E35337" s="5">
        <v>96</v>
      </c>
      <c r="F35337" s="5">
        <v>189.7</v>
      </c>
      <c r="G35337" s="5">
        <v>94.3</v>
      </c>
      <c r="H35337" s="5">
        <v>94.3</v>
      </c>
      <c r="I35337" s="5">
        <v>0</v>
      </c>
      <c r="J35337" s="5">
        <v>0</v>
      </c>
      <c r="K35337" s="5">
        <v>0</v>
      </c>
    </row>
    <row r="35338" spans="1:11" x14ac:dyDescent="0.25">
      <c r="A35338" s="5">
        <f>35331</f>
      </c>
      <c r="B35338" s="5" t="s">
        <v>35346</v>
      </c>
      <c r="C35338" s="5">
        <v>97.3</v>
      </c>
      <c r="D35338" s="5">
        <v>0.1</v>
      </c>
      <c r="E35338" s="5">
        <v>97.5</v>
      </c>
      <c r="F35338" s="5">
        <v>189.4</v>
      </c>
      <c r="G35338" s="5">
        <v>97.7</v>
      </c>
      <c r="H35338" s="5">
        <v>101.1</v>
      </c>
      <c r="I35338" s="5">
        <v>0</v>
      </c>
      <c r="J35338" s="5">
        <v>0</v>
      </c>
      <c r="K35338" s="5">
        <v>0</v>
      </c>
    </row>
    <row r="35339" spans="1:11" x14ac:dyDescent="0.25">
      <c r="A35339" s="5">
        <f>35332</f>
      </c>
      <c r="B35339" s="5" t="s">
        <v>35347</v>
      </c>
      <c r="C35339" s="5">
        <v>97.3</v>
      </c>
      <c r="D35339" s="5">
        <v>0.1</v>
      </c>
      <c r="E35339" s="5">
        <v>97.5</v>
      </c>
      <c r="F35339" s="5">
        <v>189.4</v>
      </c>
      <c r="G35339" s="5">
        <v>97.7</v>
      </c>
      <c r="H35339" s="5">
        <v>101.1</v>
      </c>
      <c r="I35339" s="5">
        <v>0</v>
      </c>
      <c r="J35339" s="5">
        <v>0</v>
      </c>
      <c r="K35339" s="5">
        <v>0</v>
      </c>
    </row>
    <row r="35340" spans="1:11" x14ac:dyDescent="0.25">
      <c r="A35340" s="5">
        <f>35333</f>
      </c>
      <c r="B35340" s="5" t="s">
        <v>35348</v>
      </c>
      <c r="C35340" s="5">
        <v>104</v>
      </c>
      <c r="D35340" s="5">
        <v>0.1</v>
      </c>
      <c r="E35340" s="5">
        <v>104.1</v>
      </c>
      <c r="F35340" s="5">
        <v>207.1</v>
      </c>
      <c r="G35340" s="5">
        <v>103.3</v>
      </c>
      <c r="H35340" s="5">
        <v>103.2</v>
      </c>
      <c r="I35340" s="5">
        <v>0</v>
      </c>
      <c r="J35340" s="5">
        <v>0</v>
      </c>
      <c r="K35340" s="5">
        <v>0</v>
      </c>
    </row>
    <row r="35341" spans="1:11" x14ac:dyDescent="0.25">
      <c r="A35341" s="5">
        <f>35334</f>
      </c>
      <c r="B35341" s="5" t="s">
        <v>35349</v>
      </c>
      <c r="C35341" s="5">
        <v>104</v>
      </c>
      <c r="D35341" s="5">
        <v>0.1</v>
      </c>
      <c r="E35341" s="5">
        <v>104.1</v>
      </c>
      <c r="F35341" s="5">
        <v>207.1</v>
      </c>
      <c r="G35341" s="5">
        <v>103.3</v>
      </c>
      <c r="H35341" s="5">
        <v>103.2</v>
      </c>
      <c r="I35341" s="5">
        <v>0</v>
      </c>
      <c r="J35341" s="5">
        <v>0</v>
      </c>
      <c r="K35341" s="5">
        <v>0</v>
      </c>
    </row>
    <row r="35342" spans="1:11" x14ac:dyDescent="0.25">
      <c r="A35342" s="5">
        <f>35335</f>
      </c>
      <c r="B35342" s="5" t="s">
        <v>35350</v>
      </c>
      <c r="C35342" s="5">
        <v>97.6</v>
      </c>
      <c r="D35342" s="5">
        <v>0.1</v>
      </c>
      <c r="E35342" s="5">
        <v>97.7</v>
      </c>
      <c r="F35342" s="5">
        <v>193.9</v>
      </c>
      <c r="G35342" s="5">
        <v>96.2</v>
      </c>
      <c r="H35342" s="5">
        <v>95.4</v>
      </c>
      <c r="I35342" s="5">
        <v>0</v>
      </c>
      <c r="J35342" s="5">
        <v>0</v>
      </c>
      <c r="K35342" s="5">
        <v>0</v>
      </c>
    </row>
    <row r="35343" spans="1:11" x14ac:dyDescent="0.25">
      <c r="A35343" s="5">
        <f>35336</f>
      </c>
      <c r="B35343" s="5" t="s">
        <v>35351</v>
      </c>
      <c r="C35343" s="5">
        <v>97.6</v>
      </c>
      <c r="D35343" s="5">
        <v>0.1</v>
      </c>
      <c r="E35343" s="5">
        <v>97.7</v>
      </c>
      <c r="F35343" s="5">
        <v>193.9</v>
      </c>
      <c r="G35343" s="5">
        <v>96.2</v>
      </c>
      <c r="H35343" s="5">
        <v>95.4</v>
      </c>
      <c r="I35343" s="5">
        <v>0</v>
      </c>
      <c r="J35343" s="5">
        <v>0</v>
      </c>
      <c r="K35343" s="5">
        <v>0</v>
      </c>
    </row>
    <row r="35344" spans="1:11" x14ac:dyDescent="0.25">
      <c r="A35344" s="5">
        <f>35337</f>
      </c>
      <c r="B35344" s="5" t="s">
        <v>35352</v>
      </c>
      <c r="C35344" s="5">
        <v>97.6</v>
      </c>
      <c r="D35344" s="5">
        <v>0.1</v>
      </c>
      <c r="E35344" s="5">
        <v>97.7</v>
      </c>
      <c r="F35344" s="5">
        <v>193.9</v>
      </c>
      <c r="G35344" s="5">
        <v>96.2</v>
      </c>
      <c r="H35344" s="5">
        <v>95.4</v>
      </c>
      <c r="I35344" s="5">
        <v>0</v>
      </c>
      <c r="J35344" s="5">
        <v>0</v>
      </c>
      <c r="K35344" s="5">
        <v>0</v>
      </c>
    </row>
    <row r="35345" spans="1:11" x14ac:dyDescent="0.25">
      <c r="A35345" s="5">
        <f>35338</f>
      </c>
      <c r="B35345" s="5" t="s">
        <v>35353</v>
      </c>
      <c r="C35345" s="5">
        <v>97.6</v>
      </c>
      <c r="D35345" s="5">
        <v>0.1</v>
      </c>
      <c r="E35345" s="5">
        <v>97.7</v>
      </c>
      <c r="F35345" s="5">
        <v>193.9</v>
      </c>
      <c r="G35345" s="5">
        <v>96.2</v>
      </c>
      <c r="H35345" s="5">
        <v>95.4</v>
      </c>
      <c r="I35345" s="5">
        <v>0</v>
      </c>
      <c r="J35345" s="5">
        <v>0</v>
      </c>
      <c r="K35345" s="5">
        <v>0</v>
      </c>
    </row>
    <row r="35346" spans="1:11" x14ac:dyDescent="0.25">
      <c r="A35346" s="5">
        <f>35339</f>
      </c>
      <c r="B35346" s="5" t="s">
        <v>35354</v>
      </c>
      <c r="C35346" s="5">
        <v>102</v>
      </c>
      <c r="D35346" s="5">
        <v>0.1</v>
      </c>
      <c r="E35346" s="5">
        <v>102.1</v>
      </c>
      <c r="F35346" s="5">
        <v>204.1</v>
      </c>
      <c r="G35346" s="5">
        <v>101.8</v>
      </c>
      <c r="H35346" s="5">
        <v>101.7</v>
      </c>
      <c r="I35346" s="5">
        <v>0</v>
      </c>
      <c r="J35346" s="5">
        <v>0</v>
      </c>
      <c r="K35346" s="5">
        <v>0</v>
      </c>
    </row>
    <row r="35347" spans="1:11" x14ac:dyDescent="0.25">
      <c r="A35347" s="5">
        <f>35340</f>
      </c>
      <c r="B35347" s="5" t="s">
        <v>35355</v>
      </c>
      <c r="C35347" s="5">
        <v>102</v>
      </c>
      <c r="D35347" s="5">
        <v>0.1</v>
      </c>
      <c r="E35347" s="5">
        <v>102.1</v>
      </c>
      <c r="F35347" s="5">
        <v>204.1</v>
      </c>
      <c r="G35347" s="5">
        <v>101.8</v>
      </c>
      <c r="H35347" s="5">
        <v>101.7</v>
      </c>
      <c r="I35347" s="5">
        <v>0</v>
      </c>
      <c r="J35347" s="5">
        <v>0</v>
      </c>
      <c r="K35347" s="5">
        <v>0</v>
      </c>
    </row>
    <row r="35348" spans="1:11" x14ac:dyDescent="0.25">
      <c r="A35348" s="5">
        <f>35341</f>
      </c>
      <c r="B35348" s="5" t="s">
        <v>35356</v>
      </c>
      <c r="C35348" s="5">
        <v>96.8</v>
      </c>
      <c r="D35348" s="5">
        <v>0.1</v>
      </c>
      <c r="E35348" s="5">
        <v>96.9</v>
      </c>
      <c r="F35348" s="5">
        <v>193.5</v>
      </c>
      <c r="G35348" s="5">
        <v>96.6</v>
      </c>
      <c r="H35348" s="5">
        <v>96.4</v>
      </c>
      <c r="I35348" s="5">
        <v>0</v>
      </c>
      <c r="J35348" s="5">
        <v>0</v>
      </c>
      <c r="K35348" s="5">
        <v>0</v>
      </c>
    </row>
    <row r="35349" spans="1:11" x14ac:dyDescent="0.25">
      <c r="A35349" s="5">
        <f>35342</f>
      </c>
      <c r="B35349" s="5" t="s">
        <v>35357</v>
      </c>
      <c r="C35349" s="5">
        <v>96.8</v>
      </c>
      <c r="D35349" s="5">
        <v>0.1</v>
      </c>
      <c r="E35349" s="5">
        <v>96.9</v>
      </c>
      <c r="F35349" s="5">
        <v>193.5</v>
      </c>
      <c r="G35349" s="5">
        <v>96.6</v>
      </c>
      <c r="H35349" s="5">
        <v>96.4</v>
      </c>
      <c r="I35349" s="5">
        <v>0</v>
      </c>
      <c r="J35349" s="5">
        <v>0</v>
      </c>
      <c r="K35349" s="5">
        <v>0</v>
      </c>
    </row>
    <row r="35350" spans="1:11" x14ac:dyDescent="0.25">
      <c r="A35350" s="5">
        <f>35343</f>
      </c>
      <c r="B35350" s="5" t="s">
        <v>35358</v>
      </c>
      <c r="C35350" s="5">
        <v>94</v>
      </c>
      <c r="D35350" s="5">
        <v>0.1</v>
      </c>
      <c r="E35350" s="5">
        <v>94.1</v>
      </c>
      <c r="F35350" s="5">
        <v>186.5</v>
      </c>
      <c r="G35350" s="5">
        <v>93.1</v>
      </c>
      <c r="H35350" s="5">
        <v>93</v>
      </c>
      <c r="I35350" s="5">
        <v>0</v>
      </c>
      <c r="J35350" s="5">
        <v>0</v>
      </c>
      <c r="K35350" s="5">
        <v>0</v>
      </c>
    </row>
    <row r="35351" spans="1:11" x14ac:dyDescent="0.25">
      <c r="A35351" s="5">
        <f>35344</f>
      </c>
      <c r="B35351" s="5" t="s">
        <v>35359</v>
      </c>
      <c r="C35351" s="5">
        <v>94</v>
      </c>
      <c r="D35351" s="5">
        <v>0.1</v>
      </c>
      <c r="E35351" s="5">
        <v>94.1</v>
      </c>
      <c r="F35351" s="5">
        <v>186.5</v>
      </c>
      <c r="G35351" s="5">
        <v>93.1</v>
      </c>
      <c r="H35351" s="5">
        <v>93</v>
      </c>
      <c r="I35351" s="5">
        <v>0</v>
      </c>
      <c r="J35351" s="5">
        <v>0</v>
      </c>
      <c r="K35351" s="5">
        <v>0</v>
      </c>
    </row>
    <row r="35352" spans="1:11" x14ac:dyDescent="0.25">
      <c r="A35352" s="5">
        <f>35345</f>
      </c>
      <c r="B35352" s="5" t="s">
        <v>35360</v>
      </c>
      <c r="C35352" s="5">
        <v>95.3</v>
      </c>
      <c r="D35352" s="5">
        <v>0.1</v>
      </c>
      <c r="E35352" s="5">
        <v>95.4</v>
      </c>
      <c r="F35352" s="5">
        <v>189.7</v>
      </c>
      <c r="G35352" s="5">
        <v>94.6</v>
      </c>
      <c r="H35352" s="5">
        <v>94.4</v>
      </c>
      <c r="I35352" s="5">
        <v>0</v>
      </c>
      <c r="J35352" s="5">
        <v>0</v>
      </c>
      <c r="K35352" s="5">
        <v>0</v>
      </c>
    </row>
    <row r="35353" spans="1:11" x14ac:dyDescent="0.25">
      <c r="A35353" s="5">
        <f>35346</f>
      </c>
      <c r="B35353" s="5" t="s">
        <v>35361</v>
      </c>
      <c r="C35353" s="5">
        <v>95.3</v>
      </c>
      <c r="D35353" s="5">
        <v>0.1</v>
      </c>
      <c r="E35353" s="5">
        <v>95.4</v>
      </c>
      <c r="F35353" s="5">
        <v>189.7</v>
      </c>
      <c r="G35353" s="5">
        <v>94.6</v>
      </c>
      <c r="H35353" s="5">
        <v>94.4</v>
      </c>
      <c r="I35353" s="5">
        <v>0</v>
      </c>
      <c r="J35353" s="5">
        <v>0</v>
      </c>
      <c r="K35353" s="5">
        <v>0</v>
      </c>
    </row>
    <row r="35354" spans="1:11" x14ac:dyDescent="0.25">
      <c r="A35354" s="5">
        <f>35347</f>
      </c>
      <c r="B35354" s="5" t="s">
        <v>35362</v>
      </c>
      <c r="C35354" s="5">
        <v>95.3</v>
      </c>
      <c r="D35354" s="5">
        <v>0.1</v>
      </c>
      <c r="E35354" s="5">
        <v>95.4</v>
      </c>
      <c r="F35354" s="5">
        <v>189.7</v>
      </c>
      <c r="G35354" s="5">
        <v>94.6</v>
      </c>
      <c r="H35354" s="5">
        <v>94.4</v>
      </c>
      <c r="I35354" s="5">
        <v>0</v>
      </c>
      <c r="J35354" s="5">
        <v>0</v>
      </c>
      <c r="K35354" s="5">
        <v>0</v>
      </c>
    </row>
    <row r="35355" spans="1:11" x14ac:dyDescent="0.25">
      <c r="A35355" s="5">
        <f>35348</f>
      </c>
      <c r="B35355" s="5" t="s">
        <v>35363</v>
      </c>
      <c r="C35355" s="5">
        <v>95.3</v>
      </c>
      <c r="D35355" s="5">
        <v>0.1</v>
      </c>
      <c r="E35355" s="5">
        <v>95.4</v>
      </c>
      <c r="F35355" s="5">
        <v>189.7</v>
      </c>
      <c r="G35355" s="5">
        <v>94.6</v>
      </c>
      <c r="H35355" s="5">
        <v>94.4</v>
      </c>
      <c r="I35355" s="5">
        <v>0</v>
      </c>
      <c r="J35355" s="5">
        <v>0</v>
      </c>
      <c r="K35355" s="5">
        <v>0</v>
      </c>
    </row>
    <row r="35356" spans="1:11" x14ac:dyDescent="0.25">
      <c r="A35356" s="5">
        <f>35349</f>
      </c>
      <c r="B35356" s="5" t="s">
        <v>35364</v>
      </c>
      <c r="C35356" s="5">
        <v>88.1</v>
      </c>
      <c r="D35356" s="5">
        <v>0.1</v>
      </c>
      <c r="E35356" s="5">
        <v>97.5</v>
      </c>
      <c r="F35356" s="5">
        <v>194.8</v>
      </c>
      <c r="G35356" s="5">
        <v>97.1</v>
      </c>
      <c r="H35356" s="5">
        <v>97</v>
      </c>
      <c r="I35356" s="5">
        <v>0</v>
      </c>
      <c r="J35356" s="5">
        <v>0</v>
      </c>
      <c r="K35356" s="5">
        <v>0</v>
      </c>
    </row>
    <row r="35357" spans="1:11" x14ac:dyDescent="0.25">
      <c r="A35357" s="5">
        <f>35350</f>
      </c>
      <c r="B35357" s="5" t="s">
        <v>35365</v>
      </c>
      <c r="C35357" s="5">
        <v>88.1</v>
      </c>
      <c r="D35357" s="5">
        <v>0.1</v>
      </c>
      <c r="E35357" s="5">
        <v>97.5</v>
      </c>
      <c r="F35357" s="5">
        <v>194.8</v>
      </c>
      <c r="G35357" s="5">
        <v>97.1</v>
      </c>
      <c r="H35357" s="5">
        <v>97</v>
      </c>
      <c r="I35357" s="5">
        <v>0</v>
      </c>
      <c r="J35357" s="5">
        <v>0</v>
      </c>
      <c r="K35357" s="5">
        <v>0</v>
      </c>
    </row>
    <row r="35358" spans="1:11" x14ac:dyDescent="0.25">
      <c r="A35358" s="5">
        <f>35351</f>
      </c>
      <c r="B35358" s="5" t="s">
        <v>35366</v>
      </c>
      <c r="C35358" s="5">
        <v>94.4</v>
      </c>
      <c r="D35358" s="5">
        <v>0.1</v>
      </c>
      <c r="E35358" s="5">
        <v>94.5</v>
      </c>
      <c r="F35358" s="5">
        <v>190.8</v>
      </c>
      <c r="G35358" s="5">
        <v>95</v>
      </c>
      <c r="H35358" s="5">
        <v>95.5</v>
      </c>
      <c r="I35358" s="5">
        <v>0</v>
      </c>
      <c r="J35358" s="5">
        <v>0</v>
      </c>
      <c r="K35358" s="5">
        <v>0</v>
      </c>
    </row>
    <row r="35359" spans="1:11" x14ac:dyDescent="0.25">
      <c r="A35359" s="5">
        <f>35352</f>
      </c>
      <c r="B35359" s="5" t="s">
        <v>35367</v>
      </c>
      <c r="C35359" s="5">
        <v>94.4</v>
      </c>
      <c r="D35359" s="5">
        <v>0.1</v>
      </c>
      <c r="E35359" s="5">
        <v>94.5</v>
      </c>
      <c r="F35359" s="5">
        <v>190.8</v>
      </c>
      <c r="G35359" s="5">
        <v>95</v>
      </c>
      <c r="H35359" s="5">
        <v>95.5</v>
      </c>
      <c r="I35359" s="5">
        <v>0</v>
      </c>
      <c r="J35359" s="5">
        <v>0</v>
      </c>
      <c r="K35359" s="5">
        <v>0</v>
      </c>
    </row>
    <row r="35360" spans="1:11" x14ac:dyDescent="0.25">
      <c r="A35360" s="5">
        <f>35353</f>
      </c>
      <c r="B35360" s="5" t="s">
        <v>35368</v>
      </c>
      <c r="C35360" s="5">
        <v>94.2</v>
      </c>
      <c r="D35360" s="5">
        <v>0.1</v>
      </c>
      <c r="E35360" s="5">
        <v>94.3</v>
      </c>
      <c r="F35360" s="5">
        <v>189.4</v>
      </c>
      <c r="G35360" s="5">
        <v>94.3</v>
      </c>
      <c r="H35360" s="5">
        <v>94.1</v>
      </c>
      <c r="I35360" s="5">
        <v>0</v>
      </c>
      <c r="J35360" s="5">
        <v>0</v>
      </c>
      <c r="K35360" s="5">
        <v>0</v>
      </c>
    </row>
    <row r="35361" spans="1:11" x14ac:dyDescent="0.25">
      <c r="A35361" s="5">
        <f>35354</f>
      </c>
      <c r="B35361" s="5" t="s">
        <v>35369</v>
      </c>
      <c r="C35361" s="5">
        <v>94.2</v>
      </c>
      <c r="D35361" s="5">
        <v>0.1</v>
      </c>
      <c r="E35361" s="5">
        <v>94.3</v>
      </c>
      <c r="F35361" s="5">
        <v>189.4</v>
      </c>
      <c r="G35361" s="5">
        <v>94.3</v>
      </c>
      <c r="H35361" s="5">
        <v>94.1</v>
      </c>
      <c r="I35361" s="5">
        <v>0</v>
      </c>
      <c r="J35361" s="5">
        <v>0</v>
      </c>
      <c r="K35361" s="5">
        <v>0</v>
      </c>
    </row>
    <row r="35362" spans="1:11" x14ac:dyDescent="0.25">
      <c r="A35362" s="5">
        <f>35355</f>
      </c>
      <c r="B35362" s="5" t="s">
        <v>35370</v>
      </c>
      <c r="C35362" s="5">
        <v>94.8</v>
      </c>
      <c r="D35362" s="5">
        <v>0.1</v>
      </c>
      <c r="E35362" s="5">
        <v>94.8</v>
      </c>
      <c r="F35362" s="5">
        <v>189.9</v>
      </c>
      <c r="G35362" s="5">
        <v>94.8</v>
      </c>
      <c r="H35362" s="5">
        <v>94.6</v>
      </c>
      <c r="I35362" s="5">
        <v>0</v>
      </c>
      <c r="J35362" s="5">
        <v>0</v>
      </c>
      <c r="K35362" s="5">
        <v>0</v>
      </c>
    </row>
    <row r="35363" spans="1:11" x14ac:dyDescent="0.25">
      <c r="A35363" s="5">
        <f>35356</f>
      </c>
      <c r="B35363" s="5" t="s">
        <v>35371</v>
      </c>
      <c r="C35363" s="5">
        <v>94.8</v>
      </c>
      <c r="D35363" s="5">
        <v>0.1</v>
      </c>
      <c r="E35363" s="5">
        <v>94.8</v>
      </c>
      <c r="F35363" s="5">
        <v>189.9</v>
      </c>
      <c r="G35363" s="5">
        <v>94.8</v>
      </c>
      <c r="H35363" s="5">
        <v>94.6</v>
      </c>
      <c r="I35363" s="5">
        <v>0</v>
      </c>
      <c r="J35363" s="5">
        <v>0</v>
      </c>
      <c r="K35363" s="5">
        <v>0</v>
      </c>
    </row>
    <row r="35364" spans="1:11" x14ac:dyDescent="0.25">
      <c r="A35364" s="5">
        <f>35357</f>
      </c>
      <c r="B35364" s="5" t="s">
        <v>35372</v>
      </c>
      <c r="C35364" s="5">
        <v>94.8</v>
      </c>
      <c r="D35364" s="5">
        <v>0.1</v>
      </c>
      <c r="E35364" s="5">
        <v>94.8</v>
      </c>
      <c r="F35364" s="5">
        <v>189.9</v>
      </c>
      <c r="G35364" s="5">
        <v>94.8</v>
      </c>
      <c r="H35364" s="5">
        <v>94.6</v>
      </c>
      <c r="I35364" s="5">
        <v>0</v>
      </c>
      <c r="J35364" s="5">
        <v>0</v>
      </c>
      <c r="K35364" s="5">
        <v>0</v>
      </c>
    </row>
    <row r="35365" spans="1:11" x14ac:dyDescent="0.25">
      <c r="A35365" s="5">
        <f>35358</f>
      </c>
      <c r="B35365" s="5" t="s">
        <v>35373</v>
      </c>
      <c r="C35365" s="5">
        <v>94.8</v>
      </c>
      <c r="D35365" s="5">
        <v>0.1</v>
      </c>
      <c r="E35365" s="5">
        <v>94.8</v>
      </c>
      <c r="F35365" s="5">
        <v>189.9</v>
      </c>
      <c r="G35365" s="5">
        <v>94.8</v>
      </c>
      <c r="H35365" s="5">
        <v>94.6</v>
      </c>
      <c r="I35365" s="5">
        <v>0</v>
      </c>
      <c r="J35365" s="5">
        <v>0</v>
      </c>
      <c r="K35365" s="5">
        <v>0</v>
      </c>
    </row>
    <row r="35366" spans="1:11" x14ac:dyDescent="0.25">
      <c r="A35366" s="5">
        <f>35359</f>
      </c>
      <c r="B35366" s="5" t="s">
        <v>35374</v>
      </c>
      <c r="C35366" s="5">
        <v>102.8</v>
      </c>
      <c r="D35366" s="5">
        <v>0.1</v>
      </c>
      <c r="E35366" s="5">
        <v>103</v>
      </c>
      <c r="F35366" s="5">
        <v>197.9</v>
      </c>
      <c r="G35366" s="5">
        <v>99</v>
      </c>
      <c r="H35366" s="5">
        <v>99.2</v>
      </c>
      <c r="I35366" s="5">
        <v>0</v>
      </c>
      <c r="J35366" s="5">
        <v>0</v>
      </c>
      <c r="K35366" s="5">
        <v>0</v>
      </c>
    </row>
    <row r="35367" spans="1:11" x14ac:dyDescent="0.25">
      <c r="A35367" s="5">
        <f>35360</f>
      </c>
      <c r="B35367" s="5" t="s">
        <v>35375</v>
      </c>
      <c r="C35367" s="5">
        <v>102.8</v>
      </c>
      <c r="D35367" s="5">
        <v>0.1</v>
      </c>
      <c r="E35367" s="5">
        <v>103</v>
      </c>
      <c r="F35367" s="5">
        <v>197.9</v>
      </c>
      <c r="G35367" s="5">
        <v>99</v>
      </c>
      <c r="H35367" s="5">
        <v>99.2</v>
      </c>
      <c r="I35367" s="5">
        <v>0</v>
      </c>
      <c r="J35367" s="5">
        <v>0</v>
      </c>
      <c r="K35367" s="5">
        <v>0</v>
      </c>
    </row>
    <row r="35368" spans="1:11" x14ac:dyDescent="0.25">
      <c r="A35368" s="5">
        <f>35361</f>
      </c>
      <c r="B35368" s="5" t="s">
        <v>35376</v>
      </c>
      <c r="C35368" s="5">
        <v>98</v>
      </c>
      <c r="D35368" s="5">
        <v>0.1</v>
      </c>
      <c r="E35368" s="5">
        <v>98.2</v>
      </c>
      <c r="F35368" s="5">
        <v>206.7</v>
      </c>
      <c r="G35368" s="5">
        <v>103.1</v>
      </c>
      <c r="H35368" s="5">
        <v>102.9</v>
      </c>
      <c r="I35368" s="5">
        <v>0</v>
      </c>
      <c r="J35368" s="5">
        <v>0</v>
      </c>
      <c r="K35368" s="5">
        <v>0</v>
      </c>
    </row>
    <row r="35369" spans="1:11" x14ac:dyDescent="0.25">
      <c r="A35369" s="5">
        <f>35362</f>
      </c>
      <c r="B35369" s="5" t="s">
        <v>35377</v>
      </c>
      <c r="C35369" s="5">
        <v>98</v>
      </c>
      <c r="D35369" s="5">
        <v>0.1</v>
      </c>
      <c r="E35369" s="5">
        <v>98.2</v>
      </c>
      <c r="F35369" s="5">
        <v>206.7</v>
      </c>
      <c r="G35369" s="5">
        <v>103.1</v>
      </c>
      <c r="H35369" s="5">
        <v>102.9</v>
      </c>
      <c r="I35369" s="5">
        <v>0</v>
      </c>
      <c r="J35369" s="5">
        <v>0</v>
      </c>
      <c r="K35369" s="5">
        <v>0</v>
      </c>
    </row>
    <row r="35370" spans="1:11" x14ac:dyDescent="0.25">
      <c r="A35370" s="5">
        <f>35363</f>
      </c>
      <c r="B35370" s="5" t="s">
        <v>35378</v>
      </c>
      <c r="C35370" s="5">
        <v>96.3</v>
      </c>
      <c r="D35370" s="5">
        <v>0.1</v>
      </c>
      <c r="E35370" s="5">
        <v>96.4</v>
      </c>
      <c r="F35370" s="5">
        <v>202.8</v>
      </c>
      <c r="G35370" s="5">
        <v>100.9</v>
      </c>
      <c r="H35370" s="5">
        <v>100.4</v>
      </c>
      <c r="I35370" s="5">
        <v>0</v>
      </c>
      <c r="J35370" s="5">
        <v>0</v>
      </c>
      <c r="K35370" s="5">
        <v>0</v>
      </c>
    </row>
    <row r="35371" spans="1:11" x14ac:dyDescent="0.25">
      <c r="A35371" s="5">
        <f>35364</f>
      </c>
      <c r="B35371" s="5" t="s">
        <v>35379</v>
      </c>
      <c r="C35371" s="5">
        <v>96.3</v>
      </c>
      <c r="D35371" s="5">
        <v>0.1</v>
      </c>
      <c r="E35371" s="5">
        <v>96.4</v>
      </c>
      <c r="F35371" s="5">
        <v>202.8</v>
      </c>
      <c r="G35371" s="5">
        <v>100.9</v>
      </c>
      <c r="H35371" s="5">
        <v>100.4</v>
      </c>
      <c r="I35371" s="5">
        <v>0</v>
      </c>
      <c r="J35371" s="5">
        <v>0</v>
      </c>
      <c r="K35371" s="5">
        <v>0</v>
      </c>
    </row>
    <row r="35372" spans="1:11" x14ac:dyDescent="0.25">
      <c r="A35372" s="5">
        <f>35365</f>
      </c>
      <c r="B35372" s="5" t="s">
        <v>35380</v>
      </c>
      <c r="C35372" s="5">
        <v>103.6</v>
      </c>
      <c r="D35372" s="5">
        <v>0.1</v>
      </c>
      <c r="E35372" s="5">
        <v>103.7</v>
      </c>
      <c r="F35372" s="5">
        <v>206.4</v>
      </c>
      <c r="G35372" s="5">
        <v>102.6</v>
      </c>
      <c r="H35372" s="5">
        <v>102.4</v>
      </c>
      <c r="I35372" s="5">
        <v>0</v>
      </c>
      <c r="J35372" s="5">
        <v>0</v>
      </c>
      <c r="K35372" s="5">
        <v>0</v>
      </c>
    </row>
    <row r="35373" spans="1:11" x14ac:dyDescent="0.25">
      <c r="A35373" s="5">
        <f>35366</f>
      </c>
      <c r="B35373" s="5" t="s">
        <v>35381</v>
      </c>
      <c r="C35373" s="5">
        <v>103.6</v>
      </c>
      <c r="D35373" s="5">
        <v>0.1</v>
      </c>
      <c r="E35373" s="5">
        <v>103.7</v>
      </c>
      <c r="F35373" s="5">
        <v>206.4</v>
      </c>
      <c r="G35373" s="5">
        <v>102.6</v>
      </c>
      <c r="H35373" s="5">
        <v>102.4</v>
      </c>
      <c r="I35373" s="5">
        <v>0</v>
      </c>
      <c r="J35373" s="5">
        <v>0</v>
      </c>
      <c r="K35373" s="5">
        <v>0</v>
      </c>
    </row>
    <row r="35374" spans="1:11" x14ac:dyDescent="0.25">
      <c r="A35374" s="5">
        <f>35367</f>
      </c>
      <c r="B35374" s="5" t="s">
        <v>35382</v>
      </c>
      <c r="C35374" s="5">
        <v>103.6</v>
      </c>
      <c r="D35374" s="5">
        <v>0.1</v>
      </c>
      <c r="E35374" s="5">
        <v>103.7</v>
      </c>
      <c r="F35374" s="5">
        <v>206.4</v>
      </c>
      <c r="G35374" s="5">
        <v>102.6</v>
      </c>
      <c r="H35374" s="5">
        <v>102.4</v>
      </c>
      <c r="I35374" s="5">
        <v>0</v>
      </c>
      <c r="J35374" s="5">
        <v>0</v>
      </c>
      <c r="K35374" s="5">
        <v>0</v>
      </c>
    </row>
    <row r="35375" spans="1:11" x14ac:dyDescent="0.25">
      <c r="A35375" s="5">
        <f>35368</f>
      </c>
      <c r="B35375" s="5" t="s">
        <v>35383</v>
      </c>
      <c r="C35375" s="5">
        <v>103.6</v>
      </c>
      <c r="D35375" s="5">
        <v>0.1</v>
      </c>
      <c r="E35375" s="5">
        <v>103.7</v>
      </c>
      <c r="F35375" s="5">
        <v>206.4</v>
      </c>
      <c r="G35375" s="5">
        <v>102.6</v>
      </c>
      <c r="H35375" s="5">
        <v>102.4</v>
      </c>
      <c r="I35375" s="5">
        <v>0</v>
      </c>
      <c r="J35375" s="5">
        <v>0</v>
      </c>
      <c r="K35375" s="5">
        <v>0</v>
      </c>
    </row>
    <row r="35376" spans="1:11" x14ac:dyDescent="0.25">
      <c r="A35376" s="5">
        <f>35369</f>
      </c>
      <c r="B35376" s="5" t="s">
        <v>35384</v>
      </c>
      <c r="C35376" s="5">
        <v>97.8</v>
      </c>
      <c r="D35376" s="5">
        <v>0.1</v>
      </c>
      <c r="E35376" s="5">
        <v>98</v>
      </c>
      <c r="F35376" s="5">
        <v>194.6</v>
      </c>
      <c r="G35376" s="5">
        <v>96.7</v>
      </c>
      <c r="H35376" s="5">
        <v>96.5</v>
      </c>
      <c r="I35376" s="5">
        <v>0</v>
      </c>
      <c r="J35376" s="5">
        <v>0</v>
      </c>
      <c r="K35376" s="5">
        <v>0</v>
      </c>
    </row>
    <row r="35377" spans="1:11" x14ac:dyDescent="0.25">
      <c r="A35377" s="5">
        <f>35370</f>
      </c>
      <c r="B35377" s="5" t="s">
        <v>35385</v>
      </c>
      <c r="C35377" s="5">
        <v>97.8</v>
      </c>
      <c r="D35377" s="5">
        <v>0.1</v>
      </c>
      <c r="E35377" s="5">
        <v>98</v>
      </c>
      <c r="F35377" s="5">
        <v>194.6</v>
      </c>
      <c r="G35377" s="5">
        <v>96.7</v>
      </c>
      <c r="H35377" s="5">
        <v>96.5</v>
      </c>
      <c r="I35377" s="5">
        <v>0</v>
      </c>
      <c r="J35377" s="5">
        <v>0</v>
      </c>
      <c r="K35377" s="5">
        <v>0</v>
      </c>
    </row>
    <row r="35378" spans="1:11" x14ac:dyDescent="0.25">
      <c r="A35378" s="5">
        <f>35371</f>
      </c>
      <c r="B35378" s="5" t="s">
        <v>35386</v>
      </c>
      <c r="C35378" s="5">
        <v>98.9</v>
      </c>
      <c r="D35378" s="5">
        <v>0.1</v>
      </c>
      <c r="E35378" s="5">
        <v>99</v>
      </c>
      <c r="F35378" s="5">
        <v>198.8</v>
      </c>
      <c r="G35378" s="5">
        <v>97.7</v>
      </c>
      <c r="H35378" s="5">
        <v>96.6</v>
      </c>
      <c r="I35378" s="5">
        <v>0</v>
      </c>
      <c r="J35378" s="5">
        <v>0</v>
      </c>
      <c r="K35378" s="5">
        <v>0</v>
      </c>
    </row>
    <row r="35379" spans="1:11" x14ac:dyDescent="0.25">
      <c r="A35379" s="5">
        <f>35372</f>
      </c>
      <c r="B35379" s="5" t="s">
        <v>35387</v>
      </c>
      <c r="C35379" s="5">
        <v>98.9</v>
      </c>
      <c r="D35379" s="5">
        <v>0.1</v>
      </c>
      <c r="E35379" s="5">
        <v>99</v>
      </c>
      <c r="F35379" s="5">
        <v>198.8</v>
      </c>
      <c r="G35379" s="5">
        <v>97.7</v>
      </c>
      <c r="H35379" s="5">
        <v>96.6</v>
      </c>
      <c r="I35379" s="5">
        <v>0</v>
      </c>
      <c r="J35379" s="5">
        <v>0</v>
      </c>
      <c r="K35379" s="5">
        <v>0</v>
      </c>
    </row>
    <row r="35380" spans="1:11" x14ac:dyDescent="0.25">
      <c r="A35380" s="5">
        <f>35373</f>
      </c>
      <c r="B35380" s="5" t="s">
        <v>35388</v>
      </c>
      <c r="C35380" s="5">
        <v>101.5</v>
      </c>
      <c r="D35380" s="5">
        <v>0.1</v>
      </c>
      <c r="E35380" s="5">
        <v>101.6</v>
      </c>
      <c r="F35380" s="5">
        <v>201.5</v>
      </c>
      <c r="G35380" s="5">
        <v>100.6</v>
      </c>
      <c r="H35380" s="5">
        <v>100.5</v>
      </c>
      <c r="I35380" s="5">
        <v>0</v>
      </c>
      <c r="J35380" s="5">
        <v>0</v>
      </c>
      <c r="K35380" s="5">
        <v>0</v>
      </c>
    </row>
    <row r="35381" spans="1:11" x14ac:dyDescent="0.25">
      <c r="A35381" s="5">
        <f>35374</f>
      </c>
      <c r="B35381" s="5" t="s">
        <v>35389</v>
      </c>
      <c r="C35381" s="5">
        <v>101.5</v>
      </c>
      <c r="D35381" s="5">
        <v>0.1</v>
      </c>
      <c r="E35381" s="5">
        <v>101.6</v>
      </c>
      <c r="F35381" s="5">
        <v>201.5</v>
      </c>
      <c r="G35381" s="5">
        <v>100.6</v>
      </c>
      <c r="H35381" s="5">
        <v>100.5</v>
      </c>
      <c r="I35381" s="5">
        <v>0</v>
      </c>
      <c r="J35381" s="5">
        <v>0</v>
      </c>
      <c r="K35381" s="5">
        <v>0</v>
      </c>
    </row>
    <row r="35382" spans="1:11" x14ac:dyDescent="0.25">
      <c r="A35382" s="5">
        <f>35375</f>
      </c>
      <c r="B35382" s="5" t="s">
        <v>35390</v>
      </c>
      <c r="C35382" s="5">
        <v>103.7</v>
      </c>
      <c r="D35382" s="5">
        <v>0.1</v>
      </c>
      <c r="E35382" s="5">
        <v>103.8</v>
      </c>
      <c r="F35382" s="5">
        <v>206.6</v>
      </c>
      <c r="G35382" s="5">
        <v>103.1</v>
      </c>
      <c r="H35382" s="5">
        <v>103</v>
      </c>
      <c r="I35382" s="5">
        <v>0</v>
      </c>
      <c r="J35382" s="5">
        <v>0</v>
      </c>
      <c r="K35382" s="5">
        <v>0</v>
      </c>
    </row>
    <row r="35383" spans="1:11" x14ac:dyDescent="0.25">
      <c r="A35383" s="5">
        <f>35376</f>
      </c>
      <c r="B35383" s="5" t="s">
        <v>35391</v>
      </c>
      <c r="C35383" s="5">
        <v>103.7</v>
      </c>
      <c r="D35383" s="5">
        <v>0.1</v>
      </c>
      <c r="E35383" s="5">
        <v>103.8</v>
      </c>
      <c r="F35383" s="5">
        <v>206.6</v>
      </c>
      <c r="G35383" s="5">
        <v>103.1</v>
      </c>
      <c r="H35383" s="5">
        <v>103</v>
      </c>
      <c r="I35383" s="5">
        <v>0</v>
      </c>
      <c r="J35383" s="5">
        <v>0</v>
      </c>
      <c r="K35383" s="5">
        <v>0</v>
      </c>
    </row>
    <row r="35384" spans="1:11" x14ac:dyDescent="0.25">
      <c r="A35384" s="5">
        <f>35377</f>
      </c>
      <c r="B35384" s="5" t="s">
        <v>35392</v>
      </c>
      <c r="C35384" s="5">
        <v>103.7</v>
      </c>
      <c r="D35384" s="5">
        <v>0.1</v>
      </c>
      <c r="E35384" s="5">
        <v>103.8</v>
      </c>
      <c r="F35384" s="5">
        <v>206.6</v>
      </c>
      <c r="G35384" s="5">
        <v>103.1</v>
      </c>
      <c r="H35384" s="5">
        <v>103</v>
      </c>
      <c r="I35384" s="5">
        <v>0</v>
      </c>
      <c r="J35384" s="5">
        <v>0</v>
      </c>
      <c r="K35384" s="5">
        <v>0</v>
      </c>
    </row>
    <row r="35385" spans="1:11" x14ac:dyDescent="0.25">
      <c r="A35385" s="5">
        <f>35378</f>
      </c>
      <c r="B35385" s="5" t="s">
        <v>35393</v>
      </c>
      <c r="C35385" s="5">
        <v>103.9</v>
      </c>
      <c r="D35385" s="5">
        <v>0.1</v>
      </c>
      <c r="E35385" s="5">
        <v>104</v>
      </c>
      <c r="F35385" s="5">
        <v>207</v>
      </c>
      <c r="G35385" s="5">
        <v>103.3</v>
      </c>
      <c r="H35385" s="5">
        <v>103</v>
      </c>
      <c r="I35385" s="5">
        <v>0</v>
      </c>
      <c r="J35385" s="5">
        <v>0</v>
      </c>
      <c r="K35385" s="5">
        <v>0</v>
      </c>
    </row>
    <row r="35386" spans="1:11" x14ac:dyDescent="0.25">
      <c r="A35386" s="5">
        <f>35379</f>
      </c>
      <c r="B35386" s="5" t="s">
        <v>35394</v>
      </c>
      <c r="C35386" s="5">
        <v>103.9</v>
      </c>
      <c r="D35386" s="5">
        <v>0.1</v>
      </c>
      <c r="E35386" s="5">
        <v>104</v>
      </c>
      <c r="F35386" s="5">
        <v>207</v>
      </c>
      <c r="G35386" s="5">
        <v>103.3</v>
      </c>
      <c r="H35386" s="5">
        <v>103.2</v>
      </c>
      <c r="I35386" s="5">
        <v>0</v>
      </c>
      <c r="J35386" s="5">
        <v>0</v>
      </c>
      <c r="K35386" s="5">
        <v>0</v>
      </c>
    </row>
    <row r="35387" spans="1:11" x14ac:dyDescent="0.25">
      <c r="A35387" s="5">
        <f>35380</f>
      </c>
      <c r="B35387" s="5" t="s">
        <v>35395</v>
      </c>
      <c r="C35387" s="5">
        <v>101.8</v>
      </c>
      <c r="D35387" s="5">
        <v>0.1</v>
      </c>
      <c r="E35387" s="5">
        <v>101.9</v>
      </c>
      <c r="F35387" s="5">
        <v>207</v>
      </c>
      <c r="G35387" s="5">
        <v>103.3</v>
      </c>
      <c r="H35387" s="5">
        <v>103.2</v>
      </c>
      <c r="I35387" s="5">
        <v>0</v>
      </c>
      <c r="J35387" s="5">
        <v>0</v>
      </c>
      <c r="K35387" s="5">
        <v>0</v>
      </c>
    </row>
    <row r="35388" spans="1:11" x14ac:dyDescent="0.25">
      <c r="A35388" s="5">
        <f>35381</f>
      </c>
      <c r="B35388" s="5" t="s">
        <v>35396</v>
      </c>
      <c r="C35388" s="5">
        <v>101.8</v>
      </c>
      <c r="D35388" s="5">
        <v>0.1</v>
      </c>
      <c r="E35388" s="5">
        <v>101.9</v>
      </c>
      <c r="F35388" s="5">
        <v>202.3</v>
      </c>
      <c r="G35388" s="5">
        <v>101</v>
      </c>
      <c r="H35388" s="5">
        <v>100.9</v>
      </c>
      <c r="I35388" s="5">
        <v>0</v>
      </c>
      <c r="J35388" s="5">
        <v>0</v>
      </c>
      <c r="K35388" s="5">
        <v>0</v>
      </c>
    </row>
    <row r="35389" spans="1:11" x14ac:dyDescent="0.25">
      <c r="A35389" s="5">
        <f>35382</f>
      </c>
      <c r="B35389" s="5" t="s">
        <v>35397</v>
      </c>
      <c r="C35389" s="5">
        <v>101.8</v>
      </c>
      <c r="D35389" s="5">
        <v>0.1</v>
      </c>
      <c r="E35389" s="5">
        <v>101.9</v>
      </c>
      <c r="F35389" s="5">
        <v>202.3</v>
      </c>
      <c r="G35389" s="5">
        <v>101</v>
      </c>
      <c r="H35389" s="5">
        <v>100.9</v>
      </c>
      <c r="I35389" s="5">
        <v>0</v>
      </c>
      <c r="J35389" s="5">
        <v>0</v>
      </c>
      <c r="K35389" s="5">
        <v>0</v>
      </c>
    </row>
    <row r="35390" spans="1:11" x14ac:dyDescent="0.25">
      <c r="A35390" s="5">
        <f>35383</f>
      </c>
      <c r="B35390" s="5" t="s">
        <v>35398</v>
      </c>
      <c r="C35390" s="5">
        <v>97.5</v>
      </c>
      <c r="D35390" s="5">
        <v>0.1</v>
      </c>
      <c r="E35390" s="5">
        <v>97.6</v>
      </c>
      <c r="F35390" s="5">
        <v>191.3</v>
      </c>
      <c r="G35390" s="5">
        <v>95.6</v>
      </c>
      <c r="H35390" s="5">
        <v>95.5</v>
      </c>
      <c r="I35390" s="5">
        <v>0</v>
      </c>
      <c r="J35390" s="5">
        <v>0</v>
      </c>
      <c r="K35390" s="5">
        <v>0</v>
      </c>
    </row>
    <row r="35391" spans="1:11" x14ac:dyDescent="0.25">
      <c r="A35391" s="5">
        <f>35384</f>
      </c>
      <c r="B35391" s="5" t="s">
        <v>35399</v>
      </c>
      <c r="C35391" s="5">
        <v>97.5</v>
      </c>
      <c r="D35391" s="5">
        <v>0.1</v>
      </c>
      <c r="E35391" s="5">
        <v>97.6</v>
      </c>
      <c r="F35391" s="5">
        <v>191.3</v>
      </c>
      <c r="G35391" s="5">
        <v>95.6</v>
      </c>
      <c r="H35391" s="5">
        <v>95.5</v>
      </c>
      <c r="I35391" s="5">
        <v>0</v>
      </c>
      <c r="J35391" s="5">
        <v>0</v>
      </c>
      <c r="K35391" s="5">
        <v>0</v>
      </c>
    </row>
    <row r="35392" spans="1:11" x14ac:dyDescent="0.25">
      <c r="A35392" s="5">
        <f>35385</f>
      </c>
      <c r="B35392" s="5" t="s">
        <v>35400</v>
      </c>
      <c r="C35392" s="5">
        <v>103.3</v>
      </c>
      <c r="D35392" s="5">
        <v>0.1</v>
      </c>
      <c r="E35392" s="5">
        <v>103.4</v>
      </c>
      <c r="F35392" s="5">
        <v>203.5</v>
      </c>
      <c r="G35392" s="5">
        <v>101.7</v>
      </c>
      <c r="H35392" s="5">
        <v>101.7</v>
      </c>
      <c r="I35392" s="5">
        <v>0</v>
      </c>
      <c r="J35392" s="5">
        <v>0</v>
      </c>
      <c r="K35392" s="5">
        <v>0</v>
      </c>
    </row>
    <row r="35393" spans="1:11" x14ac:dyDescent="0.25">
      <c r="A35393" s="5">
        <f>35386</f>
      </c>
      <c r="B35393" s="5" t="s">
        <v>35401</v>
      </c>
      <c r="C35393" s="5">
        <v>103.3</v>
      </c>
      <c r="D35393" s="5">
        <v>0.1</v>
      </c>
      <c r="E35393" s="5">
        <v>103.4</v>
      </c>
      <c r="F35393" s="5">
        <v>203.5</v>
      </c>
      <c r="G35393" s="5">
        <v>101.7</v>
      </c>
      <c r="H35393" s="5">
        <v>101.7</v>
      </c>
      <c r="I35393" s="5">
        <v>0</v>
      </c>
      <c r="J35393" s="5">
        <v>0</v>
      </c>
      <c r="K35393" s="5">
        <v>0</v>
      </c>
    </row>
    <row r="35394" spans="1:11" x14ac:dyDescent="0.25">
      <c r="A35394" s="5">
        <f>35387</f>
      </c>
      <c r="B35394" s="5" t="s">
        <v>35402</v>
      </c>
      <c r="C35394" s="5">
        <v>103.3</v>
      </c>
      <c r="D35394" s="5">
        <v>0.1</v>
      </c>
      <c r="E35394" s="5">
        <v>103.4</v>
      </c>
      <c r="F35394" s="5">
        <v>203.5</v>
      </c>
      <c r="G35394" s="5">
        <v>101.7</v>
      </c>
      <c r="H35394" s="5">
        <v>101.7</v>
      </c>
      <c r="I35394" s="5">
        <v>0</v>
      </c>
      <c r="J35394" s="5">
        <v>0</v>
      </c>
      <c r="K35394" s="5">
        <v>0</v>
      </c>
    </row>
    <row r="35395" spans="1:11" x14ac:dyDescent="0.25">
      <c r="A35395" s="5">
        <f>35388</f>
      </c>
      <c r="B35395" s="5" t="s">
        <v>35403</v>
      </c>
      <c r="C35395" s="5">
        <v>103.3</v>
      </c>
      <c r="D35395" s="5">
        <v>0.1</v>
      </c>
      <c r="E35395" s="5">
        <v>103.4</v>
      </c>
      <c r="F35395" s="5">
        <v>203.5</v>
      </c>
      <c r="G35395" s="5">
        <v>101.7</v>
      </c>
      <c r="H35395" s="5">
        <v>101.7</v>
      </c>
      <c r="I35395" s="5">
        <v>0</v>
      </c>
      <c r="J35395" s="5">
        <v>0</v>
      </c>
      <c r="K35395" s="5">
        <v>0</v>
      </c>
    </row>
    <row r="35396" spans="1:11" x14ac:dyDescent="0.25">
      <c r="A35396" s="5">
        <f>35389</f>
      </c>
      <c r="B35396" s="5" t="s">
        <v>35404</v>
      </c>
      <c r="C35396" s="5">
        <v>99.1</v>
      </c>
      <c r="D35396" s="5">
        <v>0.1</v>
      </c>
      <c r="E35396" s="5">
        <v>99.2</v>
      </c>
      <c r="F35396" s="5">
        <v>194.8</v>
      </c>
      <c r="G35396" s="5">
        <v>96.9</v>
      </c>
      <c r="H35396" s="5">
        <v>96.4</v>
      </c>
      <c r="I35396" s="5">
        <v>0</v>
      </c>
      <c r="J35396" s="5">
        <v>0</v>
      </c>
      <c r="K35396" s="5">
        <v>0</v>
      </c>
    </row>
    <row r="35397" spans="1:11" x14ac:dyDescent="0.25">
      <c r="A35397" s="5">
        <f>35390</f>
      </c>
      <c r="B35397" s="5" t="s">
        <v>35405</v>
      </c>
      <c r="C35397" s="5">
        <v>99.1</v>
      </c>
      <c r="D35397" s="5">
        <v>0.1</v>
      </c>
      <c r="E35397" s="5">
        <v>99.2</v>
      </c>
      <c r="F35397" s="5">
        <v>194.8</v>
      </c>
      <c r="G35397" s="5">
        <v>96.9</v>
      </c>
      <c r="H35397" s="5">
        <v>96.4</v>
      </c>
      <c r="I35397" s="5">
        <v>0</v>
      </c>
      <c r="J35397" s="5">
        <v>0</v>
      </c>
      <c r="K35397" s="5">
        <v>0</v>
      </c>
    </row>
    <row r="35398" spans="1:11" x14ac:dyDescent="0.25">
      <c r="A35398" s="5">
        <f>35391</f>
      </c>
      <c r="B35398" s="5" t="s">
        <v>35406</v>
      </c>
      <c r="C35398" s="5">
        <v>103.4</v>
      </c>
      <c r="D35398" s="5">
        <v>0.1</v>
      </c>
      <c r="E35398" s="5">
        <v>103.5</v>
      </c>
      <c r="F35398" s="5">
        <v>202.4</v>
      </c>
      <c r="G35398" s="5">
        <v>96.3</v>
      </c>
      <c r="H35398" s="5">
        <v>93</v>
      </c>
      <c r="I35398" s="5">
        <v>0</v>
      </c>
      <c r="J35398" s="5">
        <v>0</v>
      </c>
      <c r="K35398" s="5">
        <v>0</v>
      </c>
    </row>
    <row r="35399" spans="1:11" x14ac:dyDescent="0.25">
      <c r="A35399" s="5">
        <f>35392</f>
      </c>
      <c r="B35399" s="5" t="s">
        <v>35407</v>
      </c>
      <c r="C35399" s="5">
        <v>103.4</v>
      </c>
      <c r="D35399" s="5">
        <v>0.1</v>
      </c>
      <c r="E35399" s="5">
        <v>103.5</v>
      </c>
      <c r="F35399" s="5">
        <v>202.4</v>
      </c>
      <c r="G35399" s="5">
        <v>96.3</v>
      </c>
      <c r="H35399" s="5">
        <v>93</v>
      </c>
      <c r="I35399" s="5">
        <v>0</v>
      </c>
      <c r="J35399" s="5">
        <v>0</v>
      </c>
      <c r="K35399" s="5">
        <v>0</v>
      </c>
    </row>
    <row r="35400" spans="1:11" x14ac:dyDescent="0.25">
      <c r="A35400" s="5">
        <f>35393</f>
      </c>
      <c r="B35400" s="5" t="s">
        <v>35408</v>
      </c>
      <c r="C35400" s="5">
        <v>91.1</v>
      </c>
      <c r="D35400" s="5">
        <v>0.1</v>
      </c>
      <c r="E35400" s="5">
        <v>91.2</v>
      </c>
      <c r="F35400" s="5">
        <v>183.6</v>
      </c>
      <c r="G35400" s="5">
        <v>91.5</v>
      </c>
      <c r="H35400" s="5">
        <v>91.3</v>
      </c>
      <c r="I35400" s="5">
        <v>0</v>
      </c>
      <c r="J35400" s="5">
        <v>0</v>
      </c>
      <c r="K35400" s="5">
        <v>0</v>
      </c>
    </row>
    <row r="35401" spans="1:11" x14ac:dyDescent="0.25">
      <c r="A35401" s="5">
        <f>35394</f>
      </c>
      <c r="B35401" s="5" t="s">
        <v>35409</v>
      </c>
      <c r="C35401" s="5">
        <v>91.1</v>
      </c>
      <c r="D35401" s="5">
        <v>0.1</v>
      </c>
      <c r="E35401" s="5">
        <v>91.2</v>
      </c>
      <c r="F35401" s="5">
        <v>183.6</v>
      </c>
      <c r="G35401" s="5">
        <v>91.5</v>
      </c>
      <c r="H35401" s="5">
        <v>91.3</v>
      </c>
      <c r="I35401" s="5">
        <v>0</v>
      </c>
      <c r="J35401" s="5">
        <v>0</v>
      </c>
      <c r="K35401" s="5">
        <v>0</v>
      </c>
    </row>
    <row r="35402" spans="1:11" x14ac:dyDescent="0.25">
      <c r="A35402" s="5">
        <f>35395</f>
      </c>
      <c r="B35402" s="5" t="s">
        <v>35410</v>
      </c>
      <c r="C35402" s="5">
        <v>92</v>
      </c>
      <c r="D35402" s="5">
        <v>0.1</v>
      </c>
      <c r="E35402" s="5">
        <v>92.1</v>
      </c>
      <c r="F35402" s="5">
        <v>185</v>
      </c>
      <c r="G35402" s="5">
        <v>92.4</v>
      </c>
      <c r="H35402" s="5">
        <v>92.6</v>
      </c>
      <c r="I35402" s="5">
        <v>0</v>
      </c>
      <c r="J35402" s="5">
        <v>0</v>
      </c>
      <c r="K35402" s="5">
        <v>0</v>
      </c>
    </row>
    <row r="35403" spans="1:11" x14ac:dyDescent="0.25">
      <c r="A35403" s="5">
        <f>35396</f>
      </c>
      <c r="B35403" s="5" t="s">
        <v>35411</v>
      </c>
      <c r="C35403" s="5">
        <v>92</v>
      </c>
      <c r="D35403" s="5">
        <v>0.1</v>
      </c>
      <c r="E35403" s="5">
        <v>92.1</v>
      </c>
      <c r="F35403" s="5">
        <v>185</v>
      </c>
      <c r="G35403" s="5">
        <v>92.4</v>
      </c>
      <c r="H35403" s="5">
        <v>92.6</v>
      </c>
      <c r="I35403" s="5">
        <v>0</v>
      </c>
      <c r="J35403" s="5">
        <v>0</v>
      </c>
      <c r="K35403" s="5">
        <v>0</v>
      </c>
    </row>
    <row r="35404" spans="1:11" x14ac:dyDescent="0.25">
      <c r="A35404" s="5">
        <f>35397</f>
      </c>
      <c r="B35404" s="5" t="s">
        <v>35412</v>
      </c>
      <c r="C35404" s="5">
        <v>92</v>
      </c>
      <c r="D35404" s="5">
        <v>0.1</v>
      </c>
      <c r="E35404" s="5">
        <v>92.1</v>
      </c>
      <c r="F35404" s="5">
        <v>185</v>
      </c>
      <c r="G35404" s="5">
        <v>92.4</v>
      </c>
      <c r="H35404" s="5">
        <v>92.6</v>
      </c>
      <c r="I35404" s="5">
        <v>0</v>
      </c>
      <c r="J35404" s="5">
        <v>0</v>
      </c>
      <c r="K35404" s="5">
        <v>0</v>
      </c>
    </row>
    <row r="35405" spans="1:11" x14ac:dyDescent="0.25">
      <c r="A35405" s="5">
        <f>35398</f>
      </c>
      <c r="B35405" s="5" t="s">
        <v>35413</v>
      </c>
      <c r="C35405" s="5">
        <v>92</v>
      </c>
      <c r="D35405" s="5">
        <v>0.1</v>
      </c>
      <c r="E35405" s="5">
        <v>92.1</v>
      </c>
      <c r="F35405" s="5">
        <v>185</v>
      </c>
      <c r="G35405" s="5">
        <v>92.4</v>
      </c>
      <c r="H35405" s="5">
        <v>92.6</v>
      </c>
      <c r="I35405" s="5">
        <v>0</v>
      </c>
      <c r="J35405" s="5">
        <v>0</v>
      </c>
      <c r="K35405" s="5">
        <v>0</v>
      </c>
    </row>
    <row r="35406" spans="1:11" x14ac:dyDescent="0.25">
      <c r="A35406" s="5">
        <f>35399</f>
      </c>
      <c r="B35406" s="5" t="s">
        <v>35414</v>
      </c>
      <c r="C35406" s="5">
        <v>94.3</v>
      </c>
      <c r="D35406" s="5">
        <v>0.1</v>
      </c>
      <c r="E35406" s="5">
        <v>94.5</v>
      </c>
      <c r="F35406" s="5">
        <v>190.6</v>
      </c>
      <c r="G35406" s="5">
        <v>95.2</v>
      </c>
      <c r="H35406" s="5">
        <v>95.1</v>
      </c>
      <c r="I35406" s="5">
        <v>0</v>
      </c>
      <c r="J35406" s="5">
        <v>0</v>
      </c>
      <c r="K35406" s="5">
        <v>0</v>
      </c>
    </row>
    <row r="35407" spans="1:11" x14ac:dyDescent="0.25">
      <c r="A35407" s="5">
        <f>35400</f>
      </c>
      <c r="B35407" s="5" t="s">
        <v>35415</v>
      </c>
      <c r="C35407" s="5">
        <v>94.3</v>
      </c>
      <c r="D35407" s="5">
        <v>0.1</v>
      </c>
      <c r="E35407" s="5">
        <v>94.5</v>
      </c>
      <c r="F35407" s="5">
        <v>190.6</v>
      </c>
      <c r="G35407" s="5">
        <v>95.2</v>
      </c>
      <c r="H35407" s="5">
        <v>95.1</v>
      </c>
      <c r="I35407" s="5">
        <v>0</v>
      </c>
      <c r="J35407" s="5">
        <v>0</v>
      </c>
      <c r="K35407" s="5">
        <v>0</v>
      </c>
    </row>
    <row r="35408" spans="1:11" x14ac:dyDescent="0.25">
      <c r="A35408" s="5">
        <f>35401</f>
      </c>
      <c r="B35408" s="5" t="s">
        <v>35416</v>
      </c>
      <c r="C35408" s="5">
        <v>94.3</v>
      </c>
      <c r="D35408" s="5">
        <v>0.1</v>
      </c>
      <c r="E35408" s="5">
        <v>94.4</v>
      </c>
      <c r="F35408" s="5">
        <v>181.8</v>
      </c>
      <c r="G35408" s="5">
        <v>90.8</v>
      </c>
      <c r="H35408" s="5">
        <v>90.9</v>
      </c>
      <c r="I35408" s="5">
        <v>0</v>
      </c>
      <c r="J35408" s="5">
        <v>0</v>
      </c>
      <c r="K35408" s="5">
        <v>0</v>
      </c>
    </row>
    <row r="35409" spans="1:11" x14ac:dyDescent="0.25">
      <c r="A35409" s="5">
        <f>35402</f>
      </c>
      <c r="B35409" s="5" t="s">
        <v>35417</v>
      </c>
      <c r="C35409" s="5">
        <v>94.3</v>
      </c>
      <c r="D35409" s="5">
        <v>0.1</v>
      </c>
      <c r="E35409" s="5">
        <v>94.4</v>
      </c>
      <c r="F35409" s="5">
        <v>181.8</v>
      </c>
      <c r="G35409" s="5">
        <v>90.8</v>
      </c>
      <c r="H35409" s="5">
        <v>90.9</v>
      </c>
      <c r="I35409" s="5">
        <v>0</v>
      </c>
      <c r="J35409" s="5">
        <v>0</v>
      </c>
      <c r="K35409" s="5">
        <v>0</v>
      </c>
    </row>
    <row r="35410" spans="1:11" x14ac:dyDescent="0.25">
      <c r="A35410" s="5">
        <f>35403</f>
      </c>
      <c r="B35410" s="5" t="s">
        <v>35418</v>
      </c>
      <c r="C35410" s="5">
        <v>95.5</v>
      </c>
      <c r="D35410" s="5">
        <v>0.1</v>
      </c>
      <c r="E35410" s="5">
        <v>95.7</v>
      </c>
      <c r="F35410" s="5">
        <v>190.4</v>
      </c>
      <c r="G35410" s="5">
        <v>95.3</v>
      </c>
      <c r="H35410" s="5">
        <v>95.4</v>
      </c>
      <c r="I35410" s="5">
        <v>0</v>
      </c>
      <c r="J35410" s="5">
        <v>0</v>
      </c>
      <c r="K35410" s="5">
        <v>0</v>
      </c>
    </row>
    <row r="35411" spans="1:11" x14ac:dyDescent="0.25">
      <c r="A35411" s="5">
        <f>35404</f>
      </c>
      <c r="B35411" s="5" t="s">
        <v>35419</v>
      </c>
      <c r="C35411" s="5">
        <v>95.5</v>
      </c>
      <c r="D35411" s="5">
        <v>0.1</v>
      </c>
      <c r="E35411" s="5">
        <v>95.7</v>
      </c>
      <c r="F35411" s="5">
        <v>190.4</v>
      </c>
      <c r="G35411" s="5">
        <v>95.3</v>
      </c>
      <c r="H35411" s="5">
        <v>95.4</v>
      </c>
      <c r="I35411" s="5">
        <v>0</v>
      </c>
      <c r="J35411" s="5">
        <v>0</v>
      </c>
      <c r="K35411" s="5">
        <v>0</v>
      </c>
    </row>
    <row r="35412" spans="1:11" x14ac:dyDescent="0.25">
      <c r="A35412" s="5">
        <f>35405</f>
      </c>
      <c r="B35412" s="5" t="s">
        <v>35420</v>
      </c>
      <c r="C35412" s="5">
        <v>87.8</v>
      </c>
      <c r="D35412" s="5">
        <v>0.1</v>
      </c>
      <c r="E35412" s="5">
        <v>88</v>
      </c>
      <c r="F35412" s="5">
        <v>176.5</v>
      </c>
      <c r="G35412" s="5">
        <v>87.5</v>
      </c>
      <c r="H35412" s="5">
        <v>87.4</v>
      </c>
      <c r="I35412" s="5">
        <v>0</v>
      </c>
      <c r="J35412" s="5">
        <v>0</v>
      </c>
      <c r="K35412" s="5">
        <v>0</v>
      </c>
    </row>
    <row r="35413" spans="1:11" x14ac:dyDescent="0.25">
      <c r="A35413" s="5">
        <f>35406</f>
      </c>
      <c r="B35413" s="5" t="s">
        <v>35421</v>
      </c>
      <c r="C35413" s="5">
        <v>87.8</v>
      </c>
      <c r="D35413" s="5">
        <v>0.1</v>
      </c>
      <c r="E35413" s="5">
        <v>88</v>
      </c>
      <c r="F35413" s="5">
        <v>176.5</v>
      </c>
      <c r="G35413" s="5">
        <v>87.5</v>
      </c>
      <c r="H35413" s="5">
        <v>87.4</v>
      </c>
      <c r="I35413" s="5">
        <v>0</v>
      </c>
      <c r="J35413" s="5">
        <v>0</v>
      </c>
      <c r="K35413" s="5">
        <v>0</v>
      </c>
    </row>
    <row r="35414" spans="1:11" x14ac:dyDescent="0.25">
      <c r="A35414" s="5">
        <f>35407</f>
      </c>
      <c r="B35414" s="5" t="s">
        <v>35422</v>
      </c>
      <c r="C35414" s="5">
        <v>87.8</v>
      </c>
      <c r="D35414" s="5">
        <v>0.1</v>
      </c>
      <c r="E35414" s="5">
        <v>88</v>
      </c>
      <c r="F35414" s="5">
        <v>176.5</v>
      </c>
      <c r="G35414" s="5">
        <v>87.5</v>
      </c>
      <c r="H35414" s="5">
        <v>87.4</v>
      </c>
      <c r="I35414" s="5">
        <v>0</v>
      </c>
      <c r="J35414" s="5">
        <v>0</v>
      </c>
      <c r="K35414" s="5">
        <v>0</v>
      </c>
    </row>
    <row r="35415" spans="1:11" x14ac:dyDescent="0.25">
      <c r="A35415" s="5">
        <f>35408</f>
      </c>
      <c r="B35415" s="5" t="s">
        <v>35423</v>
      </c>
      <c r="C35415" s="5">
        <v>88.7</v>
      </c>
      <c r="D35415" s="5">
        <v>0.1</v>
      </c>
      <c r="E35415" s="5">
        <v>88.7</v>
      </c>
      <c r="F35415" s="5">
        <v>180.4</v>
      </c>
      <c r="G35415" s="5">
        <v>92.7</v>
      </c>
      <c r="H35415" s="5">
        <v>92.7</v>
      </c>
      <c r="I35415" s="5">
        <v>0</v>
      </c>
      <c r="J35415" s="5">
        <v>0</v>
      </c>
      <c r="K35415" s="5">
        <v>0</v>
      </c>
    </row>
    <row r="35416" spans="1:11" x14ac:dyDescent="0.25">
      <c r="A35416" s="5">
        <f>35409</f>
      </c>
      <c r="B35416" s="5" t="s">
        <v>35424</v>
      </c>
      <c r="C35416" s="5">
        <v>88.7</v>
      </c>
      <c r="D35416" s="5">
        <v>0.1</v>
      </c>
      <c r="E35416" s="5">
        <v>88.7</v>
      </c>
      <c r="F35416" s="5">
        <v>180.4</v>
      </c>
      <c r="G35416" s="5">
        <v>92.7</v>
      </c>
      <c r="H35416" s="5">
        <v>92.7</v>
      </c>
      <c r="I35416" s="5">
        <v>0</v>
      </c>
      <c r="J35416" s="5">
        <v>0</v>
      </c>
      <c r="K35416" s="5">
        <v>0</v>
      </c>
    </row>
    <row r="35417" spans="1:11" x14ac:dyDescent="0.25">
      <c r="A35417" s="5">
        <f>35410</f>
      </c>
      <c r="B35417" s="5" t="s">
        <v>35425</v>
      </c>
      <c r="C35417" s="5">
        <v>96</v>
      </c>
      <c r="D35417" s="5">
        <v>0.1</v>
      </c>
      <c r="E35417" s="5">
        <v>96.1</v>
      </c>
      <c r="F35417" s="5">
        <v>190.9</v>
      </c>
      <c r="G35417" s="5">
        <v>95.1</v>
      </c>
      <c r="H35417" s="5">
        <v>97.8</v>
      </c>
      <c r="I35417" s="5">
        <v>0</v>
      </c>
      <c r="J35417" s="5">
        <v>0</v>
      </c>
      <c r="K35417" s="5">
        <v>0</v>
      </c>
    </row>
    <row r="35418" spans="1:11" x14ac:dyDescent="0.25">
      <c r="A35418" s="5">
        <f>35411</f>
      </c>
      <c r="B35418" s="5" t="s">
        <v>35426</v>
      </c>
      <c r="C35418" s="5">
        <v>96</v>
      </c>
      <c r="D35418" s="5">
        <v>0.1</v>
      </c>
      <c r="E35418" s="5">
        <v>96.1</v>
      </c>
      <c r="F35418" s="5">
        <v>190.9</v>
      </c>
      <c r="G35418" s="5">
        <v>95.1</v>
      </c>
      <c r="H35418" s="5">
        <v>97.8</v>
      </c>
      <c r="I35418" s="5">
        <v>0</v>
      </c>
      <c r="J35418" s="5">
        <v>0</v>
      </c>
      <c r="K35418" s="5">
        <v>0</v>
      </c>
    </row>
    <row r="35419" spans="1:11" x14ac:dyDescent="0.25">
      <c r="A35419" s="5">
        <f>35412</f>
      </c>
      <c r="B35419" s="5" t="s">
        <v>35427</v>
      </c>
      <c r="C35419" s="5">
        <v>99.5</v>
      </c>
      <c r="D35419" s="5">
        <v>0.1</v>
      </c>
      <c r="E35419" s="5">
        <v>99.6</v>
      </c>
      <c r="F35419" s="5">
        <v>198.7</v>
      </c>
      <c r="G35419" s="5">
        <v>98.7</v>
      </c>
      <c r="H35419" s="5">
        <v>97.8</v>
      </c>
      <c r="I35419" s="5">
        <v>0</v>
      </c>
      <c r="J35419" s="5">
        <v>0</v>
      </c>
      <c r="K35419" s="5">
        <v>0</v>
      </c>
    </row>
    <row r="35420" spans="1:11" x14ac:dyDescent="0.25">
      <c r="A35420" s="5">
        <f>35413</f>
      </c>
      <c r="B35420" s="5" t="s">
        <v>35428</v>
      </c>
      <c r="C35420" s="5">
        <v>99.5</v>
      </c>
      <c r="D35420" s="5">
        <v>0.1</v>
      </c>
      <c r="E35420" s="5">
        <v>99.6</v>
      </c>
      <c r="F35420" s="5">
        <v>198.7</v>
      </c>
      <c r="G35420" s="5">
        <v>98.7</v>
      </c>
      <c r="H35420" s="5">
        <v>97.8</v>
      </c>
      <c r="I35420" s="5">
        <v>0</v>
      </c>
      <c r="J35420" s="5">
        <v>0</v>
      </c>
      <c r="K35420" s="5">
        <v>0</v>
      </c>
    </row>
    <row r="35421" spans="1:11" x14ac:dyDescent="0.25">
      <c r="A35421" s="5">
        <f>35414</f>
      </c>
      <c r="B35421" s="5" t="s">
        <v>35429</v>
      </c>
      <c r="C35421" s="5">
        <v>99.5</v>
      </c>
      <c r="D35421" s="5">
        <v>0.1</v>
      </c>
      <c r="E35421" s="5">
        <v>98.9</v>
      </c>
      <c r="F35421" s="5">
        <v>197.4</v>
      </c>
      <c r="G35421" s="5">
        <v>98.3</v>
      </c>
      <c r="H35421" s="5">
        <v>98.1</v>
      </c>
      <c r="I35421" s="5">
        <v>0</v>
      </c>
      <c r="J35421" s="5">
        <v>0</v>
      </c>
      <c r="K35421" s="5">
        <v>0</v>
      </c>
    </row>
    <row r="35422" spans="1:11" x14ac:dyDescent="0.25">
      <c r="A35422" s="5">
        <f>35415</f>
      </c>
      <c r="B35422" s="5" t="s">
        <v>35430</v>
      </c>
      <c r="C35422" s="5">
        <v>98.7</v>
      </c>
      <c r="D35422" s="5">
        <v>0.1</v>
      </c>
      <c r="E35422" s="5">
        <v>98.9</v>
      </c>
      <c r="F35422" s="5">
        <v>197.4</v>
      </c>
      <c r="G35422" s="5">
        <v>98.3</v>
      </c>
      <c r="H35422" s="5">
        <v>98.1</v>
      </c>
      <c r="I35422" s="5">
        <v>0</v>
      </c>
      <c r="J35422" s="5">
        <v>0</v>
      </c>
      <c r="K35422" s="5">
        <v>0</v>
      </c>
    </row>
    <row r="35423" spans="1:11" x14ac:dyDescent="0.25">
      <c r="A35423" s="5">
        <f>35416</f>
      </c>
      <c r="B35423" s="5" t="s">
        <v>35431</v>
      </c>
      <c r="C35423" s="5">
        <v>98.1</v>
      </c>
      <c r="D35423" s="5">
        <v>0.1</v>
      </c>
      <c r="E35423" s="5">
        <v>98.2</v>
      </c>
      <c r="F35423" s="5">
        <v>196</v>
      </c>
      <c r="G35423" s="5">
        <v>97.8</v>
      </c>
      <c r="H35423" s="5">
        <v>97.6</v>
      </c>
      <c r="I35423" s="5">
        <v>0</v>
      </c>
      <c r="J35423" s="5">
        <v>0</v>
      </c>
      <c r="K35423" s="5">
        <v>0</v>
      </c>
    </row>
    <row r="35424" spans="1:11" x14ac:dyDescent="0.25">
      <c r="A35424" s="5">
        <f>35417</f>
      </c>
      <c r="B35424" s="5" t="s">
        <v>35432</v>
      </c>
      <c r="C35424" s="5">
        <v>98.1</v>
      </c>
      <c r="D35424" s="5">
        <v>0.1</v>
      </c>
      <c r="E35424" s="5">
        <v>98.2</v>
      </c>
      <c r="F35424" s="5">
        <v>196</v>
      </c>
      <c r="G35424" s="5">
        <v>97.8</v>
      </c>
      <c r="H35424" s="5">
        <v>97.6</v>
      </c>
      <c r="I35424" s="5">
        <v>0</v>
      </c>
      <c r="J35424" s="5">
        <v>0</v>
      </c>
      <c r="K35424" s="5">
        <v>0</v>
      </c>
    </row>
    <row r="35425" spans="1:11" x14ac:dyDescent="0.25">
      <c r="A35425" s="5">
        <f>35418</f>
      </c>
      <c r="B35425" s="5" t="s">
        <v>35433</v>
      </c>
      <c r="C35425" s="5">
        <v>90.6</v>
      </c>
      <c r="D35425" s="5">
        <v>0.1</v>
      </c>
      <c r="E35425" s="5">
        <v>90.8</v>
      </c>
      <c r="F35425" s="5">
        <v>180.4</v>
      </c>
      <c r="G35425" s="5">
        <v>90</v>
      </c>
      <c r="H35425" s="5">
        <v>90</v>
      </c>
      <c r="I35425" s="5">
        <v>0</v>
      </c>
      <c r="J35425" s="5">
        <v>0</v>
      </c>
      <c r="K35425" s="5">
        <v>0</v>
      </c>
    </row>
    <row r="35426" spans="1:11" x14ac:dyDescent="0.25">
      <c r="A35426" s="5">
        <f>35419</f>
      </c>
      <c r="B35426" s="5" t="s">
        <v>35434</v>
      </c>
      <c r="C35426" s="5">
        <v>90.6</v>
      </c>
      <c r="D35426" s="5">
        <v>0.1</v>
      </c>
      <c r="E35426" s="5">
        <v>90.8</v>
      </c>
      <c r="F35426" s="5">
        <v>180.4</v>
      </c>
      <c r="G35426" s="5">
        <v>90</v>
      </c>
      <c r="H35426" s="5">
        <v>90</v>
      </c>
      <c r="I35426" s="5">
        <v>0</v>
      </c>
      <c r="J35426" s="5">
        <v>0</v>
      </c>
      <c r="K35426" s="5">
        <v>0</v>
      </c>
    </row>
    <row r="35427" spans="1:11" x14ac:dyDescent="0.25">
      <c r="A35427" s="5">
        <f>35420</f>
      </c>
      <c r="B35427" s="5" t="s">
        <v>35435</v>
      </c>
      <c r="C35427" s="5">
        <v>87.7</v>
      </c>
      <c r="D35427" s="5">
        <v>0</v>
      </c>
      <c r="E35427" s="5">
        <v>87.8</v>
      </c>
      <c r="F35427" s="5">
        <v>182.8</v>
      </c>
      <c r="G35427" s="5">
        <v>88.1</v>
      </c>
      <c r="H35427" s="5">
        <v>87.4</v>
      </c>
      <c r="I35427" s="5">
        <v>0</v>
      </c>
      <c r="J35427" s="5">
        <v>0</v>
      </c>
      <c r="K35427" s="5">
        <v>0</v>
      </c>
    </row>
    <row r="35428" spans="1:11" x14ac:dyDescent="0.25">
      <c r="A35428" s="5">
        <f>35421</f>
      </c>
      <c r="B35428" s="5" t="s">
        <v>35436</v>
      </c>
      <c r="C35428" s="5">
        <v>87.7</v>
      </c>
      <c r="D35428" s="5">
        <v>0</v>
      </c>
      <c r="E35428" s="5">
        <v>87.8</v>
      </c>
      <c r="F35428" s="5">
        <v>182.8</v>
      </c>
      <c r="G35428" s="5">
        <v>88.1</v>
      </c>
      <c r="H35428" s="5">
        <v>87.4</v>
      </c>
      <c r="I35428" s="5">
        <v>0</v>
      </c>
      <c r="J35428" s="5">
        <v>0</v>
      </c>
      <c r="K35428" s="5">
        <v>0</v>
      </c>
    </row>
    <row r="35429" spans="1:11" x14ac:dyDescent="0.25">
      <c r="A35429" s="5">
        <f>35422</f>
      </c>
      <c r="B35429" s="5" t="s">
        <v>35437</v>
      </c>
      <c r="C35429" s="5">
        <v>89.6</v>
      </c>
      <c r="D35429" s="5">
        <v>0.1</v>
      </c>
      <c r="E35429" s="5">
        <v>89.7</v>
      </c>
      <c r="F35429" s="5">
        <v>178.4</v>
      </c>
      <c r="G35429" s="5">
        <v>89</v>
      </c>
      <c r="H35429" s="5">
        <v>88.7</v>
      </c>
      <c r="I35429" s="5">
        <v>0</v>
      </c>
      <c r="J35429" s="5">
        <v>0</v>
      </c>
      <c r="K35429" s="5">
        <v>0</v>
      </c>
    </row>
    <row r="35430" spans="1:11" x14ac:dyDescent="0.25">
      <c r="A35430" s="5">
        <f>35423</f>
      </c>
      <c r="B35430" s="5" t="s">
        <v>35438</v>
      </c>
      <c r="C35430" s="5">
        <v>89.6</v>
      </c>
      <c r="D35430" s="5">
        <v>0.1</v>
      </c>
      <c r="E35430" s="5">
        <v>89.7</v>
      </c>
      <c r="F35430" s="5">
        <v>178.4</v>
      </c>
      <c r="G35430" s="5">
        <v>89</v>
      </c>
      <c r="H35430" s="5">
        <v>88.7</v>
      </c>
      <c r="I35430" s="5">
        <v>0</v>
      </c>
      <c r="J35430" s="5">
        <v>0</v>
      </c>
      <c r="K35430" s="5">
        <v>0</v>
      </c>
    </row>
    <row r="35431" spans="1:11" x14ac:dyDescent="0.25">
      <c r="A35431" s="5">
        <f>35424</f>
      </c>
      <c r="B35431" s="5" t="s">
        <v>35439</v>
      </c>
      <c r="C35431" s="5">
        <v>89.6</v>
      </c>
      <c r="D35431" s="5">
        <v>0.1</v>
      </c>
      <c r="E35431" s="5">
        <v>89.7</v>
      </c>
      <c r="F35431" s="5">
        <v>178.4</v>
      </c>
      <c r="G35431" s="5">
        <v>89</v>
      </c>
      <c r="H35431" s="5">
        <v>88.7</v>
      </c>
      <c r="I35431" s="5">
        <v>0</v>
      </c>
      <c r="J35431" s="5">
        <v>0</v>
      </c>
      <c r="K35431" s="5">
        <v>0</v>
      </c>
    </row>
    <row r="35432" spans="1:11" x14ac:dyDescent="0.25">
      <c r="A35432" s="5">
        <f>35425</f>
      </c>
      <c r="B35432" s="5" t="s">
        <v>35440</v>
      </c>
      <c r="C35432" s="5">
        <v>89.6</v>
      </c>
      <c r="D35432" s="5">
        <v>0.1</v>
      </c>
      <c r="E35432" s="5">
        <v>89.7</v>
      </c>
      <c r="F35432" s="5">
        <v>178.4</v>
      </c>
      <c r="G35432" s="5">
        <v>89</v>
      </c>
      <c r="H35432" s="5">
        <v>88.7</v>
      </c>
      <c r="I35432" s="5">
        <v>0</v>
      </c>
      <c r="J35432" s="5">
        <v>0</v>
      </c>
      <c r="K35432" s="5">
        <v>0</v>
      </c>
    </row>
    <row r="35433" spans="1:11" x14ac:dyDescent="0.25">
      <c r="A35433" s="5">
        <f>35426</f>
      </c>
      <c r="B35433" s="5" t="s">
        <v>35441</v>
      </c>
      <c r="C35433" s="5">
        <v>97</v>
      </c>
      <c r="D35433" s="5">
        <v>0.1</v>
      </c>
      <c r="E35433" s="5">
        <v>97.1</v>
      </c>
      <c r="F35433" s="5">
        <v>187.6</v>
      </c>
      <c r="G35433" s="5">
        <v>93</v>
      </c>
      <c r="H35433" s="5">
        <v>96</v>
      </c>
      <c r="I35433" s="5">
        <v>0</v>
      </c>
      <c r="J35433" s="5">
        <v>0</v>
      </c>
      <c r="K35433" s="5">
        <v>0</v>
      </c>
    </row>
    <row r="35434" spans="1:11" x14ac:dyDescent="0.25">
      <c r="A35434" s="5">
        <f>35427</f>
      </c>
      <c r="B35434" s="5" t="s">
        <v>35442</v>
      </c>
      <c r="C35434" s="5">
        <v>98.9</v>
      </c>
      <c r="D35434" s="5">
        <v>0.1</v>
      </c>
      <c r="E35434" s="5">
        <v>98.9</v>
      </c>
      <c r="F35434" s="5">
        <v>196.1</v>
      </c>
      <c r="G35434" s="5">
        <v>97.3</v>
      </c>
      <c r="H35434" s="5">
        <v>96.3</v>
      </c>
      <c r="I35434" s="5">
        <v>0</v>
      </c>
      <c r="J35434" s="5">
        <v>0</v>
      </c>
      <c r="K35434" s="5">
        <v>0</v>
      </c>
    </row>
    <row r="35435" spans="1:11" x14ac:dyDescent="0.25">
      <c r="A35435" s="5">
        <f>35428</f>
      </c>
      <c r="B35435" s="5" t="s">
        <v>35443</v>
      </c>
      <c r="C35435" s="5">
        <v>98.9</v>
      </c>
      <c r="D35435" s="5">
        <v>0.1</v>
      </c>
      <c r="E35435" s="5">
        <v>98.9</v>
      </c>
      <c r="F35435" s="5">
        <v>196.1</v>
      </c>
      <c r="G35435" s="5">
        <v>97.3</v>
      </c>
      <c r="H35435" s="5">
        <v>96.3</v>
      </c>
      <c r="I35435" s="5">
        <v>0</v>
      </c>
      <c r="J35435" s="5">
        <v>0</v>
      </c>
      <c r="K35435" s="5">
        <v>0</v>
      </c>
    </row>
    <row r="35436" spans="1:11" x14ac:dyDescent="0.25">
      <c r="A35436" s="5">
        <f>35429</f>
      </c>
      <c r="B35436" s="5" t="s">
        <v>35444</v>
      </c>
      <c r="C35436" s="5">
        <v>98.9</v>
      </c>
      <c r="D35436" s="5">
        <v>0.1</v>
      </c>
      <c r="E35436" s="5">
        <v>99</v>
      </c>
      <c r="F35436" s="5">
        <v>196.9</v>
      </c>
      <c r="G35436" s="5">
        <v>97.8</v>
      </c>
      <c r="H35436" s="5">
        <v>97.1</v>
      </c>
      <c r="I35436" s="5">
        <v>0</v>
      </c>
      <c r="J35436" s="5">
        <v>0</v>
      </c>
      <c r="K35436" s="5">
        <v>0</v>
      </c>
    </row>
    <row r="35437" spans="1:11" x14ac:dyDescent="0.25">
      <c r="A35437" s="5">
        <f>35430</f>
      </c>
      <c r="B35437" s="5" t="s">
        <v>35445</v>
      </c>
      <c r="C35437" s="5">
        <v>98.9</v>
      </c>
      <c r="D35437" s="5">
        <v>0.1</v>
      </c>
      <c r="E35437" s="5">
        <v>99</v>
      </c>
      <c r="F35437" s="5">
        <v>196.9</v>
      </c>
      <c r="G35437" s="5">
        <v>97.8</v>
      </c>
      <c r="H35437" s="5">
        <v>97.1</v>
      </c>
      <c r="I35437" s="5">
        <v>0</v>
      </c>
      <c r="J35437" s="5">
        <v>0</v>
      </c>
      <c r="K35437" s="5">
        <v>0</v>
      </c>
    </row>
    <row r="35438" spans="1:11" x14ac:dyDescent="0.25">
      <c r="A35438" s="5">
        <f>35431</f>
      </c>
      <c r="B35438" s="5" t="s">
        <v>35446</v>
      </c>
      <c r="C35438" s="5">
        <v>104.3</v>
      </c>
      <c r="D35438" s="5">
        <v>0.1</v>
      </c>
      <c r="E35438" s="5">
        <v>104.4</v>
      </c>
      <c r="F35438" s="5">
        <v>205.7</v>
      </c>
      <c r="G35438" s="5">
        <v>102.3</v>
      </c>
      <c r="H35438" s="5">
        <v>101.8</v>
      </c>
      <c r="I35438" s="5">
        <v>0</v>
      </c>
      <c r="J35438" s="5">
        <v>0</v>
      </c>
      <c r="K35438" s="5">
        <v>0</v>
      </c>
    </row>
    <row r="35439" spans="1:11" x14ac:dyDescent="0.25">
      <c r="A35439" s="5">
        <f>35432</f>
      </c>
      <c r="B35439" s="5" t="s">
        <v>35447</v>
      </c>
      <c r="C35439" s="5">
        <v>104.3</v>
      </c>
      <c r="D35439" s="5">
        <v>0.1</v>
      </c>
      <c r="E35439" s="5">
        <v>104.4</v>
      </c>
      <c r="F35439" s="5">
        <v>205.7</v>
      </c>
      <c r="G35439" s="5">
        <v>102.3</v>
      </c>
      <c r="H35439" s="5">
        <v>101.8</v>
      </c>
      <c r="I35439" s="5">
        <v>0</v>
      </c>
      <c r="J35439" s="5">
        <v>0</v>
      </c>
      <c r="K35439" s="5">
        <v>0</v>
      </c>
    </row>
    <row r="35440" spans="1:11" x14ac:dyDescent="0.25">
      <c r="A35440" s="5">
        <f>35433</f>
      </c>
      <c r="B35440" s="5" t="s">
        <v>35448</v>
      </c>
      <c r="C35440" s="5">
        <v>104.3</v>
      </c>
      <c r="D35440" s="5">
        <v>0.1</v>
      </c>
      <c r="E35440" s="5">
        <v>104.4</v>
      </c>
      <c r="F35440" s="5">
        <v>205.7</v>
      </c>
      <c r="G35440" s="5">
        <v>102.3</v>
      </c>
      <c r="H35440" s="5">
        <v>101.8</v>
      </c>
      <c r="I35440" s="5">
        <v>0</v>
      </c>
      <c r="J35440" s="5">
        <v>0</v>
      </c>
      <c r="K35440" s="5">
        <v>0</v>
      </c>
    </row>
    <row r="35441" spans="1:11" x14ac:dyDescent="0.25">
      <c r="A35441" s="5">
        <f>35434</f>
      </c>
      <c r="B35441" s="5" t="s">
        <v>35449</v>
      </c>
      <c r="C35441" s="5">
        <v>104.3</v>
      </c>
      <c r="D35441" s="5">
        <v>0.1</v>
      </c>
      <c r="E35441" s="5">
        <v>104.4</v>
      </c>
      <c r="F35441" s="5">
        <v>205.7</v>
      </c>
      <c r="G35441" s="5">
        <v>95.4</v>
      </c>
      <c r="H35441" s="5">
        <v>95.2</v>
      </c>
      <c r="I35441" s="5">
        <v>0</v>
      </c>
      <c r="J35441" s="5">
        <v>0</v>
      </c>
      <c r="K35441" s="5">
        <v>0</v>
      </c>
    </row>
    <row r="35442" spans="1:11" x14ac:dyDescent="0.25">
      <c r="A35442" s="5">
        <f>35435</f>
      </c>
      <c r="B35442" s="5" t="s">
        <v>35450</v>
      </c>
      <c r="C35442" s="5">
        <v>95.5</v>
      </c>
      <c r="D35442" s="5">
        <v>0.1</v>
      </c>
      <c r="E35442" s="5">
        <v>95.6</v>
      </c>
      <c r="F35442" s="5">
        <v>191.3</v>
      </c>
      <c r="G35442" s="5">
        <v>95.4</v>
      </c>
      <c r="H35442" s="5">
        <v>95.2</v>
      </c>
      <c r="I35442" s="5">
        <v>0</v>
      </c>
      <c r="J35442" s="5">
        <v>0</v>
      </c>
      <c r="K35442" s="5">
        <v>0</v>
      </c>
    </row>
    <row r="35443" spans="1:11" x14ac:dyDescent="0.25">
      <c r="A35443" s="5">
        <f>35436</f>
      </c>
      <c r="B35443" s="5" t="s">
        <v>35451</v>
      </c>
      <c r="C35443" s="5">
        <v>95.5</v>
      </c>
      <c r="D35443" s="5">
        <v>0.1</v>
      </c>
      <c r="E35443" s="5">
        <v>95.6</v>
      </c>
      <c r="F35443" s="5">
        <v>191.3</v>
      </c>
      <c r="G35443" s="5">
        <v>95.4</v>
      </c>
      <c r="H35443" s="5">
        <v>95.2</v>
      </c>
      <c r="I35443" s="5">
        <v>0</v>
      </c>
      <c r="J35443" s="5">
        <v>0</v>
      </c>
      <c r="K35443" s="5">
        <v>0</v>
      </c>
    </row>
    <row r="35444" spans="1:11" x14ac:dyDescent="0.25">
      <c r="A35444" s="5">
        <f>35437</f>
      </c>
      <c r="B35444" s="5" t="s">
        <v>35452</v>
      </c>
      <c r="C35444" s="5">
        <v>95.1</v>
      </c>
      <c r="D35444" s="5">
        <v>0.1</v>
      </c>
      <c r="E35444" s="5">
        <v>95.3</v>
      </c>
      <c r="F35444" s="5">
        <v>191.4</v>
      </c>
      <c r="G35444" s="5">
        <v>95.4</v>
      </c>
      <c r="H35444" s="5">
        <v>95.2</v>
      </c>
      <c r="I35444" s="5">
        <v>0</v>
      </c>
      <c r="J35444" s="5">
        <v>0</v>
      </c>
      <c r="K35444" s="5">
        <v>0</v>
      </c>
    </row>
    <row r="35445" spans="1:11" x14ac:dyDescent="0.25">
      <c r="A35445" s="5">
        <f>35438</f>
      </c>
      <c r="B35445" s="5" t="s">
        <v>35453</v>
      </c>
      <c r="C35445" s="5">
        <v>102.6</v>
      </c>
      <c r="D35445" s="5">
        <v>0.1</v>
      </c>
      <c r="E35445" s="5">
        <v>102.7</v>
      </c>
      <c r="F35445" s="5">
        <v>201.8</v>
      </c>
      <c r="G35445" s="5">
        <v>102.1</v>
      </c>
      <c r="H35445" s="5">
        <v>102</v>
      </c>
      <c r="I35445" s="5">
        <v>0</v>
      </c>
      <c r="J35445" s="5">
        <v>0</v>
      </c>
      <c r="K35445" s="5">
        <v>0</v>
      </c>
    </row>
    <row r="35446" spans="1:11" x14ac:dyDescent="0.25">
      <c r="A35446" s="5">
        <f>35439</f>
      </c>
      <c r="B35446" s="5" t="s">
        <v>35454</v>
      </c>
      <c r="C35446" s="5">
        <v>102.6</v>
      </c>
      <c r="D35446" s="5">
        <v>0.1</v>
      </c>
      <c r="E35446" s="5">
        <v>102.7</v>
      </c>
      <c r="F35446" s="5">
        <v>201.8</v>
      </c>
      <c r="G35446" s="5">
        <v>102.1</v>
      </c>
      <c r="H35446" s="5">
        <v>102</v>
      </c>
      <c r="I35446" s="5">
        <v>0</v>
      </c>
      <c r="J35446" s="5">
        <v>0</v>
      </c>
      <c r="K35446" s="5">
        <v>0</v>
      </c>
    </row>
    <row r="35447" spans="1:11" x14ac:dyDescent="0.25">
      <c r="A35447" s="5">
        <f>35440</f>
      </c>
      <c r="B35447" s="5" t="s">
        <v>35455</v>
      </c>
      <c r="C35447" s="5">
        <v>103.6</v>
      </c>
      <c r="D35447" s="5">
        <v>0.1</v>
      </c>
      <c r="E35447" s="5">
        <v>103.7</v>
      </c>
      <c r="F35447" s="5">
        <v>205.6</v>
      </c>
      <c r="G35447" s="5">
        <v>102.5</v>
      </c>
      <c r="H35447" s="5">
        <v>102.4</v>
      </c>
      <c r="I35447" s="5">
        <v>0</v>
      </c>
      <c r="J35447" s="5">
        <v>0</v>
      </c>
      <c r="K35447" s="5">
        <v>0</v>
      </c>
    </row>
    <row r="35448" spans="1:11" x14ac:dyDescent="0.25">
      <c r="A35448" s="5">
        <f>35441</f>
      </c>
      <c r="B35448" s="5" t="s">
        <v>35456</v>
      </c>
      <c r="C35448" s="5">
        <v>103.6</v>
      </c>
      <c r="D35448" s="5">
        <v>0.1</v>
      </c>
      <c r="E35448" s="5">
        <v>103.7</v>
      </c>
      <c r="F35448" s="5">
        <v>205.6</v>
      </c>
      <c r="G35448" s="5">
        <v>102.5</v>
      </c>
      <c r="H35448" s="5">
        <v>102.4</v>
      </c>
      <c r="I35448" s="5">
        <v>0</v>
      </c>
      <c r="J35448" s="5">
        <v>0</v>
      </c>
      <c r="K35448" s="5">
        <v>0</v>
      </c>
    </row>
    <row r="35449" spans="1:11" x14ac:dyDescent="0.25">
      <c r="A35449" s="5">
        <f>35442</f>
      </c>
      <c r="B35449" s="5" t="s">
        <v>35457</v>
      </c>
      <c r="C35449" s="5">
        <v>103.6</v>
      </c>
      <c r="D35449" s="5">
        <v>0.1</v>
      </c>
      <c r="E35449" s="5">
        <v>103.7</v>
      </c>
      <c r="F35449" s="5">
        <v>205.6</v>
      </c>
      <c r="G35449" s="5">
        <v>102.5</v>
      </c>
      <c r="H35449" s="5">
        <v>102.4</v>
      </c>
      <c r="I35449" s="5">
        <v>0</v>
      </c>
      <c r="J35449" s="5">
        <v>0</v>
      </c>
      <c r="K35449" s="5">
        <v>0</v>
      </c>
    </row>
    <row r="35450" spans="1:11" x14ac:dyDescent="0.25">
      <c r="A35450" s="5">
        <f>35443</f>
      </c>
      <c r="B35450" s="5" t="s">
        <v>35458</v>
      </c>
      <c r="C35450" s="5">
        <v>103.6</v>
      </c>
      <c r="D35450" s="5">
        <v>0.1</v>
      </c>
      <c r="E35450" s="5">
        <v>103.7</v>
      </c>
      <c r="F35450" s="5">
        <v>205.6</v>
      </c>
      <c r="G35450" s="5">
        <v>102.5</v>
      </c>
      <c r="H35450" s="5">
        <v>102.4</v>
      </c>
      <c r="I35450" s="5">
        <v>0</v>
      </c>
      <c r="J35450" s="5">
        <v>0</v>
      </c>
      <c r="K35450" s="5">
        <v>0</v>
      </c>
    </row>
    <row r="35451" spans="1:11" x14ac:dyDescent="0.25">
      <c r="A35451" s="5">
        <f>35444</f>
      </c>
      <c r="B35451" s="5" t="s">
        <v>35459</v>
      </c>
      <c r="C35451" s="5">
        <v>94.8</v>
      </c>
      <c r="D35451" s="5">
        <v>0.1</v>
      </c>
      <c r="E35451" s="5">
        <v>94.9</v>
      </c>
      <c r="F35451" s="5">
        <v>188.9</v>
      </c>
      <c r="G35451" s="5">
        <v>94.3</v>
      </c>
      <c r="H35451" s="5">
        <v>94.2</v>
      </c>
      <c r="I35451" s="5">
        <v>0</v>
      </c>
      <c r="J35451" s="5">
        <v>0</v>
      </c>
      <c r="K35451" s="5">
        <v>0</v>
      </c>
    </row>
    <row r="35452" spans="1:11" x14ac:dyDescent="0.25">
      <c r="A35452" s="5">
        <f>35445</f>
      </c>
      <c r="B35452" s="5" t="s">
        <v>35460</v>
      </c>
      <c r="C35452" s="5">
        <v>94.8</v>
      </c>
      <c r="D35452" s="5">
        <v>0.1</v>
      </c>
      <c r="E35452" s="5">
        <v>94.9</v>
      </c>
      <c r="F35452" s="5">
        <v>188.9</v>
      </c>
      <c r="G35452" s="5">
        <v>94.3</v>
      </c>
      <c r="H35452" s="5">
        <v>94.2</v>
      </c>
      <c r="I35452" s="5">
        <v>0</v>
      </c>
      <c r="J35452" s="5">
        <v>0</v>
      </c>
      <c r="K35452" s="5">
        <v>0</v>
      </c>
    </row>
    <row r="35453" spans="1:11" x14ac:dyDescent="0.25">
      <c r="A35453" s="5">
        <f>35446</f>
      </c>
      <c r="B35453" s="5" t="s">
        <v>35461</v>
      </c>
      <c r="C35453" s="5">
        <v>96</v>
      </c>
      <c r="D35453" s="5">
        <v>0.1</v>
      </c>
      <c r="E35453" s="5">
        <v>96.2</v>
      </c>
      <c r="F35453" s="5">
        <v>189.9</v>
      </c>
      <c r="G35453" s="5">
        <v>94.7</v>
      </c>
      <c r="H35453" s="5">
        <v>94.6</v>
      </c>
      <c r="I35453" s="5">
        <v>0</v>
      </c>
      <c r="J35453" s="5">
        <v>0</v>
      </c>
      <c r="K35453" s="5">
        <v>0</v>
      </c>
    </row>
    <row r="35454" spans="1:11" x14ac:dyDescent="0.25">
      <c r="A35454" s="5">
        <f>35447</f>
      </c>
      <c r="B35454" s="5" t="s">
        <v>35462</v>
      </c>
      <c r="C35454" s="5">
        <v>96</v>
      </c>
      <c r="D35454" s="5">
        <v>0.1</v>
      </c>
      <c r="E35454" s="5">
        <v>96.2</v>
      </c>
      <c r="F35454" s="5">
        <v>189.9</v>
      </c>
      <c r="G35454" s="5">
        <v>94.7</v>
      </c>
      <c r="H35454" s="5">
        <v>94.6</v>
      </c>
      <c r="I35454" s="5">
        <v>0</v>
      </c>
      <c r="J35454" s="5">
        <v>0</v>
      </c>
      <c r="K35454" s="5">
        <v>0</v>
      </c>
    </row>
    <row r="35455" spans="1:11" x14ac:dyDescent="0.25">
      <c r="A35455" s="5">
        <f>35448</f>
      </c>
      <c r="B35455" s="5" t="s">
        <v>35463</v>
      </c>
      <c r="C35455" s="5">
        <v>96.2</v>
      </c>
      <c r="D35455" s="5">
        <v>0.1</v>
      </c>
      <c r="E35455" s="5">
        <v>96.3</v>
      </c>
      <c r="F35455" s="5">
        <v>191</v>
      </c>
      <c r="G35455" s="5">
        <v>95.2</v>
      </c>
      <c r="H35455" s="5">
        <v>95</v>
      </c>
      <c r="I35455" s="5">
        <v>0</v>
      </c>
      <c r="J35455" s="5">
        <v>0</v>
      </c>
      <c r="K35455" s="5">
        <v>0</v>
      </c>
    </row>
    <row r="35456" spans="1:11" x14ac:dyDescent="0.25">
      <c r="A35456" s="5">
        <f>35449</f>
      </c>
      <c r="B35456" s="5" t="s">
        <v>35464</v>
      </c>
      <c r="C35456" s="5">
        <v>96.2</v>
      </c>
      <c r="D35456" s="5">
        <v>0.1</v>
      </c>
      <c r="E35456" s="5">
        <v>96.3</v>
      </c>
      <c r="F35456" s="5">
        <v>191</v>
      </c>
      <c r="G35456" s="5">
        <v>95.2</v>
      </c>
      <c r="H35456" s="5">
        <v>95</v>
      </c>
      <c r="I35456" s="5">
        <v>0</v>
      </c>
      <c r="J35456" s="5">
        <v>0</v>
      </c>
      <c r="K35456" s="5">
        <v>0</v>
      </c>
    </row>
    <row r="35457" spans="1:11" x14ac:dyDescent="0.25">
      <c r="A35457" s="5">
        <f>35450</f>
      </c>
      <c r="B35457" s="5" t="s">
        <v>35465</v>
      </c>
      <c r="C35457" s="5">
        <v>95.7</v>
      </c>
      <c r="D35457" s="5">
        <v>0.1</v>
      </c>
      <c r="E35457" s="5">
        <v>95.8</v>
      </c>
      <c r="F35457" s="5">
        <v>192.2</v>
      </c>
      <c r="G35457" s="5">
        <v>95.9</v>
      </c>
      <c r="H35457" s="5">
        <v>95.6</v>
      </c>
      <c r="I35457" s="5">
        <v>0</v>
      </c>
      <c r="J35457" s="5">
        <v>0</v>
      </c>
      <c r="K35457" s="5">
        <v>0</v>
      </c>
    </row>
    <row r="35458" spans="1:11" x14ac:dyDescent="0.25">
      <c r="A35458" s="5">
        <f>35451</f>
      </c>
      <c r="B35458" s="5" t="s">
        <v>35466</v>
      </c>
      <c r="C35458" s="5">
        <v>95.7</v>
      </c>
      <c r="D35458" s="5">
        <v>0.1</v>
      </c>
      <c r="E35458" s="5">
        <v>95.8</v>
      </c>
      <c r="F35458" s="5">
        <v>192.2</v>
      </c>
      <c r="G35458" s="5">
        <v>95.9</v>
      </c>
      <c r="H35458" s="5">
        <v>95.6</v>
      </c>
      <c r="I35458" s="5">
        <v>0</v>
      </c>
      <c r="J35458" s="5">
        <v>0</v>
      </c>
      <c r="K35458" s="5">
        <v>0</v>
      </c>
    </row>
    <row r="35459" spans="1:11" x14ac:dyDescent="0.25">
      <c r="A35459" s="5">
        <f>35452</f>
      </c>
      <c r="B35459" s="5" t="s">
        <v>35467</v>
      </c>
      <c r="C35459" s="5">
        <v>95.7</v>
      </c>
      <c r="D35459" s="5">
        <v>0.1</v>
      </c>
      <c r="E35459" s="5">
        <v>95.8</v>
      </c>
      <c r="F35459" s="5">
        <v>192.2</v>
      </c>
      <c r="G35459" s="5">
        <v>95.9</v>
      </c>
      <c r="H35459" s="5">
        <v>95.6</v>
      </c>
      <c r="I35459" s="5">
        <v>0</v>
      </c>
      <c r="J35459" s="5">
        <v>0</v>
      </c>
      <c r="K35459" s="5">
        <v>0</v>
      </c>
    </row>
    <row r="35460" spans="1:11" x14ac:dyDescent="0.25">
      <c r="A35460" s="5">
        <f>35453</f>
      </c>
      <c r="B35460" s="5" t="s">
        <v>35468</v>
      </c>
      <c r="C35460" s="5">
        <v>95.7</v>
      </c>
      <c r="D35460" s="5">
        <v>0.1</v>
      </c>
      <c r="E35460" s="5">
        <v>95.8</v>
      </c>
      <c r="F35460" s="5">
        <v>192.2</v>
      </c>
      <c r="G35460" s="5">
        <v>95.9</v>
      </c>
      <c r="H35460" s="5">
        <v>95.6</v>
      </c>
      <c r="I35460" s="5">
        <v>0</v>
      </c>
      <c r="J35460" s="5">
        <v>0</v>
      </c>
      <c r="K35460" s="5">
        <v>0</v>
      </c>
    </row>
    <row r="35461" spans="1:11" x14ac:dyDescent="0.25">
      <c r="A35461" s="5">
        <f>35454</f>
      </c>
      <c r="B35461" s="5" t="s">
        <v>35469</v>
      </c>
      <c r="C35461" s="5">
        <v>97.5</v>
      </c>
      <c r="D35461" s="5">
        <v>0.1</v>
      </c>
      <c r="E35461" s="5">
        <v>97.6</v>
      </c>
      <c r="F35461" s="5">
        <v>194.1</v>
      </c>
      <c r="G35461" s="5">
        <v>96.9</v>
      </c>
      <c r="H35461" s="5">
        <v>96.8</v>
      </c>
      <c r="I35461" s="5">
        <v>0</v>
      </c>
      <c r="J35461" s="5">
        <v>0</v>
      </c>
      <c r="K35461" s="5">
        <v>0</v>
      </c>
    </row>
    <row r="35462" spans="1:11" x14ac:dyDescent="0.25">
      <c r="A35462" s="5">
        <f>35455</f>
      </c>
      <c r="B35462" s="5" t="s">
        <v>35470</v>
      </c>
      <c r="C35462" s="5">
        <v>97.5</v>
      </c>
      <c r="D35462" s="5">
        <v>0.1</v>
      </c>
      <c r="E35462" s="5">
        <v>97.6</v>
      </c>
      <c r="F35462" s="5">
        <v>194.1</v>
      </c>
      <c r="G35462" s="5">
        <v>96.9</v>
      </c>
      <c r="H35462" s="5">
        <v>96.8</v>
      </c>
      <c r="I35462" s="5">
        <v>0</v>
      </c>
      <c r="J35462" s="5">
        <v>0</v>
      </c>
      <c r="K35462" s="5">
        <v>0</v>
      </c>
    </row>
    <row r="35463" spans="1:11" x14ac:dyDescent="0.25">
      <c r="A35463" s="5">
        <f>35456</f>
      </c>
      <c r="B35463" s="5" t="s">
        <v>35471</v>
      </c>
      <c r="C35463" s="5">
        <v>102.4</v>
      </c>
      <c r="D35463" s="5">
        <v>0.1</v>
      </c>
      <c r="E35463" s="5">
        <v>102.6</v>
      </c>
      <c r="F35463" s="5">
        <v>204.7</v>
      </c>
      <c r="G35463" s="5">
        <v>102.1</v>
      </c>
      <c r="H35463" s="5">
        <v>102</v>
      </c>
      <c r="I35463" s="5">
        <v>0</v>
      </c>
      <c r="J35463" s="5">
        <v>0</v>
      </c>
      <c r="K35463" s="5">
        <v>0</v>
      </c>
    </row>
    <row r="35464" spans="1:11" x14ac:dyDescent="0.25">
      <c r="A35464" s="5">
        <f>35457</f>
      </c>
      <c r="B35464" s="5" t="s">
        <v>35472</v>
      </c>
      <c r="C35464" s="5">
        <v>102.4</v>
      </c>
      <c r="D35464" s="5">
        <v>0.1</v>
      </c>
      <c r="E35464" s="5">
        <v>102.6</v>
      </c>
      <c r="F35464" s="5">
        <v>204.7</v>
      </c>
      <c r="G35464" s="5">
        <v>102.1</v>
      </c>
      <c r="H35464" s="5">
        <v>102</v>
      </c>
      <c r="I35464" s="5">
        <v>0</v>
      </c>
      <c r="J35464" s="5">
        <v>0</v>
      </c>
      <c r="K35464" s="5">
        <v>0</v>
      </c>
    </row>
    <row r="35465" spans="1:11" x14ac:dyDescent="0.25">
      <c r="A35465" s="5">
        <f>35458</f>
      </c>
      <c r="B35465" s="5" t="s">
        <v>35473</v>
      </c>
      <c r="C35465" s="5">
        <v>0</v>
      </c>
      <c r="D35465" s="5">
        <v>0</v>
      </c>
      <c r="E35465" s="5">
        <v>0</v>
      </c>
      <c r="F35465" s="5">
        <v>0</v>
      </c>
      <c r="G35465" s="5">
        <v>0</v>
      </c>
      <c r="H35465" s="5">
        <v>0</v>
      </c>
      <c r="I35465" s="5">
        <v>0</v>
      </c>
      <c r="J35465" s="5">
        <v>0</v>
      </c>
      <c r="K35465" s="5">
        <v>0</v>
      </c>
    </row>
    <row r="35466" spans="1:11" x14ac:dyDescent="0.25">
      <c r="A35466" s="5">
        <f>35459</f>
      </c>
      <c r="B35466" s="5" t="s">
        <v>35474</v>
      </c>
      <c r="C35466" s="5">
        <v>102.4</v>
      </c>
      <c r="D35466" s="5">
        <v>0.1</v>
      </c>
      <c r="E35466" s="5">
        <v>102.5</v>
      </c>
      <c r="F35466" s="5">
        <v>204.1</v>
      </c>
      <c r="G35466" s="5">
        <v>101.9</v>
      </c>
      <c r="H35466" s="5">
        <v>102</v>
      </c>
      <c r="I35466" s="5">
        <v>0</v>
      </c>
      <c r="J35466" s="5">
        <v>0</v>
      </c>
      <c r="K35466" s="5">
        <v>0</v>
      </c>
    </row>
    <row r="35467" spans="1:11" x14ac:dyDescent="0.25">
      <c r="A35467" s="5">
        <f>35460</f>
      </c>
      <c r="B35467" s="5" t="s">
        <v>35475</v>
      </c>
      <c r="C35467" s="5">
        <v>102.4</v>
      </c>
      <c r="D35467" s="5">
        <v>0.1</v>
      </c>
      <c r="E35467" s="5">
        <v>102.5</v>
      </c>
      <c r="F35467" s="5">
        <v>204.1</v>
      </c>
      <c r="G35467" s="5">
        <v>101.9</v>
      </c>
      <c r="H35467" s="5">
        <v>102</v>
      </c>
      <c r="I35467" s="5">
        <v>0</v>
      </c>
      <c r="J35467" s="5">
        <v>0</v>
      </c>
      <c r="K35467" s="5">
        <v>0</v>
      </c>
    </row>
    <row r="35468" spans="1:11" x14ac:dyDescent="0.25">
      <c r="A35468" s="5">
        <f>35461</f>
      </c>
      <c r="B35468" s="5" t="s">
        <v>35476</v>
      </c>
      <c r="C35468" s="5">
        <v>102.4</v>
      </c>
      <c r="D35468" s="5">
        <v>0.1</v>
      </c>
      <c r="E35468" s="5">
        <v>102.5</v>
      </c>
      <c r="F35468" s="5">
        <v>204.1</v>
      </c>
      <c r="G35468" s="5">
        <v>101.9</v>
      </c>
      <c r="H35468" s="5">
        <v>102</v>
      </c>
      <c r="I35468" s="5">
        <v>0</v>
      </c>
      <c r="J35468" s="5">
        <v>0</v>
      </c>
      <c r="K35468" s="5">
        <v>0</v>
      </c>
    </row>
    <row r="35469" spans="1:11" x14ac:dyDescent="0.25">
      <c r="A35469" s="5">
        <f>35462</f>
      </c>
      <c r="B35469" s="5" t="s">
        <v>35477</v>
      </c>
      <c r="C35469" s="5">
        <v>102.2</v>
      </c>
      <c r="D35469" s="5">
        <v>0.1</v>
      </c>
      <c r="E35469" s="5">
        <v>102.4</v>
      </c>
      <c r="F35469" s="5">
        <v>204.7</v>
      </c>
      <c r="G35469" s="5">
        <v>102.1</v>
      </c>
      <c r="H35469" s="5">
        <v>102</v>
      </c>
      <c r="I35469" s="5">
        <v>0</v>
      </c>
      <c r="J35469" s="5">
        <v>0</v>
      </c>
      <c r="K35469" s="5">
        <v>0</v>
      </c>
    </row>
    <row r="35470" spans="1:11" x14ac:dyDescent="0.25">
      <c r="A35470" s="5">
        <f>35463</f>
      </c>
      <c r="B35470" s="5" t="s">
        <v>35478</v>
      </c>
      <c r="C35470" s="5">
        <v>102.2</v>
      </c>
      <c r="D35470" s="5">
        <v>0.1</v>
      </c>
      <c r="E35470" s="5">
        <v>102.4</v>
      </c>
      <c r="F35470" s="5">
        <v>204.7</v>
      </c>
      <c r="G35470" s="5">
        <v>102.1</v>
      </c>
      <c r="H35470" s="5">
        <v>102</v>
      </c>
      <c r="I35470" s="5">
        <v>0</v>
      </c>
      <c r="J35470" s="5">
        <v>0</v>
      </c>
      <c r="K35470" s="5">
        <v>0</v>
      </c>
    </row>
    <row r="35471" spans="1:11" x14ac:dyDescent="0.25">
      <c r="A35471" s="5">
        <f>35464</f>
      </c>
      <c r="B35471" s="5" t="s">
        <v>35479</v>
      </c>
      <c r="C35471" s="5">
        <v>104.6</v>
      </c>
      <c r="D35471" s="5">
        <v>0.1</v>
      </c>
      <c r="E35471" s="5">
        <v>104.7</v>
      </c>
      <c r="F35471" s="5">
        <v>208.5</v>
      </c>
      <c r="G35471" s="5">
        <v>104</v>
      </c>
      <c r="H35471" s="5">
        <v>103.9</v>
      </c>
      <c r="I35471" s="5">
        <v>0</v>
      </c>
      <c r="J35471" s="5">
        <v>0</v>
      </c>
      <c r="K35471" s="5">
        <v>0</v>
      </c>
    </row>
    <row r="35472" spans="1:11" x14ac:dyDescent="0.25">
      <c r="A35472" s="5">
        <f>35465</f>
      </c>
      <c r="B35472" s="5" t="s">
        <v>35480</v>
      </c>
      <c r="C35472" s="5">
        <v>104.6</v>
      </c>
      <c r="D35472" s="5">
        <v>0.1</v>
      </c>
      <c r="E35472" s="5">
        <v>104.7</v>
      </c>
      <c r="F35472" s="5">
        <v>208.5</v>
      </c>
      <c r="G35472" s="5">
        <v>104</v>
      </c>
      <c r="H35472" s="5">
        <v>103.9</v>
      </c>
      <c r="I35472" s="5">
        <v>0</v>
      </c>
      <c r="J35472" s="5">
        <v>0</v>
      </c>
      <c r="K35472" s="5">
        <v>0</v>
      </c>
    </row>
    <row r="35473" spans="1:11" x14ac:dyDescent="0.25">
      <c r="A35473" s="5">
        <f>35466</f>
      </c>
      <c r="B35473" s="5" t="s">
        <v>35481</v>
      </c>
      <c r="C35473" s="5">
        <v>104.3</v>
      </c>
      <c r="D35473" s="5">
        <v>0.1</v>
      </c>
      <c r="E35473" s="5">
        <v>104.5</v>
      </c>
      <c r="F35473" s="5">
        <v>209.3</v>
      </c>
      <c r="G35473" s="5">
        <v>104.4</v>
      </c>
      <c r="H35473" s="5">
        <v>104.3</v>
      </c>
      <c r="I35473" s="5">
        <v>0</v>
      </c>
      <c r="J35473" s="5">
        <v>0</v>
      </c>
      <c r="K35473" s="5">
        <v>0</v>
      </c>
    </row>
    <row r="35474" spans="1:11" x14ac:dyDescent="0.25">
      <c r="A35474" s="5">
        <f>35467</f>
      </c>
      <c r="B35474" s="5" t="s">
        <v>35482</v>
      </c>
      <c r="C35474" s="5">
        <v>104.3</v>
      </c>
      <c r="D35474" s="5">
        <v>0.1</v>
      </c>
      <c r="E35474" s="5">
        <v>104.5</v>
      </c>
      <c r="F35474" s="5">
        <v>209.3</v>
      </c>
      <c r="G35474" s="5">
        <v>104.4</v>
      </c>
      <c r="H35474" s="5">
        <v>104.3</v>
      </c>
      <c r="I35474" s="5">
        <v>0</v>
      </c>
      <c r="J35474" s="5">
        <v>0</v>
      </c>
      <c r="K35474" s="5">
        <v>0</v>
      </c>
    </row>
    <row r="35475" spans="1:11" x14ac:dyDescent="0.25">
      <c r="A35475" s="5">
        <f>35468</f>
      </c>
      <c r="B35475" s="5" t="s">
        <v>35483</v>
      </c>
      <c r="C35475" s="5">
        <v>104.3</v>
      </c>
      <c r="D35475" s="5">
        <v>0.1</v>
      </c>
      <c r="E35475" s="5">
        <v>98.2</v>
      </c>
      <c r="F35475" s="5">
        <v>200.9</v>
      </c>
      <c r="G35475" s="5">
        <v>100.7</v>
      </c>
      <c r="H35475" s="5">
        <v>100.9</v>
      </c>
      <c r="I35475" s="5">
        <v>0</v>
      </c>
      <c r="J35475" s="5">
        <v>0</v>
      </c>
      <c r="K35475" s="5">
        <v>0</v>
      </c>
    </row>
    <row r="35476" spans="1:11" x14ac:dyDescent="0.25">
      <c r="A35476" s="5">
        <f>35469</f>
      </c>
      <c r="B35476" s="5" t="s">
        <v>35484</v>
      </c>
      <c r="C35476" s="5">
        <v>98</v>
      </c>
      <c r="D35476" s="5">
        <v>0.1</v>
      </c>
      <c r="E35476" s="5">
        <v>98.2</v>
      </c>
      <c r="F35476" s="5">
        <v>200.9</v>
      </c>
      <c r="G35476" s="5">
        <v>100.7</v>
      </c>
      <c r="H35476" s="5">
        <v>100.9</v>
      </c>
      <c r="I35476" s="5">
        <v>0</v>
      </c>
      <c r="J35476" s="5">
        <v>0</v>
      </c>
      <c r="K35476" s="5">
        <v>0</v>
      </c>
    </row>
    <row r="35477" spans="1:11" x14ac:dyDescent="0.25">
      <c r="A35477" s="5">
        <f>35470</f>
      </c>
      <c r="B35477" s="5" t="s">
        <v>35485</v>
      </c>
      <c r="C35477" s="5">
        <v>98</v>
      </c>
      <c r="D35477" s="5">
        <v>0.1</v>
      </c>
      <c r="E35477" s="5">
        <v>98.2</v>
      </c>
      <c r="F35477" s="5">
        <v>200.9</v>
      </c>
      <c r="G35477" s="5">
        <v>100.7</v>
      </c>
      <c r="H35477" s="5">
        <v>100.9</v>
      </c>
      <c r="I35477" s="5">
        <v>0</v>
      </c>
      <c r="J35477" s="5">
        <v>0</v>
      </c>
      <c r="K35477" s="5">
        <v>0</v>
      </c>
    </row>
    <row r="35478" spans="1:11" x14ac:dyDescent="0.25">
      <c r="A35478" s="5">
        <f>35471</f>
      </c>
      <c r="B35478" s="5" t="s">
        <v>35486</v>
      </c>
      <c r="C35478" s="5">
        <v>98</v>
      </c>
      <c r="D35478" s="5">
        <v>0.1</v>
      </c>
      <c r="E35478" s="5">
        <v>98.2</v>
      </c>
      <c r="F35478" s="5">
        <v>200.9</v>
      </c>
      <c r="G35478" s="5">
        <v>100.7</v>
      </c>
      <c r="H35478" s="5">
        <v>100.9</v>
      </c>
      <c r="I35478" s="5">
        <v>0</v>
      </c>
      <c r="J35478" s="5">
        <v>0</v>
      </c>
      <c r="K35478" s="5">
        <v>0</v>
      </c>
    </row>
    <row r="35479" spans="1:11" x14ac:dyDescent="0.25">
      <c r="A35479" s="5">
        <f>35472</f>
      </c>
      <c r="B35479" s="5" t="s">
        <v>35487</v>
      </c>
      <c r="C35479" s="5">
        <v>97.6</v>
      </c>
      <c r="D35479" s="5">
        <v>0.1</v>
      </c>
      <c r="E35479" s="5">
        <v>97.8</v>
      </c>
      <c r="F35479" s="5">
        <v>194.8</v>
      </c>
      <c r="G35479" s="5">
        <v>97.1</v>
      </c>
      <c r="H35479" s="5">
        <v>96.9</v>
      </c>
      <c r="I35479" s="5">
        <v>0</v>
      </c>
      <c r="J35479" s="5">
        <v>0</v>
      </c>
      <c r="K35479" s="5">
        <v>0</v>
      </c>
    </row>
    <row r="35480" spans="1:11" x14ac:dyDescent="0.25">
      <c r="A35480" s="5">
        <f>35473</f>
      </c>
      <c r="B35480" s="5" t="s">
        <v>35488</v>
      </c>
      <c r="C35480" s="5">
        <v>97.6</v>
      </c>
      <c r="D35480" s="5">
        <v>0.1</v>
      </c>
      <c r="E35480" s="5">
        <v>97.8</v>
      </c>
      <c r="F35480" s="5">
        <v>194.8</v>
      </c>
      <c r="G35480" s="5">
        <v>97.1</v>
      </c>
      <c r="H35480" s="5">
        <v>96.9</v>
      </c>
      <c r="I35480" s="5">
        <v>0</v>
      </c>
      <c r="J35480" s="5">
        <v>0</v>
      </c>
      <c r="K35480" s="5">
        <v>0</v>
      </c>
    </row>
    <row r="35481" spans="1:11" x14ac:dyDescent="0.25">
      <c r="A35481" s="5">
        <f>35474</f>
      </c>
      <c r="B35481" s="5" t="s">
        <v>35489</v>
      </c>
      <c r="C35481" s="5">
        <v>96.2</v>
      </c>
      <c r="D35481" s="5">
        <v>0.1</v>
      </c>
      <c r="E35481" s="5">
        <v>96.3</v>
      </c>
      <c r="F35481" s="5">
        <v>189.7</v>
      </c>
      <c r="G35481" s="5">
        <v>94.6</v>
      </c>
      <c r="H35481" s="5">
        <v>94.4</v>
      </c>
      <c r="I35481" s="5">
        <v>0</v>
      </c>
      <c r="J35481" s="5">
        <v>0</v>
      </c>
      <c r="K35481" s="5">
        <v>0</v>
      </c>
    </row>
    <row r="35482" spans="1:11" x14ac:dyDescent="0.25">
      <c r="A35482" s="5">
        <f>35475</f>
      </c>
      <c r="B35482" s="5" t="s">
        <v>35490</v>
      </c>
      <c r="C35482" s="5">
        <v>96.2</v>
      </c>
      <c r="D35482" s="5">
        <v>0.1</v>
      </c>
      <c r="E35482" s="5">
        <v>96.3</v>
      </c>
      <c r="F35482" s="5">
        <v>189.7</v>
      </c>
      <c r="G35482" s="5">
        <v>94.6</v>
      </c>
      <c r="H35482" s="5">
        <v>94.4</v>
      </c>
      <c r="I35482" s="5">
        <v>0</v>
      </c>
      <c r="J35482" s="5">
        <v>0</v>
      </c>
      <c r="K35482" s="5">
        <v>0</v>
      </c>
    </row>
    <row r="35483" spans="1:11" x14ac:dyDescent="0.25">
      <c r="A35483" s="5">
        <f>35476</f>
      </c>
      <c r="B35483" s="5" t="s">
        <v>35491</v>
      </c>
      <c r="C35483" s="5">
        <v>96.4</v>
      </c>
      <c r="D35483" s="5">
        <v>0.1</v>
      </c>
      <c r="E35483" s="5">
        <v>96.5</v>
      </c>
      <c r="F35483" s="5">
        <v>200</v>
      </c>
      <c r="G35483" s="5">
        <v>99.8</v>
      </c>
      <c r="H35483" s="5">
        <v>101.6</v>
      </c>
      <c r="I35483" s="5">
        <v>0</v>
      </c>
      <c r="J35483" s="5">
        <v>0</v>
      </c>
      <c r="K35483" s="5">
        <v>0</v>
      </c>
    </row>
    <row r="35484" spans="1:11" x14ac:dyDescent="0.25">
      <c r="A35484" s="5">
        <f>35477</f>
      </c>
      <c r="B35484" s="5" t="s">
        <v>35492</v>
      </c>
      <c r="C35484" s="5">
        <v>96.4</v>
      </c>
      <c r="D35484" s="5">
        <v>0.1</v>
      </c>
      <c r="E35484" s="5">
        <v>96.5</v>
      </c>
      <c r="F35484" s="5">
        <v>200</v>
      </c>
      <c r="G35484" s="5">
        <v>99.8</v>
      </c>
      <c r="H35484" s="5">
        <v>101.6</v>
      </c>
      <c r="I35484" s="5">
        <v>0</v>
      </c>
      <c r="J35484" s="5">
        <v>0</v>
      </c>
      <c r="K35484" s="5">
        <v>0</v>
      </c>
    </row>
    <row r="35485" spans="1:11" x14ac:dyDescent="0.25">
      <c r="A35485" s="5">
        <f>35478</f>
      </c>
      <c r="B35485" s="5" t="s">
        <v>35493</v>
      </c>
      <c r="C35485" s="5">
        <v>104.4</v>
      </c>
      <c r="D35485" s="5">
        <v>0.1</v>
      </c>
      <c r="E35485" s="5">
        <v>104.6</v>
      </c>
      <c r="F35485" s="5">
        <v>207.8</v>
      </c>
      <c r="G35485" s="5">
        <v>103.7</v>
      </c>
      <c r="H35485" s="5">
        <v>103.6</v>
      </c>
      <c r="I35485" s="5">
        <v>0</v>
      </c>
      <c r="J35485" s="5">
        <v>0</v>
      </c>
      <c r="K35485" s="5">
        <v>0</v>
      </c>
    </row>
    <row r="35486" spans="1:11" x14ac:dyDescent="0.25">
      <c r="A35486" s="5">
        <f>35479</f>
      </c>
      <c r="B35486" s="5" t="s">
        <v>35494</v>
      </c>
      <c r="C35486" s="5">
        <v>104.4</v>
      </c>
      <c r="D35486" s="5">
        <v>0.1</v>
      </c>
      <c r="E35486" s="5">
        <v>104.6</v>
      </c>
      <c r="F35486" s="5">
        <v>207.8</v>
      </c>
      <c r="G35486" s="5">
        <v>103.7</v>
      </c>
      <c r="H35486" s="5">
        <v>103.6</v>
      </c>
      <c r="I35486" s="5">
        <v>0</v>
      </c>
      <c r="J35486" s="5">
        <v>0</v>
      </c>
      <c r="K35486" s="5">
        <v>0</v>
      </c>
    </row>
    <row r="35487" spans="1:11" x14ac:dyDescent="0.25">
      <c r="A35487" s="5">
        <f>35480</f>
      </c>
      <c r="B35487" s="5" t="s">
        <v>35495</v>
      </c>
      <c r="C35487" s="5">
        <v>104.4</v>
      </c>
      <c r="D35487" s="5">
        <v>0.1</v>
      </c>
      <c r="E35487" s="5">
        <v>104.6</v>
      </c>
      <c r="F35487" s="5">
        <v>207.8</v>
      </c>
      <c r="G35487" s="5">
        <v>103.7</v>
      </c>
      <c r="H35487" s="5">
        <v>103.6</v>
      </c>
      <c r="I35487" s="5">
        <v>0</v>
      </c>
      <c r="J35487" s="5">
        <v>0</v>
      </c>
      <c r="K35487" s="5">
        <v>0</v>
      </c>
    </row>
    <row r="35488" spans="1:11" x14ac:dyDescent="0.25">
      <c r="A35488" s="5">
        <f>35481</f>
      </c>
      <c r="B35488" s="5" t="s">
        <v>35496</v>
      </c>
      <c r="C35488" s="5">
        <v>104.4</v>
      </c>
      <c r="D35488" s="5">
        <v>0.1</v>
      </c>
      <c r="E35488" s="5">
        <v>104.6</v>
      </c>
      <c r="F35488" s="5">
        <v>207.8</v>
      </c>
      <c r="G35488" s="5">
        <v>103.7</v>
      </c>
      <c r="H35488" s="5">
        <v>103.6</v>
      </c>
      <c r="I35488" s="5">
        <v>0</v>
      </c>
      <c r="J35488" s="5">
        <v>0</v>
      </c>
      <c r="K35488" s="5">
        <v>0</v>
      </c>
    </row>
    <row r="35489" spans="1:11" x14ac:dyDescent="0.25">
      <c r="A35489" s="5">
        <f>35482</f>
      </c>
      <c r="B35489" s="5" t="s">
        <v>35497</v>
      </c>
      <c r="C35489" s="5">
        <v>95.4</v>
      </c>
      <c r="D35489" s="5">
        <v>0.1</v>
      </c>
      <c r="E35489" s="5">
        <v>95.5</v>
      </c>
      <c r="F35489" s="5">
        <v>191.8</v>
      </c>
      <c r="G35489" s="5">
        <v>95.7</v>
      </c>
      <c r="H35489" s="5">
        <v>95.5</v>
      </c>
      <c r="I35489" s="5">
        <v>0</v>
      </c>
      <c r="J35489" s="5">
        <v>0</v>
      </c>
      <c r="K35489" s="5">
        <v>0</v>
      </c>
    </row>
    <row r="35490" spans="1:11" x14ac:dyDescent="0.25">
      <c r="A35490" s="5">
        <f>35483</f>
      </c>
      <c r="B35490" s="5" t="s">
        <v>35498</v>
      </c>
      <c r="C35490" s="5">
        <v>95.4</v>
      </c>
      <c r="D35490" s="5">
        <v>0.1</v>
      </c>
      <c r="E35490" s="5">
        <v>95.5</v>
      </c>
      <c r="F35490" s="5">
        <v>191.8</v>
      </c>
      <c r="G35490" s="5">
        <v>95.7</v>
      </c>
      <c r="H35490" s="5">
        <v>95.5</v>
      </c>
      <c r="I35490" s="5">
        <v>0</v>
      </c>
      <c r="J35490" s="5">
        <v>0</v>
      </c>
      <c r="K35490" s="5">
        <v>0</v>
      </c>
    </row>
    <row r="35491" spans="1:11" x14ac:dyDescent="0.25">
      <c r="A35491" s="5">
        <f>35484</f>
      </c>
      <c r="B35491" s="5" t="s">
        <v>35499</v>
      </c>
      <c r="C35491" s="5">
        <v>96.8</v>
      </c>
      <c r="D35491" s="5">
        <v>0.1</v>
      </c>
      <c r="E35491" s="5">
        <v>97</v>
      </c>
      <c r="F35491" s="5">
        <v>192.6</v>
      </c>
      <c r="G35491" s="5">
        <v>96.1</v>
      </c>
      <c r="H35491" s="5">
        <v>96</v>
      </c>
      <c r="I35491" s="5">
        <v>0</v>
      </c>
      <c r="J35491" s="5">
        <v>0</v>
      </c>
      <c r="K35491" s="5">
        <v>0</v>
      </c>
    </row>
    <row r="35492" spans="1:11" x14ac:dyDescent="0.25">
      <c r="A35492" s="5">
        <f>35485</f>
      </c>
      <c r="B35492" s="5" t="s">
        <v>35500</v>
      </c>
      <c r="C35492" s="5">
        <v>96.8</v>
      </c>
      <c r="D35492" s="5">
        <v>0.1</v>
      </c>
      <c r="E35492" s="5">
        <v>97</v>
      </c>
      <c r="F35492" s="5">
        <v>192.6</v>
      </c>
      <c r="G35492" s="5">
        <v>96.1</v>
      </c>
      <c r="H35492" s="5">
        <v>96</v>
      </c>
      <c r="I35492" s="5">
        <v>0</v>
      </c>
      <c r="J35492" s="5">
        <v>0</v>
      </c>
      <c r="K35492" s="5">
        <v>0</v>
      </c>
    </row>
    <row r="35493" spans="1:11" x14ac:dyDescent="0.25">
      <c r="A35493" s="5">
        <f>35486</f>
      </c>
      <c r="B35493" s="5" t="s">
        <v>35501</v>
      </c>
      <c r="C35493" s="5">
        <v>97.6</v>
      </c>
      <c r="D35493" s="5">
        <v>0.1</v>
      </c>
      <c r="E35493" s="5">
        <v>97.8</v>
      </c>
      <c r="F35493" s="5">
        <v>199.5</v>
      </c>
      <c r="G35493" s="5">
        <v>99.4</v>
      </c>
      <c r="H35493" s="5">
        <v>99.1</v>
      </c>
      <c r="I35493" s="5">
        <v>0</v>
      </c>
      <c r="J35493" s="5">
        <v>0</v>
      </c>
      <c r="K35493" s="5">
        <v>0</v>
      </c>
    </row>
    <row r="35494" spans="1:11" x14ac:dyDescent="0.25">
      <c r="A35494" s="5">
        <f>35487</f>
      </c>
      <c r="B35494" s="5" t="s">
        <v>35502</v>
      </c>
      <c r="C35494" s="5">
        <v>97.6</v>
      </c>
      <c r="D35494" s="5">
        <v>0.1</v>
      </c>
      <c r="E35494" s="5">
        <v>97.8</v>
      </c>
      <c r="F35494" s="5">
        <v>199.5</v>
      </c>
      <c r="G35494" s="5">
        <v>99.4</v>
      </c>
      <c r="H35494" s="5">
        <v>99.1</v>
      </c>
      <c r="I35494" s="5">
        <v>0</v>
      </c>
      <c r="J35494" s="5">
        <v>0</v>
      </c>
      <c r="K35494" s="5">
        <v>0</v>
      </c>
    </row>
    <row r="35495" spans="1:11" x14ac:dyDescent="0.25">
      <c r="A35495" s="5">
        <f>35488</f>
      </c>
      <c r="B35495" s="5" t="s">
        <v>35503</v>
      </c>
      <c r="C35495" s="5">
        <v>96.3</v>
      </c>
      <c r="D35495" s="5">
        <v>0.1</v>
      </c>
      <c r="E35495" s="5">
        <v>96.4</v>
      </c>
      <c r="F35495" s="5">
        <v>191.8</v>
      </c>
      <c r="G35495" s="5">
        <v>95.7</v>
      </c>
      <c r="H35495" s="5">
        <v>95.6</v>
      </c>
      <c r="I35495" s="5">
        <v>0</v>
      </c>
      <c r="J35495" s="5">
        <v>0</v>
      </c>
      <c r="K35495" s="5">
        <v>0</v>
      </c>
    </row>
    <row r="35496" spans="1:11" x14ac:dyDescent="0.25">
      <c r="A35496" s="5">
        <f>35489</f>
      </c>
      <c r="B35496" s="5" t="s">
        <v>35504</v>
      </c>
      <c r="C35496" s="5">
        <v>96.3</v>
      </c>
      <c r="D35496" s="5">
        <v>0.1</v>
      </c>
      <c r="E35496" s="5">
        <v>96.4</v>
      </c>
      <c r="F35496" s="5">
        <v>191.8</v>
      </c>
      <c r="G35496" s="5">
        <v>95.7</v>
      </c>
      <c r="H35496" s="5">
        <v>95.6</v>
      </c>
      <c r="I35496" s="5">
        <v>0</v>
      </c>
      <c r="J35496" s="5">
        <v>0</v>
      </c>
      <c r="K35496" s="5">
        <v>0</v>
      </c>
    </row>
    <row r="35497" spans="1:11" x14ac:dyDescent="0.25">
      <c r="A35497" s="5">
        <f>35490</f>
      </c>
      <c r="B35497" s="5" t="s">
        <v>35505</v>
      </c>
      <c r="C35497" s="5">
        <v>96.3</v>
      </c>
      <c r="D35497" s="5">
        <v>0.1</v>
      </c>
      <c r="E35497" s="5">
        <v>96.4</v>
      </c>
      <c r="F35497" s="5">
        <v>191.8</v>
      </c>
      <c r="G35497" s="5">
        <v>95.7</v>
      </c>
      <c r="H35497" s="5">
        <v>95.6</v>
      </c>
      <c r="I35497" s="5">
        <v>0</v>
      </c>
      <c r="J35497" s="5">
        <v>0</v>
      </c>
      <c r="K35497" s="5">
        <v>0</v>
      </c>
    </row>
    <row r="35498" spans="1:11" x14ac:dyDescent="0.25">
      <c r="A35498" s="5">
        <f>35491</f>
      </c>
      <c r="B35498" s="5" t="s">
        <v>35506</v>
      </c>
      <c r="C35498" s="5">
        <v>96.3</v>
      </c>
      <c r="D35498" s="5">
        <v>0.1</v>
      </c>
      <c r="E35498" s="5">
        <v>96.4</v>
      </c>
      <c r="F35498" s="5">
        <v>191.8</v>
      </c>
      <c r="G35498" s="5">
        <v>95.7</v>
      </c>
      <c r="H35498" s="5">
        <v>95.6</v>
      </c>
      <c r="I35498" s="5">
        <v>0</v>
      </c>
      <c r="J35498" s="5">
        <v>0</v>
      </c>
      <c r="K35498" s="5">
        <v>0</v>
      </c>
    </row>
    <row r="35499" spans="1:11" x14ac:dyDescent="0.25">
      <c r="A35499" s="5">
        <f>35492</f>
      </c>
      <c r="B35499" s="5" t="s">
        <v>35507</v>
      </c>
      <c r="C35499" s="5">
        <v>96.6</v>
      </c>
      <c r="D35499" s="5">
        <v>0.1</v>
      </c>
      <c r="E35499" s="5">
        <v>96.7</v>
      </c>
      <c r="F35499" s="5">
        <v>204.3</v>
      </c>
      <c r="G35499" s="5">
        <v>101.7</v>
      </c>
      <c r="H35499" s="5">
        <v>101.3</v>
      </c>
      <c r="I35499" s="5">
        <v>0</v>
      </c>
      <c r="J35499" s="5">
        <v>0</v>
      </c>
      <c r="K35499" s="5">
        <v>0</v>
      </c>
    </row>
    <row r="35500" spans="1:11" x14ac:dyDescent="0.25">
      <c r="A35500" s="5">
        <f>35493</f>
      </c>
      <c r="B35500" s="5" t="s">
        <v>35508</v>
      </c>
      <c r="C35500" s="5">
        <v>96.6</v>
      </c>
      <c r="D35500" s="5">
        <v>0.1</v>
      </c>
      <c r="E35500" s="5">
        <v>96.7</v>
      </c>
      <c r="F35500" s="5">
        <v>204.3</v>
      </c>
      <c r="G35500" s="5">
        <v>101.7</v>
      </c>
      <c r="H35500" s="5">
        <v>101.3</v>
      </c>
      <c r="I35500" s="5">
        <v>0</v>
      </c>
      <c r="J35500" s="5">
        <v>0</v>
      </c>
      <c r="K35500" s="5">
        <v>0</v>
      </c>
    </row>
    <row r="35501" spans="1:11" x14ac:dyDescent="0.25">
      <c r="A35501" s="5">
        <f>35494</f>
      </c>
      <c r="B35501" s="5" t="s">
        <v>35509</v>
      </c>
      <c r="C35501" s="5">
        <v>103.1</v>
      </c>
      <c r="D35501" s="5">
        <v>0.1</v>
      </c>
      <c r="E35501" s="5">
        <v>103.2</v>
      </c>
      <c r="F35501" s="5">
        <v>204.9</v>
      </c>
      <c r="G35501" s="5">
        <v>102.3</v>
      </c>
      <c r="H35501" s="5">
        <v>102.2</v>
      </c>
      <c r="I35501" s="5">
        <v>0</v>
      </c>
      <c r="J35501" s="5">
        <v>0</v>
      </c>
      <c r="K35501" s="5">
        <v>0</v>
      </c>
    </row>
    <row r="35502" spans="1:11" x14ac:dyDescent="0.25">
      <c r="A35502" s="5">
        <f>35495</f>
      </c>
      <c r="B35502" s="5" t="s">
        <v>35510</v>
      </c>
      <c r="C35502" s="5">
        <v>103.1</v>
      </c>
      <c r="D35502" s="5">
        <v>0.1</v>
      </c>
      <c r="E35502" s="5">
        <v>103.2</v>
      </c>
      <c r="F35502" s="5">
        <v>204.9</v>
      </c>
      <c r="G35502" s="5">
        <v>102.3</v>
      </c>
      <c r="H35502" s="5">
        <v>102.2</v>
      </c>
      <c r="I35502" s="5">
        <v>0</v>
      </c>
      <c r="J35502" s="5">
        <v>0</v>
      </c>
      <c r="K35502" s="5">
        <v>0</v>
      </c>
    </row>
    <row r="35503" spans="1:11" x14ac:dyDescent="0.25">
      <c r="A35503" s="5">
        <f>35496</f>
      </c>
      <c r="B35503" s="5" t="s">
        <v>35511</v>
      </c>
      <c r="C35503" s="5">
        <v>97.9</v>
      </c>
      <c r="D35503" s="5">
        <v>0.1</v>
      </c>
      <c r="E35503" s="5">
        <v>98</v>
      </c>
      <c r="F35503" s="5">
        <v>196.1</v>
      </c>
      <c r="G35503" s="5">
        <v>96.8</v>
      </c>
      <c r="H35503" s="5">
        <v>95.8</v>
      </c>
      <c r="I35503" s="5">
        <v>0</v>
      </c>
      <c r="J35503" s="5">
        <v>0</v>
      </c>
      <c r="K35503" s="5">
        <v>0</v>
      </c>
    </row>
    <row r="35504" spans="1:11" x14ac:dyDescent="0.25">
      <c r="A35504" s="5">
        <f>35497</f>
      </c>
      <c r="B35504" s="5" t="s">
        <v>35512</v>
      </c>
      <c r="C35504" s="5">
        <v>97.9</v>
      </c>
      <c r="D35504" s="5">
        <v>0.1</v>
      </c>
      <c r="E35504" s="5">
        <v>98</v>
      </c>
      <c r="F35504" s="5">
        <v>196.1</v>
      </c>
      <c r="G35504" s="5">
        <v>96.8</v>
      </c>
      <c r="H35504" s="5">
        <v>95.8</v>
      </c>
      <c r="I35504" s="5">
        <v>0</v>
      </c>
      <c r="J35504" s="5">
        <v>0</v>
      </c>
      <c r="K35504" s="5">
        <v>0</v>
      </c>
    </row>
    <row r="35505" spans="1:11" x14ac:dyDescent="0.25">
      <c r="A35505" s="5">
        <f>35498</f>
      </c>
      <c r="B35505" s="5" t="s">
        <v>35513</v>
      </c>
      <c r="C35505" s="5">
        <v>102.5</v>
      </c>
      <c r="D35505" s="5">
        <v>0.1</v>
      </c>
      <c r="E35505" s="5">
        <v>102.7</v>
      </c>
      <c r="F35505" s="5">
        <v>204.3</v>
      </c>
      <c r="G35505" s="5">
        <v>102</v>
      </c>
      <c r="H35505" s="5">
        <v>101.9</v>
      </c>
      <c r="I35505" s="5">
        <v>0</v>
      </c>
      <c r="J35505" s="5">
        <v>0</v>
      </c>
      <c r="K35505" s="5">
        <v>0</v>
      </c>
    </row>
    <row r="35506" spans="1:11" x14ac:dyDescent="0.25">
      <c r="A35506" s="5">
        <f>35499</f>
      </c>
      <c r="B35506" s="5" t="s">
        <v>35514</v>
      </c>
      <c r="C35506" s="5">
        <v>102.5</v>
      </c>
      <c r="D35506" s="5">
        <v>0.1</v>
      </c>
      <c r="E35506" s="5">
        <v>102.7</v>
      </c>
      <c r="F35506" s="5">
        <v>204.3</v>
      </c>
      <c r="G35506" s="5">
        <v>102</v>
      </c>
      <c r="H35506" s="5">
        <v>101.9</v>
      </c>
      <c r="I35506" s="5">
        <v>0</v>
      </c>
      <c r="J35506" s="5">
        <v>0</v>
      </c>
      <c r="K35506" s="5">
        <v>0</v>
      </c>
    </row>
    <row r="35507" spans="1:11" x14ac:dyDescent="0.25">
      <c r="A35507" s="5">
        <f>35500</f>
      </c>
      <c r="B35507" s="5" t="s">
        <v>35515</v>
      </c>
      <c r="C35507" s="5">
        <v>102.5</v>
      </c>
      <c r="D35507" s="5">
        <v>0.1</v>
      </c>
      <c r="E35507" s="5">
        <v>102.7</v>
      </c>
      <c r="F35507" s="5">
        <v>204.3</v>
      </c>
      <c r="G35507" s="5">
        <v>102</v>
      </c>
      <c r="H35507" s="5">
        <v>101.9</v>
      </c>
      <c r="I35507" s="5">
        <v>0</v>
      </c>
      <c r="J35507" s="5">
        <v>0</v>
      </c>
      <c r="K35507" s="5">
        <v>0</v>
      </c>
    </row>
    <row r="35508" spans="1:11" x14ac:dyDescent="0.25">
      <c r="A35508" s="5">
        <f>35501</f>
      </c>
      <c r="B35508" s="5" t="s">
        <v>35516</v>
      </c>
      <c r="C35508" s="5">
        <v>102.5</v>
      </c>
      <c r="D35508" s="5">
        <v>0.1</v>
      </c>
      <c r="E35508" s="5">
        <v>102.7</v>
      </c>
      <c r="F35508" s="5">
        <v>204.3</v>
      </c>
      <c r="G35508" s="5">
        <v>102</v>
      </c>
      <c r="H35508" s="5">
        <v>101.9</v>
      </c>
      <c r="I35508" s="5">
        <v>0</v>
      </c>
      <c r="J35508" s="5">
        <v>0</v>
      </c>
      <c r="K35508" s="5">
        <v>0</v>
      </c>
    </row>
    <row r="35509" spans="1:11" x14ac:dyDescent="0.25">
      <c r="A35509" s="5">
        <f>35502</f>
      </c>
      <c r="B35509" s="5" t="s">
        <v>35517</v>
      </c>
      <c r="C35509" s="5">
        <v>99</v>
      </c>
      <c r="D35509" s="5">
        <v>0.1</v>
      </c>
      <c r="E35509" s="5">
        <v>99.1</v>
      </c>
      <c r="F35509" s="5">
        <v>196.3</v>
      </c>
      <c r="G35509" s="5">
        <v>98</v>
      </c>
      <c r="H35509" s="5">
        <v>97.9</v>
      </c>
      <c r="I35509" s="5">
        <v>0</v>
      </c>
      <c r="J35509" s="5">
        <v>0</v>
      </c>
      <c r="K35509" s="5">
        <v>0</v>
      </c>
    </row>
    <row r="35510" spans="1:11" x14ac:dyDescent="0.25">
      <c r="A35510" s="5">
        <f>35503</f>
      </c>
      <c r="B35510" s="5" t="s">
        <v>35518</v>
      </c>
      <c r="C35510" s="5">
        <v>99</v>
      </c>
      <c r="D35510" s="5">
        <v>0.1</v>
      </c>
      <c r="E35510" s="5">
        <v>99.1</v>
      </c>
      <c r="F35510" s="5">
        <v>196.3</v>
      </c>
      <c r="G35510" s="5">
        <v>98</v>
      </c>
      <c r="H35510" s="5">
        <v>97.9</v>
      </c>
      <c r="I35510" s="5">
        <v>0</v>
      </c>
      <c r="J35510" s="5">
        <v>0</v>
      </c>
      <c r="K35510" s="5">
        <v>0</v>
      </c>
    </row>
    <row r="35511" spans="1:11" x14ac:dyDescent="0.25">
      <c r="A35511" s="5">
        <f>35504</f>
      </c>
      <c r="B35511" s="5" t="s">
        <v>35519</v>
      </c>
      <c r="C35511" s="5">
        <v>97.7</v>
      </c>
      <c r="D35511" s="5">
        <v>0.1</v>
      </c>
      <c r="E35511" s="5">
        <v>97.9</v>
      </c>
      <c r="F35511" s="5">
        <v>196.7</v>
      </c>
      <c r="G35511" s="5">
        <v>98</v>
      </c>
      <c r="H35511" s="5">
        <v>97.8</v>
      </c>
      <c r="I35511" s="5">
        <v>0</v>
      </c>
      <c r="J35511" s="5">
        <v>0</v>
      </c>
      <c r="K35511" s="5">
        <v>0</v>
      </c>
    </row>
    <row r="35512" spans="1:11" x14ac:dyDescent="0.25">
      <c r="A35512" s="5">
        <f>35505</f>
      </c>
      <c r="B35512" s="5" t="s">
        <v>35520</v>
      </c>
      <c r="C35512" s="5">
        <v>97.7</v>
      </c>
      <c r="D35512" s="5">
        <v>0.1</v>
      </c>
      <c r="E35512" s="5">
        <v>97.9</v>
      </c>
      <c r="F35512" s="5">
        <v>196.7</v>
      </c>
      <c r="G35512" s="5">
        <v>98</v>
      </c>
      <c r="H35512" s="5">
        <v>97.8</v>
      </c>
      <c r="I35512" s="5">
        <v>0</v>
      </c>
      <c r="J35512" s="5">
        <v>0</v>
      </c>
      <c r="K35512" s="5">
        <v>0</v>
      </c>
    </row>
    <row r="35513" spans="1:11" x14ac:dyDescent="0.25">
      <c r="A35513" s="5">
        <f>35506</f>
      </c>
      <c r="B35513" s="5" t="s">
        <v>35521</v>
      </c>
      <c r="C35513" s="5">
        <v>104.4</v>
      </c>
      <c r="D35513" s="5">
        <v>0.1</v>
      </c>
      <c r="E35513" s="5">
        <v>104.6</v>
      </c>
      <c r="F35513" s="5">
        <v>205.7</v>
      </c>
      <c r="G35513" s="5">
        <v>102.8</v>
      </c>
      <c r="H35513" s="5">
        <v>102.7</v>
      </c>
      <c r="I35513" s="5">
        <v>0</v>
      </c>
      <c r="J35513" s="5">
        <v>0</v>
      </c>
      <c r="K35513" s="5">
        <v>0</v>
      </c>
    </row>
    <row r="35514" spans="1:11" x14ac:dyDescent="0.25">
      <c r="A35514" s="5">
        <f>35507</f>
      </c>
      <c r="B35514" s="5" t="s">
        <v>35522</v>
      </c>
      <c r="C35514" s="5">
        <v>104.4</v>
      </c>
      <c r="D35514" s="5">
        <v>0.1</v>
      </c>
      <c r="E35514" s="5">
        <v>104.6</v>
      </c>
      <c r="F35514" s="5">
        <v>205.7</v>
      </c>
      <c r="G35514" s="5">
        <v>102.8</v>
      </c>
      <c r="H35514" s="5">
        <v>102.7</v>
      </c>
      <c r="I35514" s="5">
        <v>0</v>
      </c>
      <c r="J35514" s="5">
        <v>0</v>
      </c>
      <c r="K35514" s="5">
        <v>0</v>
      </c>
    </row>
    <row r="35515" spans="1:11" x14ac:dyDescent="0.25">
      <c r="A35515" s="5">
        <f>35508</f>
      </c>
      <c r="B35515" s="5" t="s">
        <v>35523</v>
      </c>
      <c r="C35515" s="5">
        <v>102.2</v>
      </c>
      <c r="D35515" s="5">
        <v>0.1</v>
      </c>
      <c r="E35515" s="5">
        <v>102.4</v>
      </c>
      <c r="F35515" s="5">
        <v>204.2</v>
      </c>
      <c r="G35515" s="5">
        <v>101.9</v>
      </c>
      <c r="H35515" s="5">
        <v>101.7</v>
      </c>
      <c r="I35515" s="5">
        <v>0</v>
      </c>
      <c r="J35515" s="5">
        <v>0</v>
      </c>
      <c r="K35515" s="5">
        <v>0</v>
      </c>
    </row>
    <row r="35516" spans="1:11" x14ac:dyDescent="0.25">
      <c r="A35516" s="5">
        <f>35509</f>
      </c>
      <c r="B35516" s="5" t="s">
        <v>35524</v>
      </c>
      <c r="C35516" s="5">
        <v>102.2</v>
      </c>
      <c r="D35516" s="5">
        <v>0.1</v>
      </c>
      <c r="E35516" s="5">
        <v>102.4</v>
      </c>
      <c r="F35516" s="5">
        <v>204.2</v>
      </c>
      <c r="G35516" s="5">
        <v>101.9</v>
      </c>
      <c r="H35516" s="5">
        <v>101.7</v>
      </c>
      <c r="I35516" s="5">
        <v>0</v>
      </c>
      <c r="J35516" s="5">
        <v>0</v>
      </c>
      <c r="K35516" s="5">
        <v>0</v>
      </c>
    </row>
    <row r="35517" spans="1:11" x14ac:dyDescent="0.25">
      <c r="A35517" s="5">
        <f>35510</f>
      </c>
      <c r="B35517" s="5" t="s">
        <v>35525</v>
      </c>
      <c r="C35517" s="5">
        <v>102.2</v>
      </c>
      <c r="D35517" s="5">
        <v>0.1</v>
      </c>
      <c r="E35517" s="5">
        <v>102.4</v>
      </c>
      <c r="F35517" s="5">
        <v>204.2</v>
      </c>
      <c r="G35517" s="5">
        <v>101.9</v>
      </c>
      <c r="H35517" s="5">
        <v>101.7</v>
      </c>
      <c r="I35517" s="5">
        <v>0</v>
      </c>
      <c r="J35517" s="5">
        <v>0</v>
      </c>
      <c r="K35517" s="5">
        <v>0</v>
      </c>
    </row>
    <row r="35518" spans="1:11" x14ac:dyDescent="0.25">
      <c r="A35518" s="5">
        <f>35511</f>
      </c>
      <c r="B35518" s="5" t="s">
        <v>35526</v>
      </c>
      <c r="C35518" s="5">
        <v>102.2</v>
      </c>
      <c r="D35518" s="5">
        <v>0.1</v>
      </c>
      <c r="E35518" s="5">
        <v>102.4</v>
      </c>
      <c r="F35518" s="5">
        <v>204.2</v>
      </c>
      <c r="G35518" s="5">
        <v>101.9</v>
      </c>
      <c r="H35518" s="5">
        <v>101.7</v>
      </c>
      <c r="I35518" s="5">
        <v>0</v>
      </c>
      <c r="J35518" s="5">
        <v>0</v>
      </c>
      <c r="K35518" s="5">
        <v>0</v>
      </c>
    </row>
    <row r="35519" spans="1:11" x14ac:dyDescent="0.25">
      <c r="A35519" s="5">
        <f>35512</f>
      </c>
      <c r="B35519" s="5" t="s">
        <v>35527</v>
      </c>
      <c r="C35519" s="5">
        <v>102</v>
      </c>
      <c r="D35519" s="5">
        <v>0.1</v>
      </c>
      <c r="E35519" s="5">
        <v>102.1</v>
      </c>
      <c r="F35519" s="5">
        <v>203.8</v>
      </c>
      <c r="G35519" s="5">
        <v>101.7</v>
      </c>
      <c r="H35519" s="5">
        <v>101.5</v>
      </c>
      <c r="I35519" s="5">
        <v>0</v>
      </c>
      <c r="J35519" s="5">
        <v>0</v>
      </c>
      <c r="K35519" s="5">
        <v>0</v>
      </c>
    </row>
    <row r="35520" spans="1:11" x14ac:dyDescent="0.25">
      <c r="A35520" s="5">
        <f>35513</f>
      </c>
      <c r="B35520" s="5" t="s">
        <v>35528</v>
      </c>
      <c r="C35520" s="5">
        <v>102</v>
      </c>
      <c r="D35520" s="5">
        <v>0.1</v>
      </c>
      <c r="E35520" s="5">
        <v>102.1</v>
      </c>
      <c r="F35520" s="5">
        <v>203.8</v>
      </c>
      <c r="G35520" s="5">
        <v>101.7</v>
      </c>
      <c r="H35520" s="5">
        <v>101.5</v>
      </c>
      <c r="I35520" s="5">
        <v>0</v>
      </c>
      <c r="J35520" s="5">
        <v>0</v>
      </c>
      <c r="K35520" s="5">
        <v>0</v>
      </c>
    </row>
    <row r="35521" spans="1:11" x14ac:dyDescent="0.25">
      <c r="A35521" s="5">
        <f>35514</f>
      </c>
      <c r="B35521" s="5" t="s">
        <v>35529</v>
      </c>
      <c r="C35521" s="5">
        <v>97</v>
      </c>
      <c r="D35521" s="5">
        <v>0.1</v>
      </c>
      <c r="E35521" s="5">
        <v>97.1</v>
      </c>
      <c r="F35521" s="5">
        <v>207.8</v>
      </c>
      <c r="G35521" s="5">
        <v>103.7</v>
      </c>
      <c r="H35521" s="5">
        <v>103.6</v>
      </c>
      <c r="I35521" s="5">
        <v>0</v>
      </c>
      <c r="J35521" s="5">
        <v>0</v>
      </c>
      <c r="K35521" s="5">
        <v>0</v>
      </c>
    </row>
    <row r="35522" spans="1:11" x14ac:dyDescent="0.25">
      <c r="A35522" s="5">
        <f>35515</f>
      </c>
      <c r="B35522" s="5" t="s">
        <v>35530</v>
      </c>
      <c r="C35522" s="5">
        <v>97</v>
      </c>
      <c r="D35522" s="5">
        <v>0.1</v>
      </c>
      <c r="E35522" s="5">
        <v>97.1</v>
      </c>
      <c r="F35522" s="5">
        <v>207.8</v>
      </c>
      <c r="G35522" s="5">
        <v>103.7</v>
      </c>
      <c r="H35522" s="5">
        <v>103.6</v>
      </c>
      <c r="I35522" s="5">
        <v>0</v>
      </c>
      <c r="J35522" s="5">
        <v>0</v>
      </c>
      <c r="K35522" s="5">
        <v>0</v>
      </c>
    </row>
    <row r="35523" spans="1:11" x14ac:dyDescent="0.25">
      <c r="A35523" s="5">
        <f>35516</f>
      </c>
      <c r="B35523" s="5" t="s">
        <v>35531</v>
      </c>
      <c r="C35523" s="5">
        <v>95.3</v>
      </c>
      <c r="D35523" s="5">
        <v>0.1</v>
      </c>
      <c r="E35523" s="5">
        <v>95.4</v>
      </c>
      <c r="F35523" s="5">
        <v>190.8</v>
      </c>
      <c r="G35523" s="5">
        <v>95.5</v>
      </c>
      <c r="H35523" s="5">
        <v>101.3</v>
      </c>
      <c r="I35523" s="5">
        <v>0</v>
      </c>
      <c r="J35523" s="5">
        <v>0</v>
      </c>
      <c r="K35523" s="5">
        <v>0</v>
      </c>
    </row>
    <row r="35524" spans="1:11" x14ac:dyDescent="0.25">
      <c r="A35524" s="5">
        <f>35517</f>
      </c>
      <c r="B35524" s="5" t="s">
        <v>35532</v>
      </c>
      <c r="C35524" s="5">
        <v>95.3</v>
      </c>
      <c r="D35524" s="5">
        <v>0.1</v>
      </c>
      <c r="E35524" s="5">
        <v>95.4</v>
      </c>
      <c r="F35524" s="5">
        <v>190.8</v>
      </c>
      <c r="G35524" s="5">
        <v>95.5</v>
      </c>
      <c r="H35524" s="5">
        <v>101.3</v>
      </c>
      <c r="I35524" s="5">
        <v>0</v>
      </c>
      <c r="J35524" s="5">
        <v>0</v>
      </c>
      <c r="K35524" s="5">
        <v>0</v>
      </c>
    </row>
    <row r="35525" spans="1:11" x14ac:dyDescent="0.25">
      <c r="A35525" s="5">
        <f>35518</f>
      </c>
      <c r="B35525" s="5" t="s">
        <v>35533</v>
      </c>
      <c r="C35525" s="5">
        <v>102.5</v>
      </c>
      <c r="D35525" s="5">
        <v>0.1</v>
      </c>
      <c r="E35525" s="5">
        <v>102.7</v>
      </c>
      <c r="F35525" s="5">
        <v>204.5</v>
      </c>
      <c r="G35525" s="5">
        <v>101.7</v>
      </c>
      <c r="H35525" s="5">
        <v>100.9</v>
      </c>
      <c r="I35525" s="5">
        <v>0</v>
      </c>
      <c r="J35525" s="5">
        <v>0</v>
      </c>
      <c r="K35525" s="5">
        <v>0</v>
      </c>
    </row>
    <row r="35526" spans="1:11" x14ac:dyDescent="0.25">
      <c r="A35526" s="5">
        <f>35519</f>
      </c>
      <c r="B35526" s="5" t="s">
        <v>35534</v>
      </c>
      <c r="C35526" s="5">
        <v>102.5</v>
      </c>
      <c r="D35526" s="5">
        <v>0.1</v>
      </c>
      <c r="E35526" s="5">
        <v>102.7</v>
      </c>
      <c r="F35526" s="5">
        <v>204.5</v>
      </c>
      <c r="G35526" s="5">
        <v>101.7</v>
      </c>
      <c r="H35526" s="5">
        <v>100.9</v>
      </c>
      <c r="I35526" s="5">
        <v>0</v>
      </c>
      <c r="J35526" s="5">
        <v>0</v>
      </c>
      <c r="K35526" s="5">
        <v>0</v>
      </c>
    </row>
    <row r="35527" spans="1:11" x14ac:dyDescent="0.25">
      <c r="A35527" s="5">
        <f>35520</f>
      </c>
      <c r="B35527" s="5" t="s">
        <v>35535</v>
      </c>
      <c r="C35527" s="5">
        <v>102.5</v>
      </c>
      <c r="D35527" s="5">
        <v>0.1</v>
      </c>
      <c r="E35527" s="5">
        <v>102.7</v>
      </c>
      <c r="F35527" s="5">
        <v>204.5</v>
      </c>
      <c r="G35527" s="5">
        <v>101.7</v>
      </c>
      <c r="H35527" s="5">
        <v>100.9</v>
      </c>
      <c r="I35527" s="5">
        <v>0</v>
      </c>
      <c r="J35527" s="5">
        <v>0</v>
      </c>
      <c r="K35527" s="5">
        <v>0</v>
      </c>
    </row>
    <row r="35528" spans="1:11" x14ac:dyDescent="0.25">
      <c r="A35528" s="5">
        <f>35521</f>
      </c>
      <c r="B35528" s="5" t="s">
        <v>35536</v>
      </c>
      <c r="C35528" s="5">
        <v>102.5</v>
      </c>
      <c r="D35528" s="5">
        <v>0.1</v>
      </c>
      <c r="E35528" s="5">
        <v>102.7</v>
      </c>
      <c r="F35528" s="5">
        <v>204.5</v>
      </c>
      <c r="G35528" s="5">
        <v>101.7</v>
      </c>
      <c r="H35528" s="5">
        <v>100.9</v>
      </c>
      <c r="I35528" s="5">
        <v>0</v>
      </c>
      <c r="J35528" s="5">
        <v>0</v>
      </c>
      <c r="K35528" s="5">
        <v>0</v>
      </c>
    </row>
    <row r="35529" spans="1:11" x14ac:dyDescent="0.25">
      <c r="A35529" s="5">
        <f>35522</f>
      </c>
      <c r="B35529" s="5" t="s">
        <v>35537</v>
      </c>
      <c r="C35529" s="5">
        <v>102.1</v>
      </c>
      <c r="D35529" s="5">
        <v>0.1</v>
      </c>
      <c r="E35529" s="5">
        <v>102.3</v>
      </c>
      <c r="F35529" s="5">
        <v>197.2</v>
      </c>
      <c r="G35529" s="5">
        <v>98.6</v>
      </c>
      <c r="H35529" s="5">
        <v>98.6</v>
      </c>
      <c r="I35529" s="5">
        <v>0</v>
      </c>
      <c r="J35529" s="5">
        <v>0</v>
      </c>
      <c r="K35529" s="5">
        <v>0</v>
      </c>
    </row>
    <row r="35530" spans="1:11" x14ac:dyDescent="0.25">
      <c r="A35530" s="5">
        <f>35523</f>
      </c>
      <c r="B35530" s="5" t="s">
        <v>35538</v>
      </c>
      <c r="C35530" s="5">
        <v>102.1</v>
      </c>
      <c r="D35530" s="5">
        <v>0.1</v>
      </c>
      <c r="E35530" s="5">
        <v>102.3</v>
      </c>
      <c r="F35530" s="5">
        <v>197.2</v>
      </c>
      <c r="G35530" s="5">
        <v>98.6</v>
      </c>
      <c r="H35530" s="5">
        <v>98.6</v>
      </c>
      <c r="I35530" s="5">
        <v>0</v>
      </c>
      <c r="J35530" s="5">
        <v>0</v>
      </c>
      <c r="K35530" s="5">
        <v>0</v>
      </c>
    </row>
    <row r="35531" spans="1:11" x14ac:dyDescent="0.25">
      <c r="A35531" s="5">
        <f>35524</f>
      </c>
      <c r="B35531" s="5" t="s">
        <v>35539</v>
      </c>
      <c r="C35531" s="5">
        <v>95.3</v>
      </c>
      <c r="D35531" s="5">
        <v>0.1</v>
      </c>
      <c r="E35531" s="5">
        <v>95.4</v>
      </c>
      <c r="F35531" s="5">
        <v>188.7</v>
      </c>
      <c r="G35531" s="5">
        <v>94.2</v>
      </c>
      <c r="H35531" s="5">
        <v>94.1</v>
      </c>
      <c r="I35531" s="5">
        <v>0</v>
      </c>
      <c r="J35531" s="5">
        <v>0</v>
      </c>
      <c r="K35531" s="5">
        <v>0</v>
      </c>
    </row>
    <row r="35532" spans="1:11" x14ac:dyDescent="0.25">
      <c r="A35532" s="5">
        <f>35525</f>
      </c>
      <c r="B35532" s="5" t="s">
        <v>35540</v>
      </c>
      <c r="C35532" s="5">
        <v>95.3</v>
      </c>
      <c r="D35532" s="5">
        <v>0.1</v>
      </c>
      <c r="E35532" s="5">
        <v>95.4</v>
      </c>
      <c r="F35532" s="5">
        <v>188.7</v>
      </c>
      <c r="G35532" s="5">
        <v>94.2</v>
      </c>
      <c r="H35532" s="5">
        <v>94.1</v>
      </c>
      <c r="I35532" s="5">
        <v>0</v>
      </c>
      <c r="J35532" s="5">
        <v>0</v>
      </c>
      <c r="K35532" s="5">
        <v>0</v>
      </c>
    </row>
    <row r="35533" spans="1:11" x14ac:dyDescent="0.25">
      <c r="A35533" s="5">
        <f>35526</f>
      </c>
      <c r="B35533" s="5" t="s">
        <v>35541</v>
      </c>
      <c r="C35533" s="5">
        <v>95.8</v>
      </c>
      <c r="D35533" s="5">
        <v>0.1</v>
      </c>
      <c r="E35533" s="5">
        <v>96</v>
      </c>
      <c r="F35533" s="5">
        <v>189.4</v>
      </c>
      <c r="G35533" s="5">
        <v>94.6</v>
      </c>
      <c r="H35533" s="5">
        <v>94.5</v>
      </c>
      <c r="I35533" s="5">
        <v>0</v>
      </c>
      <c r="J35533" s="5">
        <v>0</v>
      </c>
      <c r="K35533" s="5">
        <v>0</v>
      </c>
    </row>
    <row r="35534" spans="1:11" x14ac:dyDescent="0.25">
      <c r="A35534" s="5">
        <f>35527</f>
      </c>
      <c r="B35534" s="5" t="s">
        <v>35542</v>
      </c>
      <c r="C35534" s="5">
        <v>95.8</v>
      </c>
      <c r="D35534" s="5">
        <v>0.1</v>
      </c>
      <c r="E35534" s="5">
        <v>96</v>
      </c>
      <c r="F35534" s="5">
        <v>189.4</v>
      </c>
      <c r="G35534" s="5">
        <v>94.6</v>
      </c>
      <c r="H35534" s="5">
        <v>94.5</v>
      </c>
      <c r="I35534" s="5">
        <v>0</v>
      </c>
      <c r="J35534" s="5">
        <v>0</v>
      </c>
      <c r="K35534" s="5">
        <v>0</v>
      </c>
    </row>
    <row r="35535" spans="1:11" x14ac:dyDescent="0.25">
      <c r="A35535" s="5">
        <f>35528</f>
      </c>
      <c r="B35535" s="5" t="s">
        <v>35543</v>
      </c>
      <c r="C35535" s="5">
        <v>94.1</v>
      </c>
      <c r="D35535" s="5">
        <v>0.1</v>
      </c>
      <c r="E35535" s="5">
        <v>94.2</v>
      </c>
      <c r="F35535" s="5">
        <v>189.3</v>
      </c>
      <c r="G35535" s="5">
        <v>94.5</v>
      </c>
      <c r="H35535" s="5">
        <v>94.3</v>
      </c>
      <c r="I35535" s="5">
        <v>0</v>
      </c>
      <c r="J35535" s="5">
        <v>0</v>
      </c>
      <c r="K35535" s="5">
        <v>0</v>
      </c>
    </row>
    <row r="35536" spans="1:11" x14ac:dyDescent="0.25">
      <c r="A35536" s="5">
        <f>35529</f>
      </c>
      <c r="B35536" s="5" t="s">
        <v>35544</v>
      </c>
      <c r="C35536" s="5">
        <v>94.1</v>
      </c>
      <c r="D35536" s="5">
        <v>0.1</v>
      </c>
      <c r="E35536" s="5">
        <v>94.2</v>
      </c>
      <c r="F35536" s="5">
        <v>189.3</v>
      </c>
      <c r="G35536" s="5">
        <v>94.5</v>
      </c>
      <c r="H35536" s="5">
        <v>94.3</v>
      </c>
      <c r="I35536" s="5">
        <v>0</v>
      </c>
      <c r="J35536" s="5">
        <v>0</v>
      </c>
      <c r="K35536" s="5">
        <v>0</v>
      </c>
    </row>
    <row r="35537" spans="1:11" x14ac:dyDescent="0.25">
      <c r="A35537" s="5">
        <f>35530</f>
      </c>
      <c r="B35537" s="5" t="s">
        <v>35545</v>
      </c>
      <c r="C35537" s="5">
        <v>94.1</v>
      </c>
      <c r="D35537" s="5">
        <v>0.1</v>
      </c>
      <c r="E35537" s="5">
        <v>94.2</v>
      </c>
      <c r="F35537" s="5">
        <v>189.3</v>
      </c>
      <c r="G35537" s="5">
        <v>94.5</v>
      </c>
      <c r="H35537" s="5">
        <v>94.3</v>
      </c>
      <c r="I35537" s="5">
        <v>0</v>
      </c>
      <c r="J35537" s="5">
        <v>0</v>
      </c>
      <c r="K35537" s="5">
        <v>0</v>
      </c>
    </row>
    <row r="35538" spans="1:11" x14ac:dyDescent="0.25">
      <c r="A35538" s="5">
        <f>35531</f>
      </c>
      <c r="B35538" s="5" t="s">
        <v>35546</v>
      </c>
      <c r="C35538" s="5">
        <v>94.1</v>
      </c>
      <c r="D35538" s="5">
        <v>0.1</v>
      </c>
      <c r="E35538" s="5">
        <v>94.2</v>
      </c>
      <c r="F35538" s="5">
        <v>189.3</v>
      </c>
      <c r="G35538" s="5">
        <v>94.5</v>
      </c>
      <c r="H35538" s="5">
        <v>94.3</v>
      </c>
      <c r="I35538" s="5">
        <v>0</v>
      </c>
      <c r="J35538" s="5">
        <v>0</v>
      </c>
      <c r="K35538" s="5">
        <v>0</v>
      </c>
    </row>
    <row r="35539" spans="1:11" x14ac:dyDescent="0.25">
      <c r="A35539" s="5">
        <f>35532</f>
      </c>
      <c r="B35539" s="5" t="s">
        <v>35547</v>
      </c>
      <c r="C35539" s="5">
        <v>102.7</v>
      </c>
      <c r="D35539" s="5">
        <v>0.1</v>
      </c>
      <c r="E35539" s="5">
        <v>102.9</v>
      </c>
      <c r="F35539" s="5">
        <v>208</v>
      </c>
      <c r="G35539" s="5">
        <v>103.7</v>
      </c>
      <c r="H35539" s="5">
        <v>103.5</v>
      </c>
      <c r="I35539" s="5">
        <v>0</v>
      </c>
      <c r="J35539" s="5">
        <v>0</v>
      </c>
      <c r="K35539" s="5">
        <v>0</v>
      </c>
    </row>
    <row r="35540" spans="1:11" x14ac:dyDescent="0.25">
      <c r="A35540" s="5">
        <f>35533</f>
      </c>
      <c r="B35540" s="5" t="s">
        <v>35548</v>
      </c>
      <c r="C35540" s="5">
        <v>102.7</v>
      </c>
      <c r="D35540" s="5">
        <v>0.1</v>
      </c>
      <c r="E35540" s="5">
        <v>102.9</v>
      </c>
      <c r="F35540" s="5">
        <v>208</v>
      </c>
      <c r="G35540" s="5">
        <v>103.7</v>
      </c>
      <c r="H35540" s="5">
        <v>103.5</v>
      </c>
      <c r="I35540" s="5">
        <v>0</v>
      </c>
      <c r="J35540" s="5">
        <v>0</v>
      </c>
      <c r="K35540" s="5">
        <v>0</v>
      </c>
    </row>
    <row r="35541" spans="1:11" x14ac:dyDescent="0.25">
      <c r="A35541" s="5">
        <f>35534</f>
      </c>
      <c r="B35541" s="5" t="s">
        <v>35549</v>
      </c>
      <c r="C35541" s="5">
        <v>103</v>
      </c>
      <c r="D35541" s="5">
        <v>0.1</v>
      </c>
      <c r="E35541" s="5">
        <v>103.1</v>
      </c>
      <c r="F35541" s="5">
        <v>207.6</v>
      </c>
      <c r="G35541" s="5">
        <v>103.5</v>
      </c>
      <c r="H35541" s="5">
        <v>103.4</v>
      </c>
      <c r="I35541" s="5">
        <v>0</v>
      </c>
      <c r="J35541" s="5">
        <v>0</v>
      </c>
      <c r="K35541" s="5">
        <v>0</v>
      </c>
    </row>
    <row r="35542" spans="1:11" x14ac:dyDescent="0.25">
      <c r="A35542" s="5">
        <f>35535</f>
      </c>
      <c r="B35542" s="5" t="s">
        <v>35550</v>
      </c>
      <c r="C35542" s="5">
        <v>103</v>
      </c>
      <c r="D35542" s="5">
        <v>0.1</v>
      </c>
      <c r="E35542" s="5">
        <v>103.1</v>
      </c>
      <c r="F35542" s="5">
        <v>207.6</v>
      </c>
      <c r="G35542" s="5">
        <v>103.5</v>
      </c>
      <c r="H35542" s="5">
        <v>103.4</v>
      </c>
      <c r="I35542" s="5">
        <v>0</v>
      </c>
      <c r="J35542" s="5">
        <v>0</v>
      </c>
      <c r="K35542" s="5">
        <v>0</v>
      </c>
    </row>
    <row r="35543" spans="1:11" x14ac:dyDescent="0.25">
      <c r="A35543" s="5">
        <f>35536</f>
      </c>
      <c r="B35543" s="5" t="s">
        <v>35551</v>
      </c>
      <c r="C35543" s="5">
        <v>104.1</v>
      </c>
      <c r="D35543" s="5">
        <v>0.1</v>
      </c>
      <c r="E35543" s="5">
        <v>104.3</v>
      </c>
      <c r="F35543" s="5">
        <v>207.5</v>
      </c>
      <c r="G35543" s="5">
        <v>102.8</v>
      </c>
      <c r="H35543" s="5">
        <v>102.2</v>
      </c>
      <c r="I35543" s="5">
        <v>0</v>
      </c>
      <c r="J35543" s="5">
        <v>0</v>
      </c>
      <c r="K35543" s="5">
        <v>0</v>
      </c>
    </row>
    <row r="35544" spans="1:11" x14ac:dyDescent="0.25">
      <c r="A35544" s="5">
        <f>35537</f>
      </c>
      <c r="B35544" s="5" t="s">
        <v>35552</v>
      </c>
      <c r="C35544" s="5">
        <v>104.1</v>
      </c>
      <c r="D35544" s="5">
        <v>0.1</v>
      </c>
      <c r="E35544" s="5">
        <v>104.3</v>
      </c>
      <c r="F35544" s="5">
        <v>207.5</v>
      </c>
      <c r="G35544" s="5">
        <v>102.8</v>
      </c>
      <c r="H35544" s="5">
        <v>102.2</v>
      </c>
      <c r="I35544" s="5">
        <v>0</v>
      </c>
      <c r="J35544" s="5">
        <v>0</v>
      </c>
      <c r="K35544" s="5">
        <v>0</v>
      </c>
    </row>
    <row r="35545" spans="1:11" x14ac:dyDescent="0.25">
      <c r="A35545" s="5">
        <f>35538</f>
      </c>
      <c r="B35545" s="5" t="s">
        <v>35553</v>
      </c>
      <c r="C35545" s="5">
        <v>96.4</v>
      </c>
      <c r="D35545" s="5">
        <v>0.1</v>
      </c>
      <c r="E35545" s="5">
        <v>96.6</v>
      </c>
      <c r="F35545" s="5">
        <v>193.9</v>
      </c>
      <c r="G35545" s="5">
        <v>96.6</v>
      </c>
      <c r="H35545" s="5">
        <v>96.3</v>
      </c>
      <c r="I35545" s="5">
        <v>0</v>
      </c>
      <c r="J35545" s="5">
        <v>0</v>
      </c>
      <c r="K35545" s="5">
        <v>0</v>
      </c>
    </row>
    <row r="35546" spans="1:11" x14ac:dyDescent="0.25">
      <c r="A35546" s="5">
        <f>35539</f>
      </c>
      <c r="B35546" s="5" t="s">
        <v>35554</v>
      </c>
      <c r="C35546" s="5">
        <v>96.4</v>
      </c>
      <c r="D35546" s="5">
        <v>0.1</v>
      </c>
      <c r="E35546" s="5">
        <v>96.6</v>
      </c>
      <c r="F35546" s="5">
        <v>193.9</v>
      </c>
      <c r="G35546" s="5">
        <v>96.6</v>
      </c>
      <c r="H35546" s="5">
        <v>96.3</v>
      </c>
      <c r="I35546" s="5">
        <v>0</v>
      </c>
      <c r="J35546" s="5">
        <v>0</v>
      </c>
      <c r="K35546" s="5">
        <v>0</v>
      </c>
    </row>
    <row r="35547" spans="1:11" x14ac:dyDescent="0.25">
      <c r="A35547" s="5">
        <f>35540</f>
      </c>
      <c r="B35547" s="5" t="s">
        <v>35555</v>
      </c>
      <c r="C35547" s="5">
        <v>96.4</v>
      </c>
      <c r="D35547" s="5">
        <v>0.1</v>
      </c>
      <c r="E35547" s="5">
        <v>96.6</v>
      </c>
      <c r="F35547" s="5">
        <v>193.9</v>
      </c>
      <c r="G35547" s="5">
        <v>96.6</v>
      </c>
      <c r="H35547" s="5">
        <v>96.3</v>
      </c>
      <c r="I35547" s="5">
        <v>0</v>
      </c>
      <c r="J35547" s="5">
        <v>0</v>
      </c>
      <c r="K35547" s="5">
        <v>0</v>
      </c>
    </row>
    <row r="35548" spans="1:11" x14ac:dyDescent="0.25">
      <c r="A35548" s="5">
        <f>35541</f>
      </c>
      <c r="B35548" s="5" t="s">
        <v>35556</v>
      </c>
      <c r="C35548" s="5">
        <v>96.4</v>
      </c>
      <c r="D35548" s="5">
        <v>0.1</v>
      </c>
      <c r="E35548" s="5">
        <v>96.6</v>
      </c>
      <c r="F35548" s="5">
        <v>193.9</v>
      </c>
      <c r="G35548" s="5">
        <v>96.6</v>
      </c>
      <c r="H35548" s="5">
        <v>96.3</v>
      </c>
      <c r="I35548" s="5">
        <v>0</v>
      </c>
      <c r="J35548" s="5">
        <v>0</v>
      </c>
      <c r="K35548" s="5">
        <v>0</v>
      </c>
    </row>
    <row r="35549" spans="1:11" x14ac:dyDescent="0.25">
      <c r="A35549" s="5">
        <f>35542</f>
      </c>
      <c r="B35549" s="5" t="s">
        <v>35557</v>
      </c>
      <c r="C35549" s="5">
        <v>94.5</v>
      </c>
      <c r="D35549" s="5">
        <v>0.1</v>
      </c>
      <c r="E35549" s="5">
        <v>94.6</v>
      </c>
      <c r="F35549" s="5">
        <v>190.2</v>
      </c>
      <c r="G35549" s="5">
        <v>94.8</v>
      </c>
      <c r="H35549" s="5">
        <v>94.6</v>
      </c>
      <c r="I35549" s="5">
        <v>0</v>
      </c>
      <c r="J35549" s="5">
        <v>0</v>
      </c>
      <c r="K35549" s="5">
        <v>0</v>
      </c>
    </row>
    <row r="35550" spans="1:11" x14ac:dyDescent="0.25">
      <c r="A35550" s="5">
        <f>35543</f>
      </c>
      <c r="B35550" s="5" t="s">
        <v>35558</v>
      </c>
      <c r="C35550" s="5">
        <v>94.5</v>
      </c>
      <c r="D35550" s="5">
        <v>0.1</v>
      </c>
      <c r="E35550" s="5">
        <v>94.6</v>
      </c>
      <c r="F35550" s="5">
        <v>190.2</v>
      </c>
      <c r="G35550" s="5">
        <v>94.8</v>
      </c>
      <c r="H35550" s="5">
        <v>94.6</v>
      </c>
      <c r="I35550" s="5">
        <v>0</v>
      </c>
      <c r="J35550" s="5">
        <v>0</v>
      </c>
      <c r="K35550" s="5">
        <v>0</v>
      </c>
    </row>
    <row r="35551" spans="1:11" x14ac:dyDescent="0.25">
      <c r="A35551" s="5">
        <f>35544</f>
      </c>
      <c r="B35551" s="5" t="s">
        <v>35559</v>
      </c>
      <c r="C35551" s="5">
        <v>94</v>
      </c>
      <c r="D35551" s="5">
        <v>0.1</v>
      </c>
      <c r="E35551" s="5">
        <v>94.1</v>
      </c>
      <c r="F35551" s="5">
        <v>189.5</v>
      </c>
      <c r="G35551" s="5">
        <v>94.4</v>
      </c>
      <c r="H35551" s="5">
        <v>94.2</v>
      </c>
      <c r="I35551" s="5">
        <v>0</v>
      </c>
      <c r="J35551" s="5">
        <v>0</v>
      </c>
      <c r="K35551" s="5">
        <v>0</v>
      </c>
    </row>
    <row r="35552" spans="1:11" x14ac:dyDescent="0.25">
      <c r="A35552" s="5">
        <f>35545</f>
      </c>
      <c r="B35552" s="5" t="s">
        <v>35560</v>
      </c>
      <c r="C35552" s="5">
        <v>94</v>
      </c>
      <c r="D35552" s="5">
        <v>0.1</v>
      </c>
      <c r="E35552" s="5">
        <v>94.1</v>
      </c>
      <c r="F35552" s="5">
        <v>189.5</v>
      </c>
      <c r="G35552" s="5">
        <v>94.4</v>
      </c>
      <c r="H35552" s="5">
        <v>94.2</v>
      </c>
      <c r="I35552" s="5">
        <v>0</v>
      </c>
      <c r="J35552" s="5">
        <v>0</v>
      </c>
      <c r="K35552" s="5">
        <v>0</v>
      </c>
    </row>
    <row r="35553" spans="1:11" x14ac:dyDescent="0.25">
      <c r="A35553" s="5">
        <f>35546</f>
      </c>
      <c r="B35553" s="5" t="s">
        <v>35561</v>
      </c>
      <c r="C35553" s="5">
        <v>102.6</v>
      </c>
      <c r="D35553" s="5">
        <v>0.1</v>
      </c>
      <c r="E35553" s="5">
        <v>102.7</v>
      </c>
      <c r="F35553" s="5">
        <v>204.6</v>
      </c>
      <c r="G35553" s="5">
        <v>102.1</v>
      </c>
      <c r="H35553" s="5">
        <v>102</v>
      </c>
      <c r="I35553" s="5">
        <v>0</v>
      </c>
      <c r="J35553" s="5">
        <v>0</v>
      </c>
      <c r="K35553" s="5">
        <v>0</v>
      </c>
    </row>
    <row r="35554" spans="1:11" x14ac:dyDescent="0.25">
      <c r="A35554" s="5">
        <f>35547</f>
      </c>
      <c r="B35554" s="5" t="s">
        <v>35562</v>
      </c>
      <c r="C35554" s="5">
        <v>102.6</v>
      </c>
      <c r="D35554" s="5">
        <v>0.1</v>
      </c>
      <c r="E35554" s="5">
        <v>102.7</v>
      </c>
      <c r="F35554" s="5">
        <v>204.6</v>
      </c>
      <c r="G35554" s="5">
        <v>102.1</v>
      </c>
      <c r="H35554" s="5">
        <v>102</v>
      </c>
      <c r="I35554" s="5">
        <v>0</v>
      </c>
      <c r="J35554" s="5">
        <v>0</v>
      </c>
      <c r="K35554" s="5">
        <v>0</v>
      </c>
    </row>
    <row r="35555" spans="1:11" x14ac:dyDescent="0.25">
      <c r="A35555" s="5">
        <f>35548</f>
      </c>
      <c r="B35555" s="5" t="s">
        <v>35563</v>
      </c>
      <c r="C35555" s="5">
        <v>99.9</v>
      </c>
      <c r="D35555" s="5">
        <v>0.1</v>
      </c>
      <c r="E35555" s="5">
        <v>99.9</v>
      </c>
      <c r="F35555" s="5">
        <v>197.8</v>
      </c>
      <c r="G35555" s="5">
        <v>99.4</v>
      </c>
      <c r="H35555" s="5">
        <v>99.4</v>
      </c>
      <c r="I35555" s="5">
        <v>0</v>
      </c>
      <c r="J35555" s="5">
        <v>0</v>
      </c>
      <c r="K35555" s="5">
        <v>0</v>
      </c>
    </row>
    <row r="35556" spans="1:11" x14ac:dyDescent="0.25">
      <c r="A35556" s="5">
        <f>35549</f>
      </c>
      <c r="B35556" s="5" t="s">
        <v>35564</v>
      </c>
      <c r="C35556" s="5">
        <v>99.9</v>
      </c>
      <c r="D35556" s="5">
        <v>0.1</v>
      </c>
      <c r="E35556" s="5">
        <v>99.9</v>
      </c>
      <c r="F35556" s="5">
        <v>197.8</v>
      </c>
      <c r="G35556" s="5">
        <v>99.4</v>
      </c>
      <c r="H35556" s="5">
        <v>99.4</v>
      </c>
      <c r="I35556" s="5">
        <v>0</v>
      </c>
      <c r="J35556" s="5">
        <v>0</v>
      </c>
      <c r="K35556" s="5">
        <v>0</v>
      </c>
    </row>
    <row r="35557" spans="1:11" x14ac:dyDescent="0.25">
      <c r="A35557" s="5">
        <f>35550</f>
      </c>
      <c r="B35557" s="5" t="s">
        <v>35565</v>
      </c>
      <c r="C35557" s="5">
        <v>99.9</v>
      </c>
      <c r="D35557" s="5">
        <v>0.1</v>
      </c>
      <c r="E35557" s="5">
        <v>99.9</v>
      </c>
      <c r="F35557" s="5">
        <v>197.8</v>
      </c>
      <c r="G35557" s="5">
        <v>99.4</v>
      </c>
      <c r="H35557" s="5">
        <v>99.4</v>
      </c>
      <c r="I35557" s="5">
        <v>0</v>
      </c>
      <c r="J35557" s="5">
        <v>0</v>
      </c>
      <c r="K35557" s="5">
        <v>0</v>
      </c>
    </row>
    <row r="35558" spans="1:11" x14ac:dyDescent="0.25">
      <c r="A35558" s="5">
        <f>35551</f>
      </c>
      <c r="B35558" s="5" t="s">
        <v>35566</v>
      </c>
      <c r="C35558" s="5">
        <v>101.3</v>
      </c>
      <c r="D35558" s="5">
        <v>0.1</v>
      </c>
      <c r="E35558" s="5">
        <v>101.5</v>
      </c>
      <c r="F35558" s="5">
        <v>203.7</v>
      </c>
      <c r="G35558" s="5">
        <v>101.8</v>
      </c>
      <c r="H35558" s="5">
        <v>101.7</v>
      </c>
      <c r="I35558" s="5">
        <v>0</v>
      </c>
      <c r="J35558" s="5">
        <v>0</v>
      </c>
      <c r="K35558" s="5">
        <v>0</v>
      </c>
    </row>
    <row r="35559" spans="1:11" x14ac:dyDescent="0.25">
      <c r="A35559" s="5">
        <f>35552</f>
      </c>
      <c r="B35559" s="5" t="s">
        <v>35567</v>
      </c>
      <c r="C35559" s="5">
        <v>101.3</v>
      </c>
      <c r="D35559" s="5">
        <v>0.1</v>
      </c>
      <c r="E35559" s="5">
        <v>101.5</v>
      </c>
      <c r="F35559" s="5">
        <v>203.7</v>
      </c>
      <c r="G35559" s="5">
        <v>101.8</v>
      </c>
      <c r="H35559" s="5">
        <v>101.7</v>
      </c>
      <c r="I35559" s="5">
        <v>0</v>
      </c>
      <c r="J35559" s="5">
        <v>0</v>
      </c>
      <c r="K35559" s="5">
        <v>0</v>
      </c>
    </row>
    <row r="35560" spans="1:11" x14ac:dyDescent="0.25">
      <c r="A35560" s="5">
        <f>35553</f>
      </c>
      <c r="B35560" s="5" t="s">
        <v>35568</v>
      </c>
      <c r="C35560" s="5">
        <v>102.9</v>
      </c>
      <c r="D35560" s="5">
        <v>0.1</v>
      </c>
      <c r="E35560" s="5">
        <v>103.1</v>
      </c>
      <c r="F35560" s="5">
        <v>204.3</v>
      </c>
      <c r="G35560" s="5">
        <v>102.1</v>
      </c>
      <c r="H35560" s="5">
        <v>102.4</v>
      </c>
      <c r="I35560" s="5">
        <v>0</v>
      </c>
      <c r="J35560" s="5">
        <v>0</v>
      </c>
      <c r="K35560" s="5">
        <v>0</v>
      </c>
    </row>
    <row r="35561" spans="1:11" x14ac:dyDescent="0.25">
      <c r="A35561" s="5">
        <f>35554</f>
      </c>
      <c r="B35561" s="5" t="s">
        <v>35569</v>
      </c>
      <c r="C35561" s="5">
        <v>102.9</v>
      </c>
      <c r="D35561" s="5">
        <v>0.1</v>
      </c>
      <c r="E35561" s="5">
        <v>103.1</v>
      </c>
      <c r="F35561" s="5">
        <v>204.3</v>
      </c>
      <c r="G35561" s="5">
        <v>102.1</v>
      </c>
      <c r="H35561" s="5">
        <v>102.4</v>
      </c>
      <c r="I35561" s="5">
        <v>0</v>
      </c>
      <c r="J35561" s="5">
        <v>0</v>
      </c>
      <c r="K35561" s="5">
        <v>0</v>
      </c>
    </row>
    <row r="35562" spans="1:11" x14ac:dyDescent="0.25">
      <c r="A35562" s="5">
        <f>35555</f>
      </c>
      <c r="B35562" s="5" t="s">
        <v>35570</v>
      </c>
      <c r="C35562" s="5">
        <v>102.4</v>
      </c>
      <c r="D35562" s="5">
        <v>0.1</v>
      </c>
      <c r="E35562" s="5">
        <v>102.6</v>
      </c>
      <c r="F35562" s="5">
        <v>204.7</v>
      </c>
      <c r="G35562" s="5">
        <v>102.2</v>
      </c>
      <c r="H35562" s="5">
        <v>102</v>
      </c>
      <c r="I35562" s="5">
        <v>0</v>
      </c>
      <c r="J35562" s="5">
        <v>0</v>
      </c>
      <c r="K35562" s="5">
        <v>0</v>
      </c>
    </row>
    <row r="35563" spans="1:11" x14ac:dyDescent="0.25">
      <c r="A35563" s="5">
        <f>35556</f>
      </c>
      <c r="B35563" s="5" t="s">
        <v>35571</v>
      </c>
      <c r="C35563" s="5">
        <v>102.4</v>
      </c>
      <c r="D35563" s="5">
        <v>0.1</v>
      </c>
      <c r="E35563" s="5">
        <v>102.6</v>
      </c>
      <c r="F35563" s="5">
        <v>204.7</v>
      </c>
      <c r="G35563" s="5">
        <v>102.2</v>
      </c>
      <c r="H35563" s="5">
        <v>102</v>
      </c>
      <c r="I35563" s="5">
        <v>0</v>
      </c>
      <c r="J35563" s="5">
        <v>0</v>
      </c>
      <c r="K35563" s="5">
        <v>0</v>
      </c>
    </row>
    <row r="35564" spans="1:11" x14ac:dyDescent="0.25">
      <c r="A35564" s="5">
        <f>35557</f>
      </c>
      <c r="B35564" s="5" t="s">
        <v>35572</v>
      </c>
      <c r="C35564" s="5">
        <v>102.4</v>
      </c>
      <c r="D35564" s="5">
        <v>0.1</v>
      </c>
      <c r="E35564" s="5">
        <v>102.4</v>
      </c>
      <c r="F35564" s="5">
        <v>204</v>
      </c>
      <c r="G35564" s="5">
        <v>101.8</v>
      </c>
      <c r="H35564" s="5">
        <v>101.7</v>
      </c>
      <c r="I35564" s="5">
        <v>0</v>
      </c>
      <c r="J35564" s="5">
        <v>0</v>
      </c>
      <c r="K35564" s="5">
        <v>0</v>
      </c>
    </row>
    <row r="35565" spans="1:11" x14ac:dyDescent="0.25">
      <c r="A35565" s="5">
        <f>35558</f>
      </c>
      <c r="B35565" s="5" t="s">
        <v>35573</v>
      </c>
      <c r="C35565" s="5">
        <v>102.3</v>
      </c>
      <c r="D35565" s="5">
        <v>0.1</v>
      </c>
      <c r="E35565" s="5">
        <v>102.4</v>
      </c>
      <c r="F35565" s="5">
        <v>204</v>
      </c>
      <c r="G35565" s="5">
        <v>101.8</v>
      </c>
      <c r="H35565" s="5">
        <v>101.7</v>
      </c>
      <c r="I35565" s="5">
        <v>0</v>
      </c>
      <c r="J35565" s="5">
        <v>0</v>
      </c>
      <c r="K35565" s="5">
        <v>0</v>
      </c>
    </row>
    <row r="35566" spans="1:11" x14ac:dyDescent="0.25">
      <c r="A35566" s="5">
        <f>35559</f>
      </c>
      <c r="B35566" s="5" t="s">
        <v>35574</v>
      </c>
      <c r="C35566" s="5">
        <v>102.3</v>
      </c>
      <c r="D35566" s="5">
        <v>0.1</v>
      </c>
      <c r="E35566" s="5">
        <v>102.4</v>
      </c>
      <c r="F35566" s="5">
        <v>204</v>
      </c>
      <c r="G35566" s="5">
        <v>101.8</v>
      </c>
      <c r="H35566" s="5">
        <v>101.7</v>
      </c>
      <c r="I35566" s="5">
        <v>0</v>
      </c>
      <c r="J35566" s="5">
        <v>0</v>
      </c>
      <c r="K35566" s="5">
        <v>0</v>
      </c>
    </row>
    <row r="35567" spans="1:11" x14ac:dyDescent="0.25">
      <c r="A35567" s="5">
        <f>35560</f>
      </c>
      <c r="B35567" s="5" t="s">
        <v>35575</v>
      </c>
      <c r="C35567" s="5">
        <v>102.3</v>
      </c>
      <c r="D35567" s="5">
        <v>0.1</v>
      </c>
      <c r="E35567" s="5">
        <v>102.4</v>
      </c>
      <c r="F35567" s="5">
        <v>204</v>
      </c>
      <c r="G35567" s="5">
        <v>101.8</v>
      </c>
      <c r="H35567" s="5">
        <v>101.7</v>
      </c>
      <c r="I35567" s="5">
        <v>0</v>
      </c>
      <c r="J35567" s="5">
        <v>0</v>
      </c>
      <c r="K35567" s="5">
        <v>0</v>
      </c>
    </row>
    <row r="35568" spans="1:11" x14ac:dyDescent="0.25">
      <c r="A35568" s="5">
        <f>35561</f>
      </c>
      <c r="B35568" s="5" t="s">
        <v>35576</v>
      </c>
      <c r="C35568" s="5">
        <v>100.3</v>
      </c>
      <c r="D35568" s="5">
        <v>0.1</v>
      </c>
      <c r="E35568" s="5">
        <v>100.5</v>
      </c>
      <c r="F35568" s="5">
        <v>204</v>
      </c>
      <c r="G35568" s="5">
        <v>101.8</v>
      </c>
      <c r="H35568" s="5">
        <v>101.7</v>
      </c>
      <c r="I35568" s="5">
        <v>0</v>
      </c>
      <c r="J35568" s="5">
        <v>0</v>
      </c>
      <c r="K35568" s="5">
        <v>0</v>
      </c>
    </row>
    <row r="35569" spans="1:11" x14ac:dyDescent="0.25">
      <c r="A35569" s="5">
        <f>35562</f>
      </c>
      <c r="B35569" s="5" t="s">
        <v>35577</v>
      </c>
      <c r="C35569" s="5">
        <v>100.3</v>
      </c>
      <c r="D35569" s="5">
        <v>0.1</v>
      </c>
      <c r="E35569" s="5">
        <v>100.5</v>
      </c>
      <c r="F35569" s="5">
        <v>199.8</v>
      </c>
      <c r="G35569" s="5">
        <v>99.7</v>
      </c>
      <c r="H35569" s="5">
        <v>99.5</v>
      </c>
      <c r="I35569" s="5">
        <v>0</v>
      </c>
      <c r="J35569" s="5">
        <v>0</v>
      </c>
      <c r="K35569" s="5">
        <v>0</v>
      </c>
    </row>
    <row r="35570" spans="1:11" x14ac:dyDescent="0.25">
      <c r="A35570" s="5">
        <f>35563</f>
      </c>
      <c r="B35570" s="5" t="s">
        <v>35578</v>
      </c>
      <c r="C35570" s="5">
        <v>97.7</v>
      </c>
      <c r="D35570" s="5">
        <v>0.1</v>
      </c>
      <c r="E35570" s="5">
        <v>100.5</v>
      </c>
      <c r="F35570" s="5">
        <v>199.8</v>
      </c>
      <c r="G35570" s="5">
        <v>99.7</v>
      </c>
      <c r="H35570" s="5">
        <v>99.5</v>
      </c>
      <c r="I35570" s="5">
        <v>0</v>
      </c>
      <c r="J35570" s="5">
        <v>0</v>
      </c>
      <c r="K35570" s="5">
        <v>0</v>
      </c>
    </row>
    <row r="35571" spans="1:11" x14ac:dyDescent="0.25">
      <c r="A35571" s="5">
        <f>35564</f>
      </c>
      <c r="B35571" s="5" t="s">
        <v>35579</v>
      </c>
      <c r="C35571" s="5">
        <v>97.7</v>
      </c>
      <c r="D35571" s="5">
        <v>0.1</v>
      </c>
      <c r="E35571" s="5">
        <v>97.8</v>
      </c>
      <c r="F35571" s="5">
        <v>197.7</v>
      </c>
      <c r="G35571" s="5">
        <v>98.6</v>
      </c>
      <c r="H35571" s="5">
        <v>98.4</v>
      </c>
      <c r="I35571" s="5">
        <v>0</v>
      </c>
      <c r="J35571" s="5">
        <v>0</v>
      </c>
      <c r="K35571" s="5">
        <v>0</v>
      </c>
    </row>
    <row r="35572" spans="1:11" x14ac:dyDescent="0.25">
      <c r="A35572" s="5">
        <f>35565</f>
      </c>
      <c r="B35572" s="5" t="s">
        <v>35580</v>
      </c>
      <c r="C35572" s="5">
        <v>97.7</v>
      </c>
      <c r="D35572" s="5">
        <v>0.1</v>
      </c>
      <c r="E35572" s="5">
        <v>97.8</v>
      </c>
      <c r="F35572" s="5">
        <v>197.7</v>
      </c>
      <c r="G35572" s="5">
        <v>98.6</v>
      </c>
      <c r="H35572" s="5">
        <v>98.4</v>
      </c>
      <c r="I35572" s="5">
        <v>0</v>
      </c>
      <c r="J35572" s="5">
        <v>0</v>
      </c>
      <c r="K35572" s="5">
        <v>0</v>
      </c>
    </row>
    <row r="35573" spans="1:11" x14ac:dyDescent="0.25">
      <c r="A35573" s="5">
        <f>35566</f>
      </c>
      <c r="B35573" s="5" t="s">
        <v>35581</v>
      </c>
      <c r="C35573" s="5">
        <v>103.1</v>
      </c>
      <c r="D35573" s="5">
        <v>0.1</v>
      </c>
      <c r="E35573" s="5">
        <v>103.2</v>
      </c>
      <c r="F35573" s="5">
        <v>205.3</v>
      </c>
      <c r="G35573" s="5">
        <v>102.5</v>
      </c>
      <c r="H35573" s="5">
        <v>102.3</v>
      </c>
      <c r="I35573" s="5">
        <v>0</v>
      </c>
      <c r="J35573" s="5">
        <v>0</v>
      </c>
      <c r="K35573" s="5">
        <v>0</v>
      </c>
    </row>
    <row r="35574" spans="1:11" x14ac:dyDescent="0.25">
      <c r="A35574" s="5">
        <f>35567</f>
      </c>
      <c r="B35574" s="5" t="s">
        <v>35582</v>
      </c>
      <c r="C35574" s="5">
        <v>103.1</v>
      </c>
      <c r="D35574" s="5">
        <v>0.1</v>
      </c>
      <c r="E35574" s="5">
        <v>103.2</v>
      </c>
      <c r="F35574" s="5">
        <v>205.3</v>
      </c>
      <c r="G35574" s="5">
        <v>102.5</v>
      </c>
      <c r="H35574" s="5">
        <v>102.3</v>
      </c>
      <c r="I35574" s="5">
        <v>0</v>
      </c>
      <c r="J35574" s="5">
        <v>0</v>
      </c>
      <c r="K35574" s="5">
        <v>0</v>
      </c>
    </row>
    <row r="35575" spans="1:11" x14ac:dyDescent="0.25">
      <c r="A35575" s="5">
        <f>35568</f>
      </c>
      <c r="B35575" s="5" t="s">
        <v>35583</v>
      </c>
      <c r="C35575" s="5">
        <v>94.5</v>
      </c>
      <c r="D35575" s="5">
        <v>0.1</v>
      </c>
      <c r="E35575" s="5">
        <v>94.6</v>
      </c>
      <c r="F35575" s="5">
        <v>188.5</v>
      </c>
      <c r="G35575" s="5">
        <v>93.9</v>
      </c>
      <c r="H35575" s="5">
        <v>93.8</v>
      </c>
      <c r="I35575" s="5">
        <v>0</v>
      </c>
      <c r="J35575" s="5">
        <v>0</v>
      </c>
      <c r="K35575" s="5">
        <v>0</v>
      </c>
    </row>
    <row r="35576" spans="1:11" x14ac:dyDescent="0.25">
      <c r="A35576" s="5">
        <f>35569</f>
      </c>
      <c r="B35576" s="5" t="s">
        <v>35584</v>
      </c>
      <c r="C35576" s="5">
        <v>94.5</v>
      </c>
      <c r="D35576" s="5">
        <v>0.1</v>
      </c>
      <c r="E35576" s="5">
        <v>94.6</v>
      </c>
      <c r="F35576" s="5">
        <v>188.5</v>
      </c>
      <c r="G35576" s="5">
        <v>93.9</v>
      </c>
      <c r="H35576" s="5">
        <v>93.8</v>
      </c>
      <c r="I35576" s="5">
        <v>0</v>
      </c>
      <c r="J35576" s="5">
        <v>0</v>
      </c>
      <c r="K35576" s="5">
        <v>0</v>
      </c>
    </row>
    <row r="35577" spans="1:11" x14ac:dyDescent="0.25">
      <c r="A35577" s="5">
        <f>35570</f>
      </c>
      <c r="B35577" s="5" t="s">
        <v>35585</v>
      </c>
      <c r="C35577" s="5">
        <v>94.5</v>
      </c>
      <c r="D35577" s="5">
        <v>0.1</v>
      </c>
      <c r="E35577" s="5">
        <v>94.6</v>
      </c>
      <c r="F35577" s="5">
        <v>188.5</v>
      </c>
      <c r="G35577" s="5">
        <v>93.9</v>
      </c>
      <c r="H35577" s="5">
        <v>93.8</v>
      </c>
      <c r="I35577" s="5">
        <v>0</v>
      </c>
      <c r="J35577" s="5">
        <v>0</v>
      </c>
      <c r="K35577" s="5">
        <v>0</v>
      </c>
    </row>
    <row r="35578" spans="1:11" x14ac:dyDescent="0.25">
      <c r="A35578" s="5">
        <f>35571</f>
      </c>
      <c r="B35578" s="5" t="s">
        <v>35586</v>
      </c>
      <c r="C35578" s="5">
        <v>94.5</v>
      </c>
      <c r="D35578" s="5">
        <v>0.1</v>
      </c>
      <c r="E35578" s="5">
        <v>94.6</v>
      </c>
      <c r="F35578" s="5">
        <v>188.5</v>
      </c>
      <c r="G35578" s="5">
        <v>93.9</v>
      </c>
      <c r="H35578" s="5">
        <v>93.8</v>
      </c>
      <c r="I35578" s="5">
        <v>0</v>
      </c>
      <c r="J35578" s="5">
        <v>0</v>
      </c>
      <c r="K35578" s="5">
        <v>0</v>
      </c>
    </row>
    <row r="35579" spans="1:11" x14ac:dyDescent="0.25">
      <c r="A35579" s="5">
        <f>35572</f>
      </c>
      <c r="B35579" s="5" t="s">
        <v>35587</v>
      </c>
      <c r="C35579" s="5">
        <v>96.1</v>
      </c>
      <c r="D35579" s="5">
        <v>0.1</v>
      </c>
      <c r="E35579" s="5">
        <v>96.3</v>
      </c>
      <c r="F35579" s="5">
        <v>198.4</v>
      </c>
      <c r="G35579" s="5">
        <v>99.3</v>
      </c>
      <c r="H35579" s="5">
        <v>99.4</v>
      </c>
      <c r="I35579" s="5">
        <v>0</v>
      </c>
      <c r="J35579" s="5">
        <v>0</v>
      </c>
      <c r="K35579" s="5">
        <v>0</v>
      </c>
    </row>
    <row r="35580" spans="1:11" x14ac:dyDescent="0.25">
      <c r="A35580" s="5">
        <f>35573</f>
      </c>
      <c r="B35580" s="5" t="s">
        <v>35588</v>
      </c>
      <c r="C35580" s="5">
        <v>96.1</v>
      </c>
      <c r="D35580" s="5">
        <v>0.1</v>
      </c>
      <c r="E35580" s="5">
        <v>96.3</v>
      </c>
      <c r="F35580" s="5">
        <v>198.4</v>
      </c>
      <c r="G35580" s="5">
        <v>99.3</v>
      </c>
      <c r="H35580" s="5">
        <v>99.4</v>
      </c>
      <c r="I35580" s="5">
        <v>0</v>
      </c>
      <c r="J35580" s="5">
        <v>0</v>
      </c>
      <c r="K35580" s="5">
        <v>0</v>
      </c>
    </row>
    <row r="35581" spans="1:11" x14ac:dyDescent="0.25">
      <c r="A35581" s="5">
        <f>35574</f>
      </c>
      <c r="B35581" s="5" t="s">
        <v>35589</v>
      </c>
      <c r="C35581" s="5">
        <v>98.4</v>
      </c>
      <c r="D35581" s="5">
        <v>0.1</v>
      </c>
      <c r="E35581" s="5">
        <v>98.5</v>
      </c>
      <c r="F35581" s="5">
        <v>193.8</v>
      </c>
      <c r="G35581" s="5">
        <v>96.6</v>
      </c>
      <c r="H35581" s="5">
        <v>96.5</v>
      </c>
      <c r="I35581" s="5">
        <v>0</v>
      </c>
      <c r="J35581" s="5">
        <v>0</v>
      </c>
      <c r="K35581" s="5">
        <v>0</v>
      </c>
    </row>
    <row r="35582" spans="1:11" x14ac:dyDescent="0.25">
      <c r="A35582" s="5">
        <f>35575</f>
      </c>
      <c r="B35582" s="5" t="s">
        <v>35590</v>
      </c>
      <c r="C35582" s="5">
        <v>98.4</v>
      </c>
      <c r="D35582" s="5">
        <v>0.1</v>
      </c>
      <c r="E35582" s="5">
        <v>98.5</v>
      </c>
      <c r="F35582" s="5">
        <v>193.8</v>
      </c>
      <c r="G35582" s="5">
        <v>96.6</v>
      </c>
      <c r="H35582" s="5">
        <v>96.5</v>
      </c>
      <c r="I35582" s="5">
        <v>0</v>
      </c>
      <c r="J35582" s="5">
        <v>0</v>
      </c>
      <c r="K35582" s="5">
        <v>0</v>
      </c>
    </row>
    <row r="35583" spans="1:11" x14ac:dyDescent="0.25">
      <c r="A35583" s="5">
        <f>35576</f>
      </c>
      <c r="B35583" s="5" t="s">
        <v>35591</v>
      </c>
      <c r="C35583" s="5">
        <v>105</v>
      </c>
      <c r="D35583" s="5">
        <v>0.1</v>
      </c>
      <c r="E35583" s="5">
        <v>105.1</v>
      </c>
      <c r="F35583" s="5">
        <v>209.7</v>
      </c>
      <c r="G35583" s="5">
        <v>104.6</v>
      </c>
      <c r="H35583" s="5">
        <v>104.5</v>
      </c>
      <c r="I35583" s="5">
        <v>0</v>
      </c>
      <c r="J35583" s="5">
        <v>0</v>
      </c>
      <c r="K35583" s="5">
        <v>0</v>
      </c>
    </row>
    <row r="35584" spans="1:11" x14ac:dyDescent="0.25">
      <c r="A35584" s="5">
        <f>35577</f>
      </c>
      <c r="B35584" s="5" t="s">
        <v>35592</v>
      </c>
      <c r="C35584" s="5">
        <v>105</v>
      </c>
      <c r="D35584" s="5">
        <v>0.1</v>
      </c>
      <c r="E35584" s="5">
        <v>105.1</v>
      </c>
      <c r="F35584" s="5">
        <v>209.7</v>
      </c>
      <c r="G35584" s="5">
        <v>104.6</v>
      </c>
      <c r="H35584" s="5">
        <v>104.5</v>
      </c>
      <c r="I35584" s="5">
        <v>0</v>
      </c>
      <c r="J35584" s="5">
        <v>0</v>
      </c>
      <c r="K35584" s="5">
        <v>0</v>
      </c>
    </row>
    <row r="35585" spans="1:11" x14ac:dyDescent="0.25">
      <c r="A35585" s="5">
        <f>35578</f>
      </c>
      <c r="B35585" s="5" t="s">
        <v>35593</v>
      </c>
      <c r="C35585" s="5">
        <v>98.3</v>
      </c>
      <c r="D35585" s="5">
        <v>0.1</v>
      </c>
      <c r="E35585" s="5">
        <v>98.5</v>
      </c>
      <c r="F35585" s="5">
        <v>197.7</v>
      </c>
      <c r="G35585" s="5">
        <v>98.6</v>
      </c>
      <c r="H35585" s="5">
        <v>98.5</v>
      </c>
      <c r="I35585" s="5">
        <v>0</v>
      </c>
      <c r="J35585" s="5">
        <v>0</v>
      </c>
      <c r="K35585" s="5">
        <v>0</v>
      </c>
    </row>
    <row r="35586" spans="1:11" x14ac:dyDescent="0.25">
      <c r="A35586" s="5">
        <f>35579</f>
      </c>
      <c r="B35586" s="5" t="s">
        <v>35594</v>
      </c>
      <c r="C35586" s="5">
        <v>98.3</v>
      </c>
      <c r="D35586" s="5">
        <v>0.1</v>
      </c>
      <c r="E35586" s="5">
        <v>98.5</v>
      </c>
      <c r="F35586" s="5">
        <v>197.7</v>
      </c>
      <c r="G35586" s="5">
        <v>98.6</v>
      </c>
      <c r="H35586" s="5">
        <v>98.5</v>
      </c>
      <c r="I35586" s="5">
        <v>0</v>
      </c>
      <c r="J35586" s="5">
        <v>0</v>
      </c>
      <c r="K35586" s="5">
        <v>0</v>
      </c>
    </row>
    <row r="35587" spans="1:11" x14ac:dyDescent="0.25">
      <c r="A35587" s="5">
        <f>35580</f>
      </c>
      <c r="B35587" s="5" t="s">
        <v>35595</v>
      </c>
      <c r="C35587" s="5">
        <v>98.3</v>
      </c>
      <c r="D35587" s="5">
        <v>0.1</v>
      </c>
      <c r="E35587" s="5">
        <v>98.5</v>
      </c>
      <c r="F35587" s="5">
        <v>197.7</v>
      </c>
      <c r="G35587" s="5">
        <v>98.6</v>
      </c>
      <c r="H35587" s="5">
        <v>98.5</v>
      </c>
      <c r="I35587" s="5">
        <v>0</v>
      </c>
      <c r="J35587" s="5">
        <v>0</v>
      </c>
      <c r="K35587" s="5">
        <v>0</v>
      </c>
    </row>
    <row r="35588" spans="1:11" x14ac:dyDescent="0.25">
      <c r="A35588" s="5">
        <f>35581</f>
      </c>
      <c r="B35588" s="5" t="s">
        <v>35596</v>
      </c>
      <c r="C35588" s="5">
        <v>98.3</v>
      </c>
      <c r="D35588" s="5">
        <v>0.1</v>
      </c>
      <c r="E35588" s="5">
        <v>98.5</v>
      </c>
      <c r="F35588" s="5">
        <v>197.7</v>
      </c>
      <c r="G35588" s="5">
        <v>98.6</v>
      </c>
      <c r="H35588" s="5">
        <v>97.8</v>
      </c>
      <c r="I35588" s="5">
        <v>0</v>
      </c>
      <c r="J35588" s="5">
        <v>0</v>
      </c>
      <c r="K35588" s="5">
        <v>0</v>
      </c>
    </row>
    <row r="35589" spans="1:11" x14ac:dyDescent="0.25">
      <c r="A35589" s="5">
        <f>35582</f>
      </c>
      <c r="B35589" s="5" t="s">
        <v>35597</v>
      </c>
      <c r="C35589" s="5">
        <v>97</v>
      </c>
      <c r="D35589" s="5">
        <v>0.1</v>
      </c>
      <c r="E35589" s="5">
        <v>97.1</v>
      </c>
      <c r="F35589" s="5">
        <v>196.8</v>
      </c>
      <c r="G35589" s="5">
        <v>98</v>
      </c>
      <c r="H35589" s="5">
        <v>97.8</v>
      </c>
      <c r="I35589" s="5">
        <v>0</v>
      </c>
      <c r="J35589" s="5">
        <v>0</v>
      </c>
      <c r="K35589" s="5">
        <v>0</v>
      </c>
    </row>
    <row r="35590" spans="1:11" x14ac:dyDescent="0.25">
      <c r="A35590" s="5">
        <f>35583</f>
      </c>
      <c r="B35590" s="5" t="s">
        <v>35598</v>
      </c>
      <c r="C35590" s="5">
        <v>97</v>
      </c>
      <c r="D35590" s="5">
        <v>0.1</v>
      </c>
      <c r="E35590" s="5">
        <v>97.1</v>
      </c>
      <c r="F35590" s="5">
        <v>196.8</v>
      </c>
      <c r="G35590" s="5">
        <v>98</v>
      </c>
      <c r="H35590" s="5">
        <v>97.8</v>
      </c>
      <c r="I35590" s="5">
        <v>0</v>
      </c>
      <c r="J35590" s="5">
        <v>0</v>
      </c>
      <c r="K35590" s="5">
        <v>0</v>
      </c>
    </row>
    <row r="35591" spans="1:11" x14ac:dyDescent="0.25">
      <c r="A35591" s="5">
        <f>35584</f>
      </c>
      <c r="B35591" s="5" t="s">
        <v>35599</v>
      </c>
      <c r="C35591" s="5">
        <v>99.5</v>
      </c>
      <c r="D35591" s="5">
        <v>0.1</v>
      </c>
      <c r="E35591" s="5">
        <v>99.7</v>
      </c>
      <c r="F35591" s="5">
        <v>207.5</v>
      </c>
      <c r="G35591" s="5">
        <v>103.4</v>
      </c>
      <c r="H35591" s="5">
        <v>103</v>
      </c>
      <c r="I35591" s="5">
        <v>0</v>
      </c>
      <c r="J35591" s="5">
        <v>0</v>
      </c>
      <c r="K35591" s="5">
        <v>0</v>
      </c>
    </row>
    <row r="35592" spans="1:11" x14ac:dyDescent="0.25">
      <c r="A35592" s="5">
        <f>35585</f>
      </c>
      <c r="B35592" s="5" t="s">
        <v>35600</v>
      </c>
      <c r="C35592" s="5">
        <v>99.5</v>
      </c>
      <c r="D35592" s="5">
        <v>0.1</v>
      </c>
      <c r="E35592" s="5">
        <v>99.7</v>
      </c>
      <c r="F35592" s="5">
        <v>207.5</v>
      </c>
      <c r="G35592" s="5">
        <v>103.4</v>
      </c>
      <c r="H35592" s="5">
        <v>103</v>
      </c>
      <c r="I35592" s="5">
        <v>0</v>
      </c>
      <c r="J35592" s="5">
        <v>0</v>
      </c>
      <c r="K35592" s="5">
        <v>0</v>
      </c>
    </row>
    <row r="35593" spans="1:11" x14ac:dyDescent="0.25">
      <c r="A35593" s="5">
        <f>35586</f>
      </c>
      <c r="B35593" s="5" t="s">
        <v>35601</v>
      </c>
      <c r="C35593" s="5">
        <v>103.9</v>
      </c>
      <c r="D35593" s="5">
        <v>0.1</v>
      </c>
      <c r="E35593" s="5">
        <v>104</v>
      </c>
      <c r="F35593" s="5">
        <v>204.1</v>
      </c>
      <c r="G35593" s="5">
        <v>104.2</v>
      </c>
      <c r="H35593" s="5">
        <v>104.1</v>
      </c>
      <c r="I35593" s="5">
        <v>0</v>
      </c>
      <c r="J35593" s="5">
        <v>0</v>
      </c>
      <c r="K35593" s="5">
        <v>0</v>
      </c>
    </row>
    <row r="35594" spans="1:11" x14ac:dyDescent="0.25">
      <c r="A35594" s="5">
        <f>35587</f>
      </c>
      <c r="B35594" s="5" t="s">
        <v>35602</v>
      </c>
      <c r="C35594" s="5">
        <v>103.9</v>
      </c>
      <c r="D35594" s="5">
        <v>0.1</v>
      </c>
      <c r="E35594" s="5">
        <v>104</v>
      </c>
      <c r="F35594" s="5">
        <v>204.1</v>
      </c>
      <c r="G35594" s="5">
        <v>104.2</v>
      </c>
      <c r="H35594" s="5">
        <v>104.1</v>
      </c>
      <c r="I35594" s="5">
        <v>0</v>
      </c>
      <c r="J35594" s="5">
        <v>0</v>
      </c>
      <c r="K35594" s="5">
        <v>0</v>
      </c>
    </row>
    <row r="35595" spans="1:11" x14ac:dyDescent="0.25">
      <c r="A35595" s="5">
        <f>35588</f>
      </c>
      <c r="B35595" s="5" t="s">
        <v>35603</v>
      </c>
      <c r="C35595" s="5">
        <v>105.1</v>
      </c>
      <c r="D35595" s="5">
        <v>0.1</v>
      </c>
      <c r="E35595" s="5">
        <v>105.3</v>
      </c>
      <c r="F35595" s="5">
        <v>209.5</v>
      </c>
      <c r="G35595" s="5">
        <v>103.9</v>
      </c>
      <c r="H35595" s="5">
        <v>103.7</v>
      </c>
      <c r="I35595" s="5">
        <v>0</v>
      </c>
      <c r="J35595" s="5">
        <v>0</v>
      </c>
      <c r="K35595" s="5">
        <v>0</v>
      </c>
    </row>
    <row r="35596" spans="1:11" x14ac:dyDescent="0.25">
      <c r="A35596" s="5">
        <f>35589</f>
      </c>
      <c r="B35596" s="5" t="s">
        <v>35604</v>
      </c>
      <c r="C35596" s="5">
        <v>105.1</v>
      </c>
      <c r="D35596" s="5">
        <v>0.1</v>
      </c>
      <c r="E35596" s="5">
        <v>105.3</v>
      </c>
      <c r="F35596" s="5">
        <v>209.5</v>
      </c>
      <c r="G35596" s="5">
        <v>103.9</v>
      </c>
      <c r="H35596" s="5">
        <v>103.7</v>
      </c>
      <c r="I35596" s="5">
        <v>0</v>
      </c>
      <c r="J35596" s="5">
        <v>0</v>
      </c>
      <c r="K35596" s="5">
        <v>0</v>
      </c>
    </row>
    <row r="35597" spans="1:11" x14ac:dyDescent="0.25">
      <c r="A35597" s="5">
        <f>35590</f>
      </c>
      <c r="B35597" s="5" t="s">
        <v>35605</v>
      </c>
      <c r="C35597" s="5">
        <v>105.1</v>
      </c>
      <c r="D35597" s="5">
        <v>0.1</v>
      </c>
      <c r="E35597" s="5">
        <v>105.3</v>
      </c>
      <c r="F35597" s="5">
        <v>209.5</v>
      </c>
      <c r="G35597" s="5">
        <v>103.9</v>
      </c>
      <c r="H35597" s="5">
        <v>103.7</v>
      </c>
      <c r="I35597" s="5">
        <v>0</v>
      </c>
      <c r="J35597" s="5">
        <v>0</v>
      </c>
      <c r="K35597" s="5">
        <v>0</v>
      </c>
    </row>
    <row r="35598" spans="1:11" x14ac:dyDescent="0.25">
      <c r="A35598" s="5">
        <f>35591</f>
      </c>
      <c r="B35598" s="5" t="s">
        <v>35606</v>
      </c>
      <c r="C35598" s="5">
        <v>96.7</v>
      </c>
      <c r="D35598" s="5">
        <v>0.1</v>
      </c>
      <c r="E35598" s="5">
        <v>96.9</v>
      </c>
      <c r="F35598" s="5">
        <v>203.3</v>
      </c>
      <c r="G35598" s="5">
        <v>101.6</v>
      </c>
      <c r="H35598" s="5">
        <v>101.6</v>
      </c>
      <c r="I35598" s="5">
        <v>0</v>
      </c>
      <c r="J35598" s="5">
        <v>0</v>
      </c>
      <c r="K35598" s="5">
        <v>0</v>
      </c>
    </row>
    <row r="35599" spans="1:11" x14ac:dyDescent="0.25">
      <c r="A35599" s="5">
        <f>35592</f>
      </c>
      <c r="B35599" s="5" t="s">
        <v>35607</v>
      </c>
      <c r="C35599" s="5">
        <v>96.7</v>
      </c>
      <c r="D35599" s="5">
        <v>0.1</v>
      </c>
      <c r="E35599" s="5">
        <v>96.9</v>
      </c>
      <c r="F35599" s="5">
        <v>203.3</v>
      </c>
      <c r="G35599" s="5">
        <v>101.6</v>
      </c>
      <c r="H35599" s="5">
        <v>101.6</v>
      </c>
      <c r="I35599" s="5">
        <v>0</v>
      </c>
      <c r="J35599" s="5">
        <v>0</v>
      </c>
      <c r="K35599" s="5">
        <v>0</v>
      </c>
    </row>
    <row r="35600" spans="1:11" x14ac:dyDescent="0.25">
      <c r="A35600" s="5">
        <f>35593</f>
      </c>
      <c r="B35600" s="5" t="s">
        <v>35608</v>
      </c>
      <c r="C35600" s="5">
        <v>95.9</v>
      </c>
      <c r="D35600" s="5">
        <v>0.1</v>
      </c>
      <c r="E35600" s="5">
        <v>96</v>
      </c>
      <c r="F35600" s="5">
        <v>192.4</v>
      </c>
      <c r="G35600" s="5">
        <v>96</v>
      </c>
      <c r="H35600" s="5">
        <v>96</v>
      </c>
      <c r="I35600" s="5">
        <v>0</v>
      </c>
      <c r="J35600" s="5">
        <v>0</v>
      </c>
      <c r="K35600" s="5">
        <v>0</v>
      </c>
    </row>
    <row r="35601" spans="1:11" x14ac:dyDescent="0.25">
      <c r="A35601" s="5">
        <f>35594</f>
      </c>
      <c r="B35601" s="5" t="s">
        <v>35609</v>
      </c>
      <c r="C35601" s="5">
        <v>95.9</v>
      </c>
      <c r="D35601" s="5">
        <v>0.1</v>
      </c>
      <c r="E35601" s="5">
        <v>96</v>
      </c>
      <c r="F35601" s="5">
        <v>192.4</v>
      </c>
      <c r="G35601" s="5">
        <v>96</v>
      </c>
      <c r="H35601" s="5">
        <v>96</v>
      </c>
      <c r="I35601" s="5">
        <v>0</v>
      </c>
      <c r="J35601" s="5">
        <v>0</v>
      </c>
      <c r="K35601" s="5">
        <v>0</v>
      </c>
    </row>
    <row r="35602" spans="1:11" x14ac:dyDescent="0.25">
      <c r="A35602" s="5">
        <f>35595</f>
      </c>
      <c r="B35602" s="5" t="s">
        <v>35610</v>
      </c>
      <c r="C35602" s="5">
        <v>98.7</v>
      </c>
      <c r="D35602" s="5">
        <v>0.1</v>
      </c>
      <c r="E35602" s="5">
        <v>98.9</v>
      </c>
      <c r="F35602" s="5">
        <v>199.5</v>
      </c>
      <c r="G35602" s="5">
        <v>99.4</v>
      </c>
      <c r="H35602" s="5">
        <v>99.1</v>
      </c>
      <c r="I35602" s="5">
        <v>0</v>
      </c>
      <c r="J35602" s="5">
        <v>0</v>
      </c>
      <c r="K35602" s="5">
        <v>0</v>
      </c>
    </row>
    <row r="35603" spans="1:11" x14ac:dyDescent="0.25">
      <c r="A35603" s="5">
        <f>35596</f>
      </c>
      <c r="B35603" s="5" t="s">
        <v>35611</v>
      </c>
      <c r="C35603" s="5">
        <v>98.7</v>
      </c>
      <c r="D35603" s="5">
        <v>0.1</v>
      </c>
      <c r="E35603" s="5">
        <v>98.9</v>
      </c>
      <c r="F35603" s="5">
        <v>199.5</v>
      </c>
      <c r="G35603" s="5">
        <v>99.4</v>
      </c>
      <c r="H35603" s="5">
        <v>99.1</v>
      </c>
      <c r="I35603" s="5">
        <v>0</v>
      </c>
      <c r="J35603" s="5">
        <v>0</v>
      </c>
      <c r="K35603" s="5">
        <v>0</v>
      </c>
    </row>
    <row r="35604" spans="1:11" x14ac:dyDescent="0.25">
      <c r="A35604" s="5">
        <f>35597</f>
      </c>
      <c r="B35604" s="5" t="s">
        <v>35612</v>
      </c>
      <c r="C35604" s="5">
        <v>98.7</v>
      </c>
      <c r="D35604" s="5">
        <v>0.1</v>
      </c>
      <c r="E35604" s="5">
        <v>97.3</v>
      </c>
      <c r="F35604" s="5">
        <v>194.4</v>
      </c>
      <c r="G35604" s="5">
        <v>97</v>
      </c>
      <c r="H35604" s="5">
        <v>96.9</v>
      </c>
      <c r="I35604" s="5">
        <v>0</v>
      </c>
      <c r="J35604" s="5">
        <v>0</v>
      </c>
      <c r="K35604" s="5">
        <v>0</v>
      </c>
    </row>
    <row r="35605" spans="1:11" x14ac:dyDescent="0.25">
      <c r="A35605" s="5">
        <f>35598</f>
      </c>
      <c r="B35605" s="5" t="s">
        <v>35613</v>
      </c>
      <c r="C35605" s="5">
        <v>97.1</v>
      </c>
      <c r="D35605" s="5">
        <v>0.1</v>
      </c>
      <c r="E35605" s="5">
        <v>97.3</v>
      </c>
      <c r="F35605" s="5">
        <v>194.4</v>
      </c>
      <c r="G35605" s="5">
        <v>97</v>
      </c>
      <c r="H35605" s="5">
        <v>96.9</v>
      </c>
      <c r="I35605" s="5">
        <v>0</v>
      </c>
      <c r="J35605" s="5">
        <v>0</v>
      </c>
      <c r="K35605" s="5">
        <v>0</v>
      </c>
    </row>
    <row r="35606" spans="1:11" x14ac:dyDescent="0.25">
      <c r="A35606" s="5">
        <f>35599</f>
      </c>
      <c r="B35606" s="5" t="s">
        <v>35614</v>
      </c>
      <c r="C35606" s="5">
        <v>97.1</v>
      </c>
      <c r="D35606" s="5">
        <v>0.1</v>
      </c>
      <c r="E35606" s="5">
        <v>97.3</v>
      </c>
      <c r="F35606" s="5">
        <v>194.4</v>
      </c>
      <c r="G35606" s="5">
        <v>97</v>
      </c>
      <c r="H35606" s="5">
        <v>96.9</v>
      </c>
      <c r="I35606" s="5">
        <v>0</v>
      </c>
      <c r="J35606" s="5">
        <v>0</v>
      </c>
      <c r="K35606" s="5">
        <v>0</v>
      </c>
    </row>
    <row r="35607" spans="1:11" x14ac:dyDescent="0.25">
      <c r="A35607" s="5">
        <f>35600</f>
      </c>
      <c r="B35607" s="5" t="s">
        <v>35615</v>
      </c>
      <c r="C35607" s="5">
        <v>97.1</v>
      </c>
      <c r="D35607" s="5">
        <v>0.1</v>
      </c>
      <c r="E35607" s="5">
        <v>97.3</v>
      </c>
      <c r="F35607" s="5">
        <v>194.4</v>
      </c>
      <c r="G35607" s="5">
        <v>97</v>
      </c>
      <c r="H35607" s="5">
        <v>96.9</v>
      </c>
      <c r="I35607" s="5">
        <v>0</v>
      </c>
      <c r="J35607" s="5">
        <v>0</v>
      </c>
      <c r="K35607" s="5">
        <v>0</v>
      </c>
    </row>
    <row r="35608" spans="1:11" x14ac:dyDescent="0.25">
      <c r="A35608" s="5">
        <f>35601</f>
      </c>
      <c r="B35608" s="5" t="s">
        <v>35616</v>
      </c>
      <c r="C35608" s="5">
        <v>96.4</v>
      </c>
      <c r="D35608" s="5">
        <v>0.1</v>
      </c>
      <c r="E35608" s="5">
        <v>96.5</v>
      </c>
      <c r="F35608" s="5">
        <v>207.6</v>
      </c>
      <c r="G35608" s="5">
        <v>103.5</v>
      </c>
      <c r="H35608" s="5">
        <v>103.4</v>
      </c>
      <c r="I35608" s="5">
        <v>0</v>
      </c>
      <c r="J35608" s="5">
        <v>0</v>
      </c>
      <c r="K35608" s="5">
        <v>0</v>
      </c>
    </row>
    <row r="35609" spans="1:11" x14ac:dyDescent="0.25">
      <c r="A35609" s="5">
        <f>35602</f>
      </c>
      <c r="B35609" s="5" t="s">
        <v>35617</v>
      </c>
      <c r="C35609" s="5">
        <v>96.4</v>
      </c>
      <c r="D35609" s="5">
        <v>0.1</v>
      </c>
      <c r="E35609" s="5">
        <v>96.5</v>
      </c>
      <c r="F35609" s="5">
        <v>207.6</v>
      </c>
      <c r="G35609" s="5">
        <v>103.5</v>
      </c>
      <c r="H35609" s="5">
        <v>103.4</v>
      </c>
      <c r="I35609" s="5">
        <v>0</v>
      </c>
      <c r="J35609" s="5">
        <v>0</v>
      </c>
      <c r="K35609" s="5">
        <v>0</v>
      </c>
    </row>
    <row r="35610" spans="1:11" x14ac:dyDescent="0.25">
      <c r="A35610" s="5">
        <f>35603</f>
      </c>
      <c r="B35610" s="5" t="s">
        <v>35618</v>
      </c>
      <c r="C35610" s="5">
        <v>102.4</v>
      </c>
      <c r="D35610" s="5">
        <v>0.1</v>
      </c>
      <c r="E35610" s="5">
        <v>102.6</v>
      </c>
      <c r="F35610" s="5">
        <v>204.2</v>
      </c>
      <c r="G35610" s="5">
        <v>101.9</v>
      </c>
      <c r="H35610" s="5">
        <v>101.8</v>
      </c>
      <c r="I35610" s="5">
        <v>0</v>
      </c>
      <c r="J35610" s="5">
        <v>0</v>
      </c>
      <c r="K35610" s="5">
        <v>0</v>
      </c>
    </row>
    <row r="35611" spans="1:11" x14ac:dyDescent="0.25">
      <c r="A35611" s="5">
        <f>35604</f>
      </c>
      <c r="B35611" s="5" t="s">
        <v>35619</v>
      </c>
      <c r="C35611" s="5">
        <v>102.4</v>
      </c>
      <c r="D35611" s="5">
        <v>0.1</v>
      </c>
      <c r="E35611" s="5">
        <v>102.6</v>
      </c>
      <c r="F35611" s="5">
        <v>204.2</v>
      </c>
      <c r="G35611" s="5">
        <v>101.9</v>
      </c>
      <c r="H35611" s="5">
        <v>101.8</v>
      </c>
      <c r="I35611" s="5">
        <v>0</v>
      </c>
      <c r="J35611" s="5">
        <v>0</v>
      </c>
      <c r="K35611" s="5">
        <v>0</v>
      </c>
    </row>
    <row r="35612" spans="1:11" x14ac:dyDescent="0.25">
      <c r="A35612" s="5">
        <f>35605</f>
      </c>
      <c r="B35612" s="5" t="s">
        <v>35620</v>
      </c>
      <c r="C35612" s="5">
        <v>103.6</v>
      </c>
      <c r="D35612" s="5">
        <v>0.1</v>
      </c>
      <c r="E35612" s="5">
        <v>103.7</v>
      </c>
      <c r="F35612" s="5">
        <v>204.2</v>
      </c>
      <c r="G35612" s="5">
        <v>100</v>
      </c>
      <c r="H35612" s="5">
        <v>99.9</v>
      </c>
      <c r="I35612" s="5">
        <v>0</v>
      </c>
      <c r="J35612" s="5">
        <v>0</v>
      </c>
      <c r="K35612" s="5">
        <v>0</v>
      </c>
    </row>
    <row r="35613" spans="1:11" x14ac:dyDescent="0.25">
      <c r="A35613" s="5">
        <f>35606</f>
      </c>
      <c r="B35613" s="5" t="s">
        <v>35621</v>
      </c>
      <c r="C35613" s="5">
        <v>103.6</v>
      </c>
      <c r="D35613" s="5">
        <v>0.1</v>
      </c>
      <c r="E35613" s="5">
        <v>103.7</v>
      </c>
      <c r="F35613" s="5">
        <v>204.2</v>
      </c>
      <c r="G35613" s="5">
        <v>100</v>
      </c>
      <c r="H35613" s="5">
        <v>99.9</v>
      </c>
      <c r="I35613" s="5">
        <v>0</v>
      </c>
      <c r="J35613" s="5">
        <v>0</v>
      </c>
      <c r="K35613" s="5">
        <v>0</v>
      </c>
    </row>
    <row r="35614" spans="1:11" x14ac:dyDescent="0.25">
      <c r="A35614" s="5">
        <f>35607</f>
      </c>
      <c r="B35614" s="5" t="s">
        <v>35622</v>
      </c>
      <c r="C35614" s="5">
        <v>100.3</v>
      </c>
      <c r="D35614" s="5">
        <v>0.1</v>
      </c>
      <c r="E35614" s="5">
        <v>100.5</v>
      </c>
      <c r="F35614" s="5">
        <v>201.5</v>
      </c>
      <c r="G35614" s="5">
        <v>100.4</v>
      </c>
      <c r="H35614" s="5">
        <v>101.4</v>
      </c>
      <c r="I35614" s="5">
        <v>0</v>
      </c>
      <c r="J35614" s="5">
        <v>0</v>
      </c>
      <c r="K35614" s="5">
        <v>0</v>
      </c>
    </row>
    <row r="35615" spans="1:11" x14ac:dyDescent="0.25">
      <c r="A35615" s="5">
        <f>35608</f>
      </c>
      <c r="B35615" s="5" t="s">
        <v>35623</v>
      </c>
      <c r="C35615" s="5">
        <v>100.3</v>
      </c>
      <c r="D35615" s="5">
        <v>0.1</v>
      </c>
      <c r="E35615" s="5">
        <v>100.5</v>
      </c>
      <c r="F35615" s="5">
        <v>201.5</v>
      </c>
      <c r="G35615" s="5">
        <v>100.4</v>
      </c>
      <c r="H35615" s="5">
        <v>101.4</v>
      </c>
      <c r="I35615" s="5">
        <v>0</v>
      </c>
      <c r="J35615" s="5">
        <v>0</v>
      </c>
      <c r="K35615" s="5">
        <v>0</v>
      </c>
    </row>
    <row r="35616" spans="1:11" x14ac:dyDescent="0.25">
      <c r="A35616" s="5">
        <f>35609</f>
      </c>
      <c r="B35616" s="5" t="s">
        <v>35624</v>
      </c>
      <c r="C35616" s="5">
        <v>100.3</v>
      </c>
      <c r="D35616" s="5">
        <v>0.1</v>
      </c>
      <c r="E35616" s="5">
        <v>100.5</v>
      </c>
      <c r="F35616" s="5">
        <v>201.5</v>
      </c>
      <c r="G35616" s="5">
        <v>100.4</v>
      </c>
      <c r="H35616" s="5">
        <v>101.4</v>
      </c>
      <c r="I35616" s="5">
        <v>0</v>
      </c>
      <c r="J35616" s="5">
        <v>0</v>
      </c>
      <c r="K35616" s="5">
        <v>0</v>
      </c>
    </row>
    <row r="35617" spans="1:11" x14ac:dyDescent="0.25">
      <c r="A35617" s="5">
        <f>35610</f>
      </c>
      <c r="B35617" s="5" t="s">
        <v>35625</v>
      </c>
      <c r="C35617" s="5">
        <v>100.3</v>
      </c>
      <c r="D35617" s="5">
        <v>0.1</v>
      </c>
      <c r="E35617" s="5">
        <v>100.5</v>
      </c>
      <c r="F35617" s="5">
        <v>201.5</v>
      </c>
      <c r="G35617" s="5">
        <v>100.4</v>
      </c>
      <c r="H35617" s="5">
        <v>101.4</v>
      </c>
      <c r="I35617" s="5">
        <v>0</v>
      </c>
      <c r="J35617" s="5">
        <v>0</v>
      </c>
      <c r="K35617" s="5">
        <v>0</v>
      </c>
    </row>
    <row r="35618" spans="1:11" x14ac:dyDescent="0.25">
      <c r="A35618" s="5">
        <f>35611</f>
      </c>
      <c r="B35618" s="5" t="s">
        <v>35626</v>
      </c>
      <c r="C35618" s="5">
        <v>98</v>
      </c>
      <c r="D35618" s="5">
        <v>0.1</v>
      </c>
      <c r="E35618" s="5">
        <v>98.2</v>
      </c>
      <c r="F35618" s="5">
        <v>200.3</v>
      </c>
      <c r="G35618" s="5">
        <v>99.8</v>
      </c>
      <c r="H35618" s="5">
        <v>99.4</v>
      </c>
      <c r="I35618" s="5">
        <v>0</v>
      </c>
      <c r="J35618" s="5">
        <v>0</v>
      </c>
      <c r="K35618" s="5">
        <v>0</v>
      </c>
    </row>
    <row r="35619" spans="1:11" x14ac:dyDescent="0.25">
      <c r="A35619" s="5">
        <f>35612</f>
      </c>
      <c r="B35619" s="5" t="s">
        <v>35627</v>
      </c>
      <c r="C35619" s="5">
        <v>98</v>
      </c>
      <c r="D35619" s="5">
        <v>0.1</v>
      </c>
      <c r="E35619" s="5">
        <v>98.2</v>
      </c>
      <c r="F35619" s="5">
        <v>200.3</v>
      </c>
      <c r="G35619" s="5">
        <v>99.8</v>
      </c>
      <c r="H35619" s="5">
        <v>99.4</v>
      </c>
      <c r="I35619" s="5">
        <v>0</v>
      </c>
      <c r="J35619" s="5">
        <v>0</v>
      </c>
      <c r="K35619" s="5">
        <v>0</v>
      </c>
    </row>
    <row r="35620" spans="1:11" x14ac:dyDescent="0.25">
      <c r="A35620" s="5">
        <f>35613</f>
      </c>
      <c r="B35620" s="5" t="s">
        <v>35628</v>
      </c>
      <c r="C35620" s="5">
        <v>105</v>
      </c>
      <c r="D35620" s="5">
        <v>0.1</v>
      </c>
      <c r="E35620" s="5">
        <v>105.1</v>
      </c>
      <c r="F35620" s="5">
        <v>202.3</v>
      </c>
      <c r="G35620" s="5">
        <v>101.2</v>
      </c>
      <c r="H35620" s="5">
        <v>101.4</v>
      </c>
      <c r="I35620" s="5">
        <v>0</v>
      </c>
      <c r="J35620" s="5">
        <v>0</v>
      </c>
      <c r="K35620" s="5">
        <v>0</v>
      </c>
    </row>
    <row r="35621" spans="1:11" x14ac:dyDescent="0.25">
      <c r="A35621" s="5">
        <f>35614</f>
      </c>
      <c r="B35621" s="5" t="s">
        <v>35629</v>
      </c>
      <c r="C35621" s="5">
        <v>105</v>
      </c>
      <c r="D35621" s="5">
        <v>0.1</v>
      </c>
      <c r="E35621" s="5">
        <v>105.1</v>
      </c>
      <c r="F35621" s="5">
        <v>202.3</v>
      </c>
      <c r="G35621" s="5">
        <v>101.2</v>
      </c>
      <c r="H35621" s="5">
        <v>101.4</v>
      </c>
      <c r="I35621" s="5">
        <v>0</v>
      </c>
      <c r="J35621" s="5">
        <v>0</v>
      </c>
      <c r="K35621" s="5">
        <v>0</v>
      </c>
    </row>
    <row r="35622" spans="1:11" x14ac:dyDescent="0.25">
      <c r="A35622" s="5">
        <f>35615</f>
      </c>
      <c r="B35622" s="5" t="s">
        <v>35630</v>
      </c>
      <c r="C35622" s="5">
        <v>99.5</v>
      </c>
      <c r="D35622" s="5">
        <v>0.1</v>
      </c>
      <c r="E35622" s="5">
        <v>99.5</v>
      </c>
      <c r="F35622" s="5">
        <v>197.9</v>
      </c>
      <c r="G35622" s="5">
        <v>98.8</v>
      </c>
      <c r="H35622" s="5">
        <v>98.6</v>
      </c>
      <c r="I35622" s="5">
        <v>0</v>
      </c>
      <c r="J35622" s="5">
        <v>0</v>
      </c>
      <c r="K35622" s="5">
        <v>0</v>
      </c>
    </row>
    <row r="35623" spans="1:11" x14ac:dyDescent="0.25">
      <c r="A35623" s="5">
        <f>35616</f>
      </c>
      <c r="B35623" s="5" t="s">
        <v>35631</v>
      </c>
      <c r="C35623" s="5">
        <v>99.5</v>
      </c>
      <c r="D35623" s="5">
        <v>0.1</v>
      </c>
      <c r="E35623" s="5">
        <v>99.5</v>
      </c>
      <c r="F35623" s="5">
        <v>197.9</v>
      </c>
      <c r="G35623" s="5">
        <v>98.8</v>
      </c>
      <c r="H35623" s="5">
        <v>98.6</v>
      </c>
      <c r="I35623" s="5">
        <v>0</v>
      </c>
      <c r="J35623" s="5">
        <v>0</v>
      </c>
      <c r="K35623" s="5">
        <v>0</v>
      </c>
    </row>
    <row r="35624" spans="1:11" x14ac:dyDescent="0.25">
      <c r="A35624" s="5">
        <f>35617</f>
      </c>
      <c r="B35624" s="5" t="s">
        <v>35632</v>
      </c>
      <c r="C35624" s="5">
        <v>98.6</v>
      </c>
      <c r="D35624" s="5">
        <v>0.1</v>
      </c>
      <c r="E35624" s="5">
        <v>98.8</v>
      </c>
      <c r="F35624" s="5">
        <v>201.6</v>
      </c>
      <c r="G35624" s="5">
        <v>100.3</v>
      </c>
      <c r="H35624" s="5">
        <v>99.9</v>
      </c>
      <c r="I35624" s="5">
        <v>0</v>
      </c>
      <c r="J35624" s="5">
        <v>0</v>
      </c>
      <c r="K35624" s="5">
        <v>0</v>
      </c>
    </row>
    <row r="35625" spans="1:11" x14ac:dyDescent="0.25">
      <c r="A35625" s="5">
        <f>35618</f>
      </c>
      <c r="B35625" s="5" t="s">
        <v>35633</v>
      </c>
      <c r="C35625" s="5">
        <v>98.6</v>
      </c>
      <c r="D35625" s="5">
        <v>0.1</v>
      </c>
      <c r="E35625" s="5">
        <v>98.8</v>
      </c>
      <c r="F35625" s="5">
        <v>201.6</v>
      </c>
      <c r="G35625" s="5">
        <v>100.3</v>
      </c>
      <c r="H35625" s="5">
        <v>99.9</v>
      </c>
      <c r="I35625" s="5">
        <v>0</v>
      </c>
      <c r="J35625" s="5">
        <v>0</v>
      </c>
      <c r="K35625" s="5">
        <v>0</v>
      </c>
    </row>
    <row r="35626" spans="1:11" x14ac:dyDescent="0.25">
      <c r="A35626" s="5">
        <f>35619</f>
      </c>
      <c r="B35626" s="5" t="s">
        <v>35634</v>
      </c>
      <c r="C35626" s="5">
        <v>98.6</v>
      </c>
      <c r="D35626" s="5">
        <v>0.1</v>
      </c>
      <c r="E35626" s="5">
        <v>98.8</v>
      </c>
      <c r="F35626" s="5">
        <v>201.6</v>
      </c>
      <c r="G35626" s="5">
        <v>100.3</v>
      </c>
      <c r="H35626" s="5">
        <v>99.9</v>
      </c>
      <c r="I35626" s="5">
        <v>0</v>
      </c>
      <c r="J35626" s="5">
        <v>0</v>
      </c>
      <c r="K35626" s="5">
        <v>0</v>
      </c>
    </row>
    <row r="35627" spans="1:11" x14ac:dyDescent="0.25">
      <c r="A35627" s="5">
        <f>35620</f>
      </c>
      <c r="B35627" s="5" t="s">
        <v>35635</v>
      </c>
      <c r="C35627" s="5">
        <v>98.6</v>
      </c>
      <c r="D35627" s="5">
        <v>0.1</v>
      </c>
      <c r="E35627" s="5">
        <v>98.8</v>
      </c>
      <c r="F35627" s="5">
        <v>201.6</v>
      </c>
      <c r="G35627" s="5">
        <v>100.3</v>
      </c>
      <c r="H35627" s="5">
        <v>99.9</v>
      </c>
      <c r="I35627" s="5">
        <v>0</v>
      </c>
      <c r="J35627" s="5">
        <v>0</v>
      </c>
      <c r="K35627" s="5">
        <v>0</v>
      </c>
    </row>
    <row r="35628" spans="1:11" x14ac:dyDescent="0.25">
      <c r="A35628" s="5">
        <f>35621</f>
      </c>
      <c r="B35628" s="5" t="s">
        <v>35636</v>
      </c>
      <c r="C35628" s="5">
        <v>98.1</v>
      </c>
      <c r="D35628" s="5">
        <v>0.1</v>
      </c>
      <c r="E35628" s="5">
        <v>98.3</v>
      </c>
      <c r="F35628" s="5">
        <v>212.1</v>
      </c>
      <c r="G35628" s="5">
        <v>105.9</v>
      </c>
      <c r="H35628" s="5">
        <v>105.7</v>
      </c>
      <c r="I35628" s="5">
        <v>0</v>
      </c>
      <c r="J35628" s="5">
        <v>0</v>
      </c>
      <c r="K35628" s="5">
        <v>0</v>
      </c>
    </row>
    <row r="35629" spans="1:11" x14ac:dyDescent="0.25">
      <c r="A35629" s="5">
        <f>35622</f>
      </c>
      <c r="B35629" s="5" t="s">
        <v>35637</v>
      </c>
      <c r="C35629" s="5">
        <v>98.1</v>
      </c>
      <c r="D35629" s="5">
        <v>0.1</v>
      </c>
      <c r="E35629" s="5">
        <v>98.3</v>
      </c>
      <c r="F35629" s="5">
        <v>212.1</v>
      </c>
      <c r="G35629" s="5">
        <v>105.9</v>
      </c>
      <c r="H35629" s="5">
        <v>105.7</v>
      </c>
      <c r="I35629" s="5">
        <v>0</v>
      </c>
      <c r="J35629" s="5">
        <v>0</v>
      </c>
      <c r="K35629" s="5">
        <v>0</v>
      </c>
    </row>
    <row r="35630" spans="1:11" x14ac:dyDescent="0.25">
      <c r="A35630" s="5">
        <f>35623</f>
      </c>
      <c r="B35630" s="5" t="s">
        <v>35638</v>
      </c>
      <c r="C35630" s="5">
        <v>105</v>
      </c>
      <c r="D35630" s="5">
        <v>0.1</v>
      </c>
      <c r="E35630" s="5">
        <v>105.2</v>
      </c>
      <c r="F35630" s="5">
        <v>209.6</v>
      </c>
      <c r="G35630" s="5">
        <v>104.6</v>
      </c>
      <c r="H35630" s="5">
        <v>104.4</v>
      </c>
      <c r="I35630" s="5">
        <v>0</v>
      </c>
      <c r="J35630" s="5">
        <v>0</v>
      </c>
      <c r="K35630" s="5">
        <v>0</v>
      </c>
    </row>
    <row r="35631" spans="1:11" x14ac:dyDescent="0.25">
      <c r="A35631" s="5">
        <f>35624</f>
      </c>
      <c r="B35631" s="5" t="s">
        <v>35639</v>
      </c>
      <c r="C35631" s="5">
        <v>105</v>
      </c>
      <c r="D35631" s="5">
        <v>0.1</v>
      </c>
      <c r="E35631" s="5">
        <v>105.2</v>
      </c>
      <c r="F35631" s="5">
        <v>209.6</v>
      </c>
      <c r="G35631" s="5">
        <v>104.6</v>
      </c>
      <c r="H35631" s="5">
        <v>104.4</v>
      </c>
      <c r="I35631" s="5">
        <v>0</v>
      </c>
      <c r="J35631" s="5">
        <v>0</v>
      </c>
      <c r="K35631" s="5">
        <v>0</v>
      </c>
    </row>
    <row r="35632" spans="1:11" x14ac:dyDescent="0.25">
      <c r="A35632" s="5">
        <f>35625</f>
      </c>
      <c r="B35632" s="5" t="s">
        <v>35640</v>
      </c>
      <c r="C35632" s="5">
        <v>99.1</v>
      </c>
      <c r="D35632" s="5">
        <v>0.1</v>
      </c>
      <c r="E35632" s="5">
        <v>99.2</v>
      </c>
      <c r="F35632" s="5">
        <v>205.8</v>
      </c>
      <c r="G35632" s="5">
        <v>105</v>
      </c>
      <c r="H35632" s="5">
        <v>104.9</v>
      </c>
      <c r="I35632" s="5">
        <v>0</v>
      </c>
      <c r="J35632" s="5">
        <v>0</v>
      </c>
      <c r="K35632" s="5">
        <v>0</v>
      </c>
    </row>
    <row r="35633" spans="1:11" x14ac:dyDescent="0.25">
      <c r="A35633" s="5">
        <f>35626</f>
      </c>
      <c r="B35633" s="5" t="s">
        <v>35641</v>
      </c>
      <c r="C35633" s="5">
        <v>99.1</v>
      </c>
      <c r="D35633" s="5">
        <v>0.1</v>
      </c>
      <c r="E35633" s="5">
        <v>99.2</v>
      </c>
      <c r="F35633" s="5">
        <v>205.8</v>
      </c>
      <c r="G35633" s="5">
        <v>105</v>
      </c>
      <c r="H35633" s="5">
        <v>104.9</v>
      </c>
      <c r="I35633" s="5">
        <v>0</v>
      </c>
      <c r="J35633" s="5">
        <v>0</v>
      </c>
      <c r="K35633" s="5">
        <v>0</v>
      </c>
    </row>
    <row r="35634" spans="1:11" x14ac:dyDescent="0.25">
      <c r="A35634" s="5">
        <f>35627</f>
      </c>
      <c r="B35634" s="5" t="s">
        <v>35642</v>
      </c>
      <c r="C35634" s="5">
        <v>99.1</v>
      </c>
      <c r="D35634" s="5">
        <v>0.1</v>
      </c>
      <c r="E35634" s="5">
        <v>99.2</v>
      </c>
      <c r="F35634" s="5">
        <v>198.7</v>
      </c>
      <c r="G35634" s="5">
        <v>99.2</v>
      </c>
      <c r="H35634" s="5">
        <v>99.1</v>
      </c>
      <c r="I35634" s="5">
        <v>0</v>
      </c>
      <c r="J35634" s="5">
        <v>0</v>
      </c>
      <c r="K35634" s="5">
        <v>0</v>
      </c>
    </row>
    <row r="35635" spans="1:11" x14ac:dyDescent="0.25">
      <c r="A35635" s="5">
        <f>35628</f>
      </c>
      <c r="B35635" s="5" t="s">
        <v>35643</v>
      </c>
      <c r="C35635" s="5">
        <v>99.1</v>
      </c>
      <c r="D35635" s="5">
        <v>0.1</v>
      </c>
      <c r="E35635" s="5">
        <v>99.2</v>
      </c>
      <c r="F35635" s="5">
        <v>198.7</v>
      </c>
      <c r="G35635" s="5">
        <v>99.2</v>
      </c>
      <c r="H35635" s="5">
        <v>99.1</v>
      </c>
      <c r="I35635" s="5">
        <v>0</v>
      </c>
      <c r="J35635" s="5">
        <v>0</v>
      </c>
      <c r="K35635" s="5">
        <v>0</v>
      </c>
    </row>
    <row r="35636" spans="1:11" x14ac:dyDescent="0.25">
      <c r="A35636" s="5">
        <f>35629</f>
      </c>
      <c r="B35636" s="5" t="s">
        <v>35644</v>
      </c>
      <c r="C35636" s="5">
        <v>99.1</v>
      </c>
      <c r="D35636" s="5">
        <v>0.1</v>
      </c>
      <c r="E35636" s="5">
        <v>99.2</v>
      </c>
      <c r="F35636" s="5">
        <v>198.7</v>
      </c>
      <c r="G35636" s="5">
        <v>99.2</v>
      </c>
      <c r="H35636" s="5">
        <v>99.1</v>
      </c>
      <c r="I35636" s="5">
        <v>0</v>
      </c>
      <c r="J35636" s="5">
        <v>0</v>
      </c>
      <c r="K35636" s="5">
        <v>0</v>
      </c>
    </row>
    <row r="35637" spans="1:11" x14ac:dyDescent="0.25">
      <c r="A35637" s="5">
        <f>35630</f>
      </c>
      <c r="B35637" s="5" t="s">
        <v>35645</v>
      </c>
      <c r="C35637" s="5">
        <v>99.1</v>
      </c>
      <c r="D35637" s="5">
        <v>0.1</v>
      </c>
      <c r="E35637" s="5">
        <v>99.2</v>
      </c>
      <c r="F35637" s="5">
        <v>198.7</v>
      </c>
      <c r="G35637" s="5">
        <v>99.2</v>
      </c>
      <c r="H35637" s="5">
        <v>99.1</v>
      </c>
      <c r="I35637" s="5">
        <v>0</v>
      </c>
      <c r="J35637" s="5">
        <v>0</v>
      </c>
      <c r="K35637" s="5">
        <v>0</v>
      </c>
    </row>
    <row r="35638" spans="1:11" x14ac:dyDescent="0.25">
      <c r="A35638" s="5">
        <f>35631</f>
      </c>
      <c r="B35638" s="5" t="s">
        <v>35646</v>
      </c>
      <c r="C35638" s="5">
        <v>102.8</v>
      </c>
      <c r="D35638" s="5">
        <v>0.1</v>
      </c>
      <c r="E35638" s="5">
        <v>102.9</v>
      </c>
      <c r="F35638" s="5">
        <v>210.2</v>
      </c>
      <c r="G35638" s="5">
        <v>104.9</v>
      </c>
      <c r="H35638" s="5">
        <v>104.6</v>
      </c>
      <c r="I35638" s="5">
        <v>0</v>
      </c>
      <c r="J35638" s="5">
        <v>0</v>
      </c>
      <c r="K35638" s="5">
        <v>0</v>
      </c>
    </row>
    <row r="35639" spans="1:11" x14ac:dyDescent="0.25">
      <c r="A35639" s="5">
        <f>35632</f>
      </c>
      <c r="B35639" s="5" t="s">
        <v>35647</v>
      </c>
      <c r="C35639" s="5">
        <v>102.8</v>
      </c>
      <c r="D35639" s="5">
        <v>0.1</v>
      </c>
      <c r="E35639" s="5">
        <v>102.9</v>
      </c>
      <c r="F35639" s="5">
        <v>210.2</v>
      </c>
      <c r="G35639" s="5">
        <v>104.9</v>
      </c>
      <c r="H35639" s="5">
        <v>104.6</v>
      </c>
      <c r="I35639" s="5">
        <v>0</v>
      </c>
      <c r="J35639" s="5">
        <v>0</v>
      </c>
      <c r="K35639" s="5">
        <v>0</v>
      </c>
    </row>
    <row r="35640" spans="1:11" x14ac:dyDescent="0.25">
      <c r="A35640" s="5">
        <f>35633</f>
      </c>
      <c r="B35640" s="5" t="s">
        <v>35648</v>
      </c>
      <c r="C35640" s="5">
        <v>105</v>
      </c>
      <c r="D35640" s="5">
        <v>0.1</v>
      </c>
      <c r="E35640" s="5">
        <v>105.1</v>
      </c>
      <c r="F35640" s="5">
        <v>209.7</v>
      </c>
      <c r="G35640" s="5">
        <v>104.6</v>
      </c>
      <c r="H35640" s="5">
        <v>104.5</v>
      </c>
      <c r="I35640" s="5">
        <v>0</v>
      </c>
      <c r="J35640" s="5">
        <v>0</v>
      </c>
      <c r="K35640" s="5">
        <v>0</v>
      </c>
    </row>
    <row r="35641" spans="1:11" x14ac:dyDescent="0.25">
      <c r="A35641" s="5">
        <f>35634</f>
      </c>
      <c r="B35641" s="5" t="s">
        <v>35649</v>
      </c>
      <c r="C35641" s="5">
        <v>105</v>
      </c>
      <c r="D35641" s="5">
        <v>0.1</v>
      </c>
      <c r="E35641" s="5">
        <v>105.1</v>
      </c>
      <c r="F35641" s="5">
        <v>209.7</v>
      </c>
      <c r="G35641" s="5">
        <v>104.6</v>
      </c>
      <c r="H35641" s="5">
        <v>104.5</v>
      </c>
      <c r="I35641" s="5">
        <v>0</v>
      </c>
      <c r="J35641" s="5">
        <v>0</v>
      </c>
      <c r="K35641" s="5">
        <v>0</v>
      </c>
    </row>
    <row r="35642" spans="1:11" x14ac:dyDescent="0.25">
      <c r="A35642" s="5">
        <f>35635</f>
      </c>
      <c r="B35642" s="5" t="s">
        <v>35650</v>
      </c>
      <c r="C35642" s="5">
        <v>105.2</v>
      </c>
      <c r="D35642" s="5">
        <v>0.1</v>
      </c>
      <c r="E35642" s="5">
        <v>105.3</v>
      </c>
      <c r="F35642" s="5">
        <v>208.9</v>
      </c>
      <c r="G35642" s="5">
        <v>104.3</v>
      </c>
      <c r="H35642" s="5">
        <v>104.2</v>
      </c>
      <c r="I35642" s="5">
        <v>0</v>
      </c>
      <c r="J35642" s="5">
        <v>0</v>
      </c>
      <c r="K35642" s="5">
        <v>0</v>
      </c>
    </row>
    <row r="35643" spans="1:11" x14ac:dyDescent="0.25">
      <c r="A35643" s="5">
        <f>35636</f>
      </c>
      <c r="B35643" s="5" t="s">
        <v>35651</v>
      </c>
      <c r="C35643" s="5">
        <v>105.2</v>
      </c>
      <c r="D35643" s="5">
        <v>0.1</v>
      </c>
      <c r="E35643" s="5">
        <v>105.3</v>
      </c>
      <c r="F35643" s="5">
        <v>208.9</v>
      </c>
      <c r="G35643" s="5">
        <v>104.3</v>
      </c>
      <c r="H35643" s="5">
        <v>104.2</v>
      </c>
      <c r="I35643" s="5">
        <v>0</v>
      </c>
      <c r="J35643" s="5">
        <v>0</v>
      </c>
      <c r="K35643" s="5">
        <v>0</v>
      </c>
    </row>
    <row r="35644" spans="1:11" x14ac:dyDescent="0.25">
      <c r="A35644" s="5">
        <f>35637</f>
      </c>
      <c r="B35644" s="5" t="s">
        <v>35652</v>
      </c>
      <c r="C35644" s="5">
        <v>98</v>
      </c>
      <c r="D35644" s="5">
        <v>0.1</v>
      </c>
      <c r="E35644" s="5">
        <v>98.2</v>
      </c>
      <c r="F35644" s="5">
        <v>195.8</v>
      </c>
      <c r="G35644" s="5">
        <v>97.7</v>
      </c>
      <c r="H35644" s="5">
        <v>97.6</v>
      </c>
      <c r="I35644" s="5">
        <v>0</v>
      </c>
      <c r="J35644" s="5">
        <v>0</v>
      </c>
      <c r="K35644" s="5">
        <v>0</v>
      </c>
    </row>
    <row r="35645" spans="1:11" x14ac:dyDescent="0.25">
      <c r="A35645" s="5">
        <f>35638</f>
      </c>
      <c r="B35645" s="5" t="s">
        <v>35653</v>
      </c>
      <c r="C35645" s="5">
        <v>98</v>
      </c>
      <c r="D35645" s="5">
        <v>0.1</v>
      </c>
      <c r="E35645" s="5">
        <v>98.2</v>
      </c>
      <c r="F35645" s="5">
        <v>195.8</v>
      </c>
      <c r="G35645" s="5">
        <v>97.7</v>
      </c>
      <c r="H35645" s="5">
        <v>97.6</v>
      </c>
      <c r="I35645" s="5">
        <v>0</v>
      </c>
      <c r="J35645" s="5">
        <v>0</v>
      </c>
      <c r="K35645" s="5">
        <v>0</v>
      </c>
    </row>
    <row r="35646" spans="1:11" x14ac:dyDescent="0.25">
      <c r="A35646" s="5">
        <f>35639</f>
      </c>
      <c r="B35646" s="5" t="s">
        <v>35654</v>
      </c>
      <c r="C35646" s="5">
        <v>98</v>
      </c>
      <c r="D35646" s="5">
        <v>0.1</v>
      </c>
      <c r="E35646" s="5">
        <v>98.2</v>
      </c>
      <c r="F35646" s="5">
        <v>195.8</v>
      </c>
      <c r="G35646" s="5">
        <v>97.7</v>
      </c>
      <c r="H35646" s="5">
        <v>97.6</v>
      </c>
      <c r="I35646" s="5">
        <v>0</v>
      </c>
      <c r="J35646" s="5">
        <v>0</v>
      </c>
      <c r="K35646" s="5">
        <v>0</v>
      </c>
    </row>
    <row r="35647" spans="1:11" x14ac:dyDescent="0.25">
      <c r="A35647" s="5">
        <f>35640</f>
      </c>
      <c r="B35647" s="5" t="s">
        <v>35655</v>
      </c>
      <c r="C35647" s="5">
        <v>98</v>
      </c>
      <c r="D35647" s="5">
        <v>0.1</v>
      </c>
      <c r="E35647" s="5">
        <v>98.2</v>
      </c>
      <c r="F35647" s="5">
        <v>195.8</v>
      </c>
      <c r="G35647" s="5">
        <v>97.7</v>
      </c>
      <c r="H35647" s="5">
        <v>97.6</v>
      </c>
      <c r="I35647" s="5">
        <v>0</v>
      </c>
      <c r="J35647" s="5">
        <v>0</v>
      </c>
      <c r="K35647" s="5">
        <v>0</v>
      </c>
    </row>
    <row r="35648" spans="1:11" x14ac:dyDescent="0.25">
      <c r="A35648" s="5">
        <f>35641</f>
      </c>
      <c r="B35648" s="5" t="s">
        <v>35656</v>
      </c>
      <c r="C35648" s="5">
        <v>98.6</v>
      </c>
      <c r="D35648" s="5">
        <v>0.1</v>
      </c>
      <c r="E35648" s="5">
        <v>98.8</v>
      </c>
      <c r="F35648" s="5">
        <v>194.6</v>
      </c>
      <c r="G35648" s="5">
        <v>97.1</v>
      </c>
      <c r="H35648" s="5">
        <v>96.9</v>
      </c>
      <c r="I35648" s="5">
        <v>0</v>
      </c>
      <c r="J35648" s="5">
        <v>0</v>
      </c>
      <c r="K35648" s="5">
        <v>0</v>
      </c>
    </row>
    <row r="35649" spans="1:11" x14ac:dyDescent="0.25">
      <c r="A35649" s="5">
        <f>35642</f>
      </c>
      <c r="B35649" s="5" t="s">
        <v>35657</v>
      </c>
      <c r="C35649" s="5">
        <v>98.6</v>
      </c>
      <c r="D35649" s="5">
        <v>0.1</v>
      </c>
      <c r="E35649" s="5">
        <v>98.8</v>
      </c>
      <c r="F35649" s="5">
        <v>194.6</v>
      </c>
      <c r="G35649" s="5">
        <v>97.1</v>
      </c>
      <c r="H35649" s="5">
        <v>96.9</v>
      </c>
      <c r="I35649" s="5">
        <v>0</v>
      </c>
      <c r="J35649" s="5">
        <v>0</v>
      </c>
      <c r="K35649" s="5">
        <v>0</v>
      </c>
    </row>
    <row r="35650" spans="1:11" x14ac:dyDescent="0.25">
      <c r="A35650" s="5">
        <f>35643</f>
      </c>
      <c r="B35650" s="5" t="s">
        <v>35658</v>
      </c>
      <c r="C35650" s="5">
        <v>98.5</v>
      </c>
      <c r="D35650" s="5">
        <v>0.1</v>
      </c>
      <c r="E35650" s="5">
        <v>98.6</v>
      </c>
      <c r="F35650" s="5">
        <v>201</v>
      </c>
      <c r="G35650" s="5">
        <v>100</v>
      </c>
      <c r="H35650" s="5">
        <v>99.7</v>
      </c>
      <c r="I35650" s="5">
        <v>0</v>
      </c>
      <c r="J35650" s="5">
        <v>0</v>
      </c>
      <c r="K35650" s="5">
        <v>0</v>
      </c>
    </row>
    <row r="35651" spans="1:11" x14ac:dyDescent="0.25">
      <c r="A35651" s="5">
        <f>35644</f>
      </c>
      <c r="B35651" s="5" t="s">
        <v>35659</v>
      </c>
      <c r="C35651" s="5">
        <v>98.5</v>
      </c>
      <c r="D35651" s="5">
        <v>0.1</v>
      </c>
      <c r="E35651" s="5">
        <v>98.6</v>
      </c>
      <c r="F35651" s="5">
        <v>201</v>
      </c>
      <c r="G35651" s="5">
        <v>100</v>
      </c>
      <c r="H35651" s="5">
        <v>99.7</v>
      </c>
      <c r="I35651" s="5">
        <v>0</v>
      </c>
      <c r="J35651" s="5">
        <v>0</v>
      </c>
      <c r="K35651" s="5">
        <v>0</v>
      </c>
    </row>
    <row r="35652" spans="1:11" x14ac:dyDescent="0.25">
      <c r="A35652" s="5">
        <f>35645</f>
      </c>
      <c r="B35652" s="5" t="s">
        <v>35660</v>
      </c>
      <c r="C35652" s="5">
        <v>97.7</v>
      </c>
      <c r="D35652" s="5">
        <v>0.1</v>
      </c>
      <c r="E35652" s="5">
        <v>97.8</v>
      </c>
      <c r="F35652" s="5">
        <v>198.1</v>
      </c>
      <c r="G35652" s="5">
        <v>98.6</v>
      </c>
      <c r="H35652" s="5">
        <v>102.6</v>
      </c>
      <c r="I35652" s="5">
        <v>0</v>
      </c>
      <c r="J35652" s="5">
        <v>0</v>
      </c>
      <c r="K35652" s="5">
        <v>0</v>
      </c>
    </row>
    <row r="35653" spans="1:11" x14ac:dyDescent="0.25">
      <c r="A35653" s="5">
        <f>35646</f>
      </c>
      <c r="B35653" s="5" t="s">
        <v>35661</v>
      </c>
      <c r="C35653" s="5">
        <v>97.7</v>
      </c>
      <c r="D35653" s="5">
        <v>0.1</v>
      </c>
      <c r="E35653" s="5">
        <v>97.8</v>
      </c>
      <c r="F35653" s="5">
        <v>198.1</v>
      </c>
      <c r="G35653" s="5">
        <v>98.6</v>
      </c>
      <c r="H35653" s="5">
        <v>102.6</v>
      </c>
      <c r="I35653" s="5">
        <v>0</v>
      </c>
      <c r="J35653" s="5">
        <v>0</v>
      </c>
      <c r="K35653" s="5">
        <v>0</v>
      </c>
    </row>
    <row r="35654" spans="1:11" x14ac:dyDescent="0.25">
      <c r="A35654" s="5">
        <f>35647</f>
      </c>
      <c r="B35654" s="5" t="s">
        <v>35662</v>
      </c>
      <c r="C35654" s="5">
        <v>105.6</v>
      </c>
      <c r="D35654" s="5">
        <v>0.1</v>
      </c>
      <c r="E35654" s="5">
        <v>105.7</v>
      </c>
      <c r="F35654" s="5">
        <v>211</v>
      </c>
      <c r="G35654" s="5">
        <v>105.3</v>
      </c>
      <c r="H35654" s="5">
        <v>105.1</v>
      </c>
      <c r="I35654" s="5">
        <v>0</v>
      </c>
      <c r="J35654" s="5">
        <v>0</v>
      </c>
      <c r="K35654" s="5">
        <v>0</v>
      </c>
    </row>
    <row r="35655" spans="1:11" x14ac:dyDescent="0.25">
      <c r="A35655" s="5">
        <f>35648</f>
      </c>
      <c r="B35655" s="5" t="s">
        <v>35663</v>
      </c>
      <c r="C35655" s="5">
        <v>105.6</v>
      </c>
      <c r="D35655" s="5">
        <v>0.1</v>
      </c>
      <c r="E35655" s="5">
        <v>105.7</v>
      </c>
      <c r="F35655" s="5">
        <v>211</v>
      </c>
      <c r="G35655" s="5">
        <v>105.3</v>
      </c>
      <c r="H35655" s="5">
        <v>105.1</v>
      </c>
      <c r="I35655" s="5">
        <v>0</v>
      </c>
      <c r="J35655" s="5">
        <v>0</v>
      </c>
      <c r="K35655" s="5">
        <v>0</v>
      </c>
    </row>
    <row r="35656" spans="1:11" x14ac:dyDescent="0.25">
      <c r="A35656" s="5">
        <f>35649</f>
      </c>
      <c r="B35656" s="5" t="s">
        <v>35664</v>
      </c>
      <c r="C35656" s="5">
        <v>105.6</v>
      </c>
      <c r="D35656" s="5">
        <v>0.1</v>
      </c>
      <c r="E35656" s="5">
        <v>105.7</v>
      </c>
      <c r="F35656" s="5">
        <v>211</v>
      </c>
      <c r="G35656" s="5">
        <v>105.3</v>
      </c>
      <c r="H35656" s="5">
        <v>105.1</v>
      </c>
      <c r="I35656" s="5">
        <v>0</v>
      </c>
      <c r="J35656" s="5">
        <v>0</v>
      </c>
      <c r="K35656" s="5">
        <v>0</v>
      </c>
    </row>
    <row r="35657" spans="1:11" x14ac:dyDescent="0.25">
      <c r="A35657" s="5">
        <f>35650</f>
      </c>
      <c r="B35657" s="5" t="s">
        <v>35665</v>
      </c>
      <c r="C35657" s="5">
        <v>105.6</v>
      </c>
      <c r="D35657" s="5">
        <v>0.1</v>
      </c>
      <c r="E35657" s="5">
        <v>105.7</v>
      </c>
      <c r="F35657" s="5">
        <v>211</v>
      </c>
      <c r="G35657" s="5">
        <v>105.3</v>
      </c>
      <c r="H35657" s="5">
        <v>105.1</v>
      </c>
      <c r="I35657" s="5">
        <v>0</v>
      </c>
      <c r="J35657" s="5">
        <v>0</v>
      </c>
      <c r="K35657" s="5">
        <v>0</v>
      </c>
    </row>
    <row r="35658" spans="1:11" x14ac:dyDescent="0.25">
      <c r="A35658" s="5">
        <f>35651</f>
      </c>
      <c r="B35658" s="5" t="s">
        <v>35666</v>
      </c>
      <c r="C35658" s="5">
        <v>103.6</v>
      </c>
      <c r="D35658" s="5">
        <v>0.1</v>
      </c>
      <c r="E35658" s="5">
        <v>103.7</v>
      </c>
      <c r="F35658" s="5">
        <v>206.2</v>
      </c>
      <c r="G35658" s="5">
        <v>102.9</v>
      </c>
      <c r="H35658" s="5">
        <v>102.8</v>
      </c>
      <c r="I35658" s="5">
        <v>0</v>
      </c>
      <c r="J35658" s="5">
        <v>0</v>
      </c>
      <c r="K35658" s="5">
        <v>0</v>
      </c>
    </row>
    <row r="35659" spans="1:11" x14ac:dyDescent="0.25">
      <c r="A35659" s="5">
        <f>35652</f>
      </c>
      <c r="B35659" s="5" t="s">
        <v>35667</v>
      </c>
      <c r="C35659" s="5">
        <v>103.6</v>
      </c>
      <c r="D35659" s="5">
        <v>0.1</v>
      </c>
      <c r="E35659" s="5">
        <v>103.7</v>
      </c>
      <c r="F35659" s="5">
        <v>206.2</v>
      </c>
      <c r="G35659" s="5">
        <v>102.9</v>
      </c>
      <c r="H35659" s="5">
        <v>102.8</v>
      </c>
      <c r="I35659" s="5">
        <v>0</v>
      </c>
      <c r="J35659" s="5">
        <v>0</v>
      </c>
      <c r="K35659" s="5">
        <v>0</v>
      </c>
    </row>
    <row r="35660" spans="1:11" x14ac:dyDescent="0.25">
      <c r="A35660" s="5">
        <f>35653</f>
      </c>
      <c r="B35660" s="5" t="s">
        <v>35668</v>
      </c>
      <c r="C35660" s="5">
        <v>103.2</v>
      </c>
      <c r="D35660" s="5">
        <v>0.1</v>
      </c>
      <c r="E35660" s="5">
        <v>103.4</v>
      </c>
      <c r="F35660" s="5">
        <v>206.6</v>
      </c>
      <c r="G35660" s="5">
        <v>103.1</v>
      </c>
      <c r="H35660" s="5">
        <v>102.9</v>
      </c>
      <c r="I35660" s="5">
        <v>0</v>
      </c>
      <c r="J35660" s="5">
        <v>0</v>
      </c>
      <c r="K35660" s="5">
        <v>0</v>
      </c>
    </row>
    <row r="35661" spans="1:11" x14ac:dyDescent="0.25">
      <c r="A35661" s="5">
        <f>35654</f>
      </c>
      <c r="B35661" s="5" t="s">
        <v>35669</v>
      </c>
      <c r="C35661" s="5">
        <v>103.2</v>
      </c>
      <c r="D35661" s="5">
        <v>0.1</v>
      </c>
      <c r="E35661" s="5">
        <v>103.4</v>
      </c>
      <c r="F35661" s="5">
        <v>206.6</v>
      </c>
      <c r="G35661" s="5">
        <v>103.1</v>
      </c>
      <c r="H35661" s="5">
        <v>102.9</v>
      </c>
      <c r="I35661" s="5">
        <v>0</v>
      </c>
      <c r="J35661" s="5">
        <v>0</v>
      </c>
      <c r="K35661" s="5">
        <v>0</v>
      </c>
    </row>
    <row r="35662" spans="1:11" x14ac:dyDescent="0.25">
      <c r="A35662" s="5">
        <f>35655</f>
      </c>
      <c r="B35662" s="5" t="s">
        <v>35670</v>
      </c>
      <c r="C35662" s="5">
        <v>103.4</v>
      </c>
      <c r="D35662" s="5">
        <v>0.1</v>
      </c>
      <c r="E35662" s="5">
        <v>103.5</v>
      </c>
      <c r="F35662" s="5">
        <v>206.2</v>
      </c>
      <c r="G35662" s="5">
        <v>102.9</v>
      </c>
      <c r="H35662" s="5">
        <v>102.8</v>
      </c>
      <c r="I35662" s="5">
        <v>0</v>
      </c>
      <c r="J35662" s="5">
        <v>0</v>
      </c>
      <c r="K35662" s="5">
        <v>0</v>
      </c>
    </row>
    <row r="35663" spans="1:11" x14ac:dyDescent="0.25">
      <c r="A35663" s="5">
        <f>35656</f>
      </c>
      <c r="B35663" s="5" t="s">
        <v>35671</v>
      </c>
      <c r="C35663" s="5">
        <v>103.4</v>
      </c>
      <c r="D35663" s="5">
        <v>0.1</v>
      </c>
      <c r="E35663" s="5">
        <v>103.5</v>
      </c>
      <c r="F35663" s="5">
        <v>206.2</v>
      </c>
      <c r="G35663" s="5">
        <v>102.9</v>
      </c>
      <c r="H35663" s="5">
        <v>102.8</v>
      </c>
      <c r="I35663" s="5">
        <v>0</v>
      </c>
      <c r="J35663" s="5">
        <v>0</v>
      </c>
      <c r="K35663" s="5">
        <v>0</v>
      </c>
    </row>
    <row r="35664" spans="1:11" x14ac:dyDescent="0.25">
      <c r="A35664" s="5">
        <f>35657</f>
      </c>
      <c r="B35664" s="5" t="s">
        <v>35672</v>
      </c>
      <c r="C35664" s="5">
        <v>95.4</v>
      </c>
      <c r="D35664" s="5">
        <v>0.1</v>
      </c>
      <c r="E35664" s="5">
        <v>95.6</v>
      </c>
      <c r="F35664" s="5">
        <v>192.7</v>
      </c>
      <c r="G35664" s="5">
        <v>96.1</v>
      </c>
      <c r="H35664" s="5">
        <v>95.9</v>
      </c>
      <c r="I35664" s="5">
        <v>0</v>
      </c>
      <c r="J35664" s="5">
        <v>0</v>
      </c>
      <c r="K35664" s="5">
        <v>0</v>
      </c>
    </row>
    <row r="35665" spans="1:11" x14ac:dyDescent="0.25">
      <c r="A35665" s="5">
        <f>35658</f>
      </c>
      <c r="B35665" s="5" t="s">
        <v>35673</v>
      </c>
      <c r="C35665" s="5">
        <v>95.4</v>
      </c>
      <c r="D35665" s="5">
        <v>0.1</v>
      </c>
      <c r="E35665" s="5">
        <v>95.6</v>
      </c>
      <c r="F35665" s="5">
        <v>192.7</v>
      </c>
      <c r="G35665" s="5">
        <v>96.1</v>
      </c>
      <c r="H35665" s="5">
        <v>95.9</v>
      </c>
      <c r="I35665" s="5">
        <v>0</v>
      </c>
      <c r="J35665" s="5">
        <v>0</v>
      </c>
      <c r="K35665" s="5">
        <v>0</v>
      </c>
    </row>
    <row r="35666" spans="1:11" x14ac:dyDescent="0.25">
      <c r="A35666" s="5">
        <f>35659</f>
      </c>
      <c r="B35666" s="5" t="s">
        <v>35674</v>
      </c>
      <c r="C35666" s="5">
        <v>95.4</v>
      </c>
      <c r="D35666" s="5">
        <v>0.1</v>
      </c>
      <c r="E35666" s="5">
        <v>95.6</v>
      </c>
      <c r="F35666" s="5">
        <v>192.7</v>
      </c>
      <c r="G35666" s="5">
        <v>96.1</v>
      </c>
      <c r="H35666" s="5">
        <v>95.9</v>
      </c>
      <c r="I35666" s="5">
        <v>0</v>
      </c>
      <c r="J35666" s="5">
        <v>0</v>
      </c>
      <c r="K35666" s="5">
        <v>0</v>
      </c>
    </row>
    <row r="35667" spans="1:11" x14ac:dyDescent="0.25">
      <c r="A35667" s="5">
        <f>35660</f>
      </c>
      <c r="B35667" s="5" t="s">
        <v>35675</v>
      </c>
      <c r="C35667" s="5">
        <v>95.4</v>
      </c>
      <c r="D35667" s="5">
        <v>0.1</v>
      </c>
      <c r="E35667" s="5">
        <v>95.6</v>
      </c>
      <c r="F35667" s="5">
        <v>192.7</v>
      </c>
      <c r="G35667" s="5">
        <v>96.1</v>
      </c>
      <c r="H35667" s="5">
        <v>95.9</v>
      </c>
      <c r="I35667" s="5">
        <v>0</v>
      </c>
      <c r="J35667" s="5">
        <v>0</v>
      </c>
      <c r="K35667" s="5">
        <v>0</v>
      </c>
    </row>
    <row r="35668" spans="1:11" x14ac:dyDescent="0.25">
      <c r="A35668" s="5">
        <f>35661</f>
      </c>
      <c r="B35668" s="5" t="s">
        <v>35676</v>
      </c>
      <c r="C35668" s="5">
        <v>96.5</v>
      </c>
      <c r="D35668" s="5">
        <v>0.1</v>
      </c>
      <c r="E35668" s="5">
        <v>96.7</v>
      </c>
      <c r="F35668" s="5">
        <v>194.1</v>
      </c>
      <c r="G35668" s="5">
        <v>96.6</v>
      </c>
      <c r="H35668" s="5">
        <v>96.3</v>
      </c>
      <c r="I35668" s="5">
        <v>0</v>
      </c>
      <c r="J35668" s="5">
        <v>0</v>
      </c>
      <c r="K35668" s="5">
        <v>0</v>
      </c>
    </row>
    <row r="35669" spans="1:11" x14ac:dyDescent="0.25">
      <c r="A35669" s="5">
        <f>35662</f>
      </c>
      <c r="B35669" s="5" t="s">
        <v>35677</v>
      </c>
      <c r="C35669" s="5">
        <v>96.5</v>
      </c>
      <c r="D35669" s="5">
        <v>0.1</v>
      </c>
      <c r="E35669" s="5">
        <v>96.7</v>
      </c>
      <c r="F35669" s="5">
        <v>194.1</v>
      </c>
      <c r="G35669" s="5">
        <v>96.6</v>
      </c>
      <c r="H35669" s="5">
        <v>96.3</v>
      </c>
      <c r="I35669" s="5">
        <v>0</v>
      </c>
      <c r="J35669" s="5">
        <v>0</v>
      </c>
      <c r="K35669" s="5">
        <v>0</v>
      </c>
    </row>
    <row r="35670" spans="1:11" x14ac:dyDescent="0.25">
      <c r="A35670" s="5">
        <f>35663</f>
      </c>
      <c r="B35670" s="5" t="s">
        <v>35678</v>
      </c>
      <c r="C35670" s="5">
        <v>96.6</v>
      </c>
      <c r="D35670" s="5">
        <v>0.1</v>
      </c>
      <c r="E35670" s="5">
        <v>96.7</v>
      </c>
      <c r="F35670" s="5">
        <v>202.8</v>
      </c>
      <c r="G35670" s="5">
        <v>100.9</v>
      </c>
      <c r="H35670" s="5">
        <v>100.4</v>
      </c>
      <c r="I35670" s="5">
        <v>0</v>
      </c>
      <c r="J35670" s="5">
        <v>0</v>
      </c>
      <c r="K35670" s="5">
        <v>0</v>
      </c>
    </row>
    <row r="35671" spans="1:11" x14ac:dyDescent="0.25">
      <c r="A35671" s="5">
        <f>35664</f>
      </c>
      <c r="B35671" s="5" t="s">
        <v>35679</v>
      </c>
      <c r="C35671" s="5">
        <v>96.6</v>
      </c>
      <c r="D35671" s="5">
        <v>0.1</v>
      </c>
      <c r="E35671" s="5">
        <v>96.7</v>
      </c>
      <c r="F35671" s="5">
        <v>202.8</v>
      </c>
      <c r="G35671" s="5">
        <v>100.9</v>
      </c>
      <c r="H35671" s="5">
        <v>100.4</v>
      </c>
      <c r="I35671" s="5">
        <v>0</v>
      </c>
      <c r="J35671" s="5">
        <v>0</v>
      </c>
      <c r="K35671" s="5">
        <v>0</v>
      </c>
    </row>
    <row r="35672" spans="1:11" x14ac:dyDescent="0.25">
      <c r="A35672" s="5">
        <f>35665</f>
      </c>
      <c r="B35672" s="5" t="s">
        <v>35680</v>
      </c>
      <c r="C35672" s="5">
        <v>102.7</v>
      </c>
      <c r="D35672" s="5">
        <v>0.1</v>
      </c>
      <c r="E35672" s="5">
        <v>102.8</v>
      </c>
      <c r="F35672" s="5">
        <v>204.7</v>
      </c>
      <c r="G35672" s="5">
        <v>103</v>
      </c>
      <c r="H35672" s="5">
        <v>103.7</v>
      </c>
      <c r="I35672" s="5">
        <v>0</v>
      </c>
      <c r="J35672" s="5">
        <v>0</v>
      </c>
      <c r="K35672" s="5">
        <v>0</v>
      </c>
    </row>
    <row r="35673" spans="1:11" x14ac:dyDescent="0.25">
      <c r="A35673" s="5">
        <f>35666</f>
      </c>
      <c r="B35673" s="5" t="s">
        <v>35681</v>
      </c>
      <c r="C35673" s="5">
        <v>102.7</v>
      </c>
      <c r="D35673" s="5">
        <v>0.1</v>
      </c>
      <c r="E35673" s="5">
        <v>102.8</v>
      </c>
      <c r="F35673" s="5">
        <v>204.7</v>
      </c>
      <c r="G35673" s="5">
        <v>103</v>
      </c>
      <c r="H35673" s="5">
        <v>103.7</v>
      </c>
      <c r="I35673" s="5">
        <v>0</v>
      </c>
      <c r="J35673" s="5">
        <v>0</v>
      </c>
      <c r="K35673" s="5">
        <v>0</v>
      </c>
    </row>
    <row r="35674" spans="1:11" x14ac:dyDescent="0.25">
      <c r="A35674" s="5">
        <f>35667</f>
      </c>
      <c r="B35674" s="5" t="s">
        <v>35682</v>
      </c>
      <c r="C35674" s="5">
        <v>105.1</v>
      </c>
      <c r="D35674" s="5">
        <v>0.1</v>
      </c>
      <c r="E35674" s="5">
        <v>105.3</v>
      </c>
      <c r="F35674" s="5">
        <v>209.6</v>
      </c>
      <c r="G35674" s="5">
        <v>104.5</v>
      </c>
      <c r="H35674" s="5">
        <v>104.4</v>
      </c>
      <c r="I35674" s="5">
        <v>0</v>
      </c>
      <c r="J35674" s="5">
        <v>0</v>
      </c>
      <c r="K35674" s="5">
        <v>0</v>
      </c>
    </row>
    <row r="35675" spans="1:11" x14ac:dyDescent="0.25">
      <c r="A35675" s="5">
        <f>35668</f>
      </c>
      <c r="B35675" s="5" t="s">
        <v>35683</v>
      </c>
      <c r="C35675" s="5">
        <v>105.1</v>
      </c>
      <c r="D35675" s="5">
        <v>0.1</v>
      </c>
      <c r="E35675" s="5">
        <v>105.3</v>
      </c>
      <c r="F35675" s="5">
        <v>209.6</v>
      </c>
      <c r="G35675" s="5">
        <v>104.5</v>
      </c>
      <c r="H35675" s="5">
        <v>104.4</v>
      </c>
      <c r="I35675" s="5">
        <v>0</v>
      </c>
      <c r="J35675" s="5">
        <v>0</v>
      </c>
      <c r="K35675" s="5">
        <v>0</v>
      </c>
    </row>
    <row r="35676" spans="1:11" x14ac:dyDescent="0.25">
      <c r="A35676" s="5">
        <f>35669</f>
      </c>
      <c r="B35676" s="5" t="s">
        <v>35684</v>
      </c>
      <c r="C35676" s="5">
        <v>105.1</v>
      </c>
      <c r="D35676" s="5">
        <v>0.1</v>
      </c>
      <c r="E35676" s="5">
        <v>105.3</v>
      </c>
      <c r="F35676" s="5">
        <v>209.6</v>
      </c>
      <c r="G35676" s="5">
        <v>104.5</v>
      </c>
      <c r="H35676" s="5">
        <v>104.4</v>
      </c>
      <c r="I35676" s="5">
        <v>0</v>
      </c>
      <c r="J35676" s="5">
        <v>0</v>
      </c>
      <c r="K35676" s="5">
        <v>0</v>
      </c>
    </row>
    <row r="35677" spans="1:11" x14ac:dyDescent="0.25">
      <c r="A35677" s="5">
        <f>35670</f>
      </c>
      <c r="B35677" s="5" t="s">
        <v>35685</v>
      </c>
      <c r="C35677" s="5">
        <v>105.1</v>
      </c>
      <c r="D35677" s="5">
        <v>0.1</v>
      </c>
      <c r="E35677" s="5">
        <v>105.3</v>
      </c>
      <c r="F35677" s="5">
        <v>209.6</v>
      </c>
      <c r="G35677" s="5">
        <v>104.5</v>
      </c>
      <c r="H35677" s="5">
        <v>104.4</v>
      </c>
      <c r="I35677" s="5">
        <v>0</v>
      </c>
      <c r="J35677" s="5">
        <v>0</v>
      </c>
      <c r="K35677" s="5">
        <v>0</v>
      </c>
    </row>
    <row r="35678" spans="1:11" x14ac:dyDescent="0.25">
      <c r="A35678" s="5">
        <f>35671</f>
      </c>
      <c r="B35678" s="5" t="s">
        <v>35686</v>
      </c>
      <c r="C35678" s="5">
        <v>99.7</v>
      </c>
      <c r="D35678" s="5">
        <v>0.1</v>
      </c>
      <c r="E35678" s="5">
        <v>99.9</v>
      </c>
      <c r="F35678" s="5">
        <v>200.2</v>
      </c>
      <c r="G35678" s="5">
        <v>99.9</v>
      </c>
      <c r="H35678" s="5">
        <v>99.7</v>
      </c>
      <c r="I35678" s="5">
        <v>0</v>
      </c>
      <c r="J35678" s="5">
        <v>0</v>
      </c>
      <c r="K35678" s="5">
        <v>0</v>
      </c>
    </row>
    <row r="35679" spans="1:11" x14ac:dyDescent="0.25">
      <c r="A35679" s="5">
        <f>35672</f>
      </c>
      <c r="B35679" s="5" t="s">
        <v>35687</v>
      </c>
      <c r="C35679" s="5">
        <v>99.7</v>
      </c>
      <c r="D35679" s="5">
        <v>0.1</v>
      </c>
      <c r="E35679" s="5">
        <v>99.9</v>
      </c>
      <c r="F35679" s="5">
        <v>200.2</v>
      </c>
      <c r="G35679" s="5">
        <v>99.9</v>
      </c>
      <c r="H35679" s="5">
        <v>99.7</v>
      </c>
      <c r="I35679" s="5">
        <v>0</v>
      </c>
      <c r="J35679" s="5">
        <v>0</v>
      </c>
      <c r="K35679" s="5">
        <v>0</v>
      </c>
    </row>
    <row r="35680" spans="1:11" x14ac:dyDescent="0.25">
      <c r="A35680" s="5">
        <f>35673</f>
      </c>
      <c r="B35680" s="5" t="s">
        <v>35688</v>
      </c>
      <c r="C35680" s="5">
        <v>95.9</v>
      </c>
      <c r="D35680" s="5">
        <v>0.1</v>
      </c>
      <c r="E35680" s="5">
        <v>96</v>
      </c>
      <c r="F35680" s="5">
        <v>196.8</v>
      </c>
      <c r="G35680" s="5">
        <v>98</v>
      </c>
      <c r="H35680" s="5">
        <v>97.7</v>
      </c>
      <c r="I35680" s="5">
        <v>0</v>
      </c>
      <c r="J35680" s="5">
        <v>0</v>
      </c>
      <c r="K35680" s="5">
        <v>0</v>
      </c>
    </row>
    <row r="35681" spans="1:11" x14ac:dyDescent="0.25">
      <c r="A35681" s="5">
        <f>35674</f>
      </c>
      <c r="B35681" s="5" t="s">
        <v>35689</v>
      </c>
      <c r="C35681" s="5">
        <v>95.9</v>
      </c>
      <c r="D35681" s="5">
        <v>0.1</v>
      </c>
      <c r="E35681" s="5">
        <v>96</v>
      </c>
      <c r="F35681" s="5">
        <v>196.8</v>
      </c>
      <c r="G35681" s="5">
        <v>98</v>
      </c>
      <c r="H35681" s="5">
        <v>97.7</v>
      </c>
      <c r="I35681" s="5">
        <v>0</v>
      </c>
      <c r="J35681" s="5">
        <v>0</v>
      </c>
      <c r="K35681" s="5">
        <v>0</v>
      </c>
    </row>
    <row r="35682" spans="1:11" x14ac:dyDescent="0.25">
      <c r="A35682" s="5">
        <f>35675</f>
      </c>
      <c r="B35682" s="5" t="s">
        <v>35690</v>
      </c>
      <c r="C35682" s="5">
        <v>104.1</v>
      </c>
      <c r="D35682" s="5">
        <v>0.1</v>
      </c>
      <c r="E35682" s="5">
        <v>104.3</v>
      </c>
      <c r="F35682" s="5">
        <v>210.1</v>
      </c>
      <c r="G35682" s="5">
        <v>104.8</v>
      </c>
      <c r="H35682" s="5">
        <v>104.5</v>
      </c>
      <c r="I35682" s="5">
        <v>0</v>
      </c>
      <c r="J35682" s="5">
        <v>0</v>
      </c>
      <c r="K35682" s="5">
        <v>0</v>
      </c>
    </row>
    <row r="35683" spans="1:11" x14ac:dyDescent="0.25">
      <c r="A35683" s="5">
        <f>35676</f>
      </c>
      <c r="B35683" s="5" t="s">
        <v>35691</v>
      </c>
      <c r="C35683" s="5">
        <v>104.1</v>
      </c>
      <c r="D35683" s="5">
        <v>0.1</v>
      </c>
      <c r="E35683" s="5">
        <v>104.3</v>
      </c>
      <c r="F35683" s="5">
        <v>210.1</v>
      </c>
      <c r="G35683" s="5">
        <v>104.8</v>
      </c>
      <c r="H35683" s="5">
        <v>104.5</v>
      </c>
      <c r="I35683" s="5">
        <v>0</v>
      </c>
      <c r="J35683" s="5">
        <v>0</v>
      </c>
      <c r="K35683" s="5">
        <v>0</v>
      </c>
    </row>
    <row r="35684" spans="1:11" x14ac:dyDescent="0.25">
      <c r="A35684" s="5">
        <f>35677</f>
      </c>
      <c r="B35684" s="5" t="s">
        <v>35692</v>
      </c>
      <c r="C35684" s="5">
        <v>103</v>
      </c>
      <c r="D35684" s="5">
        <v>0.1</v>
      </c>
      <c r="E35684" s="5">
        <v>103.1</v>
      </c>
      <c r="F35684" s="5">
        <v>200.4</v>
      </c>
      <c r="G35684" s="5">
        <v>100.2</v>
      </c>
      <c r="H35684" s="5">
        <v>100.3</v>
      </c>
      <c r="I35684" s="5">
        <v>0</v>
      </c>
      <c r="J35684" s="5">
        <v>0</v>
      </c>
      <c r="K35684" s="5">
        <v>0</v>
      </c>
    </row>
    <row r="35685" spans="1:11" x14ac:dyDescent="0.25">
      <c r="A35685" s="5">
        <f>35678</f>
      </c>
      <c r="B35685" s="5" t="s">
        <v>35693</v>
      </c>
      <c r="C35685" s="5">
        <v>103</v>
      </c>
      <c r="D35685" s="5">
        <v>0.1</v>
      </c>
      <c r="E35685" s="5">
        <v>103.1</v>
      </c>
      <c r="F35685" s="5">
        <v>200.4</v>
      </c>
      <c r="G35685" s="5">
        <v>100.2</v>
      </c>
      <c r="H35685" s="5">
        <v>100.3</v>
      </c>
      <c r="I35685" s="5">
        <v>0</v>
      </c>
      <c r="J35685" s="5">
        <v>0</v>
      </c>
      <c r="K35685" s="5">
        <v>0</v>
      </c>
    </row>
    <row r="35686" spans="1:11" x14ac:dyDescent="0.25">
      <c r="A35686" s="5">
        <f>35679</f>
      </c>
      <c r="B35686" s="5" t="s">
        <v>35694</v>
      </c>
      <c r="C35686" s="5">
        <v>103</v>
      </c>
      <c r="D35686" s="5">
        <v>0.1</v>
      </c>
      <c r="E35686" s="5">
        <v>103.1</v>
      </c>
      <c r="F35686" s="5">
        <v>200.4</v>
      </c>
      <c r="G35686" s="5">
        <v>100.2</v>
      </c>
      <c r="H35686" s="5">
        <v>100.3</v>
      </c>
      <c r="I35686" s="5">
        <v>0</v>
      </c>
      <c r="J35686" s="5">
        <v>0</v>
      </c>
      <c r="K35686" s="5">
        <v>0</v>
      </c>
    </row>
    <row r="35687" spans="1:11" x14ac:dyDescent="0.25">
      <c r="A35687" s="5">
        <f>35680</f>
      </c>
      <c r="B35687" s="5" t="s">
        <v>35695</v>
      </c>
      <c r="C35687" s="5">
        <v>103</v>
      </c>
      <c r="D35687" s="5">
        <v>0.1</v>
      </c>
      <c r="E35687" s="5">
        <v>103.1</v>
      </c>
      <c r="F35687" s="5">
        <v>200.4</v>
      </c>
      <c r="G35687" s="5">
        <v>100.2</v>
      </c>
      <c r="H35687" s="5">
        <v>100.3</v>
      </c>
      <c r="I35687" s="5">
        <v>0</v>
      </c>
      <c r="J35687" s="5">
        <v>0</v>
      </c>
      <c r="K35687" s="5">
        <v>0</v>
      </c>
    </row>
    <row r="35688" spans="1:11" x14ac:dyDescent="0.25">
      <c r="A35688" s="5">
        <f>35681</f>
      </c>
      <c r="B35688" s="5" t="s">
        <v>35696</v>
      </c>
      <c r="C35688" s="5">
        <v>100.8</v>
      </c>
      <c r="D35688" s="5">
        <v>0.1</v>
      </c>
      <c r="E35688" s="5">
        <v>100.9</v>
      </c>
      <c r="F35688" s="5">
        <v>194.3</v>
      </c>
      <c r="G35688" s="5">
        <v>96.9</v>
      </c>
      <c r="H35688" s="5">
        <v>96.8</v>
      </c>
      <c r="I35688" s="5">
        <v>0</v>
      </c>
      <c r="J35688" s="5">
        <v>0</v>
      </c>
      <c r="K35688" s="5">
        <v>0</v>
      </c>
    </row>
    <row r="35689" spans="1:11" x14ac:dyDescent="0.25">
      <c r="A35689" s="5">
        <f>35682</f>
      </c>
      <c r="B35689" s="5" t="s">
        <v>35697</v>
      </c>
      <c r="C35689" s="5">
        <v>100.8</v>
      </c>
      <c r="D35689" s="5">
        <v>0.1</v>
      </c>
      <c r="E35689" s="5">
        <v>100.9</v>
      </c>
      <c r="F35689" s="5">
        <v>194.3</v>
      </c>
      <c r="G35689" s="5">
        <v>96.9</v>
      </c>
      <c r="H35689" s="5">
        <v>96.8</v>
      </c>
      <c r="I35689" s="5">
        <v>0</v>
      </c>
      <c r="J35689" s="5">
        <v>0</v>
      </c>
      <c r="K35689" s="5">
        <v>0</v>
      </c>
    </row>
    <row r="35690" spans="1:11" x14ac:dyDescent="0.25">
      <c r="A35690" s="5">
        <f>35683</f>
      </c>
      <c r="B35690" s="5" t="s">
        <v>35698</v>
      </c>
      <c r="C35690" s="5">
        <v>100.5</v>
      </c>
      <c r="D35690" s="5">
        <v>0.1</v>
      </c>
      <c r="E35690" s="5">
        <v>100.7</v>
      </c>
      <c r="F35690" s="5">
        <v>207.6</v>
      </c>
      <c r="G35690" s="5">
        <v>100.9</v>
      </c>
      <c r="H35690" s="5">
        <v>97.8</v>
      </c>
      <c r="I35690" s="5">
        <v>0</v>
      </c>
      <c r="J35690" s="5">
        <v>0</v>
      </c>
      <c r="K35690" s="5">
        <v>0</v>
      </c>
    </row>
    <row r="35691" spans="1:11" x14ac:dyDescent="0.25">
      <c r="A35691" s="5">
        <f>35684</f>
      </c>
      <c r="B35691" s="5" t="s">
        <v>35699</v>
      </c>
      <c r="C35691" s="5">
        <v>100.5</v>
      </c>
      <c r="D35691" s="5">
        <v>0.1</v>
      </c>
      <c r="E35691" s="5">
        <v>100.7</v>
      </c>
      <c r="F35691" s="5">
        <v>207.6</v>
      </c>
      <c r="G35691" s="5">
        <v>100.9</v>
      </c>
      <c r="H35691" s="5">
        <v>97.8</v>
      </c>
      <c r="I35691" s="5">
        <v>0</v>
      </c>
      <c r="J35691" s="5">
        <v>0</v>
      </c>
      <c r="K35691" s="5">
        <v>0</v>
      </c>
    </row>
    <row r="35692" spans="1:11" x14ac:dyDescent="0.25">
      <c r="A35692" s="5">
        <f>35685</f>
      </c>
      <c r="B35692" s="5" t="s">
        <v>35700</v>
      </c>
      <c r="C35692" s="5">
        <v>98.6</v>
      </c>
      <c r="D35692" s="5">
        <v>0.1</v>
      </c>
      <c r="E35692" s="5">
        <v>98.7</v>
      </c>
      <c r="F35692" s="5">
        <v>201.6</v>
      </c>
      <c r="G35692" s="5">
        <v>101.1</v>
      </c>
      <c r="H35692" s="5">
        <v>100.6</v>
      </c>
      <c r="I35692" s="5">
        <v>0</v>
      </c>
      <c r="J35692" s="5">
        <v>0</v>
      </c>
      <c r="K35692" s="5">
        <v>0</v>
      </c>
    </row>
    <row r="35693" spans="1:11" x14ac:dyDescent="0.25">
      <c r="A35693" s="5">
        <f>35686</f>
      </c>
      <c r="B35693" s="5" t="s">
        <v>35701</v>
      </c>
      <c r="C35693" s="5">
        <v>98.6</v>
      </c>
      <c r="D35693" s="5">
        <v>0.1</v>
      </c>
      <c r="E35693" s="5">
        <v>98.7</v>
      </c>
      <c r="F35693" s="5">
        <v>201.6</v>
      </c>
      <c r="G35693" s="5">
        <v>101.1</v>
      </c>
      <c r="H35693" s="5">
        <v>100.6</v>
      </c>
      <c r="I35693" s="5">
        <v>0</v>
      </c>
      <c r="J35693" s="5">
        <v>0</v>
      </c>
      <c r="K35693" s="5">
        <v>0</v>
      </c>
    </row>
    <row r="35694" spans="1:11" x14ac:dyDescent="0.25">
      <c r="A35694" s="5">
        <f>35687</f>
      </c>
      <c r="B35694" s="5" t="s">
        <v>35702</v>
      </c>
      <c r="C35694" s="5">
        <v>96.7</v>
      </c>
      <c r="D35694" s="5">
        <v>0.1</v>
      </c>
      <c r="E35694" s="5">
        <v>96.9</v>
      </c>
      <c r="F35694" s="5">
        <v>195.6</v>
      </c>
      <c r="G35694" s="5">
        <v>97.5</v>
      </c>
      <c r="H35694" s="5">
        <v>97.2</v>
      </c>
      <c r="I35694" s="5">
        <v>0</v>
      </c>
      <c r="J35694" s="5">
        <v>0</v>
      </c>
      <c r="K35694" s="5">
        <v>0</v>
      </c>
    </row>
    <row r="35695" spans="1:11" x14ac:dyDescent="0.25">
      <c r="A35695" s="5">
        <f>35688</f>
      </c>
      <c r="B35695" s="5" t="s">
        <v>35703</v>
      </c>
      <c r="C35695" s="5">
        <v>96.7</v>
      </c>
      <c r="D35695" s="5">
        <v>0.1</v>
      </c>
      <c r="E35695" s="5">
        <v>96.9</v>
      </c>
      <c r="F35695" s="5">
        <v>195.6</v>
      </c>
      <c r="G35695" s="5">
        <v>97.5</v>
      </c>
      <c r="H35695" s="5">
        <v>97.2</v>
      </c>
      <c r="I35695" s="5">
        <v>0</v>
      </c>
      <c r="J35695" s="5">
        <v>0</v>
      </c>
      <c r="K35695" s="5">
        <v>0</v>
      </c>
    </row>
    <row r="35696" spans="1:11" x14ac:dyDescent="0.25">
      <c r="A35696" s="5">
        <f>35689</f>
      </c>
      <c r="B35696" s="5" t="s">
        <v>35704</v>
      </c>
      <c r="C35696" s="5">
        <v>96.7</v>
      </c>
      <c r="D35696" s="5">
        <v>0.1</v>
      </c>
      <c r="E35696" s="5">
        <v>96.9</v>
      </c>
      <c r="F35696" s="5">
        <v>195.6</v>
      </c>
      <c r="G35696" s="5">
        <v>97.5</v>
      </c>
      <c r="H35696" s="5">
        <v>97.2</v>
      </c>
      <c r="I35696" s="5">
        <v>0</v>
      </c>
      <c r="J35696" s="5">
        <v>0</v>
      </c>
      <c r="K35696" s="5">
        <v>0</v>
      </c>
    </row>
    <row r="35697" spans="1:11" x14ac:dyDescent="0.25">
      <c r="A35697" s="5">
        <f>35690</f>
      </c>
      <c r="B35697" s="5" t="s">
        <v>35705</v>
      </c>
      <c r="C35697" s="5">
        <v>96.7</v>
      </c>
      <c r="D35697" s="5">
        <v>0.1</v>
      </c>
      <c r="E35697" s="5">
        <v>96.9</v>
      </c>
      <c r="F35697" s="5">
        <v>195.6</v>
      </c>
      <c r="G35697" s="5">
        <v>97.5</v>
      </c>
      <c r="H35697" s="5">
        <v>97.2</v>
      </c>
      <c r="I35697" s="5">
        <v>0</v>
      </c>
      <c r="J35697" s="5">
        <v>0</v>
      </c>
      <c r="K35697" s="5">
        <v>0</v>
      </c>
    </row>
    <row r="35698" spans="1:11" x14ac:dyDescent="0.25">
      <c r="A35698" s="5">
        <f>35691</f>
      </c>
      <c r="B35698" s="5" t="s">
        <v>35706</v>
      </c>
      <c r="C35698" s="5">
        <v>102.4</v>
      </c>
      <c r="D35698" s="5">
        <v>0.1</v>
      </c>
      <c r="E35698" s="5">
        <v>102.6</v>
      </c>
      <c r="F35698" s="5">
        <v>205.6</v>
      </c>
      <c r="G35698" s="5">
        <v>102.5</v>
      </c>
      <c r="H35698" s="5">
        <v>102.4</v>
      </c>
      <c r="I35698" s="5">
        <v>0</v>
      </c>
      <c r="J35698" s="5">
        <v>0</v>
      </c>
      <c r="K35698" s="5">
        <v>0</v>
      </c>
    </row>
    <row r="35699" spans="1:11" x14ac:dyDescent="0.25">
      <c r="A35699" s="5">
        <f>35692</f>
      </c>
      <c r="B35699" s="5" t="s">
        <v>35707</v>
      </c>
      <c r="C35699" s="5">
        <v>102.4</v>
      </c>
      <c r="D35699" s="5">
        <v>0.1</v>
      </c>
      <c r="E35699" s="5">
        <v>102.6</v>
      </c>
      <c r="F35699" s="5">
        <v>205.6</v>
      </c>
      <c r="G35699" s="5">
        <v>102.5</v>
      </c>
      <c r="H35699" s="5">
        <v>102.4</v>
      </c>
      <c r="I35699" s="5">
        <v>0</v>
      </c>
      <c r="J35699" s="5">
        <v>0</v>
      </c>
      <c r="K35699" s="5">
        <v>0</v>
      </c>
    </row>
    <row r="35700" spans="1:11" x14ac:dyDescent="0.25">
      <c r="A35700" s="5">
        <f>35693</f>
      </c>
      <c r="B35700" s="5" t="s">
        <v>35708</v>
      </c>
      <c r="C35700" s="5">
        <v>103.7</v>
      </c>
      <c r="D35700" s="5">
        <v>0.1</v>
      </c>
      <c r="E35700" s="5">
        <v>103.9</v>
      </c>
      <c r="F35700" s="5">
        <v>207.3</v>
      </c>
      <c r="G35700" s="5">
        <v>103.4</v>
      </c>
      <c r="H35700" s="5">
        <v>103.3</v>
      </c>
      <c r="I35700" s="5">
        <v>0</v>
      </c>
      <c r="J35700" s="5">
        <v>0</v>
      </c>
      <c r="K35700" s="5">
        <v>0</v>
      </c>
    </row>
    <row r="35701" spans="1:11" x14ac:dyDescent="0.25">
      <c r="A35701" s="5">
        <f>35694</f>
      </c>
      <c r="B35701" s="5" t="s">
        <v>35709</v>
      </c>
      <c r="C35701" s="5">
        <v>103.5</v>
      </c>
      <c r="D35701" s="5">
        <v>0.1</v>
      </c>
      <c r="E35701" s="5">
        <v>103.9</v>
      </c>
      <c r="F35701" s="5">
        <v>207.3</v>
      </c>
      <c r="G35701" s="5">
        <v>103.4</v>
      </c>
      <c r="H35701" s="5">
        <v>103.3</v>
      </c>
      <c r="I35701" s="5">
        <v>0</v>
      </c>
      <c r="J35701" s="5">
        <v>0</v>
      </c>
      <c r="K35701" s="5">
        <v>0</v>
      </c>
    </row>
    <row r="35702" spans="1:11" x14ac:dyDescent="0.25">
      <c r="A35702" s="5">
        <f>35695</f>
      </c>
      <c r="B35702" s="5" t="s">
        <v>35710</v>
      </c>
      <c r="C35702" s="5">
        <v>103.5</v>
      </c>
      <c r="D35702" s="5">
        <v>0.1</v>
      </c>
      <c r="E35702" s="5">
        <v>103.6</v>
      </c>
      <c r="F35702" s="5">
        <v>206.9</v>
      </c>
      <c r="G35702" s="5">
        <v>103.2</v>
      </c>
      <c r="H35702" s="5">
        <v>103.1</v>
      </c>
      <c r="I35702" s="5">
        <v>0</v>
      </c>
      <c r="J35702" s="5">
        <v>0</v>
      </c>
      <c r="K35702" s="5">
        <v>0</v>
      </c>
    </row>
    <row r="35703" spans="1:11" x14ac:dyDescent="0.25">
      <c r="A35703" s="5">
        <f>35696</f>
      </c>
      <c r="B35703" s="5" t="s">
        <v>35711</v>
      </c>
      <c r="C35703" s="5">
        <v>104.2</v>
      </c>
      <c r="D35703" s="5">
        <v>0.1</v>
      </c>
      <c r="E35703" s="5">
        <v>103.6</v>
      </c>
      <c r="F35703" s="5">
        <v>206.9</v>
      </c>
      <c r="G35703" s="5">
        <v>103.2</v>
      </c>
      <c r="H35703" s="5">
        <v>103.1</v>
      </c>
      <c r="I35703" s="5">
        <v>0</v>
      </c>
      <c r="J35703" s="5">
        <v>0</v>
      </c>
      <c r="K35703" s="5">
        <v>0</v>
      </c>
    </row>
    <row r="35704" spans="1:11" x14ac:dyDescent="0.25">
      <c r="A35704" s="5">
        <f>35697</f>
      </c>
      <c r="B35704" s="5" t="s">
        <v>35712</v>
      </c>
      <c r="C35704" s="5">
        <v>104.2</v>
      </c>
      <c r="D35704" s="5">
        <v>0.1</v>
      </c>
      <c r="E35704" s="5">
        <v>104.3</v>
      </c>
      <c r="F35704" s="5">
        <v>207.9</v>
      </c>
      <c r="G35704" s="5">
        <v>103.7</v>
      </c>
      <c r="H35704" s="5">
        <v>103.6</v>
      </c>
      <c r="I35704" s="5">
        <v>0</v>
      </c>
      <c r="J35704" s="5">
        <v>0</v>
      </c>
      <c r="K35704" s="5">
        <v>0</v>
      </c>
    </row>
    <row r="35705" spans="1:11" x14ac:dyDescent="0.25">
      <c r="A35705" s="5">
        <f>35698</f>
      </c>
      <c r="B35705" s="5" t="s">
        <v>35713</v>
      </c>
      <c r="C35705" s="5">
        <v>104.2</v>
      </c>
      <c r="D35705" s="5">
        <v>0.1</v>
      </c>
      <c r="E35705" s="5">
        <v>104.3</v>
      </c>
      <c r="F35705" s="5">
        <v>207.9</v>
      </c>
      <c r="G35705" s="5">
        <v>103.7</v>
      </c>
      <c r="H35705" s="5">
        <v>103.6</v>
      </c>
      <c r="I35705" s="5">
        <v>0</v>
      </c>
      <c r="J35705" s="5">
        <v>0</v>
      </c>
      <c r="K35705" s="5">
        <v>0</v>
      </c>
    </row>
    <row r="35706" spans="1:11" x14ac:dyDescent="0.25">
      <c r="A35706" s="5">
        <f>35699</f>
      </c>
      <c r="B35706" s="5" t="s">
        <v>35714</v>
      </c>
      <c r="C35706" s="5">
        <v>104.2</v>
      </c>
      <c r="D35706" s="5">
        <v>0.1</v>
      </c>
      <c r="E35706" s="5">
        <v>104.3</v>
      </c>
      <c r="F35706" s="5">
        <v>207.9</v>
      </c>
      <c r="G35706" s="5">
        <v>103.7</v>
      </c>
      <c r="H35706" s="5">
        <v>103.6</v>
      </c>
      <c r="I35706" s="5">
        <v>0</v>
      </c>
      <c r="J35706" s="5">
        <v>0</v>
      </c>
      <c r="K35706" s="5">
        <v>0</v>
      </c>
    </row>
    <row r="35707" spans="1:11" x14ac:dyDescent="0.25">
      <c r="A35707" s="5">
        <f>35700</f>
      </c>
      <c r="B35707" s="5" t="s">
        <v>35715</v>
      </c>
      <c r="C35707" s="5">
        <v>104.2</v>
      </c>
      <c r="D35707" s="5">
        <v>0.1</v>
      </c>
      <c r="E35707" s="5">
        <v>104.3</v>
      </c>
      <c r="F35707" s="5">
        <v>207.9</v>
      </c>
      <c r="G35707" s="5">
        <v>103.7</v>
      </c>
      <c r="H35707" s="5">
        <v>103.6</v>
      </c>
      <c r="I35707" s="5">
        <v>0</v>
      </c>
      <c r="J35707" s="5">
        <v>0</v>
      </c>
      <c r="K35707" s="5">
        <v>0</v>
      </c>
    </row>
    <row r="35708" spans="1:11" x14ac:dyDescent="0.25">
      <c r="A35708" s="5">
        <f>35701</f>
      </c>
      <c r="B35708" s="5" t="s">
        <v>35716</v>
      </c>
      <c r="C35708" s="5">
        <v>103.4</v>
      </c>
      <c r="D35708" s="5">
        <v>0.1</v>
      </c>
      <c r="E35708" s="5">
        <v>103.6</v>
      </c>
      <c r="F35708" s="5">
        <v>206.7</v>
      </c>
      <c r="G35708" s="5">
        <v>103.1</v>
      </c>
      <c r="H35708" s="5">
        <v>103</v>
      </c>
      <c r="I35708" s="5">
        <v>0</v>
      </c>
      <c r="J35708" s="5">
        <v>0</v>
      </c>
      <c r="K35708" s="5">
        <v>0</v>
      </c>
    </row>
    <row r="35709" spans="1:11" x14ac:dyDescent="0.25">
      <c r="A35709" s="5">
        <f>35702</f>
      </c>
      <c r="B35709" s="5" t="s">
        <v>35717</v>
      </c>
      <c r="C35709" s="5">
        <v>103.4</v>
      </c>
      <c r="D35709" s="5">
        <v>0.1</v>
      </c>
      <c r="E35709" s="5">
        <v>103.6</v>
      </c>
      <c r="F35709" s="5">
        <v>206.7</v>
      </c>
      <c r="G35709" s="5">
        <v>103.1</v>
      </c>
      <c r="H35709" s="5">
        <v>103</v>
      </c>
      <c r="I35709" s="5">
        <v>0</v>
      </c>
      <c r="J35709" s="5">
        <v>0</v>
      </c>
      <c r="K35709" s="5">
        <v>0</v>
      </c>
    </row>
    <row r="35710" spans="1:11" x14ac:dyDescent="0.25">
      <c r="A35710" s="5">
        <f>35703</f>
      </c>
      <c r="B35710" s="5" t="s">
        <v>35718</v>
      </c>
      <c r="C35710" s="5">
        <v>103.5</v>
      </c>
      <c r="D35710" s="5">
        <v>0.1</v>
      </c>
      <c r="E35710" s="5">
        <v>103.7</v>
      </c>
      <c r="F35710" s="5">
        <v>207</v>
      </c>
      <c r="G35710" s="5">
        <v>103.2</v>
      </c>
      <c r="H35710" s="5">
        <v>103.1</v>
      </c>
      <c r="I35710" s="5">
        <v>0</v>
      </c>
      <c r="J35710" s="5">
        <v>0</v>
      </c>
      <c r="K35710" s="5">
        <v>0</v>
      </c>
    </row>
    <row r="35711" spans="1:11" x14ac:dyDescent="0.25">
      <c r="A35711" s="5">
        <f>35704</f>
      </c>
      <c r="B35711" s="5" t="s">
        <v>35719</v>
      </c>
      <c r="C35711" s="5">
        <v>102.8</v>
      </c>
      <c r="D35711" s="5">
        <v>0.1</v>
      </c>
      <c r="E35711" s="5">
        <v>103</v>
      </c>
      <c r="F35711" s="5">
        <v>206</v>
      </c>
      <c r="G35711" s="5">
        <v>102.8</v>
      </c>
      <c r="H35711" s="5">
        <v>102.7</v>
      </c>
      <c r="I35711" s="5">
        <v>0</v>
      </c>
      <c r="J35711" s="5">
        <v>0</v>
      </c>
      <c r="K35711" s="5">
        <v>0</v>
      </c>
    </row>
    <row r="35712" spans="1:11" x14ac:dyDescent="0.25">
      <c r="A35712" s="5">
        <f>35705</f>
      </c>
      <c r="B35712" s="5" t="s">
        <v>35720</v>
      </c>
      <c r="C35712" s="5">
        <v>102.8</v>
      </c>
      <c r="D35712" s="5">
        <v>0.1</v>
      </c>
      <c r="E35712" s="5">
        <v>103</v>
      </c>
      <c r="F35712" s="5">
        <v>206</v>
      </c>
      <c r="G35712" s="5">
        <v>102.8</v>
      </c>
      <c r="H35712" s="5">
        <v>102.7</v>
      </c>
      <c r="I35712" s="5">
        <v>0</v>
      </c>
      <c r="J35712" s="5">
        <v>0</v>
      </c>
      <c r="K35712" s="5">
        <v>0</v>
      </c>
    </row>
    <row r="35713" spans="1:11" x14ac:dyDescent="0.25">
      <c r="A35713" s="5">
        <f>35706</f>
      </c>
      <c r="B35713" s="5" t="s">
        <v>35721</v>
      </c>
      <c r="C35713" s="5">
        <v>102.8</v>
      </c>
      <c r="D35713" s="5">
        <v>0.1</v>
      </c>
      <c r="E35713" s="5">
        <v>103</v>
      </c>
      <c r="F35713" s="5">
        <v>206</v>
      </c>
      <c r="G35713" s="5">
        <v>102.8</v>
      </c>
      <c r="H35713" s="5">
        <v>102.7</v>
      </c>
      <c r="I35713" s="5">
        <v>0</v>
      </c>
      <c r="J35713" s="5">
        <v>0</v>
      </c>
      <c r="K35713" s="5">
        <v>0</v>
      </c>
    </row>
    <row r="35714" spans="1:11" x14ac:dyDescent="0.25">
      <c r="A35714" s="5">
        <f>35707</f>
      </c>
      <c r="B35714" s="5" t="s">
        <v>35722</v>
      </c>
      <c r="C35714" s="5">
        <v>102.8</v>
      </c>
      <c r="D35714" s="5">
        <v>0.1</v>
      </c>
      <c r="E35714" s="5">
        <v>103</v>
      </c>
      <c r="F35714" s="5">
        <v>206</v>
      </c>
      <c r="G35714" s="5">
        <v>102.8</v>
      </c>
      <c r="H35714" s="5">
        <v>102.7</v>
      </c>
      <c r="I35714" s="5">
        <v>0</v>
      </c>
      <c r="J35714" s="5">
        <v>0</v>
      </c>
      <c r="K35714" s="5">
        <v>0</v>
      </c>
    </row>
    <row r="35715" spans="1:11" x14ac:dyDescent="0.25">
      <c r="A35715" s="5">
        <f>35708</f>
      </c>
      <c r="B35715" s="5" t="s">
        <v>35723</v>
      </c>
      <c r="C35715" s="5">
        <v>103.7</v>
      </c>
      <c r="D35715" s="5">
        <v>0.1</v>
      </c>
      <c r="E35715" s="5">
        <v>103.9</v>
      </c>
      <c r="F35715" s="5">
        <v>206.6</v>
      </c>
      <c r="G35715" s="5">
        <v>103.1</v>
      </c>
      <c r="H35715" s="5">
        <v>103</v>
      </c>
      <c r="I35715" s="5">
        <v>0</v>
      </c>
      <c r="J35715" s="5">
        <v>0</v>
      </c>
      <c r="K35715" s="5">
        <v>0</v>
      </c>
    </row>
    <row r="35716" spans="1:11" x14ac:dyDescent="0.25">
      <c r="A35716" s="5">
        <f>35709</f>
      </c>
      <c r="B35716" s="5" t="s">
        <v>35724</v>
      </c>
      <c r="C35716" s="5">
        <v>103.7</v>
      </c>
      <c r="D35716" s="5">
        <v>0.1</v>
      </c>
      <c r="E35716" s="5">
        <v>103.9</v>
      </c>
      <c r="F35716" s="5">
        <v>206.6</v>
      </c>
      <c r="G35716" s="5">
        <v>103.1</v>
      </c>
      <c r="H35716" s="5">
        <v>103</v>
      </c>
      <c r="I35716" s="5">
        <v>0</v>
      </c>
      <c r="J35716" s="5">
        <v>0</v>
      </c>
      <c r="K35716" s="5">
        <v>0</v>
      </c>
    </row>
    <row r="35717" spans="1:11" x14ac:dyDescent="0.25">
      <c r="A35717" s="5">
        <f>35710</f>
      </c>
      <c r="B35717" s="5" t="s">
        <v>35725</v>
      </c>
      <c r="C35717" s="5">
        <v>103.9</v>
      </c>
      <c r="D35717" s="5">
        <v>0.1</v>
      </c>
      <c r="E35717" s="5">
        <v>104</v>
      </c>
      <c r="F35717" s="5">
        <v>207.4</v>
      </c>
      <c r="G35717" s="5">
        <v>103.5</v>
      </c>
      <c r="H35717" s="5">
        <v>103.3</v>
      </c>
      <c r="I35717" s="5">
        <v>0</v>
      </c>
      <c r="J35717" s="5">
        <v>0</v>
      </c>
      <c r="K35717" s="5">
        <v>0</v>
      </c>
    </row>
    <row r="35718" spans="1:11" x14ac:dyDescent="0.25">
      <c r="A35718" s="5">
        <f>35711</f>
      </c>
      <c r="B35718" s="5" t="s">
        <v>35726</v>
      </c>
      <c r="C35718" s="5">
        <v>103.9</v>
      </c>
      <c r="D35718" s="5">
        <v>0.1</v>
      </c>
      <c r="E35718" s="5">
        <v>104</v>
      </c>
      <c r="F35718" s="5">
        <v>207.4</v>
      </c>
      <c r="G35718" s="5">
        <v>103.5</v>
      </c>
      <c r="H35718" s="5">
        <v>103.3</v>
      </c>
      <c r="I35718" s="5">
        <v>0</v>
      </c>
      <c r="J35718" s="5">
        <v>0</v>
      </c>
      <c r="K35718" s="5">
        <v>0</v>
      </c>
    </row>
    <row r="35719" spans="1:11" x14ac:dyDescent="0.25">
      <c r="A35719" s="5">
        <f>35712</f>
      </c>
      <c r="B35719" s="5" t="s">
        <v>35727</v>
      </c>
      <c r="C35719" s="5">
        <v>103.6</v>
      </c>
      <c r="D35719" s="5">
        <v>0.1</v>
      </c>
      <c r="E35719" s="5">
        <v>103.7</v>
      </c>
      <c r="F35719" s="5">
        <v>206.6</v>
      </c>
      <c r="G35719" s="5">
        <v>103.1</v>
      </c>
      <c r="H35719" s="5">
        <v>102.9</v>
      </c>
      <c r="I35719" s="5">
        <v>0</v>
      </c>
      <c r="J35719" s="5">
        <v>0</v>
      </c>
      <c r="K35719" s="5">
        <v>0</v>
      </c>
    </row>
    <row r="35720" spans="1:11" x14ac:dyDescent="0.25">
      <c r="A35720" s="5">
        <f>35713</f>
      </c>
      <c r="B35720" s="5" t="s">
        <v>35728</v>
      </c>
      <c r="C35720" s="5">
        <v>103.6</v>
      </c>
      <c r="D35720" s="5">
        <v>0.1</v>
      </c>
      <c r="E35720" s="5">
        <v>103.7</v>
      </c>
      <c r="F35720" s="5">
        <v>206.6</v>
      </c>
      <c r="G35720" s="5">
        <v>103.1</v>
      </c>
      <c r="H35720" s="5">
        <v>102.9</v>
      </c>
      <c r="I35720" s="5">
        <v>0</v>
      </c>
      <c r="J35720" s="5">
        <v>0</v>
      </c>
      <c r="K35720" s="5">
        <v>0</v>
      </c>
    </row>
    <row r="35721" spans="1:11" x14ac:dyDescent="0.25">
      <c r="A35721" s="5">
        <f>35714</f>
      </c>
      <c r="B35721" s="5" t="s">
        <v>35729</v>
      </c>
      <c r="C35721" s="5">
        <v>103.6</v>
      </c>
      <c r="D35721" s="5">
        <v>0.1</v>
      </c>
      <c r="E35721" s="5">
        <v>103.7</v>
      </c>
      <c r="F35721" s="5">
        <v>207.1</v>
      </c>
      <c r="G35721" s="5">
        <v>103.3</v>
      </c>
      <c r="H35721" s="5">
        <v>103.2</v>
      </c>
      <c r="I35721" s="5">
        <v>0</v>
      </c>
      <c r="J35721" s="5">
        <v>0</v>
      </c>
      <c r="K35721" s="5">
        <v>0</v>
      </c>
    </row>
    <row r="35722" spans="1:11" x14ac:dyDescent="0.25">
      <c r="A35722" s="5">
        <f>35715</f>
      </c>
      <c r="B35722" s="5" t="s">
        <v>35730</v>
      </c>
      <c r="C35722" s="5">
        <v>103.6</v>
      </c>
      <c r="D35722" s="5">
        <v>0.1</v>
      </c>
      <c r="E35722" s="5">
        <v>103.7</v>
      </c>
      <c r="F35722" s="5">
        <v>207.1</v>
      </c>
      <c r="G35722" s="5">
        <v>103.3</v>
      </c>
      <c r="H35722" s="5">
        <v>103.2</v>
      </c>
      <c r="I35722" s="5">
        <v>0</v>
      </c>
      <c r="J35722" s="5">
        <v>0</v>
      </c>
      <c r="K35722" s="5">
        <v>0</v>
      </c>
    </row>
    <row r="35723" spans="1:11" x14ac:dyDescent="0.25">
      <c r="A35723" s="5">
        <f>35716</f>
      </c>
      <c r="B35723" s="5" t="s">
        <v>35731</v>
      </c>
      <c r="C35723" s="5">
        <v>103.6</v>
      </c>
      <c r="D35723" s="5">
        <v>0.1</v>
      </c>
      <c r="E35723" s="5">
        <v>103.7</v>
      </c>
      <c r="F35723" s="5">
        <v>207.1</v>
      </c>
      <c r="G35723" s="5">
        <v>103.3</v>
      </c>
      <c r="H35723" s="5">
        <v>103.2</v>
      </c>
      <c r="I35723" s="5">
        <v>0</v>
      </c>
      <c r="J35723" s="5">
        <v>0</v>
      </c>
      <c r="K35723" s="5">
        <v>0</v>
      </c>
    </row>
    <row r="35724" spans="1:11" x14ac:dyDescent="0.25">
      <c r="A35724" s="5">
        <f>35717</f>
      </c>
      <c r="B35724" s="5" t="s">
        <v>35732</v>
      </c>
      <c r="C35724" s="5">
        <v>103.6</v>
      </c>
      <c r="D35724" s="5">
        <v>0.1</v>
      </c>
      <c r="E35724" s="5">
        <v>103.7</v>
      </c>
      <c r="F35724" s="5">
        <v>207.1</v>
      </c>
      <c r="G35724" s="5">
        <v>103.3</v>
      </c>
      <c r="H35724" s="5">
        <v>103.2</v>
      </c>
      <c r="I35724" s="5">
        <v>0</v>
      </c>
      <c r="J35724" s="5">
        <v>0</v>
      </c>
      <c r="K35724" s="5">
        <v>0</v>
      </c>
    </row>
    <row r="35725" spans="1:11" x14ac:dyDescent="0.25">
      <c r="A35725" s="5">
        <f>35718</f>
      </c>
      <c r="B35725" s="5" t="s">
        <v>35733</v>
      </c>
      <c r="C35725" s="5">
        <v>100.2</v>
      </c>
      <c r="D35725" s="5">
        <v>0.1</v>
      </c>
      <c r="E35725" s="5">
        <v>100.3</v>
      </c>
      <c r="F35725" s="5">
        <v>205.4</v>
      </c>
      <c r="G35725" s="5">
        <v>102.6</v>
      </c>
      <c r="H35725" s="5">
        <v>102.5</v>
      </c>
      <c r="I35725" s="5">
        <v>0</v>
      </c>
      <c r="J35725" s="5">
        <v>0</v>
      </c>
      <c r="K35725" s="5">
        <v>0</v>
      </c>
    </row>
    <row r="35726" spans="1:11" x14ac:dyDescent="0.25">
      <c r="A35726" s="5">
        <f>35719</f>
      </c>
      <c r="B35726" s="5" t="s">
        <v>35734</v>
      </c>
      <c r="C35726" s="5">
        <v>100.2</v>
      </c>
      <c r="D35726" s="5">
        <v>0.1</v>
      </c>
      <c r="E35726" s="5">
        <v>100.3</v>
      </c>
      <c r="F35726" s="5">
        <v>205.4</v>
      </c>
      <c r="G35726" s="5">
        <v>102.6</v>
      </c>
      <c r="H35726" s="5">
        <v>102.5</v>
      </c>
      <c r="I35726" s="5">
        <v>0</v>
      </c>
      <c r="J35726" s="5">
        <v>0</v>
      </c>
      <c r="K35726" s="5">
        <v>0</v>
      </c>
    </row>
    <row r="35727" spans="1:11" x14ac:dyDescent="0.25">
      <c r="A35727" s="5">
        <f>35720</f>
      </c>
      <c r="B35727" s="5" t="s">
        <v>35735</v>
      </c>
      <c r="C35727" s="5">
        <v>103.3</v>
      </c>
      <c r="D35727" s="5">
        <v>0.1</v>
      </c>
      <c r="E35727" s="5">
        <v>103.4</v>
      </c>
      <c r="F35727" s="5">
        <v>206.8</v>
      </c>
      <c r="G35727" s="5">
        <v>103.2</v>
      </c>
      <c r="H35727" s="5">
        <v>103</v>
      </c>
      <c r="I35727" s="5">
        <v>0</v>
      </c>
      <c r="J35727" s="5">
        <v>0</v>
      </c>
      <c r="K35727" s="5">
        <v>0</v>
      </c>
    </row>
    <row r="35728" spans="1:11" x14ac:dyDescent="0.25">
      <c r="A35728" s="5">
        <f>35721</f>
      </c>
      <c r="B35728" s="5" t="s">
        <v>35736</v>
      </c>
      <c r="C35728" s="5">
        <v>103.3</v>
      </c>
      <c r="D35728" s="5">
        <v>0.1</v>
      </c>
      <c r="E35728" s="5">
        <v>103.4</v>
      </c>
      <c r="F35728" s="5">
        <v>206.8</v>
      </c>
      <c r="G35728" s="5">
        <v>103.2</v>
      </c>
      <c r="H35728" s="5">
        <v>103</v>
      </c>
      <c r="I35728" s="5">
        <v>0</v>
      </c>
      <c r="J35728" s="5">
        <v>0</v>
      </c>
      <c r="K35728" s="5">
        <v>0</v>
      </c>
    </row>
    <row r="35729" spans="1:11" x14ac:dyDescent="0.25">
      <c r="A35729" s="5">
        <f>35722</f>
      </c>
      <c r="B35729" s="5" t="s">
        <v>35737</v>
      </c>
      <c r="C35729" s="5">
        <v>102.7</v>
      </c>
      <c r="D35729" s="5">
        <v>0.1</v>
      </c>
      <c r="E35729" s="5">
        <v>102.9</v>
      </c>
      <c r="F35729" s="5">
        <v>202.7</v>
      </c>
      <c r="G35729" s="5">
        <v>101.1</v>
      </c>
      <c r="H35729" s="5">
        <v>101</v>
      </c>
      <c r="I35729" s="5">
        <v>0</v>
      </c>
      <c r="J35729" s="5">
        <v>0</v>
      </c>
      <c r="K35729" s="5">
        <v>0</v>
      </c>
    </row>
    <row r="35730" spans="1:11" x14ac:dyDescent="0.25">
      <c r="A35730" s="5">
        <f>35723</f>
      </c>
      <c r="B35730" s="5" t="s">
        <v>35738</v>
      </c>
      <c r="C35730" s="5">
        <v>102.7</v>
      </c>
      <c r="D35730" s="5">
        <v>0.1</v>
      </c>
      <c r="E35730" s="5">
        <v>102.9</v>
      </c>
      <c r="F35730" s="5">
        <v>202.7</v>
      </c>
      <c r="G35730" s="5">
        <v>101.1</v>
      </c>
      <c r="H35730" s="5">
        <v>101</v>
      </c>
      <c r="I35730" s="5">
        <v>0</v>
      </c>
      <c r="J35730" s="5">
        <v>0</v>
      </c>
      <c r="K35730" s="5">
        <v>0</v>
      </c>
    </row>
    <row r="35731" spans="1:11" x14ac:dyDescent="0.25">
      <c r="A35731" s="5">
        <f>35724</f>
      </c>
      <c r="B35731" s="5" t="s">
        <v>35739</v>
      </c>
      <c r="C35731" s="5">
        <v>103.5</v>
      </c>
      <c r="D35731" s="5">
        <v>0.1</v>
      </c>
      <c r="E35731" s="5">
        <v>103.7</v>
      </c>
      <c r="F35731" s="5">
        <v>206.8</v>
      </c>
      <c r="G35731" s="5">
        <v>103.2</v>
      </c>
      <c r="H35731" s="5">
        <v>103</v>
      </c>
      <c r="I35731" s="5">
        <v>0</v>
      </c>
      <c r="J35731" s="5">
        <v>0</v>
      </c>
      <c r="K35731" s="5">
        <v>0</v>
      </c>
    </row>
    <row r="35732" spans="1:11" x14ac:dyDescent="0.25">
      <c r="A35732" s="5">
        <f>35725</f>
      </c>
      <c r="B35732" s="5" t="s">
        <v>35740</v>
      </c>
      <c r="C35732" s="5">
        <v>103.5</v>
      </c>
      <c r="D35732" s="5">
        <v>0.1</v>
      </c>
      <c r="E35732" s="5">
        <v>103.7</v>
      </c>
      <c r="F35732" s="5">
        <v>206.8</v>
      </c>
      <c r="G35732" s="5">
        <v>103.2</v>
      </c>
      <c r="H35732" s="5">
        <v>103</v>
      </c>
      <c r="I35732" s="5">
        <v>0</v>
      </c>
      <c r="J35732" s="5">
        <v>0</v>
      </c>
      <c r="K35732" s="5">
        <v>0</v>
      </c>
    </row>
    <row r="35733" spans="1:11" x14ac:dyDescent="0.25">
      <c r="A35733" s="5">
        <f>35726</f>
      </c>
      <c r="B35733" s="5" t="s">
        <v>35741</v>
      </c>
      <c r="C35733" s="5">
        <v>103.5</v>
      </c>
      <c r="D35733" s="5">
        <v>0.1</v>
      </c>
      <c r="E35733" s="5">
        <v>103.7</v>
      </c>
      <c r="F35733" s="5">
        <v>206.8</v>
      </c>
      <c r="G35733" s="5">
        <v>103.2</v>
      </c>
      <c r="H35733" s="5">
        <v>103</v>
      </c>
      <c r="I35733" s="5">
        <v>0</v>
      </c>
      <c r="J35733" s="5">
        <v>0</v>
      </c>
      <c r="K35733" s="5">
        <v>0</v>
      </c>
    </row>
    <row r="35734" spans="1:11" x14ac:dyDescent="0.25">
      <c r="A35734" s="5">
        <f>35727</f>
      </c>
      <c r="B35734" s="5" t="s">
        <v>35742</v>
      </c>
      <c r="C35734" s="5">
        <v>103.5</v>
      </c>
      <c r="D35734" s="5">
        <v>0.1</v>
      </c>
      <c r="E35734" s="5">
        <v>103.7</v>
      </c>
      <c r="F35734" s="5">
        <v>206.8</v>
      </c>
      <c r="G35734" s="5">
        <v>103.2</v>
      </c>
      <c r="H35734" s="5">
        <v>103</v>
      </c>
      <c r="I35734" s="5">
        <v>0</v>
      </c>
      <c r="J35734" s="5">
        <v>0</v>
      </c>
      <c r="K35734" s="5">
        <v>0</v>
      </c>
    </row>
    <row r="35735" spans="1:11" x14ac:dyDescent="0.25">
      <c r="A35735" s="5">
        <f>35728</f>
      </c>
      <c r="B35735" s="5" t="s">
        <v>35743</v>
      </c>
      <c r="C35735" s="5">
        <v>103.5</v>
      </c>
      <c r="D35735" s="5">
        <v>0.1</v>
      </c>
      <c r="E35735" s="5">
        <v>103.7</v>
      </c>
      <c r="F35735" s="5">
        <v>206.8</v>
      </c>
      <c r="G35735" s="5">
        <v>103.2</v>
      </c>
      <c r="H35735" s="5">
        <v>103</v>
      </c>
      <c r="I35735" s="5">
        <v>0</v>
      </c>
      <c r="J35735" s="5">
        <v>0</v>
      </c>
      <c r="K35735" s="5">
        <v>0</v>
      </c>
    </row>
    <row r="35736" spans="1:11" x14ac:dyDescent="0.25">
      <c r="A35736" s="5">
        <f>35729</f>
      </c>
      <c r="B35736" s="5" t="s">
        <v>35744</v>
      </c>
      <c r="C35736" s="5">
        <v>103.5</v>
      </c>
      <c r="D35736" s="5">
        <v>0.1</v>
      </c>
      <c r="E35736" s="5">
        <v>103.7</v>
      </c>
      <c r="F35736" s="5">
        <v>206.8</v>
      </c>
      <c r="G35736" s="5">
        <v>103.2</v>
      </c>
      <c r="H35736" s="5">
        <v>103</v>
      </c>
      <c r="I35736" s="5">
        <v>0</v>
      </c>
      <c r="J35736" s="5">
        <v>0</v>
      </c>
      <c r="K35736" s="5">
        <v>0</v>
      </c>
    </row>
    <row r="35737" spans="1:11" x14ac:dyDescent="0.25">
      <c r="A35737" s="5">
        <f>35730</f>
      </c>
      <c r="B35737" s="5" t="s">
        <v>35745</v>
      </c>
      <c r="C35737" s="5">
        <v>103</v>
      </c>
      <c r="D35737" s="5">
        <v>0.1</v>
      </c>
      <c r="E35737" s="5">
        <v>103.1</v>
      </c>
      <c r="F35737" s="5">
        <v>206</v>
      </c>
      <c r="G35737" s="5">
        <v>102.9</v>
      </c>
      <c r="H35737" s="5">
        <v>102.7</v>
      </c>
      <c r="I35737" s="5">
        <v>0</v>
      </c>
      <c r="J35737" s="5">
        <v>0</v>
      </c>
      <c r="K35737" s="5">
        <v>0</v>
      </c>
    </row>
    <row r="35738" spans="1:11" x14ac:dyDescent="0.25">
      <c r="A35738" s="5">
        <f>35731</f>
      </c>
      <c r="B35738" s="5" t="s">
        <v>35746</v>
      </c>
      <c r="C35738" s="5">
        <v>103</v>
      </c>
      <c r="D35738" s="5">
        <v>0.1</v>
      </c>
      <c r="E35738" s="5">
        <v>103.1</v>
      </c>
      <c r="F35738" s="5">
        <v>206</v>
      </c>
      <c r="G35738" s="5">
        <v>102.9</v>
      </c>
      <c r="H35738" s="5">
        <v>102.7</v>
      </c>
      <c r="I35738" s="5">
        <v>0</v>
      </c>
      <c r="J35738" s="5">
        <v>0</v>
      </c>
      <c r="K35738" s="5">
        <v>0</v>
      </c>
    </row>
    <row r="35739" spans="1:11" x14ac:dyDescent="0.25">
      <c r="A35739" s="5">
        <f>35732</f>
      </c>
      <c r="B35739" s="5" t="s">
        <v>35747</v>
      </c>
      <c r="C35739" s="5">
        <v>103</v>
      </c>
      <c r="D35739" s="5">
        <v>0.1</v>
      </c>
      <c r="E35739" s="5">
        <v>103.1</v>
      </c>
      <c r="F35739" s="5">
        <v>206</v>
      </c>
      <c r="G35739" s="5">
        <v>102.8</v>
      </c>
      <c r="H35739" s="5">
        <v>102.6</v>
      </c>
      <c r="I35739" s="5">
        <v>0</v>
      </c>
      <c r="J35739" s="5">
        <v>0</v>
      </c>
      <c r="K35739" s="5">
        <v>0</v>
      </c>
    </row>
    <row r="35740" spans="1:11" x14ac:dyDescent="0.25">
      <c r="A35740" s="5">
        <f>35733</f>
      </c>
      <c r="B35740" s="5" t="s">
        <v>35748</v>
      </c>
      <c r="C35740" s="5">
        <v>103</v>
      </c>
      <c r="D35740" s="5">
        <v>0.1</v>
      </c>
      <c r="E35740" s="5">
        <v>103.1</v>
      </c>
      <c r="F35740" s="5">
        <v>206</v>
      </c>
      <c r="G35740" s="5">
        <v>102.8</v>
      </c>
      <c r="H35740" s="5">
        <v>102.6</v>
      </c>
      <c r="I35740" s="5">
        <v>0</v>
      </c>
      <c r="J35740" s="5">
        <v>0</v>
      </c>
      <c r="K35740" s="5">
        <v>0</v>
      </c>
    </row>
    <row r="35741" spans="1:11" x14ac:dyDescent="0.25">
      <c r="A35741" s="5"/>
      <c r="B35741" s="5"/>
      <c r="C35741" s="5"/>
      <c r="D35741" s="5"/>
      <c r="E35741" s="5"/>
      <c r="F35741" s="5"/>
      <c r="G35741" s="5"/>
      <c r="H35741" s="5"/>
      <c r="I35741" s="5"/>
      <c r="J35741" s="5"/>
      <c r="K35741" s="5"/>
    </row>
    <row r="35742" spans="8:8" x14ac:dyDescent="0.25">
      <c r="H35742" s="6" t="s">
        <v>35749</v>
      </c>
    </row>
    <row r="35743" spans="1:8" x14ac:dyDescent="0.25">
      <c r="A35743" s="7" t="s">
        <v>35750</v>
      </c>
      <c r="E35743" s="7" t="s">
        <v>35751</v>
      </c>
      <c r="H35743" s="7" t="s">
        <v>35752</v>
      </c>
    </row>
    <row r="35744" spans="1:8" x14ac:dyDescent="0.25">
      <c r="A35744" s="8" t="s">
        <v>35753</v>
      </c>
      <c r="E35744" s="8" t="s">
        <v>35753</v>
      </c>
      <c r="H35744" s="8" t="s">
        <v>35753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2023-05-23T09:10:36Z</dcterms:created>
  <dcterms:modified xsi:type="dcterms:W3CDTF">2023-05-23T09:10:36Z</dcterms:modified>
</cp:coreProperties>
</file>